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heet1" r:id="rId3" sheetId="1"/>
  </sheets>
</workbook>
</file>

<file path=xl/sharedStrings.xml><?xml version="1.0" encoding="utf-8"?>
<sst xmlns="http://schemas.openxmlformats.org/spreadsheetml/2006/main" count="128050" uniqueCount="37988">
  <si>
    <t>事件分析名称</t>
  </si>
  <si>
    <t>标题</t>
  </si>
  <si>
    <t>倾向性</t>
  </si>
  <si>
    <t>来源网站</t>
  </si>
  <si>
    <t>来源频道</t>
  </si>
  <si>
    <t>链接地址</t>
  </si>
  <si>
    <t>关键词</t>
  </si>
  <si>
    <t>媒体类别</t>
  </si>
  <si>
    <t>发布时间</t>
  </si>
  <si>
    <t>摘要</t>
  </si>
  <si>
    <t>浏览数</t>
  </si>
  <si>
    <t>回复数</t>
  </si>
  <si>
    <t>博主粉丝数</t>
  </si>
  <si>
    <t>ts.21cn.com</t>
  </si>
  <si>
    <t>淘手游恶意扣押用户资金</t>
  </si>
  <si>
    <t>负面</t>
  </si>
  <si>
    <t>聚投诉</t>
  </si>
  <si>
    <t/>
  </si>
  <si>
    <t>http://ts.21cn.com/tousu/show/id/1374176</t>
  </si>
  <si>
    <t>论坛</t>
  </si>
  <si>
    <t>2019/10/19 17:07:07</t>
  </si>
  <si>
    <t>投诉人陈先生投诉对象淘手游涉诉金额129元问题类型诉求类型投诉详情手机换绑申诉按它的要求提交了好几次，让我等24小时，然后又24小时，什么提示也没有，去问就告诉我失败了，让我在提交，然后就这样一个礼拜fq过去了，严重举报这种黑心平台恶意扣押用户资金。</t>
  </si>
  <si>
    <t>0</t>
  </si>
  <si>
    <t>唱吧咪哒趣互联科技联合欺诈消费者权益！</t>
  </si>
  <si>
    <t>http://ts.21cn.com/tousu/show/id/1374155</t>
  </si>
  <si>
    <t>2019/10/19 17:06:50</t>
  </si>
  <si>
    <t>于10.19日下午来上海虹口足球场汤姆熊游乐场，看到唱吧咪哒唱歌间，便想唱歌，结果一个话筒损坏，无法双人唱歌，后联系当地商家无果，直接为停机状态，再根据网页提示，找到趣互联科技公众号客服，结果让我再次联系停机的商家，客服宛如空气存在。</t>
  </si>
  <si>
    <t>你我贷暴击催收</t>
  </si>
  <si>
    <t>http://ts.21cn.com/tousu/show/id/1374175</t>
  </si>
  <si>
    <t>2019/10/19 17:06:48</t>
  </si>
  <si>
    <t>，下午四点半左右，我接到你我贷催收专员的电话，电话刚开始很正常，说我欠款已经逾期，我也和她解释，我最近资金有困难，过一阵子有钱会还上，翻来覆去的问只是重复一句话，这就非常讨厌了，这个本身是我的问题，这点我承认，所以我的态度非常卑微，但是这个女催收态度瞬间转变，说要取消我的分期资格，在我本地的公司人员上门催收，我说好，可以，我会在家等着，没想到她见我答应了，又问我是不是撸贷的，翻来覆去的问，只是重复一句话，这就非常讨厌了，我挂了电话，之后她又打来，说了几句又反复问我是不是骗贷，在我提醒她已经录音后，就不说了，</t>
  </si>
  <si>
    <t>交通银行骚扰式催收</t>
  </si>
  <si>
    <t>http://ts.21cn.com/tousu/show/id/1374174</t>
  </si>
  <si>
    <t>2019/10/19 17:06:43</t>
  </si>
  <si>
    <t>投诉人孙志媛投诉对象交通银行信用卡涉诉金额40000元问题类型诉求类型投诉详情交通银行信用卡逾期三个月以前还款记录良好，但最近三个月工作发生变动，导致每月工资1500元还要独自抚养孩子，还款能力有限，我不是不还钱，自己的状况已经和交通银行信用卡催收专员解释不止一次，交通银行信用卡催收专员还给我姐打电话，每天都打，一天下来给我姐那打6到7个电话，给我打的电话更不用说了，我每天要工作赚钱还信用卡。</t>
  </si>
  <si>
    <t>恶意催收，暴力催收，已经严重影响个人工作，</t>
  </si>
  <si>
    <t>http://ts.21cn.com/tousu/show/id/1374173</t>
  </si>
  <si>
    <t>2019/10/19 17:05:28</t>
  </si>
  <si>
    <t>真的是没有办法，我欠外账有50多万，现在就剩下12万左右，去年开始就在还款各大银行欠款，但是天有不测之祸，9月份我爸爸多次在加晕倒，去医院检查糖尿病28个点，住院28天全程在家照顾，11月份我爸爸在养老院从床上摔下来，导致脑出血，抢救治疗39天后在腊月十四日不幸去世，治疗期间花费了将近30万，其中25万都是外借，感谢党的政策好，其中16万可以报销百分之八十，去年4月份开始还平安银行欠款4万多，在今年5月份全额还款结案，今年已经在还交通银行欠款，兴业的我就推迟了一点！计划今年全部处理完所有银行欠款，但是今年我</t>
  </si>
  <si>
    <t>骚扰我母亲</t>
  </si>
  <si>
    <t>http://ts.21cn.com/tousu/show/id/1374172</t>
  </si>
  <si>
    <t>2019/10/19 17:05:16</t>
  </si>
  <si>
    <t>10月15日开始，每天多次给我和我母亲打电话骚扰，泄露我个人隐私</t>
  </si>
  <si>
    <t>暴力催收，威胁恐吓，爆通信录</t>
  </si>
  <si>
    <t>http://ts.21cn.com/tousu/show/id/1374171</t>
  </si>
  <si>
    <t>2019/10/19 17:05:12</t>
  </si>
  <si>
    <t>本人在你我贷平台借款9000元分12期等额本息，这个月第7期由于父亲身体不好导致资金落难逾期了十几天，在这十几天中，该平台催收人员每天不断打电话催收，言语恐吓，还威胁饭我公司去闹，找我老板，还爆打电话辱骂威胁我通信录好友，已经严重影响我朋友的正常生活，严重影响我的正常工作和生活。</t>
  </si>
  <si>
    <t>闲鱼小二胡乱判定</t>
  </si>
  <si>
    <t>http://ts.21cn.com/tousu/show/id/1374170</t>
  </si>
  <si>
    <t>2019/10/19 17:04:42</t>
  </si>
  <si>
    <t>买家收到货后未当着快递员的面验货，确认收货后提出商品有质量问题要求退货退款，买家没有提供验货证明，闲鱼小二胡乱判定买家退货退款并且闲鱼客服态度恶劣。</t>
  </si>
  <si>
    <t>降价太快</t>
  </si>
  <si>
    <t>中性</t>
  </si>
  <si>
    <t>http://ts.21cn.com/tousu/show/id/1374168</t>
  </si>
  <si>
    <t>2019/10/19 17:03:14</t>
  </si>
  <si>
    <t>投诉人 丁先生        投诉对象  唯品会        涉诉金额  269 元    问题类型    诉求类型投诉详情  产品降价太快，平台现不予补偿差价。作为平台老会员，实在不能接受！</t>
  </si>
  <si>
    <t>抢票失败，抢票费用不给退</t>
  </si>
  <si>
    <t>http://ts.21cn.com/tousu/show/id/1374167</t>
  </si>
  <si>
    <t>2019/10/19 17:02:59</t>
  </si>
  <si>
    <t>昨天下午用同城艺龙抢高铁票，收取抢票费24元，最后抢票不成功拒绝退还抢票费，与客服联系不给退、希望退款处理、。</t>
  </si>
  <si>
    <t>莫名被扣款</t>
  </si>
  <si>
    <t>http://ts.21cn.com/tousu/show/id/1374166</t>
  </si>
  <si>
    <t>2019/10/19 17:02:37</t>
  </si>
  <si>
    <t>投诉人刘先生投诉对象上海数禾信息科技有限公司涉诉金额188元问题类型诉求类型投诉详情没有进行消费莫名被扣银行卡里的188元。</t>
  </si>
  <si>
    <t>垃圾短信轰炸</t>
  </si>
  <si>
    <t>http://ts.21cn.com/tousu/show/id/1374037</t>
  </si>
  <si>
    <t>2019/10/19 17:01:57</t>
  </si>
  <si>
    <t>投诉人谭先生投诉对象钱站涉诉金额70000元问题类型诉求类型投诉详情钱站贷款70400每个月还3663分期36个月，我还了23期资金出现问题逾期一个月套路贷，给我出个老友计划，可以再贷一笔给我缓解当前的状况，谁知道是把剩下的34000多由给我做个分期，多了7000的利率，然后我这个月还不出来就暴力催收，爆我的通讯录，短信轰炸我，，人人贷贷了90000左右，一个月还3440逾期一天利率是100多，美团是恐吓，威胁，爆通讯录，骚扰朋友家人还冒充公检法这里只上传部分材料。</t>
  </si>
  <si>
    <t>升学教育机构不退款</t>
  </si>
  <si>
    <t>http://ts.21cn.com/tousu/show/id/1374165</t>
  </si>
  <si>
    <t>2019/10/19 17:01:51</t>
  </si>
  <si>
    <t>因为想找个学校提升学历，所以找了升学教育，然后被签了融易分期，贷款6月，每月一千多元，，后来要求退款，说三天后联系我到现在10天了，找班主任一直都在说尽快或者对接，我不知道什么时候可以处理完成，请消费协会处理。</t>
  </si>
  <si>
    <t>闪电借款财富黑卡</t>
  </si>
  <si>
    <t>http://ts.21cn.com/tousu/show/id/1374164</t>
  </si>
  <si>
    <t>2019/10/19 17:00:42</t>
  </si>
  <si>
    <t>闪电借款诱导消费者购买财富黑卡，财富黑卡没有任何用处。</t>
  </si>
  <si>
    <t>中信银行高额利息</t>
  </si>
  <si>
    <t>http://ts.21cn.com/tousu/show/id/1374163</t>
  </si>
  <si>
    <t>2019/10/19 16:58:50</t>
  </si>
  <si>
    <t>中信银行高额利息，已逾期，要求协商还款不愿意，一直委托第三方打电话骚扰，暴力催收，各种费用违约金，新快手FJ，手续费，利息，加起来一个月工资还进去不够塞牙齿缝，中信银行明显知道自己没钱还款，故意拖死我，赚取黑心钱，我每个月都在还，一个月的工资还的一分不留……这是想逼死我，每次打电话协商不从根本处理问题……请贵行减免违约金，减免利息，给我个方案让我减轻还款压力，请银行放我一条生路，让我分期还，各种乱七八糟的的费用只会雪上加霜了………大家看看有目共睹。</t>
  </si>
  <si>
    <t>微信无缘无故限制收款</t>
  </si>
  <si>
    <t>http://ts.21cn.com/tousu/show/id/1374162</t>
  </si>
  <si>
    <t>2019/10/19 16:58:21</t>
  </si>
  <si>
    <t>平时正常使用微信，经常用微信买东西，偶尔卖个收个钱，结果经常莫名的限制我收款，一次两次也就罢了，关键是经常性的，9月份因为收了几次卖兔子的钱，限制我收付款，解封后一直未曾收款，今天突然莫名奇妙的冻结我的收付款，且名下的微信全部禁止收付款，更严重的是有时候还莫名冻结我的账号，现在我联系客服，客服不回信，打微信公司电话打不通，无人接听，已经影响了我的生意。</t>
  </si>
  <si>
    <t>暴力催收</t>
  </si>
  <si>
    <t>http://ts.21cn.com/tousu/show/id/1374161</t>
  </si>
  <si>
    <t>2019/10/19 16:58:04</t>
  </si>
  <si>
    <t>投诉人 郑先生        投诉对象  拍拍贷,省呗,小象钱包,你我贷        涉诉金额  10 000 元    问题类型    诉求类型投诉详情  未经许可爆我通讯录。高利贷。利率高于国家许可范围 停止骚扰我通讯录。影响生活</t>
  </si>
  <si>
    <t>钱置宝套路贷</t>
  </si>
  <si>
    <t>http://ts.21cn.com/tousu/show/id/1374149</t>
  </si>
  <si>
    <t>2019/10/19 16:57:56</t>
  </si>
  <si>
    <t>投诉人宋先生投诉对象钱置宝,立借里面的钱置宝涉诉金额3100元问题类型诉求类型投诉详情‭本人在钱置宝借款2100元人民币，实力要还3100，分四期还，每期的利息高达200多，还了两期之后，第三期还不上，然后造成高额额额逾期费，一天100多&amp;nbsp;然后，简直就是套路贷，跟我受害的跟人多，现在要我还3&amp;nbsp;4期，但是现在他们合同都给我拿不出来，虚假合同，要求下架产品的，他们是广州万合信息科技有限公司，产品是立借里面的，根本没有贷款资格，现在还款只能还我借的2100，本人之前已经还款1500多&amp;nbsp</t>
  </si>
  <si>
    <t>小赢卡贷高利息并软暴力催收</t>
  </si>
  <si>
    <t>http://ts.21cn.com/tousu/show/id/1374159</t>
  </si>
  <si>
    <t>2019/10/19 16:57:41</t>
  </si>
  <si>
    <t>本人在6月7号在小赢卡贷借款3万，分12期，已还3期公里10987元，现想提前还款，小赢app显示还需要29811.6元,本人联系客服归还本金及国家法定利率，经多次协商无果，导致第四期逾期11天，今天小赢高风险组一直给我打电话，说帮我申请结清金额，23000多，让我半个小时以内存到银行卡，不然就是恶意拖欠骗贷，本人表示需要知道此结清金额如何计算，对方不肯说明，还说已联系本人社区居委会及要联系本人工作单位领导，并且多次询问本人小孩的学校，多次侮辱本人及家人，这种行为已经严重威胁到我的正常生活，给我造成了很大的</t>
  </si>
  <si>
    <t>尚德机构咖啡易融套路贷强制消费</t>
  </si>
  <si>
    <t>http://ts.21cn.com/tousu/show/id/1374160</t>
  </si>
  <si>
    <t>2019/10/19 16:57:37</t>
  </si>
  <si>
    <t>报名尚德学习，销售说上几天觉得不行可以退款，当时我也想着试试，他们提议我办理咖啡易融，后面首付了1000多块，上了段时间课，想要退费，他们说再学一下试试，再后来就以体验时间过期为由拒绝，明显拖延时间，中间也投诉过，也说退课，但是后来不了了知，现在学费不给退，还不断催还钱，银行卡强制扣款，已经还五期，要求尚德和咖啡易融退我全部学费，取消贷款，不要再骚扰我，不要影响我的征信。</t>
  </si>
  <si>
    <t>北京恒易融高利息</t>
  </si>
  <si>
    <t>http://ts.21cn.com/tousu/show/id/1374158</t>
  </si>
  <si>
    <t>2019/10/19 16:56:13</t>
  </si>
  <si>
    <t>今年年初，我贷款用钱，联系到常州恒易融，贷款金额以及下款金额都为7万元，我发现合同金额是11万多，他们是说把利息算进去了，我也就当真了，我现在要提前还款被告知，还了9个月，还要还7万多。</t>
  </si>
  <si>
    <t>利息过高，冒充银行给我家人打电话</t>
  </si>
  <si>
    <t>http://ts.21cn.com/tousu/show/id/1374157</t>
  </si>
  <si>
    <t>2019/10/19 16:56:00</t>
  </si>
  <si>
    <t>我逾期了两三天就给我家人打电话说他们是银行的，盗取我通讯录号码，你们是银行吗，银行的利息会有这么高吗，连合同我都看不见。</t>
  </si>
  <si>
    <t>闪银贷款高额砍头息</t>
  </si>
  <si>
    <t>http://ts.21cn.com/tousu/show/id/1374156</t>
  </si>
  <si>
    <t>2019/10/19 16:55:54</t>
  </si>
  <si>
    <t>投诉人 沙先生        投诉对象  Wecash闪银        涉诉金额  1 500 元    问题类型    诉求类型投诉详情  闪银贷款1300元，除了正常利息外。还需要绑定担保费300，白条费176。远超正常利息，希望能够调整利息。</t>
  </si>
  <si>
    <t>多次与银行沟通协商未果，并且第三方催收人员威胁上门催收，要求全额还款</t>
  </si>
  <si>
    <t>http://ts.21cn.com/tousu/show/id/1374153</t>
  </si>
  <si>
    <t>2019/10/19 16:54:04</t>
  </si>
  <si>
    <t>投诉人付先生投诉对象兴业银行信用卡涉诉金额15000元问题类型诉求类型投诉详情由于经商不当外加好友借钱要不上欠款，导致信用卡长时间逾期，多次拨打兴业银行电话要求协商还款停止第三方催收，银行一直未作出答复，第三方催收公司今天下午一点四十多拨打电话来说让我一次性还清，还不上到我家里要钱还去我岳父家调查，我自己欠的钱为什么要去骚扰我的家人，损坏家庭声誉。</t>
  </si>
  <si>
    <t>软暴力，伪造公文</t>
  </si>
  <si>
    <t>http://ts.21cn.com/tousu/show/id/1374154</t>
  </si>
  <si>
    <t>微粒贷外包催收人员冒充国家公职人员，以威胁恐吓等方式对我进行催收，在此之前我已和催收人员进行过沟通，今天下午我收到催收人员的短彩信，在经过我多方面查询此机构后，查询结果均显示无此机构信息，我要求微众银行给出合理的解释，并对我本人造成的不良影响和伤害做出诚恳的道歉和赔偿！严惩假冒公职人员，伪造文件等人员！。</t>
  </si>
  <si>
    <t>人人贷催收过份</t>
  </si>
  <si>
    <t>http://ts.21cn.com/tousu/show/id/1374152</t>
  </si>
  <si>
    <t>2019/10/19 16:53:58</t>
  </si>
  <si>
    <t>不提供相关证明证明是人人贷的工作人员或事委托人员！催款期间带有威胁的性质，说要起诉本人！还有说要上报通讯录门，联系我的家人，朋友以及居委会那边！电话骚扰！。</t>
  </si>
  <si>
    <t>马上金融催讨恐吓要联系家人与朋友</t>
  </si>
  <si>
    <t>http://ts.21cn.com/tousu/show/id/1374148</t>
  </si>
  <si>
    <t>2019/10/19 16:52:49</t>
  </si>
  <si>
    <t>由于公司在发薪日工资没有到账，致使贷款逾期了几天，对方每天多次的打电话催讨，今天更甚至说如不及时还款就马上要联系家人与朋友，我已经给对方解释了由于周六日的原因发薪顺延到星期一，到时会第一时间归还，但对方还是不依不饶恐吓说不还款就要联系家人朋友，对这种恶意催讨爆通讯录的行为执法部门一定要严加查办，如果马上金融的客服真爆了通讯录我一定会加大投诉力度！。</t>
  </si>
  <si>
    <t>多米贷砍头息暴力催收</t>
  </si>
  <si>
    <t>http://ts.21cn.com/tousu/show/id/1374150</t>
  </si>
  <si>
    <t>2019/10/19 16:52:47</t>
  </si>
  <si>
    <t>暴高利贷，砍头息，爆通讯录，借款3000，到账2500，每天给我母亲打电话10多个，给我打10多个，客服无人接听电话。</t>
  </si>
  <si>
    <t>骚扰威胁恐吓</t>
  </si>
  <si>
    <t>http://ts.21cn.com/tousu/show/id/1374147</t>
  </si>
  <si>
    <t>2019/10/19 16:52:17</t>
  </si>
  <si>
    <t xml:space="preserve">投诉人 古女士        投诉对象  捷信金融        涉诉金额  70 000 元    问题类型    诉求类型投诉详情  在捷信金融贷款7万给我办的60期 这都是捷信金融的工作人员打电话办理的 每期接近还2500左右 在我不知情的情况下办理了什么灵活还款包 还有详细的合同根本没见过 按他们要求还 我要还14万 我已经还了13期了 接近3万多 现在加利息乱七八糟的费用还要我还7万 这是高利贷 利息高于银行了 我没办法还了 为了还捷信 我还以贷养贷的还款 </t>
  </si>
  <si>
    <t>希望客服不要拖延尽快处理</t>
  </si>
  <si>
    <t>http://ts.21cn.com/tousu/show/id/1374146</t>
  </si>
  <si>
    <t>2019/10/19 16:51:53</t>
  </si>
  <si>
    <t>账号出售，平台已经验证信息，所有绑定全部解除，买家已经成功登陆并且使用，三天的换绑期，买家已经成功换绑手机，然后恶意申请申诉，伪造证据，说是号码被找回并且微信注销了，查无账号，买家是自己关闭了微信号搜索，然后再查找，做伪证，因为账号每天都在使用，游戏数据显示从购买号码开始16，玩家开始排位，17号买家说号码不能登陆，17号晚上买家期间一直在和同两个人玩游戏，这不能判断是同一个人是在使用吗，而且玩游戏是有习惯的，他三天，包括今天都在常用英雄。</t>
  </si>
  <si>
    <t>充值VIP</t>
  </si>
  <si>
    <t>http://ts.21cn.com/tousu/show/id/1374145</t>
  </si>
  <si>
    <t>2019/10/19 16:51:51</t>
  </si>
  <si>
    <t>审批额度下来之前，让充值59.9元人民币VIP说是可以享受特权，其实纯属是骗人的乱收费，VIP充值与否结果都是一样的，欺骗消费者权益，请商家退还我的所谓VIP会员费共计59.9元，并追查商家是否存在黑贷高利贷最后一张图是豆豆钱商家在黑猫投诉上三百多条投诉竟然一条都没有解决跟处理问题，黑网贷商家竟然如此猖獗，就没人能管理他们吗。</t>
  </si>
  <si>
    <t>快来借骚扰不断</t>
  </si>
  <si>
    <t>http://ts.21cn.com/tousu/show/id/1374065</t>
  </si>
  <si>
    <t>2019/10/19 16:51:37</t>
  </si>
  <si>
    <t>投诉人李先生投诉对象快来借,快来花涉诉金额1500元问题类型诉求类型投诉详情快来花，现在叫&amp;nbsp;快来借，一直电话骚扰家人朋友，15天高利贷，借1500要加300的商品，但又不发货，被套路了好几次，给他的利息比本金都多。</t>
  </si>
  <si>
    <t>钱站</t>
  </si>
  <si>
    <t>http://ts.21cn.com/tousu/show/id/1374144</t>
  </si>
  <si>
    <t>2019/10/19 16:51:30</t>
  </si>
  <si>
    <t>本人已多次申请销账！未答复，停止一个月的暴力催收后今天又开始催收威胁！请银监会给予帮助，祖国70周年之年，彻底处理这些黑网贷！。</t>
  </si>
  <si>
    <t>立借不正常利息</t>
  </si>
  <si>
    <t>http://ts.21cn.com/tousu/show/id/1374143</t>
  </si>
  <si>
    <t>2019/10/19 16:51:28</t>
  </si>
  <si>
    <t>投诉人 胥先生        投诉对象  立借        涉诉金额  13 000 元    问题类型    诉求类型投诉详情  立借借款。借款一共13000的本金。但还款前3期就基本还完了。这种利息的利率严重超过正常利率。</t>
  </si>
  <si>
    <t>逾期一天就打联系人电话！请合理合法催收</t>
  </si>
  <si>
    <t>http://ts.21cn.com/tousu/show/id/1374142</t>
  </si>
  <si>
    <t>2019/10/19 16:48:44</t>
  </si>
  <si>
    <t>今天上午和客服打电话协商是否可以宽限两天还款，客服说不行，后催收打电话同样和催收协商宽限两天至周一就是10月21号，催收直接说不行然后直接挂电话，然后直接和联系人打电话说我接电话不说话，让17点钱把欠款处理，我请问51即刻有平台催收，我什么时候接电话不说话了，你们给我打了两个电话我都接了，一个说是51即刻有，一个说是51人品贷，我都有接为什么直接打电话给联系人。</t>
  </si>
  <si>
    <t>海浪分期高利贷，砍头息</t>
  </si>
  <si>
    <t>http://ts.21cn.com/tousu/show/id/1374139</t>
  </si>
  <si>
    <t>2019/10/19 16:48:33</t>
  </si>
  <si>
    <t>投诉人杨先生投诉对象海浪分期分期涉诉金额2000元问题类型诉求类型投诉详情海浪分期套路贷，砍头息，借款1400元，6天就要还款，还款金额高达2000元，年化利率高达百分之二百六十一，非法高率贷。</t>
  </si>
  <si>
    <t>高利贷暴力催收</t>
  </si>
  <si>
    <t>http://ts.21cn.com/tousu/show/id/1374140</t>
  </si>
  <si>
    <t>2019/10/19 16:48:31</t>
  </si>
  <si>
    <t>已经还了11期了，协商减免最后一期，结果爆我通讯录。</t>
  </si>
  <si>
    <t>私欺诈消费者，隐藏条款，在不知情的情况下扣除费用</t>
  </si>
  <si>
    <t>http://ts.21cn.com/tousu/show/id/1374138</t>
  </si>
  <si>
    <t>2019/10/19 16:47:48</t>
  </si>
  <si>
    <t>骗子公司！天天有钱，挂着羊皮卖狗肉，隐藏条款，欺诈消费者，事后协商态度蛮横，不讲道理，真的是无法无天藐视国家法律。</t>
  </si>
  <si>
    <t>贷款一万元收取担保费和风险评估费1450元</t>
  </si>
  <si>
    <t>http://ts.21cn.com/tousu/show/id/1374136</t>
  </si>
  <si>
    <t>2019/10/19 16:47:35</t>
  </si>
  <si>
    <t>在如意分期上借款一万元，钱款到账后扣了一个950担保费一个500风险评估费合计1450元，国家合同法是明确禁止砍头息的，，我希望能给出合理的解释，利息合理，退还砍头息的1450元。</t>
  </si>
  <si>
    <t>利息太高，砍头息</t>
  </si>
  <si>
    <t>http://ts.21cn.com/tousu/show/id/1374137</t>
  </si>
  <si>
    <t>2019/10/19 16:47:22</t>
  </si>
  <si>
    <t>投诉人温先生投诉对象华农钱庄信息科技有限公司涉诉金额3500元问题类型诉求类型投诉详情利息太高，高于国家规定的利息，有砍头息，申请3500元，到账1925元，希望平台能给予公平的还款。</t>
  </si>
  <si>
    <t>高利贷人人贷</t>
  </si>
  <si>
    <t>http://ts.21cn.com/tousu/show/id/1374135</t>
  </si>
  <si>
    <t>2019/10/19 16:46:25</t>
  </si>
  <si>
    <t>暴力催收，恐吓，短信轰炸通讯录，对我的工作，生活造成严重影响，欠债还钱，天经地义，可以协商解决，贷款90000每月还款3662，不包括前期下款手续费5800，一直8月份都在努力偿还，确实资金出现了问题，不停骚扰我的客户，现在我工作不能正常进行，严重影响到我的客户群，没有工作收入，我更加无力偿还，。</t>
  </si>
  <si>
    <t>微粒贷一直再打我电话</t>
  </si>
  <si>
    <t>http://ts.21cn.com/tousu/show/id/1374132</t>
  </si>
  <si>
    <t>2019/10/19 16:46:14</t>
  </si>
  <si>
    <t>本人也是受害人，已经妥协分期还款，对方不听劝非要全款还，不然就威胁到我单位，还骚扰我领导，家里已经没钱，老爸也是退休工人，已离婚就为还款，但是对方死咬不放，希望相关部门做出有力的办法。</t>
  </si>
  <si>
    <t>U钱包高额利息，暴力催收，爆通讯录，协商还款，没有结果</t>
  </si>
  <si>
    <t>http://ts.21cn.com/tousu/show/id/1374134</t>
  </si>
  <si>
    <t>2019/10/19 16:46:13</t>
  </si>
  <si>
    <t>今年4月份U钱包借款15000，到还款金额却显示18552.96元，设置了9期还款，每期还款2223.01元，还款总额20000多，打电话问客服，美其名曰是服务费，现在已经还了5期，11115元了，跟客服打电话，跟客服协商降低点利息再偿还款5000元，客服一直没给回话，今天开始爆通讯录，打到了上班的地方。</t>
  </si>
  <si>
    <t>卡牛瑞贷不及时销账</t>
  </si>
  <si>
    <t>http://ts.21cn.com/tousu/show/id/1374131</t>
  </si>
  <si>
    <t>2019/10/19 16:46:05</t>
  </si>
  <si>
    <t>本人几天前已全部结清卡牛瑞贷里的素有借款，且将截图上传给了客服和相关对接人员，可是App里面却迟迟显示未销账，依然要求10月21日还款当期，本人已结清在卡牛的所有欠款却仍显示需要还款，试问因卡牛单方引起的本人逾期，到时候该如何处理。</t>
  </si>
  <si>
    <t>不知道的情况下被扣走钱</t>
  </si>
  <si>
    <t>http://ts.21cn.com/tousu/show/id/1374130</t>
  </si>
  <si>
    <t>2019/10/19 16:45:29</t>
  </si>
  <si>
    <t>我查银行流水的时候发现在2017.2.28到3.29一个月内被银盛通信重庆分公司扣走了48250元。</t>
  </si>
  <si>
    <t>平安银行</t>
  </si>
  <si>
    <t>http://ts.21cn.com/tousu/show/id/1374129</t>
  </si>
  <si>
    <t>2019/10/19 16:44:31</t>
  </si>
  <si>
    <t>平安银行信用卡，催收无限骚扰，严重影响工作。</t>
  </si>
  <si>
    <t>公司业务员办理的时候说利息低没有附加费，等你用上了利息高，名目繁多的不合理收费。收取高额的管理费暗含砍头息。</t>
  </si>
  <si>
    <t>http://ts.21cn.com/tousu/show/id/1374128</t>
  </si>
  <si>
    <t>2019/10/19 16:44:16</t>
  </si>
  <si>
    <t>展业达人公司叫业务员给我办理的时候说利息低没有附加费方便，现在借上钱了利息高附加费用高，超出半天时间就开始骚扰你的亲朋好友败坏你的名声到处打电话。</t>
  </si>
  <si>
    <t>立借，叮当想花欺诈，暴力催收</t>
  </si>
  <si>
    <t>http://ts.21cn.com/tousu/show/id/1374124</t>
  </si>
  <si>
    <t>2019/10/19 16:43:19</t>
  </si>
  <si>
    <t>本人在&amp;quot;立借&amp;quot;平台借款2600元，7天后还款2700元，现在有一家叫&amp;quot;叮当想花&amp;quot;的公司，说我没有还款，一直打电话骚扰。</t>
  </si>
  <si>
    <t>高利贷，砍头利息</t>
  </si>
  <si>
    <t>http://ts.21cn.com/tousu/show/id/1374127</t>
  </si>
  <si>
    <t>2019/10/19 16:43:14</t>
  </si>
  <si>
    <t>1.借款协议与实际到账金额不一致，存在砍头利息：借款实际到账金额为4300元，借款协议金额为5719元，2.实际利率太高：实际还款金额为6521元，实际年利率206.6%。</t>
  </si>
  <si>
    <t>有多个商户多收了我除利息外额外的扣款，要求是否能沟通处理退还我部分多收的金额</t>
  </si>
  <si>
    <t>http://ts.21cn.com/tousu/show/id/1374126</t>
  </si>
  <si>
    <t>2019/10/19 16:42:36</t>
  </si>
  <si>
    <t>卡号：62****************22019/3/3。</t>
  </si>
  <si>
    <t>抖音诱导下载，苹果手机行应用商店利用指纹下载方式连带订阅费一同支付，误导消费者在不知情的情况下错误消费。</t>
  </si>
  <si>
    <t>http://ts.21cn.com/tousu/show/id/1374125</t>
  </si>
  <si>
    <t>2019/10/19 16:42:32</t>
  </si>
  <si>
    <t>利用使用者日常操作习惯及免密支付方式进行下载连同支付订阅。</t>
  </si>
  <si>
    <t>贷款问题</t>
  </si>
  <si>
    <t>http://ts.21cn.com/tousu/show/id/1374123</t>
  </si>
  <si>
    <t>2019/10/19 16:41:38</t>
  </si>
  <si>
    <t>因本人最近身体不适，不能工作，还要治病，收入减少，希望平台能减少利息一次性结清，工作人员却说无法协商，今天不还钱就要联系我家人，亲戚，朋友，对本人造成惊吓，导致本人心率过快，心慌难受，如继续恐吓导致住院，将会追究你我贷平台的医疗费和精神费用。</t>
  </si>
  <si>
    <t>玖富万卡擅自改写合同，变相收取费用，高利贷</t>
  </si>
  <si>
    <t>http://ts.21cn.com/tousu/show/id/1374121</t>
  </si>
  <si>
    <t>2019/10/19 16:41:19</t>
  </si>
  <si>
    <t>投诉人 肖先生        投诉对象  玖富万卡        涉诉金额  15 000 元    问题类型    诉求类型投诉详情  高额利息。砍头息。强制购买保险。强烈要求退还保险费用以及高额利息</t>
  </si>
  <si>
    <t>我来贷提前还款没有减免利息</t>
  </si>
  <si>
    <t>http://ts.21cn.com/tousu/show/id/1374122</t>
  </si>
  <si>
    <t>2019/10/19 16:41:00</t>
  </si>
  <si>
    <t>我来贷利息太高，本想有闲钱就进行提前还款抵消，但提前还款息费还比原来高，希望给个方案结清这笔费用。</t>
  </si>
  <si>
    <t>网信理财提现不到账</t>
  </si>
  <si>
    <t>http://ts.21cn.com/tousu/show/id/1374120</t>
  </si>
  <si>
    <t>2019/10/19 16:40:51</t>
  </si>
  <si>
    <t>网信理财平台上还有余额218.02，我2019年10月14申请提现，说是3天到账，现在还没到呢。</t>
  </si>
  <si>
    <t>小花钱包恶意骚扰电话短信恐吓通讯录好友</t>
  </si>
  <si>
    <t>http://ts.21cn.com/tousu/show/id/1374119</t>
  </si>
  <si>
    <t>2019/10/19 16:40:50</t>
  </si>
  <si>
    <t>逾期情况，是由于一直正常还款后，发现合同出现问题，年化率远超国家规定，实为恶意高利贷，而对方平台在此后没有进行及时解释。</t>
  </si>
  <si>
    <t>浙江航天电子信息产业有限公司提供违规支付</t>
  </si>
  <si>
    <t>http://ts.21cn.com/tousu/show/id/1374118</t>
  </si>
  <si>
    <t>2019/10/19 16:40:33</t>
  </si>
  <si>
    <t>本人在今年7月至9月期间，在网上被网络广告，以为是被相关部门认可的正规彩票购买渠道并通过银联在线支付（收单机构:（浙江航天电子信息产业有限公司）进行充值，从第一次充值，3个月的时间，损失了7000多元 ，后来才发现这是境外非法博彩平台，而浙江航天电子信息产业有限公司为赌博平台提供通道，以至于我损失7000多元，宣传营销人员诱骗以做兼职，赚流水等理由被人拉进兼职群，说以购买彩票方式赚取佣金，后在充值页面发现可以通过中国银联官方渠道进行正规线上支付，而且对应的收单机构均为有着正规的支付牌照公司，以为是被相关部门</t>
  </si>
  <si>
    <t>投诉维信卡卡贷暴力催收</t>
  </si>
  <si>
    <t>http://ts.21cn.com/tousu/show/id/1374117</t>
  </si>
  <si>
    <t>2019/10/19 16:40:26</t>
  </si>
  <si>
    <t>今天卡卡贷催收人员网上盗取我的信息，整个下午不间断打电话给我公司。</t>
  </si>
  <si>
    <t>交易猫客服忽悠人</t>
  </si>
  <si>
    <t>http://ts.21cn.com/tousu/show/id/1374109</t>
  </si>
  <si>
    <t>2019/10/19 16:40:25</t>
  </si>
  <si>
    <t>买账号的时候，客服说买保险没用，所以就没买，现在卖家收到钱了，账号也找回了，我也没地方仲裁去了。</t>
  </si>
  <si>
    <t>来分期拖延开具结清证明</t>
  </si>
  <si>
    <t>http://ts.21cn.com/tousu/show/id/1374115</t>
  </si>
  <si>
    <t>2019/10/19 16:39:58</t>
  </si>
  <si>
    <t>本人十天前在来分期结清了一笔贷款，现向该平台索要结清证明，结果一再拖延，每次找客服客服都百般推脱，实在忍无可忍，且就因为该平台迟迟不开具结清证明导致本人无法顺利买房。</t>
  </si>
  <si>
    <t>你我贷暴力催收，还威胁，打了很多客服电话都是不记得，还说我不联系他们，每次都是无人接听，还发了律师函，本人有意和你们协商</t>
  </si>
  <si>
    <t>http://ts.21cn.com/tousu/show/id/1374116</t>
  </si>
  <si>
    <t>2019/10/19 16:39:56</t>
  </si>
  <si>
    <t>投诉人 钟先生        投诉对象  你我贷        涉诉金额  8 000 元    问题类型    诉求类型投诉详情  每次要协商都是无法接通？还说我拒绝接听你们自己看看我的回拨</t>
  </si>
  <si>
    <t>腾讯魔方工作室手游妖精的尾巴虚假宣传</t>
  </si>
  <si>
    <t>http://ts.21cn.com/tousu/show/id/1374114</t>
  </si>
  <si>
    <t>2019/10/19 16:38:50</t>
  </si>
  <si>
    <t>第一：游戏方在初期进行游戏宣传是大量宣传游戏是自由交易，，新华词典等得知自由的释义是不受限制和阻碍），但是游戏运营是大量对玩家正常交易所得进行永久冻结处理，请问自由的释义是什么，根据百度百科、新华词典等得知：自由的释义是不受限制和阻碍，第二：游戏客服指责玩家没有按照规定的价格交易商品，请问玩家并非官方后台没有无法获取游戏内平均数据如何按照平台要求摆放指定价格，第三游戏内对新上线内容“研究所”抽奖概率未进行公布，至少我在官网已经游戏内寻找并未找到，试问游戏方是否违反了2017年12月6日文化部发布了《文化部关</t>
  </si>
  <si>
    <t>中信银行拒绝协商还款</t>
  </si>
  <si>
    <t>http://ts.21cn.com/tousu/show/id/1374113</t>
  </si>
  <si>
    <t>2019/10/19 16:38:02</t>
  </si>
  <si>
    <t>我名下中信信用卡原额度为1万元，今年以来中信银行一直打电话以低息为诱导，引导贷款，逾期后一直都主动还款，由于负债问题没有全额还完，根据《商业银行信用卡业务监督管理办法》第七十条规定：在特殊情况下，确认信用卡欠款金额超出持卡人还款能力、且持卡人仍有还款意愿的，发卡银行可以与持卡人平等协商，达成个性化分期还款协议，现只是希望和银行协商还款的方式，让我能够度过这个难关，免受逾期和滞纳金、利息的困扰，我本人工作稳定，每月可以保障正常的分期还款。</t>
  </si>
  <si>
    <t>客服套路开通会员</t>
  </si>
  <si>
    <t>http://ts.21cn.com/tousu/show/id/1374112</t>
  </si>
  <si>
    <t>2019/10/19 16:37:50</t>
  </si>
  <si>
    <t>投诉人 张先生        投诉对象  优花花        涉诉金额  99 元    问题类型    诉求类型投诉详情  今天接到一个优享分期的短信 就注册了下 没多久就接到一个电话 让我关注小优人工说保证能下款 让交会员费 可是交完还是一个贷款超市 能不能把会员费退给我 我用不起你这个超市</t>
  </si>
  <si>
    <t>网络高利贷暴力催收</t>
  </si>
  <si>
    <t>http://ts.21cn.com/tousu/show/id/1374111</t>
  </si>
  <si>
    <t>2019/10/19 16:37:44</t>
  </si>
  <si>
    <t>投诉人 李先生        投诉对象  既有钱包        涉诉金额  792 元    问题类型    诉求类型投诉详情  网络高利贷暴力催收 电话骚扰 威胁恐吓 家人 给本人造成了严重的影响 望有关部门帮忙处理 实在受不了这压力了</t>
  </si>
  <si>
    <t>酒店服务太差</t>
  </si>
  <si>
    <t>http://ts.21cn.com/tousu/show/id/1374110</t>
  </si>
  <si>
    <t>2019/10/19 16:37:14</t>
  </si>
  <si>
    <t>投诉人邓女士投诉对象九江威尼斯花园酒店涉诉金额188元问题类型诉求类型投诉详情从携程上在贵酒店订了房间，联系酒店前台想了解一下情况，但是前台态度很恶劣，莫名其妙一接电话就骂人，而且骂的很难听太度非常恶劣，后面在打就不接电话，一直不接了。</t>
  </si>
  <si>
    <t>（特约）斯特半夜无故扣款，请求退还我血汗钱</t>
  </si>
  <si>
    <t>http://ts.21cn.com/tousu/show/id/1374108</t>
  </si>
  <si>
    <t>2019/10/19 16:36:24</t>
  </si>
  <si>
    <t>斯特这个商户无卡自助消费9笔共25000元钱，这个商户不需要我提供验证码就直接转走了我的钱，我之前从来没有和这个商户联系过，甚至都不知道这是干什么的！请求这个商户退还我的血汗钱。</t>
  </si>
  <si>
    <t>中邮消费人员态度恶劣四处打电话</t>
  </si>
  <si>
    <t>http://ts.21cn.com/tousu/show/id/1374106</t>
  </si>
  <si>
    <t>2019/10/19 16:35:37</t>
  </si>
  <si>
    <t>我现在遇到困难，月底给，要扣利息我也给，中邮消费四处打电话，威胁，有录音做证。</t>
  </si>
  <si>
    <t>暴力催收！拍拍贷</t>
  </si>
  <si>
    <t>http://ts.21cn.com/tousu/show/id/1374105</t>
  </si>
  <si>
    <t>2019/10/19 16:35:07</t>
  </si>
  <si>
    <t>未经本人同意非法读取本人通讯录！恶意骚扰！我逾期了打电话和平台沟通说月底还款！但是催收打电话过来态度恶劣！言语侮辱！对本人造成了极大的困扰！如果还得不到有效的处理我只能打银监询问了！。</t>
  </si>
  <si>
    <t>拍拍贷高利贷</t>
  </si>
  <si>
    <t>http://ts.21cn.com/tousu/show/id/1374104</t>
  </si>
  <si>
    <t>2019/10/19 16:34:55</t>
  </si>
  <si>
    <t>本人在拍拍贷借了4000千多，前短时间陆续还了一些，但利息太高无力偿还就选择强制上岸，但他们不停的暴力催债，现在告诉我要准备9000上我家收款，总额加利息居然滚的这么高，就没人管管吗。</t>
  </si>
  <si>
    <t>卡卡贷在还款日当天没有扣款成功，就要收取我100元的逾期费用</t>
  </si>
  <si>
    <t>http://ts.21cn.com/tousu/show/id/1374095</t>
  </si>
  <si>
    <t>2019/10/19 16:34:05</t>
  </si>
  <si>
    <t>投诉人白先生投诉对象卡卡贷涉诉金额100元问题类型诉求类型投诉详情18号为我的还款日，在18日卡内余额充足，操作主动还款不成功，我就等待系统扣款，然而在19号上午我看到显示的逾期中，而且还款金额多出了100元，咨询客服，说是扣款失败的违约金，难道你们没有扣款成功，就让我承担这笔费用吗，请给我合理的解释，有什么问题，请联系186******71，当时注册微信卡卡贷的手机号已经不在使用。</t>
  </si>
  <si>
    <t>联动云不退款</t>
  </si>
  <si>
    <t>http://ts.21cn.com/tousu/show/id/1374103</t>
  </si>
  <si>
    <t>2019/10/19 16:34:03</t>
  </si>
  <si>
    <t>2019年7月30日在联动云租车出去撞车了。</t>
  </si>
  <si>
    <t>一直扣款不成功，拖到产生催收费</t>
  </si>
  <si>
    <t>http://ts.21cn.com/tousu/show/id/1374102</t>
  </si>
  <si>
    <t>2019/10/19 16:33:54</t>
  </si>
  <si>
    <t>投诉人王先生投诉对象我来数科,我来贷涉诉金额300元问题类型诉求类型投诉详情银行卡里有钱，自动扣款失败，主动还款失败，导致产生了催收费，客服一直拖时间，我提供了网银流水，又说我有P图痕迹需要提供柜台盖章纸质流水单。</t>
  </si>
  <si>
    <t>投诉津康生物减肥产品</t>
  </si>
  <si>
    <t>http://ts.21cn.com/tousu/show/id/1374101</t>
  </si>
  <si>
    <t>2019/10/19 16:33:22</t>
  </si>
  <si>
    <t>于2019年9月9号，从网络上添加了营养体重管理师，微信号：sst5745，9月21日添加了其微信小号AAA营养体重管理师，该人说可以根据体质进行调理，当时和这个体重管理师再三确认，是否根据她说的买这个产品调理25天就会有效果，当事人说是的，9月16日微信支付200元的定金，货到付款618元，一共3次转账记录，使用调理产品一周后，说我进入减重阶段，需要购买减重产品，普通浓度是2268元，高浓度的是2584元，当时选了高浓度的，减肥心切，使用了一周左右还是没有效果，然后对方就说要我拍图片过去给他们分析，分析完</t>
  </si>
  <si>
    <t>闪银套路贷</t>
  </si>
  <si>
    <t>http://ts.21cn.com/tousu/show/id/1374099</t>
  </si>
  <si>
    <t>2019/10/19 16:32:18</t>
  </si>
  <si>
    <t>借款1000元到手只有700余元钱，其中的至尊借款除了扣除服务费用还会要求强制购物，其利息相当可怕，严重超出国家规定利息。</t>
  </si>
  <si>
    <t>钱站阴阳合同，要求终止合同</t>
  </si>
  <si>
    <t>http://ts.21cn.com/tousu/show/id/1374096</t>
  </si>
  <si>
    <t>2019/10/19 16:29:18</t>
  </si>
  <si>
    <t>钱站合同上说的1750元，到账只有1000多出750元，以还前两期，要求终止合同。</t>
  </si>
  <si>
    <t>一天几十个电话，态度还不好</t>
  </si>
  <si>
    <t>http://ts.21cn.com/tousu/show/id/1374094</t>
  </si>
  <si>
    <t>2019/10/19 16:29:12</t>
  </si>
  <si>
    <t>投诉人 伍先生        投诉对象  你我贷        涉诉金额  1 500 元    问题类型    诉求类型投诉详情  每天几十个电话催收，态度还差，望停止骚扰</t>
  </si>
  <si>
    <t>淘集集申请退店，一个月了未给处理</t>
  </si>
  <si>
    <t>http://ts.21cn.com/tousu/show/id/1374093</t>
  </si>
  <si>
    <t>2019/10/19 16:28:59</t>
  </si>
  <si>
    <t>本人在淘集集平台开了店铺，于9月14日申请了退店，平台承诺30天内处理并且退回2000元的保证金，至今未处理，希望能够通过贵平台得到处理。</t>
  </si>
  <si>
    <t>苏宁易购退店，一直不处理，进度条一直不有进展，不退保证金。</t>
  </si>
  <si>
    <t>http://ts.21cn.com/tousu/show/id/1374092</t>
  </si>
  <si>
    <t>2019/10/19 16:28:43</t>
  </si>
  <si>
    <t>，然后问了客服说10个工作日处理，重10月1号到10月19号了确一直没处理，迟迟不进展做出退款，苏宁易购方面一直不处理，工作人员互相推诿，进度条居然一直都没进展，早就听说苏宁退店，一直扣押保证金，没想到是真的，请尽快处理。</t>
  </si>
  <si>
    <t>微粒贷多次爆通讯录及威胁爆通讯录，联系第三方</t>
  </si>
  <si>
    <t>http://ts.21cn.com/tousu/show/id/1374090</t>
  </si>
  <si>
    <t>2019/10/19 16:26:39</t>
  </si>
  <si>
    <t>因家庭原因无法急时处理欠款，并已打客服电话解释过，前期微粒贷多次爆通讯录，这次又威胁我联系第三方，不知道正规银行现在是怎么做的。</t>
  </si>
  <si>
    <t>淘集集以各种理由不退还商家保证金</t>
  </si>
  <si>
    <t>http://ts.21cn.com/tousu/show/id/1374089</t>
  </si>
  <si>
    <t>2019/10/19 16:25:44</t>
  </si>
  <si>
    <t>入驻了淘集集，就卖了200来块钱货款就听说淘集集信誉不好欺诈商家货款我就下架了商品，直到最近才看提现真的一直都不到账一直显示财务审核中已经几个月了也申请不了退店，我找客服客服一直敷衍要不就是直接不回复，我也和客服明确说了我就是小卖家货款几十块不要了希望2000保证金还我，但是客服一直不解决下面有和客服聊天的纪录。</t>
  </si>
  <si>
    <t>乐意花暴通讯录，只逾期一天，并且第二天就还上了，不给协商余地，严重违反国家规定</t>
  </si>
  <si>
    <t>http://ts.21cn.com/tousu/show/id/1374088</t>
  </si>
  <si>
    <t>2019/10/19 16:25:31</t>
  </si>
  <si>
    <t>乐意花，在逾期一天情况下，并且已经得到我的回复，第二天还上了，随意打通讯录里人的电话，态度嚣张！不予协商！现要求该公司作出道歉，并给予赔偿！且该公司利率严重违反国家规定！暴通讯有家人和朋友可以作证！。</t>
  </si>
  <si>
    <t>通联支付为多家714套路贷提供支付渠道拒不处理</t>
  </si>
  <si>
    <t>http://ts.21cn.com/tousu/show/id/1374087</t>
  </si>
  <si>
    <t>2019/10/19 16:25:26</t>
  </si>
  <si>
    <t>通联支付为多家714套路贷提供支付渠道，违规扣取坎头息，包庇纵容，拒不处理，微现金589，分期还1401，两家平台已投诉半年有余，通联既不回电，又不处理，商户也无联系，请问通联除了认得钱，还认得什么。</t>
  </si>
  <si>
    <t>拍拍贷暴力催收</t>
  </si>
  <si>
    <t>http://ts.21cn.com/tousu/show/id/1374085</t>
  </si>
  <si>
    <t>2019/10/19 16:24:49</t>
  </si>
  <si>
    <t>拍拍贷借了4800分十二期，期间愈期了，他们就把十二期的利息算成本金，就变成6000多，然后就把着这6000多作为本金继续算愈期利息，现在7000多快8000了，协商还也不行，今天找人来威胁我说要来我家，叫我爹妈在家里等着。</t>
  </si>
  <si>
    <t>要求创客工具箱撤销对我微信号的达标</t>
  </si>
  <si>
    <t>http://ts.21cn.com/tousu/show/id/1374084</t>
  </si>
  <si>
    <t>2019/10/19 16:24:42</t>
  </si>
  <si>
    <t>发现微信号被打标了，我微信号一直使用，没有任何违规现象，也没有欺骗过别人，却被别人在第三方软件标记了，凭什么这样标记我的微信号，理由是什么，我要求创客工具箱恢复我账号的名誉，取消打标。</t>
  </si>
  <si>
    <t>招商银行信用卡上门</t>
  </si>
  <si>
    <t>http://ts.21cn.com/tousu/show/id/1374083</t>
  </si>
  <si>
    <t>2019/10/19 16:24:40</t>
  </si>
  <si>
    <t>经邻居反映，今日有两个人上门，一顿敲门，喊我和我母亲的名字，态度恶劣，由于家中没有人，还说知道家里有人不开门，以后天天来，让邻居都知道，父亲身体不好，心脏病脑血栓，本人抑郁症，焦虑症，随时都想结束自己的生命，但是想到得积极还钱，所以一直在想办法挣钱，逾期是我不对，但是让周围人受到惊吓的行为是不妥的。</t>
  </si>
  <si>
    <t>闪银违规收取费用及暴力催收</t>
  </si>
  <si>
    <t>http://ts.21cn.com/tousu/show/id/1374082</t>
  </si>
  <si>
    <t>2019/10/19 16:24:00</t>
  </si>
  <si>
    <t>我从2016年开始一直都在借闪银的借款，一直持续了好几年，现在累计借款108笔，已还清金额累计20万左右，现在还欠3500左右，催收的电话态度很强硬，威胁爆通信录，希望可以整改并且退回我这几年多收的利息，谢谢，我的手机号码136******41。</t>
  </si>
  <si>
    <t>新橙优品高额砍头息和罚息暴力催收</t>
  </si>
  <si>
    <t>http://ts.21cn.com/tousu/show/id/1374080</t>
  </si>
  <si>
    <t>2019/10/19 16:23:49</t>
  </si>
  <si>
    <t>本人在2019年5月22日向新橙优品借了3000，等到账的时候在发现只有到账2525.29元，然后新橙优品那边就开始轰炸我通讯录和发一些不良短信。</t>
  </si>
  <si>
    <t>闪电借款变相收取高额砍头息不接受协商还款</t>
  </si>
  <si>
    <t>http://ts.21cn.com/tousu/show/id/1374079</t>
  </si>
  <si>
    <t>2019/10/19 16:23:48</t>
  </si>
  <si>
    <t>从2017年至今已经在闪电借款，借款并结清了43笔没笔几百到一千多的砍头息，购买黑卡费用1500元要提前支付后到账6000元，自2017年至今总金额达74047元被平台变相扣掉的砍头息远远超过了借款本金，今天是还款期本人因资金周转困难无法按时还款找客服申请协商还款和延期，客服态度强硬说不可以协商以下是本人2017年至今的借款借钱记录以及本次被扣掉砍头息和到账金额。</t>
  </si>
  <si>
    <t>被非法自动扣款</t>
  </si>
  <si>
    <t>http://ts.21cn.com/tousu/show/id/1374081</t>
  </si>
  <si>
    <t>2019/10/19 16:23:40</t>
  </si>
  <si>
    <t>2019年10月19日上午8时01分，被讯联智付，非法自动扣款3笔共299元，1笔49元，1笔150元，1笔100元，要求立即退款，立即停止非法自动扣款，立即注销个人信息。</t>
  </si>
  <si>
    <t>暴力催收，老人身体不好，孩子老师朋友父母</t>
  </si>
  <si>
    <t>http://ts.21cn.com/tousu/show/id/1374061</t>
  </si>
  <si>
    <t>2019/10/19 16:23:06</t>
  </si>
  <si>
    <t>投诉人陆女士投诉对象搜狗借钱涉诉金额19000元问题类型诉求类型投诉详情家里爷爷奶奶都已经是70.80岁的了身体都不好高血压心脏病，搜狗借钱一直爆通讯录，还有孩子学校的老师也不放过，通讯录直接标明的是老师，他们还是不停的打电话，不分时间，朋友睡觉的时候也不停的打电话，语气恐吓，不是不还钱，请不要恶语伤人，不要打扰家里老人跟朋友，不要去恐吓他们。</t>
  </si>
  <si>
    <t>来分期骚扰</t>
  </si>
  <si>
    <t>http://ts.21cn.com/tousu/show/id/1374078</t>
  </si>
  <si>
    <t>2019/10/19 16:23:00</t>
  </si>
  <si>
    <t>投诉人 张先生        投诉对象  来分期        涉诉金额  0 元    问题类型    诉求类型投诉详情  一天四五个 五六个骚扰电话 天天打 严重影响到个人生活</t>
  </si>
  <si>
    <t>钱站App阴阳合同</t>
  </si>
  <si>
    <t>http://ts.21cn.com/tousu/show/id/1374064</t>
  </si>
  <si>
    <t>2019/10/19 16:22:37</t>
  </si>
  <si>
    <t>钱站APP，顶风作案，国家明令禁止砍头息，钱站却还在做，在钱站上借款3000元，到手后合同上显示借款3900元，3个月一个月要还1480元，这明显的高利贷，我现在以在此投诉要求钱站做出合理的解释，并且与我进行协商，在合理范围内尝还本金与利息。</t>
  </si>
  <si>
    <t>购买产品给我发个空盒子客服态度差的很</t>
  </si>
  <si>
    <t>http://ts.21cn.com/tousu/show/id/1374077</t>
  </si>
  <si>
    <t>2019/10/19 16:22:32</t>
  </si>
  <si>
    <t>投诉人 白先生        投诉对象  拼多多        涉诉金额  19 元    问题类型    诉求类型投诉详情  我在拼多多里面买了一个水杯。今天去拿快递发现里面是空的。询问客服情况！客服半天回复说缺货。 给补发！ 这不是欺骗消费者吗？ 发个空盒子。不问他们！是不是什么事都没有啊。 还说有给我打电话。我没收到一个电话！</t>
  </si>
  <si>
    <t>洋钱罐砍头息</t>
  </si>
  <si>
    <t>http://ts.21cn.com/tousu/show/id/1374075</t>
  </si>
  <si>
    <t>2019/10/19 16:22:22</t>
  </si>
  <si>
    <t>我在现金借款5000元，结果有一个保险费371，我要求退还保险费。</t>
  </si>
  <si>
    <t>被捷信催收人员骚扰</t>
  </si>
  <si>
    <t>http://ts.21cn.com/tousu/show/id/1374074</t>
  </si>
  <si>
    <t>2019/10/19 16:21:42</t>
  </si>
  <si>
    <t>经济困难，导致逾期，被捷信人员暴力催收，上门骚扰，打乱正常生活，要求道歉。</t>
  </si>
  <si>
    <t>我来贷暴力催收</t>
  </si>
  <si>
    <t>http://ts.21cn.com/tousu/show/id/1374060</t>
  </si>
  <si>
    <t>2019/10/19 16:21:31</t>
  </si>
  <si>
    <t>投诉人张先生投诉对象我来贷,我来数抖涉诉金额9122元问题类型诉求类型投诉详情我来贷公司逾期一天增加100，三天超额逾期费300多，高利贷，非法催收，每天骚扰本人和亲戚朋友，联系人等，对我的名誉造成了影响，我妈现在已经被气的卧倒在床，我痛恨他们，为什么网络暴力不是暴力！你们这辈子都会下地狱的。</t>
  </si>
  <si>
    <t>闪银瞬瞬暴力催收</t>
  </si>
  <si>
    <t>http://ts.21cn.com/tousu/show/id/1374073</t>
  </si>
  <si>
    <t>2019/10/19 16:20:45</t>
  </si>
  <si>
    <t>本人在闪银里借了一笔瞬瞬贷1000，由于资金紧张，未能还款，闪银瞬瞬贷催收人员进行暴力催收，威胁爆我通讯录，不停打电话骚扰，严重影响工作。</t>
  </si>
  <si>
    <t>平安普惠公司的电话骚扰！</t>
  </si>
  <si>
    <t>http://ts.21cn.com/tousu/show/id/1374070</t>
  </si>
  <si>
    <t>2019/10/19 16:19:31</t>
  </si>
  <si>
    <t>投诉平安普惠今天第三天，平安普惠公司没有作出任何的沟通，还是一直的打电话骚扰，如果你是正规我麻烦你直接去起诉，不要一直打电话给紧急联系人，从今天开始只要是平安普惠的电话打给我，我开口就骂催收的全家死！。</t>
  </si>
  <si>
    <t>快钱支付与28个714套路贷商户勾结扣取坎头息</t>
  </si>
  <si>
    <t>http://ts.21cn.com/tousu/show/id/1374071</t>
  </si>
  <si>
    <t>2019/10/19 16:19:24</t>
  </si>
  <si>
    <t>快钱支付，为两千多个714套路贷商户提供支付渠道，合谋扣取坎头息，我两张卡中共有15万快钱流水，坎头息高达五万，自三月投诉至今，既不联系我，又不通知商户，各种理由推脱扯皮，先称需要一个月去找商户，后称需要一个月查账，再称需要一个月告知商户，后称商户不合作了，你随便报警吧　支付机构应当确保交易信息的真实性、完整性、可追溯性以及在支付全流程中的一致性，不得篡改或者隐匿交易信息，快钱助纣为虐，勾结两千多家套路贷扣取大量坎头息的行为已引起公愤。</t>
  </si>
  <si>
    <t>钱站高利贷</t>
  </si>
  <si>
    <t>http://ts.21cn.com/tousu/show/id/1374069</t>
  </si>
  <si>
    <t>2019/10/19 16:19:12</t>
  </si>
  <si>
    <t>本人上9月27号申请提现一笔7000元的借款，后面急用钱给父母看病，电话催了好多次没有到账，后面给在线客服说7号不到就取消了，客服说到账24小时后才能取消，后面手机停机了，今天充值一下手机看到到9号账短信了，因为父母看病借了亲戚的钱和高利贷，今天赶紧打电话给客服说能不能取消他说帮忙申请一下不能保证成功现在钱在卡上不敢用，一旦用到时候还不上，也会给你们带来麻烦，希望帮我取消一下，我愿意承担这10天的利息，谢谢了。</t>
  </si>
  <si>
    <t>无缘无故被扣款？</t>
  </si>
  <si>
    <t>http://ts.21cn.com/tousu/show/id/1374068</t>
  </si>
  <si>
    <t>2019/10/19 16:19:09</t>
  </si>
  <si>
    <t>我交通银行卡内被无故刷走3万多，银行让我找易宝支付，我就想知道没有密码没有银行卡为什么还能盗走我的钱。</t>
  </si>
  <si>
    <t>造艺科技旗下百事普惠乱扣费</t>
  </si>
  <si>
    <t>http://ts.21cn.com/tousu/show/id/1374067</t>
  </si>
  <si>
    <t>2019/10/19 16:18:08</t>
  </si>
  <si>
    <t>不知道从哪里下载了这个app，莫名其妙给我生成了什么风险评估报告，我并未申请风险评估报告并未勾选付款，然后未经我同意扣了我299块钱，并且这个app我删了后再也找不到下载途径，任何地方都搜索不到，我并未获得什么实质的服务，却扣了我299块钱，我要求退钱。</t>
  </si>
  <si>
    <t>还呗违约金过高</t>
  </si>
  <si>
    <t>http://ts.21cn.com/tousu/show/id/1374066</t>
  </si>
  <si>
    <t>2019/10/19 16:17:26</t>
  </si>
  <si>
    <t>投诉人 李女士        投诉对象  还呗        涉诉金额  160 元    问题类型    诉求类型投诉详情  最后一期违约金过高利息过高违约金过高</t>
  </si>
  <si>
    <t>投诉酷宝给违规商户提供支付结算</t>
  </si>
  <si>
    <t>http://ts.21cn.com/tousu/show/id/1374051</t>
  </si>
  <si>
    <t>2019/10/19 16:17:09</t>
  </si>
  <si>
    <t>2019年3月，央行发布的《关于进一步加强支付结算管理防范电信网络新型违法犯罪有关事项的通知》，强调，收单机构不得直接或变相为互联网赌博、色情平台，互联网销售彩票平台，非法外汇、贵金属投资交易平台，非法证券期货类交易平台，代币发行融资及虚拟货币交易平台，未经监管部门批准通过互联网开展资产管理业务以及未取得省级政府批文的大宗商品交易场所等非法交易提供支付结算服务，而在此前，央行也制定了《非银行支付机构网络支付业务管理办法》和《支付机构反洗钱和反恐怖融资管理办法》，要求支付机构要及时跟进核查商户信息。</t>
  </si>
  <si>
    <t>没有失联却要骚扰我亲戚朋友，明确表明有还款意愿。</t>
  </si>
  <si>
    <t>http://ts.21cn.com/tousu/show/id/1374063</t>
  </si>
  <si>
    <t>2019/10/19 16:17:05</t>
  </si>
  <si>
    <t>没有失联，却要骚扰亲朋好友，明确有还款意愿，目前困难，这样会害的本人失去工作。</t>
  </si>
  <si>
    <t>暴击催收</t>
  </si>
  <si>
    <t>http://ts.21cn.com/tousu/show/id/1374062</t>
  </si>
  <si>
    <t>2019/10/19 16:16:03</t>
  </si>
  <si>
    <t>投诉人 赵先生        投诉对象  速想惠        涉诉金额  3 000 元    问题类型    诉求类型投诉详情  暴击催收 骚扰 没到还款日各种打电话 语气态度恶劣</t>
  </si>
  <si>
    <t>我要投诉北京焱华励尚公司辞退员工不予工资和赔偿</t>
  </si>
  <si>
    <t>http://ts.21cn.com/tousu/show/id/1374059</t>
  </si>
  <si>
    <t>2019/10/19 16:15:17</t>
  </si>
  <si>
    <t>北京焱华励尚公司辞退员工，不给予任何的赔偿，按照劳动法，公司辞退员工应该给予一定的赔偿，我们当时是签订劳动合同的，但是现在找不到公司领导，没人给予解决这件事情，公司不在当地，所以没法找到公司。</t>
  </si>
  <si>
    <t>途牛旅游退款</t>
  </si>
  <si>
    <t>http://ts.21cn.com/tousu/show/id/1374058</t>
  </si>
  <si>
    <t>2019/10/19 16:14:20</t>
  </si>
  <si>
    <t>本人于2019年9月25日在途牛旅游抱团计划十一出游，当国庆当日上海因台风天气航班取消，途牛旅游一开始客服告知需要7～15个工作日会退还机票费用，昨天，打电话告知需要3～6个月才能退还机票费用，期间只退还了旅行费用，对于这种36个月才能退机票费用的可笑的说辞我无法接受，请途牛立即退款，昨日今日我已经打了N多个电话，他们的客服来来回回只说让我耐心等待3～6个月退款。</t>
  </si>
  <si>
    <t>拼多多商户为开心棋牌游戏平台收款，要求退回</t>
  </si>
  <si>
    <t>http://ts.21cn.com/tousu/show/id/1374057</t>
  </si>
  <si>
    <t>2019/10/19 16:14:17</t>
  </si>
  <si>
    <t>我被网络上的一个链接引入一个网络棋牌赌博平台，充值都是通过微信支付到拼多多商户支付的，当初以为可以在微信支付充值的以为是正规的，因此深信不疑，后来才知道是非法赌博平台，并对不能有效证明因客户原因导致的资金损失及时现行赔付，望聚投诉领导反应给相关部门，返还相应的资金损失，彻底清出网络违法支付通道，第一个：订单编号191019-1*************2支付时间2019-10-19。</t>
  </si>
  <si>
    <t>协商推迟还款事宜</t>
  </si>
  <si>
    <t>http://ts.21cn.com/tousu/show/id/1374055</t>
  </si>
  <si>
    <t>2019/10/19 16:13:01</t>
  </si>
  <si>
    <t>本人由于家庭原因，造成资金困难，10.19号跟贵平台提出推迟还款，贵平台客服说给我往上级汇报，，加急给我处理一下，直到晚上也没有给我处理，我这里就是想与贵平台协商推迟还款，望理解。</t>
  </si>
  <si>
    <t>拇指下款恶意扣费</t>
  </si>
  <si>
    <t>http://ts.21cn.com/tousu/show/id/1374043</t>
  </si>
  <si>
    <t>2019/10/19 16:12:21</t>
  </si>
  <si>
    <t>投诉人吴先生投诉对象拇指下款,海南萨姆尔网络科技有限公司涉诉金额299元问题类型诉求类型投诉详情本人因周转需要下载了拇指下款并完成注册，在没有明确提示的情况下直接从本人绑定银行卡上扣走金额298.5元，希望能及时归还。</t>
  </si>
  <si>
    <t>http://ts.21cn.com/tousu/show/id/1374054</t>
  </si>
  <si>
    <t>2019/10/19 16:12:12</t>
  </si>
  <si>
    <t>玖富阴阳合同，实际借款5000，要求还款6799.48。</t>
  </si>
  <si>
    <t>腾讯视频自动续费退款</t>
  </si>
  <si>
    <t>http://ts.21cn.com/tousu/show/id/1374053</t>
  </si>
  <si>
    <t>2019/10/19 16:11:52</t>
  </si>
  <si>
    <t>腾讯视频自动续费，我不需要了，他不给退款，还说让我继续使用。</t>
  </si>
  <si>
    <t>铜钱罐砍头息3000到账2400</t>
  </si>
  <si>
    <t>http://ts.21cn.com/tousu/show/id/1374052</t>
  </si>
  <si>
    <t>2019/10/19 16:11:15</t>
  </si>
  <si>
    <t>特殊情况跟他们客服说了晚一天还，同意了，第二天语言谩骂，骚扰，还恐吓多要200多。</t>
  </si>
  <si>
    <t>解除合同，退还学费</t>
  </si>
  <si>
    <t>http://ts.21cn.com/tousu/show/id/1374050</t>
  </si>
  <si>
    <t>2019/10/19 16:10:50</t>
  </si>
  <si>
    <t>6月14号报名之后，7月份因身体不适无法进行学习于是申请退款，对方说不给退款，先后找到两次说要求退款，对方都不同意，从开始到现在也没看过几节课，之前平时有问题会咨询，但是回复也是很慢，都不够及时，交钱的时候是很积极一直催，需要服务的时候就是找人难，而且刚开始是qq网站直播，后面又换app换后很多资料也没即使更新无法使用，给大家造成不便。</t>
  </si>
  <si>
    <t>闪银高利贷</t>
  </si>
  <si>
    <t>http://ts.21cn.com/tousu/show/id/1374049</t>
  </si>
  <si>
    <t>2019/10/19 16:10:19</t>
  </si>
  <si>
    <t>闪银奇异从我大学的时候就下款给我，一直用了四五年。</t>
  </si>
  <si>
    <t>浦发银行信用卡万用金收取高额违约金利息</t>
  </si>
  <si>
    <t>http://ts.21cn.com/tousu/show/id/1374048</t>
  </si>
  <si>
    <t>2019/10/19 16:10:01</t>
  </si>
  <si>
    <t>今年三月份浦发银行信用卡中心委托第三方催收，万用金还款当时是约定提前还款是收取1000违约金。</t>
  </si>
  <si>
    <t>闪电借款暴力催收</t>
  </si>
  <si>
    <t>http://ts.21cn.com/tousu/show/id/1374046</t>
  </si>
  <si>
    <t>2019/10/19 16:09:41</t>
  </si>
  <si>
    <t>闪电借款借款两千元，家里出现了事情，不小心导致逾期，在该公司另一借款平台现金速递还款情况良好，也是因为所有的钱都还了现金速递，所以导致闪电借款暂时还不清，该公司委托的第三方催收人员对本人进行暴力催收，威胁恐吓骚扰本人的亲属及联系人，并逼迫本人将身上仅有的300元交给了催收人员，造成本人多日未吃饭已经多次进了医院。</t>
  </si>
  <si>
    <t>闪银变相砍头息，高利贷</t>
  </si>
  <si>
    <t>http://ts.21cn.com/tousu/show/id/1374047</t>
  </si>
  <si>
    <t>2019/10/19 16:09:33</t>
  </si>
  <si>
    <t>昨晚申请了1000元借款，申请时显示30天还款，下款以后就显示26天了！无缘无故多了两个白条还款，每个77元，实际借款1000元，用26天时间的费用为184元！折算成利息的话月息达到接近20%！借款前没有发现任何关于184元的提示，今天联系客服沟通处理退款并取消订单，客服拒绝！。</t>
  </si>
  <si>
    <t>优信二手车巨额服务费</t>
  </si>
  <si>
    <t>http://ts.21cn.com/tousu/show/id/1373916</t>
  </si>
  <si>
    <t>2019/10/19 16:09:29</t>
  </si>
  <si>
    <t>本人保证所说内容真实，愿意付一切法律责任！&amp;nbsp;&amp;nbsp;&amp;nbsp;&amp;nbsp;&amp;nbsp;&amp;nbsp;&amp;nbsp;我是2019年10月12日在优信二手车平台看中一辆2013款路虎神行者2，app车价是167100元，业务员最后给我砍价下来裸车160100元，当时车价比较满意，最后业务员给我说服务费要7000块钱我也同意的，gps1800车辆安全保障费2807，远程交付费1360，代办费600，保险7800元&amp;nbsp;&amp;nbsp;&amp;nbsp;&amp;nbsp;&amp;nbsp;这些费用我都认可，加在一起总费</t>
  </si>
  <si>
    <t>暴力催收私爆通讯录恐吓</t>
  </si>
  <si>
    <t>http://ts.21cn.com/tousu/show/id/1374045</t>
  </si>
  <si>
    <t>2019/10/19 16:09:19</t>
  </si>
  <si>
    <t>本人在展业包平台借贷46000，由于资金链断裂导致逾期，和客服商量说尽快会还上，可是对方没有经过本人允许隐私暴露，轰炸通讯录恐吓我家人以及朋友，所以希望通过贵平台让对方停止骚扰通过法律程序还款。</t>
  </si>
  <si>
    <t>卡卡贷乱扣费</t>
  </si>
  <si>
    <t>http://ts.21cn.com/tousu/show/id/1374044</t>
  </si>
  <si>
    <t>2019/10/19 16:09:16</t>
  </si>
  <si>
    <t>我余9月30号在卡卡贷申请10000元，分期半年月还1956元，利息一共1689.42元，显示10月31日还款第一期，但在昨晩私下扣了我800元。</t>
  </si>
  <si>
    <t>取消审核放款。保险费太高了。</t>
  </si>
  <si>
    <t>http://ts.21cn.com/tousu/show/id/1374042</t>
  </si>
  <si>
    <t>2019/10/19 16:09:12</t>
  </si>
  <si>
    <t>投诉人翁先生投诉对象信用飞涉诉金额5000元问题类型诉求类型投诉详情要求平台取消审核放款，问客服说不能取消，，只能等放款了然后一次性结清货款，，找客服退保险费，，利息人工费这些还要给，这样下来借到款三个月费用利息都要一千四，，高利贷。</t>
  </si>
  <si>
    <t>轻周转芒果筹不自动扣款打不开APP导致严重逾期</t>
  </si>
  <si>
    <t>http://ts.21cn.com/tousu/show/id/1374032</t>
  </si>
  <si>
    <t>2019/10/19 16:09:04</t>
  </si>
  <si>
    <t>在芒果筹借款2800还款4000多，分4期，还款日没自动扣款，期间一直上不去ApP客服打电话也没人接，也没提示逾期，至昨日自称芒果筹工作人员联系我说我严重逾期，导致快6千得逾期费，而且工作人员让我还款说减免逾期，还了之后给我了个结清证明，就没信了，之后我在看APP还是打不开，是通过朋友给的链接打开了，结果还是逾期状态，多次反馈客服没人理，我不知道是否被欺骗，请芒果筹尽快处理我的还款并为我消账。</t>
  </si>
  <si>
    <t>赚啦理财还我血汗钱</t>
  </si>
  <si>
    <t>http://ts.21cn.com/tousu/show/id/1374041</t>
  </si>
  <si>
    <t>2019/10/19 16:08:01</t>
  </si>
  <si>
    <t>10月8日，单方面平台公告，说出现大面积逾期不能还款，停止运营，涉及4884人，超过1.6亿元，公告里将出借人分为三类进行还款：一万以下两个月还清，一万到五万元10个月还清；五万以上的三年还清，每月按照总金额2%进行还款，他们公司的经营许可证到2021年6月30日结束，2019年年初已被责令清盘，他们欺骗隐瞒出借人，直至9月份还在发假标、加息券，引导出借人购买，全体出借人一致不同意退款条款，三年时间太长，公司拒不接受出借人建议，一千多受害者投诉无门，今年政府也出台了相应网络P2P平台清退政策，我们也是响应号</t>
  </si>
  <si>
    <t>证大金融借款高利贷</t>
  </si>
  <si>
    <t>http://ts.21cn.com/tousu/show/id/1374018</t>
  </si>
  <si>
    <t>2019/10/19 16:07:24</t>
  </si>
  <si>
    <t>7月22日当天，就扣掉了8月的分期还款，2023.11元，后来每月的13-16号之前，就从卡里扣掉2023.11元，共还款为36期。</t>
  </si>
  <si>
    <t>小米笔记本使用不到24小时就坏了-小米拖延时间-再之后是拒绝售后</t>
  </si>
  <si>
    <t>http://ts.21cn.com/tousu/show/id/1374040</t>
  </si>
  <si>
    <t>2019/10/19 16:06:38</t>
  </si>
  <si>
    <t>1月2日，我通过京东商城平台购买了小米笔记本，共计1台，全款付了4999.5元，对方出具了发票，原因如下：1、我第一次联系官方客服的时候，并没有过保修期，2、因为是出差才用，平常很少使用，所以距离第一次出问题，使用时间都不超过8个小时，3、没用多久就这样那样的问题，厂家售后故意找借口忽悠我们过保，我的诉求是1、厂家免费修或者更换配件，或者赔偿，而且承担寄修费用。</t>
  </si>
  <si>
    <t>备胎信用骚扰恐吓家人朋</t>
  </si>
  <si>
    <t>http://ts.21cn.com/tousu/show/id/1249263</t>
  </si>
  <si>
    <t>2019/10/19 16:06:17</t>
  </si>
  <si>
    <t>投诉人李先生投诉对象备胎信用涉诉金额700元问题类型诉求类型投诉详情骚扰恐吓家人朋友，短信攻击手机，冒充政府工作人员。</t>
  </si>
  <si>
    <t>因资金周转问题逾期时光分期一天</t>
  </si>
  <si>
    <t>http://ts.21cn.com/tousu/show/id/1374038</t>
  </si>
  <si>
    <t>2019/10/19 16:05:33</t>
  </si>
  <si>
    <t>投诉人 于先生        投诉对象  时光分期        涉诉金额  5 000 元    问题类型    诉求类型投诉详情  时光分期借款5000元 本月18号应还款655.72元 因资金周转问题 逾期一天 遭遇对方恐吓 辱骂 利用软件发手机验证码骚扰</t>
  </si>
  <si>
    <t>水莲金条，黑网贷</t>
  </si>
  <si>
    <t>http://ts.21cn.com/tousu/show/id/1374036</t>
  </si>
  <si>
    <t>2019/10/19 16:04:01</t>
  </si>
  <si>
    <t>水莲金条，黑网贷，乱收贷后服务费和担保费不明款项，综合年利率高于国家标准，暴力催收，骚扰他人。</t>
  </si>
  <si>
    <t>快钱支付为高利贷平台合作，收取高额的利息费</t>
  </si>
  <si>
    <t>http://ts.21cn.com/tousu/show/id/1374034</t>
  </si>
  <si>
    <t>2019/10/19 16:03:18</t>
  </si>
  <si>
    <t>投诉人龚先生投诉对象快钱支付涉诉金额600元问题类型诉求类型投诉详情快钱支付为高利贷平台提供扣款服务，现要求退还所有的费用。</t>
  </si>
  <si>
    <t>乱扣费</t>
  </si>
  <si>
    <t>http://ts.21cn.com/tousu/show/id/1374033</t>
  </si>
  <si>
    <t>2019/10/19 16:02:59</t>
  </si>
  <si>
    <t>说是什么前期评估费，扣了也不下款，找客服客服处理。</t>
  </si>
  <si>
    <t>无视司机权益</t>
  </si>
  <si>
    <t>http://ts.21cn.com/tousu/show/id/1374035</t>
  </si>
  <si>
    <t>2019/10/19 16:02:29</t>
  </si>
  <si>
    <t>投诉人苏先生投诉对象滴滴出行涉诉金额4元问题类型诉求类型投诉详情10月19日下午2点46分景福庄到前八里的订单，乘客实际离我接驾起始位置只有100米左右距离，，但是滴滴显示乘客距离我接近2公里，我按照滴滴平台导航去接乘客，直接跑单死路，跟乘客电话沟通后发现定位不对，我返回接乘客，此往返我空跑4公里，几百米距离是倒车行驶，增加了安全隐患，因为导航路线是死路，而且没有掉头空间，因目的地远离市区，我如接单还得空返，总的算下来我这一单总共跑大约12公里左右，实际计费不足4公里，我问了客服，是谁的责任造成的接驾空跑，</t>
  </si>
  <si>
    <t>软件恶意扣费</t>
  </si>
  <si>
    <t>http://ts.21cn.com/tousu/show/id/1374030</t>
  </si>
  <si>
    <t>2019/10/19 16:02:20</t>
  </si>
  <si>
    <t>投诉人姜连振投诉对象BetterMe涉诉金额283元问题类型诉求类型投诉详情在不知道的情况下恶意扣费，扣费完成后联系不到商家，扣费时不用输入密码直接扣费！流氓软件吃钱没人管。</t>
  </si>
  <si>
    <t>捷信爆通讯录</t>
  </si>
  <si>
    <t>http://ts.21cn.com/tousu/show/id/1374029</t>
  </si>
  <si>
    <t>2019/10/19 16:01:52</t>
  </si>
  <si>
    <t>投诉人曹先生投诉对象捷信金融涉诉金额2800元问题类型诉求类型投诉详情捷信在我投诉以后非但没有停止而且继续爆通讯录里的联系人并且威胁老人无视法律。</t>
  </si>
  <si>
    <t>合利宝为14个714套路贷商户扣取坎头息拒不处理</t>
  </si>
  <si>
    <t>http://ts.21cn.com/tousu/show/id/1374028</t>
  </si>
  <si>
    <t>2019/10/19 16:01:35</t>
  </si>
  <si>
    <t>12月1日，互联网金融风险专项整治工作领导小组办公室与P2P网络借贷风险专项整治工作领导小组办公室正式下发《关于规范整顿“现金贷”业务的通知》，此通知第四条第一点指出，“禁止从借贷本金中先行扣除利息、手续费、管理费、保证金以及设定高额逾期利息，合利宝为多家714套路贷平台提供支付渠道帮他们在一个月内扣取坎头息26000多，合利宝作为第三方合作机构，以助贷、联合贷款或与贷款捆绑等方式直接向借款人收取息费，同时，合利宝也没有做好清理担保、评估、登记、审计、保险与无放贷资质的机构共同出资发放贷款。</t>
  </si>
  <si>
    <t>壹心分期催收不停</t>
  </si>
  <si>
    <t>http://ts.21cn.com/tousu/show/id/1374027</t>
  </si>
  <si>
    <t>2019/10/19 16:01:15</t>
  </si>
  <si>
    <t>跟壹心分期沟通无果，现重新发起申诉本人在9月27日通过壹心分期申请续借，借款金额2100，砍头息下款金额为1525，分两期还，一共须还款2142；但至九月底本人已深陷网贷高利贷死循环当中，在十月第一期到期日时，客观曾致电跟本人沟通，我当时也承诺争取在本周内还款，但无奈我确实没有筹到钱，而客服也没有耐心再给时间，我只能再此继续发起申诉，此前的借款我也是按时结清，现在的工作也是不稳定，所以才导致债务全面爆发，并非恶意欠款，每天不停催收，我丢了工作又拿什么偿还呢，实在是走投无路，我只能是这个月底之前会处理，但此前</t>
  </si>
  <si>
    <t>有钱花</t>
  </si>
  <si>
    <t>http://ts.21cn.com/tousu/show/id/1374026</t>
  </si>
  <si>
    <t>2019/10/19 16:01:11</t>
  </si>
  <si>
    <t>投诉人王琳投诉对象有钱花涉诉金额19600元问题类型诉求类型投诉详情我弟被诱导贷款，贷款时是大学生，违规贷款，贷款也没到我弟账户，直接打给培训机构达内，说明原因是无力还款，还了九期了，有钱花工作人员说是我弟自己的事，威胁恐吓，说今日下午六点不还款，要上诉立案，并且还把诉前通知函寄给我父母。</t>
  </si>
  <si>
    <t>暴力催收，恶意谣言</t>
  </si>
  <si>
    <t>http://ts.21cn.com/tousu/show/id/1374025</t>
  </si>
  <si>
    <t>2019/10/19 16:00:57</t>
  </si>
  <si>
    <t>投诉人陈女士投诉对象融360里的快来花涉诉金额1500元问题类型诉求类型投诉详情暴力催收，爆通讯录，辱骂借款人，发信息给家里人，完成名誉受损，影响生活。</t>
  </si>
  <si>
    <t>爆我通讯录，严重影响我的生活。</t>
  </si>
  <si>
    <t>http://ts.21cn.com/tousu/show/id/1374024</t>
  </si>
  <si>
    <t>2019/10/19 15:58:47</t>
  </si>
  <si>
    <t>严重骚扰我的亲戚，朋友，爆我通讯录对我生活严重影响。</t>
  </si>
  <si>
    <t>四方棋牌</t>
  </si>
  <si>
    <t>http://ts.21cn.com/tousu/show/id/1374022</t>
  </si>
  <si>
    <t>2019/10/19 15:58:16</t>
  </si>
  <si>
    <t>涉嫌赌博，我有人为在操作，输赢可以调，希望有关部门严查，请求退款。</t>
  </si>
  <si>
    <t>老是提示同一时间下单人数多,无法下单,客服也无法处理</t>
  </si>
  <si>
    <t>http://ts.21cn.com/tousu/show/id/1374021</t>
  </si>
  <si>
    <t>2019/10/19 15:56:55</t>
  </si>
  <si>
    <t>本人帐号xjn15,正常在淘宝购买东西,老是提示同一时间下单人数多,无退货退款,无差评,信用良好,请恢复我的帐号,还我一个愉快的购物心情.。</t>
  </si>
  <si>
    <t>支付宝恶意冻结资金</t>
  </si>
  <si>
    <t>http://ts.21cn.com/tousu/show/id/1374019</t>
  </si>
  <si>
    <t>2019/10/19 15:56:09</t>
  </si>
  <si>
    <t>9.4号我用支付宝收款码收了一笔款项，对方跟我换了现金，结果对方去支付宝投诉我，支付宝在没有任何证据的前提下，把我的号冻结了，里面2000元的资金，取不出来，让我联系付款方撤诉，可是我根本联系不到，中间联系客服，客服让我提交证据承诺函，我提交了三次，一直说我不合格。</t>
  </si>
  <si>
    <t>高利贷</t>
  </si>
  <si>
    <t>http://ts.21cn.com/tousu/show/id/1374020</t>
  </si>
  <si>
    <t>2019/10/19 15:55:59</t>
  </si>
  <si>
    <t>高利贷，逾期费已经高过本金了，要求正常按本金利息还款，砍头息，客人不同意要求正常按高利息还款。</t>
  </si>
  <si>
    <t>浙江贝壳财富投资管理有限公司违规</t>
  </si>
  <si>
    <t>http://ts.21cn.com/tousu/show/id/1373951</t>
  </si>
  <si>
    <t>2019/10/19 15:55:13</t>
  </si>
  <si>
    <t>10月8日，单方面平台公告，说出现大面积逾期不能还款，停止运营，涉及4884人，超过1.6亿元，公告里将出借人分为三类进行还款：一万以下两个月还清，一万到五万元10个月还清；五万以上的三年还清，每月按照总金额2%进行还款，他们公司的经营许可证到2021年6月30日结束，2019年年初已被责令清盘，他们隐瞒出借人，直至9月份还在发假标、加息券，引导出借人购买，全体出借人一致不同意退款条款，三年时间太长，公司拒不接受出借人建议，一千多受害者投诉无门，今年政府也出台了相应网络P2P平台清退政策，我们也是响应号召准</t>
  </si>
  <si>
    <t>威胁爆通讯录</t>
  </si>
  <si>
    <t>http://ts.21cn.com/tousu/show/id/1374017</t>
  </si>
  <si>
    <t>2019/10/19 15:55:09</t>
  </si>
  <si>
    <t>暴力催收，私自群发下方的短信给我的家人朋友，让我的名誉受损，协商不通，希望给我个合理的解释。</t>
  </si>
  <si>
    <t>闪银奇异砍头息</t>
  </si>
  <si>
    <t>http://ts.21cn.com/tousu/show/id/1374016</t>
  </si>
  <si>
    <t>2019/10/19 15:54:35</t>
  </si>
  <si>
    <t>投诉人 曾刘米        投诉对象  Wecash闪银        涉诉金额  1 000 元    问题类型    诉求类型投诉详情  我只还一千 爱要不要！我会一直投诉 直到你们倒闭</t>
  </si>
  <si>
    <t>退款问题</t>
  </si>
  <si>
    <t>http://ts.21cn.com/tousu/show/id/1374015</t>
  </si>
  <si>
    <t>2019/10/19 15:54:22</t>
  </si>
  <si>
    <t>致电客服反馈问题，未积极处理问题且推脱责任，在未收到餐品的情况下超过24小时扔未退款，打客服也未给予解决问题。</t>
  </si>
  <si>
    <t>赚啦假标</t>
  </si>
  <si>
    <t>http://ts.21cn.com/tousu/show/id/1374014</t>
  </si>
  <si>
    <t>2019/10/19 15:54:11</t>
  </si>
  <si>
    <t>10月8日，单方面平台公告，说出现大面积逾期不能还款，停止运营，涉及4884人，总金额超过1.6亿元，公告里计划将出借人分为三类进行还款：一万以下两个月还清，；五万以上的三年还清，每月按照总金额2%进行还款，据查：他们公司的经营许可证到2021年6月30日结束，2019年年初已被责令清盘，他们欺骗隐瞒出借人，直至9月份还在发假标、加息券，引导出借人购买，我们一致不同意公告的还款条款，三年时间太长，该公司拒不接受出借人建议，四千多受害者投诉无门，今年政府也出台了相应网络P2P平台清退政策，我们也是响应号召准备</t>
  </si>
  <si>
    <t>平安普惠i贷高利贷</t>
  </si>
  <si>
    <t>http://ts.21cn.com/tousu/show/id/1374013</t>
  </si>
  <si>
    <t>2019/10/19 15:54:08</t>
  </si>
  <si>
    <t>深圳平安普惠小额借款有限公司,平安普惠融资担保有限公司，2016年3月24日借款11500，到2019年10月19日共计还款15846.31元，系统显示欠款9709.35元，要求清帐。</t>
  </si>
  <si>
    <t>网络催收通讯录</t>
  </si>
  <si>
    <t>http://ts.21cn.com/tousu/show/id/1374011</t>
  </si>
  <si>
    <t>2019/10/19 15:53:57</t>
  </si>
  <si>
    <t>因本人电话坏了，没有及时还款，催收了通讯录。</t>
  </si>
  <si>
    <t>及贷爆通讯录群发信息只管来吧</t>
  </si>
  <si>
    <t>http://ts.21cn.com/tousu/show/id/1374009</t>
  </si>
  <si>
    <t>2019/10/19 15:52:45</t>
  </si>
  <si>
    <t>我就让你爆，你有什么权利去群发我的贷款信息，一次又一次，国家三令五申禁止这些不法行为，你们依然如此，既然要起诉就等你。</t>
  </si>
  <si>
    <t>松紧贷恐吓威胁</t>
  </si>
  <si>
    <t>http://ts.21cn.com/tousu/show/id/1374007</t>
  </si>
  <si>
    <t>2019/10/19 15:51:51</t>
  </si>
  <si>
    <t>投诉人 刘先生        投诉对象  松紧贷        涉诉金额  12 000 元    问题类型    诉求类型投诉详情  松 紧 贷 奉 劝你 你不 听 那就 撕 破 脸，5点处 理 不 了，以 群 发 消息 模 式，10,20,30 条 递 增 覆 盖 你 预 留 信 息，必 要 时 带合 同 照 片，众 所 周 知，后 果自 负！你就等着出名吧等会搞完你就知道了</t>
  </si>
  <si>
    <t>高利套路贷</t>
  </si>
  <si>
    <t>http://ts.21cn.com/tousu/show/id/1374006</t>
  </si>
  <si>
    <t>2019/10/19 15:50:49</t>
  </si>
  <si>
    <t>我在质子钱包上借了一千块钱，它们平台宣传说的是借款2000，利息低到1.7，借1000.到我卡里就620.而且还只能用五天，我十六号贷的，今天十九号就不停的打电话催我还钱！请问这合法吗。</t>
  </si>
  <si>
    <t>淘宝购物，未收到货却被扣款126元</t>
  </si>
  <si>
    <t>http://ts.21cn.com/tousu/show/id/1374003</t>
  </si>
  <si>
    <t>2019/10/19 15:50:02</t>
  </si>
  <si>
    <t>购买电脑键盘，未收到货，淘宝擅自扣款126给商家，给消费者造成损失。</t>
  </si>
  <si>
    <t>中信银行催收</t>
  </si>
  <si>
    <t>http://ts.21cn.com/tousu/show/id/1374002</t>
  </si>
  <si>
    <t>2019/10/19 15:49:28</t>
  </si>
  <si>
    <t>投诉人 高女士        投诉对象  中信银行信用卡        涉诉金额  1 000 元    问题类型    诉求类型投诉详情  中信银行信用卡逾期十天 正在想办法还最低 每天中信银行安排催收不停打电话 影响我的正常生活 要求中信银行给个解释 催收部门到底是哪个地区的电话 并且停止骚扰！</t>
  </si>
  <si>
    <t>投诉天天快递微信公众号客服</t>
  </si>
  <si>
    <t>http://ts.21cn.com/tousu/show/id/1374001</t>
  </si>
  <si>
    <t>2019/10/19 15:49:03</t>
  </si>
  <si>
    <t>本人淘宝商品一直没到，所以在天天快递公众号上面咨询客服，让客服工号8142，客服一直答非所问，浪费顾客时间！最后让帮忙投诉，还直接不理睬，发表情！态度恶劣！。</t>
  </si>
  <si>
    <t>好易借套路贷，高利贷！阴阳合同。</t>
  </si>
  <si>
    <t>http://ts.21cn.com/tousu/show/id/1374000</t>
  </si>
  <si>
    <t>2019/10/19 15:48:47</t>
  </si>
  <si>
    <t>本人在2019年7月22日在好易借APP上借款11000元分12期，实际到帐11000元，利息360天1485元担保费990元融资管理费1485元，我算了一下按12期的话年率没超过36还可以接受，于是点击申请了，7.22晚到账显示付款方直销银行行内付款方，2019年8月20日收到短信扣款5279.5，扣款方显示8215--0233模糊不清，我觉得奇怪我上月22日借款为什么还款日是19号，登陆APP查看才发现第一期需要还款5279.95元第二期4784..95元第三期3795.10元之后9期都是122.10元</t>
  </si>
  <si>
    <t>富友支付为15个714套路贷平台扣取坎头息拒不退还</t>
  </si>
  <si>
    <t>http://ts.21cn.com/tousu/show/id/1373999</t>
  </si>
  <si>
    <t>2019/10/19 15:48:04</t>
  </si>
  <si>
    <t>富友支付，为以下15个714套路贷商户提供支付渠道，帮助他们扣取坎头息共计30389元，以金融科技之名从事非法金融活动的企业开展合作；与虚构交易背景或贷款用途，套取信贷资金的企业开展合作；与以非法手段催收贷款的企业开展合作；与以“大数据”为名窃取、滥用、非法买卖或泄露客户信息的企业开展合作，投诉四个月，既不处理，又无商户联系，请问富友，是否需要清算协会和央行以及公安部门介入。</t>
  </si>
  <si>
    <t>每日优鲜诱导我分享，完成后券不能用，而且还不处理。</t>
  </si>
  <si>
    <t>http://ts.21cn.com/tousu/show/id/1373998</t>
  </si>
  <si>
    <t>2019/10/19 15:47:49</t>
  </si>
  <si>
    <t>每日优鲜诱导我分享，邀请12人助力可以得到129-40的券，成功后居然不能用，联系客服居然告知券没有问题，无法处理！那请问为啥出邀请链接的时候不写明需要指定地区才能用。</t>
  </si>
  <si>
    <t>你我贷骚扰通讯录</t>
  </si>
  <si>
    <t>http://ts.21cn.com/tousu/show/id/1373997</t>
  </si>
  <si>
    <t>2019/10/19 15:47:22</t>
  </si>
  <si>
    <t>投诉人 郭文        投诉对象  你我贷        涉诉金额  4 500 元    问题类型    诉求类型投诉详情  你我贷骚扰通讯录 说是要用特殊手段催收 也不商量直接爆通讯录</t>
  </si>
  <si>
    <t>假借风险评估费用名义收取砍头利息</t>
  </si>
  <si>
    <t>http://ts.21cn.com/tousu/show/id/1373996</t>
  </si>
  <si>
    <t>2019/10/19 15:47:20</t>
  </si>
  <si>
    <t>本人在新橙优品借款17000元，正常还款三个月后，新橙优品在本人不知情的情况下从我银行卡扣掉1700元，利息新橙优品客服，客服一下说是保险费用一下又变成风险评估费，不予退还，新橙优品假借各种名义收取砍头利息，对此我绝不接受，请平台核实处理。</t>
  </si>
  <si>
    <t>aliexpress无忧物流货没发,运费不退</t>
  </si>
  <si>
    <t>http://ts.21cn.com/tousu/show/id/1373994</t>
  </si>
  <si>
    <t>2019/10/19 15:44:59</t>
  </si>
  <si>
    <t>101859260204这2个快递,由于义乌无忧标准未发出去,，寄回给我本人有拍收货图片.但是客服认为货仍在路上。</t>
  </si>
  <si>
    <t>退相关费用</t>
  </si>
  <si>
    <t>http://ts.21cn.com/tousu/show/id/1373995</t>
  </si>
  <si>
    <t>2019/10/19 15:44:55</t>
  </si>
  <si>
    <t>一直没有客服联系，所谓的最终负责人也是态度非常恶劣，要求尽快处理。</t>
  </si>
  <si>
    <t>借贷宝打条不放款客服不作为</t>
  </si>
  <si>
    <t>http://ts.21cn.com/tousu/show/id/1373993</t>
  </si>
  <si>
    <t>2019/10/19 15:44:35</t>
  </si>
  <si>
    <t>10.19号我在借贷宝打完欠条，债权人王广没有给我转钱，我期间联系客服客服让举报债权人，可是举报流程异常复杂，而且提交也不合格，客服不帮助处理。</t>
  </si>
  <si>
    <t>联动优势电子商务有限公司拖欠代理商分润，追讨无果</t>
  </si>
  <si>
    <t>http://ts.21cn.com/tousu/show/id/1373992</t>
  </si>
  <si>
    <t>2019/10/19 15:44:08</t>
  </si>
  <si>
    <t>联动优势电子商务有限公司服务差劲，多次跟上级反映分润事宜，都没有安排打款，五月份的分润至今都未发放，还说走流程，五月份走到了10月份了还没走完，严重怀疑他们的克扣代理商分润，要求发放拖欠的分润。</t>
  </si>
  <si>
    <t>购买套装商品是拆散件，要求更换并赔偿</t>
  </si>
  <si>
    <t>http://ts.21cn.com/tousu/show/id/1373991</t>
  </si>
  <si>
    <t>2019/10/19 15:44:00</t>
  </si>
  <si>
    <t>商品一套，18日收到商品，外观完好无破损，在打开后发现其中的夜乳包装为英文，与其他两件，不一样，并且夜乳瓶身印刷也是英文，与其他两件不一样，判断不是套装商品，与客服沟通后客服按客服要求上传照片，19日先后两次接到客服电话回复，称商品进货同时存在日版与国际版，批次不同，对于我提出的更换夜乳为日版的要求拒绝，商品，所收到的明显不是套装，提出更换请求合情合理合法，但考拉海购仗着自己店大欺客，对自身造成的交易错误行为拒绝改正，故对考拉海购进行投诉，要求立即将不符合交易的商品进行更换，并因考拉海购的霸道态度提出赔偿1</t>
  </si>
  <si>
    <t>投诉友缘在线网络科技股份有限公司强制消费</t>
  </si>
  <si>
    <t>http://ts.21cn.com/tousu/show/id/1373978</t>
  </si>
  <si>
    <t>2019/10/19 15:43:48</t>
  </si>
  <si>
    <t>投诉人林先生投诉对象友缘在线涉诉金额198元问题类型诉求类型投诉详情在qq附近下载了一个交友软件是友缘在线网络科技股份公司的处处，误导我点免密支付，然后在我不知情的情况扣了我俩次99元，共198元。</t>
  </si>
  <si>
    <t>骚扰家人</t>
  </si>
  <si>
    <t>http://ts.21cn.com/tousu/show/id/1373989</t>
  </si>
  <si>
    <t>2019/10/19 15:43:22</t>
  </si>
  <si>
    <t>拍拍贷第三方催收，骚扰我通讯录家人，我在拍拍贷平台总共借款28000，期间已经陆续还了10000，现在平台让我处理欠款23000，跟第三方电话沟通的时候，我明确表示，钱我会还，要求平台去起诉，到时候法院怎么判，我都认！第三方催收就说我想赖账，是老赖，严重影响我通讯录亲戚朋友生活，还威胁我会去我户籍地和上班地方来上门催收，希望有关部门能管管！！。</t>
  </si>
  <si>
    <t>滴滴打车不解决问题敷衍用户</t>
  </si>
  <si>
    <t>http://ts.21cn.com/tousu/show/id/1373990</t>
  </si>
  <si>
    <t>2019/10/19 15:43:15</t>
  </si>
  <si>
    <t>等二十几分钟一直都叫不到车，但是其他人都秒接，这个问题有打滴滴客服反馈过两次，两次给的答复都是说我的帐号没有问题，叫不到车不关他们的事情，送来的呢过了半小时都没人接单，强烈要求滴滴给出解决办法，这次又一个女客服在持续跟进解决，一直又打电话给我沟通，只不过把解决问题的时间拖的更长了，由一天变为了一周，是为了耽误我更多的时间吗！滴滴不切实际解决用户的反馈需求。</t>
  </si>
  <si>
    <t>http://ts.21cn.com/tousu/show/id/1373988</t>
  </si>
  <si>
    <t>2019/10/19 15:43:03</t>
  </si>
  <si>
    <t>投诉人 李先生        投诉对象  微博借钱        涉诉金额  15 000 元    问题类型    诉求类型投诉详情  逾期5天私人通讯设备联系我 微信加我 打扰到我正常生活 联系我家人朋友 通讯录 暴力催收钱给我生活 名誉产生影响重大 要求道歉减免 可一次性结清</t>
  </si>
  <si>
    <t>活力花系统更新没有扣款导致逾期</t>
  </si>
  <si>
    <t>http://ts.21cn.com/tousu/show/id/1373987</t>
  </si>
  <si>
    <t>2019/10/19 15:41:59</t>
  </si>
  <si>
    <t>前两天还款日我进入APP还款，然后显示系统更新我就把钱存卡里了，然后没有扣款成功，今天有人和我说余额不足，我当时有存放卡里，却没扣导致了逾期，现在要求协商一下还款时间以及本次逾期费用，。</t>
  </si>
  <si>
    <t>要求拼多多赔礼道歉</t>
  </si>
  <si>
    <t>http://ts.21cn.com/tousu/show/id/1373986</t>
  </si>
  <si>
    <t>2019/10/19 15:41:52</t>
  </si>
  <si>
    <t>刷单，因贵店所销售的锤子吹风机发廊家用电吹风恒温不伤发学生男女式吹风网红抖音同款，商品ID:5859696618存在商品描述或质量抽检不合格的情形，具体情况如下：1、经实测，随机抽取的消费者订单对触及带电部件的防护，非正常工作，电源连接和外部软线不符合《GB，如您对上述违规认定或处理措施有疑问请查看商家管理系统【规则中心—运营规则—《拼多多商品描述及质量抽检规则》，皮肤及毛发护理器具的特殊要求》第8章，19章，25章规定的要求，判定为A，为保障消费者的合法权益，平台将根据《拼多多平台合作协议》及《拼多多商品</t>
  </si>
  <si>
    <t>拍拍贷催收电话打到公司内，已严重影响我的工作</t>
  </si>
  <si>
    <t>http://ts.21cn.com/tousu/show/id/1373985</t>
  </si>
  <si>
    <t>2019/10/19 15:41:08</t>
  </si>
  <si>
    <t>拍拍贷外包催收公司，每天往公司内部打电话，已经严重影响了我的工作，与催收人员协商还款，不达成可解决方案，直接给单位领导打电话。</t>
  </si>
  <si>
    <t>情人花无故扣款</t>
  </si>
  <si>
    <t>http://ts.21cn.com/tousu/show/id/1373956</t>
  </si>
  <si>
    <t>2019/10/19 15:41:06</t>
  </si>
  <si>
    <t>下载情人花，注册了，但是没动用任何资源，在不知情的情况下扣除我90元现金，银联在线，新生支付为他扣款，安庆盛通信息科技有限公司！！！！强烈要求退款！！！。</t>
  </si>
  <si>
    <t>YY信用催债骂人并威胁见不到明天的太阳</t>
  </si>
  <si>
    <t>http://ts.21cn.com/tousu/show/id/1373983</t>
  </si>
  <si>
    <t>2019/10/19 15:40:13</t>
  </si>
  <si>
    <t>YY信用催债人员爆通讯录并打电话一直骂人三字经将近十分钟，还说让我见不到明天的太阳，之后一直打电话骂人，并换人用同一个电话继续打电话骂人。</t>
  </si>
  <si>
    <t>恒昌公司旗下恒易贷合同金额远高于实际借款金额</t>
  </si>
  <si>
    <t>http://ts.21cn.com/tousu/show/id/1373982</t>
  </si>
  <si>
    <t>2019/10/19 15:39:37</t>
  </si>
  <si>
    <t>在恒昌借了一笔两万元，分24期，已经还了15期，利息高得可怕，都没有能力在偿还了，而且本金我也都还完了，以为在2019年没有催收了，谁知道，暴打通信录，泄露借款信息，导致我都不想还款了，自己也要工作的，不接电话就打到亲戚朋友，骚扰他们，还告知借款信息，一点都不合法。</t>
  </si>
  <si>
    <t>新橙优品暴力催收</t>
  </si>
  <si>
    <t>http://ts.21cn.com/tousu/show/id/1373981</t>
  </si>
  <si>
    <t>2019/10/19 15:38:25</t>
  </si>
  <si>
    <t>电话轰炸，盗取通讯录信息，乱打电话，暴力催收……砍头息，借1万到手9千，砍头息1千……微信恐吓，所谓的罚息每天50元！超高利息，乱收费用！年化利率超200%，借个款怎么就‘被保险’了，第一次借款我不懂，以为只手9000就完了，为什么要那么多利息，希望平台帮帮我打击害人高利贷，给我道歉，并且赔偿我的亲人朋友的骚扰费用。</t>
  </si>
  <si>
    <t>暴力催收展业达人</t>
  </si>
  <si>
    <t>http://ts.21cn.com/tousu/show/id/1373980</t>
  </si>
  <si>
    <t>2019/10/19 15:38:22</t>
  </si>
  <si>
    <t>展业达人您好，您的国美易卡借款已严重逾期，国美金融将持续向征信中心报送逾期信息，并将保留采取进一步措施的权利，请立即结清欠款，若已结清，请不予理会！客服电话4008133233，退订回T，，我一直在跟国美那边沟通解释，还是一直再这样子。</t>
  </si>
  <si>
    <t>恶意扣款</t>
  </si>
  <si>
    <t>http://ts.21cn.com/tousu/show/id/1373979</t>
  </si>
  <si>
    <t>2019/10/19 15:37:52</t>
  </si>
  <si>
    <t>投诉人郭先生投诉对象聚福钱包涉诉金额299元问题类型诉求类型投诉详情上个月注册了聚福钱包，在没有任何提示的情况下扣款我100元，app没有任何需要扣款的提示以及支付提示，我银行卡有100块钱，莫名其妙都就给我扣除了，说是什么评估费，我根本不知道是什么回事，也根本没有给我提供任何服务，我要求平台归还恶意扣除我的100块钱，不给处理，他们这样的做法完全是强制消费，圈钱，希望聚投诉帮我讨回公道。</t>
  </si>
  <si>
    <t>离职后拒发工资</t>
  </si>
  <si>
    <t>http://ts.21cn.com/tousu/show/id/1373977</t>
  </si>
  <si>
    <t>2019/10/19 15:37:18</t>
  </si>
  <si>
    <t>该公司在我离职后先是找理由在一开始说好的工资基础上克扣了500，其后又说先发上月工资，本月工资待下月发放，到期后，该公司行政说老板没发工资给他，让我自行联系老板，打电话给老板，老板先是将我电话拉黑，我换手机拨打，老板态度语言非常不好，说公司规定当月辞职当月工资没有，并且拒发工资，让我去告他。</t>
  </si>
  <si>
    <t>小花钱包恶意骚扰通讯录亲友</t>
  </si>
  <si>
    <t>http://ts.21cn.com/tousu/show/id/1373976</t>
  </si>
  <si>
    <t>2019/10/19 15:37:02</t>
  </si>
  <si>
    <t>没有联系本人的情况下，就恶意中伤！骚扰通讯录亲友！。</t>
  </si>
  <si>
    <t>投诉立刻出行App无故拒绝退还用户押金</t>
  </si>
  <si>
    <t>http://ts.21cn.com/tousu/show/id/1373972</t>
  </si>
  <si>
    <t>2019/10/19 15:36:58</t>
  </si>
  <si>
    <t>立刻出行,天津山和朋友们科技有限公司,立刻出行科技有限公司，本人于9月11日天津山和朋友们科技有限公司，地址：天津市武清开发区福源道北侧创业总部基地C05号楼402室-8，统一社会信用代码：91120222MA05QKQA5X，旗下的立刻出行共享汽车品牌申请退回押金499元，该公司承诺5-10个工作日退还，至今仍未退回，该平台客服电话已无人接听，且目前市场所属车辆已经全部撤回，只剩一个空品牌！本人注册立刻出行账号：155******82，，使用支付宝账号支付：155******82！希望得到帮助追回押金，减</t>
  </si>
  <si>
    <t>投诉哆咪黑卡恶意扣费</t>
  </si>
  <si>
    <t>http://ts.21cn.com/tousu/show/id/1373973</t>
  </si>
  <si>
    <t>2019/10/19 15:36:50</t>
  </si>
  <si>
    <t>投诉人袁先生投诉对象哆咪黑卡,台州钟超网络科技公司,月光侠涉诉金额299元问题类型诉求类型投诉详情无故扣费299，就注册个账号。</t>
  </si>
  <si>
    <t>现控达人,贷上钱,讯联智付</t>
  </si>
  <si>
    <t>http://ts.21cn.com/tousu/show/id/1373974</t>
  </si>
  <si>
    <t>2019/10/19 15:36:48</t>
  </si>
  <si>
    <t>本人现控达人借了1400还了2期后面2期他们平台故意制造逾期，现在产生逾期过高，他们只给减百分之三十逾期费，逾期是他们造成的，所以本人不给，有关部门介入查处，。</t>
  </si>
  <si>
    <t>在我不知情的情况下以及未发生商品交易的情况乱扣我的农业银行卡的钱</t>
  </si>
  <si>
    <t>http://ts.21cn.com/tousu/show/id/1373971</t>
  </si>
  <si>
    <t>涉诉金额269元问题类型诉求类型投诉详情在我不知情的情况下以及未发生商品交易的情况下，乱扣我农业银行卡269.1元，要求立即退还金额。</t>
  </si>
  <si>
    <t>快钱支持违规平台放款</t>
  </si>
  <si>
    <t>http://ts.21cn.com/tousu/show/id/1373970</t>
  </si>
  <si>
    <t>2019/10/19 15:36:37</t>
  </si>
  <si>
    <t>旗下小渣分期为高利贷，714平台，说的是分期，实际是6天，并收取高额的砍头息，现在希望贵公司高抬贵手。</t>
  </si>
  <si>
    <t>催收态度恶劣</t>
  </si>
  <si>
    <t>http://ts.21cn.com/tousu/show/id/1373969</t>
  </si>
  <si>
    <t>2019/10/19 15:36:15</t>
  </si>
  <si>
    <t>投诉人 李先生        投诉对象  国美易卡        涉诉金额  3 000 元    问题类型    诉求类型投诉详情  催收人员态度恶劣 要求道歉减免 逾期3天</t>
  </si>
  <si>
    <t>去年10月买的昆山阳澄湖今巴蟹业有限公司2088型豪华礼盒，一直约不上，今年预约说卡过期，打电话不接</t>
  </si>
  <si>
    <t>http://ts.21cn.com/tousu/show/id/1373967</t>
  </si>
  <si>
    <t>2019/10/19 15:34:38</t>
  </si>
  <si>
    <t>投诉人郑先生投诉对象昆山阳澄湖今巴蟹业有限公司涉诉金额668元问题类型诉求类型投诉详情去年10月份买的昆山阳澄湖蟹业有限公司2088型豪华礼盒，一直预约不上，12月预约，说活动结束，明年预约，打0512-50139889不接，打0512-57656666说是酒店电话。</t>
  </si>
  <si>
    <t>还清账单不开结清证明</t>
  </si>
  <si>
    <t>http://ts.21cn.com/tousu/show/id/1373965</t>
  </si>
  <si>
    <t>2019/10/19 15:34:16</t>
  </si>
  <si>
    <t>本人三个月前在新橙优品APP借款3000元，并于本月初还清所有本息，APP也显示结清状态，但是，本人今日查询央行征信记录，仍旧显示未结清状态。</t>
  </si>
  <si>
    <t>闪银奇异暴力催收</t>
  </si>
  <si>
    <t>http://ts.21cn.com/tousu/show/id/1373964</t>
  </si>
  <si>
    <t>2019/10/19 15:34:06</t>
  </si>
  <si>
    <t>投诉人漆先生投诉对象闪银奇异涉诉金额1800元问题类型诉求类型投诉详情闪银奇异暴力催收，客服不管，现请闪银方联系我解决至尊贷问题。</t>
  </si>
  <si>
    <t>惠易借太黑</t>
  </si>
  <si>
    <t>http://ts.21cn.com/tousu/show/id/1373966</t>
  </si>
  <si>
    <t>2019/10/19 15:33:55</t>
  </si>
  <si>
    <t>投诉人李先生投诉对象惠易借涉诉金额5000元问题类型诉求类型投诉详情借3000要还差不多5000没有钱还高额利息了。</t>
  </si>
  <si>
    <t>中信银行不通知就调降信用卡额度</t>
  </si>
  <si>
    <t>http://ts.21cn.com/tousu/show/id/1373961</t>
  </si>
  <si>
    <t>2019/10/19 15:33:48</t>
  </si>
  <si>
    <t>投诉人刘先生投诉对象中信银行信用卡,中信银行涉诉金额5000元问题类型诉求类型投诉详情中信银行在没有通知我的情况下擅自调整我的信用卡额度，已经构成侵犯消费者权利的事实，我诉求立刻给我调整回来不要影响我的正常使用！。</t>
  </si>
  <si>
    <t>合利宝享金科技为兜有米高利贷提供支付通道要求退还砍头息</t>
  </si>
  <si>
    <t>http://ts.21cn.com/tousu/show/id/1373960</t>
  </si>
  <si>
    <t>2019/10/19 15:33:16</t>
  </si>
  <si>
    <t>8月21日在兜有米借款2100实际到账1260。</t>
  </si>
  <si>
    <t>诱导办卡，服务与介绍不一致，</t>
  </si>
  <si>
    <t>http://ts.21cn.com/tousu/show/id/1373959</t>
  </si>
  <si>
    <t>2019/10/19 15:31:22</t>
  </si>
  <si>
    <t>投诉人王先生投诉对象新航国际商务,新航国际商务，阜阳西关机场新航商务，商旅涉诉金额998元问题类型诉求类型投诉详情本人乘坐国航班机阜阳到北京于2019年8月3日下午从阜阳西关机场检票，安检后的候机厅,由工作人员推广新航商旅的所谓的飞机会员卡,销售人员宣称,“公司正在做活动中,可免费领取，新航国际的会员卡,坐飞机打电话可以比任何网上都低的价格，需要去柜台登记一下.”登记时却说,“这个需要预存998元,送1000元,可以从充值金额抵扣,比任何平台都便宜100元以上,终身有效，不限期限,”由于工作人员穿的工作服,</t>
  </si>
  <si>
    <t>欺诈，未经同意就扣款</t>
  </si>
  <si>
    <t>http://ts.21cn.com/tousu/show/id/1373957</t>
  </si>
  <si>
    <t>2019/10/19 15:30:50</t>
  </si>
  <si>
    <t>投诉人白先生投诉对象友缘在线,瑞福缘动涉诉金额168元问题类型诉求类型投诉详情一个APP软件，安装上后未经同意，私自扣款，涉嫌欺诈，，，删除APP一个月后又发短信提示要再次扣款。</t>
  </si>
  <si>
    <t>利息高，app打不开</t>
  </si>
  <si>
    <t>http://ts.21cn.com/tousu/show/id/1373958</t>
  </si>
  <si>
    <t>2019/10/19 15:30:39</t>
  </si>
  <si>
    <t>投诉人谭女士投诉对象米米罐涉诉金额3575元问题类型诉求类型投诉详情本人在米米罐借款2600元到期要还3575元，这利息高得离谱，还有两天到期希望米米罐给个合理的解决方案，而且现在app打不开。</t>
  </si>
  <si>
    <t>快贷钱伴</t>
  </si>
  <si>
    <t>http://ts.21cn.com/tousu/show/id/1373955</t>
  </si>
  <si>
    <t>2019/10/19 15:30:16</t>
  </si>
  <si>
    <t>涉诉金额6000元问题类型诉求类型投诉详情我在快贷平台上申请的钱伴优享5000元，分6期，已经还款5期，每期980多，现在剩余1期，已经逾期，因为利息过高，现在无法接受，需要协商调整利息，目前还款5期已经将近本钱了，。</t>
  </si>
  <si>
    <t>交通银行法务部，保全部欺诈行为</t>
  </si>
  <si>
    <t>http://ts.21cn.com/tousu/show/id/1373954</t>
  </si>
  <si>
    <t>2019/10/19 15:29:57</t>
  </si>
  <si>
    <t>8月10日，交行催收人员打电话催收，并发信息，待其看完后说行，随后本人联系保全部主任，保全部主任让我不用理睬其他人员，按照他说的做就行了，其他人员电话信息不予理会，本人理解为就是按照保全部执行就是了，上海法务部特别通告进行威胁，要求本人还款6000元，本人尽力进行还款！8月26日，交行人员又进行打电话催收，并向本人发信息，加微信协商称法务部、保全部人员与本人进行协商处理，加微信进行威胁！随后本人将自己与之前保全部主任协商沟通聊天发送至法务部人员，待其看完后说“行”，随后本人联系保全部主任，保全部主任让我不用</t>
  </si>
  <si>
    <t>阴阳合同恶意催收</t>
  </si>
  <si>
    <t>http://ts.21cn.com/tousu/show/id/1373953</t>
  </si>
  <si>
    <t>2019/10/19 15:29:25</t>
  </si>
  <si>
    <t>投诉人范女士投诉对象你我贷涉诉金额1500元问题类型诉求类型投诉详情停止催收，消除合同，砍头息15000合同到账1万3多，已经还完1万3多的本金，不停止，后果自负，保留所以相关证据维权。</t>
  </si>
  <si>
    <t>活力花暴力催收严重影响病情</t>
  </si>
  <si>
    <t>http://ts.21cn.com/tousu/show/id/1373952</t>
  </si>
  <si>
    <t>2019/10/19 15:28:15</t>
  </si>
  <si>
    <t>投诉人费女士投诉对象活力花涉诉金额2000元问题类型诉求类型投诉详情多次使用活力花并正常还款，九月因抑郁症入院治疗逾期，出院后联系催收说明情况并协商减免逾期费，催收不同意，反复骚扰来电、打联系人，甚至一天有五名不同的活力花催收联系我，向客服投诉客服不回应，然后来了个号称是活力花专员的联系我说再给我申请，等了一星期、我主动询问结果、说还没结果，然后说结果来了，减免不了，然后又说减免一半，我说减免一半等于减免的后来等待的逾期费，今天又联系我说可以减免全部，但必须提前结清，我正在休息、同意此方案、但请周一处理，催</t>
  </si>
  <si>
    <t>当客get旗下的球鞋指数以各种理由冻结商家货款</t>
  </si>
  <si>
    <t>http://ts.21cn.com/tousu/show/id/1373950</t>
  </si>
  <si>
    <t>2019/10/19 15:27:32</t>
  </si>
  <si>
    <t>本人分别于2019.10.05晚上20.46分，2019.10.06号16.14分分别在get旗下的交易平台球鞋指数app对我账号2笔订单提现，截止目前提现仍未到账，于10.9号给我留言说涉嫌套现，扣除5个点费用，不给扣除就慢慢等，不给提现，但是却不拿出证据，相信不止我一个人碰到这情况，希望各大网站予以公布，要求get当客官方给出解释和解决问题，并且说好的5个工作日给提现，现在说话跟放屁一样，一直不给到账，不处理。</t>
  </si>
  <si>
    <t>714非法贷款仍在横行</t>
  </si>
  <si>
    <t>http://ts.21cn.com/tousu/show/id/1373949</t>
  </si>
  <si>
    <t>2019/10/19 15:27:18</t>
  </si>
  <si>
    <t>投诉人男先生投诉对象卧龙钱包，诸葛借米，微应急涉诉金额2400元问题类型诉求类型投诉详情网络非法714砍头息APP卧龙钱包，诸葛借米，微应急等平台，还在盛行，各种非法贷款平台换个名字依然可以在网上被找到，5天借2200收款1430，利息惊人的770，为什么监管部门不去管，相关联系电话微应急：191******62卧龙钱包：山西晋中0354-3296562，希望取缔所有网络非法平台。</t>
  </si>
  <si>
    <t>714高利贷恶意催收骚扰</t>
  </si>
  <si>
    <t>http://ts.21cn.com/tousu/show/id/1373947</t>
  </si>
  <si>
    <t>2019/10/19 15:25:38</t>
  </si>
  <si>
    <t>火影帮,杭州市民卡,富友支付,国金征信有限公司，通过借款合同得知火影帮公司为国金（深圳）征信有限公司，本人2019年8月5号通过火影帮借款1600元到账1168元，实际需还款1600元，15天之内还款，由上海富友支付提供结算通道到账，上海富友为高炮提供温床应作出处罚，现火影帮催收人员多次威胁恐吓，说要骚扰亲朋好友，在借款期间到现在为止本人连续续期多次，每次续期费用为432元，一共续期费用远远超出这次借款的本金和利息，所以本人要求平台销账，不然的话我只能通过法律途径来投诉上海富友支付和火影帮借款，望火影帮公司</t>
  </si>
  <si>
    <t>通讯录收到骚扰短信</t>
  </si>
  <si>
    <t>http://ts.21cn.com/tousu/show/id/1373945</t>
  </si>
  <si>
    <t>2019/10/19 15:25:30</t>
  </si>
  <si>
    <t>投诉人林女士投诉对象及贷涉诉金额1300元问题类型诉求类型投诉详情希望这次投诉能有用，已经跟催收方那边沟通有钱会还上，但是他们还每天打电话骚扰我通讯录的人，还发短信轰炸。</t>
  </si>
  <si>
    <t>小黑鱼为714高利贷建立平台诱导他人贷款</t>
  </si>
  <si>
    <t>http://ts.21cn.com/tousu/show/id/1373944</t>
  </si>
  <si>
    <t>2019/10/19 15:25:19</t>
  </si>
  <si>
    <t>投诉人杨先生投诉对象小黑鱼科技涉诉金额0元问题类型诉求类型投诉详情小黑鱼未714高利贷建立平台，诱导他人贷款，小黑鱼里的点心贷砍头息！。</t>
  </si>
  <si>
    <t>退款</t>
  </si>
  <si>
    <t>http://ts.21cn.com/tousu/show/id/1373943</t>
  </si>
  <si>
    <t>2019/10/19 15:24:58</t>
  </si>
  <si>
    <t>投诉人冯玉东投诉对象嗨学网涉诉金额14560元问题类型诉求类型投诉详情聚投诉工作人员您好：前两天投诉嗨学网一事，您己联系嗨学网，嗨学网回复让以邮箱方式进行沟通，可是填写好信息却无法发送。</t>
  </si>
  <si>
    <t>平安银行短信轰炸电话骚扰</t>
  </si>
  <si>
    <t>http://ts.21cn.com/tousu/show/id/1373942</t>
  </si>
  <si>
    <t>2019/10/19 15:24:13</t>
  </si>
  <si>
    <t>平安银行信用卡对我进行短信电话轰炸，要求给出解释道歉，赔偿对我的个人生活造成极大影响。</t>
  </si>
  <si>
    <t>北京源石云科技有限公司</t>
  </si>
  <si>
    <t>http://ts.21cn.com/tousu/show/id/1373941</t>
  </si>
  <si>
    <t>2019/10/19 15:24:04</t>
  </si>
  <si>
    <t>高利贷年利率已经超过36%国家如果还不去重视的话！不知道有多少年轻人，走上违法犯罪道路上来！催收还用暴力恐吓等手段爆通讯录！逾期几天违约金就几百块利滚利谁还的起！！客户回答他是合法合规！利息属于正常范围。</t>
  </si>
  <si>
    <t>宝付支付帮28个套路贷平台扣取坎头息</t>
  </si>
  <si>
    <t>http://ts.21cn.com/tousu/show/id/1373940</t>
  </si>
  <si>
    <t>2019/10/19 15:23:38</t>
  </si>
  <si>
    <t>宝付支付与28家714套路贷平台合作扣取坎头息共计19844元。</t>
  </si>
  <si>
    <t>招联金融乱发短信给朋友</t>
  </si>
  <si>
    <t>http://ts.21cn.com/tousu/show/id/1373939</t>
  </si>
  <si>
    <t>2019/10/19 15:22:50</t>
  </si>
  <si>
    <t>投诉人梁先生投诉对象招联金融涉诉金额6000元问题类型诉求类型投诉详情很早之前就已经沟通在平台上减免利息还本金一直没有处理.还硬要加多几千块的利息.还不断给我朋友发短信打电话过去.严重影响别人的生活.还特么骂人.还特么乱发邮件都不知道什么东西.催收电话yi181******25。</t>
  </si>
  <si>
    <t>月光侠分期砍头息高的吓死人</t>
  </si>
  <si>
    <t>http://ts.21cn.com/tousu/show/id/1373938</t>
  </si>
  <si>
    <t>2019/10/19 15:22:45</t>
  </si>
  <si>
    <t>月光侠分期砍头息高的吓死人，借款1800居然要还2800，还不断的打电话骚扰我，威胁我要打电话给我的朋友，对我的生活造成了极大的影响。</t>
  </si>
  <si>
    <t>梧桐诚选大肆折让老百姓血汗钱</t>
  </si>
  <si>
    <t>http://ts.21cn.com/tousu/show/id/1373937</t>
  </si>
  <si>
    <t>2019/10/19 15:22:11</t>
  </si>
  <si>
    <t>投诉人李女士投诉对象梧桐诚选涉诉金额33000元问题类型诉求类型投诉详情平台存在期限错配，期限拆分问题，并拒不承认。</t>
  </si>
  <si>
    <t>要求拍拍贷赔偿，道歉</t>
  </si>
  <si>
    <t>http://ts.21cn.com/tousu/show/id/1373936</t>
  </si>
  <si>
    <t>2019/10/19 15:21:10</t>
  </si>
  <si>
    <t>投诉人陈女士投诉对象拍拍贷涉诉金额1500元问题类型诉求类型投诉详情不是本人贷的，一直积极在和软件配合还款，软件委托第三方威胁，恐吓，收取不合法律法规的高额费用，希望拍拍贷软件自己与我联系，只偿还本金。</t>
  </si>
  <si>
    <t>办理信用卡激活后不能使用</t>
  </si>
  <si>
    <t>http://ts.21cn.com/tousu/show/id/1373934</t>
  </si>
  <si>
    <t>2019/10/19 15:20:47</t>
  </si>
  <si>
    <t>投诉人李先生投诉对象江南农商银行涉诉金额4000元问题类型诉求类型投诉详情征信正常无逾期无征信污点批卡后不能使用骗取用户信息，虚假广告。</t>
  </si>
  <si>
    <t>不按规定收取担保费用，实际到账跟合同显示不符</t>
  </si>
  <si>
    <t>http://ts.21cn.com/tousu/show/id/1373933</t>
  </si>
  <si>
    <t>2019/10/19 15:20:16</t>
  </si>
  <si>
    <t>投诉人孟女士投诉对象中国人民保险集团涉诉金额9350元问题类型诉求类型投诉详情不按国家规定添加保费，而且合同是到账金额25350，实际到账金额是16000，这个9350这个保费是干什么的，符合国家规定吗。</t>
  </si>
  <si>
    <t>美团辱骂我的通讯录好友</t>
  </si>
  <si>
    <t>http://ts.21cn.com/tousu/show/id/1373932</t>
  </si>
  <si>
    <t>2019/10/19 15:20:07</t>
  </si>
  <si>
    <t>投诉人王女士投诉对象美团金融涉诉金额10000元问题类型诉求类型投诉详情美团催收人员恶意骚扰辱骂我朋友并对我进行威胁我已经说了走法律程序他们一直威胁加大催收力度。</t>
  </si>
  <si>
    <t>优信二手车套路</t>
  </si>
  <si>
    <t>http://ts.21cn.com/tousu/show/id/1373931</t>
  </si>
  <si>
    <t>2019/10/19 15:19:55</t>
  </si>
  <si>
    <t>投诉人郭先生投诉对象优信二手车涉诉金额235800元问题类型诉求类型投诉详情优信二手车未把双方签署合同交到我方手中签署合同的金额和实际欠款金额不符后期还款逾期暴力催收强制收车。</t>
  </si>
  <si>
    <t>投诉招联金融催收骚扰</t>
  </si>
  <si>
    <t>http://ts.21cn.com/tousu/show/id/1373930</t>
  </si>
  <si>
    <t>2019/10/19 15:19:12</t>
  </si>
  <si>
    <t>投诉人张女士投诉对象招联金融涉诉金额40000元问题类型诉求类型投诉详情本人使用招联金融以来一直正常还款，最近家里发生巨大变故，加上公司裁员，无法正常还款，致电招联金融要求协商还款，说记录给答复，但期间催收一直骚扰我和家人，朋友，爆我通讯录，威胁我的家人，给我生活完成巨大影响！我大姑妈80多岁的人，心脏不好，居然不停给她打电话，我母亲癌症化疗中，也一直骚扰她，招联这是不给人活路了吗。</t>
  </si>
  <si>
    <t>特约中建投银企入金在本人不知情的情况下扣刷本人银行卡内资金</t>
  </si>
  <si>
    <t>http://ts.21cn.com/tousu/show/id/1373929</t>
  </si>
  <si>
    <t>2019/10/19 15:19:10</t>
  </si>
  <si>
    <t>的账户，在本人不知情的情况下，扣刷本人兴业银行卡内资金。</t>
  </si>
  <si>
    <t>高利贷，砍头息</t>
  </si>
  <si>
    <t>http://ts.21cn.com/tousu/show/id/1373928</t>
  </si>
  <si>
    <t>2019/10/19 15:19:05</t>
  </si>
  <si>
    <t>投诉人高女士投诉对象温州兴卓服饰设计有限公司,小猪花花涉诉金额18035元问题类型诉求类型投诉详情这个是服装设计公司，旗下好几个小额贷高利贷。</t>
  </si>
  <si>
    <t>要求反还不经我的同意就擅自扣除的扣款</t>
  </si>
  <si>
    <t>http://ts.21cn.com/tousu/show/id/1373926</t>
  </si>
  <si>
    <t>2019/10/19 15:18:12</t>
  </si>
  <si>
    <t>投诉人余雪芳投诉对象钱橙无忧涉诉金额168元问题类型诉求类型投诉详情不经过我本人同意就从我银行账户上扣费。</t>
  </si>
  <si>
    <t>美好分期套路贷暴力催收，轰炸我通讯录，威胁恐吓我家人辱骂我朋友</t>
  </si>
  <si>
    <t>http://ts.21cn.com/tousu/show/id/1373925</t>
  </si>
  <si>
    <t>2019/10/19 15:18:09</t>
  </si>
  <si>
    <t>投诉人吴瑞投诉对象美好分期平台,套路贷涉诉金额2100元问题类型诉求类型投诉详情逾期了，态度超级恶劣，说我不还就要爆通讯录和上征信！！。</t>
  </si>
  <si>
    <t>上海你我贷互联网金融信息服务有限公司催收骚扰我，朋友欠钱给我打电话骚扰恐吓骂我没长耳朵</t>
  </si>
  <si>
    <t>http://ts.21cn.com/tousu/show/id/1373924</t>
  </si>
  <si>
    <t>2019/10/19 15:17:19</t>
  </si>
  <si>
    <t>你我贷,上海你我贷互联网金融信息服务有限公司，网络贷款总是给我打骚扰电话，我又没欠他们钱，严重的影响了我的生活，不知道后续还会对我用什么手段。</t>
  </si>
  <si>
    <t>动态壁纸非法扣费263元</t>
  </si>
  <si>
    <t>http://ts.21cn.com/tousu/show/id/1373923</t>
  </si>
  <si>
    <t>2019/10/19 15:16:53</t>
  </si>
  <si>
    <t>投诉人张先生投诉对象动态壁纸涉诉金额263元问题类型诉求类型投诉详情动态壁纸软件是从抖音上看到的广告宣传，下载APP的时候并没有收费告知，却在3天后扣款263元，且APP上联系不到客服，发的确认邮件却是以苹果APPLE的邮件名发的，让人误以为是苹果官方发的邮件，强烈要求退款，并让次APP下架，免得有更多受害者上当。</t>
  </si>
  <si>
    <t>金高银未经同意直接从银行卡扣钱</t>
  </si>
  <si>
    <t>http://ts.21cn.com/tousu/show/id/1373922</t>
  </si>
  <si>
    <t>2019/10/19 15:16:04</t>
  </si>
  <si>
    <t>投诉人冯先生投诉对象金高银涉诉金额199元问题类型诉求类型投诉详情本人在金高银app实名认证绑定银行卡后直接被扣199元，本人不知道的情况下直接被扣了。</t>
  </si>
  <si>
    <t>成都信星星服饰放高利贷</t>
  </si>
  <si>
    <t>http://ts.21cn.com/tousu/show/id/1373920</t>
  </si>
  <si>
    <t>2019/10/19 15:13:06</t>
  </si>
  <si>
    <t>做服装批发的，确放高利贷，714高炮，砍头息。</t>
  </si>
  <si>
    <t>京东金条恶性催收</t>
  </si>
  <si>
    <t>http://ts.21cn.com/tousu/show/id/1373918</t>
  </si>
  <si>
    <t>2019/10/19 15:13:02</t>
  </si>
  <si>
    <t>由于本人生意经营不善导致资金巨大亏空，目前个人资金周转不开，主动联系京东金融客服电话又打不通，现在本人希望京东方面尽快联系本人协商还款，客服电话总是忙线，或者京东方面提供一个能够联系得上的联系方式而不是所谓的客服电话，京东方面骚扰通讯录及家人不止一次，希望能通过这个平台好好沟通解决，一定要尽快处理！！！。</t>
  </si>
  <si>
    <t>美利是高利贷</t>
  </si>
  <si>
    <t>http://ts.21cn.com/tousu/show/id/1373917</t>
  </si>
  <si>
    <t>2019/10/19 15:12:58</t>
  </si>
  <si>
    <t>我是去年十月十八号贷款买的车，车价是十二万九，首付自己花了两万九，保险4500，贷款金额是十万，一个月还4122.56还了一年，一年申请提前还款，告诉我还要还90639.28，4122.56✖️12等于49470.72，买车十万还五万了，还要还九万多，这不是高利贷这是啥！。</t>
  </si>
  <si>
    <t>玖富万卡无法协商还款</t>
  </si>
  <si>
    <t>http://ts.21cn.com/tousu/show/id/1373915</t>
  </si>
  <si>
    <t>2019/10/19 15:12:52</t>
  </si>
  <si>
    <t>现在打开APP又要我还18676.67，和他们人工客服说昨天扣款的是21800是借款信息服务费，有什么贷款平台服务费高达8820.07，希望聚众投诉平台还我一个公道还一个合法公民应有的权益，这个中国还有没有法律了！现在你们说服务费就服务费！你们说这合理吗，怎么提前结清的时候怎么不说明是服务费了！我总够才借了你们25100已经还了4期了，还有21800你们真能颠倒黑白！他们当中国法律不存在了啊！我要每个部门去举报上去，我就不信他们能一手遮天！希望聚众投诉平台还我一个公道，还一个合法公民应有的权益！遇到不公平的</t>
  </si>
  <si>
    <t>钱老哥套路贷暴力催收</t>
  </si>
  <si>
    <t>http://ts.21cn.com/tousu/show/id/1373914</t>
  </si>
  <si>
    <t>2019/10/19 15:12:07</t>
  </si>
  <si>
    <t>还款期9月25号，账户有钱未扣，第二天主动还款，还不进去，连续几天都主动还不进，之后就联系客服，电话打不进去，也没客服联系我，突然到现在，利息高了，让我还，目无枉法的暴力催收和套路贷，望贵平台介入协商。</t>
  </si>
  <si>
    <t>恶意欺诈</t>
  </si>
  <si>
    <t>http://ts.21cn.com/tousu/show/id/1373913</t>
  </si>
  <si>
    <t>2019/10/19 15:11:01</t>
  </si>
  <si>
    <t>投诉人 齐女士        投诉对象  网易        涉诉金额  7 625 元    问题类型    诉求类型投诉详情  客服说不能提现，银行维护。后来又说什么跟着她操作，后未操作。后来再登上账号发现钱没了。客服暂停服务</t>
  </si>
  <si>
    <t>2017年7月诚信贷非法吸金3600万，未还款本人232300.27元人民币。希望相关部门做出有效回应.</t>
  </si>
  <si>
    <t>http://ts.21cn.com/tousu/show/id/1373875</t>
  </si>
  <si>
    <t>2019/10/19 15:10:55</t>
  </si>
  <si>
    <t>10月9日，通过第三方支付通道“华兴银行”充值222748元，投资了该平台发布的各种信用标、抵押标，共计待收本金224,200.00元，部分到期后提现5806.53元，剩余224200元于2017年7月10日投资BJ17097-2，应于2017年10月8日到期，但到期后并未偿还本金及利息共21273.42元，通过第三方支付通道华兴银行充值222748元，投资了该平台发布的各种信用标、抵押标，共计待收本金224,200.00元，部分到期后提现5806.53元，剩余224200元于2017年7月10日投资BJ1</t>
  </si>
  <si>
    <t>省呗暴力催收</t>
  </si>
  <si>
    <t>http://ts.21cn.com/tousu/show/id/1373912</t>
  </si>
  <si>
    <t>2019/10/19 15:10:19</t>
  </si>
  <si>
    <t>本人爱人住院，要求暂还两天还款，对方要求必须还款不还款给我走流程.今天在不停骚扰我通讯录。</t>
  </si>
  <si>
    <t>投诉小米金融暴力催收</t>
  </si>
  <si>
    <t>http://ts.21cn.com/tousu/show/id/1373911</t>
  </si>
  <si>
    <t>2019/10/19 15:09:47</t>
  </si>
  <si>
    <t>本人使用小米金融期间一直正常还款，近期家里出现巨大变故，公司也裁员，失去经济来源，我主动与小米金融协商分期还款方案，被拒绝，说无法提供此服务，催收一直不停打我电话，一天打好几个，还骚扰我母亲，我年近80的亲属，爆我通讯录，态度及其恶劣，请小米立即停止骚扰和暴力催收，协商还款方案。</t>
  </si>
  <si>
    <t>投中信银行信用卡暴力催收，已让我丢失了工作</t>
  </si>
  <si>
    <t>http://ts.21cn.com/tousu/show/id/1373910</t>
  </si>
  <si>
    <t>2019/10/19 15:09:39</t>
  </si>
  <si>
    <t>中信银行暴力催收，一天内数次骚扰公司行政及财务人员，让我丢失面子而且面临失业危险，根本无法正常工作正常生活，要求中信银行彻查暴力催收，并道歉因为暴力催收，每次都打到公司影响我的工作，换了几份工作依然不停的暴力催收，无法正常作息，且新换的工作，因被中信暴力催收一天内狂打公司电话而导致丢失了工作，另外，中信银行信用卡暴力催收，查通讯录联系人，狂打公司电话和联系人电话，因而没有朋友愿意理会我，且借不到钱还信用卡，新换了几份工作也因为暴力催收而丢失，所以没有经济收入，无法偿还。</t>
  </si>
  <si>
    <t>威胁恐吓</t>
  </si>
  <si>
    <t>http://ts.21cn.com/tousu/show/id/1373909</t>
  </si>
  <si>
    <t>2019/10/19 15:07:46</t>
  </si>
  <si>
    <t>08年办的广发信用卡，之前还款记录良好，上个月由于我被农行起诉了，导致我工资卡被法院冻结，所以也就没法还，导致逾期了，我也把判决书发给他们的工作人员了，今天中午12点30，有一男一女去我家，我之前已经和他们说的很清楚，有事直接找我，不要去骚扰我爸妈，结果他们对我爸妈很凶，就一直盯着他们，还说不拿到钱就不走，我爸妈本来就心脏不好，万一他们倒下了，我也和你们没完，他们是不是要把我爸妈气死才开心，把我逼死了他们就能拿到钱了，临走威胁我爸妈，让我周一在家乖乖等着，他们再来，这件事不给我个满意说法，我会直接去银监会投</t>
  </si>
  <si>
    <t>打电话骚扰家人，一分钟一个电话催收骚扰，态度恶劣</t>
  </si>
  <si>
    <t>http://ts.21cn.com/tousu/show/id/1373907</t>
  </si>
  <si>
    <t>2019/10/19 15:07:43</t>
  </si>
  <si>
    <t>一分钟一个电话骚扰催收，我又不是不还，你特么的催催催，态度还极其恶劣，我觉得用这种手段会有人还吗，还我也是要托你两三天的还，我去查个人征信了，也打出来了，就没有你们拍拍贷的，你还告诉我上征信上征信的，你是觉得都不会去查对吧，还有警察已经介入了，虽然不太属于高利贷，但是你们打电话骚扰家人，还有对我的生活造成了影响，那也是会被起诉的，也会被查的，不如你发个打款账户还有账户号给我，看看会不会去查吧，这样对谁都好，再说了这个月月底或者这个月月初就还了，你们一直催催催，还说完了就给直接挂掉了，听别人说话的一分钟都没有</t>
  </si>
  <si>
    <t>http://ts.21cn.com/tousu/show/id/1373906</t>
  </si>
  <si>
    <t>2019/10/19 15:07:39</t>
  </si>
  <si>
    <t>催收在前期能联系到借款人的前提居然私自联系通讯录上的家人。</t>
  </si>
  <si>
    <t>暴力催收，恐吓，威胁，骚扰，群发短信</t>
  </si>
  <si>
    <t>http://ts.21cn.com/tousu/show/id/1373905</t>
  </si>
  <si>
    <t>2019/10/19 15:07:14</t>
  </si>
  <si>
    <t>小花钱包暴力催收，爆通讯录，电话一直打的不停，他们在不停止，我就到公安局报警，立案侦查。</t>
  </si>
  <si>
    <t>淘宝购买iphoneXSMAX美版无锁不良商家以有锁机替代无锁机</t>
  </si>
  <si>
    <t>http://ts.21cn.com/tousu/show/id/1373679</t>
  </si>
  <si>
    <t>2019/10/19 15:06:59</t>
  </si>
  <si>
    <t>投诉人黄先生投诉对象淘宝商家潮客电讯涉诉金额7015元问题类型诉求类型投诉详情2018年12月24号在淘宝潮客电讯购买一款iphoneXSMAX美版无锁，金额为7015，卖家发出的货是有锁机，之前一直没刷机没升级系统所以一直正常使用，直到2019年10月份恢复系统后发现无法激活手机，后经查询发现是美版有锁机型，与实际下单的机型不符合，之后联系商家处理此事，商家一再推脱延迟，之后将手机退回商家要求处理，10月7日显示手机被签收，一直到今天10月19号，期间商家说48小时处理好，可已经超出时间还未处理，联系商家</t>
  </si>
  <si>
    <t>钱橙无忧随意扣费</t>
  </si>
  <si>
    <t>http://ts.21cn.com/tousu/show/id/1373903</t>
  </si>
  <si>
    <t>2019/10/19 15:06:23</t>
  </si>
  <si>
    <t>投诉人 余雪芳        投诉对象  钱橙无忧        涉诉金额  168 元    问题类型    诉求类型投诉详情  要求原路反还没经过同意的就自行的已扣款。</t>
  </si>
  <si>
    <t>聚福钱包私自扣费</t>
  </si>
  <si>
    <t>http://ts.21cn.com/tousu/show/id/1373904</t>
  </si>
  <si>
    <t>投诉人 韩先生        投诉对象  聚福钱包        涉诉金额  299 元    问题类型    诉求类型投诉详情  未经本人许可 私自扣款现要求聚福钱包退款</t>
  </si>
  <si>
    <t>闪电借款暴力催收恶意骚扰联系人</t>
  </si>
  <si>
    <t>http://ts.21cn.com/tousu/show/id/1373902</t>
  </si>
  <si>
    <t>2019/10/19 15:05:57</t>
  </si>
  <si>
    <t>投诉人蒲先生投诉对象掌众金服涉诉金额1499元问题类型诉求类型投诉详情闪电借款，在我暂时有困难下已经还一小部分，不给我时间，暴力催力，疯狂打我电话和联系人电话，存在暴力催收，在闪电商城存在阳阳合同，和实际借款严重不符合。</t>
  </si>
  <si>
    <t>捷信金融公司收取工本费用之后，以账户被冻结不放款，还不退还工本费。</t>
  </si>
  <si>
    <t>http://ts.21cn.com/tousu/show/id/1373901</t>
  </si>
  <si>
    <t>2019/10/19 15:05:54</t>
  </si>
  <si>
    <t>投诉人魏先生投诉对象捷信金融涉诉金额300元问题类型诉求类型投诉详情捷信金融公司以短信方式通知我还款信用良好，在他们公司有六万的额度可用，短信有网址链接，我点了链接就下载了捷信金融APP，填写了资料申请了三万元的额度，但是想要提现的话，就要先支付工本费，一万元的话，就是支付三百，由于本人最近着急用钱没有多想，就用我老婆的微信支付了，对方说支付成功之后直接提现就可以到账了，也就五到二十分钟就可以放款到账了，可是到时间我得也没有到账，我又咨询客服，客服说我的被冻结了，放不了款，我说给我退款吧，客服说好的，可是到</t>
  </si>
  <si>
    <t>马上金融打电话第三方上门催收爆通讯录给亲戚朋友打电话</t>
  </si>
  <si>
    <t>http://ts.21cn.com/tousu/show/id/1373900</t>
  </si>
  <si>
    <t>2019/10/19 15:05:43</t>
  </si>
  <si>
    <t>今天给我亲戚打电话上门找我已经严重影响了我的生活。</t>
  </si>
  <si>
    <t>维信卡卡贷涉嫌高利率和砍头息</t>
  </si>
  <si>
    <t>http://ts.21cn.com/tousu/show/id/1373899</t>
  </si>
  <si>
    <t>2019/10/19 15:05:38</t>
  </si>
  <si>
    <t>投诉人吴瑞投诉对象卡卡贷涉诉金额10000元问题类型诉求类型投诉详情利息太高，承受不起，借10000，一年居然要3000多的利息，。</t>
  </si>
  <si>
    <t>罗汉分期私自扣所谓的会员费</t>
  </si>
  <si>
    <t>http://ts.21cn.com/tousu/show/id/1373896</t>
  </si>
  <si>
    <t>2019/10/19 15:03:49</t>
  </si>
  <si>
    <t>罗汉分期平台未经过我的同意私自扣了198元的所谓的会员服务费，找客服沟通不需要会员服务仍不予以退还会员费。</t>
  </si>
  <si>
    <t>信而富套路货不解决</t>
  </si>
  <si>
    <t>http://ts.21cn.com/tousu/show/id/1373898</t>
  </si>
  <si>
    <t>2019/10/19 15:03:43</t>
  </si>
  <si>
    <t>投诉人 邓先生        投诉对象  信而富,中金支付        涉诉金额  2 257 元    问题类型    诉求类型投诉详情  信而富变相收费 阴阳合同 收取前期费用 中金支付本身没有放货功能 收取前期费用 信而富客服不预处理 我将去更多平台实名举报</t>
  </si>
  <si>
    <t>投诉贷上钱要求停止骚扰</t>
  </si>
  <si>
    <t>http://ts.21cn.com/tousu/show/id/1373897</t>
  </si>
  <si>
    <t>2019/10/19 15:03:40</t>
  </si>
  <si>
    <t>投诉人 廖女士        投诉对象  贷上钱        涉诉金额  5 064 元    问题类型    诉求类型投诉详情  带上借款四千 还款五千零六十四 今天钱没有周转开 就爆通讯录</t>
  </si>
  <si>
    <t>暴力催收，骚扰</t>
  </si>
  <si>
    <t>http://ts.21cn.com/tousu/show/id/1373895</t>
  </si>
  <si>
    <t>2019/10/19 15:02:48</t>
  </si>
  <si>
    <t>投诉人张先生投诉对象借了呗涉诉金额0元问题类型诉求类型投诉详情朋友欠他们公司的钱，频繁打电话骚扰我，影响给人生活，态度差，挂电话以后，还用网络电话呼我，请给合理的解释。</t>
  </si>
  <si>
    <t>冒充公检法进行骚扰</t>
  </si>
  <si>
    <t>http://ts.21cn.com/tousu/show/id/1373837</t>
  </si>
  <si>
    <t>2019/10/19 15:02:13</t>
  </si>
  <si>
    <t>省呗联合包商银行冒充公检法，对我的通讯录联系人进行骚扰！泄漏隐私！行为可耻！不止一次给通讯录联系人以公检法的名义进行无休止的骚扰！！要求马上停止骚扰！！！。</t>
  </si>
  <si>
    <t>水莲金条阴阳合同欺诈</t>
  </si>
  <si>
    <t>http://ts.21cn.com/tousu/show/id/1373893</t>
  </si>
  <si>
    <t>2019/10/19 15:01:58</t>
  </si>
  <si>
    <t>投诉人邓先生投诉对象水莲金条涉诉金额5000元问题类型诉求类型投诉详情本人2019年4月19日在水莲金条上借款5000元，5000元到卡就给水莲金条砍头扣回750说是服务费，等于到账是4250元，选择的是6期还款，第一期是4月30日还款740，之后到九月份都是30日每期还款740元，截止本人已经还完6期的还款，总还款额4440元多！可是今天催收告诉我我逾期了10月16日账单！我借的是6期，怎么又跑出第7期来呢如果说加上砍头息就是8期。</t>
  </si>
  <si>
    <t>宜信宜人贷高额收取代款利息及砍头息5万多元</t>
  </si>
  <si>
    <t>http://ts.21cn.com/tousu/show/id/1373892</t>
  </si>
  <si>
    <t>2019/10/19 15:01:46</t>
  </si>
  <si>
    <t>2017年由于囤货需要借了3万，当时打电话确认的并没有告诉合同里的服务费，也不知道一共要还5万，只说每个月还一千多点，自己心里算了一下多出来几千的利息很正常，后期还款看过后台发现还了一年了才还了8000多，这才仔细看了自己的合同，原来我要多还一万五千多不是自认为的多出几千的利息，现在本金加利息已经还了33480，从没逾期，但最近由于生意亏损，家父生病花了十多万现在没有多余的钱再继续还里面，希望协商。</t>
  </si>
  <si>
    <t>app故障不能还款导致逾期，客服电话停机，QQ客服联系不到</t>
  </si>
  <si>
    <t>http://ts.21cn.com/tousu/show/id/1373891</t>
  </si>
  <si>
    <t>2019/10/19 15:01:39</t>
  </si>
  <si>
    <t>到期还款，app故障不能线上还款，提示线下联系客服，联系不到客服，也没有工作人员给我打电话，导致逾期一天。</t>
  </si>
  <si>
    <t>富有支付为现金巴士套路贷提供支付渠道</t>
  </si>
  <si>
    <t>http://ts.21cn.com/tousu/show/id/1373890</t>
  </si>
  <si>
    <t>2019/10/19 15:01:32</t>
  </si>
  <si>
    <t>投诉人黄女士投诉对象现金巴士,富友支付,小富商城涉诉金额5000元问题类型诉求类型投诉详情本人于今年5月-10月在现金巴士平台借款4次，合计5000元，被要求购买4次188元超级会员，合计752元，会员费由富友支付收取，这种购买会员才能借款的方式早已被国家认定为套路贷砍头息的一种，现要求支付平台及现金巴士退回不合理收取的会员费用。</t>
  </si>
  <si>
    <t>虚假信息取报名费，希望得到解决退费</t>
  </si>
  <si>
    <t>http://ts.21cn.com/tousu/show/id/1373868</t>
  </si>
  <si>
    <t>2019/10/19 15:01:22</t>
  </si>
  <si>
    <t>投诉人刁女士投诉对象芸学教育涉诉金额2700元问题类型诉求类型投诉详情不正规，并且没有做到收费之前承诺的，什么都没有做就收费2700元，还不允许退费，一开始报考健康咨询师，培训费给了这么多，结果一直没结果，后面报考的时候说可以在上海考，报名交钱之后又说不可以，后来换到南京去报考结果，南京需要现场确认，后来就更换成杭州报考，班主任找借口说这是国家的问题并不是他们的问题，结果杭州说机位不够，今年报考不可以说要到明年四月份才可以报考，然后要求退费班主任不予回答，并且在网上查询到这个公司北京，天津都有，一共两家公司</t>
  </si>
  <si>
    <t>快贷高利贷</t>
  </si>
  <si>
    <t>http://ts.21cn.com/tousu/show/id/1373889</t>
  </si>
  <si>
    <t>2019/10/19 15:00:52</t>
  </si>
  <si>
    <t>涉诉金额6192元问题类型诉求类型投诉详情借5000九期共还款6192.99，收取高额服务费，只借一期申请减免，客服说不给减免并且威胁和外包催收公司有合作，不还款会进行爆通讯录威胁等方式。</t>
  </si>
  <si>
    <t>农业银行商城绿森供应商拒不发货，协商无果</t>
  </si>
  <si>
    <t>http://ts.21cn.com/tousu/show/id/1373888</t>
  </si>
  <si>
    <t>2019/10/19 15:00:28</t>
  </si>
  <si>
    <t>投诉人詹捷报投诉对象农业银行涉诉金额5540元问题类型诉求类型投诉详情本人于9.18在农业银行分期商城购买苹果11紫色手机一台，金额5540元，页面承诺10个工作日内发完，之后一周，绿森单方面更改条款10个工作日发完变为3个星期发完，涉及虚伪宣传，10.13远已超出承诺发货时间，打电话给绿森，对方回应紫色缺货无法发出且无法给出履行合约的时间，协商无果，后打电话给农业银行，客服称绿森为第三方商家，农行无权管辖，本次投诉农业银行未对供应商严格审核，导致商家虚假宣传，且未尽到平台责任，对商家进行管理，要求农业银行</t>
  </si>
  <si>
    <t>合同欺诈，私自扣款</t>
  </si>
  <si>
    <t>http://ts.21cn.com/tousu/show/id/1373887</t>
  </si>
  <si>
    <t>2019/10/19 15:00:08</t>
  </si>
  <si>
    <t>聚富分期骗人，恶意扣款！大骗无缘无故扣我50。</t>
  </si>
  <si>
    <t>证据充分，今借到平台不处理</t>
  </si>
  <si>
    <t>http://ts.21cn.com/tousu/show/id/1373886</t>
  </si>
  <si>
    <t>2019/10/19 14:59:40</t>
  </si>
  <si>
    <t>投诉人徐健投诉对象今借到涉诉金额700元问题类型诉求类型投诉详情本人与17年打了在今借到的借条，还款是微信转账，然后证据也提供给今借到平台了，过了有半个月了还不处理，希望得到处理。</t>
  </si>
  <si>
    <t>交通银行暴力催收</t>
  </si>
  <si>
    <t>http://ts.21cn.com/tousu/show/id/1373885</t>
  </si>
  <si>
    <t>2019/10/19 14:59:37</t>
  </si>
  <si>
    <t>本人朋友由于家庭变故，导致信用卡还不上，交通银行降低额度，我说我可以替他还，但需要本月工资发了，由于我是我朋友的紧急联系人，现在交通银行开始对我每天进行电话骚扰，我要求他们停止对我的骚扰，下周我帮我朋友还钱。</t>
  </si>
  <si>
    <t>钱包易贷暴力催收不断打电话骚扰</t>
  </si>
  <si>
    <t>http://ts.21cn.com/tousu/show/id/1373883</t>
  </si>
  <si>
    <t>2019/10/19 14:59:18</t>
  </si>
  <si>
    <t>投诉人 胡先生        投诉对象  钱包易贷        涉诉金额  3 000 元    问题类型    诉求类型投诉详情  催收 不断骚扰 严重影响生活质量 辱骂侮辱人</t>
  </si>
  <si>
    <t>招商银行信用卡违约金罚息</t>
  </si>
  <si>
    <t>http://ts.21cn.com/tousu/show/id/1373884</t>
  </si>
  <si>
    <t>2019/10/19 14:58:58</t>
  </si>
  <si>
    <t>当时逾期第二天催收人员打电话过来劈头盖脸的一顿骂。</t>
  </si>
  <si>
    <t>高利息泄露个人隐私</t>
  </si>
  <si>
    <t>http://ts.21cn.com/tousu/show/id/1373881</t>
  </si>
  <si>
    <t>2019/10/19 14:58:49</t>
  </si>
  <si>
    <t>投诉人李泰先生投诉对象活力花涉诉金额2700元问题类型诉求类型投诉详情本人因工作原因才借贷，天天打电话骚扰我的朋友，不知道逾期费用太高了，现在逾期了那么久，希望可以减少一点，没有那么多的钱还高逾期费，20号结清费用谢谢。</t>
  </si>
  <si>
    <t>交通银行信用卡第三方暴力催收</t>
  </si>
  <si>
    <t>http://ts.21cn.com/tousu/show/id/1373880</t>
  </si>
  <si>
    <t>2019/10/19 14:58:43</t>
  </si>
  <si>
    <t>投诉人马女士投诉对象交通银行信用卡中心涉诉金额17000元问题类型诉求类型投诉详情交行第三方每天打几十个电话骚扰我家人，严重影响我工作生活，他们的电话是131******59。</t>
  </si>
  <si>
    <t>聚福钱包未经许可私自扣款</t>
  </si>
  <si>
    <t>http://ts.21cn.com/tousu/show/id/1373878</t>
  </si>
  <si>
    <t>2019/10/19 14:58:37</t>
  </si>
  <si>
    <t>10月18日，我在小七钱包下载了聚福钱包app，注册并登录了app，贷款没做成，反而在今天19日莫名其妙的扣了我100，我提供银行卡号是为了借款，不是让他们随意乱扣费的。</t>
  </si>
  <si>
    <t>马上消费金融账单已还完，但是他们征信未给我征信，说我逾期，好久都不处理，现在联系不上人</t>
  </si>
  <si>
    <t>http://ts.21cn.com/tousu/show/id/1373879</t>
  </si>
  <si>
    <t>2019/10/19 14:58:20</t>
  </si>
  <si>
    <t>投诉人索女士投诉对象马上消费金融涉诉金额1000元问题类型诉求类型投诉详情账单已经还清，征信未给我处理，而且联系不上人，跟失踪一样，说好处理征信问题，加赔偿，现在找不到，我需要解释，麻烦帮我。</t>
  </si>
  <si>
    <t>无故扣除卡内的钱</t>
  </si>
  <si>
    <t>http://ts.21cn.com/tousu/show/id/1373877</t>
  </si>
  <si>
    <t>2019/10/19 14:58:19</t>
  </si>
  <si>
    <t>本人于2019年10月10日22:06分申请钱橙无忧app，后来深圳市恒富创荣科技有限公司于2019年10月19日12:39分无故扣除本人银行卡168元款项，本人强烈要求退还168元人民币。</t>
  </si>
  <si>
    <t>利森林高利贷</t>
  </si>
  <si>
    <t>http://ts.21cn.com/tousu/show/id/1373876</t>
  </si>
  <si>
    <t>2019/10/19 14:58:01</t>
  </si>
  <si>
    <t>投诉人 张先生        投诉对象  豆豆钱        涉诉金额  0 元    问题类型    诉求类型投诉详情  豆豆钱推荐的利森林非法高利贷 借3000元只可以用4天 平台服务费1200到账1800 有图有真相</t>
  </si>
  <si>
    <t>立借欺诈合同</t>
  </si>
  <si>
    <t>http://ts.21cn.com/tousu/show/id/1373874</t>
  </si>
  <si>
    <t>2019/10/19 14:57:42</t>
  </si>
  <si>
    <t>投诉人胡先生投诉对象立借涉诉金额6500元问题类型诉求类型投诉详情9月分在立借借款6500元分12期，账单出来后第一期3119.97，第二期2827.47，第三期2242.56，往后每期要还72元左右，我对立借的合同提出疑问并要求按照国家法定利率提前结清，联系客服提前结清客服表示不予减免，我对立借的合同提出疑问，并要求按照国家法定利率提前结清。</t>
  </si>
  <si>
    <t>要求退款</t>
  </si>
  <si>
    <t>http://ts.21cn.com/tousu/show/id/1373873</t>
  </si>
  <si>
    <t>2019/10/19 14:57:41</t>
  </si>
  <si>
    <t>投诉人 徐先生        投诉对象  借呗        涉诉金额  1 000 元    问题类型    诉求类型投诉详情  退款给我，联系我一下谢谢啦？？？？？？？</t>
  </si>
  <si>
    <t>广州合利宝为蜂窝钱包高利贷平台提供支付通道要求退还砍头息</t>
  </si>
  <si>
    <t>http://ts.21cn.com/tousu/show/id/1373872</t>
  </si>
  <si>
    <t>2019/10/19 14:56:46</t>
  </si>
  <si>
    <t>投诉人 孟先生        投诉对象  合利宝,蜂窝钱包        涉诉金额  1 000 元    问题类型    诉求类型投诉详情  8月21日在蜂窝钱包借款2700 实际到账1728 8月26日还款2700 5天利息972 要求退还砍头息972</t>
  </si>
  <si>
    <t>快递将我1089的商品丢失只赔80元</t>
  </si>
  <si>
    <t>http://ts.21cn.com/tousu/show/id/1373870</t>
  </si>
  <si>
    <t>2019/10/19 14:56:10</t>
  </si>
  <si>
    <t>10月8日将快递寄出，随后快递员联系我商品丢失让我打顺丰客服投诉，12日收到理赔员回复未保价不管商品价值只能赔付运费7倍84元，之后一个星期内我多次拨打客服电话说会联系专员，一直无人处理，经查询相关法律，我有证据证明商品价值是1089，顺丰完全无视商品价值只肯按运费倍数赔偿84元，原因是未保价，根据法律快递单中的保价条款是快递企业为重复使用而预先制定的、未经与相对人协商，因此保价条款属于格式条款中的一种，应受合同法关于格式条款的约束，快递公司的主要合同义务应包括安全、及时送达快件，如因快递公司自身原因导致快</t>
  </si>
  <si>
    <t>闪电借款黑卡套路砍头息</t>
  </si>
  <si>
    <t>http://ts.21cn.com/tousu/show/id/1373867</t>
  </si>
  <si>
    <t>2019/10/19 14:55:06</t>
  </si>
  <si>
    <t>变相收取砍头息一百多元的财神黑卡，希望退回！！！本人因工作原因在账单日无法按时还款，已经与客服协商延期还款无果！所以在贵平台发布，希望协商一下，希望延期在11.16日还款！本人有非常强烈的还款欲望，望贵平台与借贷公司协商延期还款与退还财神黑卡卡费！麻烦了。</t>
  </si>
  <si>
    <t>厚钱包，现在叫后助手。名义存管厦门银行放高炮。目前订单已经无法查看。</t>
  </si>
  <si>
    <t>http://ts.21cn.com/tousu/show/id/1373869</t>
  </si>
  <si>
    <t>2019/10/19 14:55:01</t>
  </si>
  <si>
    <t>六月份被其厚本金融正规名义在其App内部使用一款名叫葫芦贷产品。</t>
  </si>
  <si>
    <t>没在好享化借钱却被要求还款</t>
  </si>
  <si>
    <t>http://ts.21cn.com/tousu/show/id/1373866</t>
  </si>
  <si>
    <t>2019/10/19 14:54:40</t>
  </si>
  <si>
    <t>好享花尊敬的用户您好，您的2935.18元订单需今日处理，请您及时处理。</t>
  </si>
  <si>
    <t>你我贷暴力催收</t>
  </si>
  <si>
    <t>http://ts.21cn.com/tousu/show/id/1373865</t>
  </si>
  <si>
    <t>2019/10/19 14:54:12</t>
  </si>
  <si>
    <t>投诉人 李先生        投诉对象  你我贷        涉诉金额  8 000 元    问题类型    诉求类型投诉详情  你我贷侮辱，威胁，恐吓。还有其他电话录音但是上传不了</t>
  </si>
  <si>
    <t>微博借钱高利贷</t>
  </si>
  <si>
    <t>http://ts.21cn.com/tousu/show/id/1373864</t>
  </si>
  <si>
    <t>2019/10/19 14:53:41</t>
  </si>
  <si>
    <t>利息太高，举个例子，借16000，六个月后还款18880，六个月利息就3000块钱！。</t>
  </si>
  <si>
    <t>爆通讯录泄露个人信息辱骂他人软暴力</t>
  </si>
  <si>
    <t>http://ts.21cn.com/tousu/show/id/1373863</t>
  </si>
  <si>
    <t>2019/10/19 14:53:15</t>
  </si>
  <si>
    <t>本人做生意亏损负债几十万，第一期逾期几天还上的也打了通讯录联系人，这一期逾期十多天，本人目前在上班，我主动跟客服人员说明情况可是态度强横不协商说爱去哪告哪告必须还钱他们有他们的办法跟我慢慢玩。</t>
  </si>
  <si>
    <t>闪电借款纵容第三方暴力催收不约束</t>
  </si>
  <si>
    <t>http://ts.21cn.com/tousu/show/id/1373862</t>
  </si>
  <si>
    <t>2019/10/19 14:53:01</t>
  </si>
  <si>
    <t>本人与闪电借款的催收人员协商还款，双方约定分期偿还，每月500，直到9000元还清，并按约定执行还款，但是昨天接到一个自称是闪电借款的人员，致电我工作单位谎称要购买我司产品，向公司同事套取我个人信息，我回电后对方称是闪电平台的人员，后续双方未达成共识，我拒绝跟其沟通，他昨天下午电话轰炸我通讯录，并从昨天到今天开始对我的手机进行短信轰炸，关于此事，我向闪电平台投诉要求处理，但是我不能直接通过电话联系到平台，只能通过平台的公众号留言，直到现在催收还没有停止骚扰我和我单位的行为，我投诉闪电平台放任第三方违规催收，</t>
  </si>
  <si>
    <t>同程旅游变相收取砍头息希望有关部门重视</t>
  </si>
  <si>
    <t>http://ts.21cn.com/tousu/show/id/1373861</t>
  </si>
  <si>
    <t>2019/10/19 14:52:49</t>
  </si>
  <si>
    <t>我在同程旅游这个app上面的提钱游借过三次款，他跟我说这是违法的变相收取砍头息可以报案也可以投诉可以打官司，那每借一次都要“加速”一次，每次都要提高一下信用分吗。</t>
  </si>
  <si>
    <t>苏宁消费金融催收暴力</t>
  </si>
  <si>
    <t>http://ts.21cn.com/tousu/show/id/1373859</t>
  </si>
  <si>
    <t>2019/10/19 14:52:19</t>
  </si>
  <si>
    <t>苏宁消费金融催收人员，多次态度恶劣，暴力催收，言语过激，辱骂，有录音为证。</t>
  </si>
  <si>
    <t>投诉前站</t>
  </si>
  <si>
    <t>http://ts.21cn.com/tousu/show/id/1373860</t>
  </si>
  <si>
    <t>2019/10/19 14:52:01</t>
  </si>
  <si>
    <t>申请的1000元，取消了，还要我还款1500多元。</t>
  </si>
  <si>
    <t>飞花宝高额砍头息黑网贷爆通讯录威胁</t>
  </si>
  <si>
    <t>http://ts.21cn.com/tousu/show/id/1373858</t>
  </si>
  <si>
    <t>2019/10/19 14:52:00</t>
  </si>
  <si>
    <t>飞花宝审批2000额度，当时急用直接取现到账才1300多，高额砍头息，今日客服协商无果，爆通讯录威胁，态度恶劣，这样的平台是怎么上线的，借钱应急遇到这样的事。</t>
  </si>
  <si>
    <t>乐分期收取砍头息</t>
  </si>
  <si>
    <t>http://ts.21cn.com/tousu/show/id/1373857</t>
  </si>
  <si>
    <t>2019/10/19 14:50:59</t>
  </si>
  <si>
    <t>借款时候，借2000到1400，要还2034，超过国家规定的利息，存在严重砍头息，希望退还给我。</t>
  </si>
  <si>
    <t>想你分期砍头息</t>
  </si>
  <si>
    <t>http://ts.21cn.com/tousu/show/id/1373855</t>
  </si>
  <si>
    <t>2019/10/19 14:50:33</t>
  </si>
  <si>
    <t>本人2019年10月19日通过短信链接下载了想你分期软件，以前在此平台申请了两次放款，本人刚刚测试了一下，本人前两次一共多付了1575的利息，期待想你分期平台能够给我一个协商处理的价格，今天乱点申请的是2609元的，实际到账1690元。</t>
  </si>
  <si>
    <t>http://ts.21cn.com/tousu/show/id/1373854</t>
  </si>
  <si>
    <t>2019/10/19 14:50:17</t>
  </si>
  <si>
    <t>投诉人 朱先生        投诉对象  钱伴        涉诉金额  8 000 元    问题类型    诉求类型投诉详情  高利贷。协商不好使之能举报了。还打电话威胁</t>
  </si>
  <si>
    <t>拍拍贷跟他说协商还款，就没有回复了</t>
  </si>
  <si>
    <t>http://ts.21cn.com/tousu/show/id/1373853</t>
  </si>
  <si>
    <t>2019/10/19 14:50:12</t>
  </si>
  <si>
    <t>我是有特殊情况，才逾期的，又不是故意的，为什么这样商量的余地都不留，我是解决问题不是制造问题。</t>
  </si>
  <si>
    <t>要求退款给我610</t>
  </si>
  <si>
    <t>http://ts.21cn.com/tousu/show/id/1373851</t>
  </si>
  <si>
    <t>2019/10/19 14:49:10</t>
  </si>
  <si>
    <t>投诉人徐先生投诉对象雯雯涉诉金额610元问题类型诉求类型投诉详情我给他骗了，一直都是没有退款给我610块钱。</t>
  </si>
  <si>
    <t>欺诈钱</t>
  </si>
  <si>
    <t>http://ts.21cn.com/tousu/show/id/1373850</t>
  </si>
  <si>
    <t>2019/10/19 14:48:53</t>
  </si>
  <si>
    <t>平台不能提现，客服骗人说银行维修，后来又说跟她操作，完全属于欺诈行为，属于刑事案件了，要求退款，退款！！！。</t>
  </si>
  <si>
    <t>达内科技集体投诉专题</t>
  </si>
  <si>
    <t>http://ts.21cn.com/tousu/show/id/1373849</t>
  </si>
  <si>
    <t>2019/10/19 14:48:46</t>
  </si>
  <si>
    <t>2018年5月在58同城找工作，看到达内科技招人，工资4000以上，我就投了简历，当天他们给我打电话让我第二天去面试，然后去了之后，我感觉做不来，他们就说不会没关系可以学，然后就给我介绍达内科技的一些课程，包括新媒体，网络营销什么的，然后就让我交19800的培训费，但是需要学习4个月，并且说将来可以安排到他们公司工作，但是我当时需要钱呀，不需要的话就不会找工作了，我也跟他们说了这个事，但是他们说培训费可以在他们合作的机构做教育分期，也就是百度有钱花，还说是在他那学成出去的都是5.6千，我一想觉得可以就办了，</t>
  </si>
  <si>
    <t>淘宝卖家【大唐手游】店主“大唐李大大”对本人进行持续辱骂人身攻击，并扬言此后还要不断攻击骚扰本人，已严重影响到日常生活</t>
  </si>
  <si>
    <t>http://ts.21cn.com/tousu/show/id/1373848</t>
  </si>
  <si>
    <t>2019/10/19 14:48:29</t>
  </si>
  <si>
    <t>10月19日上午，本人在淘宝卖家大唐手游店咨询“西游女儿国首充号价格”问题，接待人是该店负责人“大唐李大大”，本人询问价格，对方傲慢无比，扬言不接小单，本人无奈，被他的傲慢气到，说他是狗眼看人低，并提供之前的一单淘宝网大额交易截图，结果对方说本人有钱也没用，对方不接我的生意，这位“大唐李大大”持续拱火，最后本人与卖家双双对骂，之后本人火气消褪，不再骂他，他继续出言骂我，并将本人拉黑，进行持续攻击辱骂，本人干看却无可奈何，对方并方言将本人拉黑后对方看不到本人消息，本人却只能被他辱骂，并且对方表示以后经常间歇性</t>
  </si>
  <si>
    <t>支付宝花呗无法使用</t>
  </si>
  <si>
    <t>http://ts.21cn.com/tousu/show/id/1373847</t>
  </si>
  <si>
    <t>2019/10/19 14:47:55</t>
  </si>
  <si>
    <t>因一次无意中忘记归还支付宝花呗额度，关闭了我的支付宝花呗额度，在偿还了所有欠款之后，花呗却一直迟迟无法开通，希望能帮我尽快开通花呗额度，因此也导致了我的支付宝备用金无法使用。</t>
  </si>
  <si>
    <t>本人在天猫购买一款隐形车衣，该商品是假冒伪劣产品.</t>
  </si>
  <si>
    <t>http://ts.21cn.com/tousu/show/id/1373846</t>
  </si>
  <si>
    <t>2019/10/19 14:47:23</t>
  </si>
  <si>
    <t>本人于3月底天猫购买一套隐形车衣到4月底贴上车，用到8月底发现车子严重发黄，将车衣撕开一看，发现车衣严重黄变，8月底开始和商家沟通，中间商家各种拖延，各种不承认，本人到处跑到车衣店询问都说这个车衣是假冒伪劣产品，不是商家所宣传的所谓真TPU材质，而是TPH材质，以伪劣材质卖好材质的价格，直到9月底商家要求将膜撕下来退回厂家，按厂家要求将膜撕下来，发现车衣不光发黄还掉胶，有部分地方已经损坏了原车漆，庆幸发现的早不然车漆被毁了，然后商家答应安排施工贴车衣，商家又体现各种推脱，拖延的本领，直到今天已没有安排将车衣</t>
  </si>
  <si>
    <t>住宿问题太大青客公寓人员服务态度敷衍</t>
  </si>
  <si>
    <t>http://ts.21cn.com/tousu/show/id/1373845</t>
  </si>
  <si>
    <t>2019/10/19 14:46:58</t>
  </si>
  <si>
    <t>我租的房子是青客公寓酒店管理有限公司的房子，但是必须要有网络才能开锁公司该地区网络极差，房管员告诉我无线网是100M宽带的但实际网速连5M都不如。</t>
  </si>
  <si>
    <t>超级高利贷</t>
  </si>
  <si>
    <t>http://ts.21cn.com/tousu/show/id/1373844</t>
  </si>
  <si>
    <t>2019/10/19 14:46:55</t>
  </si>
  <si>
    <t>投诉人李先生投诉对象钱站华夏银行涉诉金额2000元问题类型诉求类型投诉详情上次投诉自己自动结案，然后上次他们客服打电话来没接到，我回了个电话去说这两三几天联系我，没动静，利息真的高的吓人，现在已经还了利息700了在还一期利息比本金都要多，才借2000三个月要还4000多，真黑人坑老百姓，国家应该整整这样的黑网贷。</t>
  </si>
  <si>
    <t>捷信催收骚扰</t>
  </si>
  <si>
    <t>http://ts.21cn.com/tousu/show/id/1373843</t>
  </si>
  <si>
    <t>2019/10/19 14:46:39</t>
  </si>
  <si>
    <t>捷信催收骚扰一天几十个电话！还有爆通讯录，吓唬家人！。</t>
  </si>
  <si>
    <t>群利花联合汇潮支付联合放款高利贷</t>
  </si>
  <si>
    <t>http://ts.21cn.com/tousu/show/id/1373842</t>
  </si>
  <si>
    <t>2019/10/19 14:46:25</t>
  </si>
  <si>
    <t>投诉人赵先生投诉对象群利花,汇潮支付涉诉金额2000元问题类型诉求类型投诉详情本人10月15日不小心点了群利花借款，当时没细看，这款软件利息严重超标，2000借款5天，利息要1240，到期要还3240元，希望本金结清清账。</t>
  </si>
  <si>
    <t>投诉拍拍贷恶意催收</t>
  </si>
  <si>
    <t>http://ts.21cn.com/tousu/show/id/1373841</t>
  </si>
  <si>
    <t>2019/10/19 14:46:23</t>
  </si>
  <si>
    <t>投诉人 薛女士        投诉对象  拍拍贷        涉诉金额  1 300 元    问题类型    诉求类型投诉详情  他打电话给我 我和他表明了我现在的难处 希望可以缓解我两天 最近几天家里出了太多的事 他威胁我说不马上处理就打所有通讯录电话 他给我亲戚朋友打了电话 我没有说不还钱 只不过是缓我几天 逾期费我出 这样还不行 现在好了 弄的所有人都知道了 我都不知道怎么面对亲戚朋友了 希望你们能帮我一下</t>
  </si>
  <si>
    <t>玖富高利贷</t>
  </si>
  <si>
    <t>http://ts.21cn.com/tousu/show/id/1373840</t>
  </si>
  <si>
    <t>2019/10/19 14:46:10</t>
  </si>
  <si>
    <t>投诉人寇先生投诉对象玖富万卡涉诉金额5494元问题类型诉求类型投诉详情9月17号与玖富万卡协商提前还款客服让我当日在app正常提前结清商议好的差额10个工作日退还在富友金账户上期间打了无数个客服电话问金额为什么还未退还客服一直让我等至今为止已经一个月多了玖富万卡纯粹的以各种理由推迟不给退还！属于欺骗！要求3日内退还我协商的差额！。</t>
  </si>
  <si>
    <t>骚扰电话轰炸</t>
  </si>
  <si>
    <t>http://ts.21cn.com/tousu/show/id/1373839</t>
  </si>
  <si>
    <t>2019/10/19 14:45:25</t>
  </si>
  <si>
    <t>投诉人刘先生投诉对象马上消费金融涉诉金额1000元问题类型诉求类型投诉详情约定了还款时间，依然每天十几个，二十几个电话轰炸。</t>
  </si>
  <si>
    <t>鞋子残次品</t>
  </si>
  <si>
    <t>http://ts.21cn.com/tousu/show/id/1373835</t>
  </si>
  <si>
    <t>2019/10/19 14:43:39</t>
  </si>
  <si>
    <t>投诉人赵先生投诉对象安踏涉诉金额424元问题类型诉求类型投诉详情本人在2019年2月28日在天津市滨江道安踏钻石店买了一双42码的鞋，回来穿了几次就放着一直没穿，直到现在换季的时候拿出来才发现，两只鞋鞋码一样，但是一个大一个小，去到店里说三包过了期限，要是我自己的问题我可以理解，可是这个明明是安踏鞋质量的问题。</t>
  </si>
  <si>
    <t>大发快三一分钟一期这个邀请码52121999有存在是一个不正规的平台</t>
  </si>
  <si>
    <t>http://ts.21cn.com/tousu/show/id/1373813</t>
  </si>
  <si>
    <t>2019/10/19 14:43:13</t>
  </si>
  <si>
    <t>刚开始在网上无聊找到这个邀请码进去后就用优惠吸引我充钱，进去就没办法用了，我希望相关部门能帮帮我，我那个钱是学费。</t>
  </si>
  <si>
    <t>广州幸福叮咚，本人已经申请退押金快一年了，希望尽快退押金！</t>
  </si>
  <si>
    <t>http://ts.21cn.com/tousu/show/id/1373834</t>
  </si>
  <si>
    <t>2019/10/19 14:43:02</t>
  </si>
  <si>
    <t>投诉人吕先生投诉对象幸福叮咚涉诉金额1500元问题类型诉求类型投诉详情今年2019年5月3日申请退的押金，在最后一单15个工作日可以申请退违章押金，成功申请后10个工作日内可以退还车辆押金以及违章押金1500元，现在已经过去已经快一年了，至今还没有退押金，已经远远超出他们的退还押金时间，迟迟没有退回押金，每次联系微信客服还有人工客服只有一句话“非常抱歉，你的押金问题已经提交，正在安排处理了，请耐心等候或者系统异常要财务那里手动退”，从来没有落实处理过.希望可以尽快退还押金.谢谢！。</t>
  </si>
  <si>
    <t>美团生活费催收</t>
  </si>
  <si>
    <t>http://ts.21cn.com/tousu/show/id/1373832</t>
  </si>
  <si>
    <t>2019/10/19 14:42:26</t>
  </si>
  <si>
    <t>投诉人 刘先生        投诉对象  美团金融        涉诉金额  790 元    问题类型    诉求类型投诉详情  暴力催收 威胁打电话骚扰我家人影响我正常生活 不给予协商</t>
  </si>
  <si>
    <t>未经本人同意私自扣款</t>
  </si>
  <si>
    <t>http://ts.21cn.com/tousu/show/id/1373829</t>
  </si>
  <si>
    <t>2019/10/19 14:42:18</t>
  </si>
  <si>
    <t>拿钱花呗虚假平台绑定银行卡显示未绑定成功却能直接私自扣款。</t>
  </si>
  <si>
    <t>打电话骚扰索要我朋友信息</t>
  </si>
  <si>
    <t>http://ts.21cn.com/tousu/show/id/1373830</t>
  </si>
  <si>
    <t>2019/10/19 14:42:08</t>
  </si>
  <si>
    <t>打电话骚扰我，索要我朋友信息，并且辱骂我家人，我又没有借款，我朋友在哪里借的，我不把电话给他们就辱骂我，和我的家人，希望聚投诉给予这些骚扰进行严重的处罚。</t>
  </si>
  <si>
    <t>韵达快递培养的是什么快递员</t>
  </si>
  <si>
    <t>http://ts.21cn.com/tousu/show/id/1373828</t>
  </si>
  <si>
    <t>2019/10/19 14:41:47</t>
  </si>
  <si>
    <t>10月16日我的快递到了不给我打电话10月18日我去取快递他们门关着10月19日也就是今天我去取快递。</t>
  </si>
  <si>
    <t>捷信恐惧我叫我关闭。</t>
  </si>
  <si>
    <t>http://ts.21cn.com/tousu/show/id/1373827</t>
  </si>
  <si>
    <t>2019/10/19 14:41:39</t>
  </si>
  <si>
    <t>投诉人 黄先生        投诉对象  捷信金融        涉诉金额  65 000 元    问题类型    诉求类型投诉详情  打电话恐惧我，叫我关闭，我然后就关闭了。打电话没解决，说我恶劣骗贷</t>
  </si>
  <si>
    <t>高铁管家（深圳市活力旅行社有限公司</t>
  </si>
  <si>
    <t>http://ts.21cn.com/tousu/show/id/1373826</t>
  </si>
  <si>
    <t>2019/10/19 14:41:10</t>
  </si>
  <si>
    <t>本人与朋友在高铁管家订购2019年06月10日上海虹桥-温州南D3135的动车票共计412元整，我朋友临时改签，但是退款事项高铁管家始终没有退款。</t>
  </si>
  <si>
    <t>闪电借款恶意骚扰</t>
  </si>
  <si>
    <t>http://ts.21cn.com/tousu/show/id/1373825</t>
  </si>
  <si>
    <t>2019/10/19 14:41:04</t>
  </si>
  <si>
    <t>本人因周转在闪电借款2200，50天到期还款2940，违反国家法定利率，因资金周转有问题，到期当天无法还款，有催收联系本人，中途还款1000元，本着欠钱要还的思想，希望减免费用，然催收说还要还2150，也就是说借2200，需还款3150，属高利贷性质，本人不同意，催收就开始语气恶劣，言语威胁，之后给家人及朋友打电话恶意骚扰，言语辱骂，对生活造成了重大的影响，望处理！。</t>
  </si>
  <si>
    <t>分期乐利息太高</t>
  </si>
  <si>
    <t>http://ts.21cn.com/tousu/show/id/1373824</t>
  </si>
  <si>
    <t>2019/10/19 14:40:46</t>
  </si>
  <si>
    <t>分期乐利息太高，由银行放款和橘子理财，借22200，最后利息将近9000快到一万了，。</t>
  </si>
  <si>
    <t>爱又米暴力催收，态度恶劣</t>
  </si>
  <si>
    <t>http://ts.21cn.com/tousu/show/id/1373823</t>
  </si>
  <si>
    <t>2019/10/19 14:40:07</t>
  </si>
  <si>
    <t>本人由于资金出现问题，加上身体不舒服进医院了，无法及时还上钱，爱又米平台催收人员不停来电，接听了，态度很不好，希望平台能够给到时间我处理。</t>
  </si>
  <si>
    <t>投诉钱站暴力催收</t>
  </si>
  <si>
    <t>http://ts.21cn.com/tousu/show/id/1373822</t>
  </si>
  <si>
    <t>2019/10/19 14:39:50</t>
  </si>
  <si>
    <t>本人在钱站贷款1000元，钱站合同显示贷1300多，伪造阴阳合同，还款1700多，利息高的离谱，属于高利贷，而且盗取本人的通讯录，暴力催收，对本人造成严重损害，本人要求钱站赔礼道歉，赔偿损失，停止骚扰，如果不同意，本人将投诉到底，本人有截图为证，对于钱站这样的公司，我就不相信国家视而不见。</t>
  </si>
  <si>
    <t>套路贷利息高</t>
  </si>
  <si>
    <t>http://ts.21cn.com/tousu/show/id/1373821</t>
  </si>
  <si>
    <t>2019/10/19 14:39:13</t>
  </si>
  <si>
    <t>这个就是水莲金条贷款平台、借款8000要还13580多左右，利息高，套路贷、而且打电话骚扰我的家人朋友同事恐吓他们逼我还钱、还爆我通讯录，涉及到我个人隐私，我在这里举报投诉这个水莲金条贷款平台。</t>
  </si>
  <si>
    <t>提供故障车给消费者使用</t>
  </si>
  <si>
    <t>http://ts.21cn.com/tousu/show/id/1373820</t>
  </si>
  <si>
    <t>2019/10/19 14:38:42</t>
  </si>
  <si>
    <t>10月19日，使用蜂鸟共享汽车叫了一辆车子，中途暂停，电瓶缺电启动不了，联系客服，说让我自己报保险公司或者汽修厂叫拖车服务，沟通半天，一个小时后才有服务人员过来搭电启动，整个电瓶的螺丝都是松动的，还车网点还车提示网店外还车，还有六元的费用投诉:1向消费者提供故障车，左前轮减震严重异响，电瓶不存电，紧固螺丝都是松的2不合理收费，APP显示还车网点内，还要收取网点外还车费用3没有基本服务素质，车子故障抛锚，让顾客自己去找保险公司叫道路救援。</t>
  </si>
  <si>
    <t>中信通讯录群发</t>
  </si>
  <si>
    <t>http://ts.21cn.com/tousu/show/id/1373818</t>
  </si>
  <si>
    <t>2019/10/19 14:38:18</t>
  </si>
  <si>
    <t>由于公司一直拖欠工资，把实际情况告知中信银行一直无法协商，要求我一定要还上一期，但公司没发工资已经导致生活出现严重问题，中信银行现在群发通讯录，要求我还款，现投诉中信银行暴力催收。</t>
  </si>
  <si>
    <t>及贷变相收取高额利息费和暴力催收</t>
  </si>
  <si>
    <t>http://ts.21cn.com/tousu/show/id/1373816</t>
  </si>
  <si>
    <t>2019/10/19 14:38:14</t>
  </si>
  <si>
    <t>我在及贷借款1000块分期三个月，总共要还款1600多！逾期后客服打电话来说让你还多少就多少，我们家就这样，然后电话就挂了！这几天一天几十个电话来骚扰我！。</t>
  </si>
  <si>
    <t>闪电借款利用商城虚假交易，发放高利贷</t>
  </si>
  <si>
    <t>http://ts.21cn.com/tousu/show/id/1373819</t>
  </si>
  <si>
    <t>2019/10/19 14:38:12</t>
  </si>
  <si>
    <t>掌众金服,邦付宝支付科技有限公司,北京邦积分电子商务科技有限公司，借款3000元50天，实际到账才2400，最后需还款3147.，95元，当时借款是通过掌众商城虚假购买产品才放款，支付渠道是邦付宝放款，现在掌众商城撤销，根本找不到当时的订单，如果借款不在商城兑换购买商品，根本无法拿到借款，然后实际也没有购买任何的商品，虚假交易，而且存在暴力催收现象，逾期一天，就开始威胁爆通讯录，发短信，给借款人的身心造成极大的伤害，影响正常工作生活。</t>
  </si>
  <si>
    <t>平台侵犯了个人隐私，骚扰亲朋好友</t>
  </si>
  <si>
    <t>http://ts.21cn.com/tousu/show/id/1373817</t>
  </si>
  <si>
    <t>2019/10/19 14:38:04</t>
  </si>
  <si>
    <t>在平台逾期，也有专门人员给我联系协商处理，可是不明白为什么会把我的信息普遍扩散出去，还有各地电话最近几天一直给我打电话，给亲朋好友打电话骚扰，说是什么美团法律责任追究什么的，说我欠了三千多，几千的，金额是乱七八糟，希望平台能够快速处理解释问题。</t>
  </si>
  <si>
    <t>退货退款</t>
  </si>
  <si>
    <t>http://ts.21cn.com/tousu/show/id/1373815</t>
  </si>
  <si>
    <t>2019/10/19 14:37:54</t>
  </si>
  <si>
    <t>2019年10月14号在天猫中国移动官方旗舰店购买华为畅享9,10月15号收到手机，10月16号就开始使用，发现发来的手机是他们自己移动定制版的手机，同时使用两张手机卡只能优先使用移动网络，这个是在购买详情里没有说明的，拿到手才知道是移动版的手机，于是决定退回，使用期间装了他们送的手机外壳，17号退回，到19号商家收到手机就说手机有划痕，而且划痕产生的位置就是套了手机壳的部位，看他们反馈的图片划痕也不清晰，这个在我第一天收到时候也是很难发现的，现在就是拒收我的包裹，不给退款，变相强制我要买了这部手机，搜索了</t>
  </si>
  <si>
    <t>中邮钱包恶意催收骚扰</t>
  </si>
  <si>
    <t>http://ts.21cn.com/tousu/show/id/1373811</t>
  </si>
  <si>
    <t>2019/10/19 14:35:30</t>
  </si>
  <si>
    <t>投诉人 郭才运先生        投诉对象  中邮消费金融        涉诉金额  4 000 元    问题类型    诉求类型投诉详情  因朋友欠款逾期 但留的号码是我本人号码 我已经给该公司解释过联系不上欠款人 但中邮金融公司每天依然几十个电话连续骚扰 由于本人夜晚工作 白天需要休息 中邮金融的恶意催收 已经严重的影响我的生活和工作 对此 我希望该公司立刻停止这种恶劣的行为 并且赔偿道歉.</t>
  </si>
  <si>
    <t>手机借钱天价利率</t>
  </si>
  <si>
    <t>http://ts.21cn.com/tousu/show/id/1373812</t>
  </si>
  <si>
    <t>2019/10/19 14:35:22</t>
  </si>
  <si>
    <t>投诉人 高先生        投诉对象  多宝分期,手机借钱        涉诉金额  1 600 元    问题类型    诉求类型投诉详情  四期每期15天 借了4000一共要还6300多 天价？</t>
  </si>
  <si>
    <t>闪银借款月利息高接近百分之二十</t>
  </si>
  <si>
    <t>http://ts.21cn.com/tousu/show/id/1373810</t>
  </si>
  <si>
    <t>2019/10/19 14:34:51</t>
  </si>
  <si>
    <t>投诉人 葛先生        投诉对象  Wecash闪银,哼哼        涉诉金额  199 元    问题类型    诉求类型投诉详情  在闪银借了1000元一个月还清。需要还1200多元。利息太高</t>
  </si>
  <si>
    <t>卡分期扣除会员249元会员费</t>
  </si>
  <si>
    <t>http://ts.21cn.com/tousu/show/id/1373809</t>
  </si>
  <si>
    <t>2019/10/19 14:34:24</t>
  </si>
  <si>
    <t>投诉人张庆丽卡分期投诉对象卡分期涉诉金额249元问题类型诉求类型投诉详情卡分期乱扣钱，联系客服也没有动静不知不觉就扣了249。</t>
  </si>
  <si>
    <t>投诉乐家易付违规违法给博彩平台提供充值通道</t>
  </si>
  <si>
    <t>http://ts.21cn.com/tousu/show/id/1373808</t>
  </si>
  <si>
    <t>2019/10/19 14:33:57</t>
  </si>
  <si>
    <t>本人寻找兼职平台挣些外快，通过网络好友的介绍，骗至该违法平台做兼职，该平台的资深老师说得到内部消息，投入越多，可做的任务回报就越高，在充值过程中看到等拥有国家颁发的正规牌照作为资金清算，在平台人员诱导下，一步步入金，通过浙江航天电子信息产业有限公司投入了人民币2456452元,请求乐家易付能帮我追回点损失，给乐家易付打电话一直说联系商家.,目前未接到商家的电话.,我不知道怎么回事.,有点走头无路了。</t>
  </si>
  <si>
    <t>微贷网暴力多次投诉没有回应，</t>
  </si>
  <si>
    <t>http://ts.21cn.com/tousu/show/id/1373807</t>
  </si>
  <si>
    <t>2019/10/19 14:33:54</t>
  </si>
  <si>
    <t>投诉人郭先生投诉对象微米贷,小米金融涉诉金额2000元问题类型诉求类型投诉详情投诉了两三次了，每次都是拖延，骚扰也不间断的，上次已经投诉过，未处理，还是骚扰不断，已经解释过已经决定走司法程序，差平台的一分不少，只想和你解决，砍头息，威胁，年利率超过36自己不清楚吗，已经报警立案民事纠纷，还骚扰不断，每天几个电话解释的还不够清楚吗贵平台，。</t>
  </si>
  <si>
    <t>小花钱包威胁恐吓暴力催收</t>
  </si>
  <si>
    <t>http://ts.21cn.com/tousu/show/id/1373806</t>
  </si>
  <si>
    <t>2019/10/19 14:33:27</t>
  </si>
  <si>
    <t>投诉人王女士投诉对象小花钱包涉诉金额6300元问题类型诉求类型投诉详情小花钱包暴力催收威胁恐吓家人朋友，解释说了现在资金困难，还一直不间断的打电话，借了七万，已经还了六万了，看合同还有五万多没还。</t>
  </si>
  <si>
    <t>百度有钱花高利贷</t>
  </si>
  <si>
    <t>http://ts.21cn.com/tousu/show/id/1373804</t>
  </si>
  <si>
    <t>2019/10/19 14:33:04</t>
  </si>
  <si>
    <t>2017年5月我在百度耨米信用付消费了500元，后来还款入口也没有无法还款，我在2019年10月登入有钱花察看，发现500元变成了1980元，而第三方催收和我说要还2000多元，严重的高利贷，催收态度恶劣，严重骚扰。</t>
  </si>
  <si>
    <t>乱扣费钱橙无忧</t>
  </si>
  <si>
    <t>http://ts.21cn.com/tousu/show/id/1373802</t>
  </si>
  <si>
    <t>2019/10/19 14:31:56</t>
  </si>
  <si>
    <t>投诉人 刘先生        投诉对象  钱橙无忧        涉诉金额  168 元    问题类型    诉求类型投诉详情  现实的是借款。然后没有没有下款。我就退出了。过了2分钟我银行卡里的钱就给扣了。要求退款168。打客服不处理。直接挂断。</t>
  </si>
  <si>
    <t>及贷放款时直接扣除所谓的保费，存在欺诈消费行为</t>
  </si>
  <si>
    <t>http://ts.21cn.com/tousu/show/id/1373801</t>
  </si>
  <si>
    <t>2019/10/19 14:31:36</t>
  </si>
  <si>
    <t>投诉人李女士投诉对象万惠及贷涉诉金额20000元问题类型诉求类型投诉详情苹果APP叫PPMONEY借款，借款2万元到账却不是足额到账，到账之前没有任何说明会扣除什么保险费用，给客户强制签合同，现已全部结清欠款，要求退还砍头息保险费这些毫不知情的费用。</t>
  </si>
  <si>
    <t>直接与招行信用卡中心协商，停止骚扰！</t>
  </si>
  <si>
    <t>http://ts.21cn.com/tousu/show/id/1373800</t>
  </si>
  <si>
    <t>2019/10/19 14:30:44</t>
  </si>
  <si>
    <t>直接与招行信用卡中心协商，减免不合理不合法的高额利息和违约金，停止骚扰本人和家人。</t>
  </si>
  <si>
    <t>聚宝来销账处理</t>
  </si>
  <si>
    <t>http://ts.21cn.com/tousu/show/id/1373798</t>
  </si>
  <si>
    <t>2019/10/19 14:29:45</t>
  </si>
  <si>
    <t>投诉人李女士投诉对象聚宝来,汇潮支付涉诉金额1900元问题类型诉求类型投诉详情本人9月16日通过聚宝来，借款1900，畅捷支付放款，以代金券方式实际是变相砍头息，到账金额1387，每七天一还，现已还款两期共计金额1263.65，至九月底本人负债全面爆发，进入死循环，已无力偿还剩下两期，在此之前我也经结清过，但现在确实出现了问题，连生活费都只剩几百，因此在这里请求援助，最后两期请予以销账处理要求余下两期做销账处理。</t>
  </si>
  <si>
    <t>新橙优品高利贷暴力催收</t>
  </si>
  <si>
    <t>http://ts.21cn.com/tousu/show/id/1373797</t>
  </si>
  <si>
    <t>2019/10/19 14:29:38</t>
  </si>
  <si>
    <t>投诉人周女士投诉对象新橙优品涉诉金额20000元问题类型诉求类型投诉详情本人于2019年7月6日在新橙优品上借款2万元，该贷款产品以交保险费的名义扣掉砍头息，实际到手18000元，共还6期，每期还4400多，一共要还2.6万多元，逾期一天还款额就从4400多涨到7500多！电话催收人员态度极其恶劣，当时只逾期一天就爆通讯录，短信轰炸，严重侵犯了本人名誉权！如此高利息不正规的套路贷，却不知缘由经一个名叫天津金城银行股份有限公司的放款机构放款体现在了征信报告上，而本人征信上已有该笔逾期记录！现本人强烈要求撤销问</t>
  </si>
  <si>
    <t>爆力催收，爆通讯录，轰炸手机</t>
  </si>
  <si>
    <t>http://ts.21cn.com/tousu/show/id/1373796</t>
  </si>
  <si>
    <t>2019/10/19 14:28:55</t>
  </si>
  <si>
    <t>停止骚扰，协商还本金，不同意，就没必要再催收了，催多少都不会还。</t>
  </si>
  <si>
    <t>去花花收取高额砍头息</t>
  </si>
  <si>
    <t>http://ts.21cn.com/tousu/show/id/1373795</t>
  </si>
  <si>
    <t>2019/10/19 14:28:31</t>
  </si>
  <si>
    <t>2019年7月份，我在去花花申请了一笔3000元贷款，实际到账2100，扣除900保险业务，不点哪个扣除保险费的这笔贷款根本下不来，根据《国务院办公厅关于加强金融消费者权益保护工作的指导意见》，金融机构应当在法律法规和监管规定允许范围内，充分尊重金融消费者意愿，由消费者自主选择、自行决定是否购买金融产品或接受金融服务，不得强买强卖，不得违背金融消费者意愿搭售产品和服务，不得附加其他不合理条件，不得采用引人误解的手段诱使金融消费者购买其他产品，”以及《中国银监会关于整治银行业金融机构不规范经营的通知》，本金我</t>
  </si>
  <si>
    <t>带上钱套路贷高利贷私删订单，要求退还合法外利息！</t>
  </si>
  <si>
    <t>http://ts.21cn.com/tousu/show/id/1373794</t>
  </si>
  <si>
    <t>2019/10/19 14:28:29</t>
  </si>
  <si>
    <t>本人去年在贷上钱平台使用过四款产品，清风钱包，福贷等等，大概期一年左右，因当时未知此公司产品和利率严重超过国家要求和标准，故被此公司套路，养贷一年多之久，特此申诉，要求其公司归还赔偿国家规定利息之外非法所得，因此公司非法非法删除所有订单，截至目前无法查询到订单详情截图。</t>
  </si>
  <si>
    <t>平安普惠利息高违约金高用第三方催收恐吓</t>
  </si>
  <si>
    <t>http://ts.21cn.com/tousu/show/id/1373793</t>
  </si>
  <si>
    <t>2019/10/19 14:27:31</t>
  </si>
  <si>
    <t>投诉人李女士投诉对象平安普惠涉诉金额11400元问题类型诉求类型投诉详情如果你们选择法律起诉那请你们不要天天骚扰我和家人，不要说什么你欠点钱我上门找你父母要，。</t>
  </si>
  <si>
    <t>交了前期费用开通的功能，用不了不给退款</t>
  </si>
  <si>
    <t>http://ts.21cn.com/tousu/show/id/1373791</t>
  </si>
  <si>
    <t>2019/10/19 14:26:43</t>
  </si>
  <si>
    <t>易米app里面有个代还信用卡功能，需要支付299才能用。</t>
  </si>
  <si>
    <t>京东商场优惠券无法领取，活动参加不了</t>
  </si>
  <si>
    <t>http://ts.21cn.com/tousu/show/id/1373792</t>
  </si>
  <si>
    <t>2019/10/19 14:26:32</t>
  </si>
  <si>
    <t>京东商城的优惠券领取不了，双11活动也参加不了，客诉说账号没有问题，让我试下不同登录口试试领取但都不行。</t>
  </si>
  <si>
    <t>招商信用卡骚扰态度恶劣</t>
  </si>
  <si>
    <t>http://ts.21cn.com/tousu/show/id/1373790</t>
  </si>
  <si>
    <t>2019/10/19 14:26:28</t>
  </si>
  <si>
    <t>招行信用卡态度恶劣，投诉了也是置之不理，完全不把客户的诉求当一回事，每个月还款时间都是那个时间，招商信用卡多次骚扰，骚扰家人，银行工作人员可以肆意妄为，每次投诉招商完全当作视而不见，试问是不是招行后台够硬，已经不受银监会的监管。</t>
  </si>
  <si>
    <t>程咬金极速借款，714，砍头息，</t>
  </si>
  <si>
    <t>http://ts.21cn.com/tousu/show/id/1373789</t>
  </si>
  <si>
    <t>2019/10/19 14:26:12</t>
  </si>
  <si>
    <t>程咬金极速借款，高利贷，老头息，714,电话骚扰，严重干扰到我的生活和工作！要求下架。</t>
  </si>
  <si>
    <t>强行扣款</t>
  </si>
  <si>
    <t>http://ts.21cn.com/tousu/show/id/1373788</t>
  </si>
  <si>
    <t>2019/10/19 14:25:55</t>
  </si>
  <si>
    <t>为什么当时我没点确认付款还是能私自从我卡了扣费呢。</t>
  </si>
  <si>
    <t>被第三方催收</t>
  </si>
  <si>
    <t>http://ts.21cn.com/tousu/show/id/1373786</t>
  </si>
  <si>
    <t>2019/10/19 14:25:53</t>
  </si>
  <si>
    <t>我于8月23日在原名我来贷平台借款5000元，结果于2019年10月19日遭遇第三方加我微信催收。</t>
  </si>
  <si>
    <t>申请减免违约金</t>
  </si>
  <si>
    <t>http://ts.21cn.com/tousu/show/id/1373785</t>
  </si>
  <si>
    <t>2019/10/19 14:25:20</t>
  </si>
  <si>
    <t>投诉人 吴淑民        投诉对象  建设银行信用卡        涉诉金额  1 100 元    问题类型    诉求类型投诉详情  建设银行信用卡申请减免违约金 请尽快处理</t>
  </si>
  <si>
    <t>停止恐吓威胁</t>
  </si>
  <si>
    <t>http://ts.21cn.com/tousu/show/id/1373784</t>
  </si>
  <si>
    <t>在平台借款本人并非不还只因最近实在周转不开也多次和客服沟通过却仍有电话恐吓威胁已严重造成精神上的困扰我先要求停止恐吓威胁本人愿承担所有后果。</t>
  </si>
  <si>
    <t>公司不交社保</t>
  </si>
  <si>
    <t>http://ts.21cn.com/tousu/show/id/1373783</t>
  </si>
  <si>
    <t>2019/10/19 14:25:08</t>
  </si>
  <si>
    <t>投诉人周先生投诉对象宠儿宠物,上海闪宠企业管理咨询有限公司,锡山区云林星尚宠物美容店涉诉金额4000元问题类型诉求类型投诉详情本来于5月14号在无锡宠儿宠物上班到至今五个月一个月的社保都没交，之前有说过不交社保，但是公司这么久以来克扣非常多斤斤计较，工资低的可怕，我现在要回社保补交我觉得非常合理，就算我之前协议说过不交社保，但是交社保是公司必须承担的义务，希望公司能尽快给我解决谢谢缴纳社会保险具有强制险，约定不缴纳社会保险或缴纳基数低于劳动者上年度平均工资的部分条款属于无效条款，不发生法律效力。</t>
  </si>
  <si>
    <t>小花钱包催收人员辱骂威胁</t>
  </si>
  <si>
    <t>http://ts.21cn.com/tousu/show/id/1373782</t>
  </si>
  <si>
    <t>2019/10/19 14:24:19</t>
  </si>
  <si>
    <t>小花钱包催收人员辱骂侮辱我，小花客服出来解释一下，如果不给我一个合法的理由，我就去银监会投诉，如果投诉不成功，我就去北京拉横幅。</t>
  </si>
  <si>
    <t>升学教育霸王条款不让退费</t>
  </si>
  <si>
    <t>http://ts.21cn.com/tousu/show/id/1373781</t>
  </si>
  <si>
    <t>2019/10/19 14:24:15</t>
  </si>
  <si>
    <t>投诉人 张先生        投诉对象  升学教育        涉诉金额  7 820 元    问题类型    诉求类型投诉详情  深圳升学文化教育集团 霸王条款 不让退费 教学质量差 报名后无任何书籍资料 打着升学教育为名称的骗子</t>
  </si>
  <si>
    <t>安逸花暴力催收</t>
  </si>
  <si>
    <t>http://ts.21cn.com/tousu/show/id/1373780</t>
  </si>
  <si>
    <t>2019/10/19 14:23:52</t>
  </si>
  <si>
    <t>2019年10月18日是本人在马上金融安逸花的还款日，马上金融的催收员不停拨打家人朋友电话言语骚扰，已经影响我家人的正常工作生活了，要求作出处罚并且道歉！。</t>
  </si>
  <si>
    <t>砍头息恶意骚扰爆通讯录</t>
  </si>
  <si>
    <t>http://ts.21cn.com/tousu/show/id/1373778</t>
  </si>
  <si>
    <t>2019/10/19 14:23:40</t>
  </si>
  <si>
    <t>投诉人韩女士投诉对象掌众金服,闪电借款涉诉金额1000元问题类型诉求类型投诉详情暴力催收，威胁恐吓，爆家人亲戚朋友电话使无法正常工作生活，违法违规，强烈要求停止一切违法行为，给出合适解释，整治违法平台，还我们一个合理解释，威胁我说不怕举报使劲举报请问你们视法律于何方，社会的毒瘤请你们停止一切违法行为！你们这样的无道德底线不怕遭报应吗，依次我们强烈要求跟进金融协会发布的条约，停止你们的暴力行为，停止你们的违法行为，停止你们的无道德底线，停止侮辱长辈，停止谩骂亲戚朋友还我们一个和谐的工作环境！。</t>
  </si>
  <si>
    <t>淘宝账号无法注销</t>
  </si>
  <si>
    <t>http://ts.21cn.com/tousu/show/id/1373777</t>
  </si>
  <si>
    <t>2019/10/19 14:22:48</t>
  </si>
  <si>
    <t>投诉人吴女士投诉对象淘宝网涉诉金额1000元问题类型诉求类型投诉详情此账号我不知道，现在想申请淘宝账号注销，但是却被提示无法注销，，因有经营行为却无法注销，且还有关联支付宝账号，现在因淘宝店铺无法注销，也牵连到其余账号无法注销，如支付宝。</t>
  </si>
  <si>
    <t>爆通讯录</t>
  </si>
  <si>
    <t>http://ts.21cn.com/tousu/show/id/1373776</t>
  </si>
  <si>
    <t>2019/10/19 14:22:38</t>
  </si>
  <si>
    <t>投诉人李先生投诉对象网商贷涉诉金额12000元问题类型诉求类型投诉详情停止，爆通讯录一切的，对我亲朋好友的骚扰！。</t>
  </si>
  <si>
    <t>上海达旷金融信息服务有限公司714高炮714</t>
  </si>
  <si>
    <t>http://ts.21cn.com/tousu/show/id/1373775</t>
  </si>
  <si>
    <t>2019/10/19 14:21:58</t>
  </si>
  <si>
    <t>投诉人高先生投诉对象极速现金侠,上海达旷金融信息服务有限公司涉诉金额500元问题类型诉求类型投诉详情上海达旷金融信息服务有限公司运营714高炮app高利贷，暴力催收，高额砍头息，超范围经营。</t>
  </si>
  <si>
    <t>民声信用卡不协商还款</t>
  </si>
  <si>
    <t>http://ts.21cn.com/tousu/show/id/1373774</t>
  </si>
  <si>
    <t>2019/10/19 14:21:56</t>
  </si>
  <si>
    <t>因为自己的资金借出去，一直迟迟收不回来，生意上面的钱一时周转不开，和银行协商分期，银行不给分期，就说处理不了，直接就要全额还款。</t>
  </si>
  <si>
    <t>玖富万卡高利贷，还款当天就算逾期</t>
  </si>
  <si>
    <t>http://ts.21cn.com/tousu/show/id/1373773</t>
  </si>
  <si>
    <t>2019/10/19 14:21:35</t>
  </si>
  <si>
    <t>投诉人吴先生投诉对象玖富,玖富万卡涉诉金额200元问题类型诉求类型投诉详情莫名其妙收到推送信息说我逾期4天，之前没收到任何到期提醒。</t>
  </si>
  <si>
    <t>淘豆分期无缘无故扣费299元</t>
  </si>
  <si>
    <t>http://ts.21cn.com/tousu/show/id/1373772</t>
  </si>
  <si>
    <t>2019/10/19 14:21:26</t>
  </si>
  <si>
    <t>投诉人张女士投诉对象淘豆分期涉诉金额299元问题类型诉求类型投诉详情淘豆分期诱导用户绑定银行卡，绑定好之后无缘无故扣费299元，恳请贵平台给予解决方法并处理退款，谢谢。</t>
  </si>
  <si>
    <t>我来数科暴力催收</t>
  </si>
  <si>
    <t>http://ts.21cn.com/tousu/show/id/1373771</t>
  </si>
  <si>
    <t>2019/10/19 14:20:57</t>
  </si>
  <si>
    <t>我来数科多次侮辱，威胁！造成本人日常生活困扰！并且罚息非常不合法！并且扬言上门催收！。</t>
  </si>
  <si>
    <t>曹县尚赢网络科技有限公司</t>
  </si>
  <si>
    <t>http://ts.21cn.com/tousu/show/id/1373770</t>
  </si>
  <si>
    <t>2019/10/19 14:20:54</t>
  </si>
  <si>
    <t>当时我在58同城上找到一份兼职，他发了个短信给我，让我加他QQ号，后面我加他QQ号，他又让我加他YY直播那个号，我加完后，他让我听课，课听完了，他让我保证金230，后面才可以正式工作，我把230通过他给我的微信群付进去了，他又让我付600那个软件锁定费，我发现不对，我就没付，我让他退钱他不退，就这样，以58同城网络招工的方式骗走了我的230元钱，我打电话联系她，根本联系不到，当时我付钱之前，他发他的营业执照和他的管理人员的身份证和本人照片。</t>
  </si>
  <si>
    <t>暴力催收！恐吓！</t>
  </si>
  <si>
    <t>http://ts.21cn.com/tousu/show/id/1373769</t>
  </si>
  <si>
    <t>2019/10/19 14:20:10</t>
  </si>
  <si>
    <t>逾期第一天上来打电话就问是不是吃不起饭了，态度及其恶劣！还说要爆通讯录，挨个打电话，从没说过不还钱的话，本来打算马上处理的，催收态度实在垃圾！。</t>
  </si>
  <si>
    <t>恶意骚扰恐吓催收，为得到我本人同同意讲假的律师函群发给我通讯录，对我的生活造成严重的影响</t>
  </si>
  <si>
    <t>http://ts.21cn.com/tousu/show/id/1373768</t>
  </si>
  <si>
    <t>2019/10/19 14:19:07</t>
  </si>
  <si>
    <t>拍拍贷高利贷，我贷款2500，还了4期，没期360块钱，还剩2600，拍拍多次爆我的通讯录，每一个星期就我妈妈和我老公打几十个电话，高利贷，借2000千，还6千，现在还发假的律师函给我本人，不仅如此，还群发给我所有的通讯录好友，拿着我贷款留下来的个人信息，到处给我曝光，身份证号，身份证图片，还发到我当地的居委会，让我脸都扫光了，还自称是正规的贷款平台，aqq不下10万人评论你们是高利贷，要求给我本人精神损失费赔偿，这是个人民事，可是拍拍贷协和安徽中融法律传播给我不知情的朋友和家人们，对她们恶意骚扰，严重影响</t>
  </si>
  <si>
    <t>无锡源石云科技有限公司高利贷</t>
  </si>
  <si>
    <t>http://ts.21cn.com/tousu/show/id/1373767</t>
  </si>
  <si>
    <t>2019/10/19 14:17:19</t>
  </si>
  <si>
    <t>本人2019年3月27日在无锡源石云科技有限公司旗下小像优品APP借款9000元！分9期还款每期1270元！总还款11430元！年利率已经超过国家支持的24！截止2019年10月19日已还款7620元，本人多次与该司协商按年利率24结清剩余本金，该司一直声称合法合规，不还钱就暴力催收，威胁告诉我要给我通讯录每一个人发短信打电话说我欠钱！朗朗乾坤，我一直相信我们是一个法制国家，老百姓被这些企业吸血，国家总能为我们做主，客服公然说自己不交税！好厉害本人诉求本月账单日2000结清账单。</t>
  </si>
  <si>
    <t>高利贷爆力崔收</t>
  </si>
  <si>
    <t>http://ts.21cn.com/tousu/show/id/1373766</t>
  </si>
  <si>
    <t>2019/10/19 14:17:09</t>
  </si>
  <si>
    <t>应家里母亲生重病我现在无力还款，你们你我贷催收人侮辱我说我吸毒赌博爆我通讯录。</t>
  </si>
  <si>
    <t>苹果账号被骗被盗刷，苹果公司与天晴互动娱乐公司不履行消费者权益</t>
  </si>
  <si>
    <t>http://ts.21cn.com/tousu/show/id/1373765</t>
  </si>
  <si>
    <t>2019/10/19 14:16:49</t>
  </si>
  <si>
    <t>2019年10月18日上午9时，发生骗取个人苹果账号异地登录，并为本人从未下载过的APP内进行免密支付的情况，全部充值进入福建省天晴互动娱乐公司旗下英魂之刃手游之中，本人已经向苹果申请退款，但是被苹果公司告知系统拒绝，但是并不说明理由，尝试联系福建省天晴互动娱乐公司无法取得联系，金额较大本人已经生活潦倒的基础上，并又都是信用卡支出，可能出现无力偿还的可能，苹果应付主要责任，苹果账号外借竟然可以花掉苹果账户中绑定支付方式内的钱。</t>
  </si>
  <si>
    <t>信用管家app神马借高额违法利息</t>
  </si>
  <si>
    <t>http://ts.21cn.com/tousu/show/id/1373764</t>
  </si>
  <si>
    <t>2019/10/19 14:16:28</t>
  </si>
  <si>
    <t>本人于8月31号在信用管家中神马借借款3500元，实际到账2625元，分四期，七天一期，每期还款896元，本人已偿还两期，第三期app还款不了，客服电话打不通，还要收取高额逾期费，明目张胆违反国家法律，要求本金销账，忘严肃处理。</t>
  </si>
  <si>
    <t>卷走租金</t>
  </si>
  <si>
    <t>http://ts.21cn.com/tousu/show/id/1373763</t>
  </si>
  <si>
    <t>2019/10/19 14:16:25</t>
  </si>
  <si>
    <t>本人于7月25日与该公司签订租房合同，缴纳半年租金14700元，现在不到三个月，该公司停止服务，且租金押金不予退还，无处联系。</t>
  </si>
  <si>
    <t>百世快递济南转运中心发往重庆转运中心，一直转运无后续</t>
  </si>
  <si>
    <t>http://ts.21cn.com/tousu/show/id/1373744</t>
  </si>
  <si>
    <t>2019/10/19 14:16:09</t>
  </si>
  <si>
    <t>投诉人沈女士投诉对象百世快递涉诉金额200元问题类型诉求类型投诉详情快递从15号开始从济南中心发往重庆转运中心至今4天，随后就无消息无物流更新，打客服也只是说加急处理，并没有任何后续处理消息，客服让打济南转运中心，提供济南转运中心号码关机，重庆专心中心根本没有任何联系方式。</t>
  </si>
  <si>
    <t>360借条暴力催收</t>
  </si>
  <si>
    <t>http://ts.21cn.com/tousu/show/id/1373761</t>
  </si>
  <si>
    <t>2019/10/19 14:15:06</t>
  </si>
  <si>
    <t>借一万四，还了差不多了，还三四千，每期都会还，有时候逾期，逾期四天就打电话骚扰，爆通讯录，打电话给亲人，恐吓，一天打七八个电话，全部都是第三方的。</t>
  </si>
  <si>
    <t>钱包易贷高利贷、砍头息</t>
  </si>
  <si>
    <t>http://ts.21cn.com/tousu/show/id/1373759</t>
  </si>
  <si>
    <t>2019/10/19 14:14:47</t>
  </si>
  <si>
    <t>本人无知向钱包易贷平台借款11000元，该平台存在砍头息现象到手只有8000左右，平台利息超国家标准，目前已向相关法律部门咨询，该平台实属高利贷平台，现要求该平台退还砍头息部分及超出国家规定利息部分款项。</t>
  </si>
  <si>
    <t>强生出租车</t>
  </si>
  <si>
    <t>http://ts.21cn.com/tousu/show/id/1373760</t>
  </si>
  <si>
    <t>2019/10/19 14:14:36</t>
  </si>
  <si>
    <t>嘀嗒出租车平台叫车，不但拒载而且扣费！等了很久过来拒载。</t>
  </si>
  <si>
    <t>民航通黑卡虚假宣传、存在欺诈行为</t>
  </si>
  <si>
    <t>http://ts.21cn.com/tousu/show/id/1373758</t>
  </si>
  <si>
    <t>2019/10/19 14:14:32</t>
  </si>
  <si>
    <t>2018年12月4日在四川绵阳南郊机场办理登机手续时遇到穿着机场工作服的工作人员给我推销民航联盟的钻石卡，销售人员说卡免费办理但需要预存1698元激活会员卡，会返还1698元还赠送3300元合计4998元，可以用于购买机票，买票就用这4998块钱就可以了，机票折扣比任何销售机票的软件低2到3折，预存的钱还可以用于抵扣机票钱，由于当时没有给我开通没有验证真实性，也一直没有用过该卡，现在需要订机票了之后发现并非如工作人员所说，机票折扣不但不低，反而比任何销售机票的软件更贵，甚至有的贵的很离谱，而且预存的钱只能一</t>
  </si>
  <si>
    <t>网贷催收爆通讯录利息高</t>
  </si>
  <si>
    <t>http://ts.21cn.com/tousu/show/id/1373757</t>
  </si>
  <si>
    <t>2019/10/19 14:13:33</t>
  </si>
  <si>
    <t>钱站、水连金条贷款平台、利息高，而且爆我通讯录，骚扰我家人朋友同事，影响到了我的正常生活、还威胁恐吓我的家人朋友同事、我要举报投诉这两个网贷高利息平台。</t>
  </si>
  <si>
    <t>出尔反尔高利息</t>
  </si>
  <si>
    <t>http://ts.21cn.com/tousu/show/id/1373738</t>
  </si>
  <si>
    <t>2019/10/19 14:12:48</t>
  </si>
  <si>
    <t>投诉人代先生投诉对象买单侠涉诉金额7200元问题类型诉求类型投诉详情我与他们协商一致了。</t>
  </si>
  <si>
    <t>威胁</t>
  </si>
  <si>
    <t>http://ts.21cn.com/tousu/show/id/1373755</t>
  </si>
  <si>
    <t>2019/10/19 14:12:01</t>
  </si>
  <si>
    <t>家里有事，上次打电话跟客服沟通过，我会尽力处理，最近家里发生了事情，请求在给我点时间。</t>
  </si>
  <si>
    <t>买房被欺，商家不退定金</t>
  </si>
  <si>
    <t>http://ts.21cn.com/tousu/show/id/1373684</t>
  </si>
  <si>
    <t>2019/10/19 14:11:54</t>
  </si>
  <si>
    <t>10月2号看了广东誉丰地产有限公司实地蔷薇国际小区，销售说附近8.9百米会建设知名学校，后经查，根本没有，这明显就是欺负消费者，要求退全款定金，销售经理一直推脱，不给明显答复。</t>
  </si>
  <si>
    <t>乐刷的快pos，存在诱导收取150元，不退换</t>
  </si>
  <si>
    <t>http://ts.21cn.com/tousu/show/id/1373754</t>
  </si>
  <si>
    <t>2019/10/19 14:11:04</t>
  </si>
  <si>
    <t>投诉人疏先生投诉对象乐刷涉诉金额150元问题类型诉求类型投诉详情2019年10月19号，乐刷pos机的业务员向我推销并办理了乐刷支付pos机，其中的app“快POS”要交150元走流水激活并以150加450提现优惠券的形式返还，实际并没有返还只是在app里多了600元额度3元提现优惠券200张，实则本人并不是太需求pos机的，是经过乐刷pos机的业务员诱导推销下才办理的，150元流水支付过去后显示是机器服务费，实则乐刷业务员刚开始说的是没有其他没用，200张提现优惠券一张没用，而且使用期限是到2020年1月</t>
  </si>
  <si>
    <t>微应急小狮子蜂窝钱包非法高利贷汇潮支付为非法高利贷提供放款还款通道</t>
  </si>
  <si>
    <t>http://ts.21cn.com/tousu/show/id/1373752</t>
  </si>
  <si>
    <t>2019/10/19 14:10:51</t>
  </si>
  <si>
    <t>投诉人刘先生投诉对象微应急,小狮子,蜂窝钱包,汇潮支付涉诉金额5500元问题类型诉求类型投诉详情微应急小狮子蜂窝钱包非法高利贷下款1430六天还2200不接受协商言语威胁恐吓汇潮支付非法为高利贷提供放款通道。</t>
  </si>
  <si>
    <t>小象优品暴力催收爆通讯录</t>
  </si>
  <si>
    <t>http://ts.21cn.com/tousu/show/id/1373753</t>
  </si>
  <si>
    <t>2019/10/19 14:10:48</t>
  </si>
  <si>
    <t>小象优品口口声声没有借款人通讯录，却干着天天骚扰借款人通讯录的事！协商过暂时没钱还，有钱了继续还上，但是违法爆通讯录本就违法，损害借款人名誉，造成借款人身边亲朋好友正常生活，那就一分不还，走法律途径。</t>
  </si>
  <si>
    <t>投诉714非法高息网贷恶意催收</t>
  </si>
  <si>
    <t>http://ts.21cn.com/tousu/show/id/1373751</t>
  </si>
  <si>
    <t>2019/10/19 14:10:37</t>
  </si>
  <si>
    <t>投诉人陶先生投诉对象快捷通支付服务公司,金鸡下蛋,金贝备涉诉金额1400元问题类型诉求类型投诉详情尚未逾期，催收拨打我电话，辱骂本人！我表示抗议后，其辱骂我通讯录成员，多次骚扰我的家人朋友同事，现已报警，请贵平台严肃处理。</t>
  </si>
  <si>
    <t>芸学教育退费问题</t>
  </si>
  <si>
    <t>http://ts.21cn.com/tousu/show/id/1373750</t>
  </si>
  <si>
    <t>2019/10/19 14:10:31</t>
  </si>
  <si>
    <t>投诉人许女士投诉对象芸学教育涉诉金额500元问题类型诉求类型投诉详情开始说可以退款，但得等7到10个工作日左右，告诉我很麻烦，我说同意填单子之后就说不能退，态度强硬！请有关部门帮忙解决一下，谢谢！。</t>
  </si>
  <si>
    <t>及贷平台贷款存在砍头息，利率超标准</t>
  </si>
  <si>
    <t>http://ts.21cn.com/tousu/show/id/1373748</t>
  </si>
  <si>
    <t>2019/10/19 14:09:17</t>
  </si>
  <si>
    <t>本人无知向及贷平台分两次共计借款20000万元，该平台存在砍头息现象到手只有16000左右，平台利息超国家标准，目前已向相关法律部门咨询，该平台实属高利贷平台，现要求该平台退还砍头息部分及超出国家规定利息部分款项。</t>
  </si>
  <si>
    <t>http://ts.21cn.com/tousu/show/id/1373747</t>
  </si>
  <si>
    <t>玖富万卡变相收服务费，就是砍头息，高利贷，和客服协商客服解释为钱是银行出的，催收是外包的，和玖富没任何关系，那请问服务费是啥，你们可以继续不理睬，以为银行出的钱上征信我就怕吗。</t>
  </si>
  <si>
    <t>情人节APP扣款</t>
  </si>
  <si>
    <t>http://ts.21cn.com/tousu/show/id/1373745</t>
  </si>
  <si>
    <t>2019/10/19 14:08:21</t>
  </si>
  <si>
    <t>申请贷款，结果他们不是放款的，是贷款超市，在我知道的情况下扣了188元给我推送贷款，贷款还用他们推送啊。</t>
  </si>
  <si>
    <t>钱伴优享</t>
  </si>
  <si>
    <t>http://ts.21cn.com/tousu/show/id/1373742</t>
  </si>
  <si>
    <t>2019/10/19 14:07:50</t>
  </si>
  <si>
    <t>我通过快贷平台上的钱伴优享借款5000，分6期还款，每期900多将近1000，已经还款到最后一期，现在已经没有能力进行还款了，希望通过协商进行降息处理，。</t>
  </si>
  <si>
    <t>宜人万花空手套白狼</t>
  </si>
  <si>
    <t>http://ts.21cn.com/tousu/show/id/1373709</t>
  </si>
  <si>
    <t>2019/10/19 14:07:28</t>
  </si>
  <si>
    <t>宜人万花又叫做宜人财富，我在上面申请了20000元贷款，可是在放款时提示我卡号错误需要解冻，联系客服时要求我先打款贷款的20%作为解冻，要求他取消订单时，却告诉我此订单已生成，下个月就开始还款，我没有打解冻金宜人万花也没有给我放款却要我还款。</t>
  </si>
  <si>
    <t>小赢卡贷暴力催收威胁爆通讯录</t>
  </si>
  <si>
    <t>http://ts.21cn.com/tousu/show/id/1373741</t>
  </si>
  <si>
    <t>2019年5月13日申请的小赢卡贷12000分12期还款，除第一期还款1744.93外，剩余11期都需还款1324.93目前还了四期还剩8期没还，剩余金额10599.43，因为做生意失败导致剩余金额无力偿还，已经给客服协商可不可以停息挂账，或者走法律程序起诉，到时候按判决结果执行，但对方不同意，不管我以什么方式借钱赚钱也好，让我半天时间周转还款，自10月13日至今七天时间，一天给我打不下20个电话，还威胁我不还钱找我村委会家人朋友，直到刚才爆我通讯录电话，说我诈骗不还钱不接电话，我接到电话的朋友说我提供的她</t>
  </si>
  <si>
    <t>美团威胁骚扰</t>
  </si>
  <si>
    <t>http://ts.21cn.com/tousu/show/id/1373739</t>
  </si>
  <si>
    <t>2019/10/19 14:06:59</t>
  </si>
  <si>
    <t>美团工作人员对本人进行威胁，言语恐吓，骚扰，对本人家人进行电话骚扰，多的话不想说你们美团说话就跟放屁一样。</t>
  </si>
  <si>
    <t>投诉淘宝不退款问题</t>
  </si>
  <si>
    <t>http://ts.21cn.com/tousu/show/id/1373276</t>
  </si>
  <si>
    <t>2019/10/19 14:05:51</t>
  </si>
  <si>
    <t>投诉人林女士投诉对象淘宝网涉诉金额9600元问题类型诉求类型投诉详情您好，我们在淘宝上购买了商品，分别是购买了这个订单号：2****************2购买商品是一台三星冰箱，单价是：3200元，这个冰箱到货后拒收了退回给了淘宝商家，但是商家一直没有退给我们钱，说去核实，拖了很久时间，购买是时间是2018-10-04，到现在2019-10-19也不给我们退款，我们联系淘宝商家一直没有回复我们，我们投诉到淘宝官方那边去，淘宝官方也不处理，这是这个订单的发货单号：物流公司：京东物流运单号：LD100491</t>
  </si>
  <si>
    <t>万家乐净水器老客户答谢活动，净水器套路，洗脑式营销</t>
  </si>
  <si>
    <t>http://ts.21cn.com/tousu/show/id/1373711</t>
  </si>
  <si>
    <t>2019/10/19 14:05:47</t>
  </si>
  <si>
    <t>10月17日萧山通惠路，唐邦大酒店，万家乐回馈老客户的活动，活动一开始主持人开了个头以后让一个于，总上台主持活动了，一开头那个于总就说今天不卖东西，只是汇报工作后来就答题互动送东西，送了几件小东西后就介绍空气净化器有多好多好价格多高，最后说是送的，答题送一共送8台，然而送出一台后就开始说空气不好，水也不好，然后做了几个实验，证明水质不好，然后主角净水器出场，再做实验说净水器有多好，全程围绕为了家人的健康，健康无价开展洗脑，洗脑的时候还说是无桶技术是他们研发的，其他牌子没有，跟同类比他们水流大，废水率是3.5</t>
  </si>
  <si>
    <t>深圳市恒富创融科技有限公司乱扣费现象</t>
  </si>
  <si>
    <t>http://ts.21cn.com/tousu/show/id/1373737</t>
  </si>
  <si>
    <t>2019/10/19 14:05:06</t>
  </si>
  <si>
    <t>卡里存点钱就自动乱扣，突然收到短信看到被扣了84，要是我存一万进去是不是也被他们扣完。</t>
  </si>
  <si>
    <t>外观侵权</t>
  </si>
  <si>
    <t>http://ts.21cn.com/tousu/show/id/1373736</t>
  </si>
  <si>
    <t>2019/10/19 14:05:00</t>
  </si>
  <si>
    <t>投诉人 王先生        投诉对象  天猫青扬旗舰店        涉诉金额  64 800 元    问题类型    诉求类型投诉详情  产品ID605652638010 商品外观未经允许商用 低价售卖 扰乱产品正常售卖价格</t>
  </si>
  <si>
    <t>钱伴利息过高，超过国家法定范围，高额收取服务费</t>
  </si>
  <si>
    <t>http://ts.21cn.com/tousu/show/id/1373735</t>
  </si>
  <si>
    <t>2019/10/19 14:04:54</t>
  </si>
  <si>
    <t>7月份因为老婆身体不好，得了恶性肿瘤急需用钱，当时在钱伴申请了一个2万元的借款，分六期还款，因为着急也没有细看还款表，第一期还款时候我才现在，一期需要处理3940左右，也就是说按时还款六个月要还24000左右，一个月利息要接近700元，10月17号，刚好我老婆的治疗费报销下来，我就想立即结清掉，当时第二期是逾期的，工作人员说要处理掉逾期才能结清，我处理掉以后，发现已经处理了接近8000元，现在结清还需要15580元，这样算下来，我借款2万两个月要还3500元左右的利息，我感觉太高了，打电话给客服，客服态度很</t>
  </si>
  <si>
    <t>马上消费金融，暴力催收，群发短信，恐吓催收</t>
  </si>
  <si>
    <t>http://ts.21cn.com/tousu/show/id/1373734</t>
  </si>
  <si>
    <t>2019/10/19 14:04:46</t>
  </si>
  <si>
    <t>14500本金，五个月涨到21300多，不停地恐吓我，骚扰我的家人，朋友，。</t>
  </si>
  <si>
    <t>闪银到账扣钱符合高利贷</t>
  </si>
  <si>
    <t>http://ts.21cn.com/tousu/show/id/1373733</t>
  </si>
  <si>
    <t>2019/10/19 14:04:23</t>
  </si>
  <si>
    <t>去年接触该平台，每次借款一千二左右，到款立刻扣除近两百的费用，后期加上利息需要还款一千二百多，如有逾期更甚，前前后后总共借款二十多次，到账立马扣除的各种费用加起来一共八千多，国家法律明文规定到账立扣算本金，我这边准备好了相应流水资料，希望平台能退换多扣除的部分，起码最后一千多给销账了吧！不算利息赚了八千多了还不够吗。</t>
  </si>
  <si>
    <t>智享贷短期借款隐藏收费行为</t>
  </si>
  <si>
    <t>http://ts.21cn.com/tousu/show/id/1373732</t>
  </si>
  <si>
    <t>2019/10/19 14:04:01</t>
  </si>
  <si>
    <t>在智享贷短期借款，借到3700元，期限一个月，到账3700元，但是合同上借款数目为4070元，打电话客服说，我购买了他们的课堂产品，而且强制购买，说我资质不好，不买产品借不到款，我可以归还本金和利息，但是课堂费用370必须退还，并且以后终止合作，不会在他们公司借款。</t>
  </si>
  <si>
    <t>闪银哼哼催收不接受协商还款，危险爆通讯录</t>
  </si>
  <si>
    <t>http://ts.21cn.com/tousu/show/id/1373731</t>
  </si>
  <si>
    <t>2019/10/19 14:03:53</t>
  </si>
  <si>
    <t>我已经很好的跟催收说这个月25日发了工资就还，这几天也会想办法还进去，她不同意，让13点30前处理好，不处理好就后果自负。</t>
  </si>
  <si>
    <t>卡卡贷高利贷</t>
  </si>
  <si>
    <t>http://ts.21cn.com/tousu/show/id/1373729</t>
  </si>
  <si>
    <t>2019/10/19 14:02:23</t>
  </si>
  <si>
    <t>我这个月17号在卡卡贷下款22250元，借款界面说还2200多，18号下款了，每个月要还2500多，这一年就是7000多利息，而且还要扣保险费1400，这不是高利贷吗。</t>
  </si>
  <si>
    <t>霸王条款迟迟不肯处理退费</t>
  </si>
  <si>
    <t>http://ts.21cn.com/tousu/show/id/1373728</t>
  </si>
  <si>
    <t>2019/10/19 14:02:09</t>
  </si>
  <si>
    <t>本人在2019年9月30日在升学咨询老师的引导下报名，并一直诱导我进行分期付款，，签协议前没跟我沟通协议内容，直接让我签字，报名之后因生病需要住院无法继续进行学习，在2019年10月2日提出退费，但是升学教育迟迟不给办理，拖延了很久。</t>
  </si>
  <si>
    <t>信用管家为高利贷提供平台</t>
  </si>
  <si>
    <t>http://ts.21cn.com/tousu/show/id/1373725</t>
  </si>
  <si>
    <t>2019/10/19 14:00:55</t>
  </si>
  <si>
    <t>我在信用管家里申请了一笔借款，信用管家给我推荐金钱保平台，他家是高利贷砍头息，下款后才知道，我已经还了他们钱，他们现在还暴击催收，给我联系人群发侮辱短信。</t>
  </si>
  <si>
    <t>断网三个半月，投诉无效</t>
  </si>
  <si>
    <t>http://ts.21cn.com/tousu/show/id/1373726</t>
  </si>
  <si>
    <t>移动宽带断网三个半月，多次申请无果，恢复工期一改要改，遥遥无期。</t>
  </si>
  <si>
    <t>达飞云贷套路贷高利贷</t>
  </si>
  <si>
    <t>http://ts.21cn.com/tousu/show/id/1373724</t>
  </si>
  <si>
    <t>2019/10/19 14:00:31</t>
  </si>
  <si>
    <t>达飞云贷业务员上门推销的时候说的是周转资金，一万一天利息是七八块，并没有说有什么服务包和月度维护费，和质保金，而且是20%的质保金！他们给我授信额度三万，我用了一年利息还了三万多，现在还有他们三万多快四万没有结清，今年七月底我让他们给我算利息，他们以各种理由推脱！催收公司曾多次对我进行恐吓威胁暴力催收！他们用私人电话打过来骂几句当你反应过来的时候他们就挂断电话，也没来得及留下录音！！！这种恐吓威胁的催收方式已经严重影响我的生活，致使我精神上收到严重影响！也多次发发短信让我协商还款！盼有关部门对这样的套路贷高</t>
  </si>
  <si>
    <t>聊呗举报无效，祸害国家。</t>
  </si>
  <si>
    <t>http://ts.21cn.com/tousu/show/id/1373723</t>
  </si>
  <si>
    <t>2019/10/19 14:00:06</t>
  </si>
  <si>
    <t>聊呗表面上是聊天软件，背地里确纵容赌博群赌博，客服爱答不理，不会解决问题，不给举报违法的赌博群，说举报什么用户，举报用户了，好几天了都没反应，是不是在聊呗开赌博群是合法的，反正不能举报，举报了也不能处理，还是正常，请有关部门能严惩这些违法份子，还社会一个安宁，因为我的过多举报，聊呗利用私权对我的手机号进行电话轰炸，请关门吧聊呗。</t>
  </si>
  <si>
    <t>去哪网退票有差价不能原支付方式退还</t>
  </si>
  <si>
    <t>http://ts.21cn.com/tousu/show/id/1373722</t>
  </si>
  <si>
    <t>2019/10/19 13:59:26</t>
  </si>
  <si>
    <t>去哪网退机票只退50元，核实航空公司退还金额是二百多元，与去哪网沟通差价原支付方式退回，去哪网不退。</t>
  </si>
  <si>
    <t>海尔消费金融泄露个人信息威胁</t>
  </si>
  <si>
    <t>http://ts.21cn.com/tousu/show/id/1373721</t>
  </si>
  <si>
    <t>2019/10/19 13:59:02</t>
  </si>
  <si>
    <t>海尔消费金融将个人信息泄露给第三方催收，电话中对方威胁到说要联系村委要对本人声誉造成影响，且不负责任，而且款项逾期费较高，本人也愿意沟通还款，但对方一致要求两小时内筹到款项，不然进行联系村委亲戚朋友方法。</t>
  </si>
  <si>
    <t>钱站高利贷，下款10天就骚扰逼还钱。</t>
  </si>
  <si>
    <t>http://ts.21cn.com/tousu/show/id/1373720</t>
  </si>
  <si>
    <t>2019/10/19 13:58:53</t>
  </si>
  <si>
    <t>钱站涉嫌高利贷，合同下款日8号，18号就催还欠，电话短信骚扰恐吓，钱站出卖客户资料给贷款同行。</t>
  </si>
  <si>
    <t>蛋壳公寓客服部门和投诉部门一直敷衍我反应的问题</t>
  </si>
  <si>
    <t>http://ts.21cn.com/tousu/show/id/1373719</t>
  </si>
  <si>
    <t>2019/10/19 13:58:43</t>
  </si>
  <si>
    <t>蛋壳真是个垃圾平台！！新搬来的室友是个坐台小姐，每天晚上上班，半夜带人回来，已经被其他邻居投诉，派出所警察都来了，打电话给蛋壳公司都不管，不仅如此，室友还养猫，让猫在洗手间洗手池里拉屎，简直太恶心了！我们其他室友反应给蛋壳，他们还是不予理睬，每次客服只有一句话“我们回尽快处理”就没有下文了，客服就是个复读机！什么事情都解决不了！！电话打了7-8遍没人管！！。</t>
  </si>
  <si>
    <t>我来贷逾期暴力征收</t>
  </si>
  <si>
    <t>http://ts.21cn.com/tousu/show/id/1373718</t>
  </si>
  <si>
    <t>2019/10/19 13:58:34</t>
  </si>
  <si>
    <t>投诉人郭女士投诉对象我来贷涉诉金额10000元问题类型诉求类型投诉详情我来贷，总是有人恶意催收我，让我无法正常生活！。</t>
  </si>
  <si>
    <t>支付宝冒充法务人员骚扰我家人</t>
  </si>
  <si>
    <t>http://ts.21cn.com/tousu/show/id/1373717</t>
  </si>
  <si>
    <t>2019/10/19 13:57:53</t>
  </si>
  <si>
    <t>号称支付宝委托三方法务部门人员，致电给家人，询问家人详细信息，并恐吓要上门至户籍地父母住所，单位及常驻地，电话态度非常恶劣，导致家人受到惊吓，已前往医院诊疗！之前多次沟通说明情况，我也接受支付宝任何合法的流程，但协调未果，关于此事的所有通话记录及录音都有保留，可提交配合调查。</t>
  </si>
  <si>
    <t>钱站骚扰</t>
  </si>
  <si>
    <t>http://ts.21cn.com/tousu/show/id/1373716</t>
  </si>
  <si>
    <t>2019/10/19 13:57:38</t>
  </si>
  <si>
    <t>投诉人 杨女士        投诉对象  钱站        涉诉金额  50 000 元    问题类型    诉求类型投诉详情  本人因欠钱站欠款 之前一直有按时还款 目前经济实在困难导致逾期 因在国外电话漫游不方便接听 并不是恶意不还钱 有钱会第一时间归还 然而钱站催收一直恶意骚扰家人及朋友 请钱站不用再骚扰我亲朋好友了 他们也无能为力 有钱我会第一时间还上的</t>
  </si>
  <si>
    <t>中国移动为棋牌提供充值通道</t>
  </si>
  <si>
    <t>http://ts.21cn.com/tousu/show/id/1373714</t>
  </si>
  <si>
    <t>2019/10/19 13:56:12</t>
  </si>
  <si>
    <t>开元棋牌以信息诱导充值，赢了不给提现，中国移动为其提供充值通道，希望有关部门整理。</t>
  </si>
  <si>
    <t>一步用车共享汽车不退押金</t>
  </si>
  <si>
    <t>http://ts.21cn.com/tousu/show/id/1373713</t>
  </si>
  <si>
    <t>2019/10/19 13:55:51</t>
  </si>
  <si>
    <t>一步用车一直不退押金，我的押金999元，不给退款。</t>
  </si>
  <si>
    <t>招商银行利息和罚息违约金超出合理范围</t>
  </si>
  <si>
    <t>http://ts.21cn.com/tousu/show/id/1373712</t>
  </si>
  <si>
    <t>2019/10/19 13:55:47</t>
  </si>
  <si>
    <t>额度：33000利息：22183.98信用卡利息严重不符合规范，目前已经逾期状态，协商一次性处理本金。</t>
  </si>
  <si>
    <t>捷信高利贷</t>
  </si>
  <si>
    <t>http://ts.21cn.com/tousu/show/id/1373708</t>
  </si>
  <si>
    <t>2019/10/19 13:53:55</t>
  </si>
  <si>
    <t>投诉人佟先生投诉对象捷信金融涉诉金额10000元问题类型诉求类型投诉详情捷信借一万，剩下五期没还，逾期费高达400多，我里里外外的逾期费都还近两千，我要求捷信打电话协商还款，，，每次只要一投诉，捷信就只回一句话，什么订单重复请关闭，在就么人理，有人就是催债，，，高利贷。</t>
  </si>
  <si>
    <t>微贷网多米贷暴力催收</t>
  </si>
  <si>
    <t>http://ts.21cn.com/tousu/show/id/1373707</t>
  </si>
  <si>
    <t>2019/10/19 13:53:27</t>
  </si>
  <si>
    <t>投诉人 张先生        投诉对象  微贷网,多米贷        涉诉金额  3 000 元    问题类型    诉求类型投诉详情  微贷网啊多米贷 暴力催收 以保险理由 非法收取砍头息 并且在逾期后 各种爆通讯录 添加好友的微信进行暴力催收。并且威胁我</t>
  </si>
  <si>
    <t>360借条暴力催收各种威胁</t>
  </si>
  <si>
    <t>http://ts.21cn.com/tousu/show/id/1373706</t>
  </si>
  <si>
    <t>2019/10/19 13:52:24</t>
  </si>
  <si>
    <t>之前一直正常使用近一年～从未逾期～最近遇到资金周转困难～已经多次和客服协商未果～只是要求宽限几天～每天电话不断，都是使用网络电话～根本不敢说自己是谁～问急了就说我威胁她～我打探她隐私～她有权利不告诉我任何信息～各种威胁打联系人～单位～通讯录～说话口气相当厉害～各种咄咄逼人～大公司。</t>
  </si>
  <si>
    <t>小米贷款威胁我要爆我通讯录</t>
  </si>
  <si>
    <t>http://ts.21cn.com/tousu/show/id/1373705</t>
  </si>
  <si>
    <t>2019/10/19 13:50:39</t>
  </si>
  <si>
    <t>主要是催收员扬言要爆我通讯录威胁我，说要把我的工作搞丢，我的小米贷款还款时间为15号，逾期4天，主要是我现在换工作后，发工资时间在每个月20号，而且这次公司发工资延迟到24号，我尽可能想办法争取在20号还款，最迟24号绝对还上，小米贷款催收员每两小时提升一次我的信用危险等级，完全是要把我故意搞黑，非常过分，我要求协商时间还款，不要往死里整。</t>
  </si>
  <si>
    <t>拼多多平台欺压商家，给买家仅退款不退货，谁赋予你们至高无上的权利？</t>
  </si>
  <si>
    <t>http://ts.21cn.com/tousu/show/id/1373677</t>
  </si>
  <si>
    <t>2019/10/19 13:50:09</t>
  </si>
  <si>
    <t>买家收到货后提出商品瑕疵提出仅退款8元，商品总价格18元包邮，因平台一向都是欺压式的服务，所以我作为商家根本无心去辩驳，买家既然提出瑕疵，而平台又有退货退款的服务，我拒签商品仅退款提出要求买家退货退款，但买家直接申请平台客服介入处理，此时平台规则要求提供签收底单，说明，第一，此签收底单为多此一举，因买家提出仅退款已经说明了商品瑕疵，并不是说买家没有收到商品，第二，菜鸟系统上线后，所有的物流信息都是匹配自动跟随的，从订单上完全可以看到商品的签收状况，平台要求提供签收底单无非就是想让商家知难而退的第一步，我按照</t>
  </si>
  <si>
    <t>急用钱包借贷app欺诈扣款</t>
  </si>
  <si>
    <t>http://ts.21cn.com/tousu/show/id/1373702</t>
  </si>
  <si>
    <t>2019/10/19 13:49:45</t>
  </si>
  <si>
    <t>10月16日本人因急需资金便在网上寻找借贷平台想借些钱，看到了造艺旗下的急用钱包app就下载了，在急用钱包app里填写个一些个人资料后申请借贷，当时我卡里还有160多块，但是在绑定银行卡这个步骤后就直接被扣除了150块，当时我就知道上当受骗了，就把app卸载了和绑定银行卡的快捷支付方式解除了，到了18号晚上11点半左右我提现了500到卡里，到了19号早上6半左右我收到扣款148.5的信息，原来是这款急用钱包app扣的款因为第一次卡里余额不足他们只能扣150后面还有148.5未扣，在这款app里并没有明确的标</t>
  </si>
  <si>
    <t>信用飞惊人息费，还清欠款，还打电话让借款</t>
  </si>
  <si>
    <t>http://ts.21cn.com/tousu/show/id/1373703</t>
  </si>
  <si>
    <t>2019/10/19 13:49:36</t>
  </si>
  <si>
    <t>之前使用过信用飞借款平台，款项已还清，不给销户，利息高的吓死人，巧立名目收取息费，这是违法行为，之后还打电话让借款，要求销户，注销个人信息。</t>
  </si>
  <si>
    <t>信而富暴力催收</t>
  </si>
  <si>
    <t>http://ts.21cn.com/tousu/show/id/1373701</t>
  </si>
  <si>
    <t>2019/10/19 13:49:22</t>
  </si>
  <si>
    <t>电话威胁帮忙处理，后果自负，暴力催收，骚扰通讯录，群发短信，望国家严打此类暴力行为，并下架该产品，打电话他们还特别嚣张！我知道欠钱还钱天经地义！可是不能这样胡乱的给我紧急联系人以外的人发短信和打电话吧，打了都还很恶意！还不停的骚扰信息！我只想他们禁止骚扰！推还砍头息。</t>
  </si>
  <si>
    <t>不肯协商</t>
  </si>
  <si>
    <t>http://ts.21cn.com/tousu/show/id/1373700</t>
  </si>
  <si>
    <t>2019/10/19 13:48:53</t>
  </si>
  <si>
    <t>收到捷信邮电，合同写着要求我告诉现在的还款能力给他司，我打电话过去，会有工作人员给我电话，过几天就打电话来，我就告诉他，我现在的还款能力也告诉他了，一口就咬就叫我还，不还就说我恶意骗贷，我也告诉他我还款方案了，收到合同书写着，为什么说我恶意骗贷。</t>
  </si>
  <si>
    <t>南京玉恒商业管理有限公司疑似跑路</t>
  </si>
  <si>
    <t>http://ts.21cn.com/tousu/show/id/1373698</t>
  </si>
  <si>
    <t>2019/10/19 13:48:32</t>
  </si>
  <si>
    <t>现租房人又不肯退房，霸着房子不给，说他们订了一年的合同。</t>
  </si>
  <si>
    <t>宜人贷自身系统升级强制客户承担高额罚息</t>
  </si>
  <si>
    <t>http://ts.21cn.com/tousu/show/id/1373699</t>
  </si>
  <si>
    <t>2019/10/19 13:48:29</t>
  </si>
  <si>
    <t>宜人贷自己内部系统升级导致app还款不成功，超过17:00不能还款，被罚息450一天，系统升级就把罚息算到客户头上，这是一个挣钱的好办法，久不久系统升级一次就能赚大一笔罚息，请问：明知道很多人会在当天还款为什么还要进行系统升级，系统升级是宜人贷自己内部事情，不应该把罚息算到客户头上。</t>
  </si>
  <si>
    <t>http://ts.21cn.com/tousu/show/id/1373697</t>
  </si>
  <si>
    <t>2019/10/19 13:47:57</t>
  </si>
  <si>
    <t xml:space="preserve">投诉人 王泽        投诉对象  普惠快信,中国移动        涉诉金额  188 元    问题类型    诉求类型投诉详情  17年的时候在本地交话费送手机 每个月交188送vivox20一台 当时没有客服没有说明要交多久 后来想取消这个套餐 可是移动公司说这个什么绑定的 不能取消 存在欺骗消费者 请移动公司做出解释还有这个普惠快信 逾期费用高达百分之几百 我逾期了20天差不多100块 我想请问一下普惠快信的逾期这么高吗？ 188然后20多天变成284 </t>
  </si>
  <si>
    <t>http://ts.21cn.com/tousu/show/id/1373696</t>
  </si>
  <si>
    <t>2019/10/19 13:47:54</t>
  </si>
  <si>
    <t>我在钱站平台上借了，1900元，可实际到账1300元，分三期，每日还的是667.06.我已经还了二期了，还有一期，这种要是算下来，我还的是2100多，还有那扣的那600元，利息太高，我现在要求他们按照国家利率的标准来收利息，给我开拮据证明。</t>
  </si>
  <si>
    <t>捷信金融要逼疯我了</t>
  </si>
  <si>
    <t>http://ts.21cn.com/tousu/show/id/1373695</t>
  </si>
  <si>
    <t>2019/10/19 13:47:31</t>
  </si>
  <si>
    <t>去年用捷信办分期业务，到快年底告诉我有一笔贷款7万，能把之前的还上还有5万的现金，着急用钱就贷了，至今一个月还2600还了14期，告诉我还有24期，着急用钱没有办法，办就办了，我最近这个月资金字周转不开逾期了，给我打电话我也解释了，没想到竟然告诉我要去我们老家说我骗钱不还，这么高的利息我也接受了，我也没说不还钱，晚个几天就要这样逼人吗，昨天给我打电话说让我月底之前处理好，今天给我打电话却出尔反尔的说没有给我解释过，。</t>
  </si>
  <si>
    <t>平安分期高额服务费</t>
  </si>
  <si>
    <t>http://ts.21cn.com/tousu/show/id/1373694</t>
  </si>
  <si>
    <t>2019/10/19 13:47:27</t>
  </si>
  <si>
    <t>平安分期借款1000，强行收取高额服务费300，多次与工作人员沟通无果。</t>
  </si>
  <si>
    <t>捷信高利贷要求销账结清</t>
  </si>
  <si>
    <t>http://ts.21cn.com/tousu/show/id/1373693</t>
  </si>
  <si>
    <t>2019/10/19 13:47:12</t>
  </si>
  <si>
    <t>本人于2017年12月12号借款12000分24期还款，现在已还18期已清本金，捷信每月还款781.41，算下来年息高达54%，已远超国家规定利息，国家规定不得以各种方式收变相利息，本人要求销账结清，麻烦请下午六点过后联系本人谢谢！。</t>
  </si>
  <si>
    <t>爱又米无法还款导致逾期，催收人员恐吓威胁</t>
  </si>
  <si>
    <t>http://ts.21cn.com/tousu/show/id/1373692</t>
  </si>
  <si>
    <t>2019/10/19 13:47:10</t>
  </si>
  <si>
    <t>爱又米APP有严重问题，点击还款，页面无当月账单信息，无法还款，导致逾期，咨询客服无果，催收人员短信，邮件，电话骚扰，辱骂本人，要求合理的解释。</t>
  </si>
  <si>
    <t>浦发银行威胁恐吓</t>
  </si>
  <si>
    <t>http://ts.21cn.com/tousu/show/id/1373691</t>
  </si>
  <si>
    <t>2019/10/19 13:46:26</t>
  </si>
  <si>
    <t>因本人浦发银行信用卡有逾期，浦发银行催收人员天天打电话骚扰，还要威胁恐吓，一会说要上门，一会又说起诉，催收人员像黑社会一样，态度恶劣，无法无天。</t>
  </si>
  <si>
    <t>头条钱包</t>
  </si>
  <si>
    <t>http://ts.21cn.com/tousu/show/id/1373690</t>
  </si>
  <si>
    <t>2019/10/19 13:45:50</t>
  </si>
  <si>
    <t>郭红女士，头条钱包的款项你说两三天周转到就处理，你加我微信，给你发对公账户和减免下来的结果136******15。</t>
  </si>
  <si>
    <t>梦幻变异版</t>
  </si>
  <si>
    <t>http://ts.21cn.com/tousu/show/id/1373689</t>
  </si>
  <si>
    <t>2019/10/19 13:45:30</t>
  </si>
  <si>
    <t>本人无注册过及下载该类手机游戏，要求梦幻变异版提示短信骚扰.存在盗取取个人信息要求道歉。</t>
  </si>
  <si>
    <t>腾讯。谁给你们的权利私自从我的信用卡扣费？</t>
  </si>
  <si>
    <t>http://ts.21cn.com/tousu/show/id/1373685</t>
  </si>
  <si>
    <t>2019/10/19 13:42:26</t>
  </si>
  <si>
    <t>我就想知道谁给你们的权利私自从我的信用卡扣费。</t>
  </si>
  <si>
    <t>暴力催收，爆通讯录</t>
  </si>
  <si>
    <t>http://ts.21cn.com/tousu/show/id/1373682</t>
  </si>
  <si>
    <t>2019/10/19 13:41:01</t>
  </si>
  <si>
    <t>第一我不是不还款，我有很强的还款意愿，只是现在确实无法一次性还完，我也跟催收协商了，但是他还是给我的通讯录打电话，实属违法行为，我欠款是我个人的事，不是别人的，就算要追究刑事责任，没有任何人存在连带责任，如果它们还要干扰我的正常生活我会收集证据去银监会投诉。</t>
  </si>
  <si>
    <t>中信银行信用卡</t>
  </si>
  <si>
    <t>http://ts.21cn.com/tousu/show/id/1373683</t>
  </si>
  <si>
    <t>要求对方不要再给我发短信，乱发，打电话至客服电话投诉，客服人员态度差，不让投诉者讲话，非常不礼貌，总是绕开话题不直接讲关键性问题，。</t>
  </si>
  <si>
    <t>平台费、手续费高的吓人，</t>
  </si>
  <si>
    <t>http://ts.21cn.com/tousu/show/id/1373680</t>
  </si>
  <si>
    <t>2019/10/19 13:39:28</t>
  </si>
  <si>
    <t>怪我当时不懂事，在捷信分期让借了钱，目前已经还了15期、金额为一万五千多了，当时借才借了16000，现在打电话还要还14500多，手续费都翻了一倍，之前说沟通协商还款，可是他们公司内部都是杂乱的，今天协商好了，明天就打电话说不是一个部门，不知道协商情况，天天打电话，态度非常恶劣，我都不知道他们沟通了有什么用，而且我还记了沟通人的工号，到下一次打电话查询工号人就查不到了，我希望能通过聚投诉这个平台能尽快解决这件事，也希望捷信能尽快联系我。</t>
  </si>
  <si>
    <t>贷上钱以游戏豆收取高额通过费</t>
  </si>
  <si>
    <t>http://ts.21cn.com/tousu/show/id/1373678</t>
  </si>
  <si>
    <t>2019/10/19 13:38:18</t>
  </si>
  <si>
    <t>借2单总数4000.要还5000,以还3000，现在还有2000.，一天10个电话催，以说现在钱不够，已经先还部分，还是联系通讯录.态度不好，。</t>
  </si>
  <si>
    <t>福音短视频App</t>
  </si>
  <si>
    <t>http://ts.21cn.com/tousu/show/id/1373674</t>
  </si>
  <si>
    <t>2019/10/19 13:37:00</t>
  </si>
  <si>
    <t>靠拉人头缴费注册“变现，新用户注册进行实名认证时，需要提供身份证号等信息，还需缴纳1.5元认证费，分级模式大量发展下级注册，每天按要求完成任务，可以得虚拟币平安果，人头越多分红越多，有内设交换市场进行买卖，app设有任务卷，级别不同，价格不同，洗脑用户“拉人入伙”分股份，看似是零投资，实质上变相拉人头的方式发展下线。</t>
  </si>
  <si>
    <t>恐吓威胁</t>
  </si>
  <si>
    <t>http://ts.21cn.com/tousu/show/id/1373673</t>
  </si>
  <si>
    <t>2019/10/19 13:36:43</t>
  </si>
  <si>
    <t>发信息说协商打电话，打电话过去又说什么一切后果自己承担，不允许协商，那你发信息干嘛，根本就是噱头，不给欠款人时间还款，态度恶劣，语言重伤。</t>
  </si>
  <si>
    <t>奇异果vip自动扣费</t>
  </si>
  <si>
    <t>http://ts.21cn.com/tousu/show/id/1373676</t>
  </si>
  <si>
    <t>2019年9月在电视上扫二维码定制了银河奇异果vip优惠价格0.99元的一个月看银河电视vip电视业务，就看了一部电影，谁知道10月份收到了自动扣费30元的短信，我没有办理续订，为何自动扣费?客服为人机，不予退款。</t>
  </si>
  <si>
    <t>http://ts.21cn.com/tousu/show/id/1373672</t>
  </si>
  <si>
    <t>2019/10/19 13:36:00</t>
  </si>
  <si>
    <t>本人由于家庭原因，造成资金困难，想与贵平台协商推迟还款，望理解。</t>
  </si>
  <si>
    <t>http://ts.21cn.com/tousu/show/id/1373671</t>
  </si>
  <si>
    <t>2019/10/19 13:35:46</t>
  </si>
  <si>
    <t>02月20日，借款17000元，分12期，每期还款1926.56元，付款方为玖富万卡合作方潍坊银行，每期手续费为442.25元，合计5307元，名义上年化利率为8.7%，实际年化利率约为61%2、2019年03月22日，借款2100元，分12期，每期还款237.98元，付款方为玖富万卡APP提现，每期手续费为53.51元，合计642.12元，其中以1元手续费为由混淆视听以代替收取高额“保险费”，现要求一次性结清全部借款，并按照国家相关法律法规减免相关手续/服务费用。</t>
  </si>
  <si>
    <t>恐吓</t>
  </si>
  <si>
    <t>http://ts.21cn.com/tousu/show/id/1373669</t>
  </si>
  <si>
    <t>2019/10/19 13:35:35</t>
  </si>
  <si>
    <t>之前有跟工作人员沟通过，他们一次次的打电话骚扰恐吓威胁我，刚才打电话给我，要派人来我家里闹事，再次声明，如果我家人因为拍拍贷收到威胁恐吓，我们一定起诉到底。</t>
  </si>
  <si>
    <t>交通银行信用卡暴力催收，威胁还款，不与协商还款</t>
  </si>
  <si>
    <t>http://ts.21cn.com/tousu/show/id/1373668</t>
  </si>
  <si>
    <t>2019/10/19 13:35:34</t>
  </si>
  <si>
    <t>信用卡正常使用中被突然暂停使用，本月由于个人原因，资金周转困难，造成逾期，银行工作人员催收还款，跟他说了原因，希望缓几天还进去，工作人员态度恶劣，并不听解释，限一个小时内还款，并威胁做好心理准备！银行工作人员的行为已经构成威胁催收，给造成巨大心理伤害，要求恢复卡片正常使用功能，并协商还款，停止电话频繁催收，怀疑是委托催收机构催收的，请聚投诉及相关部门给予严查，处理。</t>
  </si>
  <si>
    <t>京东商城未发货不退货</t>
  </si>
  <si>
    <t>http://ts.21cn.com/tousu/show/id/1373670</t>
  </si>
  <si>
    <t>2019/10/19 13:35:25</t>
  </si>
  <si>
    <t>购物买的衣服，京东说是够买的是虚拟物品，现在未收到发货声明，最可笑的是京东后台根本看不到订单，如果对方已发货麻烦京东提供发货声明，什么时候发货。</t>
  </si>
  <si>
    <t>高利贷砍头息</t>
  </si>
  <si>
    <t>http://ts.21cn.com/tousu/show/id/1373667</t>
  </si>
  <si>
    <t>2019/10/19 13:34:46</t>
  </si>
  <si>
    <t>月光侠分期砍头息借了3000合同上写3990。</t>
  </si>
  <si>
    <t>淘集集退回商家保证金2000元</t>
  </si>
  <si>
    <t>http://ts.21cn.com/tousu/show/id/1373666</t>
  </si>
  <si>
    <t>2019/10/19 13:34:30</t>
  </si>
  <si>
    <t>投诉人吴文敏先生投诉对象淘集集涉诉金额2000元问题类型诉求类型投诉详情2019.9.23入驻淘集集交了2000元店铺保证金；9.26提交退店申请；都快一个月了；还是显示资料审查中；官方说20天完成资料审查；30个工作日完成退款；打电话无人接听；多次联系官方客服看到不回复；真的无语了；太没责任心的企业；这个服务怎么做大做强；淘集集平台太无语了；建议新入驻的商家避免出现我们这个情况；要回自己的钱咋这难啊；希望淘集集尽快帮我处理；尽快退回店铺保证金2000元。</t>
  </si>
  <si>
    <t>日本村外教网退费问题</t>
  </si>
  <si>
    <t>http://ts.21cn.com/tousu/show/id/1373665</t>
  </si>
  <si>
    <t>2019/10/19 13:33:41</t>
  </si>
  <si>
    <t>投诉人曾先生投诉对象上海语德教育科技有限公司涉诉金额2000元问题类型诉求类型投诉详情本着对日语学习的兴趣，并通网站人员介绍，我于2019年10月10日报名参加了日本村外教网的日语学习，10月14日晚我参加了一节课的1对1中文外教的学习，但通过学习，我发现教师质量太差，只顾自己的教学进度，对我们这种无基础的人员学习起来太难了，于是我萌生退款之意，但接下来我提出退款时，才发现更多问题：一、报名时，助教报给我的总学费是25270元，当时助教问我一次交费有没有压力，如果有的话可以分期，我想换作任何一个人也都会选择</t>
  </si>
  <si>
    <t>闪电借款无良催收！</t>
  </si>
  <si>
    <t>http://ts.21cn.com/tousu/show/id/1373663</t>
  </si>
  <si>
    <t>2019/10/19 13:29:48</t>
  </si>
  <si>
    <t>本人2018年9月在闪电借款贷款共计6000元，该借款砍掉头息！而且还要多还利息！前后利息已超出国家标准！事后本人无力偿还，协商本金不允许，还轰炸本人通讯录！本人没钱还只能搁置，今日发来短信说要立案！利息已经涨到九千多！高利贷违法暴力催收要逼死老百姓！。</t>
  </si>
  <si>
    <t>立借高利贷暴力催收</t>
  </si>
  <si>
    <t>http://ts.21cn.com/tousu/show/id/1373661</t>
  </si>
  <si>
    <t>2019/10/19 13:29:42</t>
  </si>
  <si>
    <t>9月份从立借上申请借款，申请时无任何合同利率等说明，误导人以为先审核资格，催收直接说那是你的事，我们管不着，不还后果你自己承担（这段录音我也有保存），说完直接挂了电话，徽商银行作为当时借款交易的支付通道希望能协助我一起联系解决维权事宜，谢谢，而之前申请的分12期等额还款也变成了6期高利贷，打电话想取消借款，客服一直说有人会联系我，一个月后到第一期还款日还没人联系，期间我多次拨打立借400客服电话，一直闪烁其词，昨天还款日，我再次致电客服，要求一次性提前结清欠款，但客服说他们不会减免任何费用，甚至说7500本</t>
  </si>
  <si>
    <t>海王分期，合利宝，富友支付套路贷</t>
  </si>
  <si>
    <t>http://ts.21cn.com/tousu/show/id/1373662</t>
  </si>
  <si>
    <t>2019/10/19 13:29:27</t>
  </si>
  <si>
    <t>本人于7月16日和8.16在海王分期上借款2500元，实际到账1750元，8月16日借款3500元，到账2485，都是一个月分三期还款，10天一期，本人因个人法律意识淡薄没有认清这一违法现状，通过多人打听海王分期这种行为属于违规收取砍头息，借款时候根本不清楚要收取高额的砍头息，海王分期平台说那是商城额度，名义上为商城额度，其实不能直接购物，只能对特定商品购物后进行返现，且周期漫长，属于变相砍头息，借款期限是每笔1一个月分三期，就是十天一期，在工商银行APP查询扣费账户是合利宝、富友支付和厦门谨丞信息科技有限</t>
  </si>
  <si>
    <t>钟意乐八达通贷款</t>
  </si>
  <si>
    <t>http://ts.21cn.com/tousu/show/id/1371904</t>
  </si>
  <si>
    <t>2019/10/19 13:29:05</t>
  </si>
  <si>
    <t>说能根据芝麻分贷款，银行办理，先交258，肯定能办，结果都是网贷，虚假宣传，要求退款。</t>
  </si>
  <si>
    <t>钱站app合同上没写出服务费保费具体明细</t>
  </si>
  <si>
    <t>http://ts.21cn.com/tousu/show/id/1373660</t>
  </si>
  <si>
    <t>2019/10/19 13:25:38</t>
  </si>
  <si>
    <t>合同金额3990人民币，实际到账3000人民币！合同上说首期服务费为人民币116.72元，后续服务费为每期3.99元！我总共分了三期！但是在合同最后的分期表上第一期应还本息1346.18元，服务费为3.99元，总计应还总和为1778.26第二期应还本息1356.91元，服务费3.99元，总计应还总和1788.99元，第三期应还本息1356.93元，服务费3.99元总计应还总和1789.01元，如果按合同上所说首期服务费为116.72元，后续每期3.99元算116.72+3.99+3.99=124.7元服务费</t>
  </si>
  <si>
    <t>钱站违法高利贷砍头息服务费</t>
  </si>
  <si>
    <t>http://ts.21cn.com/tousu/show/id/1373659</t>
  </si>
  <si>
    <t>2019/10/19 13:24:42</t>
  </si>
  <si>
    <t>钱站套路客户骚扰客户，未经本人同意随便爆通讯录，高利贷砍头息，阴阳合同，已还完本金客服欺诈没有还完，冒充聚投诉客服套路本人，短信套路我加入老友计划，70000万元分36期还，一年半本金已还71500多元，剩余将近40000万元利息，这是超高利贷，忽悠我加入老友计划，客服多次协商和放屁没有区别，各种套路，横行霸道，目无王法，侵犯个人隐私权，恐吓威胁，我都以截图、录音、所有证据确凿，已上交法院等有关部门，本人上传一部份资料，客服套路我让我把所有资料给他们看，想套路我，有力证据我已经上交，脑子是个好东西。</t>
  </si>
  <si>
    <t>蜜瓜钱包高额利息和违约金</t>
  </si>
  <si>
    <t>http://ts.21cn.com/tousu/show/id/1373658</t>
  </si>
  <si>
    <t>2019/10/19 13:24:17</t>
  </si>
  <si>
    <t>上面显示借款周期是30天，我通过尽享贷下载蜜瓜钱包APP后申请借款，结果到账后提示是6天的周期，这是忽悠借款人的行为，而且通过快钱支付打款给我，实际到账只有1430元，而6天后我要还2207元！这是远远超过国家法律规定的利息的！不合法的！而且每天的逾期费用高达176元。</t>
  </si>
  <si>
    <t>小赢卡贷高利贷</t>
  </si>
  <si>
    <t>http://ts.21cn.com/tousu/show/id/1373657</t>
  </si>
  <si>
    <t>2019/10/19 13:23:58</t>
  </si>
  <si>
    <t>本人在小赢卡贷平台借款两次共计15000元，期限为一年，小赢截止目前未给出合同，利率计算方式及明细，并且勾结保险公司在本人不知情的情况下捆绑强制购买保险。</t>
  </si>
  <si>
    <t>电话催收</t>
  </si>
  <si>
    <t>http://ts.21cn.com/tousu/show/id/1373656</t>
  </si>
  <si>
    <t>2019/10/19 13:23:32</t>
  </si>
  <si>
    <t>我告诉他前两天出差手机没带上忘记了今天还上给他，就威胁我说两点还不上开始催收联系我的联系人。</t>
  </si>
  <si>
    <t>还款找不到app</t>
  </si>
  <si>
    <t>http://ts.21cn.com/tousu/show/id/1373655</t>
  </si>
  <si>
    <t>2019/10/19 13:22:57</t>
  </si>
  <si>
    <t>今天还款时找不到app希望速度联系，解决问题。</t>
  </si>
  <si>
    <t>玖富万卡利息太高</t>
  </si>
  <si>
    <t>http://ts.21cn.com/tousu/show/id/1373646</t>
  </si>
  <si>
    <t>2019/10/19 13:22:39</t>
  </si>
  <si>
    <t>投诉人陶女士投诉对象玖富涉诉金额30000元问题类型诉求类型投诉详情本人在玖富万卡借款，在还第八期的当天晚上9点多，本人主动还款，还不进去，显示的是由于代扣次数太多，导致无法主动还款，，客服跟我说可能是看到我上个月还款了，就以为我妥协了，不在乎了，就没有再跟进，呵呵，说的那叫什么话，当时的合同上也并未显示需要在还款日的几点之前必须要还款，我个人觉得只要是没有过12点都叫今天，等到第二天，就产生了逾期费，我反馈了这个问题，想要取消代扣，客服说会反馈，然后催收给我打电话，告诉我要还钱，她说如果不还会影响征信，跟</t>
  </si>
  <si>
    <t>易行商旅虚假宣传，诱导误消费</t>
  </si>
  <si>
    <t>http://ts.21cn.com/tousu/show/id/1373654</t>
  </si>
  <si>
    <t>2019/10/19 13:21:23</t>
  </si>
  <si>
    <t>于2018年11月9日在包头机场由一徐姓工作人员花1500元办理，承诺订票抵100—300元卡内金额，实际10—20多元，贵宾服务也只有包头有，我购票十余次，只抵卡内百十元，与其他受骗者的经历一样。</t>
  </si>
  <si>
    <t>高利贷，阴阳合同，上门催收</t>
  </si>
  <si>
    <t>http://ts.21cn.com/tousu/show/id/1373653</t>
  </si>
  <si>
    <t>2019/10/19 13:20:48</t>
  </si>
  <si>
    <t>投诉人刘女士投诉对象小赢卡贷,众安保险,赢众通,小赢理财涉诉金额20000元问题类型诉求类型投诉详情到账20000，十二期每期还款2208，总共还款27196，利率超过法律规定的百分之二十四，催收反复强调会安排人上门，态度十分恶劣，跟黑社会没有任何差别，本人从头到尾一直在说协商还款，要求按法律规定的利率结清为什么不行，支持你明目张胆在外面收法院明确告知百姓它不保护的超过百分之二十四以外的其他高额利息，法院支持你让催收态度恶劣，冒充债权人爆我通讯录说我欠他的钱，你但凡有一点理，就直接司法解决，还搞催收恐吓骚扰</t>
  </si>
  <si>
    <t>创客工具箱无缘无故给我的淘宝贴上降权标签</t>
  </si>
  <si>
    <t>http://ts.21cn.com/tousu/show/id/1373651</t>
  </si>
  <si>
    <t>2019/10/19 13:20:24</t>
  </si>
  <si>
    <t>投诉人蔡女士投诉对象创客工具箱涉诉金额0元问题类型诉求类型投诉详情我的淘宝号用了这么久被创客工具箱恶意贴了降权！没有原因和理由让人觉得很不舒服，我希望可以恢复我的账号，不要随便恶意给人贴标签了。</t>
  </si>
  <si>
    <t>http://ts.21cn.com/tousu/show/id/1373652</t>
  </si>
  <si>
    <t>2019/10/19 13:20:16</t>
  </si>
  <si>
    <t>投诉人范女士投诉对象国美易卡,省呗涉诉金额10000元问题类型诉求类型投诉详情该平台雇佣第三方外包公司暴力催收，人员态度恶劣，爆通讯录，对生活及工作造成骚扰和伤害。</t>
  </si>
  <si>
    <t>中腾信恶劣行径导致借款人病情恶化</t>
  </si>
  <si>
    <t>http://ts.21cn.com/tousu/show/id/1373650</t>
  </si>
  <si>
    <t>2019/10/19 13:19:45</t>
  </si>
  <si>
    <t>继四月份的投诉要求协商提前还款后，中腾信指派赤峰网店工作人员与本人取得联系，提供病例等信息后被告知再还16000多就可以终止合同，提供结清证明，因当天本人要进行手术，后续要放化疗，最后商定本人出院后进行还款就可以了，并且给本人留下了办理地址和联系电话，治病期间，中腾信不知何故，每月还款2号之前的几天不断的用外地号打电话，发信息，提示还款，甚至在还款日当天下午，电话轰炸，发威胁短信恐吓本人，导致本人心情抑郁，最后病情恶化，癌细胞转移至淋巴，并被下了病危通知，相关证据已留存，准备到银保监局，互金协会，和公安刑侦</t>
  </si>
  <si>
    <t>暴力催收，威胁恐吓，上门催收</t>
  </si>
  <si>
    <t>http://ts.21cn.com/tousu/show/id/1373649</t>
  </si>
  <si>
    <t>2019/10/19 13:18:29</t>
  </si>
  <si>
    <t>威胁恐吓，骂人侮辱，就是这个微信号，手机号是152******35。</t>
  </si>
  <si>
    <t>套路贷</t>
  </si>
  <si>
    <t>http://ts.21cn.com/tousu/show/id/1373641</t>
  </si>
  <si>
    <t>2019/10/19 13:18:08</t>
  </si>
  <si>
    <t>19年10月7日在王者钱包借款2000元，汇潮支付到帐1240元，10月12日汇潮支付给本人转帐1550元，之后王者钱包通过电话恐吓本人还2511，本人于10月16日转账2511元给王者钱包，王者钱包收到钱后，继续恐吓本人，要求本人多次重复还款。</t>
  </si>
  <si>
    <t>立刷业务员给顾客办理pos机承诺退款一直没退</t>
  </si>
  <si>
    <t>http://ts.21cn.com/tousu/show/id/1373513</t>
  </si>
  <si>
    <t>2019/10/19 13:16:01</t>
  </si>
  <si>
    <t>立刷公司业务员欺让我我办理pos机，承诺刷首笔立马到账，等我完成了付款后又说要一个月后退，一个月后又没有退，诱导我刷卡。</t>
  </si>
  <si>
    <t>不给我退款</t>
  </si>
  <si>
    <t>http://ts.21cn.com/tousu/show/id/1373647</t>
  </si>
  <si>
    <t>2019/10/19 13:15:11</t>
  </si>
  <si>
    <t>在9月25日晚上我头脑一热，报了潭州日语课堂，要交500押金，我只交了200，还没有上过课，后来因为家庭原因，我想退款，发信息给他们，不理我，我想像你们申请要求他们退款。</t>
  </si>
  <si>
    <t>在中卫机场被忽悠花998元办理航旅之家会员卡</t>
  </si>
  <si>
    <t>http://ts.21cn.com/tousu/show/id/1373645</t>
  </si>
  <si>
    <t>2019/10/19 13:14:12</t>
  </si>
  <si>
    <t>10月19日我从北京飞重庆，在中卫中转时，一个身穿机场工作人员都女性客服诱导我花费998元购买航旅之家会员卡，在消费前没有将最关键的每次购买机票只能优惠30-300元等事项，待到我要现场退卡时又说现在退卡要收我100元卡费和80元VIP厅使用费，在交涉过程中我着急乘坐飞机，所以来不及办理退卡，现在想通过网络维权退卡退钱。</t>
  </si>
  <si>
    <t>董爷情感挽回服务与描述不符拒不退款</t>
  </si>
  <si>
    <t>http://ts.21cn.com/tousu/show/id/1373631</t>
  </si>
  <si>
    <t>2019/10/19 13:14:11</t>
  </si>
  <si>
    <t>投诉人谭女士投诉对象成都董爷情感文化传播有限公司涉诉金额5800元问题类型诉求类型投诉详情我九月份因为跟男友分手便在网上搜索情感挽回服务，在抖音上添加了一个叫做董爷情感的机构，第一次添加咨询之后觉得收费太高了就没有管了，之后过几天那个老师就来问我情况，然后怂恿我报名，说一些惋惜之类的话，说我这个情况很好挽回，错过会很可惜，还让我要花呗&amp;nbsp;借呗&amp;nbsp;美团啥的借钱出来周转，就这样差不多耗了一个多月，我自己确实也放不下，就决心一试就在那个老师的几次三番劝说下跟另外一个失恋的朋友一起报了名，10月7日</t>
  </si>
  <si>
    <t>钱站阴阳合同高利贷</t>
  </si>
  <si>
    <t>http://ts.21cn.com/tousu/show/id/1373644</t>
  </si>
  <si>
    <t>2019/10/19 13:13:35</t>
  </si>
  <si>
    <t>我于8月22日在钱站爱钱进借款7000元，分六期偿还，每期还款2174.74元，借款页面显示的是7000元到账也是7000元，钱站爱钱进方面伪造合同显示借款是12600元，等于是我借款7000元需要多还款5600元，这个年利率高达255.94%，之前我联系钱站爱钱进方面希望协商一次还清剩余借款，钱站爱钱进方面告诉我说APP上看到的账单金额就是我所要还款的金额，不能减免，作为投诉率长年稳居第一的借款APP，为什么这么长时间没有人查处。</t>
  </si>
  <si>
    <t>被闪信分期砍头息1450</t>
  </si>
  <si>
    <t>http://ts.21cn.com/tousu/show/id/1373643</t>
  </si>
  <si>
    <t>2019/10/19 13:12:49</t>
  </si>
  <si>
    <t>借款两次，砍头息1450，还有一期没还，逾期95天，利息95。</t>
  </si>
  <si>
    <t>夸大宣传商品</t>
  </si>
  <si>
    <t>http://ts.21cn.com/tousu/show/id/1373642</t>
  </si>
  <si>
    <t>2019/10/19 13:12:26</t>
  </si>
  <si>
    <t>发现一点菜籽油味道都没有，当时也没在意！就倒了将近一碗炒菜使用，也没有履行承诺！本人要求商家退货！分明就是假货啊。</t>
  </si>
  <si>
    <t>本人被人诱导去理财投资损失1400元</t>
  </si>
  <si>
    <t>http://ts.21cn.com/tousu/show/id/1373640</t>
  </si>
  <si>
    <t>2019/10/19 13:11:49</t>
  </si>
  <si>
    <t>钱通过易智付转给赌博平台请易智付为我追回损失。</t>
  </si>
  <si>
    <t>贝店物品虚假</t>
  </si>
  <si>
    <t>http://ts.21cn.com/tousu/show/id/1373639</t>
  </si>
  <si>
    <t>2019/10/19 13:10:14</t>
  </si>
  <si>
    <t>本人贝店上购买宝宝睡袋，正好碰到贝店特价，但并没有显示预售商品，下单2天收到一块四四方方的白布，重0.2克，家里老人签收后非常生气，在河南老家这个特别不吉利，婆奶奶说没买这个，当时快递员说就只有贝店邮寄的这个重量0.2克的快件，打电话跟贝店客服说是发错货，算是给我们的赠品，而且目前没货第三，又等三四天补发，收到快递只有内胆，没有枕头，枕套和被套，打电话给客服，客服说可能商家漏发。</t>
  </si>
  <si>
    <t>邀请新人不给提现</t>
  </si>
  <si>
    <t>http://ts.21cn.com/tousu/show/id/1373637</t>
  </si>
  <si>
    <t>2019/10/19 13:10:02</t>
  </si>
  <si>
    <t>投诉人 徐先生        投诉对象  猫眼电影        涉诉金额  96 元    问题类型    诉求类型投诉详情  不能提现一直服务器开小差，免费骗取劳动力</t>
  </si>
  <si>
    <t>http://ts.21cn.com/tousu/show/id/1373638</t>
  </si>
  <si>
    <t>2019/10/19 13:09:58</t>
  </si>
  <si>
    <t>暴力催收，爆通讯录，威胁，恐吓本人及身边家人朋友。</t>
  </si>
  <si>
    <t>立借年利率高达136%，请求监管介入处理</t>
  </si>
  <si>
    <t>http://ts.21cn.com/tousu/show/id/1373636</t>
  </si>
  <si>
    <t>2019/10/19 13:09:37</t>
  </si>
  <si>
    <t>投诉人栾女士投诉对象立借涉诉金额15120元问题类型诉求类型投诉详情9000，六期需还15120。</t>
  </si>
  <si>
    <t>交通银行退信用卡罚息长时间不到账</t>
  </si>
  <si>
    <t>http://ts.21cn.com/tousu/show/id/1373635</t>
  </si>
  <si>
    <t>2019/10/19 13:09:12</t>
  </si>
  <si>
    <t>本人通过联系交通银行卡客服热线，要求退退还本人信用卡逾期期间的罚息和滞纳金，客服人员经过与上级领导沟通答应退款268元，并称将268元退还到本人尾号为8116的储蓄卡中，但自从11日至今储蓄卡迟迟未收到该笔退款，多次联系交通银行信用卡客服均推诿塞责不予解决，至今该退款仍未到账。</t>
  </si>
  <si>
    <t>http://ts.21cn.com/tousu/show/id/1373634</t>
  </si>
  <si>
    <t>2019/10/19 13:08:49</t>
  </si>
  <si>
    <t>未经我本人允许，在无卡无密码的情况下，擅自分三次扣我银行卡里的钱，共250。</t>
  </si>
  <si>
    <t>卖家变相骂人，不愿承担退货费用</t>
  </si>
  <si>
    <t>http://ts.21cn.com/tousu/show/id/1373633</t>
  </si>
  <si>
    <t>2019/10/19 13:08:48</t>
  </si>
  <si>
    <t>实物与照片不符，协商退货退款一直找借口不愿协商，变相骂人，变相讽刺，要求承担退货费用，并且道歉。</t>
  </si>
  <si>
    <t>请尽快退款，解除合同约定</t>
  </si>
  <si>
    <t>http://ts.21cn.com/tousu/show/id/1373632</t>
  </si>
  <si>
    <t>2019/10/19 13:07:50</t>
  </si>
  <si>
    <t>1、孩子上了35节课，大部分时间都非常抵触，需要做大量的思想工作，给大人孩子都造成了极大的思想负担，现工作人员概不承认声称过了三十天试课期，必须有客观原因不可控因素才能退款，且课程每次老师都不一样，好不容易碰到一个喜欢的老师，却见不到第二次，效果可想而知是微乎其微，对她学习英语的兴趣也产生了很大影响，另外最初的那个频繁跟进的主要负责老师早已辞职，助教也换了五六个，之后几乎没有老师主动联系过孩子来帮助巩固复习，让顾客消费之后没有一点安全感，2、销售人员之前口头承诺可以随时退款，现工作人员概不承认，声称过了三十</t>
  </si>
  <si>
    <t>投诉中国移动旗下公司乱扣费！</t>
  </si>
  <si>
    <t>http://ts.21cn.com/tousu/show/id/1373630</t>
  </si>
  <si>
    <t>2019/10/19 13:06:33</t>
  </si>
  <si>
    <t>中国移动旗下公司中移动金融有限公司，无缘无故从我的微信里扣款100元，都不知道怎么回事钱就没有了，到现在中国移动公司都不承认旗下的公司扣费！态度恶劣！希望贵平台能公平处理！。</t>
  </si>
  <si>
    <t>http://ts.21cn.com/tousu/show/id/1373629</t>
  </si>
  <si>
    <t>2019/10/19 13:06:13</t>
  </si>
  <si>
    <t>投诉人 莫先生        投诉对象  贷上钱包        涉诉金额  4 000 元    问题类型    诉求类型投诉详情  。如果骚扰通讯录。不协商。微信联系。。———</t>
  </si>
  <si>
    <t>交通银行骚扰我前单位老板</t>
  </si>
  <si>
    <t>http://ts.21cn.com/tousu/show/id/1373628</t>
  </si>
  <si>
    <t>2019/10/19 13:05:53</t>
  </si>
  <si>
    <t>投诉人 李女士        投诉对象  交通银行信用卡        涉诉金额  10 000 元    问题类型    诉求类型投诉详情  停止骚扰我前单位老板，非法获取别人通讯录 要求道歉 停止骚扰</t>
  </si>
  <si>
    <t>http://ts.21cn.com/tousu/show/id/1373627</t>
  </si>
  <si>
    <t>2019/10/19 13:05:16</t>
  </si>
  <si>
    <t>并雇佣外包社会闲散人员短信以及电话威胁恐吓我说上门讨债，我经济出现困难并且我也多次电话和平台客服解释过。</t>
  </si>
  <si>
    <t>好易借高额利息，每期还款金额比例不正确，暴力催收</t>
  </si>
  <si>
    <t>http://ts.21cn.com/tousu/show/id/1373626</t>
  </si>
  <si>
    <t>2019/10/19 13:05:03</t>
  </si>
  <si>
    <t>本人于7月19号借款6500元，需还款总金额为8970元，分12期还，前三期还款总金额居然达到8400，这个分期还的金额属于正规的吗，还能叫分12期吗，借款时也未告知该平台分期还款的方式，前三个月就差不多已经还完，还收取12期的利息费也是不合理的，目前已还款6027，第三期由于本人还了工作工资发放时间在还款日之后，为了及时还款，当逾期一天的时候该平台直接爆了我的通讯录，给我亲戚还有以前的领导打电话骚扰，由于前一份工作属于军工企业属于高度保密的，本人有可能还会面临调查的风险，本人会承担自己的合理的逾期费用和合</t>
  </si>
  <si>
    <t>捷信暴力催收威胁恐吓家人</t>
  </si>
  <si>
    <t>http://ts.21cn.com/tousu/show/id/1373625</t>
  </si>
  <si>
    <t>2019/10/19 13:04:39</t>
  </si>
  <si>
    <t>投诉人董士建投诉对象捷信金融涉诉金额58000元问题类型诉求类型投诉详情2017年因为急需用钱捷信一直给发短信叫做贷款然后我就去了一个手机店当时借了35000当时跟我说一个月就400的利息我也同意了因为钱用不了多久就可以还上他们说15天还款免利息15天过后钱我就不用了，然后就要还给他然后客服和我说不可以说3个月过后可以还我就想着既然帮了我了哪就给他点利息吧然后3个月以后因为别的事情钱又没了然后就一直按期还款2018年快过年的时候我发现这个利息既然高的惊人我开始前10期还的居然都是他们的利息一个月要还1390</t>
  </si>
  <si>
    <t>开店宝支付有限公司办理pos机欺瞒营销，强买强卖</t>
  </si>
  <si>
    <t>http://ts.21cn.com/tousu/show/id/1373624</t>
  </si>
  <si>
    <t>2019/10/19 13:04:06</t>
  </si>
  <si>
    <t>10.19日早上10点左右，店里来了一两个此公司业务员，声称可办理大额信用卡和我套近乎，后来说可以免费办理pos机，我说我卡和身份证都没带，他说银行app和支付宝能查询的可以办理，还问了他会不会需要付费99那种，他说不需要，是免费的，刷卡费率都是0.38%，比其他品牌便宜，我想着既然免费费率又低那多办一个也无所谓，然后他拿着我手机操作一通，后来业务员用他自己的卡刷了99激活机子，然后让我微信转他99块钱，我就懵了，一开始就说了是免费，刷卡的时候也问了你“刷你的卡干什么”，你给我讲是激活，你也没说这钱要我出啊</t>
  </si>
  <si>
    <t>中国联通</t>
  </si>
  <si>
    <t>http://ts.21cn.com/tousu/show/id/1373526</t>
  </si>
  <si>
    <t>2019/10/19 13:02:51</t>
  </si>
  <si>
    <t>中国联通佛山归属地，本人之前参加联通的每月返返款30话费的活动，本月不到账，佛山联通敷衍了事，1号拖到现在都没有一个合理解释，。</t>
  </si>
  <si>
    <t>玩物得志平台虚假宣传让消费者损失上万元</t>
  </si>
  <si>
    <t>http://ts.21cn.com/tousu/show/id/1373533</t>
  </si>
  <si>
    <t>2019/10/19 13:02:13</t>
  </si>
  <si>
    <t>投诉人武先生投诉对象玩物得志涉诉金额37360元问题类型诉求类型投诉详情玩物得志平台虚假宣传活动信息，涉嫌欺负消费者且金额巨大，8月份本人到该平台购买8台iphonexr128g手机，其中黑色4台白色4台，该平台和我电话通话中承诺是从苹果官网采购的而且为全网通正品手机因为对平台的信任，我就付款购买了8台收到货之后放在公司准备当年底员工同事的奖品发放，结果10.18日发现该手机非但不是从苹果官网采购的而且是双网通手机众所周知双网通与全网通相差甚远价格直接一台就相差700-1000元本人购买8台损失十分巨大，后</t>
  </si>
  <si>
    <t>拍拍贷非法催收</t>
  </si>
  <si>
    <t>http://ts.21cn.com/tousu/show/id/1373623</t>
  </si>
  <si>
    <t>2019/10/19 13:01:43</t>
  </si>
  <si>
    <t>拍拍贷砍头借贷，高利贷，非法催收，骚扰我的家人！。</t>
  </si>
  <si>
    <t>月光侠分期贷款高额利息，欺诈，虚假合同</t>
  </si>
  <si>
    <t>http://ts.21cn.com/tousu/show/id/1373622</t>
  </si>
  <si>
    <t>2019/10/19 13:00:44</t>
  </si>
  <si>
    <t>本人今年8月19日在月光侠分期借款3500，在没有看到账单的情况下，月光侠没有经过本人同意账单直接放款到我银行卡，放款金额3500，合同金额却是5252.86，每月还款1750多，利息已经超出了国家法律规定的年利率百分之36，第一期已经还了1752.07，现在第二期要还款了，我想把剩下本金加合法利息全部结清，他们不同意，月光侠就开始暴力催收，骚扰我，威胁我不还就打我家人朋友的电话，希望聚投诉给予帮助！。</t>
  </si>
  <si>
    <t>国美易卡使用违法手段催收</t>
  </si>
  <si>
    <t>http://ts.21cn.com/tousu/show/id/1373621</t>
  </si>
  <si>
    <t>2019/10/19 13:00:34</t>
  </si>
  <si>
    <t>真实情况，本人于2019年4月16日向国美小额贷款有限公司，申请一笔6330元贷款，分12期还款，还剩7期，在正常还款日期间就曾出现过平台系统问题无法还款的情况导致逾期，平台工作人员也证实过这种情况！逾期时候无理收取50元所谓的催收费！催收电话一天就打了很多次导致本人无法正常工作生活！催收人员还以威胁爆通讯录、辱骂的态度进行催收！在能与本人联系的情况下还扬言要进行爆通讯录等行为，态度及其恶劣！最近因资金周转问题无法按时还款，本人以第一时间致电协商平台希望可以酌情处理，本人逾期也属实不对，但平台工作人员语言及</t>
  </si>
  <si>
    <t>闪电借款黑卡套路</t>
  </si>
  <si>
    <t>http://ts.21cn.com/tousu/show/id/1373619</t>
  </si>
  <si>
    <t>2019/10/19 13:00:29</t>
  </si>
  <si>
    <t>投诉人顾先生投诉对象掌众金服涉诉金额500元问题类型诉求类型投诉详情黑卡开通500，说好借不到可以退款，也找不到客服，也借不了款，这是套路。</t>
  </si>
  <si>
    <t>松紧贷暴力催收</t>
  </si>
  <si>
    <t>http://ts.21cn.com/tousu/show/id/1373620</t>
  </si>
  <si>
    <t>2019/10/19 13:00:12</t>
  </si>
  <si>
    <t>10月16日，17日刚过一天催收就疯狂拨打家人朋友电话，语言骚扰暴力催收，</t>
  </si>
  <si>
    <t>以服务费为由收取高额利息</t>
  </si>
  <si>
    <t>http://ts.21cn.com/tousu/show/id/1373618</t>
  </si>
  <si>
    <t>2019/10/19 13:00:09</t>
  </si>
  <si>
    <t>该网贷平台以收取服务费为由，2000元一个月利息681，高于国家标准，套路用户签订协议，泄露个人隐私，对朋友，亲人造成骚扰。</t>
  </si>
  <si>
    <t>网络借贷虚假信息误导</t>
  </si>
  <si>
    <t>http://ts.21cn.com/tousu/show/id/1373616</t>
  </si>
  <si>
    <t>2019/10/19 12:59:01</t>
  </si>
  <si>
    <t>1.贷款分期8000元，合同显示12完成还款，账单出账后，第一期3999.96元，第二期3479.96元，第三期2760.08元，后9期每期88.80元，借款8000元，合计还款11039元，年利率为37%。</t>
  </si>
  <si>
    <t>http://ts.21cn.com/tousu/show/id/1373615</t>
  </si>
  <si>
    <t>2019/10/19 12:57:22</t>
  </si>
  <si>
    <t>没经过同意就乱扣款，客服不接电话，要求道歉，退款。</t>
  </si>
  <si>
    <t>中汇支付刷卡钱没到帐</t>
  </si>
  <si>
    <t>http://ts.21cn.com/tousu/show/id/1373612</t>
  </si>
  <si>
    <t>2019/10/19 12:56:51</t>
  </si>
  <si>
    <t>10月17日通过中汇掌富通刷卡4笔，至今没有到账。</t>
  </si>
  <si>
    <t>百世快递邮寄运输易燃易爆物违禁品</t>
  </si>
  <si>
    <t>http://ts.21cn.com/tousu/show/id/1373611</t>
  </si>
  <si>
    <t>2019/10/19 12:56:08</t>
  </si>
  <si>
    <t>一、根据《四通一达快递公司*管理办法》第四点的处罚标准：，1、总公司对*发件公司予以500元以上的行为处罚，2、因*破损而污染其他快件，总公司对*发件公司予以每票500元---3000元的处罚，4、*发件公司所发的*污染其他快件，由*发件公司承担，1、视情节轻重，总公司对*发件公司予以1000元以上的行为处罚。</t>
  </si>
  <si>
    <t>海南普德龙网络科技有限公司</t>
  </si>
  <si>
    <t>http://ts.21cn.com/tousu/show/id/1373610</t>
  </si>
  <si>
    <t>2019/10/19 12:55:49</t>
  </si>
  <si>
    <t>投诉人 周先生        投诉对象  海南普德龙网络科技有限公司        涉诉金额  150 元    问题类型    诉求类型投诉详情  无缘无故扣了我150元，希望退回我的钱，</t>
  </si>
  <si>
    <t>隐瞒消费者知情权</t>
  </si>
  <si>
    <t>http://ts.21cn.com/tousu/show/id/1373593</t>
  </si>
  <si>
    <t>2019/10/19 12:55:48</t>
  </si>
  <si>
    <t>投诉人何德投诉对象昌北机场T2航站楼总服务台涉诉金额1680元问题类型诉求类型投诉详情本人10月17日在南昌T2&amp;nbsp;航站楼内候机时机场工作人员叫我过去推荐我办“金色麦田”VIP&amp;nbsp;卡！她跟我说办了这张卡可以享受VIP&amp;nbsp;休息室！还说以后买机票可以享受优惠！可以不用排队就登机！等等说的天花乱坠！最重要的是还说缴费1680元可以送我多少钱！总共3000元以后买机票可以全额抵扣！听到可以“全额抵扣”我才办的这张VIP&amp;nbsp;卡！从网上查看却不可以从vip卡上全款支付，我又去找客服，她解</t>
  </si>
  <si>
    <t>闪电借款协商还款不给销账</t>
  </si>
  <si>
    <t>http://ts.21cn.com/tousu/show/id/1373608</t>
  </si>
  <si>
    <t>2019/10/19 12:55:17</t>
  </si>
  <si>
    <t>投诉人烟先生投诉对象闪电借款,掌众金服涉诉金额7300元问题类型诉求类型投诉详情17号，一直打电话说协商还款，最后达成共识，说还进去就给销账，18号上午未消，找催收的，催收的不闻不问，下午给闪电客服打电话也不管，一直到今天还未销账。</t>
  </si>
  <si>
    <t>淘集集购物后未发货，拒绝退款</t>
  </si>
  <si>
    <t>http://ts.21cn.com/tousu/show/id/1373609</t>
  </si>
  <si>
    <t>2019/10/19 12:55:10</t>
  </si>
  <si>
    <t>购物后仅邮寄了一个快递单过来，并未发货，并拒绝退款！。</t>
  </si>
  <si>
    <t>my钱包逾期一天爆通讯录，最后一期400多我说月底还，不同意</t>
  </si>
  <si>
    <t>http://ts.21cn.com/tousu/show/id/1373607</t>
  </si>
  <si>
    <t>2019/10/19 12:53:43</t>
  </si>
  <si>
    <t>投诉人张先生投诉对象普人贷涉诉金额6000元问题类型诉求类型投诉详情打电话恐吓，暴力催收，协商不行非要爆通讯录。</t>
  </si>
  <si>
    <t>宜人贷套路贷砍头息暴力催收</t>
  </si>
  <si>
    <t>http://ts.21cn.com/tousu/show/id/1373606</t>
  </si>
  <si>
    <t>2019/10/19 12:51:33</t>
  </si>
  <si>
    <t>10月22日，本人妻子熟人经该公司电话营销了解到宜人贷利率低，无担保，放款快，决定到该公司办理贷款，但由于其没有固定收入来源不符合贷款条件，但营销经理迫切想放款完成业绩，便诱使本人妻子在该公司办理了贷款手续，并未与我及家人核实，同时许诺不要我妻子还款，而由妻子的熟人用款还款，由于该公司颇具规模，妻子放松了警惕，在客户经理拿出的一大摞贷款合同上签了字，该公司也未提供合同副本，原借款金额98300元，在当事人不知情的情况下，放款当时便扣款28300，称之为放款手续费，利用该公司名下恒诚科技发展有限公司作为第三方</t>
  </si>
  <si>
    <t>http://ts.21cn.com/tousu/show/id/1373605</t>
  </si>
  <si>
    <t>2019/10/19 12:50:41</t>
  </si>
  <si>
    <t>在360借条逾期1239元的第五天对方工作人员通过网络骚扰电话不停的打电话给我，期间通过冒充中国建设银行工作人员告知我后果严重，后又语气不善威胁我立即还款，并带有侮辱性语气说我是小屁孩问我是不是不想还了，他们那么大的公司不差我这点钱语气中透出看不起我的意思，说如果我不想还他有的是时候陪我玩给我亲人好友一一通电话发短信，正大光明的说要羞辱我的个人声誉，在逾期刚开始到现在我没有拒接任何他们的电话，并表现出良好的还款意愿，并承诺愿意承担法律规定的逾期罚息费用，对方没有通过法律规定的流程与我联系协商或处理，而是通过</t>
  </si>
  <si>
    <t>平白无故接到电话要我还钱</t>
  </si>
  <si>
    <t>http://ts.21cn.com/tousu/show/id/1373604</t>
  </si>
  <si>
    <t>2019/10/19 12:50:34</t>
  </si>
  <si>
    <t>突然接到171******81这个电话要我还钱，说是我在开心花9月份借的，让我查了我两个账户这段时间都没这个钱入账，叫他提供证明又提供不了。</t>
  </si>
  <si>
    <t>享换机霸王条约</t>
  </si>
  <si>
    <t>http://ts.21cn.com/tousu/show/id/1373603</t>
  </si>
  <si>
    <t>2019/10/19 12:50:17</t>
  </si>
  <si>
    <t>2018年11月末我在享换机租赁了一步手机，三星s9，合同上说新机激活就不能退单，我一想是新的应该没什么问题就打开用，结果不到一个月就各种卡顿，3500多块钱的手机，我想退单但是在APP里根本没有我的订单，我又去支付宝找的，结果拿回去维修，没有手机用，他们又说要交押金才给我替补手机用，这个手机用的太憋屈，每个月228虽然不多但是我现在就想把它退掉，刚给客服打电话协商结果说必须用到一年，这不就是霸王条约吗，然后又给我加微信说要通知我七大姑八大姨，也就是爆通讯录是吧。</t>
  </si>
  <si>
    <t>没有在该平台上借过款，竟然说我逾期了</t>
  </si>
  <si>
    <t>http://ts.21cn.com/tousu/show/id/1373601</t>
  </si>
  <si>
    <t>2019/10/19 12:49:23</t>
  </si>
  <si>
    <t>我没有在他们菜鸟分期平台上借过款，竟然说我逾期了请求销账。</t>
  </si>
  <si>
    <t>自由魔卡信用计划六便士退费</t>
  </si>
  <si>
    <t>http://ts.21cn.com/tousu/show/id/1373600</t>
  </si>
  <si>
    <t>2019/10/19 12:48:47</t>
  </si>
  <si>
    <t>八月在自由魔卡上借信用计划买了会员说永久有效借款现入口不见退会员费，六便士高额砍头息借1200买324卡只到账九百多。</t>
  </si>
  <si>
    <t>解冻账号资金</t>
  </si>
  <si>
    <t>http://ts.21cn.com/tousu/show/id/1373576</t>
  </si>
  <si>
    <t>2019/10/19 12:47:53</t>
  </si>
  <si>
    <t>客服说我出售的账号被找回……我卖了很多号第一次遇见这样的，我卖号难道还得保证买家一辈吗。</t>
  </si>
  <si>
    <t>玖富乱收费，1笔1万，他们却说2笔，另1笔为1500多</t>
  </si>
  <si>
    <t>http://ts.21cn.com/tousu/show/id/1373590</t>
  </si>
  <si>
    <t>2019/10/19 12:47:48</t>
  </si>
  <si>
    <t>投诉人蔡先生投诉对象玖富涉诉金额1503元问题类型诉求类型投诉详情本人与2019.10.5曰与玖富借款10000元，然而他们却说是借了11503，其中1503元被一次收取后，分期让我还掉，如今，我是一个得了病的人，因怕死了，帐还在，因此，现在想一次性还给玖富，才1半个月时间，他们却要我还11600多，这种公司，惨无人道，斧底埋薪，人怨天怨，无视国法，顶风作案，让百姓惨上加惨，我希望自己在死前，提前还给他们1万元本金，与15天的利息90元，希望您们为我作主，我不想他们以后扰乱我家人，我的生活很不容易，但欠钱还</t>
  </si>
  <si>
    <t>平台欺诈</t>
  </si>
  <si>
    <t>http://ts.21cn.com/tousu/show/id/1373578</t>
  </si>
  <si>
    <t>2019/10/19 12:46:46</t>
  </si>
  <si>
    <t>投诉人刘先生投诉对象www.xinyongkaka.com涉诉金额80元问题类型诉求类型投诉详情在此平台购物花了30元不发货,然后让他退款了,然而前并没有退回到我的支付软件中,而是退款到平台账号中,他的平台最低80元才能提现,我就又充了50元,提现显示的是3-5分钟到账,然而没到账,我问客服,他说是2-24小时,过了一宿,我上去一看,说我账号异常,问客服,说是我由于网络原因资金被冻结了,让我再充100块钱证明我账户是没风险的。</t>
  </si>
  <si>
    <t>中建投私自扣款</t>
  </si>
  <si>
    <t>http://ts.21cn.com/tousu/show/id/1373599</t>
  </si>
  <si>
    <t>2019/10/19 12:46:06</t>
  </si>
  <si>
    <t>兴业银行为未经本人允许，私自允许中建投公司盗刷扣款。</t>
  </si>
  <si>
    <t>中腾信旗下小花钱包暴力催收已违法</t>
  </si>
  <si>
    <t>http://ts.21cn.com/tousu/show/id/1373598</t>
  </si>
  <si>
    <t>2019/10/19 12:45:37</t>
  </si>
  <si>
    <t>中腾信旗下的小花钱包，暴力催收现象不断，每天群发短信，恐吓，骚扰通我通讯录，严重影响我生活，7000额度，我已经还了，6500多了，有必要为了几百块钱这样，小花钱包投诉也不怕，投诉也是继续爆我通讯录，已经是严重违法的行为了，我证据正在收集中，要求停止骚扰通我通讯录，和停止群发短信，并对我道歉！希望聚投诉能重事！！。</t>
  </si>
  <si>
    <t>钱伴收取高额服务费不能提前本金结清</t>
  </si>
  <si>
    <t>http://ts.21cn.com/tousu/show/id/1373597</t>
  </si>
  <si>
    <t>2019/10/19 12:44:16</t>
  </si>
  <si>
    <t>钱伴借款16000分12期钱伴收取高额的服务费，提前还款没有一分钱减免，提前还款高达21000多元！。</t>
  </si>
  <si>
    <t>第三方公司冒充律师，编辑虚假信息</t>
  </si>
  <si>
    <t>http://ts.21cn.com/tousu/show/id/1373596</t>
  </si>
  <si>
    <t>2019/10/19 12:43:59</t>
  </si>
  <si>
    <t>第三方催收公司冒充律师不合法，一而再再而三的发送虚假信息属于违规，恐吓，已经影响家人的生活包括名声名誉，需要贵公司给出一个合理的解决方法，望给贵公司做出个相应的处罚，如果事情不解决的话，我们将会去银监会继续投诉公司行为，恶心，暴力催收，。</t>
  </si>
  <si>
    <t>米米罐还款后账户锁定</t>
  </si>
  <si>
    <t>http://ts.21cn.com/tousu/show/id/1373595</t>
  </si>
  <si>
    <t>2019/10/19 12:43:54</t>
  </si>
  <si>
    <t>再米米罐还款后账户锁定无法使用，米米罐存在报复心里。</t>
  </si>
  <si>
    <t>今日头条鲁班不退押金</t>
  </si>
  <si>
    <t>http://ts.21cn.com/tousu/show/id/1373540</t>
  </si>
  <si>
    <t>2019/10/19 12:43:49</t>
  </si>
  <si>
    <t>投诉人章先生投诉对象今日头条,鲁班商家,放心购涉诉金额20000元问题类型诉求类型投诉详情我是上饶县华前电子商务有限公司，5月份入住今天头条鲁班后台，后应业务需要，推出鲁班，按照鲁班上面的要求申请退押金的，现在系统已经把我公司账户已经关闭，却迟迟不退押金，有截图为证，既然店铺已经关闭，请马上退回押金谢谢。</t>
  </si>
  <si>
    <t>http://ts.21cn.com/tousu/show/id/1373594</t>
  </si>
  <si>
    <t>2019/10/19 12:43:40</t>
  </si>
  <si>
    <t>恐吓威胁，未经本人允许，爆通讯录影响工作，影响生活，本金和法定利息已经还完。</t>
  </si>
  <si>
    <t>拉卡拉首扣贷款金额，超高逾期费等，利用国家征信系统变相要挟用户！！！</t>
  </si>
  <si>
    <t>http://ts.21cn.com/tousu/show/id/1373592</t>
  </si>
  <si>
    <t>2019/10/19 12:43:01</t>
  </si>
  <si>
    <t>拉卡拉冻结我血汗钱1420元，举报3个月了，依旧不管用，请本平台还我公道，本人有十足的证据，今日打电话给客服一提到冻结我资金果断挂断电话，下面是录音证据。</t>
  </si>
  <si>
    <t>招行骚扰联系人</t>
  </si>
  <si>
    <t>http://ts.21cn.com/tousu/show/id/1373591</t>
  </si>
  <si>
    <t>2019/10/19 12:42:34</t>
  </si>
  <si>
    <t>招商银行信用卡在可以联系到本人的情况下，本人明确说明本人有还款意愿，只是暂时无法还款，10月19日银行法务部门人员打电话要求我今天下午4时前还清全款，并要求我提供联系人电话，并随后就联系本人家属，本人将此行为投诉至招商银行信用卡中心，得到的答复是这是违反规定的，本人提出协商还款，并且提出在21日前确保处理2500，每月不低于1500，但是法务部门要求必须全额还款，虽然本人逾期3个月不对，但也希望银行能够进行协商，我觉得协商处理，也要在一种平等的基础上，而不是在银行威胁我的情况下！1.在能够联系到本人情况下为</t>
  </si>
  <si>
    <t>万惠及贷变相收取高额息费以及暴力催收</t>
  </si>
  <si>
    <t>http://ts.21cn.com/tousu/show/id/1373588</t>
  </si>
  <si>
    <t>2019/10/19 12:41:57</t>
  </si>
  <si>
    <t>爆通讯录，发短信轰炸通讯录，恐吓，威胁发照片等一系列违法行为，请有关部门进行追查。</t>
  </si>
  <si>
    <t>PPmoney旗下及贷发恐吓侮辱性的话</t>
  </si>
  <si>
    <t>http://ts.21cn.com/tousu/show/id/1373589</t>
  </si>
  <si>
    <t>2019/10/19 12:41:56</t>
  </si>
  <si>
    <t>PPmoney旗下及贷人员发短信恐吓，发侮辱性的语言，要求协商依然说难听的话。</t>
  </si>
  <si>
    <t>http://ts.21cn.com/tousu/show/id/1373587</t>
  </si>
  <si>
    <t>2019/10/19 12:41:44</t>
  </si>
  <si>
    <t>我15年办的手机分期，只是告诉我是佰仟分期，逾期两个月，要还款一千，佰仟金融打电话告诉我，要还两千，还骂我，过了一个月征信显示我欠哈尔滨银行青龙支行一千元，逾期，可是当初我和佰仟沟通还款的时候是一千块钱，为什么佰仟要我两千块钱，。</t>
  </si>
  <si>
    <t>拍拍贷恶意崔收，冒充律师恐吓</t>
  </si>
  <si>
    <t>http://ts.21cn.com/tousu/show/id/1373586</t>
  </si>
  <si>
    <t>2019/10/19 12:40:59</t>
  </si>
  <si>
    <t>拍拍贷严重对联系人短信，电话崔收，冒充律师对行骚扰！说传票以到我们当地邮局，我去查没有，还说要把我列入失信人员名单！协商无效，利息高的离谱，望有关部门对其严查，无法无天了。</t>
  </si>
  <si>
    <t>闪电借款恶意欺诈，高利贷</t>
  </si>
  <si>
    <t>http://ts.21cn.com/tousu/show/id/1373585</t>
  </si>
  <si>
    <t>2019/10/19 12:40:55</t>
  </si>
  <si>
    <t>投诉人陈先生投诉对象掌众金服涉诉金额500元问题类型诉求类型投诉详情借款叫提前购买黑卡500元2000额度变相砍头息买了之后又借不了人工客服永远联系不到求给个说法退款财神黑卡500元。</t>
  </si>
  <si>
    <t>捷信暴力催收扰乱家庭生活扰乱社会治安</t>
  </si>
  <si>
    <t>http://ts.21cn.com/tousu/show/id/1373582</t>
  </si>
  <si>
    <t>2019/10/19 12:38:56</t>
  </si>
  <si>
    <t>投诉人张先生投诉对象捷信金融涉诉金额10000元问题类型诉求类型投诉详情捷信暴力催收扰乱家庭生活社会治安我在捷信贷款在生活艰难的情况下导致逾期捷信暴力催收电话恐吓我母亲我母亲没上过学电话恐吓扬言上门讨要，讲不还款要导致征信降低孩子无法参加工作无法上学.我已多次联系捷信更改还款日期捷信都没有给予帮助，目前仍然在暴力催收。</t>
  </si>
  <si>
    <t>功夫贷暴力催收，泄露个人隐私，恶意骚扰通讯录无关人员！</t>
  </si>
  <si>
    <t>http://ts.21cn.com/tousu/show/id/1373581</t>
  </si>
  <si>
    <t>2019/10/19 12:38:46</t>
  </si>
  <si>
    <t>投诉人宋先生投诉对象功夫贷涉诉金额15000元问题类型诉求类型投诉详情本人因身体原因导致还款出现问题，目前正在积极筹款解决处理，功夫贷催收无视本人诉求，恶意、多次、持续电话骚扰本人通讯录无关人员！催收人员态度恶略，，肆意宣扬、泄露本人隐私，并以所谓“欠款”会受制裁为名恐吓无辜亲友！这种暴力催收行为，已经给我的工作和生活带来毁灭性的打击，直接导致本人失业，家庭不和！在此本人郑重声明：我已保存相关电话录音，亲友提供骚扰电话截图等证据，要求你方立即停止对无关人员的骚扰恐吓，并承担暴力催收带来的一切法律后果！另外这</t>
  </si>
  <si>
    <t>强制购买游戏币</t>
  </si>
  <si>
    <t>http://ts.21cn.com/tousu/show/id/1373580</t>
  </si>
  <si>
    <t>2019/10/19 12:38:08</t>
  </si>
  <si>
    <t>涉诉金额5401元问题类型诉求类型投诉详情高利贷，年利率23%。</t>
  </si>
  <si>
    <t>恢复使用</t>
  </si>
  <si>
    <t>http://ts.21cn.com/tousu/show/id/1373579</t>
  </si>
  <si>
    <t>2019/10/19 12:37:50</t>
  </si>
  <si>
    <t>投诉人刘先生投诉对象用钱宝涉诉金额6000元问题类型诉求类型投诉详情借了2次从没逾期过，再借就借不出来了，既然不让借为什么还一次次恢复额度！！！。</t>
  </si>
  <si>
    <t>私自扣钱，退款</t>
  </si>
  <si>
    <t>http://ts.21cn.com/tousu/show/id/1373563</t>
  </si>
  <si>
    <t>2019/10/19 12:37:08</t>
  </si>
  <si>
    <t>投诉人冯先生投诉对象钱橙无忧涉诉金额318元问题类型诉求类型投诉详情钱橙无忧APP我已缷载了，今天发现他两次扣我的钱共316。</t>
  </si>
  <si>
    <t>国美金融电话暴力催收</t>
  </si>
  <si>
    <t>http://ts.21cn.com/tousu/show/id/1373577</t>
  </si>
  <si>
    <t>2019/10/19 12:36:42</t>
  </si>
  <si>
    <t>投诉人王女士投诉对象国美金融涉诉金额10000元问题类型诉求类型投诉详情国美金融，最近开始疯狂打我亲戚的电话，太无语了，这个样子我就有钱还他了，之前一期都没逾期，现在遇到困难了，就这样，真是太无语了，请求聚投诉处理一下，。</t>
  </si>
  <si>
    <t>被骚扰恐吓</t>
  </si>
  <si>
    <t>http://ts.21cn.com/tousu/show/id/1373575</t>
  </si>
  <si>
    <t>2019/10/19 12:36:06</t>
  </si>
  <si>
    <t>投诉人陈先生投诉对象招联金融涉诉金额0元问题类型诉求类型投诉详情不知道怎么回事明明除了花呗没有任何欠款一直被骚扰不知道哪里来的我手机号天天打我电话骚扰我打电话的人态度非常恶劣电话中明确说联系我亲朋好友是爆通讯录对吧。</t>
  </si>
  <si>
    <t>高利贷51人品贷暴力催收</t>
  </si>
  <si>
    <t>http://ts.21cn.com/tousu/show/id/1373574</t>
  </si>
  <si>
    <t>2019/10/19 12:35:21</t>
  </si>
  <si>
    <t>投诉人王女士投诉对象51人品涉诉金额135000元问题类型诉求类型投诉详情高利贷中的高利贷，言词阵阵自己利率没问题，实则大多数都已经高达41/46了，拿15000来说每月还款1580，一年还完，它的利率已经高达45.7%了，等额本息每月本金降低利息也跟随降低的，他们是本金按月还过了，利息还要加上，就是名副其实的利息加利息、看到的人赶紧都找专业律师算算吧、希望赶紧曝光国家打击高利贷。</t>
  </si>
  <si>
    <t>没下款就说交费，不交费也会产生利息，这都什么平台</t>
  </si>
  <si>
    <t>http://ts.21cn.com/tousu/show/id/1373573</t>
  </si>
  <si>
    <t>2019/10/19 12:35:12</t>
  </si>
  <si>
    <t>投诉人蔡先生投诉对象融e借涉诉金额0元问题类型诉求类型投诉详情不懂怎么说说了，明摆着乱收费，没下款钱要交5个点保证金，说交了才能下款，不交下不了款，最后说那不要了，取消总可以吧，说不可以，一样要算利息，这样的平台这不是摆明坑钱吗，要求撤销，给出一个合理的解释，在扫黑除恶的今天，还有公司玩这种高利贷，坑钱…，想不要也不行，强制买卖哦，这不是吗，和谐社会，大张旗鼓的玩这种，觉得合理吗，合法吗，合规吗。</t>
  </si>
  <si>
    <t>优信二手车套路贷</t>
  </si>
  <si>
    <t>http://ts.21cn.com/tousu/show/id/1373572</t>
  </si>
  <si>
    <t>2019/10/19 12:35:05</t>
  </si>
  <si>
    <t>投诉人李先生投诉对象优信二手车涉诉金额0元问题类型诉求类型投诉详情我2018年10月12日在优信二手车车上购买一辆二手车，当时是一成首付，当时上的户是优信二手车公司的户，承诺还满十二个月后过户到我本人，可是现在还满十二期了，联系客户过户却说要将尾款全部结清，尾款结清也只少了1800元，等于还是交了一年半的利息，我就不同意，然后客服就说这个过户费时间要很长，要几个月才行，真的是这样吗，现在打客服的电话也都是那几句话，让耐心等候，会尽快催促，我都打了20几个电话了，现在是线下根本没人联系过我，我现在车的商业险到</t>
  </si>
  <si>
    <t>牛牛贷高利贷  本人只能还款本金</t>
  </si>
  <si>
    <t>http://ts.21cn.com/tousu/show/id/1373570</t>
  </si>
  <si>
    <t>2019/10/19 12:34:17</t>
  </si>
  <si>
    <t>投诉人 李女士        投诉对象  牛牛贷        涉诉金额  660 元    问题类型    诉求类型投诉详情  超高利息本人无法接受高利息 本人可以还本金加利息660 借款1000实际到账640</t>
  </si>
  <si>
    <t>你我贷协商还款</t>
  </si>
  <si>
    <t>http://ts.21cn.com/tousu/show/id/1373571</t>
  </si>
  <si>
    <t>2019/10/19 12:34:15</t>
  </si>
  <si>
    <t>本人2019年3有19日在你我贷平台借款15000，分十二期还，至9月20日已还六期，还款金额12000元，现仍剩余期数6期，剩余欠款8396元；按平台显示本人一共应还欠款共计20396，应支付利息5396元；但本人在九月底债务全面爆发，深陷网贷死循环，现状确实无力继续按时偿还后面的期数及金额，因此请求予以协商延期后续还款金额。</t>
  </si>
  <si>
    <t>乱扣费未经同意划扣我卡里的钱</t>
  </si>
  <si>
    <t>http://ts.21cn.com/tousu/show/id/1373479</t>
  </si>
  <si>
    <t>2019/10/19 12:34:02</t>
  </si>
  <si>
    <t>新生-深圳市恒富创融科技有限公司在我不知情情况下无任何操作自动划扣我银行卡的钱84元现要求退费并解释道歉。</t>
  </si>
  <si>
    <t>买买乐购利息太高</t>
  </si>
  <si>
    <t>http://ts.21cn.com/tousu/show/id/1373569</t>
  </si>
  <si>
    <t>2019/10/19 12:33:56</t>
  </si>
  <si>
    <t>投诉人韩先生投诉对象深圳买买提公司涉诉金额16000元问题类型诉求类型投诉详情我在深圳买买乐购公司借了一笔贷款，金额16000期限12个月，每月得还1944合计总还款金额23000多，超国家规定的利息。</t>
  </si>
  <si>
    <t>（特约）中兴付账户无故扣钱</t>
  </si>
  <si>
    <t>http://ts.21cn.com/tousu/show/id/1373568</t>
  </si>
  <si>
    <t>2019/10/19 12:33:35</t>
  </si>
  <si>
    <t>别人还给我钱，我正要转出来用，结果发现钱不见了，消费时间2019年19日11点09分49秒，我未做任何消费及平台支付，如何扣款且免卡消费。</t>
  </si>
  <si>
    <t>利息高</t>
  </si>
  <si>
    <t>http://ts.21cn.com/tousu/show/id/1373566</t>
  </si>
  <si>
    <t>2019/10/19 12:32:49</t>
  </si>
  <si>
    <t>借款2200，现已经还款2850，app显示还需要还款1000。</t>
  </si>
  <si>
    <t>暴力催收、高利息、泄露个人隐私通信</t>
  </si>
  <si>
    <t>http://ts.21cn.com/tousu/show/id/1373567</t>
  </si>
  <si>
    <t>2019/10/19 12:32:43</t>
  </si>
  <si>
    <t>高利息，泄露个人隐私，经常打电话去给我的朋友，老是骚扰，刚开始借钱，是工作上出了点问题才借的没想到逾期费用太高了，20号想结清希望可以减少些帮忙解决下谢谢大家了。</t>
  </si>
  <si>
    <t>高额违约金1</t>
  </si>
  <si>
    <t>http://ts.21cn.com/tousu/show/id/1373565</t>
  </si>
  <si>
    <t>2019/10/19 12:32:33</t>
  </si>
  <si>
    <t>中邮消费金融邮你贷利率太高，违约金太高，催收态度恶劣，影响正常工作生活了。</t>
  </si>
  <si>
    <t>爆通讯录威胁恐吓言语辱骂</t>
  </si>
  <si>
    <t>http://ts.21cn.com/tousu/show/id/1373564</t>
  </si>
  <si>
    <t>2019/10/19 12:31:07</t>
  </si>
  <si>
    <t>投诉人赵先生投诉对象MY钱包涉诉金额3000元问题类型诉求类型投诉详情暴力催收，爆通讯录，威胁恐吓，言语辱骂。</t>
  </si>
  <si>
    <t>拍拍贷随意骚扰通讯录威胁本人</t>
  </si>
  <si>
    <t>http://ts.21cn.com/tousu/show/id/1373562</t>
  </si>
  <si>
    <t>2019/10/19 12:30:08</t>
  </si>
  <si>
    <t>投诉人刘先生投诉对象拍拍贷涉诉金额1409元问题类型诉求类型投诉详情本人在前面一次投诉过了，拍拍贷在没有客服跟我协商的情况下申请结案，由于最近忙，过了两天系统自动结案了，本想着过段时间发了工资就还进去，结果这几天拍拍贷催收又在骚扰本人和通讯录里的人，而且自称是上海拍拍贷，电话显示的确都是山西的，还具体的说出了电话打给了谁，威胁我，如果这几个人不借钱给我处理逾期，会打给更多的亲友，意思是要帮我问我通讯录的人借钱，有录音，有证据，希望拍拍贷官方做出解释，停止骚扰，并且道歉。</t>
  </si>
  <si>
    <t>我来贷逾期利息高</t>
  </si>
  <si>
    <t>http://ts.21cn.com/tousu/show/id/1373561</t>
  </si>
  <si>
    <t>2019/10/19 12:29:41</t>
  </si>
  <si>
    <t>逾期4天，逾期费300，超出国家规定的利益。</t>
  </si>
  <si>
    <t>京东催收无底线，客服之前承诺分期</t>
  </si>
  <si>
    <t>http://ts.21cn.com/tousu/show/id/1373560</t>
  </si>
  <si>
    <t>2019/10/19 12:29:32</t>
  </si>
  <si>
    <t>第一，欠款属于个人行为第二，催收联系联系人应该在联系不到本人的情况下第三，之所以没有还款是之前投诉，客服说可以分期，和前面催收协商，催收后来一句话都没得了，第四，如果再给我发朋友发一些图片，信函什么的，我直接投诉银监会，工信我在做M3，催收那点把戏清清楚楚，我是不想查，京东委外那几家公司，我也可以查出来，再乱搞，我就报警，直接搞外包公司。</t>
  </si>
  <si>
    <t>信而富，不给协商还款</t>
  </si>
  <si>
    <t>http://ts.21cn.com/tousu/show/id/1373559</t>
  </si>
  <si>
    <t>2019/10/19 12:28:12</t>
  </si>
  <si>
    <t>信而富你们打爆我通讯录，诚心协商还款根本没协商的余地，我现在没有还款能力，说了刚找到工作工资压了一个月没发，发了我会还进去，我也是你们平台老用户了吧，你们刚开始做是挺良心，借1000一月还1030，14天买卡购物才能下款，变相砍头息，等于借一千14天就要还一千两百多，直到315所有714东窗事发你们又改成30天的，我银行卡流水可以作证，那好我会向银监和工商反应你们的问题，来聚投诉只是给你们提个醒，人在做天在看，你们有没有违规你们自己心里清楚。</t>
  </si>
  <si>
    <t>51即刻有，暴力催收，恶意泄露欠款人隐私，涉及违法！</t>
  </si>
  <si>
    <t>http://ts.21cn.com/tousu/show/id/1373558</t>
  </si>
  <si>
    <t>2019/10/19 12:27:40</t>
  </si>
  <si>
    <t>投诉人宋先生投诉对象51即刻有涉诉金额5000元问题类型诉求类型投诉详情本人因身体原因导致还款出现问题，目前正在积极筹款解决处理，，肆意宣扬、泄露本人隐私，并以所谓“欠款”会受制裁为名恐吓无辜亲友！这种暴力催收行为，已经给我的工作和生活带来毁灭性的打击，直接导致本人失业，家庭不和！在此本人郑重声明：我已保存相关电话录音，亲友提供骚扰电话截图等证据，要求你方立即停止对无关人员的骚扰恐吓，并承担暴力催收带来的一切后果！。</t>
  </si>
  <si>
    <t>恒丰银行和爱又米联合放高利贷</t>
  </si>
  <si>
    <t>http://ts.21cn.com/tousu/show/id/1373556</t>
  </si>
  <si>
    <t>2019/10/19 12:27:16</t>
  </si>
  <si>
    <t>恒丰银行联合爱又米平台放高利贷，我与2015年开始注册爱又米平台，开始使用，到2017年4月19号，最高额度为2万元，截止2018年，陆续总计使用循环额度54838元，每一期账单还款时，服务费和管理费高达每期美金的百分之30以上，还未计算手续费，爱又米在中途催收过程中，未经我同意，私自把我个人信息，通讯录信息，工作，学校信息透漏给外包公司，并且多次雇佣外包催收公司暴力催收，群发短信，进行乱打辱骂电话进行冷暴力，甚至在我毕业2年后，把电话打到学校教务处，把学校老师进行辱骂，导致学校老师无法正常工作，来威胁我，</t>
  </si>
  <si>
    <t>迅捷视频转换器转换不了视频</t>
  </si>
  <si>
    <t>http://ts.21cn.com/tousu/show/id/1373557</t>
  </si>
  <si>
    <t>2019/10/19 12:27:08</t>
  </si>
  <si>
    <t>用迅捷视频转换器转换视频时，转换失败，还通过扫描收了88元会员金。</t>
  </si>
  <si>
    <t>乱扣费要求退款</t>
  </si>
  <si>
    <t>http://ts.21cn.com/tousu/show/id/1373555</t>
  </si>
  <si>
    <t>2019/10/19 12:26:38</t>
  </si>
  <si>
    <t>投诉人 刘先生        投诉对象  钱橙无忧        涉诉金额  138 元    问题类型    诉求类型投诉详情  虚假宣传。在不知情的情况下扣款。要求退款道歉</t>
  </si>
  <si>
    <t>http://ts.21cn.com/tousu/show/id/1373502</t>
  </si>
  <si>
    <t>2019/10/19 12:26:37</t>
  </si>
  <si>
    <t>投诉人侯先生投诉对象钱站涉诉金额1000元问题类型诉求类型投诉详情借款本金1000元，还三期共计2025.06元，合同上看不到所谓的费用。</t>
  </si>
  <si>
    <t>My钱包贷款利息不合法</t>
  </si>
  <si>
    <t>http://ts.21cn.com/tousu/show/id/1373553</t>
  </si>
  <si>
    <t>2019/10/19 12:25:39</t>
  </si>
  <si>
    <t>my钱包强制性的只能分期三个月，并且不符合年利率百分之二十四的国家规定，并且有不知名的担保费！且扰乱了我的日常生活，前一份工作因其丢失，第二份工作也即将不保！。</t>
  </si>
  <si>
    <t>富友支付协助高利贷做第三方支付引流</t>
  </si>
  <si>
    <t>http://ts.21cn.com/tousu/show/id/1373552</t>
  </si>
  <si>
    <t>2019/10/19 12:24:45</t>
  </si>
  <si>
    <t>海南易联惠普小额贷款公司从2019年7月份不知道从哪里弄到我的手机号，开始通过短息发给我链接，通过低息无抵押放款快诱导我进去借款，还有打我电话问我需不需要贷款，并加微信给我提供链接，然后下载客户端进行注册借款，本人现陈列出部分关于海南易联惠普小额贷款公司借款的截图，因为他们关闭了部分借款通道，软件多打不开，可是我的银行流水显示富友支付第三方支付公司为其引流放款扣款，打电话给富友支付公司他们给了我一个另外的第三方手机号码把皮球踢给这个个人手机号码，我打过去这个个人手机号也是富友支付和海南易联惠普小额贷款公司的</t>
  </si>
  <si>
    <t>蜜瓜钱包汇潮支付714高炮</t>
  </si>
  <si>
    <t>http://ts.21cn.com/tousu/show/id/1373551</t>
  </si>
  <si>
    <t>2019/10/19 12:24:20</t>
  </si>
  <si>
    <t>10月14号通过趣花分期，下载了蜜瓜分期，借款金额2200元，实际到账金额1420元，还款金额2207.92元，砍头息高达780元！支付通道为汇潮支付，借款期限为6天，需还款2207.92元，这和之前315曝光的714套路贷高利贷毫无区别，利率也远超国家规定。</t>
  </si>
  <si>
    <t>新浪微博借钱存在欺诈借款人的行为</t>
  </si>
  <si>
    <t>http://ts.21cn.com/tousu/show/id/1373550</t>
  </si>
  <si>
    <t>2019/10/19 12:23:51</t>
  </si>
  <si>
    <t>投诉人 冯先生        投诉对象  微博借钱        涉诉金额  6 000 元    问题类型    诉求类型投诉详情  微博钱包借钱。实际写着是日利率万4，借钱下来接近万7。借钱时没有说明利率。我还以为是万4，就没细看。直接申请的的。多出来的利息是什么费用。并没有标明。借钱界面显示日利率万4。这不是欺骗吗。以为新浪微博这么大一个公司靠谱。没想到玩种把戏。</t>
  </si>
  <si>
    <t>贷上钱暴力催收恐吓</t>
  </si>
  <si>
    <t>http://ts.21cn.com/tousu/show/id/1373549</t>
  </si>
  <si>
    <t>2019/10/19 12:22:18</t>
  </si>
  <si>
    <t>对本人进行言语攻击，电话骚扰，人身威胁以及恐吓本人家人，态度极其嚣张，在协商未果的情况下，轰炸本人通讯录，对本人生活造成了严重困扰，给我的家人，同事，朋友身心带来了巨大的伤害，在国家三令五申的情况下还存在违法催收，并且有恃无恐，望有关部门详查，而是利息存在阴阳合同借款的时候跟还款的时候利息不一，导致本人无法接受，在多次协商无果的情况下对本人进行人身攻击，语言威胁，辱骂我的家人。</t>
  </si>
  <si>
    <t>714高炮</t>
  </si>
  <si>
    <t>http://ts.21cn.com/tousu/show/id/1373547</t>
  </si>
  <si>
    <t>2019/10/19 12:21:48</t>
  </si>
  <si>
    <t>714高炮，借1500到手1050，还了利息都有1500了，还骚扰还款，并短信威胁！请平台做出严肃处理！。</t>
  </si>
  <si>
    <t>金鸡下蛋菜鸟有钱是懦夫</t>
  </si>
  <si>
    <t>http://ts.21cn.com/tousu/show/id/1373546</t>
  </si>
  <si>
    <t>2019/10/19 12:20:55</t>
  </si>
  <si>
    <t>金鸡下蛋菜鸟有钱是高利贷平台，不敢留下电话，不敢直面！所谓的客服电话！。</t>
  </si>
  <si>
    <t>钱站注销账号要求身份证各种照片，非法获取个人信息</t>
  </si>
  <si>
    <t>http://ts.21cn.com/tousu/show/id/1373545</t>
  </si>
  <si>
    <t>2019/10/19 12:20:35</t>
  </si>
  <si>
    <t>流程繁琐，要求上传身份证各种信息，盗取个人信息，否则不给注销。</t>
  </si>
  <si>
    <t>招联金融催收暴力</t>
  </si>
  <si>
    <t>http://ts.21cn.com/tousu/show/id/1373544</t>
  </si>
  <si>
    <t>2019/10/19 12:20:31</t>
  </si>
  <si>
    <t>一直威胁本人，非要拨打联系人，还说要上门，通知居委会什么的，在多给一天机会都不可以吗。</t>
  </si>
  <si>
    <t>分期乐公司不经卡主同意，凌晨3点从卡主卡里扣款，卡主没有填写任何支付密码的情况下，私自扣款</t>
  </si>
  <si>
    <t>http://ts.21cn.com/tousu/show/id/1373542</t>
  </si>
  <si>
    <t>2019/10/19 12:19:52</t>
  </si>
  <si>
    <t>分期乐公司私自从消费者卡里面扣除账单金额，并且是在凌晨3点左右，明明分期乐公司的上班时间是上午9点到下午7点，之前几个月没有私自从卡里扣钱，都是电话骚扰，我也是有正常还款，只是是还的最低，但是这次是在消费者不知情的情况下私自扣除账单金额，消费者没有输入任何付款密码，打电话给客服，只是踢皮球的方式来搪塞消费者。</t>
  </si>
  <si>
    <t>这是支付宝的坑还是网上零钱都有风险？</t>
  </si>
  <si>
    <t>http://ts.21cn.com/tousu/show/id/1373539</t>
  </si>
  <si>
    <t>2019/10/19 12:19:44</t>
  </si>
  <si>
    <t>在本人都不知道的情况下，且我手机里都没有这个app不知道这个app采用了什么方法获取了支付宝免密码支付的权限，导致被莫名其妙扣除了钱，。</t>
  </si>
  <si>
    <t>拨打我亲朋好友的电话，给我的生活带来了严重的影响，</t>
  </si>
  <si>
    <t>http://ts.21cn.com/tousu/show/id/1373541</t>
  </si>
  <si>
    <t>2019/10/19 12:19:43</t>
  </si>
  <si>
    <t>投诉人 成女士        投诉对象  钱包易贷        涉诉金额  3 555 元    问题类型    诉求类型投诉详情  对我的生活进行骚扰，拨打我亲朋好友的电话</t>
  </si>
  <si>
    <t>催收不接受协商，说今天不处理后果自负</t>
  </si>
  <si>
    <t>http://ts.21cn.com/tousu/show/id/1373538</t>
  </si>
  <si>
    <t>2019/10/19 12:19:40</t>
  </si>
  <si>
    <t>我跟他们说了最晚25日发工资还完，这几天也会想办法还进去，他么催收不同意，会要让我今天下午13点30处理，不处理就后果自负。</t>
  </si>
  <si>
    <t>信用卡第三方暴力催收恶意骚扰</t>
  </si>
  <si>
    <t>http://ts.21cn.com/tousu/show/id/1373537</t>
  </si>
  <si>
    <t>2019/10/19 12:19:26</t>
  </si>
  <si>
    <t>已经和信用卡客服达成共识，信用卡第三方恶意骚扰，冒充司法部门。</t>
  </si>
  <si>
    <t>商家接单不配送害我中午吃不到饭</t>
  </si>
  <si>
    <t>http://ts.21cn.com/tousu/show/id/1373536</t>
  </si>
  <si>
    <t>2019/10/19 12:19:04</t>
  </si>
  <si>
    <t>投诉人 赵先生        投诉对象  饿了么        涉诉金额  20 元    问题类型    诉求类型投诉详情  商家接单不配送害我中午吃不到饭 ，无良商家快点整治</t>
  </si>
  <si>
    <t>逾期一天费用高达1200多</t>
  </si>
  <si>
    <t>http://ts.21cn.com/tousu/show/id/1373535</t>
  </si>
  <si>
    <t>2019/10/19 12:18:56</t>
  </si>
  <si>
    <t>投诉人 储先生        投诉对象  北京利通汽车咨询服务有限公司        涉诉金额  3 216 元    问题类型    诉求类型投诉详情  本人一直正常还款一年多了 本期工资晚了两天发 我今日还款 却告知要还3216.97 而每期本金本来就是2069.47 现在我已归还2069.47 剩下高达1000多的利息 本人不予偿还 如处理无果 本人拒绝归还剩下贷款</t>
  </si>
  <si>
    <t>闪电借款暴力催收，爆通讯录，侵犯个人隐私</t>
  </si>
  <si>
    <t>http://ts.21cn.com/tousu/show/id/1373534</t>
  </si>
  <si>
    <t>2019/10/19 12:18:05</t>
  </si>
  <si>
    <t>本人于2019年8月4日、8月14日和9月2日分别在闪电借款APP上借款8000元、2000元和1300元，其中支付所谓的担保金20%存在变相砍头息，逾期费以及借款的利率完全不合法属于高利贷，逾期一天情况下闪电借款方外包第三方催收本人联系人及公司进行辱骂催收，导致家人生病住院及工作单位辞退本人，造成特大后果，现本人以及家人倾家荡产将闪电借款告上法庭，赔偿本人及家人损失！。</t>
  </si>
  <si>
    <t>立借钱置宝高额逾期费</t>
  </si>
  <si>
    <t>http://ts.21cn.com/tousu/show/id/1373532</t>
  </si>
  <si>
    <t>2019/10/19 12:14:23</t>
  </si>
  <si>
    <t>本人由于资金周转，申请了立借平台钱置宝产品，总计到账2100，还款4期，金额2800，后来了解到这正是国家严厉打击的714套路贷款，目前第一期已经还款，第二期还款时银行卡代扣不成功，未有工作人员联系，他们现在联系我，让归还本金+逾期费共计5000多元的费用。</t>
  </si>
  <si>
    <t>信用卡利息</t>
  </si>
  <si>
    <t>http://ts.21cn.com/tousu/show/id/1373531</t>
  </si>
  <si>
    <t>2019/10/19 12:14:09</t>
  </si>
  <si>
    <t>信用卡收取利息过高，短短两年多已经收取个人信用卡利息五万以上。</t>
  </si>
  <si>
    <t>招联金融恶意催收爆通讯录</t>
  </si>
  <si>
    <t>http://ts.21cn.com/tousu/show/id/1373530</t>
  </si>
  <si>
    <t>2019/10/19 12:13:38</t>
  </si>
  <si>
    <t>这个月因资金周转不过来导致逾期，招联金融那边给我的电话也没有不接，我也没有说过不还，只是想协商还款时间，但是招联金融这边就恶意爆通讯录，恶意催收，求招联金融这边停止恶意爆通讯录，停止恶意催收。</t>
  </si>
  <si>
    <t>希望微博借钱电联我协商还款事宜</t>
  </si>
  <si>
    <t>http://ts.21cn.com/tousu/show/id/1373528</t>
  </si>
  <si>
    <t>2019/10/19 12:12:55</t>
  </si>
  <si>
    <t>投诉人邵先生投诉对象微博借钱涉诉金额1000元问题类型诉求类型投诉详情本人在微博借钱上的借款逾期了，昨天和催收人员协商好今天中午两点前处理好，怎知道天降横祸，家人出事，现在必须赶回家，我已经和催收反应了我的问题，并表示我会先往卡中存入500表示我的还款诚意，同时希望原定的还款时间由今日下午两点往后延至今晚八点，也是希望这种时候不要有人乱给我家里打电话，不要让我家里再雪上加霜，怎知道这个贷后人员寸步不让，坚持不同意协商，我已经和官方客服反馈过了，也是第一时间将我与客服协商的结果反馈给催收，可是即使这种情况下她</t>
  </si>
  <si>
    <t>用乐刷旗下的来付吧进行信用卡还款，显示还款失败，但是储蓄卡已经扣钱了</t>
  </si>
  <si>
    <t>http://ts.21cn.com/tousu/show/id/1373527</t>
  </si>
  <si>
    <t>2019/10/19 12:11:59</t>
  </si>
  <si>
    <t>用乐刷旗下的来付吧进行信用卡还款，但是显示还款失败，而且储蓄卡里的钱已经扣除，信用卡却迟迟未到账，今天是我还信用卡的最后一天！要求立即退款！。</t>
  </si>
  <si>
    <t>立借借款平台利息高出国家法定标准</t>
  </si>
  <si>
    <t>http://ts.21cn.com/tousu/show/id/1373525</t>
  </si>
  <si>
    <t>2019/10/19 12:11:15</t>
  </si>
  <si>
    <t>利息高出国家法定利息，借7000元6个月要还11900元纯属高利贷，客服态度差，我愿意协商他们不愿意协商并威胁我爆通讯录。</t>
  </si>
  <si>
    <t>微信正常收款支付账户却被永久限制，里面651多余额不能提现</t>
  </si>
  <si>
    <t>http://ts.21cn.com/tousu/show/id/1373524</t>
  </si>
  <si>
    <t>微信正常使用很久，最近也没有什么大额的交易，提示我的账户涉嫌违反《微信支付用户服务协议》已被暂停使用也没有任何其他的信息，现在我咨询微信客服公众号，提示永久限制，我不知道哪里违规，并且我里面还有650多的余额，还有放在零钱通里，全部都不能取出，我是把我所有的积蓄全部存在零钱通里面了，现在微信弄这么一出，让我所有的钱都放在里面取不出来，现在不知道在哪里申诉，希望平台帮我联系，麻烦有消息联系我的手机132******37。</t>
  </si>
  <si>
    <t>乐刷APPpos刷卡未到账</t>
  </si>
  <si>
    <t>http://ts.21cn.com/tousu/show/id/1373522</t>
  </si>
  <si>
    <t>2019/10/19 12:09:55</t>
  </si>
  <si>
    <t>10.17日通过乐刷app秒到pos机刷卡支付39.9元，迟迟未到账，联系不上任何人工客服，希望款项马上到账。</t>
  </si>
  <si>
    <t>玖富万卡高利贷使用阴阳合同手段恶劣</t>
  </si>
  <si>
    <t>http://ts.21cn.com/tousu/show/id/1373521</t>
  </si>
  <si>
    <t>2019/10/19 12:09:45</t>
  </si>
  <si>
    <t>玖富数科科技集团有限责任公司旗下app玖富万卡阴阳合同，在本人不知情的情况下再次向广东集成融资担保有限公司对利息强制投保。</t>
  </si>
  <si>
    <t>小赢卡贷-无力偿还最后一期</t>
  </si>
  <si>
    <t>http://ts.21cn.com/tousu/show/id/1373519</t>
  </si>
  <si>
    <t>2019/10/19 12:09:34</t>
  </si>
  <si>
    <t>本在2018年9月20日通过小赢卡贷申请借款15000元，分十二个月还，至2019年9月19日一共已还11期，共计还款金额18752元；本人在九月底债务全面爆发，深陷网贷心力交瘁；现还有最后一期待还金额为1657元，但本人已实在无力偿还入不敷支，而之前有也已经连本带息偿还了18752元，支付利息已达3752元，在此请求平台对最后一期予以销账平债处理。</t>
  </si>
  <si>
    <t>现金巴士高利贷砍头息</t>
  </si>
  <si>
    <t>http://ts.21cn.com/tousu/show/id/1373520</t>
  </si>
  <si>
    <t>2019/10/19 12:09:28</t>
  </si>
  <si>
    <t>现金巴士高利贷砍头息严重，本人在现金巴士申请1000元借款，分期三个月，实际到手只有800多，每月还款却要360多，在我欠款逾期之前就已经向客服说明遇到困难，欠款需要25号才可以处理，客服让我19号在和他们联系，说有什么专员跟进，刚才专员说无法给我申请时间，让我马上处理，威胁要追究我的责任，言语中有威胁不还钱就爆我的通讯录的意思，我在逾期之前就已经积极联系客服协商，每天逾期费10块钱我也说明会承担，现在却告诉我无法给我时间周转，我很不认同这个说法，一开始为什么不告诉我，在产生高额逾期费用后才告诉我不能给我时</t>
  </si>
  <si>
    <t>女神派单方更改条款</t>
  </si>
  <si>
    <t>http://ts.21cn.com/tousu/show/id/1373518</t>
  </si>
  <si>
    <t>2019/10/19 12:09:23</t>
  </si>
  <si>
    <t>女神派单方面修改条约导致消费者消费后受到经济损失，具体体现在消费者消费时的条约是包邮的，后续却修改条约自行解决运费，虽然说是可以办理运费补贴，但是一直没有到账，催了一个月每次客服都说在催促了，于是申请退卡，客服也是一直回复在催促退卡了，但也是一个月了毫无进度，每次都是回复催促了请耐心等待。</t>
  </si>
  <si>
    <t>贷上钱以买游戏豆为由收取高额贷款通过费</t>
  </si>
  <si>
    <t>http://ts.21cn.com/tousu/show/id/1373517</t>
  </si>
  <si>
    <t>2019/10/19 12:09:00</t>
  </si>
  <si>
    <t>高利贷，用户选择产品最后一步看到有500游戏币，没选择用，没同意，没确定第二天平台自动出款，我想请问用户都不申请网贷乐，你们还是给用户出款，变相收取高额利息，现在问题处理不了还一直在骚扰我通讯录，现在还款可以，我只还我该还的部分多的一分我都不会还，能协商就协商，协商不了你们继续打电话骚扰！只归还本金。</t>
  </si>
  <si>
    <t>民生银行催收恐吓威胁</t>
  </si>
  <si>
    <t>http://ts.21cn.com/tousu/show/id/1373516</t>
  </si>
  <si>
    <t>2019/10/19 12:08:23</t>
  </si>
  <si>
    <t>名声银行本金1200，既然要我还款8400多，因为罚息利息严重超过国家法律规定，本人拒绝还款，民生银行威胁上门，说到时我父母出事让我自己小心点，承担责任。</t>
  </si>
  <si>
    <t>优信二手车超期赔付未履行</t>
  </si>
  <si>
    <t>http://ts.21cn.com/tousu/show/id/1373515</t>
  </si>
  <si>
    <t>2019/10/19 12:08:20</t>
  </si>
  <si>
    <t>在优信二手车购买的车辆未能及时交付，超期一个多月，最后协商赔付1190元，2019年4月并签署协议，当时多3个月内将赔付金额转入卡中，截止目前2019年10月19日半年过去了也没收到这笔赔付，打客服电话一直就是推脱责任，总之不给说法。</t>
  </si>
  <si>
    <t>交易猫交易完成一年都不打款,后来说分润失败，更改支付宝也是分润失败</t>
  </si>
  <si>
    <t>http://ts.21cn.com/tousu/show/id/1373514</t>
  </si>
  <si>
    <t>2019/10/19 12:07:54</t>
  </si>
  <si>
    <t>交易猫交易完成快一年都不打款,后来说分润失败，是支付宝没有实名，我一段时间忘了去弄了，前两周才想起来去吧支付宝换了，更换了支付宝绑定还是不打款。</t>
  </si>
  <si>
    <t>小花钱包暴力催收恐吓，合同砍头息</t>
  </si>
  <si>
    <t>http://ts.21cn.com/tousu/show/id/1373512</t>
  </si>
  <si>
    <t>2019/10/19 12:07:10</t>
  </si>
  <si>
    <t>投诉人朱先生投诉对象小花钱包涉诉金额20000元问题类型诉求类型投诉详情阴阳合同，借款1万，合同本金上写15633.44，砍头息全收在合同本金里，不改为正常合同利率不可能继续还款，。</t>
  </si>
  <si>
    <t>拍拍贷恐吓通讯录</t>
  </si>
  <si>
    <t>http://ts.21cn.com/tousu/show/id/1373511</t>
  </si>
  <si>
    <t>2019/10/19 12:06:52</t>
  </si>
  <si>
    <t>投诉人温先生投诉对象拍拍贷涉诉金额3000元问题类型诉求类型投诉详情停止骚扰通讯录！周一前会拿到钱还～如果不想要钱，请继续爆，无所畏惧！。</t>
  </si>
  <si>
    <t>闪银暴力催收，骚扰通讯录无关人员，涉及违法！</t>
  </si>
  <si>
    <t>http://ts.21cn.com/tousu/show/id/1373509</t>
  </si>
  <si>
    <t>2019/10/19 12:06:38</t>
  </si>
  <si>
    <t>投诉人宋先生投诉对象Wecash闪银涉诉金额5600元问题类型诉求类型投诉详情本人因身体原因导致还款出现问题，目前正在积极筹款解决处理，闪银催收无视本人诉求，恶意、多次、持续电话骚扰本人通讯录无关人员！闪银催收态度恶略，，肆意宣扬、泄露本人隐私，并以所谓“欠款”会受制裁为名恐吓无辜亲友！这种暴力催收行为，已经给我的工作和生活带来毁灭性的打击，直接导致本人失业，家庭不和！在此本人郑重声明：我已保存相关电话录音，亲友提供骚扰电话截图等证据，要求闪银方立即停止对无关人员的骚扰恐吓，并承担暴力催收带来的一切后果！。</t>
  </si>
  <si>
    <t>拍拍贷平台恐吓威胁暴力催收</t>
  </si>
  <si>
    <t>http://ts.21cn.com/tousu/show/id/1373507</t>
  </si>
  <si>
    <t>2019/10/19 12:06:11</t>
  </si>
  <si>
    <t>在还完本金的前提下，拍拍贷平台依旧进行恐吓威胁电话骚扰，暴力催收，威胁家人，这样的平台仗着背景强大，顶风作案，实在有辱名气，希望贵平台能慎重对待，有关部门彻查，谢谢。</t>
  </si>
  <si>
    <t>收取高额利息</t>
  </si>
  <si>
    <t>http://ts.21cn.com/tousu/show/id/1373269</t>
  </si>
  <si>
    <t>2019/10/19 12:06:07</t>
  </si>
  <si>
    <t>钱站明星代言，利息高的离谱，本人8月31号申请借款额度3000，合同上却写着3990，分期3个月，每月还款1584.98，3个月利息高达1754.94，下午相关部门能够帮忙处理，强烈要求调整利率，支持这种高利贷小额贷下架。</t>
  </si>
  <si>
    <t>莫名其妙的任你花短信催收</t>
  </si>
  <si>
    <t>http://ts.21cn.com/tousu/show/id/1373506</t>
  </si>
  <si>
    <t>2019/10/19 12:06:00</t>
  </si>
  <si>
    <t>收到短信说有在任你花平台借款逾期，听都没听过；还有威胁逾期，要求加微信。</t>
  </si>
  <si>
    <t>高利网贷无耻发短信辱骂通讯录</t>
  </si>
  <si>
    <t>http://ts.21cn.com/tousu/show/id/1373505</t>
  </si>
  <si>
    <t>2019/10/19 12:05:56</t>
  </si>
  <si>
    <t>你好，之前叫威力贷，现在叫好易分期，借款1400，5天后还款2000，续期算当天总共2天时间又支付300，这是何等的高利呀，还款当天因为他们系统原因到账慢稍微迟一点就骂人，给通讯录发骚扰短信，让人不堪入目，这种平台应该下架，不能让他们再害人，我会投诉到底，我也不要求减少利息，我既然借了，就应该承担后果，但我不想他们坑害别人，请你们一定重视这个平台，他们的催收张口闭口就是国家法律他们可以不遵守，他们气焰嚣张，无视国家法律，请明察，我希望贵平台能一查到底。</t>
  </si>
  <si>
    <t>维信卡卡贷涉嫌高利贷套路贷砍头息</t>
  </si>
  <si>
    <t>http://ts.21cn.com/tousu/show/id/1373504</t>
  </si>
  <si>
    <t>2019/10/19 12:05:24</t>
  </si>
  <si>
    <t>维信卡卡贷，高利贷，砍头息，套路贷，变相收取费用，维信卡卡贷给我打电话说我有一笔额度可用，利息低，我说不用，他们让我试试，说利率低，30000的额度，我分12期，当时分期时没出账单，不知道每个月还这么多，利息就是高利贷，借款后出账单每期还3340，一共还30080，还有一个什么风险评估费用1300，变相收取，这些加在一起总共还41380，这明显的高出国家规定贷款利率，属于高利贷，和我说利息低，引诱贷款，套路贷！。</t>
  </si>
  <si>
    <t>民航联盟忽悠机场旅客消费1480元办理会员卡</t>
  </si>
  <si>
    <t>http://ts.21cn.com/tousu/show/id/1373503</t>
  </si>
  <si>
    <t>2019/10/19 12:05:12</t>
  </si>
  <si>
    <t>本人于2019年7月3日在四川省泸州市云龙机场被穿着机场工作人员服装的服务人员推荐消费1480元办理了民航联盟的金卡，办卡当日说是享受低价购票等vip业务，并且说这1480元和办卡赠送的3000元优惠券能够在以后购买机票时按照机票价格扣除，因为信息需要第二天才能查询，并且从办卡到今天我因为工作问题没有机会购买机票，所以不知道本人所消费的1480是以优惠券的形式扣除了，并且在2019年10月16日时购买机票时，发现卡里的3000元代金券并不能直接用于购买机票，同时购买的机票也没有售卡人员说的有低价折扣，所以我</t>
  </si>
  <si>
    <t>滴滴出行随意扣分司机毫无人权</t>
  </si>
  <si>
    <t>http://ts.21cn.com/tousu/show/id/1373501</t>
  </si>
  <si>
    <t>2019/10/19 12:04:20</t>
  </si>
  <si>
    <t>乘客醉酒，吐的车里座椅，地板，车门，升降玻璃缝隙里面到处都是，我要求乘客支付清洗费，最后经过协商乘客同意支付清洗费，然后通过滴滴平台投诉我加价议价！滴滴判定我有责，我进行第一次申诉，没有成功，第二次申诉人工审核，我要求审核员查看车内录音，录像！但是还是判定我审核失败，车里面味道这么重，我出不了车，这个损失滴滴给我，是不是乘客在车里拉屎拉尿我也要无怨无悔的自己擦，我跑了3家洗车店都不愿意洗，最后出到300块人家才愿意！滴滴出行真的是凌驾于规则之上，想怎么判责就怎么判责！上个月我的两个订单判定我有责，最后也是两</t>
  </si>
  <si>
    <t>投诉MY钱包暴力催收</t>
  </si>
  <si>
    <t>http://ts.21cn.com/tousu/show/id/1373500</t>
  </si>
  <si>
    <t>2019/10/19 12:02:58</t>
  </si>
  <si>
    <t>投诉人刘世福投诉对象MY钱包涉诉金额3000元问题类型诉求类型投诉详情MY钱包暴力催收，打遍通讯录威胁朋友家人，因个人协商延后三天还款，不仅不理会协商还直接恐吓家人朋友借3000元砍头息520到账2480每期还款1600多希望有关部门予以追究。</t>
  </si>
  <si>
    <t>洋钱罐暴力催收、高利贷</t>
  </si>
  <si>
    <t>http://ts.21cn.com/tousu/show/id/1373499</t>
  </si>
  <si>
    <t>2019/10/19 12:01:56</t>
  </si>
  <si>
    <t>本人在该平台借了一笔5000元的贷款，分6期归还，合计需还5938.44元，利息严重超出综合年利率36%，属于高利贷行为，现本人已归还3期，共3076.88元，本期因个人原因逾期了3天，但洋钱罐逾期费高达88.44元，并以非法手段盗取本人通讯录及通话记录，暴力催收恐慌骚扰我家人朋友，侵犯个人私隐，造成非常恶劣影响！在国家扫黑除恶的鲜明旗帜下，该平台如此明目张胆的知法犯法，希望平台能发挥积极作用，要求他们立即停止骚扰并调整贷款利息！。</t>
  </si>
  <si>
    <t>花呗威胁</t>
  </si>
  <si>
    <t>http://ts.21cn.com/tousu/show/id/1373497</t>
  </si>
  <si>
    <t>2019/10/19 12:01:51</t>
  </si>
  <si>
    <t>投诉人叶先生投诉对象花呗涉诉金额1500元问题类型诉求类型投诉详情欠花呗1500现威胁上门，说什么难听的话之类的，还骂人，委托第三方催收部门。</t>
  </si>
  <si>
    <t>招联金融严重损坏个人声誉，暴力催收，恶意骚扰</t>
  </si>
  <si>
    <t>http://ts.21cn.com/tousu/show/id/1373498</t>
  </si>
  <si>
    <t>2019/10/19 12:01:45</t>
  </si>
  <si>
    <t>投诉人高东投诉对象招联金融涉诉金额3900元问题类型诉求类型投诉详情招联金融王八蛋，没有人性污蔑人权，本人沟通协商还款不同意，未经本人同意给身边朋友打电话，还给户籍地父母快递催收信，导致个人声誉严重受损，有家不能归，现请求平台严肃处理这种违法违纪的暴力催收，简直就是蔑视国家法律！。</t>
  </si>
  <si>
    <t>洋钱罐爆通讯录频繁个人名誉权与隐私权</t>
  </si>
  <si>
    <t>http://ts.21cn.com/tousu/show/id/1373496</t>
  </si>
  <si>
    <t>2019/10/19 12:01:15</t>
  </si>
  <si>
    <t>投诉人白先生投诉对象洋钱罐涉诉金额7000元问题类型诉求类型投诉详情洋钱罐现金借款在第一次还款当天下午未逾期情况下爆通讯录催还，与客服联系后为解决，并继续爆通讯录催还，催收人员打电话时已承认爆通讯录，并声称不管法律，已录音，如不停止侵权，书面道歉并赔偿个人精神损失与名誉损失，将进行侵犯客人名誉权与个人隐私权的起诉。</t>
  </si>
  <si>
    <t>http://ts.21cn.com/tousu/show/id/1373495</t>
  </si>
  <si>
    <t>2019/10/19 12:00:56</t>
  </si>
  <si>
    <t>投诉人 李鹏钦        投诉对象  佰仟金融        涉诉金额  19 405 元    问题类型    诉求类型投诉详情  手机分期，最后一期逾期。利息太高。就发律师函</t>
  </si>
  <si>
    <t>月光侠App、阴阳合同高利贷！违反国家法律！</t>
  </si>
  <si>
    <t>http://ts.21cn.com/tousu/show/id/1373494</t>
  </si>
  <si>
    <t>2019/10/19 11:59:42</t>
  </si>
  <si>
    <t>阴阳合同、砍头息、高利贷、骚扰、恐吓朋友家人贷6千、到怅4千8元、还6千4百多元！还偷偷结案。</t>
  </si>
  <si>
    <t>催收一点余地不给，想协商</t>
  </si>
  <si>
    <t>http://ts.21cn.com/tousu/show/id/1373493</t>
  </si>
  <si>
    <t>2019/10/19 11:59:14</t>
  </si>
  <si>
    <t>投诉人孙女士投诉对象哼哼涉诉金额2091元问题类型诉求类型投诉详情因为资金周转问题逾期，之前瞬瞬也是，有催收打电话来协商可以延期还款，说等催收电话来了和他们协商，今天自称哼哼的委托人员打电话来催收，我和他协商可不可以延期一个月，费用我可以出，可是那人一点余地不给，就问我家里人还有公司知不知道这个事情，要打电话给他们，我这边有电话录音。</t>
  </si>
  <si>
    <t>招联金融暴力催收，恐吓</t>
  </si>
  <si>
    <t>http://ts.21cn.com/tousu/show/id/1373491</t>
  </si>
  <si>
    <t>2019/10/19 11:58:55</t>
  </si>
  <si>
    <t>投诉人方先生投诉对象招联金融涉诉金额52000元问题类型诉求类型投诉详情生意赔钱，暂时还不上，也不是不还，现在威胁我的家人，爆通讯录，恐吓我，视国家法律为无物，我有截图，通话录音，我要求赔偿道歉。</t>
  </si>
  <si>
    <t>洋钱罐逾期一天收取高额债务管理费</t>
  </si>
  <si>
    <t>http://ts.21cn.com/tousu/show/id/1373492</t>
  </si>
  <si>
    <t>2019/10/19 11:58:42</t>
  </si>
  <si>
    <t>本以为自动扣款还款，结果没有手动操作看到短信提示逾期一天居然要收债务管理费30.72，这算高利贷吗。</t>
  </si>
  <si>
    <t>钱站aqq高利贷</t>
  </si>
  <si>
    <t>http://ts.21cn.com/tousu/show/id/1373243</t>
  </si>
  <si>
    <t>2019/10/19 11:58:21</t>
  </si>
  <si>
    <t>分三个月还款！但是在合同里面的金额变成1330元，三期一共需要还款1900多元，这个难道不是高利贷吗，而且合同也是和我看的不一样！投诉过各种渠道了！。</t>
  </si>
  <si>
    <t>交通银行买单吧和消愁金高利贷合作放贷款</t>
  </si>
  <si>
    <t>http://ts.21cn.com/tousu/show/id/1373490</t>
  </si>
  <si>
    <t>2019/10/19 11:58:18</t>
  </si>
  <si>
    <t>还有最后一期我是不打算还了都还了4400多了。</t>
  </si>
  <si>
    <t>闪银里瞬瞬贷恶心催收威胁</t>
  </si>
  <si>
    <t>http://ts.21cn.com/tousu/show/id/1373489</t>
  </si>
  <si>
    <t>2019/10/19 11:56:29</t>
  </si>
  <si>
    <t>本人在闪银里借了一笔瞬瞬贷，还了一些后还剩1368由于资金紧张，未能还款，闪银瞬瞬贷催收人员进行威胁，爆我通讯录，威胁我人身及家庭安全，催收号码199******26。</t>
  </si>
  <si>
    <t>微众银行雇佣黑社会，送花圈</t>
  </si>
  <si>
    <t>http://ts.21cn.com/tousu/show/id/1373488</t>
  </si>
  <si>
    <t>2019/10/19 11:56:16</t>
  </si>
  <si>
    <t>明确告知，要求走司法途径，对方非但不听，公开打前单位电话，给人家送花圈，影响正常经营，还给本人打电话，要给送花圈，雇黑社会上门修理我，微众银行勾结黑社会，达到不可告人的目的。</t>
  </si>
  <si>
    <t>vipkid（大米科技）欺瞒营销恶意不退费</t>
  </si>
  <si>
    <t>http://ts.21cn.com/tousu/show/id/1373460</t>
  </si>
  <si>
    <t>2019/10/19 11:55:51</t>
  </si>
  <si>
    <t>投诉人张女士投诉对象VIPKID涉诉金额22280元问题类型诉求类型投诉详情续费订单包含的课时144，在续费前课时还有100多节的情况下告知已消耗续费订单中课时无法全额退款。</t>
  </si>
  <si>
    <t>律师电话骚扰</t>
  </si>
  <si>
    <t>http://ts.21cn.com/tousu/show/id/1373434</t>
  </si>
  <si>
    <t>2019/10/19 11:55:48</t>
  </si>
  <si>
    <t>浦发银行卡我现在真的没有了还款能力！每个月就剩几百块钱！几百块钱我还进去了你们还是有利息出来！利滚利我还不起了！还不了钱是我的错！有钱谁也不愿意这样的！我只求你们不要给我爸爸妈妈打电话！你们怎么对我都可以！你们的目的就是为了让我们还钱！但是给我村委会打电话！严重侵犯了我的隐私权！影响了我爸爸妈妈的生活！联系我家里人是没有用的，你们上一次不知道是哪家银行让村委会去我家里面骂人！我妈妈已经被气病了！如果有钱他们早替我还了！也不至于像现在这样！每天担惊受怕的过日子！把自己活成了抑郁症！差钱的是我！犯错的是我不是他</t>
  </si>
  <si>
    <t>http://ts.21cn.com/tousu/show/id/1373487</t>
  </si>
  <si>
    <t>2019/10/19 11:55:45</t>
  </si>
  <si>
    <t>投诉人 于女士        投诉对象  松紧贷        涉诉金额  1 336 元    问题类型    诉求类型投诉详情  因为银行卡出现问题！ 需要去银行打开才可以！ 结果就各种喊！ 然后还发侮辱短信！ 还威胁我！</t>
  </si>
  <si>
    <t>虚假发货</t>
  </si>
  <si>
    <t>http://ts.21cn.com/tousu/show/id/1373457</t>
  </si>
  <si>
    <t>2019/10/19 11:55:36</t>
  </si>
  <si>
    <t>投诉人王先生投诉对象淘集集涉诉金额37元问题类型诉求类型投诉详情淘集集上买了快递，我收货地是商丘，一个给我发到湖南，且私自签收了，这意思是让我跑到湖南拿吗，一个是发到襄阳监狱去了，出不来了，一个是发到收货地当地，且没人联系就私自签收了，都没有人派送怎么签收，，找客服投诉，不搭理，根本就没有处理结果，我怀疑是虚假发货，欺骗消费者，我希望淘集集给我一个合理的解释。</t>
  </si>
  <si>
    <t>闪电借款购买黑卡借款不成功要求退款</t>
  </si>
  <si>
    <t>http://ts.21cn.com/tousu/show/id/1373486</t>
  </si>
  <si>
    <t>2019/10/19 11:55:32</t>
  </si>
  <si>
    <t>之前购买时提示借不了可以退还330元购买黑卡费用。</t>
  </si>
  <si>
    <t>投诉招商银行信用卡法务部</t>
  </si>
  <si>
    <t>http://ts.21cn.com/tousu/show/id/1373453</t>
  </si>
  <si>
    <t>2019/10/19 11:55:30</t>
  </si>
  <si>
    <t>招商银行信用卡逾期超过三个月，本人由于之前失业一直没有发工资，导致招商银行信用卡逾期，目前重新找到工作，工资还未发放下来，本人愿意协商10月28号账单日还款，一个自称招商银行信用卡法务部的工作人员打电话过来催款，我是独立民事行为人，债务是属于个人的，与家庭父母兄弟姐妹无任何关系，没有任何人存在连带责任关系，法务部这个工作人员，打电话给我父亲，威胁恐吓他，说去我村里调查，法院起诉我，再打电话给我前夫未经核实，毁谤我欠款50万，还说我儿子读书以后连大学都不能上，他的名声远扬，臭名远扬，我后面联系他们那个号码，把</t>
  </si>
  <si>
    <t>http://ts.21cn.com/tousu/show/id/1373485</t>
  </si>
  <si>
    <t>2019/10/19 11:55:03</t>
  </si>
  <si>
    <t>还了两万，要求协商不同意，造成逾期，爆通讯录。</t>
  </si>
  <si>
    <t>支付宝恶意威胁</t>
  </si>
  <si>
    <t>http://ts.21cn.com/tousu/show/id/1373484</t>
  </si>
  <si>
    <t>2019/10/19 11:54:49</t>
  </si>
  <si>
    <t>进行人生威胁，说上门发生什么事我负责任，我已经明确多次表示家里有老人，那我是不是也可以跟支付宝说，我被你们逼死了，需要马云儿子负责任，。</t>
  </si>
  <si>
    <t>我在2019年8月19日报名恒企教育惠城区的行政管理专本连读班学费一共是7880元，当时首付交了788，</t>
  </si>
  <si>
    <t>http://ts.21cn.com/tousu/show/id/1373480</t>
  </si>
  <si>
    <t>2019/10/19 11:53:01</t>
  </si>
  <si>
    <t>我在2019年8月19日报名恒企教育惠城区的汉行政管理专科vip通关班学费一共是7880元，当时首付交了788，，然后剩下7092是由恒企里的老师安排在融易分期上面分期，分期时长为一年12期，目前为止已经还了第一期，后面因为工作忙，就想没时间学，把钱退了，最后老是说要有重大疾病证明才可以退，班主任称报名后是不予退费的，说协议上有写的，不能退学，交涉未果，当时真的是要气炸了，这段时间因为这个事情真的很崩溃。</t>
  </si>
  <si>
    <t>http://ts.21cn.com/tousu/show/id/1373481</t>
  </si>
  <si>
    <t>2019/10/19 11:53:00</t>
  </si>
  <si>
    <t>维信卡卡贷打打打电话给我，说我有一笔额度可用，利率低，我说不需要，他们说，可以申请下看看，利率很低，我申请借款的时候，借30000分12期，没出没个月还多少，点击30000分期后，出账单每个月还3340，一共12个月总共还40080，然后还有1300的什么风险评估费用，总共就要还41380，这还款的总年利率明显超过国家规定的年利息，明显的套路贷，明显的高利贷，我打电话给他们客服，客服说他们解决不了！需要上班，领导，已经过去一星期还多的天数了，至今还没有接到他们的电话来解释这个事情。</t>
  </si>
  <si>
    <t>逾期费一天150！</t>
  </si>
  <si>
    <t>http://ts.21cn.com/tousu/show/id/1373478</t>
  </si>
  <si>
    <t>2019/10/19 11:52:58</t>
  </si>
  <si>
    <t>逾期费用超高，并且以合同的方式写明，骚扰紧急联系人。</t>
  </si>
  <si>
    <t>闪电借款协商还款销账</t>
  </si>
  <si>
    <t>http://ts.21cn.com/tousu/show/id/1373477</t>
  </si>
  <si>
    <t>2019/10/19 11:52:26</t>
  </si>
  <si>
    <t>闪电借款砍头息推卸责任，协商还款承诺7-15天销账，现在快30天了，推卸责任，还不销账。</t>
  </si>
  <si>
    <t>催收态度差，恶意催收，爆通讯录</t>
  </si>
  <si>
    <t>http://ts.21cn.com/tousu/show/id/1373476</t>
  </si>
  <si>
    <t>2019/10/19 11:51:53</t>
  </si>
  <si>
    <t>，女儿产后身体不适，，住新生儿科花费了几万元，，，导致资金周转不良，到这不是蚂蚁花呗，借呗恶意催收我的理由，，，而且催收态度极其恶劣，，，一言不合就骂人，，，爆了我通讯录，导致本人个人名誉，形象严重受损，，如果不道歉，本人将会依法上诉，投诉到银监会。</t>
  </si>
  <si>
    <t>还款不成功</t>
  </si>
  <si>
    <t>http://ts.21cn.com/tousu/show/id/1373475</t>
  </si>
  <si>
    <t>2019/10/19 11:51:51</t>
  </si>
  <si>
    <t>投诉人温先生投诉对象玖富涉诉金额566元问题类型诉求类型投诉详情每次还款都不成功每个月都得来投诉一下我太累了。</t>
  </si>
  <si>
    <t>短信威胁</t>
  </si>
  <si>
    <t>http://ts.21cn.com/tousu/show/id/1373473</t>
  </si>
  <si>
    <t>2019/10/19 11:51:20</t>
  </si>
  <si>
    <t>投诉人刘女士投诉对象期待科技涉诉金额7000元问题类型诉求类型投诉详情资金周转不开无法还款，期待科技公司竟然群发短信，现在还发来威胁的短信。</t>
  </si>
  <si>
    <t>http://ts.21cn.com/tousu/show/id/1373474</t>
  </si>
  <si>
    <t>2019/10/19 11:51:01</t>
  </si>
  <si>
    <t>投诉人张先生投诉对象带上钱涉诉金额2600元问题类型诉求类型投诉详情我在贷上钱已经贷了好几次，每次都收取这六百块钱，以前我一直认为这是合法的，后来通过咨询了解到还本金和合法利息，他们有人打电话给我我跟他们协商600块钱金豆钱少给一点也不同意，没有办法就一直没给，现在还加上违约金都700多了，天天打我朋友同事电话让我还这个钱，已经严重影响到我的正常生活，今天早上打电话威胁我要给我村委会和公司发催收单。</t>
  </si>
  <si>
    <t>美团暴力催收</t>
  </si>
  <si>
    <t>http://ts.21cn.com/tousu/show/id/1373472</t>
  </si>
  <si>
    <t>2019/10/19 11:50:43</t>
  </si>
  <si>
    <t>投诉人陆先生投诉对象美团生活费涉诉金额1600元问题类型诉求类型投诉详情美团生活费逾期8天，暴通讯，录给通讯录好友发信息，不停打我电话一开口就骂人，骂得很难听，希望相关部门处理。</t>
  </si>
  <si>
    <t>要求平安退返违约金</t>
  </si>
  <si>
    <t>http://ts.21cn.com/tousu/show/id/1373471</t>
  </si>
  <si>
    <t>2019/10/19 11:50:30</t>
  </si>
  <si>
    <t>投诉人吴剑凯投诉对象平安银行涉诉金额5000元问题类型诉求类型投诉详情要求平安银行退回违约金客服不处理期间多次给电话客服一直拖时间态度不好剥夺消费者权益说1-3工作日有专员反馈现在第八天也没接到过一个银行的电话今天开始会一直投诉平安银行争取自己的合法权益。</t>
  </si>
  <si>
    <t>要求360借条注销账户</t>
  </si>
  <si>
    <t>http://ts.21cn.com/tousu/show/id/1373470</t>
  </si>
  <si>
    <t>2019/10/19 11:50:25</t>
  </si>
  <si>
    <t>您好，实在解决无门！360借条公司客服两个电话，根本无法联系，打进去就自动挂机，APP的注销账户，形同虚设，人脸识别系统，每天十次，多达近三十次不成功，我个人理解是不是APP设置了注销障碍，故意导致用户无法注销账户！劳请贵公司立刻联系顾客，处理账户注销问题！。</t>
  </si>
  <si>
    <t>分期乐最低还款额度不能申请</t>
  </si>
  <si>
    <t>http://ts.21cn.com/tousu/show/id/1373469</t>
  </si>
  <si>
    <t>2019/10/19 11:49:51</t>
  </si>
  <si>
    <t>投诉人李先生投诉对象分期乐涉诉金额2900元问题类型诉求类型投诉详情我的账户已经逾期了，刚才给客服打电话说要申请最低200元的还款。</t>
  </si>
  <si>
    <t>投诉深圳光华普惠公司暴力催收，电话恶意辱骂借款人</t>
  </si>
  <si>
    <t>http://ts.21cn.com/tousu/show/id/1373468</t>
  </si>
  <si>
    <t>2019/10/19 11:49:23</t>
  </si>
  <si>
    <t>投诉人马先生投诉对象笑脸金融,深圳光华普惠有限公司,嗨钱网涉诉金额1600元问题类型诉求类型投诉详情本人2019年6月28日嗨钱网上借款4800元，分3期，但是9月份嗨钱网因为高利贷，套路贷等问题被警方立案调查并查封，随后本人本着欠债还钱的心理，按照所谓资金方说的存款等待代扣的方式还款了第二期，但是第二期还款以后，嗨钱网APP上迟迟不给我销账，等调查结束以后警方会统一公布还款方式，期间不要相信任何人通知的还款方式，否则造成的损失由个人承担，我在电话里始终态度都很好，我说等警方公布了还款方式我一定第一时间还进</t>
  </si>
  <si>
    <t>捷越联合</t>
  </si>
  <si>
    <t>http://ts.21cn.com/tousu/show/id/1373466</t>
  </si>
  <si>
    <t>2019/10/19 11:49:10</t>
  </si>
  <si>
    <t>我姐在湖北黄石捷越联合贷款公司借款7万元，分36期还款，每期还款3460多元，现在已经还款32期11万多，我想问这是国家的正常24%利息吗，又因为我姐头段时间遭遇套路贷被骗10万余元，现在捷越还有4期未还，捷越催收开始给亲戚朋友打电话发信息进行骚扰，而且本地警方查获了一批犯罪人员，查到我姐是受害人，警方现在要求不要在有转账的，配合他们。</t>
  </si>
  <si>
    <t>物品丢失</t>
  </si>
  <si>
    <t>http://ts.21cn.com/tousu/show/id/1373467</t>
  </si>
  <si>
    <t>2019/10/19 11:49:01</t>
  </si>
  <si>
    <t>投诉人李女士投诉对象百世快递涉诉金额486元问题类型诉求类型投诉详情本人于2019年10月9号在长春市拒收一个百世快递52063020905465同城快递，此快递停留9天之后才返回商家，商家收到后，里面少一件大衣，联系快递，快递相互推卸责任，未履行快递责任！现在商家拒绝赔付，现要求快递公司赔偿本人等值金额款项~。</t>
  </si>
  <si>
    <t>银钱包不知情开通会员</t>
  </si>
  <si>
    <t>http://ts.21cn.com/tousu/show/id/1373420</t>
  </si>
  <si>
    <t>2019/10/19 11:48:33</t>
  </si>
  <si>
    <t>会员费刷卡记录，要求退还会员费，看截图，，，，。</t>
  </si>
  <si>
    <t>珍爱网红娘服务诱导高额消费，服务内容与签订不符，对服务不满意，诉求退回一半服务费</t>
  </si>
  <si>
    <t>http://ts.21cn.com/tousu/show/id/1371725</t>
  </si>
  <si>
    <t>2019/10/19 11:48:27</t>
  </si>
  <si>
    <t>1.见面的两位女会员存在年龄资料不实的情况，即红娘老师告知的年龄与女士实际告知的年龄不符，，有隐瞒实际情况来安排见面完成合同规定见面女生的数量的嫌疑了，由于见面时间短，只了解到年龄问题，其他信息是否属实无法判定，，且有回避的嫌疑，解释为身份证信息有误，本人表示不太接受此回复，办理服务的一大承诺就是真实性，且当前社会均以身份证件为有效证件，本人无从考证，因此对提供服务的真实性不满意，与承诺的真实性违背，2.以第二位女士为例，刚见面即出现双方毫无兴趣这种明显不符合要求的匹配，并存在年龄不实问题，使本应相互了解认</t>
  </si>
  <si>
    <t>现金巴士砍头息高利贷</t>
  </si>
  <si>
    <t>http://ts.21cn.com/tousu/show/id/1373265</t>
  </si>
  <si>
    <t>2019/10/19 11:48:08</t>
  </si>
  <si>
    <t>本人在现金巴士借款十几次，最开始要求付什么加速费才能借款，后来又是好信码，现在又是超级会员费，每次扣费148元，现在手头资金不足，要求延期还款，客服却说一天15元的逾期费，这跟合同上面的不一样啊，现在要求现金巴士和富有支付作出解决，我要求，要么归还我之前付的砍头息，要么消除我这一期账单，我付的砍头息，绝对够给这一期账单了！如果不解决，我会一直投诉！。</t>
  </si>
  <si>
    <t>微信支付商户被冻结体现不了</t>
  </si>
  <si>
    <t>http://ts.21cn.com/tousu/show/id/1373465</t>
  </si>
  <si>
    <t>2019/10/19 11:47:55</t>
  </si>
  <si>
    <t>使用商家收款码收款显示交易异常提交两次诉讼都被驳回不给解封钱提不出来。</t>
  </si>
  <si>
    <t>欺诈行为</t>
  </si>
  <si>
    <t>http://ts.21cn.com/tousu/show/id/1373464</t>
  </si>
  <si>
    <t>2019/10/19 11:46:15</t>
  </si>
  <si>
    <t>投诉人班先生投诉对象洋钱罐涉诉金额5000元问题类型诉求类型投诉详情昨天投诉，然后客服联系我，说要帮我标记一下，可以延期还款，然而今天又催收，我找了他们客服，结果现在说没这回事，说没有客服人员会帮别人标记号码，明显就是欺诈我撤销投诉。</t>
  </si>
  <si>
    <t>钱到到违法经营套路贷</t>
  </si>
  <si>
    <t>http://ts.21cn.com/tousu/show/id/1373461</t>
  </si>
  <si>
    <t>2019/10/19 11:46:04</t>
  </si>
  <si>
    <t>钱到到,昆山必收网络科技有限公司,畅捷支付。</t>
  </si>
  <si>
    <t>售后处理太慢，客服一拖再拖，客服服务态度恶劣</t>
  </si>
  <si>
    <t>http://ts.21cn.com/tousu/show/id/1373463</t>
  </si>
  <si>
    <t>2019/10/19 11:45:52</t>
  </si>
  <si>
    <t>投诉人邓先生投诉对象联动云涉诉金额2200元问题类型诉求类型投诉详情从收到违约信息就开始预约行驶证，到现在还没收到，售后处理非常不及时，客服服务给的电话根本打不通。</t>
  </si>
  <si>
    <t>惠域u卡爆通讯录骚扰家人朋友</t>
  </si>
  <si>
    <t>http://ts.21cn.com/tousu/show/id/1373459</t>
  </si>
  <si>
    <t>2019/10/19 11:44:46</t>
  </si>
  <si>
    <t>可以联系我，为什么要爆我通讯录骚扰我的朋友和家人，父母精神出现状况，必须出来道歉！我又不是不接你们电话，现在家里出事必须站出来！。</t>
  </si>
  <si>
    <t>京东白条暴力催收，雇人员上门</t>
  </si>
  <si>
    <t>http://ts.21cn.com/tousu/show/id/1373458</t>
  </si>
  <si>
    <t>2019/10/19 11:43:55</t>
  </si>
  <si>
    <t>投诉人蔚女士投诉对象京东金融涉诉金额5000元问题类型诉求类型投诉详情我现在着实还不上这个款项，一天天打电话给家里人，还恐吓，因为做生意亏了一些，现在京东雇人员上门，调查，还一直威胁，给我们发送假的律师函，一直给人透露自己的信息还有档案，一直协商不一致。</t>
  </si>
  <si>
    <t>卖家收到衣服说脏了不给退，我收到却是干净的，yi</t>
  </si>
  <si>
    <t>http://ts.21cn.com/tousu/show/id/1373456</t>
  </si>
  <si>
    <t>2019/10/19 11:43:36</t>
  </si>
  <si>
    <t>当时商家说我衣服给他弄脏了，我没有试穿就退回去了！而且我拍的照片看起来没有污渍，她让我收到衣服后再仔细检查一下，因为卖家寄过来的衣服包裹破的，我一直以为是快递弄脏了，直到昨天收到退回来的衣服是干净的，而且还被调换，因为我跟我姐姐都记得她家那件衣服给我寄过来的时候没有裙撑，当时我发给卖家的图片也很明显没有裙撑，但是她现在寄回来的衣服有裙撑，明显衣服被调换！在之前淘宝小二介入，我这边有联系他们人工，说我还没有收到快递，要收到快递后确定衣服衣服是否脏了，她说会反应给维权中心，结果在一个小时后还是关闭交易！因为淘宝</t>
  </si>
  <si>
    <t>如期分期暴力催收对我形成骚扰</t>
  </si>
  <si>
    <t>http://ts.21cn.com/tousu/show/id/1373455</t>
  </si>
  <si>
    <t>2019/10/19 11:43:35</t>
  </si>
  <si>
    <t>如期分期在3天内多次来电对我形成骚扰，之前的投诉昨天刚结案，今天是还款日，一个上午就接了6通如期分期的电话了加上之前的，三天内接了，有十几通了！我还没有逾期就拿时间点说事，说还款日当天如果11点不还款就对我怎么怎么样！这态度我无法接受！。</t>
  </si>
  <si>
    <t>未逾期遭爆通讯录</t>
  </si>
  <si>
    <t>http://ts.21cn.com/tousu/show/id/1373452</t>
  </si>
  <si>
    <t>2019/10/19 11:42:14</t>
  </si>
  <si>
    <t>你好！开始在肥猫贷上贷了2000，实际到账1400，目前为止还的光利息就已经超过实际到账金额了，今天又到期，刚才电话联系我，让我4点还，我说5-6点左右，就这样对方在电话里骂起来，我已经录音了，对方用的香港号码，app是叫肥猫贷，现在改名字叫海浪分期了，然后把我老板的电话打通，开口就骂，而且还发了4-500条验证码短信骚扰，我现在希望那个催收员给我老板道歉，给本人道歉！。</t>
  </si>
  <si>
    <t>捷信高利贷，恐吓威胁，恶意骚扰</t>
  </si>
  <si>
    <t>http://ts.21cn.com/tousu/show/id/1373205</t>
  </si>
  <si>
    <t>2019/10/19 11:41:27</t>
  </si>
  <si>
    <t>投诉人甘意投诉对象捷信金融涉诉金额2000元问题类型诉求类型投诉详情15年借了6000买电脑，当时没多想，前前后后按时还款，还了11000多，后来给我冒出个什么服务费用，1100好像是，最近又联系我，又涨到2000了，并且恶意恐吓，打电话到我公司，不停骚扰我同事，对我个人名誉造成了很严重的影响，我个人已被公司开除。</t>
  </si>
  <si>
    <t>快捷通支付违规为高利贷提供放款通道</t>
  </si>
  <si>
    <t>http://ts.21cn.com/tousu/show/id/1373255</t>
  </si>
  <si>
    <t>2019/10/19 11:41:20</t>
  </si>
  <si>
    <t>投诉人赵先生投诉对象快捷通支付,乾广分期涉诉金额1500元问题类型诉求类型投诉详情10月17日19点30分在乾广分期申请借款1200元，还款1500元，期限仅为3天，实际仅为1天，19日就要还款，想取消但已经到账，快捷通支付转账，想联系客服还回去但app内没有在线客服也无客服电话，19日到期来电话催还，协商还款却不同意，并且态度恶劣，威胁爆通讯录，现要求本金销账。</t>
  </si>
  <si>
    <t>捷信爆通讯录违法催收</t>
  </si>
  <si>
    <t>http://ts.21cn.com/tousu/show/id/1373451</t>
  </si>
  <si>
    <t>投诉人曹先生投诉对象捷信金融涉诉金额2800元问题类型诉求类型投诉详情捷信逾期电话轰炸严重影响本人生活并且在本人不知情的情况下爆我通讯录的联系人辱骂夸大事实明知爆通讯录属于违法行为还这么明目张胆国家难道就不管吗捷信能不能滚出中国催收可以请通过合法途径在轰炸或者爆本人通讯录我将保留证据全部提供的公安机关。</t>
  </si>
  <si>
    <t>微信一直在我跟朋友沟通时提示疑似盗号</t>
  </si>
  <si>
    <t>http://ts.21cn.com/tousu/show/id/1373449</t>
  </si>
  <si>
    <t>2019/10/19 11:40:42</t>
  </si>
  <si>
    <t>投诉人 王先生        投诉对象  微信        涉诉金额  0 元    问题类型    诉求类型投诉详情  在跟朋友聊天时提示我微信账号疑似盗号。造成我最近不能正常使用。我的微信一直自己使用。并木有盗号。望解决</t>
  </si>
  <si>
    <t>中汇支付POS刷卡迟迟不到账</t>
  </si>
  <si>
    <t>http://ts.21cn.com/tousu/show/id/1373450</t>
  </si>
  <si>
    <t>2019/10/19 11:40:39</t>
  </si>
  <si>
    <t>投诉人 江先生        投诉对象  中汇支付        涉诉金额  8 000 元    问题类型    诉求类型投诉详情  中汇支付POS刷卡迟迟不到帐，要求退款。</t>
  </si>
  <si>
    <t>微贷网多米贷骚扰通讯录联系人</t>
  </si>
  <si>
    <t>http://ts.21cn.com/tousu/show/id/1373447</t>
  </si>
  <si>
    <t>2019/10/19 11:40:20</t>
  </si>
  <si>
    <t>投诉人 汤先生        投诉对象  微贷网,多米贷        涉诉金额  1 004 元    问题类型    诉求类型投诉详情  逾期三天就不停打电话发短信骚扰联系人， 搞得我的资金周转更加困难</t>
  </si>
  <si>
    <t>http://ts.21cn.com/tousu/show/id/1373448</t>
  </si>
  <si>
    <t>2019/10/19 11:40:14</t>
  </si>
  <si>
    <t>在我不知情的情况下扣了我银行卡298.5元，说是什么评估报告，请求退款。</t>
  </si>
  <si>
    <t>平安普惠违规暴力催收，涉黑，威胁，希望大家能看到，不要等到出人命你们才重视</t>
  </si>
  <si>
    <t>http://ts.21cn.com/tousu/show/id/1373446</t>
  </si>
  <si>
    <t>2019/10/19 11:40:11</t>
  </si>
  <si>
    <t>上年申请了一笔平安普惠氧气贷，已还14个月，之前还款记录一直良好，但因最近两月资金周转原因造成逾期，已积极和客服沟通还款事宜，但每天不下数十通电话致电本人及家人联系人等，要求家人等帮忙处理款项，我已经多次向客服表明我目前情况只有能力处理部分，但客服说，如果你不处理全款，就视同放弃处理，并要求我签《放弃还款意愿书》，拨打4008580580客服热线，客服人员竟说这催收方式等这些并不是她们可以处理有范围，其实因为之前针对平安普惠的催收客服问题已经投诉过一次，我不知道平安背景是否这么强大，竟然后来回应说查无些单，</t>
  </si>
  <si>
    <t>贷上钱APP</t>
  </si>
  <si>
    <t>http://ts.21cn.com/tousu/show/id/1373444</t>
  </si>
  <si>
    <t>2019/10/19 11:38:51</t>
  </si>
  <si>
    <t>，在逾期之前联系过他们，待周转开了一次性还给他们，但第二天不停的打电话给我朋友，家人，到处骚然他们，进行暴力催收，已经完全让我生活混乱不堪，严重影响到我的生活，请给与贷上钱处罚。</t>
  </si>
  <si>
    <t>小黑鲨暴力催收高额利息</t>
  </si>
  <si>
    <t>http://ts.21cn.com/tousu/show/id/1373443</t>
  </si>
  <si>
    <t>2019/10/19 11:38:42</t>
  </si>
  <si>
    <t>投诉人顾先生投诉对象小黑鲨涉诉金额4400元问题类型诉求类型投诉详情暴力催收，协商处理不当，打电话暴力恐吓。</t>
  </si>
  <si>
    <t>http://ts.21cn.com/tousu/show/id/1373382</t>
  </si>
  <si>
    <t>2019/10/19 11:38:30</t>
  </si>
  <si>
    <t>投诉人王女士投诉对象钱站涉诉金额1000元问题类型诉求类型投诉详情钱站高利贷行为，超过国家利率，年利率严重超标，希望整改。</t>
  </si>
  <si>
    <t>圆通物流中转出错延误时间，申请理赔</t>
  </si>
  <si>
    <t>http://ts.21cn.com/tousu/show/id/1373441</t>
  </si>
  <si>
    <t>2019/10/19 11:37:44</t>
  </si>
  <si>
    <t>投诉人李女士投诉对象圆通速递涉诉金额0元问题类型诉求类型投诉详情物流到盘锦中转，直接应发朝阳站点，却从盘锦发阜新，然后再从阜新发盘锦，原地转圈，第一个图是出现问题的物流，后面两张是我买其他物品正常物流信息，请参考，最近圆通物流更新极慢，且出错率很高，诉求第一请圆通物流尽快送到物品，第二，请圆通针对物流做出解释，并根据规则支付延误赔偿金。</t>
  </si>
  <si>
    <t>卡牛瑞贷恶意收费，砍头息</t>
  </si>
  <si>
    <t>http://ts.21cn.com/tousu/show/id/1373442</t>
  </si>
  <si>
    <t>2019/10/19 11:37:42</t>
  </si>
  <si>
    <t>投诉人刘克芳投诉对象卡牛信用卡管家涉诉金额2720元问题类型诉求类型投诉详情在卡牛瑞贷申请了一万九的贷款，下款直接从卡上扣除了1720的砍头息，然后17号还歀日我八点多存上的钱，他们系统没有扣第二天说我逾期，多扣1020的逾期利息，是他们的原因导致没有扣款成功，扣款当日截止到二十四点我卡上有钱，并没有逾期，强烈要求退还扣我的罚息，简直就是强盗，才六千多一天都一千多的利息，这不是硬抢吗。</t>
  </si>
  <si>
    <t>好易借平台今天打边了我通讯录里的电话，侵犯我的隐私以及大家对我信誉的下降</t>
  </si>
  <si>
    <t>http://ts.21cn.com/tousu/show/id/1373440</t>
  </si>
  <si>
    <t>2019/10/19 11:37:12</t>
  </si>
  <si>
    <t>今天好易借的工作人员，不顾我个人同意，恶意用电话打给我通讯录所有人，给我的朋友，及家人及通讯录所有人，造成了巨大的骚扰，立即停止骚扰，我通讯录所有人，。</t>
  </si>
  <si>
    <t>闪银哼哼催收态度恶劣骂人</t>
  </si>
  <si>
    <t>http://ts.21cn.com/tousu/show/id/1373439</t>
  </si>
  <si>
    <t>2019/10/19 11:36:21</t>
  </si>
  <si>
    <t>投诉人陈女士投诉对象Wecash闪银涉诉金额0元问题类型诉求类型投诉详情闪银哼哼催收态度恶劣，骂人，我态度很好请求延期，催收态度十分恶劣，用脏话骂我。</t>
  </si>
  <si>
    <t>网络刷单，不退还本金</t>
  </si>
  <si>
    <t>http://ts.21cn.com/tousu/show/id/1373438</t>
  </si>
  <si>
    <t>投诉人费先生投诉对象杭州铸淘网络科技有限公司涉诉金额4995元问题类型诉求类型投诉详情我现为在校大学生，聊天宝号为zhutao080，派单客服069，涉嫌利用聊天宝诱导我进行垫付网络刷单，刷单金额为5293人民币，在2019年10月12日10:04:26转入商户:商户_李常飞298元，2019年10月12日10:28转入商户:保定市徐水区漕河五行通讯器材服务部999元，2019年10月12日11:12:11转入商户:保定市徐水区漕河五行通讯器材服务部3996元，跟客服协商退换本金拒不退换，态度恶劣，本人是在</t>
  </si>
  <si>
    <t>同程旅游借钱（萤火虫小贷）违规收取前期费用</t>
  </si>
  <si>
    <t>http://ts.21cn.com/tousu/show/id/1373395</t>
  </si>
  <si>
    <t>2019/10/19 11:36:20</t>
  </si>
  <si>
    <t>投诉人吴先生投诉对象同程旅游涉诉金额796元问题类型诉求类型投诉详情同程旅游提钱游借钱服务，前两次缴纳的费用名称为轻奢出行权益卡：，费用同样为199元。经与客服手机APP与电话多次沟通，对方认为我购买的是权益类的会员卡，与借款无关，但实际情况是我经过多次尝试，若不点击购买，借款需缴纳前期费用，前两次缴纳的费用名称为“借款提速服务”，费用为199元，后两次为“轻奢出行权益卡：，费用同样为199元，所以我认为这是同程旅游违规收取前期费用，是一种强迫消费，要求同程旅游退还全部费用796元。</t>
  </si>
  <si>
    <t>中智消费莫名扣费408.76</t>
  </si>
  <si>
    <t>http://ts.21cn.com/tousu/show/id/1373437</t>
  </si>
  <si>
    <t>2019/10/19 11:35:22</t>
  </si>
  <si>
    <t>中智涉诉金额408元问题类型诉求类型投诉详情今早10月19日7:55分莫名其妙的被中智消费pos机刷走408.76，本人未和中智有任何贷款信息，请给与退款和合理解释。</t>
  </si>
  <si>
    <t>暴力催收恐吓我和我家人</t>
  </si>
  <si>
    <t>http://ts.21cn.com/tousu/show/id/1373436</t>
  </si>
  <si>
    <t>2019/10/19 11:35:15</t>
  </si>
  <si>
    <t>投诉人 叶雨怡        投诉对象  小象优品        涉诉金额  5 000 元    问题类型    诉求类型投诉详情  逾期3天过后 天天骚扰我恐吓我 爆我家人通讯录 天天骚扰我家人亲戚 害得我跟我家人吵架</t>
  </si>
  <si>
    <t>把我原来额度给我</t>
  </si>
  <si>
    <t>http://ts.21cn.com/tousu/show/id/1373435</t>
  </si>
  <si>
    <t>2019/10/19 11:34:59</t>
  </si>
  <si>
    <t>投诉人王女士投诉对象支付宝涉诉金额1500元问题类型诉求类型投诉详情我借呗刚开通还没用呢，今天说有急用取出来用一下，一点进去就告诉我没额度了。</t>
  </si>
  <si>
    <t>广东新华峰汇商业管理有限公司对我的店铺进行恶意投诉</t>
  </si>
  <si>
    <t>http://ts.21cn.com/tousu/show/id/1373421</t>
  </si>
  <si>
    <t>2019/10/19 11:34:51</t>
  </si>
  <si>
    <t>投诉人刘女士投诉对象广东新华峰汇商业管理有限公司涉诉金额0元问题类型诉求类型投诉详情我们是一家在淘宝做代购的店铺，所有的商品都是在韩国的正规网站下单后，直邮给客户的，我们售卖的一款康绮墨丽洗发水在韩国各个百货的官方网站都有售卖，具体在中国有没有售卖的我们不知道，但可以肯定的是，这个产品不是违禁品，虽然是韩国的商品，但在中国售卖是合法的，而且我们是代购店铺，主要是给客户推荐商品，介绍信息，当客户有需要的时候，我们再替他们在韩国下单，但是这个广东新华峰汇商业管理有限公司在淘宝投诉我们售卖假货，投诉的理由是他们没</t>
  </si>
  <si>
    <t>http://ts.21cn.com/tousu/show/id/1373433</t>
  </si>
  <si>
    <t>2019/10/19 11:34:12</t>
  </si>
  <si>
    <t>投诉人费先生投诉对象聚富分期涉诉金额299元问题类型诉求类型投诉详情聚富分期盗用资料，骗取服务费299，并未提示扣款，私自扣除。</t>
  </si>
  <si>
    <t>得仕企业股份有限公司帮助非法网站提供充值通道</t>
  </si>
  <si>
    <t>http://ts.21cn.com/tousu/show/id/1373432</t>
  </si>
  <si>
    <t>2019/10/19 11:34:02</t>
  </si>
  <si>
    <t>投诉人许许昌家投诉对象得士,得士股份涉诉金额28820元问题类型诉求类型投诉详情得仕企业股份有限公司帮助非法网站提供充值通道，态度恶劣还死不承认不受理投诉。</t>
  </si>
  <si>
    <t>爆我个人隐私</t>
  </si>
  <si>
    <t>http://ts.21cn.com/tousu/show/id/1373257</t>
  </si>
  <si>
    <t>2019/10/19 11:33:24</t>
  </si>
  <si>
    <t>爆我通讯录，给我亲友打电话威胁，爆出我得个人隐私，身份证号码，电话号码都给别人说，而且还威胁我，严重影响了我得生活，都没有办法工作，不工作怎么还。</t>
  </si>
  <si>
    <t>揭露平安i贷霸王行为</t>
  </si>
  <si>
    <t>http://ts.21cn.com/tousu/show/id/1373431</t>
  </si>
  <si>
    <t>2019/10/19 11:33:20</t>
  </si>
  <si>
    <t>投诉人郝先生投诉对象平安普惠涉诉金额3053元问题类型诉求类型投诉详情本人在平安普惠办理的平安i贷，在2019年9月5日时已经对平安普惠客服提出下期延缓申请事宜，客服也做出答复，但一直到下一期10月4日时短息提示我逾期，10月5日就开始对我通讯录人员发短信透露我债务信息，1、逾期事情是你们客服答应我延缓14天，凭什么要对我通讯录进行短信发送，并恶意透露我债务信息，该问题要求客服进行道歉并对我造成的影响进行赔偿，2、客服一直打电话问我想要怎么赔偿，你们做错了事情为什么要让我提出，要求停止发送，并进行道歉，如继</t>
  </si>
  <si>
    <t>启信宝侵犯企业及个人隐私造成隐私泄露和骚扰</t>
  </si>
  <si>
    <t>http://ts.21cn.com/tousu/show/id/1373430</t>
  </si>
  <si>
    <t>2019/10/19 11:33:11</t>
  </si>
  <si>
    <t>投诉人张先生投诉对象启信宝涉诉金额0元问题类型诉求类型投诉详情对公司及个人造成严重骚扰，推销电话不胜其扰，请启信宝别把自己的发展建立在侵犯别人的隐私上面，建立在别人隐私泄露被无限骚扰的困扰上，基本企业公德都不顾了，迟早被告。</t>
  </si>
  <si>
    <t>还款后未销账</t>
  </si>
  <si>
    <t>http://ts.21cn.com/tousu/show/id/1373429</t>
  </si>
  <si>
    <t>2019/10/19 11:32:48</t>
  </si>
  <si>
    <t>投诉人黄女士投诉对象钱站涉诉金额1300元问题类型诉求类型投诉详情我提前还款后，对方未销账，因为我怕钱站打电话骚扰我家人或者朋友，客服根本联系不上，请钱站销账。</t>
  </si>
  <si>
    <t>重大违约，无提前说明，拒绝协商</t>
  </si>
  <si>
    <t>http://ts.21cn.com/tousu/show/id/1373428</t>
  </si>
  <si>
    <t>2019/10/19 11:32:45</t>
  </si>
  <si>
    <t>投诉人神女士投诉对象You舞蹈学院涉诉金额196元问题类型诉求类型投诉详情2019年10月18日突然收到通知由于商家无法负担租金将原活动场所，转移至广东省广州市天河区东横一路2号珠村综合市场2楼201，由于变更地点对于本人而言实为不便，因此于次日向商家提出退还2019年4月14日购买的196元22节课课程学费，，签署霸王条约“一经收费，概不退款”，商家拒绝退款并拒绝提出任何其余补偿方式，至今无法联系相关负责人，存在管理人员之间推诿责任、缺乏与消费者协商沟通等问题。</t>
  </si>
  <si>
    <t>乐意花高利贷</t>
  </si>
  <si>
    <t>http://ts.21cn.com/tousu/show/id/1373427</t>
  </si>
  <si>
    <t>2019/10/19 11:32:43</t>
  </si>
  <si>
    <t>投诉人游女士投诉对象乐意花涉诉金额7632元问题类型诉求类型投诉详情本人于2019年1月19日于乐意花平台上借款5000，分12期，没期还款636.1，总计7633，已还款8期，合计5088，还有2545，上个月逾期了一天，跟对方公司协商减免结清，爆了我的通讯录，给本人生活，名誉造成了严重的影响，该利益严重超过了国家规定的合规利息24%，并且在合同内都是标注服务费。</t>
  </si>
  <si>
    <t>请求协商</t>
  </si>
  <si>
    <t>http://ts.21cn.com/tousu/show/id/1373426</t>
  </si>
  <si>
    <t>2019/10/19 11:32:41</t>
  </si>
  <si>
    <t>本人因工资暂未发放所以未能还上造成逾期本人希望能够协商合理的还款时间，请平台速与我联系。</t>
  </si>
  <si>
    <t>白领贷砍头还清不给退回</t>
  </si>
  <si>
    <t>http://ts.21cn.com/tousu/show/id/1373425</t>
  </si>
  <si>
    <t>2019/10/19 11:32:30</t>
  </si>
  <si>
    <t>投诉人王先生投诉对象名校白领贷,上海麦子资产管理有限公司涉诉金额4000元问题类型诉求类型投诉详情白领贷砍头我借款20000实际到账16000砍头4000说是咨询费说还清欠款退4000咨询费我分36期还款我到第六期全部还清利息一分钱没减咨询费也不退了我6期中是有逾期但只隔一天就还上的这非常不和理当时客服态度强硬不给处理现在我知道了有可以投诉的平台我会一直投诉你们的利息也不和理4000咨询费这个可以算利息吗，我又没有得到我希望有关部门能重视虽然他平台大但这个问题很严重损害太多人利益了。</t>
  </si>
  <si>
    <t>刚装修好的屋子，几个月时间变成水帘洞</t>
  </si>
  <si>
    <t>http://ts.21cn.com/tousu/show/id/1373424</t>
  </si>
  <si>
    <t>2019/10/19 11:31:31</t>
  </si>
  <si>
    <t>投诉人鲁先生投诉对象石家庄中朋瓦业有限公司涉诉金额10000元问题类型诉求类型投诉详情自17年购买由泥河子一家五金店年购买的瓦片，短短几个月时间出现漏水，破裂严重，百分之五十以上的瓦片全部断裂，断角，一碰就裂，严重的影响到了家里人的安全问题，一旦因为漏水造成家里断电漏电，后果不堪设想，强烈要求有关部门予以解决。</t>
  </si>
  <si>
    <t>财神黑卡</t>
  </si>
  <si>
    <t>http://ts.21cn.com/tousu/show/id/1373251</t>
  </si>
  <si>
    <t>2019/10/19 11:31:23</t>
  </si>
  <si>
    <t>投诉人王琴投诉对象掌众金服涉诉金额170元问题类型诉求类型投诉详情闪电借款以百分百下款为由，要求购买财神黑卡170元还说不下款全额退款，结果买了之后以额度被领取要了为由不让下款也拒绝退款，欺骗客户。</t>
  </si>
  <si>
    <t>交通银行信用卡不停骚扰</t>
  </si>
  <si>
    <t>http://ts.21cn.com/tousu/show/id/1373422</t>
  </si>
  <si>
    <t>2019/10/19 11:30:40</t>
  </si>
  <si>
    <t>本人近几个月遇到资金周转困难，打电话与交通银行信用卡客服协商再给几天时间想办法还上，但是聊天银行信用卡催收一天八九个电话不停的骚扰催收。</t>
  </si>
  <si>
    <t>电话骚扰侮辱我的朋友家人</t>
  </si>
  <si>
    <t>http://ts.21cn.com/tousu/show/id/1373419</t>
  </si>
  <si>
    <t>2019/10/19 11:30:14</t>
  </si>
  <si>
    <t>本人于19年8月14日在My钱包贷款平台贷款4000元，分三期，9月15已还2170，10月14日因资金无法周转，逾期1975元，催收人员电话骚扰恐吓，言语侮辱我的朋友家人，。</t>
  </si>
  <si>
    <t>中国联通招联金融公司聘请黑社会暴力恐吓催收</t>
  </si>
  <si>
    <t>http://ts.21cn.com/tousu/show/id/1373418</t>
  </si>
  <si>
    <t>2019/10/19 11:30:11</t>
  </si>
  <si>
    <t>今早上10:16分收到一个号码155******10的号码发送一个恐吓短信是自称是中国联通招联金融暴力催收短信，还说下午17:00前不还这个电话024-22969720的电话雇人上门暴力恐吓骚扰催收。</t>
  </si>
  <si>
    <t>暴力骚扰无良催收</t>
  </si>
  <si>
    <t>http://ts.21cn.com/tousu/show/id/1373417</t>
  </si>
  <si>
    <t>2019/10/19 11:29:59</t>
  </si>
  <si>
    <t>玖富，拍拍贷，钱站，你我贷这几个平台，暴力催收，私自加我亲朋好友微信，频繁拨打亲朋好友联系电话，给我和联系人生活带来极大困扰！严重扰乱正常生活！而且，钱站，你我贷，玖富涉嫌高利贷砍头息，希望相关部门严查！。</t>
  </si>
  <si>
    <t>豆豆钱恶意捆绑保险</t>
  </si>
  <si>
    <t>http://ts.21cn.com/tousu/show/id/1373416</t>
  </si>
  <si>
    <t>2019/10/19 11:29:25</t>
  </si>
  <si>
    <t>投诉人 赵先生        投诉对象  豆豆钱        涉诉金额  399 元    问题类型    诉求类型投诉详情  豆豆钱恶意强制捆绑无用保险，变相砍头息。要求全额退回。</t>
  </si>
  <si>
    <t>聚富分期假装网贷平台私自扣除银行卡里的钱经过我同意了吗</t>
  </si>
  <si>
    <t>http://ts.21cn.com/tousu/show/id/1373414</t>
  </si>
  <si>
    <t>2019/10/19 11:28:39</t>
  </si>
  <si>
    <t>投诉人刘先生投诉对象聚富分期涉诉金额100元问题类型诉求类型投诉详情聚富分期平台在我不知情不愿意没有反映的情况之下从我的银行卡里扣掉了100元，而且在我没有输入密码的情况下扣的钱，这让我的银行卡很不安全，后面还说还剩下199一直会扣除为止而且我发现不止我一个人受骗上当，而且在APP已经找不到这个平台了还跟我玩消失了据我了解有一万以上的人受骗，甚至更多，一个人299元，一万个人是多少钱，，这可不是小数目，这是骗人这是欺骗，一个借款平台，一个打着借款的封面让我们填写信息和银行卡的宣传从我银行账号里划出299元，</t>
  </si>
  <si>
    <t>采用爬虫技术盗取通信录并暴通信录</t>
  </si>
  <si>
    <t>http://ts.21cn.com/tousu/show/id/1373415</t>
  </si>
  <si>
    <t>2019/10/19 11:28:33</t>
  </si>
  <si>
    <t>本人在钱站贷款20000元，分12期还款，已还6期，现因资金紧张，暂失还款能力，逾期三天，钱站采用爬虫技术盗取通信录，并暴本人通信录，钱站也存在砍头息，阴阳合同，本人借款2万，合同为2.56万。</t>
  </si>
  <si>
    <t>美团商户合作退费问题</t>
  </si>
  <si>
    <t>http://ts.21cn.com/tousu/show/id/1373412</t>
  </si>
  <si>
    <t>2019/10/19 11:27:52</t>
  </si>
  <si>
    <t>10月25日到期，顾现在签署的合同暂无生效，希望要求美团代理商汉海信息技术，进行服务退款，但不愿意退款！最新缴费的业务由于合同期还没到，顾还未发给我合同！。</t>
  </si>
  <si>
    <t>要求马上金融退还灵活还款包费用</t>
  </si>
  <si>
    <t>http://ts.21cn.com/tousu/show/id/1373411</t>
  </si>
  <si>
    <t>2019/10/19 11:27:32</t>
  </si>
  <si>
    <t>2016年10月在马上金融申请了8000元贷款，于2018年4月结清，每月还款790多元，还了16个月，其中有灵活还款包费用和保险费用当时没有看见勾选了，事后告知不能退还，利息大大高于国家息费，要求退还。</t>
  </si>
  <si>
    <t>安逸花贷款</t>
  </si>
  <si>
    <t>http://ts.21cn.com/tousu/show/id/1373410</t>
  </si>
  <si>
    <t>2019/10/19 11:27:08</t>
  </si>
  <si>
    <t>我在安逸花上面借了8000元，我一直是都在用，我现在家里出现了大事，我在家看孩子，没有太大能力还款，他们给我爸打电话，我爸是残疾人，又有高血压，我希望和你们沟通一下，让我没个月还300到500元，我不是不还，实在是没那么大的能力还，我希望你们可以通融一下。</t>
  </si>
  <si>
    <t>机蜜不愿意处理碎屏问题，原本要买断处理结果导致我逾期，并且非官方工作人员通过异常账号加我微信</t>
  </si>
  <si>
    <t>http://ts.21cn.com/tousu/show/id/1373408</t>
  </si>
  <si>
    <t>2019/10/19 11:26:54</t>
  </si>
  <si>
    <t>本人18年10月9日在机蜜官网上租赁一台小米8SE手机，12月还款到期买断，每月均是按时按期还款，未产生任何逾期，今年9月28日手机意外导致内屏和外屏破碎，手机无法开机，当时因为手机内有重要文件和合同处理，并且当时无法开机联系不到机蜜客服工作人员，我把手机送去小米怀化售后服务站维修，更换原装屏幕，费用610元，后面联系到客服，但客服说买的意愿险必修要寄去机蜜公司才能报销，而且内屏不保，只保外屏意外，那我只能认为这是你们霸王条款，当时就是强制要我买这个意外险，结果因为这个问题导致我的买断逾期1天，今天上午微信</t>
  </si>
  <si>
    <t>立借钱置宝暴力催收高利贷砍头息</t>
  </si>
  <si>
    <t>http://ts.21cn.com/tousu/show/id/1373407</t>
  </si>
  <si>
    <t>2019/10/19 11:26:48</t>
  </si>
  <si>
    <t>借款2100元分四期还款，七天一期，需要还款3000元，典型的高利贷，还款日由于钱置宝自己的原因还不了款，怀疑恶意收取逾期费用，突然联系要一次性结清所有本金和利息外加逾期费用，当天还不上就爆通讯录，要求协商还款停止骚扰。</t>
  </si>
  <si>
    <t>投诉招商银行，要求退还违约金和利息</t>
  </si>
  <si>
    <t>http://ts.21cn.com/tousu/show/id/1373406</t>
  </si>
  <si>
    <t>2019/10/19 11:26:32</t>
  </si>
  <si>
    <t>028开头的座机号，说是招商银行催收机构，催倒最后私自用手机号给家人打电话，说还清后是可以做适当减免退还，现在还清了，招商银行反而不认账了，一分钱不给退，而且态度还很差。</t>
  </si>
  <si>
    <t>拍拍贷暴力催收无人监管</t>
  </si>
  <si>
    <t>http://ts.21cn.com/tousu/show/id/1373405</t>
  </si>
  <si>
    <t>2019/10/19 11:26:10</t>
  </si>
  <si>
    <t>拍拍贷暴力催收无人监管，客服电话直接明目张胆的不还钱就是爆你通讯录，一个上市公司就这么猖狂，没人敢管吗。</t>
  </si>
  <si>
    <t>如期分期未逾期就开始暴力催收</t>
  </si>
  <si>
    <t>http://ts.21cn.com/tousu/show/id/1373404</t>
  </si>
  <si>
    <t>2019/10/19 11:25:58</t>
  </si>
  <si>
    <t>未逾期就打电话一直骚扰催收，还说要打电话给家里人，态度极其恶劣。</t>
  </si>
  <si>
    <t>微贷网车抵贷的套路</t>
  </si>
  <si>
    <t>http://ts.21cn.com/tousu/show/id/1373403</t>
  </si>
  <si>
    <t>2019/10/19 11:25:04</t>
  </si>
  <si>
    <t>2018年我和一个朋友跟一个中介到微贷网湛江分公司办车抵贷，微贷网的员工和中介收取了我3千元服务费；另外微贷网又收取我3千元，说是公司收的手续费，还有第一期先息后本车抵贷还息，收取我7280元，多收4200元，写好的可2.7分利息续贷，续贷第二次变成了月利率2.8分、年利率33.6%；续贷第三次月利率2.9分、年利率34.8%；还有每次续贷要我还一千以上本金，才能续贷，第四次续贷骗我说改成36期等额本息有休惠活动，过了十几分钟才打电话和发信息给我，还有信息里有威胁的温馨提示，没有合法手续和程序，这是偷车行为</t>
  </si>
  <si>
    <t>辱骂让借款人去死</t>
  </si>
  <si>
    <t>http://ts.21cn.com/tousu/show/id/1373398</t>
  </si>
  <si>
    <t>2019/10/19 11:24:59</t>
  </si>
  <si>
    <t>万达贷催收让还款人去死，一直辱骂，电话骚扰，万达贷客服只是说核实，这都有图有真相有什么必要核实，就是包庇，投诉后，万达贷客服只是说核实，这都有图有真相有什么必要核实，就是包庇。</t>
  </si>
  <si>
    <t>http://ts.21cn.com/tousu/show/id/1373401</t>
  </si>
  <si>
    <t>2019/10/19 11:24:57</t>
  </si>
  <si>
    <t>中信银行信用卡,86880075,86770767,13273413808,031167263530，家里生意出现问题，导致信用卡逾期，确实时间比较长了，但是也是多次可以说是每个月和银行都在进行沟通，我这里有通话录音，他们依然找第三方出面，电话内容涉及到软暴力，甚至他们第三方冒充执法人员到以前所在单位送达所谓的公安起诉通知书，可笑不，胆子大不，后来又接到第三方电话说他们准备起诉，银行把权力都委托给第三方了吗，第三方权利也真是够大的，我就想知道，在我和银行一直沟通的情况下，第三方依然我行我素，对我造成的影响谁</t>
  </si>
  <si>
    <t>借贷宝砍头息及暴力侮辱催收</t>
  </si>
  <si>
    <t>http://ts.21cn.com/tousu/show/id/1373397</t>
  </si>
  <si>
    <t>2019/10/19 11:24:56</t>
  </si>
  <si>
    <t>借贷宝涉及借款500000元，均涉及砍头息，暴力催收。</t>
  </si>
  <si>
    <t>白条分期引诱我办会员未得到额度</t>
  </si>
  <si>
    <t>http://ts.21cn.com/tousu/show/id/1373400</t>
  </si>
  <si>
    <t>2019/10/19 11:24:54</t>
  </si>
  <si>
    <t>白条分期说给我5000额度，引诱我办理会员提取500额度，没想到却是给我一堆平台，本人想通过聚投诉官方给我调解调解，帮忙退款。</t>
  </si>
  <si>
    <t>协商还款</t>
  </si>
  <si>
    <t>http://ts.21cn.com/tousu/show/id/1373399</t>
  </si>
  <si>
    <t>2019/10/19 11:24:53</t>
  </si>
  <si>
    <t>我严重投诉掌众金服，我于8月底被套路贷，骗了我8万多块钱，现在身无分文，遭到各个平台暴力催收，本人受不了骚扰，于是还了手机号，第一时间与改平台客服反应，到目前为止已经逾期13天了，到现在没人联系我！而且一直爆我通讯录，恶意谩骂我的家人，现在已经保存证据，现在我已经报警！请闪电客服立马给我联系！协商还款！请打198******95这个手机号！。</t>
  </si>
  <si>
    <t>马上消费金融暴力催收</t>
  </si>
  <si>
    <t>http://ts.21cn.com/tousu/show/id/1373402</t>
  </si>
  <si>
    <t>2019/10/19 11:24:50</t>
  </si>
  <si>
    <t>因为最近还没发工资，逾期了，但是催收员暴力催收，爆通讯录，威胁我的亲朋好友。</t>
  </si>
  <si>
    <t>即分期恶意骚扰工作单位</t>
  </si>
  <si>
    <t>http://ts.21cn.com/tousu/show/id/1372656</t>
  </si>
  <si>
    <t>2019/10/19 11:24:44</t>
  </si>
  <si>
    <t>原先是在艺星美容医院推荐下办理的玻尿酸分期，贷款本金加利息30000元，分24期，每期1550元，已还17期，后面第18期因为个人原因延迟还款，客服就开始轰炸我的通讯录骚扰亲朋好友，投诉无果，我提出按照法律途径协商解决余下还款，可能是怕这种高利贷不被法律认可吧，非法调取我的工作单位以及个人信息，并且换着人轰炸我单位电话，我单位领导已与其说明可以寄律师函给我们解决此事。</t>
  </si>
  <si>
    <t>天眼查侵犯企业及个人隐私对我造成骚扰</t>
  </si>
  <si>
    <t>http://ts.21cn.com/tousu/show/id/1373396</t>
  </si>
  <si>
    <t>2019/10/19 11:24:24</t>
  </si>
  <si>
    <t>天眼查侵犯企业及个人隐私对我造成骚扰,很多推销的打我电话，不胜其扰，之前投诉过一次，这次又出现了，请天眼查别把自己企业发展建立在侵犯别人的隐私和造成别人的困扰上面，不然迟早被告。</t>
  </si>
  <si>
    <t>玖富万卡提前结清，承诺10个工作日退款，已经11天了还没有收到退款</t>
  </si>
  <si>
    <t>http://ts.21cn.com/tousu/show/id/1373394</t>
  </si>
  <si>
    <t>2019/10/19 11:23:54</t>
  </si>
  <si>
    <t>10个工作日内会退还到富友金账户，至今已经11天了富友金账户还是0元，客服来电他们也不知道什么时候退给我，我感觉被欺骗了。</t>
  </si>
  <si>
    <t>金银钱包高利贷</t>
  </si>
  <si>
    <t>http://ts.21cn.com/tousu/show/id/1373393</t>
  </si>
  <si>
    <t>2019/10/19 11:23:38</t>
  </si>
  <si>
    <t>金银钱包合同是2500，实际到账1375，服务费用1125，这是妥妥的高利贷啊，今早催收态度恶劣，拒不协商，望平台予以处理。</t>
  </si>
  <si>
    <t>陌单app无法提现余额</t>
  </si>
  <si>
    <t>http://ts.21cn.com/tousu/show/id/1373392</t>
  </si>
  <si>
    <t>2019/10/19 11:23:24</t>
  </si>
  <si>
    <t>陌单手机端上没有可以把退还的提现功能，这不是你强制消费吗。</t>
  </si>
  <si>
    <t>你我贷套路贷高利贷暴力催收</t>
  </si>
  <si>
    <t>http://ts.21cn.com/tousu/show/id/1373391</t>
  </si>
  <si>
    <t>2019/10/19 11:22:51</t>
  </si>
  <si>
    <t>你我贷借款5000元，已经还款6200元，还要求再还500元，是分期每月都还了本金的，我已经超额还款，你我贷公司现在骚扰本人通讯录暴力催收很恶心，要求你我贷公司马上给我消账！并停止骚扰！否则将报警并投诉至银监会！。</t>
  </si>
  <si>
    <t>小赢卡贷捆绑式消费保险点电话频繁催收骚扰</t>
  </si>
  <si>
    <t>http://ts.21cn.com/tousu/show/id/1373390</t>
  </si>
  <si>
    <t>2019/10/19 11:22:10</t>
  </si>
  <si>
    <t>小赢卡贷，这个平台，模式无法自选借款额度，平台借款了30000，也是很高的利率了，借款人不知情的情况下，绑定众安保险代偿，强制消费捆绑式保险，本来就属于不合理，违法的，频繁爆通讯录，打电话黑家里人老人，每次接电话就是还款，不然赔偿高额违约金之类的话语言。</t>
  </si>
  <si>
    <t>要求退款至今未解决</t>
  </si>
  <si>
    <t>http://ts.21cn.com/tousu/show/id/1373389</t>
  </si>
  <si>
    <t>2019/10/19 11:20:27</t>
  </si>
  <si>
    <t>投诉人 王丽娟女士        投诉对象  造艺科技        涉诉金额  299 元    问题类型    诉求类型投诉详情  在我不知情的情况下，扣款299元费用。无任务服务及密码的支付情况下扣款。请平台给出公正的处理，强烈要求退款。</t>
  </si>
  <si>
    <t>你我贷</t>
  </si>
  <si>
    <t>http://ts.21cn.com/tousu/show/id/1373388</t>
  </si>
  <si>
    <t>2019/10/19 11:20:24</t>
  </si>
  <si>
    <t>投诉人 陈女士        投诉对象  你我贷        涉诉金额  7 000 元    问题类型    诉求类型投诉详情  你我贷 昨天还款 因为没有开资 上午协商好的一两天处理 最后打电话给身边人 羞辱我</t>
  </si>
  <si>
    <t>停止骚扰</t>
  </si>
  <si>
    <t>http://ts.21cn.com/tousu/show/id/1373387</t>
  </si>
  <si>
    <t>2019/10/19 11:20:10</t>
  </si>
  <si>
    <t>涉诉金额9000元问题类型诉求类型投诉详情安逸花在能联系到我本人情况下去骚扰我家人朋友，请解释合规定合法吗。</t>
  </si>
  <si>
    <t>神马借（元宝宝）高利贷</t>
  </si>
  <si>
    <t>http://ts.21cn.com/tousu/show/id/1373385</t>
  </si>
  <si>
    <t>2019/10/19 11:19:48</t>
  </si>
  <si>
    <t>投诉人宣女士投诉对象元宝宝,神马借,菠萝分期贷涉诉金额3000元问题类型诉求类型投诉详情于信用管家的神马借这款产品借款2625元，一共分4次总额3584，第一期及第二期第三期从代扣卡中扣款分别为896元，第四期由于App还款还不进去支付宝还款通道受限无法正常还款，对方电话一直无法打通或无应答，以邮件方式联系神马借平台一直都是自动回复造成逾期费用➕本金一共需要还1900多，已经过去很多天了，一直处于逾期，他们的催收也打电话给我催我，而且滞纳金一直在涨今天打客服电话打通了说只能减免30%的逾期费用率，希望相关商</t>
  </si>
  <si>
    <t>骚扰威胁</t>
  </si>
  <si>
    <t>http://ts.21cn.com/tousu/show/id/1373384</t>
  </si>
  <si>
    <t>2019/10/19 11:19:46</t>
  </si>
  <si>
    <t>投诉人板先生投诉对象你我贷涉诉金额2000元问题类型诉求类型投诉详情严重骚扰家人好友，威胁要上门，忘了还款第二天就开始骚扰，下面的图片还只是一个朋友的，这是拦截的，还不算没拦截的。</t>
  </si>
  <si>
    <t>随意拨打通讯录骚扰</t>
  </si>
  <si>
    <t>http://ts.21cn.com/tousu/show/id/1373386</t>
  </si>
  <si>
    <t>2019/10/19 11:19:41</t>
  </si>
  <si>
    <t>逾期不等于恶意拖欠，最近亏本造成资金严重短缺，本意和你们协商还款问题，但找不到主要管理人，每天只会不停的打电话，对我生活工作造成严重的影响，而且拨打通讯录的不属于拍拍贷公司，而是私人借款方。</t>
  </si>
  <si>
    <t>平安普惠贷款隐瞒隐藏并强制收取高额保险费管理费投诉事宜</t>
  </si>
  <si>
    <t>http://ts.21cn.com/tousu/show/id/1373383</t>
  </si>
  <si>
    <t>2019/10/19 11:19:36</t>
  </si>
  <si>
    <t>平安普惠i贷，每月不但收取利息费，每月还强制收取服务费，保险费！。</t>
  </si>
  <si>
    <t>趣花钱平台下架，第三方扣款</t>
  </si>
  <si>
    <t>http://ts.21cn.com/tousu/show/id/1373381</t>
  </si>
  <si>
    <t>2019/10/19 11:18:41</t>
  </si>
  <si>
    <t>9月20日，本人接到057186022690来电，声称是趣花钱平台的，我问其为何趣花钱客户端打不开了，对方立即又称是放款方的，说趣花钱客户端故障，让她们催收，我问她是哪个公司的，对方称是浙江连枝金融公司，我说在不确认对方是否为趣花钱平台人员时不会让他们扣款，目前趣花钱客户端仍然无法登录，也联系不到平台，账户仍面临被莫名第三方随意扣款。</t>
  </si>
  <si>
    <t>交易猫客服不处理仲裁</t>
  </si>
  <si>
    <t>http://ts.21cn.com/tousu/show/id/1373380</t>
  </si>
  <si>
    <t>2019/10/19 11:18:36</t>
  </si>
  <si>
    <t>客服一直不处理仲裁，让我等了那么久，明明说好7天内处理，现在都超时间了还没见回复，能不能给大众一个有效率的服务平台。</t>
  </si>
  <si>
    <t>放款失败要求我赔偿全额还款</t>
  </si>
  <si>
    <t>http://ts.21cn.com/tousu/show/id/1373296</t>
  </si>
  <si>
    <t>2019/10/19 11:18:13</t>
  </si>
  <si>
    <t>投诉人王先生投诉对象你我贷涉诉金额10000元问题类型诉求类型投诉详情本人王宏吉在“上海你我贷互联网金融信息服务有限公司”借款10000元，因为银行卡号错误导致放款失败，，如果不缴纳，要求我全额赔偿贷款金额百分百的违约金。</t>
  </si>
  <si>
    <t>投诉珍爱网诱导消费，要求退款</t>
  </si>
  <si>
    <t>http://ts.21cn.com/tousu/show/id/1373379</t>
  </si>
  <si>
    <t>2019/10/19 11:18:12</t>
  </si>
  <si>
    <t>珍爱网工作人员打电话来说今天有针对30岁-40岁人士的免费相亲专场，并且有看上我的不错的男士，一再强调只有今天有针对我这个年龄段的专场，确认免费后决定去参加，当天下午到场后，被红娘单独叫到一个单间，表示先了解我的个人情况和身份验证，经过长达2个多小时的沟通，谈论我的过往感情经历，在我动情哭出来，红娘打感情牌一再保证我们这里的专业服务可以帮到我，并且给看了几位优质男士的照片和信息，表示他们资源丰富，绝对能找到合适的，我表示暂时没有那么多钱时，他们说可以用信用卡，花呗，支付宝都可以，我迷迷糊糊的就交了钱，签了字</t>
  </si>
  <si>
    <t>京东未经本人同意乱扣款</t>
  </si>
  <si>
    <t>http://ts.21cn.com/tousu/show/id/1373378</t>
  </si>
  <si>
    <t>2019/10/19 11:18:04</t>
  </si>
  <si>
    <t>京东未经本人允许扣款500给商户，拖延三天踢皮球。</t>
  </si>
  <si>
    <t>暴力威胁催收</t>
  </si>
  <si>
    <t>http://ts.21cn.com/tousu/show/id/1373375</t>
  </si>
  <si>
    <t>2019/10/19 11:17:35</t>
  </si>
  <si>
    <t>只是逾期三天，要求给予宽限一两天时间就不行，还短信威胁晚上六点之前不全部还清就拨打通讯录，打家人电话，而且暴力催收还认为自己是对的，拨打家人不经过本人同意也是有理的，觉得自己暴力催收也是合法的，打催收客服反馈，客服也觉得催收是有理的，对于自己的高利息，催收手段没有一点过错。</t>
  </si>
  <si>
    <t>电话骚扰，盗取个人通讯录</t>
  </si>
  <si>
    <t>http://ts.21cn.com/tousu/show/id/1373374</t>
  </si>
  <si>
    <t>2019/10/19 11:17:31</t>
  </si>
  <si>
    <t>严重骚扰到本人及家人朋友的正常生活，盗取个人通话记录。</t>
  </si>
  <si>
    <t>网贷高利贷</t>
  </si>
  <si>
    <t>http://ts.21cn.com/tousu/show/id/1373376</t>
  </si>
  <si>
    <t>2019/10/19 11:17:24</t>
  </si>
  <si>
    <t>投诉人张女士投诉对象有用分期涉诉金额12700元问题类型诉求类型投诉详情有用分期，贷款与实用金额不服，利息分别高达36%，48%，60%，68%，此次贷款是12700，总还款高达2万，多次协商未果，高利息还不起，恶意骚扰家人，同事，朋友。</t>
  </si>
  <si>
    <t>你我贷暴力催收P图爆通讯录</t>
  </si>
  <si>
    <t>http://ts.21cn.com/tousu/show/id/1373377</t>
  </si>
  <si>
    <t>投诉人孔先生投诉对象你我贷涉诉金额4500元问题类型诉求类型投诉详情爆通讯录群发P图威胁这就是你我贷的催收真厉害，现在黑社会太猖狂了你我贷，立马停止骚扰。</t>
  </si>
  <si>
    <t>暴力催收，停止骚扰</t>
  </si>
  <si>
    <t>http://ts.21cn.com/tousu/show/id/1373373</t>
  </si>
  <si>
    <t>2019/10/19 11:17:07</t>
  </si>
  <si>
    <t>投诉人王先生投诉对象招联金融涉诉金额3600元问题类型诉求类型投诉详情招联金融在能联系到我本人的情况下，未经允许骚扰我家人朋友，态度不好。</t>
  </si>
  <si>
    <t>华农钱庄高利贷</t>
  </si>
  <si>
    <t>http://ts.21cn.com/tousu/show/id/1373372</t>
  </si>
  <si>
    <t>2019/10/19 11:17:01</t>
  </si>
  <si>
    <t>投诉人刘祯投诉对象华农钱庄涉诉金额2500元问题类型诉求类型投诉详情华农钱庄合同是2500，实际到账1375，服务费用1125，这是妥妥的高利贷啊，今早催收态度恶劣，拒不协商，望平台予以处理。</t>
  </si>
  <si>
    <t>http://ts.21cn.com/tousu/show/id/1373370</t>
  </si>
  <si>
    <t>2019/10/19 11:15:27</t>
  </si>
  <si>
    <t>投诉人 胡先生        投诉对象  带上钱        涉诉金额  2 500 元    问题类型    诉求类型投诉详情  收取手续费放款，逾期后 我一直分期还款，还是被爆通讯录</t>
  </si>
  <si>
    <t>暴力催收，爆通讯录，骚扰家人，给公司打电话，威胁</t>
  </si>
  <si>
    <t>http://ts.21cn.com/tousu/show/id/1373369</t>
  </si>
  <si>
    <t>2019/10/19 11:14:36</t>
  </si>
  <si>
    <t>借款1200现在让我还1980，催收打电话威胁，说我无论怎么换工作，都不会让我做，自称老子玩死人，。</t>
  </si>
  <si>
    <t>你我贷合作平台优贷高额利率，恶意崔还</t>
  </si>
  <si>
    <t>http://ts.21cn.com/tousu/show/id/1373368</t>
  </si>
  <si>
    <t>2019/10/19 11:14:30</t>
  </si>
  <si>
    <t>每天0多个电话骚扰，我家人也有收到，没有截屏。</t>
  </si>
  <si>
    <t>投诉我来数科高利贷砍头息</t>
  </si>
  <si>
    <t>http://ts.21cn.com/tousu/show/id/1373367</t>
  </si>
  <si>
    <t>2019/10/19 11:14:26</t>
  </si>
  <si>
    <t>我来带上还有两笔借款，分六期，分别为到账3900供需还4600，到账3100共需还3657，目前均只剩下最后一下，要求减免不合理的利息结清销账。</t>
  </si>
  <si>
    <t>平安普惠与第三方平台陆金所利息偏高</t>
  </si>
  <si>
    <t>http://ts.21cn.com/tousu/show/id/1373316</t>
  </si>
  <si>
    <t>2019/10/19 11:14:21</t>
  </si>
  <si>
    <t>投诉人李先生投诉对象陆金所,平安普惠涉诉金额30000元问题类型诉求类型投诉详情我还款的本金跟我还款的服务费跟保险费用基本一样了你们这不是变相的收取高额利息吗属于高利贷把要求取消服务费跟保险费。</t>
  </si>
  <si>
    <t>江南农村商业银行下卡又不让用</t>
  </si>
  <si>
    <t>http://ts.21cn.com/tousu/show/id/1373366</t>
  </si>
  <si>
    <t>2019/10/19 11:13:30</t>
  </si>
  <si>
    <t>官网说ETC卡可以分开用，下卡了又说不可以，咨询客服也说不可以，我同事的却可以刷。</t>
  </si>
  <si>
    <t>非法盗刷，不明扣款</t>
  </si>
  <si>
    <t>http://ts.21cn.com/tousu/show/id/1373365</t>
  </si>
  <si>
    <t>2019/10/19 11:13:06</t>
  </si>
  <si>
    <t>莫名其妙被扣款，打电话去银行，银行给了个号码，但是打不通。</t>
  </si>
  <si>
    <t>招联金融暴力催收，辱骂，黑社会性质骚扰亲朋好友</t>
  </si>
  <si>
    <t>http://ts.21cn.com/tousu/show/id/1373364</t>
  </si>
  <si>
    <t>2019/10/19 11:13:03</t>
  </si>
  <si>
    <t>招联好期贷具有黑社会性质暴力催收，现在国庆刚过不就全国各地都在扫黑除恶，招联金融顶风作案无视国家法律法规，严重触犯了国家法律，如果不立即停止骚扰本人讲保留你方违法证据，进一步投诉银监会，中央政法委长安利剑扫黑办公室！。</t>
  </si>
  <si>
    <t>平安i贷属于高利贷</t>
  </si>
  <si>
    <t>http://ts.21cn.com/tousu/show/id/1373362</t>
  </si>
  <si>
    <t>2019/10/19 11:12:54</t>
  </si>
  <si>
    <t>我在平安普惠贷款12000元，每月按时还款，但是每月都要扣利息费，服务费，保险费，他们这是变相的收取利息费，属于高利贷行为，而且现在我在app里查询不到我的贷款信息还有还款记录！。</t>
  </si>
  <si>
    <t>闪银糯米贷泄露个人隐私</t>
  </si>
  <si>
    <t>http://ts.21cn.com/tousu/show/id/1373361</t>
  </si>
  <si>
    <t>2019/10/19 11:12:48</t>
  </si>
  <si>
    <t>本人在闪银糯米贷上有借款，第二天就有好几个电话打过来问我是不是谁谁，是不是在闪银糯米贷上有借款，可以为我提供别的服务之类的话，两天之内已经接到了四个电话，分别是不同的地区打开的，在此投诉闪银平台泄露用户个人隐私，把借款这种隐私的事情卖给别的机构，强烈要求闪银能够尊重客户隐私，借款时平台说用户借款信息全部加密呢，为什么堂而皇之地卖给别的机构。</t>
  </si>
  <si>
    <t>我来数科催收</t>
  </si>
  <si>
    <t>http://ts.21cn.com/tousu/show/id/1373363</t>
  </si>
  <si>
    <t>2019/10/19 11:12:38</t>
  </si>
  <si>
    <t>原我来贷，现升级为我来数科，借款8000，高额利息费2500，现已还清本金8000和利息费1000元，逾期后言语威胁催收，爆通讯录联系人，加好友微信，给好友发短信打电话，严重骚扰亲人好友，希望停止骚扰整治。</t>
  </si>
  <si>
    <t>http://ts.21cn.com/tousu/show/id/1373360</t>
  </si>
  <si>
    <t>2019/10/19 11:11:52</t>
  </si>
  <si>
    <t>钱橙无忧,新生支付,深圳市恒富创融科技有限公司，恶意扣除款项，借由信用评估扣除款项，评估报告完全没用，连我在哪个城市都分不清，168的评估费和228的申请费，都是在没有任何提示和没收到确认短信的情况下直接扣费的，打电话说我点了就要扣费。</t>
  </si>
  <si>
    <t>支付宝恶意冻结我资金</t>
  </si>
  <si>
    <t>http://ts.21cn.com/tousu/show/id/1373359</t>
  </si>
  <si>
    <t>2019/10/19 11:11:21</t>
  </si>
  <si>
    <t>没有任何提示，说我违规操作，让我尽快提现处理剩余资金，却提现失败。</t>
  </si>
  <si>
    <t>买买乐购app贷款利息过高</t>
  </si>
  <si>
    <t>http://ts.21cn.com/tousu/show/id/1373357</t>
  </si>
  <si>
    <t>2019/10/19 11:10:15</t>
  </si>
  <si>
    <t>买买乐购app随心花服务，借款2000元，分期十二个月，总共利息为915.16元，收取高额保证险费与客户服务费，超出国家法定年利率，年利率高达百分之45，劳烦贵部对买买乐购app进行核实审查，对我之前还款的不合法收费进行赔偿并更改利率。</t>
  </si>
  <si>
    <t>招联金融恶意恐吓要打电话骚扰合作公司</t>
  </si>
  <si>
    <t>http://ts.21cn.com/tousu/show/id/1373356</t>
  </si>
  <si>
    <t>招联金融恐吓发短信并电话说要打电话给合作公司，影响工作，由于资金周转不开，已经说明，1-2个月内结清，之前有钱也有在还，而且有承担利息，如果影响本人工作责会影响还款，是谁给你们的权利给不相关的人打电话骚扰，如果影响到我的合作伙伴和挂靠的公司猎上网，还有本人的朋友以及同事和合作伙伴，本人将会用法律来维护我的合法权益，恶意催收合法吗，还电话给不相关的人，图片是短信群发，短信第二条有我的名字还有合作公司信息，第一条杨光跟本人没有任何关系，短信第二条有恶意催收人的电话。</t>
  </si>
  <si>
    <t>安逸花第一次逾期，这个月工资发晚了，到现在还没发，安逸花就不停打电话，我已经打了客服电话说明情况了</t>
  </si>
  <si>
    <t>http://ts.21cn.com/tousu/show/id/1373355</t>
  </si>
  <si>
    <t>2019/10/19 11:09:54</t>
  </si>
  <si>
    <t>从来没有逾期过，这个月工资还没发下来，下周二才发，打电话给客服了，想申请下周二还款，骚扰电话不停。</t>
  </si>
  <si>
    <t>想花乐高利贷</t>
  </si>
  <si>
    <t>http://ts.21cn.com/tousu/show/id/1373354</t>
  </si>
  <si>
    <t>2019/10/19 11:09:48</t>
  </si>
  <si>
    <t>想花乐高利贷，借款3250元6天需要还款5005元，要求调整利息，并按国家规定的利息收取和归还本金。</t>
  </si>
  <si>
    <t>暴力催收威胁</t>
  </si>
  <si>
    <t>http://ts.21cn.com/tousu/show/id/1373353</t>
  </si>
  <si>
    <t>2019/10/19 11:09:42</t>
  </si>
  <si>
    <t>投诉人 于女士        投诉对象  贷上钱        涉诉金额  3 346 元    问题类型    诉求类型投诉详情  1.借款金额2576.67 但却有770元没到收 买了什么手游钻石明显砍头利息2.暴力催收 电话恐吓 短信侮辱</t>
  </si>
  <si>
    <t>广发信用卡从额度五万四降到三千额度</t>
  </si>
  <si>
    <t>http://ts.21cn.com/tousu/show/id/1373352</t>
  </si>
  <si>
    <t>2019/10/19 11:09:24</t>
  </si>
  <si>
    <t>我仅仅是一个上班族，每个月就那么一点工资，刚还进11000元，额度就直接从54000元降至3000元，现在就连每个月最低还款都相当困难，请求恢复额度。</t>
  </si>
  <si>
    <t>微博借钱威胁恐吓借款人</t>
  </si>
  <si>
    <t>http://ts.21cn.com/tousu/show/id/1373349</t>
  </si>
  <si>
    <t>2019/10/19 11:09:11</t>
  </si>
  <si>
    <t>微博借钱催收客服电话短信威胁借款人，合同利息高于国家规定，违规催收。</t>
  </si>
  <si>
    <t>闪电借款变相砍头息</t>
  </si>
  <si>
    <t>http://ts.21cn.com/tousu/show/id/1373348</t>
  </si>
  <si>
    <t>2019/10/19 11:09:02</t>
  </si>
  <si>
    <t>湖北消费金融股份有限公司,掌众金服,北京智茗耀科技有限公司，本人于8月27日在闪电借款APP上借款2900元其中购买所谓黑卡880元存在变相砍头息，并于10月16日到期未及时归还，逾期费高达将近190天三天，完全不符法律法规保护，逾期一天情况下闪电借款方外包第三方催收本人联系人及公司进行辱骂催收，导致家人生病住院及工作单位辞退本人，造成特大后果，现本人以及家人倾家荡产讲闪电借款及母公司告上法庭，赔偿本人及家人损失！。</t>
  </si>
  <si>
    <t>360贷款</t>
  </si>
  <si>
    <t>http://ts.21cn.com/tousu/show/id/1373351</t>
  </si>
  <si>
    <t>2019/10/19 11:09:00</t>
  </si>
  <si>
    <t>360催收，两个女的来回打电话，要求我10分钟之内还款，我说要求协商，他们说的很明白不跟我我协商，而且窃取我通讯录给我父母打电话，这已经是第二次了，我父母如果在接到电话我将会选择报警，剩余还款金额就当作赔偿金吧，催收态度还很恶劣，说话牛逼，现在的催收都能管着借款人的通讯录，只会暴力催收，不会好好说人话，我现在被气的头疼，要求医院检查，你们360要不要上门来检查检查，最后一次声明你们360不要逼人太甚，我父母家人朋友要是在收到你们不良电话，那你们去走司法程序找我吧，我也会告你们，我紧急联系人电话写的谁我自己知</t>
  </si>
  <si>
    <t>套路扣费</t>
  </si>
  <si>
    <t>http://ts.21cn.com/tousu/show/id/1373350</t>
  </si>
  <si>
    <t>2019/10/19 11:08:59</t>
  </si>
  <si>
    <t>投诉人 李先生        投诉对象  拿钱花呗        涉诉金额  199 元    问题类型    诉求类型投诉详情  我并没有购买过。没有任何输入密码或者验证码。无故扣款什么199元会员费用！</t>
  </si>
  <si>
    <t>无缘无故扣钱</t>
  </si>
  <si>
    <t>http://ts.21cn.com/tousu/show/id/1373347</t>
  </si>
  <si>
    <t>2019/10/19 11:08:38</t>
  </si>
  <si>
    <t>无缘无故被恶意扣款，我也没用什么贷款，不知道是不是之前注册什么app填的资料，半夜12点恶意扣费199元。</t>
  </si>
  <si>
    <t>圆通速递乱收费</t>
  </si>
  <si>
    <t>http://ts.21cn.com/tousu/show/id/1373345</t>
  </si>
  <si>
    <t>2019/10/19 11:07:48</t>
  </si>
  <si>
    <t>2019年10月19日在圆通速递微信小程序预约寄件，备注当日下午2-3点取件，投诉理由如下：1:当地送快递的不按照顾客要求，下单后一小时内就要求顾客寄，2:寄件产品是一个惠普白色笔记本电脑，交由快递小哥时完好无损，现要求圆通速递给出解释并道歉，并退回乱收的部分费用。</t>
  </si>
  <si>
    <t>国美易卡高利贷，砍头息、暴力催收、骚扰家人和朋友</t>
  </si>
  <si>
    <t>http://ts.21cn.com/tousu/show/id/1373344</t>
  </si>
  <si>
    <t>2019/10/19 11:06:27</t>
  </si>
  <si>
    <t>2019年6月我在国美易卡上借款17550元，实际到账11407元，分12期偿还，目前第四期暂时没有还款能力，国美易卡恶性催收，骚扰亲朋好友，请相关部门严肃处理高利贷恶性催收，调整利息、铲除社会毒瘤！。</t>
  </si>
  <si>
    <t>用钱宝高利贷</t>
  </si>
  <si>
    <t>http://ts.21cn.com/tousu/show/id/1373343</t>
  </si>
  <si>
    <t>2019/10/19 11:06:24</t>
  </si>
  <si>
    <t>10月16日还款，本人在16日和18日两次通过官方客服电话联系客服，提出两个问题：1是利息问题，客服说年息36%；二是app只显示最近三次借款明细，其他九次没显示，本人要求客服提供，到今天为止，客服没反馈，但是每天都有好几个催收来电，每次催收都让我告诉他们本人投诉的问题，他们说能解决，每次都忽悠本人，没有实际解决，2018年10月19日借款4000元分三期，每期一个月，分别还款1531.76元、1414.12元和1414.12元，算下来总利息360元，但是本人咨询银行人员，利息应该按照每月占用本金递减方式计</t>
  </si>
  <si>
    <t>请求停止爆通讯录</t>
  </si>
  <si>
    <t>http://ts.21cn.com/tousu/show/id/1373342</t>
  </si>
  <si>
    <t>2019/10/19 11:05:46</t>
  </si>
  <si>
    <t>本人因现实资金出现问题暂时无法还款，该平台却未经本人允许私自爆通讯录对我及家人造成严重影响现要求停止报通讯录并协商。</t>
  </si>
  <si>
    <t>浦发银行我换单位了还一直骚扰我原单位的老板</t>
  </si>
  <si>
    <t>http://ts.21cn.com/tousu/show/id/1373341</t>
  </si>
  <si>
    <t>2019/10/19 11:05:35</t>
  </si>
  <si>
    <t>投诉人 李女士        投诉对象  浦发银行        涉诉金额  218 000 元    问题类型    诉求类型投诉详情  停止骚扰我原单位的老板，道歉，我想办法呢</t>
  </si>
  <si>
    <t>吓唬我</t>
  </si>
  <si>
    <t>http://ts.21cn.com/tousu/show/id/1373340</t>
  </si>
  <si>
    <t>2019/10/19 11:05:16</t>
  </si>
  <si>
    <t>投诉人 李先生        投诉对象  你我贷        涉诉金额  2 500 元    问题类型    诉求类型投诉详情  你我贷冒充法律给我发律师函 还对我吓唬我</t>
  </si>
  <si>
    <t>亿联银行为高利贷平台金鸡下蛋菜鸟有钱提供支付通道</t>
  </si>
  <si>
    <t>http://ts.21cn.com/tousu/show/id/1373339</t>
  </si>
  <si>
    <t>2019/10/19 11:04:56</t>
  </si>
  <si>
    <t>菜鸟有钱，金鸡下蛋是高利贷平台，亿联银行提供支付通道，请亿联银行，将平台公司办公地址联系方式在群里做说明！菜鸟有钱，金鸡下蛋退还超出本金和合法利息部分！。</t>
  </si>
  <si>
    <t>牛人有品砍头息</t>
  </si>
  <si>
    <t>http://ts.21cn.com/tousu/show/id/1373338</t>
  </si>
  <si>
    <t>2019/10/19 11:04:45</t>
  </si>
  <si>
    <t>投诉人李女士投诉对象牛人有品,汇潮支付涉诉金额1600元问题类型诉求类型投诉详情本人在10月3日在牛人有品借款1600元，实际放款1152元，砍头息448元，分两期还，每期还816元，一共应还1632元；但本人近期出了问题，债务全面爆发深陷网贷，无力按照平台的欠款按时还款，昨天跟客服协商无果，因为发帖请求援助，要求平台做销账处理，在此之前已结清的借款多扣的砍头息不予以追究。</t>
  </si>
  <si>
    <t>马上金融以及安逸花退还不合法费用</t>
  </si>
  <si>
    <t>http://ts.21cn.com/tousu/show/id/1373336</t>
  </si>
  <si>
    <t>2019/10/19 11:04:02</t>
  </si>
  <si>
    <t>马上金融和旗下安逸花违规收费变形保险费用违法高利贷，拒绝提供借款合同，蔑视国家相关法律法规。</t>
  </si>
  <si>
    <t>请求建设银行信用卡协商还款</t>
  </si>
  <si>
    <t>http://ts.21cn.com/tousu/show/id/1373337</t>
  </si>
  <si>
    <t>2019/10/19 11:03:51</t>
  </si>
  <si>
    <t>现在催收的人天天打电话叫我还七万九千多，实在理解不了，高利贷也翻不了那么多吧，将近一倍了，我请求银行协商，给条活路吧，这利息，分期手续费，逾期费，实在无力偿还。</t>
  </si>
  <si>
    <t>牛人有品客服无人理会</t>
  </si>
  <si>
    <t>http://ts.21cn.com/tousu/show/id/1373335</t>
  </si>
  <si>
    <t>2019/10/19 11:03:08</t>
  </si>
  <si>
    <t>客服无人理会！高利贷不处理！态度差！威胁！要求调整利息结清销帐！不然报警处理！！。</t>
  </si>
  <si>
    <t>恶意扣款！</t>
  </si>
  <si>
    <t>http://ts.21cn.com/tousu/show/id/1373333</t>
  </si>
  <si>
    <t>2019/10/19 11:02:56</t>
  </si>
  <si>
    <t>注册绑定下银行卡，就扣人298.5元！在消费者不明白的情况下，恶意扣款！没有任何提示！要求退款！而且评估协议也没有提示要扣款298.5元！。</t>
  </si>
  <si>
    <t>现金巴士暴力催收态度恶劣</t>
  </si>
  <si>
    <t>http://ts.21cn.com/tousu/show/id/1373334</t>
  </si>
  <si>
    <t>2019/10/19 11:02:45</t>
  </si>
  <si>
    <t>因为这个手机号是副号，不怎么使用，所以我忘记了现金巴士忘记了还款，直到客服打电话来说我逾期了，我才想起来了，一登上app看见一天逾期费10元，你们是在抢吗，现金巴士你们还砍头息，1000元我会一直不少的还，一直在和客服积极沟通可以立即还款，但是1000元的账单一天逾期费10元，明显超出了国家规定，我拒绝还超出规定的，客服态度一直强硬，没办法交流沟通，之后，每天上午一个电话，下午一个电话骚扰我，态度强硬，威胁我走流程，你们走什么流程，如果你们做出任何出格的事情，我一分都不会还的，现在你们打电话我每次都接，一直</t>
  </si>
  <si>
    <t>小花钱包骚扰我通讯录好友</t>
  </si>
  <si>
    <t>http://ts.21cn.com/tousu/show/id/1373332</t>
  </si>
  <si>
    <t>2019/10/19 11:02:41</t>
  </si>
  <si>
    <t>言语辱骂我通讯录好友，不停骚扰我通讯录好友。</t>
  </si>
  <si>
    <t>ETC助手激活不了</t>
  </si>
  <si>
    <t>http://ts.21cn.com/tousu/show/id/1373331</t>
  </si>
  <si>
    <t>2019/10/19 11:02:22</t>
  </si>
  <si>
    <t>但是收到货后激活不了.也没有人联系我，押金也退不了，设备也用不了。</t>
  </si>
  <si>
    <t>投诉中国移动不给我换月租套餐</t>
  </si>
  <si>
    <t>http://ts.21cn.com/tousu/show/id/1373328</t>
  </si>
  <si>
    <t>2019/10/19 11:01:48</t>
  </si>
  <si>
    <t>我的手机号码归属地是广东佛山，我现在回到广东湛江了，我的月租套餐是38元，我想换成8元每个月的，我打电话去客服热线问问却被告知只能去归属地的营业厅办理，不能在网上办理，以前直接打电话到10086就可以换套餐了，现在就不可以，故意刁难消费者，我要投诉中国移动，我还要向工信部投诉他们！。</t>
  </si>
  <si>
    <t>贷款威胁轰炸</t>
  </si>
  <si>
    <t>http://ts.21cn.com/tousu/show/id/1373329</t>
  </si>
  <si>
    <t>2019/10/19 11:01:38</t>
  </si>
  <si>
    <t>投诉人杜先生投诉对象周周花花涉诉金额3000元问题类型诉求类型投诉详情要求协商，不允许协商，要先行联系爆炸通讯录。</t>
  </si>
  <si>
    <t>宜人贷，高利息，砍头息</t>
  </si>
  <si>
    <t>http://ts.21cn.com/tousu/show/id/1373327</t>
  </si>
  <si>
    <t>2019/10/19 11:01:22</t>
  </si>
  <si>
    <t>却要支付5700元的费用是也算本人借款，这是不是可以算作砍头息，，，宜人贷平台这么做，是否有强大的背景支持，，正常23点以前还款都不算逾期吧，因其平台系统升级，导致逾期一天，逾期一天费用竟然收取180元，请问谁给你们的权利收取这么高的费用，请及时回复，本人将起诉宜信公司，。</t>
  </si>
  <si>
    <t>钱站暴力催收骚扰详单打客服电话无效</t>
  </si>
  <si>
    <t>http://ts.21cn.com/tousu/show/id/1373326</t>
  </si>
  <si>
    <t>2019/10/19 11:01:07</t>
  </si>
  <si>
    <t>本人系某贷款公司员工，梅东军138******03系我9月份客户，后该客户应该去钱站办理贷款逾期未还，我9.14给客户发过短信，10.15号开始接到钱站打来电话，转告该客户还款已明确告知不认识债务人，停止骚扰，多次告知无效后致电钱站客服告知停止骚扰，本人于昨日再次接到钱站打来骚扰电话！在国家打黑除恶阶段谁给钱站胆子这么干的。</t>
  </si>
  <si>
    <t>协商无果继续暴力催收</t>
  </si>
  <si>
    <t>http://ts.21cn.com/tousu/show/id/1373325</t>
  </si>
  <si>
    <t>2019/10/19 11:00:39</t>
  </si>
  <si>
    <t>因为家事所以造成资金紧张，还款日前曾联系银行客服，客服拒绝延期还款，后再次联系客服暂停一下催收，客服回复暂停催收，然后我就信了，结果不但没停，还因为没时间接听到催收电话进行威胁恐吓。</t>
  </si>
  <si>
    <t>钱站大搞阴阳合同大搞高利贷爆通讯录</t>
  </si>
  <si>
    <t>http://ts.21cn.com/tousu/show/id/1373324</t>
  </si>
  <si>
    <t>2019/10/19 10:59:47</t>
  </si>
  <si>
    <t>吸血鬼爱钱进钱站网贷公司你们真觉得法律对你们免疫了吗，借了你们六千块钱半年就要还五千多的利息还搞阴阳合同明明只有6000合同金额却是7980，我不知道法律在你们眼里是不是一无是处想钻空子就钻，申请之前我根本看不到阴阳合同的金额以及细节，收到钱后我蒙了六个月就要还11000多那不是超级高利贷是什么，更让人疯狂的是钱站催收人员威胁恐吓无所不用，只要你一次不接电话不管你是不是工作反正不停打电话就直接打紧急联系人通讯录，亲戚朋友都来问我说钱站的打电话让我还钱，求求你们放我一条生路让我有个机会从新做人吧！昨天跟家里人</t>
  </si>
  <si>
    <t>http://ts.21cn.com/tousu/show/id/1373323</t>
  </si>
  <si>
    <t>2019/10/19 10:59:41</t>
  </si>
  <si>
    <t>本人已第三次投诉你我贷暴力催收群发短信，但每次都是系统自动结案之后卷土重来，在未联系本人未发短信给本人的情况下依然多次骚扰本人联系人，为何让不同的催收人员获得本人资料和联系人资料进行群发，在文明社会面前欠债还钱理所应得，但你我贷催收办法完全不把国家政策放在眼里，在逼得欠债人无路可走之前是否应该停止泄漏本人隐私。</t>
  </si>
  <si>
    <t>我是天猫供销平台的分销商，产品是从供销平台上传到淘宝店被系统通过信息层面判断，售假，申诉不成立原因根据账户行为综合判定。</t>
  </si>
  <si>
    <t>http://ts.21cn.com/tousu/show/id/1373322</t>
  </si>
  <si>
    <t>2019/10/19 10:58:46</t>
  </si>
  <si>
    <t>亲爱的淘宝售假小二您好！我是天猫供销平台的分销商，产品没有售出且没有进货，产品被删除后我的店铺里没有这个宝贝就会显示没有关联的，不信您可以试试，所以没有关联不是我的原因，是因为被淘宝直接删除造成的，当时产品被你们处罚删除了，我为了截有关联的图片，谢谢！以上提供的凭证我保证真实，如有假我负法律责任。</t>
  </si>
  <si>
    <t>根本就是套路贷</t>
  </si>
  <si>
    <t>http://ts.21cn.com/tousu/show/id/1373321</t>
  </si>
  <si>
    <t>2019/10/19 10:58:36</t>
  </si>
  <si>
    <t>喊我下的APP叫亿信易贷，一步步的被他们套进去了，总共被套了8576元，希望他们不要再继续骗其他人了，惩治这些套路贷。</t>
  </si>
  <si>
    <t>被爆通讯录</t>
  </si>
  <si>
    <t>http://ts.21cn.com/tousu/show/id/1373320</t>
  </si>
  <si>
    <t>2019/10/19 10:58:26</t>
  </si>
  <si>
    <t>骚扰手机通讯录的电话，日利息七分五，和平台客服联系过利息和催收的问题，现在还在骚扰通讯录。</t>
  </si>
  <si>
    <t>http://ts.21cn.com/tousu/show/id/1373318</t>
  </si>
  <si>
    <t>2019/10/19 10:58:05</t>
  </si>
  <si>
    <t>聚福钱包，未经允许在本人点击风控报告时自动从本人银行卡扣款299，多次与客服沟通退款无果。</t>
  </si>
  <si>
    <t>一双鞋大小不一样</t>
  </si>
  <si>
    <t>http://ts.21cn.com/tousu/show/id/1373319</t>
  </si>
  <si>
    <t>2019/10/19 10:58:00</t>
  </si>
  <si>
    <t>鞋号42两只鞋大小不一样，买完穿了几次，后来一直放着有半年多。</t>
  </si>
  <si>
    <t>我来贷骚扰通讯录好友，高利贷款</t>
  </si>
  <si>
    <t>http://ts.21cn.com/tousu/show/id/1373317</t>
  </si>
  <si>
    <t>2019/10/19 10:57:42</t>
  </si>
  <si>
    <t>我来贷平台高利贷款、骚扰通讯录好友，本人在我来贷平台贷款四笔，其年利率都超过了国家红线规定的36%，基本都在年利率60%，违反国家法律规定，期间拨打我通讯录好友电话骚扰我的亲友，现要求我来贷公司，退还我已完成订单违反国家规定的利息，对未完成订单利息做以调整，其中我来贷合同中的居间服务费违反了国家规定，不得以保证金、服务费等变相形式突破国家利率法定红线，平台声称只在申请时收取60元审核费，再无其他费用。</t>
  </si>
  <si>
    <t>态度差，语言攻击</t>
  </si>
  <si>
    <t>http://ts.21cn.com/tousu/show/id/1373314</t>
  </si>
  <si>
    <t>2019/10/19 10:57:17</t>
  </si>
  <si>
    <t>逾期一天，打电话、不敢亮明身份工号、语言辱骂、暴力催收、恶言相向、如解决不满意、我保留诉讼的权利、钱伴这个问题如果无法解决、本人拒绝还款、一分都不会还、这是同一时间连续的电话记录、我还有录音、给我打电话的那个人、必须实名道歉、。</t>
  </si>
  <si>
    <t>小米金融甩锅，新网银行结清系统垃圾</t>
  </si>
  <si>
    <t>http://ts.21cn.com/tousu/show/id/1373315</t>
  </si>
  <si>
    <t>2019/10/19 10:57:06</t>
  </si>
  <si>
    <t>我在小米金融贷款，现在办理房贷要结清证明，本来就急，结果小米金融不管这个事，让我找新网银行，找新网银行就来了一句自己去公众号办理，结果这个公众号垃圾的要死，怎么都办理不了，已点结清证明就进不去，晚上登录早上都进不去，换了三个手机三个微信，弄了三四天都登录不进去，打电话给新网客服，态度比我还横，跟她投诉还不乐意，就是让我等，反馈问题打哈哈，打电话给小米金融，就是管不了，我在小米金融贷款，利息也给了，我也没逾期，结果现在跟我说甩锅，说没他们的事，找他们没用，出了问题就不负责，我找你贷的款，需要结清证明就不管了，</t>
  </si>
  <si>
    <t>购买黑卡借款不成功退费</t>
  </si>
  <si>
    <t>http://ts.21cn.com/tousu/show/id/1373313</t>
  </si>
  <si>
    <t>2019/10/19 10:56:45</t>
  </si>
  <si>
    <t>借钱需要买黑卡，说买了之后不行可以退钱，结果根本找不到退钱的口子，而且打客服电话从来也打不通。</t>
  </si>
  <si>
    <t>闪电借款恶意催收轰炸通讯录</t>
  </si>
  <si>
    <t>http://ts.21cn.com/tousu/show/id/1373312</t>
  </si>
  <si>
    <t>2019/10/19 10:56:17</t>
  </si>
  <si>
    <t>投诉人 蔡先生        投诉对象  闪电借款        涉诉金额  2 500 元    问题类型    诉求类型投诉详情  闪电借款拒绝协商 恶意催收 态度恶劣 骚扰通讯录 拒绝给我周转时间</t>
  </si>
  <si>
    <t>百世快递延误不赔偿</t>
  </si>
  <si>
    <t>http://ts.21cn.com/tousu/show/id/1373311</t>
  </si>
  <si>
    <t>2019/10/19 10:55:44</t>
  </si>
  <si>
    <t>投诉人 梁女士        投诉对象  百世快递        涉诉金额  98 元    问题类型    诉求类型投诉详情  百世快递发错地址 耽误了一周多 不赔偿 让我申请退款？我花钱买不开心？又让我把钱转给卖家 让我等 他们把东西再从新疆发回来 目前已经10天了 不赔偿损失</t>
  </si>
  <si>
    <t>霸王条款，不给退款</t>
  </si>
  <si>
    <t>http://ts.21cn.com/tousu/show/id/1373310</t>
  </si>
  <si>
    <t>2019/10/19 10:55:31</t>
  </si>
  <si>
    <t>买了不能预约想去的日期，强制消费，强制改日期，不给退款。</t>
  </si>
  <si>
    <t>现金巴士恐吓威胁。</t>
  </si>
  <si>
    <t>http://ts.21cn.com/tousu/show/id/1373308</t>
  </si>
  <si>
    <t>2019/10/19 10:55:11</t>
  </si>
  <si>
    <t>投诉人 王先生        投诉对象  现金巴士        涉诉金额  1 000 元    问题类型    诉求类型投诉详情  因自己债务全面爆发。最近无力偿还。导致逾期。刚才电话催收说打联系人爆通讯录。威胁。恐吓。有钱能不还么。还在这咄咄逼人。之前每次借款交的98元加速费都够本金了。现在要求协商还款。只要影响到我身边的朋友亲戚直接报警。绝不还款。</t>
  </si>
  <si>
    <t>兴业信用卡高额违约金</t>
  </si>
  <si>
    <t>http://ts.21cn.com/tousu/show/id/1373307</t>
  </si>
  <si>
    <t>2019/10/19 10:54:47</t>
  </si>
  <si>
    <t>兴业信用卡高额违约金，跟高利贷没什么区别，要求退回违约金。</t>
  </si>
  <si>
    <t>招联金融直接套路</t>
  </si>
  <si>
    <t>http://ts.21cn.com/tousu/show/id/1373306</t>
  </si>
  <si>
    <t>2019/10/19 10:53:52</t>
  </si>
  <si>
    <t>已经还了三期总共3000多，现在却提不出来。</t>
  </si>
  <si>
    <t>处理态度不好，解决问题不到位，敷衍客户</t>
  </si>
  <si>
    <t>http://ts.21cn.com/tousu/show/id/1373304</t>
  </si>
  <si>
    <t>2019/10/19 10:53:27</t>
  </si>
  <si>
    <t>事发当天通过手机充值支付宝充值通道连续充值4295，我联系拼多多客服，拼多多客服说是点不明链接代付购物，现在我有支付订单号，支付宝付款凭证，拼多多专员也只是打了个电话敷衍，推卸责任，我觉得这是拼多多平台管控不严，对商家审核不严格造成我的损失，我要求拼多多强制追回代付款4295！请平台为我做主！。</t>
  </si>
  <si>
    <t>360借条骚扰通讯录亲朋好友</t>
  </si>
  <si>
    <t>http://ts.21cn.com/tousu/show/id/1373305</t>
  </si>
  <si>
    <t>2019/10/19 10:53:20</t>
  </si>
  <si>
    <t>360借条无视国家条例，骚扰通讯录亲朋好友，因手机坏了送去维修，没有办法处理还款，逾期了几天，希望360借条公司停止骚扰，与我协商还款相关事宜。</t>
  </si>
  <si>
    <t>催收威胁上门</t>
  </si>
  <si>
    <t>http://ts.21cn.com/tousu/show/id/1373301</t>
  </si>
  <si>
    <t>2019/10/19 10:53:03</t>
  </si>
  <si>
    <t>今天早上收到京东金融雇佣深圳市融关资产管理有限公司发给我的通告函，威胁我在24小时内还清全部欠款，否则就到我户籍地上门，我现在实力不允许啊，老妈住院要做手术需要费用3万以上，加上其他费用5万以上，加上我要请假回家照顾误工，一时半会无力还款，希望京东金融方面理解我的苦衷，延长还款时间，不要打骚扰电话给家人，影响老妈在疗病效果。</t>
  </si>
  <si>
    <t>每日优鲜诱导我分享无用优惠券链接，拒不补偿</t>
  </si>
  <si>
    <t>http://ts.21cn.com/tousu/show/id/1373302</t>
  </si>
  <si>
    <t>2019/10/19 10:53:02</t>
  </si>
  <si>
    <t>每日优鲜的助力获得的优惠券今天被告知本地不能使用，之前可以使用我才正常发起，本人定位准确，既然不能使用为何让我发起分享，客服不同意给予补偿，故投诉希直接补40余额。</t>
  </si>
  <si>
    <t>提前还款利息不退</t>
  </si>
  <si>
    <t>http://ts.21cn.com/tousu/show/id/1373303</t>
  </si>
  <si>
    <t>该平台提前还款利息照收，名义利率12%，实际综合费率超过34%。</t>
  </si>
  <si>
    <t>微信支付冻结投诉</t>
  </si>
  <si>
    <t>http://ts.21cn.com/tousu/show/id/1373300</t>
  </si>
  <si>
    <t>2019/10/19 10:53:00</t>
  </si>
  <si>
    <t>微信支付无缘无故被冻结，资金来源每笔都可以提供资料证明，但是微信未给出任何入口让我提供证明，就这样一直不解冻，太霸道了吧，你说违规就违规吗，客服电话无人工，申诉也一直拒绝，只说无法解冻。</t>
  </si>
  <si>
    <t>你我贷威胁爆通讯录</t>
  </si>
  <si>
    <t>http://ts.21cn.com/tousu/show/id/1373299</t>
  </si>
  <si>
    <t>2019/10/19 10:52:14</t>
  </si>
  <si>
    <t>由于本人资金链断裂一时无法还款，你我贷就威胁爆通讯录骚扰亲朋好友，这是泄露我个人隐私的侵权行为，要求你我贷不要骚扰亲朋好友。</t>
  </si>
  <si>
    <t>民生银行威胁短信</t>
  </si>
  <si>
    <t>http://ts.21cn.com/tousu/show/id/1373298</t>
  </si>
  <si>
    <t>2019/10/19 10:51:53</t>
  </si>
  <si>
    <t>投诉人 陈先生        投诉对象  民生银行        涉诉金额  16 000 元    问题类型    诉求类型投诉详情  民生银行给我办理分期 每个月负数扣款 给卡主通讯录群发短信催收 污蔑 诽谤 恐吓 严重违法 国家规定 。我没失联 只是协商还款</t>
  </si>
  <si>
    <t>分期乐暴力催收</t>
  </si>
  <si>
    <t>http://ts.21cn.com/tousu/show/id/1373297</t>
  </si>
  <si>
    <t>2019/10/19 10:51:41</t>
  </si>
  <si>
    <t>投诉人 孙先生        投诉对象  分期乐        涉诉金额  746 元    问题类型    诉求类型投诉详情  骚扰家人 暴力催收 不是分期乐官方给打的电话 而是暴力催收公司 如果不处理 只能报警</t>
  </si>
  <si>
    <t>白天分期诱导我购买会员</t>
  </si>
  <si>
    <t>http://ts.21cn.com/tousu/show/id/1373295</t>
  </si>
  <si>
    <t>2019/10/19 10:50:45</t>
  </si>
  <si>
    <t>在白条分期的不明确诱导下开通了会员，缴纳了199会员费，退款要求有俩个1.按要求申请了5个APP都没有通过，并上传了截图2.期间没有使用会员服务。</t>
  </si>
  <si>
    <t>大量用户无法退还立刻出行499元押金</t>
  </si>
  <si>
    <t>http://ts.21cn.com/tousu/show/id/1373294</t>
  </si>
  <si>
    <t>2019/10/19 10:50:34</t>
  </si>
  <si>
    <t>今年八月份开始申请退保证金至今已经过去两个月了，保证金还没退还。</t>
  </si>
  <si>
    <t>平安银行法务部人员语言侮辱</t>
  </si>
  <si>
    <t>http://ts.21cn.com/tousu/show/id/1373293</t>
  </si>
  <si>
    <t>2019/10/19 10:50:09</t>
  </si>
  <si>
    <t>平安银行法务部人员，自称姓周，本来我打电话过去就是想协商解决的，接了电话，但是其语气有明显的侮辱行为，后有语言表达对我侮辱，并且威胁我，要对其工作朋友等人打电话，这种没有法律意识的人是怎么进平安银行法务部的，另外，鉴于贵行法务部人员不是第一次如此态度，之前已经对我的工作、家庭、精神等方面造成了及其严重的后果，我郑重的要求贵行进行赔偿，催收很正常，但是催收人员要具有一定的法律资质，还有逾期可以走法律途径，经此一事，协商解决还是法律解决，我都随时恭候贵行。</t>
  </si>
  <si>
    <t>钱站阴阳合同</t>
  </si>
  <si>
    <t>http://ts.21cn.com/tousu/show/id/1373291</t>
  </si>
  <si>
    <t>2019/10/19 10:49:40</t>
  </si>
  <si>
    <t>本人在钱站借款1000元，分三个月还，借款前看不到合同，借款后发现，借1000，分三期，一期要还500，然而借款合同上面竟然写着我借款金额是1400元，最后一期因无力偿还，逾期一天，结果一天的逾期费用高达100元，这是严重违法了吧，我现在不要求别的，只希望钱站能归还合同上面不存在的400元和100元的逾期费用！不然我会一直投诉，甚至会考虑司法程序！。</t>
  </si>
  <si>
    <t>平安普惠暴力催收</t>
  </si>
  <si>
    <t>http://ts.21cn.com/tousu/show/id/1373290</t>
  </si>
  <si>
    <t>2019/10/19 10:49:33</t>
  </si>
  <si>
    <t>2015年帮某位朋友忙，本人不在现场的时候做了贷款5000元，收取中间费后到手3750元，分期35期，每次还款155元，还清后更换手机号，过去了很多年这个朋友已经断联系，2019年9月末在公司接到电话说平安普惠欠款没还清，本人手机回电后说之前还的5000多元都是利息，需一次性还清全部5000元，问电话通知的人，说之前说还5000元白还了，说都是利息，我说我现在因为个人原因没钱，且他怎么证明是平安普惠，让我登录APP，还说要起诉我，事情过去一年，为什么现在才告知没还清贷款，本人手机号更换无法登录APP，且客服</t>
  </si>
  <si>
    <t>平安普惠恶意催收，爆通讯录</t>
  </si>
  <si>
    <t>http://ts.21cn.com/tousu/show/id/1373288</t>
  </si>
  <si>
    <t>2019/10/19 10:49:26</t>
  </si>
  <si>
    <t>投诉人吴先生投诉对象平安普惠涉诉金额2700元问题类型诉求类型投诉详情一个小时内用不同的手机打了39通电话骚扰我和家人，严重影响生活，爆通讯录，恶意催收。</t>
  </si>
  <si>
    <t>申请还本金，高利</t>
  </si>
  <si>
    <t>http://ts.21cn.com/tousu/show/id/1373289</t>
  </si>
  <si>
    <t>2019/10/19 10:49:19</t>
  </si>
  <si>
    <t>投诉人杜先生投诉对象蓝莓金服涉诉金额2700元问题类型诉求类型投诉详情第一期的利息给了，要求还本金，2700让我还3600，还款了1200了，。</t>
  </si>
  <si>
    <t>特约中智消费无故刷走408.76元</t>
  </si>
  <si>
    <t>http://ts.21cn.com/tousu/show/id/1373287</t>
  </si>
  <si>
    <t>2019/10/19 10:48:07</t>
  </si>
  <si>
    <t>中智涉诉金额408元问题类型诉求类型投诉详情2019年9月19日晨8:07被刷走408.76元，我打开中国银行app查看转走明细显示pos机消费，消费的商户账户名称为特约中智消费，我当前没有任何贷款，怎么会被消费了呢，况且和我银行账户签约的商家并没有特约中智，我要求投诉并返款我全款并作出道歉！。</t>
  </si>
  <si>
    <t>捷信不分时间段无规律多次打电话推销业务构成骚扰</t>
  </si>
  <si>
    <t>http://ts.21cn.com/tousu/show/id/1373286</t>
  </si>
  <si>
    <t>2019/10/19 10:47:32</t>
  </si>
  <si>
    <t>投诉人方先生投诉对象捷信金融涉诉金额0元问题类型诉求类型投诉详情以前在捷信办过一个分期，并已经提前还款，之后到现在2年时间隔几天就有几个电话打来，主要是湖南和天津的区号，推销现金贷，我没欠你们的钱，以前合作的时候都按时还款了，我信用好不是你们每天电话骚扰我的理由，你们做的产品我也没有任何兴趣，只要求你们那边删除我的个人信息，不要再打电话来骚扰我了，谢谢同时，我也不希望你们后续有什么人来跟我确认，我以后永远不会再使用你们公司的任何业务以下是部分电话，有些电话已经删除了。</t>
  </si>
  <si>
    <t>投诉豹子贷，在我们不知情的情况下就扣了我们卡里面的钱299元，说是查询征信报告的钱，这个也太不靠谱了嘛</t>
  </si>
  <si>
    <t>http://ts.21cn.com/tousu/show/id/1373285</t>
  </si>
  <si>
    <t>2019/10/19 10:47:15</t>
  </si>
  <si>
    <t>投诉人黄女士投诉对象豹子贷涉诉金额299元问题类型诉求类型投诉详情之前申请的豹子贷，说是要先交299元的查询征信报告的钱，填完消息之后，直接就从我们卡里面扣了250，之后又扣了49元，这个根本就不符合规定嘛，希望你们能把钱退给我。</t>
  </si>
  <si>
    <t>小米金融暴力催收单方面取消合同分期</t>
  </si>
  <si>
    <t>http://ts.21cn.com/tousu/show/id/1373284</t>
  </si>
  <si>
    <t>2019/10/19 10:46:29</t>
  </si>
  <si>
    <t>投诉人李先生投诉对象小米金融涉诉金额5811元问题类型诉求类型投诉详情因本人生病住院等个人原因不能按时还款，导致小米金融单方面解决我分期合同，同时伴随的还有每天暴力催收的轰炸和恐吓，多次协商无效，本人多次协商到30号月底先偿还原本还款计划里到期该还的金额和利息然后之后的分期还是按照之前合同每个月分期还款而不是像这样直接逼着我直接5800直接还清每天还有5块多的逾期费！个人是真呢还不上生病了现在都没有手术费，同时停止暴力催收轰炸，不要再骚扰恐吓我的家人同事朋友！。</t>
  </si>
  <si>
    <t>兴业银行暴力催收，威胁我</t>
  </si>
  <si>
    <t>http://ts.21cn.com/tousu/show/id/1373283</t>
  </si>
  <si>
    <t>2019/10/19 10:46:28</t>
  </si>
  <si>
    <t>投诉人周女士投诉对象兴业银行信用卡涉诉金额9000元问题类型诉求类型投诉详情之前由于家中出事，所以导致信用卡逾期，但是一直以来也有还款进去，今天早上兴业银行催收人员打电话过来就威胁我说两点之前不还进去就起诉我什么的，人都是有困难的时候，我现在没有工作在家带孩子，只能等我老公的工资，我老公在工地，月初才能发工资，我也表明了我的还款日期，但是催收依然不依不饶，态度恶劣，我现在的生活严重出现了问题，如果银行不近人情，不给我时间，我真的活下去的希望都没有了，家里出事已经让我失去了活下去的勇气，要不是想还清这些欠款，</t>
  </si>
  <si>
    <t>小花钱包频繁换人，暴力催收，不给协商，客服投诉无效</t>
  </si>
  <si>
    <t>http://ts.21cn.com/tousu/show/id/1373281</t>
  </si>
  <si>
    <t>2019/10/19 10:46:17</t>
  </si>
  <si>
    <t>投诉人周先生投诉对象小花钱包涉诉金额7000元问题类型诉求类型投诉详情小花钱包协商无效，每天换人催收，一点都不给协商余地，客服协商了，到了催收那边态度恶劣，根本不把客服的转告当回事，请问你们的客服就是这样约束你们催收的吗。</t>
  </si>
  <si>
    <t>有关凡普信恶意侵权信息骚扰</t>
  </si>
  <si>
    <t>http://ts.21cn.com/tousu/show/id/1373280</t>
  </si>
  <si>
    <t>2019/10/19 10:46:13</t>
  </si>
  <si>
    <t>恶意暴力骚扰客户和客户亲朋好友同事等，一天使用我们的手机号获取验证码，每人各发几百条信息，为此强烈抗议并投诉号称凡普工作人员，此人拒绝报出姓名，手机号为171******33,被骚扰人不排除报警和走法律程序。</t>
  </si>
  <si>
    <t>上海点佰趣公司无故冻结账号分润无法提现</t>
  </si>
  <si>
    <t>http://ts.21cn.com/tousu/show/id/1373282</t>
  </si>
  <si>
    <t>2019/10/19 10:46:12</t>
  </si>
  <si>
    <t>投诉人王先生投诉对象开店宝支付涉诉金额2221元问题类型诉求类型投诉详情无故被冻结账号，分润无法提现，多次打电话联系客服均推脱，让本人联系上级，但本人与上级联系并未给与任何回复或者有效的解决方案，上一个投诉贴，点佰趣公司方面说与本人多次联系，但本人并未收到任何点佰趣官方或个人来电协商，希望平台能公平处理。</t>
  </si>
  <si>
    <t>畅金服务高利贷，套路贷</t>
  </si>
  <si>
    <t>http://ts.21cn.com/tousu/show/id/1373279</t>
  </si>
  <si>
    <t>2019/10/19 10:45:37</t>
  </si>
  <si>
    <t>投诉人方方召华投诉对象畅金服务涉诉金额4969元问题类型诉求类型投诉详情2019年10月13日在该平台借款，3300元，实力到账1980，18日要还款3300元，跟他们客服协商2500元不愿意，非得要还3000，因此逾期一天，多了1600多的逾期费，现在需要还4969。</t>
  </si>
  <si>
    <t>http://ts.21cn.com/tousu/show/id/1373278</t>
  </si>
  <si>
    <t>2019/10/19 10:45:28</t>
  </si>
  <si>
    <t>投诉人南先生投诉对象钱橙无忧涉诉金额477元问题类型诉求类型投诉详情钱澄无忧未经本人同意私自划扣银行卡的钱，付款环节也没有密码支付，也未享受到任何服务，借款平台，没有贷款业务只有乱扣费，虚假宣传套路贷，要求退还所扣费用。</t>
  </si>
  <si>
    <t>美团总部领导威胁说上市公司要去当地报案，有牢狱之灾，还要请律师</t>
  </si>
  <si>
    <t>http://ts.21cn.com/tousu/show/id/1373277</t>
  </si>
  <si>
    <t>2019/10/19 10:45:17</t>
  </si>
  <si>
    <t>是自己现在没有这么多钱，连最低都还不上了，之前是做了点生意，导致现在资金链断了，现在美团总部一直打电话，说要去当地报案，获取自己的通讯录，如果还不上，就带着司法人员上门取证调查，还不上就要起诉报案，说获取联系人15天之内保释，保释金大约再八千左右，美团是上市公司，上门取证合规，一直在恐吓，现在吓的精神都恍惚，要是有钱还上，我一直也不想拖着，都有录音，就一直说自己借钱要想办法还上，谁不想还上，现在确实困难。</t>
  </si>
  <si>
    <t>友信有合同金额，高利息</t>
  </si>
  <si>
    <t>http://ts.21cn.com/tousu/show/id/1373275</t>
  </si>
  <si>
    <t>2019/10/19 10:44:40</t>
  </si>
  <si>
    <t>投诉人喻洋先生投诉对象友信,上海瀚之友信息技术服务有限公司涉诉金额40000元问题类型诉求类型投诉详情实际借款金额40000元，合同金额59000元，利息1908元每月，36期。</t>
  </si>
  <si>
    <t>想你分期退我多余费用</t>
  </si>
  <si>
    <t>http://ts.21cn.com/tousu/show/id/1373274</t>
  </si>
  <si>
    <t>2019/10/19 10:41:30</t>
  </si>
  <si>
    <t>江西省想你平台科技有限公司涉诉金额4516元问题类型诉求类型投诉详情本人2019年8月23日通过短信点击链接下载了想你分期这个平台，由于当时资金困难，所以申请了第一笔砍头息30%的想你分期平台，到时到账了1300元，6天还2007元，实际上只有五天，到期我还了2007元，利息高达1575元，现在我这边只想能够退回我一部份利息钱。</t>
  </si>
  <si>
    <t>今日头条放心购不给商家退保证金</t>
  </si>
  <si>
    <t>http://ts.21cn.com/tousu/show/id/1373273</t>
  </si>
  <si>
    <t>2019/10/19 10:40:43</t>
  </si>
  <si>
    <t>投诉人刘先生投诉对象今日头条涉诉金额10000元问题类型诉求类型投诉详情不给退还入驻保证金，无限期拖延，关键是，没有任何的问题也不给退。</t>
  </si>
  <si>
    <t>http://ts.21cn.com/tousu/show/id/1373271</t>
  </si>
  <si>
    <t>2019/10/19 10:40:19</t>
  </si>
  <si>
    <t>投诉人魏女士投诉对象玖富万卡涉诉金额28600元问题类型诉求类型投诉详情借款想提前还款、高额的利息没有办法承受，希望投诉有关部门出来替我们说句公道话。</t>
  </si>
  <si>
    <t>淘集集商家乱发货平台不理事</t>
  </si>
  <si>
    <t>http://ts.21cn.com/tousu/show/id/1373272</t>
  </si>
  <si>
    <t>2019/10/19 10:40:10</t>
  </si>
  <si>
    <t>投诉人梁女士投诉对象淘集集涉诉金额28元问题类型诉求类型投诉详情在视频推广看到淘集集，这次在这边购物后商家把东西发到其他地方了联系不上，要求退货要把货物发回去，收货地址江西南昌，发到了浙江宁波，怎么退，联系平台客服很久不回复，回复也不告知怎么解决，用户总不能一直抱着手机等，谁知道什么时候会回复呢，结果客服一上来三五分钟没有回就结束会话了，再次联系又是很久不回，商家的错误为什么要让用户买单，平台为什么不做好监管工作，淘集集必须给我一个合理的解释并处理好问题。</t>
  </si>
  <si>
    <t>闪银恶意催收</t>
  </si>
  <si>
    <t>http://ts.21cn.com/tousu/show/id/1373270</t>
  </si>
  <si>
    <t>2019/10/19 10:39:12</t>
  </si>
  <si>
    <t>投诉人梁先生投诉对象Wecash闪银涉诉金额1100元问题类型诉求类型投诉详情闪银高额砍头息，持续骚扰电话严重影响个人工资生活。</t>
  </si>
  <si>
    <t>借三千，还款四千，一个月后居然还要多还三千多</t>
  </si>
  <si>
    <t>http://ts.21cn.com/tousu/show/id/1373268</t>
  </si>
  <si>
    <t>2019/10/19 10:38:53</t>
  </si>
  <si>
    <t>投诉人金先生投诉对象分期贷,神马借涉诉金额5200元问题类型诉求类型投诉详情本人在9.1号通过分期贷平台申请神马借借款三千元，分四期，每期八天，一共需要还款4096！本人主动还款两期，到第三期，经朋友教育，认为这个利率超过国家规定，所以想主动联系出借方，协商还清剩余金额！但没有分期贷和神马借的客服电话，所以就没有还第三期借款，想让对方主动来联系本人，但对方一开始只有短信通知，并且短信上也没有联系方式！并且在两三天以后短信也不来了！所以这事就一直搁浅了！昨天有自称神马借催收人员来联系本人！并且还款金额变成了四</t>
  </si>
  <si>
    <t>服务态度恶略</t>
  </si>
  <si>
    <t>http://ts.21cn.com/tousu/show/id/1373267</t>
  </si>
  <si>
    <t>2019/10/19 10:38:22</t>
  </si>
  <si>
    <t>投诉人石先生投诉对象钱伴涉诉金额8000元问题类型诉求类型投诉详情客服态度服务态度差，恐吓，威胁，协商不同意。</t>
  </si>
  <si>
    <t>360停止爆通讯录</t>
  </si>
  <si>
    <t>http://ts.21cn.com/tousu/show/id/1373266</t>
  </si>
  <si>
    <t>2019/10/19 10:38:05</t>
  </si>
  <si>
    <t>贵公司于昨天下午5:38给我通话，期间我问到贵公司有没有爆我的通讯录，贵公司一口否认，只承认联系我户籍所在地的村委协助还款，可我的亲友已经被联系到，贵公司还矢口否认，说只是我的村委再联系我的亲友协助还款！这种前言不搭后语，是不是打自己脸，我从没否认过我欠款的事实，我会积极努力的赚钱偿还，希望贵公司停止对我通讯录亲朋好友的骚扰，如真因为这些原因导致我家庭不和，工作丢失，请问我拿什么偿还贵公司的欠款。</t>
  </si>
  <si>
    <t>延期还款</t>
  </si>
  <si>
    <t>http://ts.21cn.com/tousu/show/id/1373264</t>
  </si>
  <si>
    <t>2019/10/19 10:38:00</t>
  </si>
  <si>
    <t>投诉人李女士投诉对象现金巴土涉诉金额828元问题类型诉求类型投诉详情我13号联系现金巴士的客服跟它说我现在由于资金困难，还没有发工资，麻烦帮我延期到25号，只可以延期到19号，如果我到时候还不了款，再帮我预约到25号，我今天联系客服她们直接说不可以，那之前说的话是欺骗我妈。</t>
  </si>
  <si>
    <t>白条分期虚假宣传</t>
  </si>
  <si>
    <t>http://ts.21cn.com/tousu/show/id/1373263</t>
  </si>
  <si>
    <t>2019/10/19 10:37:48</t>
  </si>
  <si>
    <t>投诉人佘先生投诉对象白条分期涉诉金额299元问题类型诉求类型投诉详情白条分期上宣传办理会员vip后就可申请贷款，我办理后并无贷款可申请，虚假宣传，退还vip费用流程上设置障碍，阻碍我进行退款操作。</t>
  </si>
  <si>
    <t>恶意催收，联系紧急人</t>
  </si>
  <si>
    <t>http://ts.21cn.com/tousu/show/id/1373262</t>
  </si>
  <si>
    <t>2019/10/19 10:37:44</t>
  </si>
  <si>
    <t>本人由于资金紧缺，于2019年4月17日在你我贷借款10000元分12期偿还，其中前两个月分别还2382.88，后10期每期还882.88，按国家相关政策，我每月都在分期还，本金和利息都在相应减少，总利息却达到3594.56元，这应属于高利贷，是典型的违反国家法律的规定放贷，应坚决打击；其次，本人前几期都按金额偿还，昨日由于钱没有到帐，今早上便收到该公司恶意催收，本人明确表明会于今日下午6点前分文不少还上，但对方直接问我现在能不能处理，我回答不能，但下午6点前肯定会处理，在本人明确表明还款时间并无不接电话的</t>
  </si>
  <si>
    <t>闪银哼哼套路贷</t>
  </si>
  <si>
    <t>http://ts.21cn.com/tousu/show/id/1373260</t>
  </si>
  <si>
    <t>2019/10/19 10:37:39</t>
  </si>
  <si>
    <t>投诉人莫先生投诉对象Wecash闪银涉诉金额1000元问题类型诉求类型投诉详情之前在哼哼上借了一千块，然后莫名其妙的多了个担保金，当时和客服沟通的时候说了，我不想借了，客服说不行，我当时在外地出差，如果不给就是怕他们把这笔费用上征信坐不了高铁，然后就交了169担保金，过后联系他们退款一直联系不上，现在账单到期了，一直催我还款，我都说了，169块钱退给我，我就还，还一直打电话过来，然后169那笔订单也被他们删除了，也找不到记录。</t>
  </si>
  <si>
    <t>新浪分期高利贷，提前还款利息一样全扣</t>
  </si>
  <si>
    <t>http://ts.21cn.com/tousu/show/id/1373261</t>
  </si>
  <si>
    <t>2019/10/19 10:37:34</t>
  </si>
  <si>
    <t>投诉人田先生投诉对象新浪分期涉诉金额8900元问题类型诉求类型投诉详情新浪分期借款8900，服务费高达3200多，且无法一次性还清，必须一期一期点击还款，而且利息全付，我就想问一下，这种高利贷平台应该去哪里投诉举报，实名制也可以。</t>
  </si>
  <si>
    <t>人人花偷扣银行卡钱</t>
  </si>
  <si>
    <t>http://ts.21cn.com/tousu/show/id/1373259</t>
  </si>
  <si>
    <t>2019/10/19 10:36:24</t>
  </si>
  <si>
    <t>大哥你这波操作小弟我是佩服得五体投地！全网第一先例，你真敢想，也真敢做，你用只脚想想，不退款你跑得了，手机收到一条借款的信息，在APP上面注册了，当时卡里没有钱，第3天半夜被偷偷扣了200！这个偷扣钱还是随机性的，说白了就是我想怎么扣就怎么扣，有的扣90，有的扣198，多数是被扣288！很多人等着这300救命的被你偷偷的扣了，单在这投数涉及的金额数目也是较大的，全部受害者相加应是特别巨大的了。</t>
  </si>
  <si>
    <t>拍拍贷不肯协商，还发恐吓信。</t>
  </si>
  <si>
    <t>http://ts.21cn.com/tousu/show/id/1373256</t>
  </si>
  <si>
    <t>2019/10/19 10:34:51</t>
  </si>
  <si>
    <t>投诉人陈女士投诉对象拍拍贷涉诉金额2000元问题类型诉求类型投诉详情之前有个私人电话打过来叫我还款，已经与他协商，对方不肯，屡次骚扰，然后现在又发短信说要协商，还要寄律师函，早协商就不肯，现在频频骚扰！。</t>
  </si>
  <si>
    <t>名校贷暴力催收，不予受理</t>
  </si>
  <si>
    <t>http://ts.21cn.com/tousu/show/id/1373253</t>
  </si>
  <si>
    <t>2019/10/19 10:34:28</t>
  </si>
  <si>
    <t>投诉人石先生投诉对象名校贷涉诉金额30000元问题类型诉求类型投诉详情暴力催收，骚扰家人，高额利息，收取高额服务费用，不正当手段损害个人利益。</t>
  </si>
  <si>
    <t>嗨钱网还款了不入账一直显示逾期</t>
  </si>
  <si>
    <t>http://ts.21cn.com/tousu/show/id/1373254</t>
  </si>
  <si>
    <t>2019/10/19 10:34:24</t>
  </si>
  <si>
    <t>投诉人徐先生投诉对象嗨钱网涉诉金额8000元问题类型诉求类型投诉详情本人在嗨钱网的借款已经全部还清一直显示逾期状态，不处理。</t>
  </si>
  <si>
    <t>高利贷。群爆通许录。骂人</t>
  </si>
  <si>
    <t>http://ts.21cn.com/tousu/show/id/1373252</t>
  </si>
  <si>
    <t>投诉人罗先生投诉对象你我贷涉诉金额6000元问题类型诉求类型投诉详情你我贷暴力催收。</t>
  </si>
  <si>
    <t>解除合约别再恐吓我了让我生活归于以前的安静</t>
  </si>
  <si>
    <t>http://ts.21cn.com/tousu/show/id/1373249</t>
  </si>
  <si>
    <t>2019/10/19 10:32:22</t>
  </si>
  <si>
    <t>投诉人沙女士投诉对象升学教育涉诉金额5902元问题类型诉求类型投诉详情我是在6月的27号在升学教育报名是付一元可以分期付款的我没有上过他们的一堂课，报完名第二天我就打电话说要退费他说联系班主任由于我是一个人带孩子有点忙当时没有及时联系上我也找不到班主任的号第三天我就给班主任打电话同时在微信上和升学教育APP上说我要退学他就各种推迟就不接我电话微信上也不理我给升学教育机构打电话各种借口不给退这四个月里不接电话或恐吓我说报案没用没有人能管的了是你自己签的合同每天都会有有钱花打电话来说还钱或恐吓还给我亲朋好友都打</t>
  </si>
  <si>
    <t>高额回报诱导充值不给提现</t>
  </si>
  <si>
    <t>http://ts.21cn.com/tousu/show/id/1373248</t>
  </si>
  <si>
    <t>2019/10/19 10:31:24</t>
  </si>
  <si>
    <t>投诉人管文晖投诉对象中国银联,广州星基信息科技有限公司涉诉金额4000元问题类型诉求类型投诉详情诱导充值，钱提现不了，为什么云闪付给这些黑平台提供充值渠道，就因为信任云闪付才去充值没想到得到这种回报。</t>
  </si>
  <si>
    <t>没有借款打电话叫我还款</t>
  </si>
  <si>
    <t>http://ts.21cn.com/tousu/show/id/1373247</t>
  </si>
  <si>
    <t>2019/10/19 10:31:13</t>
  </si>
  <si>
    <t>投诉人吴女士投诉对象好享花涉诉金额29000元问题类型诉求类型投诉详情本人从来没有听说过什么好享花平台！更没有借过款！有人莫名其妙打电话过来说我借了款！还恐吓我。</t>
  </si>
  <si>
    <t>接乘客导致的违停罚款200扣3分滴滴不给报销</t>
  </si>
  <si>
    <t>http://ts.21cn.com/tousu/show/id/1373246</t>
  </si>
  <si>
    <t>2019/10/19 10:30:47</t>
  </si>
  <si>
    <t>2019年9月30号09点28分我接到滴滴派给我的订单，我去全季酒店接人，乘客在酒店门口等我了，我来到乘客就招手上车了，但是此路段全是黄线！于是秒拍了一个违反禁止标线标令的扣3分罚款200滴滴给我的回复是我没有在规定地点上车，我在酒店门口上车位置不对吗，而且我违章的图片把乘客的样子都拍的清清处处的。</t>
  </si>
  <si>
    <t>钱站恶意催收，阴阳合同，发送辱骂短信</t>
  </si>
  <si>
    <t>http://ts.21cn.com/tousu/show/id/1373244</t>
  </si>
  <si>
    <t>2019/10/19 10:30:44</t>
  </si>
  <si>
    <t>本人于2019年8月在钱站app上借款8000多元，但是后来发现借款合同上写的借款金额是9000多，想知道那1千多的钱去哪了，还有合同下边写的这个保险，那个保证金的，这全是砍头息吗，我一直正常还款，最近一个月因为资金周转不开，导致逾期三天，每天的违约金就是100块钱，并且钱站开始暴力催收，昨天下午5点多一直到半夜就在不停的给我家人特别是我奶奶一直在打骚扰电话，还说让我奶奶还8万块钱他才收手，我就想知道315之后暴力催收不是已经明令禁止了吗，为什么还有这个毒瘤没有清除，就为了自己能多拿点提成，连最基本的做人的</t>
  </si>
  <si>
    <t>马上消费金融恶意轰炸</t>
  </si>
  <si>
    <t>http://ts.21cn.com/tousu/show/id/1373245</t>
  </si>
  <si>
    <t>2019/10/19 10:30:26</t>
  </si>
  <si>
    <t>马上消费金融恶意骚扰恐吓威胁骚扰通讯录好友，对通讯录好友恐吓威胁。</t>
  </si>
  <si>
    <t>新浪有借联合玖富收取高额服务费暴力催收威胁恐吓本人不给协商处理</t>
  </si>
  <si>
    <t>http://ts.21cn.com/tousu/show/id/1373241</t>
  </si>
  <si>
    <t>2019/10/19 10:29:38</t>
  </si>
  <si>
    <t>投诉人陈女士投诉对象玖富,新浪有借涉诉金额12000元问题类型诉求类型投诉详情新浪有借联合玖富收取高额服务费，本人已支付不起，玖富不肯协商处理，电话骚扰短信骚扰。</t>
  </si>
  <si>
    <t>协融借（原手机借钱）放714高利贷</t>
  </si>
  <si>
    <t>http://ts.21cn.com/tousu/show/id/1373240</t>
  </si>
  <si>
    <t>2019/10/19 10:29:23</t>
  </si>
  <si>
    <t>投诉人余先生投诉对象手机借钱涉诉金额6000元问题类型诉求类型投诉详情本人借款6000元，对方私下更改，两个月时间要9592元，多次要求对方按照国家法律利率下结清欠款，修改APP还款金额，一次结清，对方不理，造成逾期！对方要求私下转账！恶意打电话骚扰、恐吓家人、朋友！。</t>
  </si>
  <si>
    <t>汽车理赔一直不解决已经一年了</t>
  </si>
  <si>
    <t>http://ts.21cn.com/tousu/show/id/1373239</t>
  </si>
  <si>
    <t>2019/10/19 10:29:22</t>
  </si>
  <si>
    <t>投诉人夏先生投诉对象联动云租车涉诉金额999元问题类型诉求类型投诉详情2018年10.19使用联动云公司车辆，车后挡玻璃被人为恶意损坏，当时给该公司说明情况，说我买了保险1500以下破损不用理赔，说两个工作日处理，现在都已经一年了，每次打电话处理都说尽快处理，每次人工客服都以各种理由搪塞，事情一直没有一个解决，只希望该公司能尽快处理。</t>
  </si>
  <si>
    <t>腾安基金销售（深圳）无故扣费</t>
  </si>
  <si>
    <t>http://ts.21cn.com/tousu/show/id/1373242</t>
  </si>
  <si>
    <t>2019/10/19 10:29:19</t>
  </si>
  <si>
    <t>投诉人谭先生投诉对象腾安基金涉诉金额4200元问题类型诉求类型投诉详情腾安基金销售有限公司，在我银行卡无故扣费4200元，本人并没有开通理财财付通等产品，身份证，电话号码，银行卡也一直在我身上。</t>
  </si>
  <si>
    <t>http://ts.21cn.com/tousu/show/id/1373238</t>
  </si>
  <si>
    <t>2019/10/19 10:28:56</t>
  </si>
  <si>
    <t>投诉人施先生投诉对象升学教育涉诉金额7485元问题类型诉求类型投诉详情协议说明，24h内可解除协议，升学教育老师不接受，拒不退款。</t>
  </si>
  <si>
    <t>点点暴力催收</t>
  </si>
  <si>
    <t>http://ts.21cn.com/tousu/show/id/1373237</t>
  </si>
  <si>
    <t>2019/10/19 10:28:54</t>
  </si>
  <si>
    <t>恐吓，威胁，严重影响个人的生活，希望平台解决。</t>
  </si>
  <si>
    <t>嗨学网诱导消费者签订霸王条款，不退费</t>
  </si>
  <si>
    <t>http://ts.21cn.com/tousu/show/id/1373235</t>
  </si>
  <si>
    <t>2019/10/19 10:28:41</t>
  </si>
  <si>
    <t>嗨学客服虚假宣传，误导本人消费，员工之间的说法不一，与所签订协议的内容也不一，后期拒绝退款！。</t>
  </si>
  <si>
    <t>我被人报案说欠什么请你贷的钱，突然短信和电话，我一脸懵逼</t>
  </si>
  <si>
    <t>http://ts.21cn.com/tousu/show/id/1373234</t>
  </si>
  <si>
    <t>2019/10/19 10:28:24</t>
  </si>
  <si>
    <t>投诉人罗先生投诉对象请你贷涉诉金额0元问题类型诉求类型投诉详情昨天突然收到一条短信说是什么请你贷，我根本没在什么请你贷借过钱，然后说是叫我去当地公安局查看，我根本不知道什么情况，说什么我欠了1500多的钱，他们已经报案，我根本什么不知道，打电话过去问她们态度也不好说是什么律师事务所的，我请严查这些人！。</t>
  </si>
  <si>
    <t>乱扣款</t>
  </si>
  <si>
    <t>http://ts.21cn.com/tousu/show/id/1373233</t>
  </si>
  <si>
    <t>2019/10/19 10:27:58</t>
  </si>
  <si>
    <t>投诉人习女士投诉对象深圳光华普惠有限公司涉诉金额722元问题类型诉求类型投诉详情早上发现卡无缘无故扣款。</t>
  </si>
  <si>
    <t>餐品撒漏，商家不退款</t>
  </si>
  <si>
    <t>http://ts.21cn.com/tousu/show/id/1373232</t>
  </si>
  <si>
    <t>2019/10/19 10:27:43</t>
  </si>
  <si>
    <t>在饿了吗点了份外卖，然后发现洒漏的问题，我觉得原因应该是纸杯那里都是漏的，所以导致整份外卖无法使用，都是撒漏的，但是商家还拒绝了我的退款这边申请退款，因为他这边撒漏了，这边影响我的食用严重，无法食用，申请退款投诉。</t>
  </si>
  <si>
    <t>招联金融暴力催收</t>
  </si>
  <si>
    <t>http://ts.21cn.com/tousu/show/id/1373231</t>
  </si>
  <si>
    <t>2019/10/19 10:26:22</t>
  </si>
  <si>
    <t>投诉人刘先生投诉对象招联金融涉诉金额20000元问题类型诉求类型投诉详情招联金融暴力催收，群发本人微信好友，语言信息带有侮辱谩骂恐吓字眼，希望招联停止暴力催收。</t>
  </si>
  <si>
    <t>没有收到货，京东商城不退款</t>
  </si>
  <si>
    <t>http://ts.21cn.com/tousu/show/id/1373230</t>
  </si>
  <si>
    <t>2019/10/19 10:26:10</t>
  </si>
  <si>
    <t>投诉人袁桃投诉对象京东商城涉诉金额30元问题类型诉求类型投诉详情京东快递不派件，申请退款到现在没有收到钱，京东员工客服太狡猾。</t>
  </si>
  <si>
    <t>招商银行信用卡收取高额利息和违约金</t>
  </si>
  <si>
    <t>http://ts.21cn.com/tousu/show/id/1373229</t>
  </si>
  <si>
    <t>2019/10/19 10:26:02</t>
  </si>
  <si>
    <t>从2017年到2019年三月份为止，信用卡额度6万，中间有还款，总共收取我利息和违约金2.5万。</t>
  </si>
  <si>
    <t>滴滴出行诬陷我线下交易</t>
  </si>
  <si>
    <t>http://ts.21cn.com/tousu/show/id/1373228</t>
  </si>
  <si>
    <t>2019/10/19 10:25:40</t>
  </si>
  <si>
    <t>情况是这样的，当时我接到订单后去医院接人，到达约定地点后发现乘客是我弟弟，名叫王作山，电话189******54，怎么能收钱呢，又考虑到平台得抽取提成，我划了个起步价后就把我弟弟送到了家，最后被平台判定线下交易，我车内有滴滴公司给安装的吉视行车记录仪，车内的视频和录音都能从滴滴平台调取，希望滴滴平台还我一个公正。</t>
  </si>
  <si>
    <t>小象优品再次威胁爆通讯录，骚扰联系人</t>
  </si>
  <si>
    <t>http://ts.21cn.com/tousu/show/id/1373227</t>
  </si>
  <si>
    <t>2019/10/19 10:24:48</t>
  </si>
  <si>
    <t>由于之前小象优品并没有处理好催收暴力恐吓问题，现在新一期账单到期。</t>
  </si>
  <si>
    <t>快来花威胁辱骂</t>
  </si>
  <si>
    <t>http://ts.21cn.com/tousu/show/id/1373226</t>
  </si>
  <si>
    <t>2019/10/19 10:24:28</t>
  </si>
  <si>
    <t>投诉人董先生投诉对象快来花,融360涉诉金额1500元问题类型诉求类型投诉详情借款1500实际到账1200，借了四次，让给本金还不同意，中间催收无所不用其极，爆通讯录，打电话对骂，今天我全款给结清，这种做法真的让我感觉就像我要去杀日本人一样的仇恨，如果给我地址，我后悔让这群人做这个行业，看看我内心的恨，投诉多次无用，山不转水转，快来花，融360我们走着看。</t>
  </si>
  <si>
    <t>招联金融威胁我</t>
  </si>
  <si>
    <t>http://ts.21cn.com/tousu/show/id/1373225</t>
  </si>
  <si>
    <t>2019/10/19 10:23:42</t>
  </si>
  <si>
    <t>投诉人吕女士投诉对象招联金融涉诉金额12000元问题类型诉求类型投诉详情本人因生意投资失败暂时无法按时还款，威胁我上门给家人，朋友，单位打电话，电话打了，我失业了，我更还不上了好吗！而且我也没有失联，基本每个电话都接，希望平台找一个可以协商，态度好一些的人来跟我谈。</t>
  </si>
  <si>
    <t>玖富万卡高利贷，阴阳合同</t>
  </si>
  <si>
    <t>http://ts.21cn.com/tousu/show/id/1373224</t>
  </si>
  <si>
    <t>2019/10/19 10:23:41</t>
  </si>
  <si>
    <t>投诉人李先生投诉对象玖富万卡涉诉金额30000元问题类型诉求类型投诉详情2017年12月1日在玖富旗下产品叮当钱包借款30000元，该公司出阴阳合同，借款合同金额：借款人借款总金额，：肆万肆仟零捌拾肆元玖角小写：44,084.9，每期还款3850元，总共12期还款46200，借款年利率高达120%，按照年利率24%算的话只需要还款37200这个是符合的，请聚投诉给予法律支持，尽快让机构，给一个合理的解释，血淋淋的高利贷公司，要求贵司。</t>
  </si>
  <si>
    <t>给高利贷做平台洗黑钱</t>
  </si>
  <si>
    <t>http://ts.21cn.com/tousu/show/id/1373223</t>
  </si>
  <si>
    <t>2019/10/19 10:23:22</t>
  </si>
  <si>
    <t>米粒钱柜高利贷利用今借到平台骗取高达一期5天就875元费用，2500实际到帐1775元，我已经付了4期875-现在还来骚扰，，今借到是不是黑社会高利贷，给犯罪分子平台，从中拿钱，我希望赶紧销帐，我今天要去扫黑办举报今借到，米粒钱柜利用一个59岁老人刘陈莲作为出借人，信息都是假的，今到借已经触犯国家条例，高利贷逼我签协议，违反了强迫人民，今借到赶紧处理销帐。</t>
  </si>
  <si>
    <t>闪银借款强制性购物。客诉平台不作为</t>
  </si>
  <si>
    <t>http://ts.21cn.com/tousu/show/id/1373222</t>
  </si>
  <si>
    <t>投诉人刘先生投诉对象Wecash闪银涉诉金额2000元问题类型诉求类型投诉详情之前联系过客服，也进行了投诉然后回电给我帮我处理，我进行了录音，说有问题随时联系他，结果联系叫转接也不转接。</t>
  </si>
  <si>
    <t>快易花催收承诺还清就可以恢复账号，还清就拉黑</t>
  </si>
  <si>
    <t>http://ts.21cn.com/tousu/show/id/1373221</t>
  </si>
  <si>
    <t>2019/10/19 10:23:11</t>
  </si>
  <si>
    <t>投诉人张先生投诉对象快钱-快易花涉诉金额1200元问题类型诉求类型投诉详情逾期了之后跟催收员说暂时没周转过来需要缓一下催收跟我说先处理一个账单再让我缓几天，处理了一个账单后第二天又换个人来说让我去别的地方借找朋友借了还进去就帮我开通账号再借出来还给朋友结果还进去之后就不理人了。</t>
  </si>
  <si>
    <t>我来贷我来数科</t>
  </si>
  <si>
    <t>http://ts.21cn.com/tousu/show/id/1373220</t>
  </si>
  <si>
    <t>2019/10/19 10:22:56</t>
  </si>
  <si>
    <t>一家黑恶性质的高利贷公司，利息高就不说，手机不小心遗失几天，贷款也逾期了两天，短短两天就200块逾期费，如此高昂的逾期费，本人拒绝接受，可是我来数科的工作人员还威胁本人，如若不按照他们规定的金额还款，必将爆破本人的通讯录，骚扰本人的亲朋好友，希望有关部门能帮帮我，惩治这些带黑恶性质的高利贷公司。</t>
  </si>
  <si>
    <t>my钱包暴力催收高利贷威胁恐吓</t>
  </si>
  <si>
    <t>http://ts.21cn.com/tousu/show/id/1373219</t>
  </si>
  <si>
    <t>2019/10/19 10:22:10</t>
  </si>
  <si>
    <t>投诉人李先生投诉对象MY钱包涉诉金额30000元问题类型诉求类型投诉详情My钱包借款3000元，要还3600多元，第三方催收暴力催收，骚扰同事朋友家人，威胁叫嚣让我报警，完全不在乎。</t>
  </si>
  <si>
    <t>无辜扣款，要回扣款</t>
  </si>
  <si>
    <t>http://ts.21cn.com/tousu/show/id/1373217</t>
  </si>
  <si>
    <t>2019/10/19 10:21:32</t>
  </si>
  <si>
    <t>投诉人张先生投诉对象中国银联,工商银行涉诉金额684元问题类型诉求类型投诉详情被中国银联无辜代扣684.83元，对方户名：中国银联无卡快捷支付业务专户，收款账户：36****************5。</t>
  </si>
  <si>
    <t>牛人有品砍头利息</t>
  </si>
  <si>
    <t>http://ts.21cn.com/tousu/show/id/1373218</t>
  </si>
  <si>
    <t>2019/10/19 10:21:20</t>
  </si>
  <si>
    <t>投诉人邵先生投诉对象牛人有品涉诉金额4000元问题类型诉求类型投诉详情本人8月20号和9月19号在牛人有品借款1900元和2200元，分别只收到1368和1568元，还款是还了1938和2244元，被收了1164元砍头利息，属实太高，希望能退还部分不正常的利息。</t>
  </si>
  <si>
    <t>来分期的“相关费用”是什么费用，为什么查我自己的借款合同查不了</t>
  </si>
  <si>
    <t>http://ts.21cn.com/tousu/show/id/1373216</t>
  </si>
  <si>
    <t>2019/10/19 10:21:14</t>
  </si>
  <si>
    <t>本人在来分期上有借款，因为家庭原因，资金出了问题，本期账单未还，本想协商还款，想商量一下免息和免违约金，就问了一下，我的利息是多少，都有什么费用，催收告诉我没有利息，我反问，没有利息，催收的告诉我你打客服问具体的费用吧，他也不知道，我就打了客服，客服告诉我就一些“相关费用”，我问相关费用是什么费用，客服说就系统自动出来的费用，后来我说我要看我所有来分期借款合同，因为是分批借的，客服说只能在借款时看到，合同都是一样的，我说我只想看我自己的，客服说，那没办法，看不了，给不了我帮助，我虽然是借款人，但我也有知情权</t>
  </si>
  <si>
    <t>http://ts.21cn.com/tousu/show/id/1373215</t>
  </si>
  <si>
    <t>2019/10/19 10:21:09</t>
  </si>
  <si>
    <t>投诉人李女士投诉对象你我贷涉诉金额3000元问题类型诉求类型投诉详情本人多次表明经济还没缓冲过来，你我贷公司安排委托方联系我，我本人也表明情况，本人有时需要培训或者上班，但委托方得态度然后很蛋糕多次打电话来骚扰请你我贷公司处理好再联系我给出给力得解释！多次骚扰已经造成我工作还有生活得骚扰！。</t>
  </si>
  <si>
    <t>严重骚扰</t>
  </si>
  <si>
    <t>http://ts.21cn.com/tousu/show/id/1373214</t>
  </si>
  <si>
    <t>2019/10/19 10:20:48</t>
  </si>
  <si>
    <t>严重骚扰我工作单位的老板，打了几十个电话，我已经不能正常上班。</t>
  </si>
  <si>
    <t>要求退款财神黑卡</t>
  </si>
  <si>
    <t>http://ts.21cn.com/tousu/show/id/1373212</t>
  </si>
  <si>
    <t>2019/10/19 10:20:42</t>
  </si>
  <si>
    <t>投诉人邱先生投诉对象掌众金服涉诉金额900元问题类型诉求类型投诉详情人工客服一直进不了，??️法联系，客服电话也没人工。</t>
  </si>
  <si>
    <t>虚假宣传、误导消费、服务严重欺诈</t>
  </si>
  <si>
    <t>http://ts.21cn.com/tousu/show/id/1373213</t>
  </si>
  <si>
    <t>2019/10/19 10:20:34</t>
  </si>
  <si>
    <t>2018年被拉进一个叫“信易赢36[VIP老黄实战]微信群，群里的管理员王主任每天都在群里面宣传大涨牛股，各种获利百分之几十到翻倍的持仓截图轮番播报，每天都截图很多人入会，盈利多少，被诱导入会52920元，加入没有几天就把我移除群，操作每次给的票与实际宣传完全不符，很多票都是亏损的，操作之后感觉不对，他们做的全是虚假宣传，明显感觉群里的绝大多数微信号码是他们的托儿，聊天内容都非常亢奋、非常专业，收取那么高额的服务费，形成严重欺诈行为，他们操作与实际操作严重不符，每次提供票亏损情况及聊天记录，录音都可以提供，</t>
  </si>
  <si>
    <t>天天打十几个电话，短信威胁，严重影响工作</t>
  </si>
  <si>
    <t>http://ts.21cn.com/tousu/show/id/1373211</t>
  </si>
  <si>
    <t>2019/10/19 10:20:09</t>
  </si>
  <si>
    <t>投诉人刘先生投诉对象平安普惠涉诉金额7000元问题类型诉求类型投诉详情每天打十几个电话骚扰，短信威胁，严重影响正常工作。</t>
  </si>
  <si>
    <t>尚德机构高额扣费，投诉无门</t>
  </si>
  <si>
    <t>http://ts.21cn.com/tousu/show/id/1373210</t>
  </si>
  <si>
    <t>2019/10/19 10:20:04</t>
  </si>
  <si>
    <t>投诉人白女士投诉对象尚德机构涉诉金额9980元问题类型诉求类型投诉详情在尚德机构报读专升本，未享受过尚德任何服务，未收听过一节课，尚德以需要扣除百分之15的管理费的条件，直接扣除我1800余元，后与我协商扣费900,给不出明细，没有扣款计算公式，只是含糊说明是管理费，霸王条款，消法26条明确规定，通过技术的手段来实施不合理的这种合同或者条款，这种合同条款本身就是无效，一、售前售后不一致售前各种承诺保障，售后态度恶劣二、涉嫌欺骗诱导消费者一直强调最后报名期，名额有限，优惠最后一天这种截杀话术诱导消费者，在消费</t>
  </si>
  <si>
    <t>玖富万卡提前结清之后确是显示部分还款！</t>
  </si>
  <si>
    <t>http://ts.21cn.com/tousu/show/id/1373158</t>
  </si>
  <si>
    <t>2019/10/19 10:19:57</t>
  </si>
  <si>
    <t>投诉人曾先生投诉对象玖富万卡涉诉金额21800元问题类型诉求类型投诉详情我已经提前结清之后确是每一期是部分还款！我想知道提前结清就这样子了！如果你们不能给我个说法我每天都举报一次中国互联网金融协会！。</t>
  </si>
  <si>
    <t>信用飞套路扣款</t>
  </si>
  <si>
    <t>http://ts.21cn.com/tousu/show/id/1373209</t>
  </si>
  <si>
    <t>2019/10/19 10:19:14</t>
  </si>
  <si>
    <t>信用飞购买了一张机票，然后比其它购机平台都高，联系说不要了，然后它们就退了额度五十，没用还让我还款了191，还完还封了我的账号不让使用，要求退还还款开通账号。</t>
  </si>
  <si>
    <t>恶意骚扰</t>
  </si>
  <si>
    <t>http://ts.21cn.com/tousu/show/id/1373208</t>
  </si>
  <si>
    <t>2019/10/19 10:19:09</t>
  </si>
  <si>
    <t>本人从未与捷信消费金融有过往来，也不想与其有往来，却被不停电话骚扰。</t>
  </si>
  <si>
    <t>大道用车不退押金，</t>
  </si>
  <si>
    <t>http://ts.21cn.com/tousu/show/id/1373207</t>
  </si>
  <si>
    <t>2019/10/19 10:18:38</t>
  </si>
  <si>
    <t>大道用车，交了押金一直不退，已经退了7个多月，打电话不接，我爸不会搞那个，现在就是押金不退给我们。</t>
  </si>
  <si>
    <t>超高利息与逾期费</t>
  </si>
  <si>
    <t>http://ts.21cn.com/tousu/show/id/1373206</t>
  </si>
  <si>
    <t>2019/10/19 10:18:13</t>
  </si>
  <si>
    <t>本人在轻周转里面的芒果筹申请有一笔借款2800分四期还款4000多，最气愤的是还完两期过后，在9月25日准备还第三期的时候出现平台无法还款的问题，联系客服4008336200告诉我支付宝线下还款，可是支付宝还款点进去就是该账户被停止交易，这个时候支付宝也无法还款，然后我又打电话，这时候他们叫我在app上面用户反馈留言，有客服会联系我处理，可是石沉大海没人联系我然后我分别在28号和10月3号一直在反馈逾期费与还款问题，依然没人联系我，最后一直到12号的时候开始有催收的每天不停的联系我早中晚的联系吧，不借电话就</t>
  </si>
  <si>
    <t>http://ts.21cn.com/tousu/show/id/1373204</t>
  </si>
  <si>
    <t>2019/10/19 10:18:00</t>
  </si>
  <si>
    <t>本人近期因资金周转困难，造成逾期！现在的催收人员各种威胁，叫我拆东墙，补西墙，这种事情我已经无法继续下去，窟窿只会越来越大，要爆我通讯录，这样严重影响我的个人隐私，影响亲朋好友的家庭生活！如果继续这么催我，我将继续投诉到互联网金融协会！投诉到底！。</t>
  </si>
  <si>
    <t>微信支付被冻结永久，永久是什么概念？钱是腾讯所有了？</t>
  </si>
  <si>
    <t>http://ts.21cn.com/tousu/show/id/1373203</t>
  </si>
  <si>
    <t>2019/10/19 10:17:41</t>
  </si>
  <si>
    <t>微信支付被冻结永久，打电话给客服他叫我上传资料，上传了资料后不行，要营业执照，要了营业执照后又不行，就是一直踢皮球，不给处理，处理的结果都是一样，不给解除冻结，工作人员说我收款码被放在别的平台里面，这个事情我自己本人都不知道，肯定别人举报我把我收款码发上去的，而且我自己也一直配合微信客服这边，但结果都是一样，不给解除冻结，我是上个月9.27号被冻结的了，永久冻结资金难道我微信里的钱就是腾讯所有了嘛，我了解过了，冻结支付永久远远不止我一个人，很多人都是无缘无故就被冻结永久了，，冻结一个月半个月别人还能接受一下</t>
  </si>
  <si>
    <t>我的交通银行信用卡已经逾期了，我已经和交通银行说过我们正在买房需要一些时间，等款项到账了我会全额还款的</t>
  </si>
  <si>
    <t>http://ts.21cn.com/tousu/show/id/1373202</t>
  </si>
  <si>
    <t>2019/10/19 10:17:05</t>
  </si>
  <si>
    <t>由于本人个人原因交通银行信用卡逾期，我也多次和信用卡中心说过我们正在买房子，等款项到位了了我会一次性还清欠款并注销卡片，但交通银行催收人员爆我的通讯录并给我的朋友和同事打电话，严重干扰了我的隐私，希望联通银行给些时间，款项到账后我会及时清账并注销。</t>
  </si>
  <si>
    <t>新橙优品没有合同！</t>
  </si>
  <si>
    <t>http://ts.21cn.com/tousu/show/id/1373200</t>
  </si>
  <si>
    <t>2019/10/19 10:16:24</t>
  </si>
  <si>
    <t>投诉人苏女士投诉对象新橙优品涉诉金额3000元问题类型诉求类型投诉详情两个月前晚还了一天款这暴力催收就开始了加微信打电话一直催今天我发现在新橙优品借款3000元分六期每期还下来是4050将近利息太高了严重超出百分之24不符合国家规定而且在App没有借款合同联系客服也没人说话请问没有合同是为什么呢。</t>
  </si>
  <si>
    <t>珍爱网注销我账号</t>
  </si>
  <si>
    <t>http://ts.21cn.com/tousu/show/id/1373201</t>
  </si>
  <si>
    <t>2019/10/19 10:16:18</t>
  </si>
  <si>
    <t>珍爱网在没有提醒的情况下突然封我账号，之前红娘一直打电话叫我去实体店，我没有去，所以珍爱网注销我的账号。</t>
  </si>
  <si>
    <t>新橙优品客服处理不满意</t>
  </si>
  <si>
    <t>http://ts.21cn.com/tousu/show/id/1373199</t>
  </si>
  <si>
    <t>2019/10/19 10:15:56</t>
  </si>
  <si>
    <t>新橙优品借款10000，到账9000，砍头1000，分六期还款总额高出国家利率，对方给出方案减免太少不接受，后来无人与我联系，轻重新给出减免金额。</t>
  </si>
  <si>
    <t>故意扣钱</t>
  </si>
  <si>
    <t>http://ts.21cn.com/tousu/show/id/1373198</t>
  </si>
  <si>
    <t>2019/10/19 10:15:41</t>
  </si>
  <si>
    <t>答应退款又说要扣一半的钱，不答应扣一半的钱就不退钱。</t>
  </si>
  <si>
    <t>豆豆钱违法高利贷</t>
  </si>
  <si>
    <t>http://ts.21cn.com/tousu/show/id/1373197</t>
  </si>
  <si>
    <t>2019/10/19 10:14:55</t>
  </si>
  <si>
    <t>在豆豆钱借款6000，已经还款5970，还需要还款1274，违法高利贷，因本人遇到困难无法承担这么高额的利息，要求协商本金加合规利息销账。</t>
  </si>
  <si>
    <t>360借条爆通讯录疯狂拨打联系人电话</t>
  </si>
  <si>
    <t>http://ts.21cn.com/tousu/show/id/1373196</t>
  </si>
  <si>
    <t>2019/10/19 10:14:53</t>
  </si>
  <si>
    <t>360借条，爆通讯录，疯狂给通讯录联系人拨打电话。</t>
  </si>
  <si>
    <t>http://ts.21cn.com/tousu/show/id/1373195</t>
  </si>
  <si>
    <t>之前已在聚投诉立案虽然结案但仍旧暴力催收！喜鹊快贷在未经借款人同意下打联系人、通话记录及通讯录里的电话，并威胁还会继续打，希望喜鹊快贷立即停止骚扰，并作出道歉和赔偿！逼死我可以，但请不要骚扰其他无关之人！。</t>
  </si>
  <si>
    <t>小鹿情感忽悠消费者，退款问题要求退全款</t>
  </si>
  <si>
    <t>http://ts.21cn.com/tousu/show/id/1373193</t>
  </si>
  <si>
    <t>2019/10/19 10:14:38</t>
  </si>
  <si>
    <t>投诉人 匿女士        投诉对象  小鹿情感        涉诉金额  9 800 元    问题类型    诉求类型投诉详情  我当时就知道受骗了 她承诺一个月解决问题 其实是骗人的 老师已经拉黑我了</t>
  </si>
  <si>
    <t>新橙优品威胁我！扬言打我联系人帮我借钱</t>
  </si>
  <si>
    <t>http://ts.21cn.com/tousu/show/id/1373194</t>
  </si>
  <si>
    <t>2019/10/19 10:14:33</t>
  </si>
  <si>
    <t>本人于2019年7月27日向新橙优品借款3000元，每月还款549元共6期，我对催收表示我本人电话随时能通，而且国家法律规定任何时候，在本人电话能够通的情况下不得向第三方去进行催收，相关息费方面是很合理的，本人愿意接受，也没有任何疑问，但是我还款日期是18日，因为我一直记得借款是27日，本月因为工作比较多，之前也调整岗位，所以记错了日期，于是与平台客服反应，核对后发现是我记错了，表示最近工作调整25号会发工资能不能到时候再处理，来电，本人接通后表示是新橙优品催收，我跟他反馈了目前情况，并且之前与平台客服的沟</t>
  </si>
  <si>
    <t>闪银强制绑定虚拟产品，变相收取砍头息</t>
  </si>
  <si>
    <t>http://ts.21cn.com/tousu/show/id/1373190</t>
  </si>
  <si>
    <t>2019/10/19 10:13:42</t>
  </si>
  <si>
    <t>除了每笔需要还36元利息以外还需要还将近500元利息。</t>
  </si>
  <si>
    <t>小当家贷款删除用户的贷款记录看不到贷款分期数本来是1/2期然后我两期都还了又出来了1/3不知道后续还有没有客服也打不通</t>
  </si>
  <si>
    <t>http://ts.21cn.com/tousu/show/id/1373189</t>
  </si>
  <si>
    <t>2019/10/19 10:12:50</t>
  </si>
  <si>
    <t>投诉人 王先生        投诉对象  小当家        涉诉金额  1 500 元    问题类型    诉求类型投诉详情  砍头息 借款2500到账1800 现在客户也联系不上app也上不去 也不知道这个分期数怎么回事</t>
  </si>
  <si>
    <t>http://ts.21cn.com/tousu/show/id/1373188</t>
  </si>
  <si>
    <t>2019/10/19 10:12:18</t>
  </si>
  <si>
    <t>本人9月19号在月光侠分期借款2900，，但是平台显示我借3458，分三期还，每月还款1297.02，总还款要3891.06，2900月3个月利息高达1000，要求调整利率，现在又有1166的额度可以借，但是显示我借款的额度却是1550.78，分期3个月，每月还款要604.93，3个月利息要700，网络监管为什么不打击这种高利息小额贷。</t>
  </si>
  <si>
    <t>停止骚扰，协商还款</t>
  </si>
  <si>
    <t>http://ts.21cn.com/tousu/show/id/1373187</t>
  </si>
  <si>
    <t>2019/10/19 10:12:03</t>
  </si>
  <si>
    <t>因为身体出现了意外，只能靠公司的工伤补助还这个欠款，我的意思是看协商一个时间，刚给公司打电话，说星期六星期天公司财务这边发不过来这个款项，我也实在没办法，希望在能协商一个时间，我也不是恶意拖欠，但你们一天这么多的催收电话我实在受不了了，我父亲也是前段时间刚出院，身体不好，我不想让他们知道我有贷款这个事情，你们就是打电话，就不会相互理解一下吗，如果不给我处理协商，我会将情况反映给银监会还有12315，。</t>
  </si>
  <si>
    <t>拼多多为网络赌博平台提供充值服务，虚假交易等</t>
  </si>
  <si>
    <t>http://ts.21cn.com/tousu/show/id/1373186</t>
  </si>
  <si>
    <t>2019/10/19 10:11:28</t>
  </si>
  <si>
    <t>拼多多平台为网络赌博公司提供充值服务、挂虚假商品、要求退款并道歉。</t>
  </si>
  <si>
    <t>http://ts.21cn.com/tousu/show/id/1373185</t>
  </si>
  <si>
    <t>2019/10/19 10:10:42</t>
  </si>
  <si>
    <t>投诉人潘先生投诉对象五福袋涉诉金额2000元问题类型诉求类型投诉详情借款2000，7天一期，4期，每期600+，总共要还2700借款之前没有明确提醒7日期限和利息微信公总号：五福鑫APP下载链接：https://fir.im/3ahl催收电话：133******27微信：Y01252013客服微信：wufudai888。</t>
  </si>
  <si>
    <t>美团生活费爆通讯录</t>
  </si>
  <si>
    <t>http://ts.21cn.com/tousu/show/id/1373184</t>
  </si>
  <si>
    <t>2019/10/19 10:10:08</t>
  </si>
  <si>
    <t>暴力催收，不接受协商处理，请求平台处理，利息高。</t>
  </si>
  <si>
    <t>牛人有品暴力催收高利贷</t>
  </si>
  <si>
    <t>http://ts.21cn.com/tousu/show/id/1373183</t>
  </si>
  <si>
    <t>2019/10/19 10:09:46</t>
  </si>
  <si>
    <t>暴力催收辱骂，高利贷，客服不理人，要求最后一期500销帐！！！。</t>
  </si>
  <si>
    <t>请不要骚扰我的联系人</t>
  </si>
  <si>
    <t>http://ts.21cn.com/tousu/show/id/1373181</t>
  </si>
  <si>
    <t>2019/10/19 10:09:37</t>
  </si>
  <si>
    <t>因公出国，现国内手机号无法正常使用，无信号无服务，无法正常接收电话短信，请求不要拨打或联系我的联系人，我将于30号之前回国后，办理还款业务，可添加我的微信联系我，804497957或181******18。</t>
  </si>
  <si>
    <t>还款未处理，催收电话打遍亲戚好友</t>
  </si>
  <si>
    <t>http://ts.21cn.com/tousu/show/id/1373182</t>
  </si>
  <si>
    <t>2019/10/19 10:09:35</t>
  </si>
  <si>
    <t>利息一直累积，催收电话也打个不停，致电小树时代官方客服无人接听，小树时代企业QQ也无人应答。</t>
  </si>
  <si>
    <t>我在苹果手机上买了探探的RMB90元的服务，却得不到应有的服务，以此投诉！客服也联系不上呢！</t>
  </si>
  <si>
    <t>http://ts.21cn.com/tousu/show/id/1373180</t>
  </si>
  <si>
    <t>2019/10/19 10:09:03</t>
  </si>
  <si>
    <t>我在探探上买了90元的一个月会员服务，但是购买后发现却收不到应有的服务，跟购买前是一样的！以此投诉，并要求退款！金额是90元！。</t>
  </si>
  <si>
    <t>你我贷平台暴力催收电话辱骂</t>
  </si>
  <si>
    <t>http://ts.21cn.com/tousu/show/id/1373179</t>
  </si>
  <si>
    <t>2019/10/19 10:08:22</t>
  </si>
  <si>
    <t>打电话辱骂，暴力催收，骚扰亲友，我有心解决，客服故意刁难。</t>
  </si>
  <si>
    <t>北京友信普惠</t>
  </si>
  <si>
    <t>http://ts.21cn.com/tousu/show/id/1373178</t>
  </si>
  <si>
    <t>2019/10/19 10:08:08</t>
  </si>
  <si>
    <t>本人由于不懂，盲目从友信普惠贷款14.3万，今年国家严查套路贷，才发现自己被套路了！借款14.3万，合同却显示220500万,必须按36期还，提前还款还要收高额服务费，看了套路贷案例，发现这是明显的砍头息，套路贷！现在想要报警，求解决。</t>
  </si>
  <si>
    <t>投诉拍拍贷</t>
  </si>
  <si>
    <t>http://ts.21cn.com/tousu/show/id/1373177</t>
  </si>
  <si>
    <t>2019/10/19 10:07:34</t>
  </si>
  <si>
    <t>拍拍贷高利贷，让那些催收人员发各种侮辱短信侮辱我，恐吓，还打电话给我妈骂各种难听话，已经严重影响到了我的家人，拍拍贷必须作出公开道歉。</t>
  </si>
  <si>
    <t>强烈要求洛基英语全额给我退款并终止在富盛分云的分期</t>
  </si>
  <si>
    <t>http://ts.21cn.com/tousu/show/id/1373176</t>
  </si>
  <si>
    <t>2019/10/19 10:07:18</t>
  </si>
  <si>
    <t>8月26日，销售老师又多次与我联系，说这次活动力度很大，说我可以先交3000元，剩下的学费可以分期付款完成，销售老师说课程不能满足时同意退款，当时我还在犹豫，那时已晚上10点半，我说明天跟爸妈商量后再决定，他极力劝服我当天晚上就签订合同，但那时我爸妈都睡了，于是我让他等我沟通一下我姐后再说，我姐也觉得挺贵的，但销售老师一直在催，并且从原先的明天报名也可以变成今晚就得报，并且以各种理由说学好英语后有什么好处，还说这次活动名额有限，只剩50多个了，当时也不知道这份培训合同中还暗含有向富胜分云贷款合同，当时我与销</t>
  </si>
  <si>
    <t>网贷催收</t>
  </si>
  <si>
    <t>http://ts.21cn.com/tousu/show/id/1373175</t>
  </si>
  <si>
    <t>2019/10/19 10:06:52</t>
  </si>
  <si>
    <t>最上面的8张是拍拍贷的短信，下面一张是豆豆钱的短信，还有一张豆豆钱的图片传不上去了，豆豆钱，暴力催收，恐吓，爆通讯录，给我单位打电话说明了他是豆豆钱平台。</t>
  </si>
  <si>
    <t>闪电借款暴力催收，变相砍头息，高额逾期罚息</t>
  </si>
  <si>
    <t>http://ts.21cn.com/tousu/show/id/1373174</t>
  </si>
  <si>
    <t>2019/10/19 10:06:33</t>
  </si>
  <si>
    <t>投诉人吴先生投诉对象掌众金服涉诉金额72000元问题类型诉求类型投诉详情2016年开始使用闪电借款，在2016年至2018年9月2日累计借款26次，借款周期每笔从刚开始的21天，到2018年调整为50天，累计借款金额48700元，每次借款闪电借款均会先扣除20%砍头息，累计扣除砍头息12175元。</t>
  </si>
  <si>
    <t>小花钱包非法催收</t>
  </si>
  <si>
    <t>http://ts.21cn.com/tousu/show/id/1373173</t>
  </si>
  <si>
    <t>2019/10/19 10:06:31</t>
  </si>
  <si>
    <t>该平台暴力催收，将本人和家人的资料暴露给外包公司。</t>
  </si>
  <si>
    <t>网贷催收恐吓父母亲戚</t>
  </si>
  <si>
    <t>http://ts.21cn.com/tousu/show/id/1373172</t>
  </si>
  <si>
    <t>2019/10/19 10:05:56</t>
  </si>
  <si>
    <t>一人做事一人当，催收却天天恐吓父母亲戚，给家庭造成很大的精神压力。</t>
  </si>
  <si>
    <t>世纪佳缘请退我钱</t>
  </si>
  <si>
    <t>http://ts.21cn.com/tousu/show/id/1350453</t>
  </si>
  <si>
    <t>2019/10/19 10:05:05</t>
  </si>
  <si>
    <t>投诉人陈先生投诉对象世纪佳缘涉诉金额3000元问题类型诉求类型投诉详情我是2018年10月24号在广东省汕头市世纪佳缘线下签约当场付款3000元，合同上写服务期是无限期，提供不限次数与女士见面的机会，但是在11月份见了一个女生后就再也没有下文，直到现在快一年了没有人理你，而且每次都是我先打电话过去，发了两句微信就态度恶劣！然后他们就又当做什么都没有发生一样，发微信也不理人，不给我服务，越发觉得不靠谱，非常气愤，和签合同的时候红娘老师夸大事实一个两个月内就能找到对象，她们会给我提供各种心理辅导一对一跟进进展的</t>
  </si>
  <si>
    <t>招商银行收取高额违约金</t>
  </si>
  <si>
    <t>http://ts.21cn.com/tousu/show/id/1373165</t>
  </si>
  <si>
    <t>2019/10/19 10:04:28</t>
  </si>
  <si>
    <t>收取高额违约金，决绝协商退还！客服推诿，直说不能协商退还不说理由！。</t>
  </si>
  <si>
    <t>砍头息</t>
  </si>
  <si>
    <t>http://ts.21cn.com/tousu/show/id/1373169</t>
  </si>
  <si>
    <t>2019/10/19 10:04:26</t>
  </si>
  <si>
    <t>借12000！妖还16000！砍头息！打电话骚扰我家人！。</t>
  </si>
  <si>
    <t>快贷催收威胁骚扰</t>
  </si>
  <si>
    <t>http://ts.21cn.com/tousu/show/id/1373168</t>
  </si>
  <si>
    <t>2019年10月19日上午9点51分02066806943来电话，要求还款处理，我要求明天处理，对方说10点30分处理不了，帮我联系家人处理，骚扰联系人，要求对方道歉。</t>
  </si>
  <si>
    <t>http://ts.21cn.com/tousu/show/id/1373167</t>
  </si>
  <si>
    <t>2019/10/19 10:04:24</t>
  </si>
  <si>
    <t>要求聚福钱包退款我48.5元，尽管退款，马上处理。</t>
  </si>
  <si>
    <t>http://ts.21cn.com/tousu/show/id/1373166</t>
  </si>
  <si>
    <t>2019/10/19 10:04:18</t>
  </si>
  <si>
    <t>电话暴力威胁谩骂，并表示上门要挟家人去银行。</t>
  </si>
  <si>
    <t>高炮平台蓝鲸鱼钱包暴力催收，辱骂，爆通讯录</t>
  </si>
  <si>
    <t>http://ts.21cn.com/tousu/show/id/1373163</t>
  </si>
  <si>
    <t>2019/10/19 10:04:03</t>
  </si>
  <si>
    <t>投诉人王先生投诉对象蓝鲸鱼钱包涉诉金额3500元问题类型诉求类型投诉详情高炮平台蓝鲸鱼钱包暴力催收，爆通讯录，无法协商还款，并伴有威胁，辱骂等行为。</t>
  </si>
  <si>
    <t>希望能跟浦发银行协商还款</t>
  </si>
  <si>
    <t>http://ts.21cn.com/tousu/show/id/1373164</t>
  </si>
  <si>
    <t>2019/10/19 10:04:02</t>
  </si>
  <si>
    <t>本人因生意失败周转困难，无法一次性还清银行要求的款项，上期逾期的时候就跟银行的催收人员说要协商重新分期还款，不同意，我说了下期可能还会逾期，因为真的经济困难！而且银行打的每一个电话我都接，除非忙的时候没听见，但是每天都会接到几个催款电话，今天接到银行打来的电话，工作人员不听我说话，态度很差，我现在就是想找一个能协商的部门协商一下，本人现在有稳定工作，想把剩余款项全部做个重新分期，利息我愿意付，但是因为债务太多，希望分60期还款。</t>
  </si>
  <si>
    <t>只还本金，不管利息</t>
  </si>
  <si>
    <t>http://ts.21cn.com/tousu/show/id/1373162</t>
  </si>
  <si>
    <t>2019/10/19 10:04:00</t>
  </si>
  <si>
    <t>在某APP上打着免息的广告引诱我下载，然后我申请的时候就说我可以借款20000,就主动给我放款20000元，10月18日当我收到确认贷款短信的时候已经不能取消，后来越想越觉得不妥当天准备还掉，看到提前还款需要支付3个月的利息，10月19日与客服联系也是各种你咎由自取的态度，根据合同法360借条在签订合同时故意制造重大误解，根据最高法关于民间借贷的有关规定最高年利率不能超过年息24%，360借条明目张胆四处引诱人民群众签订不公平合同，据我所知光*微博用户就有逾千人受骗，其他受骗群众更是不计其数，肆意认定贷款取</t>
  </si>
  <si>
    <t>花转转恶意赚取高额逾期费</t>
  </si>
  <si>
    <t>http://ts.21cn.com/tousu/show/id/1373161</t>
  </si>
  <si>
    <t>2019/10/19 10:03:41</t>
  </si>
  <si>
    <t>投诉人姜女士投诉对象花转转,樱桃小借,瑞丽随薪贷涉诉金额5000元问题类型诉求类型投诉详情花转转，因上个月19号开始平台原因，不能还款，期间通过多种方式联系客服，都无法联系上，借款2800.到账2800.28天还款，每7天一期，每期还款金额1022.46元，属于高利贷，平台造成逾期，每天逾期费用高达65元，已超出国家合规贷款利息范围，联系客服协商逾期费用全免，客服均不处理，理由都是没有权限，抛气球式的不给处理问题，所以逾期费用一直在增加，期间也发起投诉，但都没人联系处理，花转转平台对于投诉无视，请聚投诉平台</t>
  </si>
  <si>
    <t>凤凰金融旗下凤凰智信--喜鹊快贷高利贷黑网贷套路贷平台严重违反国家法律法规暴力催收砍头息严重</t>
  </si>
  <si>
    <t>http://ts.21cn.com/tousu/show/id/1373160</t>
  </si>
  <si>
    <t>2019/10/19 10:03:33</t>
  </si>
  <si>
    <t>在凤凰金融旗下凤凰智信喜鹊快贷借款14000元，分12期还清，每月还款1551.56元，共须还款18618.72元，app对外显示借款14000元，在借款协议里却私下写成借款本金：人民币17789元整，私下签订阴阳合同，实为高利贷套路贷，而凤凰金融又是凤凰卫视集团旗下业务如乙方在还款日当日12点后24点前还款的，当天不登记为逾期，本人在不知情的情况下已经还款5期，在第五期还款当日催收人员电话告知需要在12点前还清，如果不还清就通知本人亲朋好友，当天下午5点57分，本人及亲属手机接连收到催收群发短信暴力催收！</t>
  </si>
  <si>
    <t>新意花小木钱包套路贷砍头息，故意造成逾期收取高额逾期费用</t>
  </si>
  <si>
    <t>http://ts.21cn.com/tousu/show/id/1373159</t>
  </si>
  <si>
    <t>2019/10/19 10:02:46</t>
  </si>
  <si>
    <t>本人通过信用管家下载新意花，在里面的小木钱包借到两笔钱，一笔为1400元，期限为32天，分为四期，每8天为一期，每期还511元，利息644元，第二笔为2800，同样分为4期，每8天为一期，每期偿还1022元，利息高达一千二百多元，第一笔已还两期，本来利息就高了，当再到还款日时发现APP无法进入还款，从而导致全部逾期，直到前天有催收来电话居然叫我还款8400元，而且打客服电话永远只有让联系app客服反馈，也不回答别的问题，跟客服说协商还款，但是依旧打我通讯录人电话，我怀疑该平台故意制造借款人逾期从而催收收取高</t>
  </si>
  <si>
    <t>投诉交通银行骚扰家人</t>
  </si>
  <si>
    <t>http://ts.21cn.com/tousu/show/id/1373157</t>
  </si>
  <si>
    <t>2019/10/19 10:02:24</t>
  </si>
  <si>
    <t>交通银行暴力催收，不联系本人，直接去村里骚扰不想干人员，在没有失联能正常接通电话情况下，家里有人情况下，去村里骚扰村里人。</t>
  </si>
  <si>
    <t>既有分期电话威胁侮辱</t>
  </si>
  <si>
    <t>http://ts.21cn.com/tousu/show/id/1373156</t>
  </si>
  <si>
    <t>2019/10/19 10:02:14</t>
  </si>
  <si>
    <t>既有分期公司催收人员打电话到我公司侮辱我，骂我，严重影响到我的正常生活，希望有关部门帮助处理一下，目前这样严重影响我工作生活，催收人员电话：173-6268-3005。</t>
  </si>
  <si>
    <t>立借前三月年化率104%，提前结清不减免</t>
  </si>
  <si>
    <t>http://ts.21cn.com/tousu/show/id/1373155</t>
  </si>
  <si>
    <t>2019/10/19 10:01:59</t>
  </si>
  <si>
    <t>本人于2019年9月7日在立借平台上借款6500，实际到账6500，年化率刚刚好36%，但是账单出来后发现前三个月需要还款8190元，三个月利率为26%，年化率达104%！第一个月还了3119.97元，将近借款本金的50%！最近家里出了一些事情，不想再被高利贷连累了，现要求对方接受我提前结清的要求并减免相应利息。</t>
  </si>
  <si>
    <t>钱站高利贷阴阳合同</t>
  </si>
  <si>
    <t>http://ts.21cn.com/tousu/show/id/1373154</t>
  </si>
  <si>
    <t>2019/10/19 10:01:35</t>
  </si>
  <si>
    <t>在钱站APP爱钱进上借款2000元，借款合同上显示2800元，实际到账2000元，这是明显的虚假合同，要求借款合同金额更改为实际金额，目前已还两期，，一共还款1900多，还剩下一期，还需要还款986元，要求把合同金额更改为实际借款金额，把剩下一期的还款金额更改后，还款销账。</t>
  </si>
  <si>
    <t>小赢卡贷威胁人还要打公司电话众安保险捆绑销售</t>
  </si>
  <si>
    <t>http://ts.21cn.com/tousu/show/id/1373153</t>
  </si>
  <si>
    <t>2019/10/19 10:00:59</t>
  </si>
  <si>
    <t>发现该平台在本人不知情的情况下强制捆绑购买了一分保险，并且之前一直有购买，由于本人明天才发工资，这期没有还款逾期一天，就暴力催收，恐吓，人生威胁，还要给我母亲，朋友联系侮辱，我说了明天发了工资立马还上，还一直威胁我要打公司电话来骚扰，我的朋友怀孕了，如果她有什么问题，你们负责的了吗！1.本人是不知情的情况下被投保、连个保单都没看到，也不知道被保的内容，众安保险也没有通知我所购买的保险，只在合同里面看到有购买保险，这全完属于违背我意愿的保险，就是所谓的强制投保.2.国家明文规定贷款跟保险公司不得合作；3.国家</t>
  </si>
  <si>
    <t>http://ts.21cn.com/tousu/show/id/1373084</t>
  </si>
  <si>
    <t>2019/10/19 10:00:29</t>
  </si>
  <si>
    <t>投诉人王先生投诉对象MY钱包涉诉金额1200元问题类型诉求类型投诉详情借款5600一个月想提前结清要还6770多;这利息比肩高利贷了。</t>
  </si>
  <si>
    <t>http://ts.21cn.com/tousu/show/id/1373152</t>
  </si>
  <si>
    <t>2019/10/19 10:00:22</t>
  </si>
  <si>
    <t>投诉人 王女士        投诉对象  钱站        涉诉金额  700 元    问题类型    诉求类型投诉详情  钱站APP平台砍头息 利率高 暴力催收 影响个人生活</t>
  </si>
  <si>
    <t>不知道是自考，要求退款</t>
  </si>
  <si>
    <t>http://ts.21cn.com/tousu/show/id/1373150</t>
  </si>
  <si>
    <t>2019/10/19 09:58:54</t>
  </si>
  <si>
    <t>本人系陕西省汉中市一名在职人员，于2019年7月15日在网上查询咨询学历提升，广州师德皓大教育科技有限公司，有客服加我微信，备注冉老师，在加上我以后称我的条件只需一年半时间，交钱后包过拿证，当时原价6800元，优惠后交了5200元左右，不明白所谓的自考成考的区别，糊里糊涂的办成了自考项目，且没有双方签字合同，现临近考试，通知我参加自考，要靠自己硬考11门科目，全部通过才可以拿到毕业证，本人要求退款或更换项目，公司官网电话打不通，APP上的班主任老师态度较好，但不围绕重点进行解释，除了劝解没有明确答复，现进行</t>
  </si>
  <si>
    <t>招行信用卡违约金超过法定</t>
  </si>
  <si>
    <t>http://ts.21cn.com/tousu/show/id/1373149</t>
  </si>
  <si>
    <t>2019/10/19 09:58:42</t>
  </si>
  <si>
    <t>招商银行逾期后最低还款额为全额，每月违约金为最低还款额百分之5，每个月达到四千多，并且招行在逾期后取消了所有分期一次性入账计入应还款额不知是否合理，按照月百分之5计算年化百分之60的违约金，加上日万分之5的利息，期间多次致电招商银行官方客服号得到的回复是逾期客户有专门的部门处理，对于这利息是否合理不做回答，只说让专人回电，回电人员不提利息合理性只会催还款，无奈之下投诉，投诉诉求:利息合理化，或进行一些减免或分期，因为使用招行卡近8年，目前工作碰到一些困难才会逾期，还款意愿非常强烈，只是在这样的利息之下每个月</t>
  </si>
  <si>
    <t>高利贷，违规收取前期费用</t>
  </si>
  <si>
    <t>http://ts.21cn.com/tousu/show/id/1373148</t>
  </si>
  <si>
    <t>2019/10/19 09:58:39</t>
  </si>
  <si>
    <t>本人在闪电借款三次，每次借款钱该公司都需要购买财神黑卡才能下款，每八百元收取一百元的黑卡服务费，并且除此之外还要收取年利率百分之36的利息，而且借款周期只有五十天，本人第四次借款购买财神黑卡之后却没有成功借款，我现在要求该公司退还本人这几次收取我的财神黑卡服务费，共计三千元。</t>
  </si>
  <si>
    <t>安逸花乱收费，超过国家规定的利率</t>
  </si>
  <si>
    <t>http://ts.21cn.com/tousu/show/id/1373147</t>
  </si>
  <si>
    <t>2019/10/19 09:58:30</t>
  </si>
  <si>
    <t>涉诉金额6635元问题类型诉求类型投诉详情账单总金额是6634.73，因为逾期了，每个与的账单多出了寿险计划服务费，灵活还款服务费，需要还款总金额已达到9千3百多，已经超过国家规定的利率！且账单不能截图！去电要求协商分成几个月还清，也不接受！。</t>
  </si>
  <si>
    <t>到处张贴个人信息，冒充警察</t>
  </si>
  <si>
    <t>http://ts.21cn.com/tousu/show/id/1373146</t>
  </si>
  <si>
    <t>2019/10/19 09:58:28</t>
  </si>
  <si>
    <t>暴力催收，每天不同，在我家小区张贴个人催款信息，冒充公务人员！。</t>
  </si>
  <si>
    <t>新建商品房精装修施工质量维权</t>
  </si>
  <si>
    <t>http://ts.21cn.com/tousu/show/id/1373144</t>
  </si>
  <si>
    <t>2019/10/19 09:57:59</t>
  </si>
  <si>
    <t>精装地暖施工现场，满目狼藉，不按标准作业工序施工。</t>
  </si>
  <si>
    <t>活力花利息太高</t>
  </si>
  <si>
    <t>http://ts.21cn.com/tousu/show/id/1373143</t>
  </si>
  <si>
    <t>2019/10/19 09:57:30</t>
  </si>
  <si>
    <t>投诉人 马先生        投诉对象  活力花        涉诉金额  817 元    问题类型    诉求类型投诉详情  利息太高 逾期费用高的吓人，只希望还本金</t>
  </si>
  <si>
    <t>马上消费金融安逸花</t>
  </si>
  <si>
    <t>http://ts.21cn.com/tousu/show/id/1373142</t>
  </si>
  <si>
    <t>2019/10/19 09:56:18</t>
  </si>
  <si>
    <t>我已每月分期还款，现在催收人员打我公司电话，威胁恐吓我，对我生活工作产生了严重影响希望有关部门处理一下，我的工作要没有了，没有了我将很难继续还款，催收人员对辱骂，威胁，恐吓，催收人员电话:173******05。</t>
  </si>
  <si>
    <t>国美易卡请您接受协商还款</t>
  </si>
  <si>
    <t>http://ts.21cn.com/tousu/show/id/1373141</t>
  </si>
  <si>
    <t>2019/10/19 09:56:07</t>
  </si>
  <si>
    <t>亲爱的领导您好！我去年在国美易卡借了17000多元钱，已经还了8期，目前省四期，因工作问题，想进行协商还款！但工作人员始终不协商！并且说12点之后会联系亲朋好友！请有关部门能协调处理！不要牵扯无辜的人员！。</t>
  </si>
  <si>
    <t>每天电话骚扰不断</t>
  </si>
  <si>
    <t>http://ts.21cn.com/tousu/show/id/1373140</t>
  </si>
  <si>
    <t>2019/10/19 09:55:42</t>
  </si>
  <si>
    <t>投诉人 张先生        投诉对象  马上消费金融,安逸花        涉诉金额  15 000 元    问题类型    诉求类型投诉详情  暂时无钱周转 我一直配合接听电话沟通 并没有逃避 但是没有必要每天n个电话骚扰吧</t>
  </si>
  <si>
    <t>凡普信持续猖狂，暴力催收</t>
  </si>
  <si>
    <t>http://ts.21cn.com/tousu/show/id/1373137</t>
  </si>
  <si>
    <t>2019/10/19 09:55:20</t>
  </si>
  <si>
    <t>凡普被查之后还是那么猖狂，以联系通讯录威胁本人处理款项，两天前有催收人员打电话联系我，我们交谈的还行，今天又换了一个人给我打电话说不还款，就联系我的亲朋好友，请问，我是没接你们电话吗，我是失踪了吗，你们弄得我现在连工作都没有了，竟然还这么猖狂，好，那咱们就走法律程序吧，。</t>
  </si>
  <si>
    <t>暴力威胁恐吓</t>
  </si>
  <si>
    <t>http://ts.21cn.com/tousu/show/id/1373139</t>
  </si>
  <si>
    <t>2019/10/19 09:55:19</t>
  </si>
  <si>
    <t>我借了1400，然后，他让我分期，我心想就分呗，我还了三期，每一期都是470多，我心想可能差不多了快还完了，结果，一看还欠1200多，我当时没有办法还，他们先是打电话给我，恐吓我，威胁我的同时，直接给我朋友打电话，又给我妈打电话。</t>
  </si>
  <si>
    <t>喔刷传销</t>
  </si>
  <si>
    <t>http://ts.21cn.com/tousu/show/id/1373136</t>
  </si>
  <si>
    <t>2019/10/19 09:55:14</t>
  </si>
  <si>
    <t>刘广阳还在我的内蒙古地区招伙伴，免费给伙伴提供机器，影响我的伙伴开通机器，我的伙伴把在我这里购买的机器全部退回给我，造成我积压大量机器，还不能在内蒙古开展业务，受到非常大的影响，今年2月份pos机跳的商户落地，到现在没落地，跳的商户还是西安，严重影响我们开展业务。</t>
  </si>
  <si>
    <t>360借条威胁爆周边联系人，高额逾期费</t>
  </si>
  <si>
    <t>http://ts.21cn.com/tousu/show/id/1373138</t>
  </si>
  <si>
    <t>2019/10/19 09:55:13</t>
  </si>
  <si>
    <t>360借条本期欠款2797.09元4天逾期费高达149.85，催收人员威胁要联系周边亲戚好友以及村委会，最高法院明确规定：逾期费，手续费及利息相加不得超过百分之24，在与我本人取得联系的情况下不得骚扰无关人员，请贵平台减免高额逾期费，与我结清欠款，并停止威胁骚扰联系人的行为。</t>
  </si>
  <si>
    <t>http://ts.21cn.com/tousu/show/id/1373135</t>
  </si>
  <si>
    <t>2019/10/19 09:54:58</t>
  </si>
  <si>
    <t>8月13日，借款33000元，每月还款1906.67元，现已还款15个月，合计还款金额28600.05元，现App显示一次性结清还需还款31431.03元，已超出本金将近2倍，这是什么高利贷，还有2笔账单，已经马上还够本金，一次性结款还需要还和一倍本金差不多的利息，玖富平台请给我们一个合理的解决，本人不方便接电话，如果有协商，请加申请手机号微信协商。</t>
  </si>
  <si>
    <t>急用钱包通过新生支付恶意扣款</t>
  </si>
  <si>
    <t>http://ts.21cn.com/tousu/show/id/1373134</t>
  </si>
  <si>
    <t>2019/10/19 09:53:45</t>
  </si>
  <si>
    <t>急用钱包在我不知情的情况下通过新生支付乱扣费，扣我银行卡上金额299元，对此我投诉急用钱包无故扣费，新生支付为其提供违规扣费支付通道。</t>
  </si>
  <si>
    <t>我来贷收取高额逾期费，暴力催收</t>
  </si>
  <si>
    <t>http://ts.21cn.com/tousu/show/id/1373132</t>
  </si>
  <si>
    <t>2019/10/19 09:53:27</t>
  </si>
  <si>
    <t>我来贷高额逾期费，阴阳合同，暴力催收，客服态度差！。</t>
  </si>
  <si>
    <t>淘宝卖家以旧充新，并言语侮辱他人，淘宝平台不闻不问</t>
  </si>
  <si>
    <t>http://ts.21cn.com/tousu/show/id/1373131</t>
  </si>
  <si>
    <t>2019/10/19 09:53:19</t>
  </si>
  <si>
    <t>淘宝平台购买商品后，产生退货，卖家签收后，联系卖家，卖家首先称没有收到，也没有签收，联系快递后，快递称卖家自行要求放代收点签收，再次联系卖家，卖家仍然称没有收到，也没有让代收点签收，投诉快递后，卖家改口称被快递员欺骗，卖家一直在编造理由，于是淘宝平台投诉卖家，平台让卖家退款65元，其余金额以红包形式退还，后卖家以自己只退65，平台支持卖家行为，而发信息进行言语侮辱，再次联系淘宝平台处理，迟迟不给处理，明显偏袒卖家，对此不满，也提醒各位，产生交易前，不管怎么样，一定做好相关证据保存。</t>
  </si>
  <si>
    <t>闪银奇异催收人员威胁</t>
  </si>
  <si>
    <t>http://ts.21cn.com/tousu/show/id/1373133</t>
  </si>
  <si>
    <t>2019/10/19 09:53:12</t>
  </si>
  <si>
    <t>闪银奇异工作人员不接受逾期协商，威胁还款人。</t>
  </si>
  <si>
    <t>51人品贷提前还款收取高额各项费用</t>
  </si>
  <si>
    <t>http://ts.21cn.com/tousu/show/id/1373129</t>
  </si>
  <si>
    <t>2019/10/19 09:52:24</t>
  </si>
  <si>
    <t>投诉人 张先生        投诉对象  51人品        涉诉金额  37 000 元    问题类型    诉求类型投诉详情  51人品贷，提前还款，收取高额的各项费用。本金只有36000。提前还款40000多</t>
  </si>
  <si>
    <t>程咬金借款7天借款暴力催收</t>
  </si>
  <si>
    <t>http://ts.21cn.com/tousu/show/id/1373128</t>
  </si>
  <si>
    <t>2019/10/19 09:52:19</t>
  </si>
  <si>
    <t>借了1507，到账1050，7天周期，已经续期10多次，还了有4000了。</t>
  </si>
  <si>
    <t>先花一亿元审核通过交了100评测费结果不能借款</t>
  </si>
  <si>
    <t>http://ts.21cn.com/tousu/show/id/1373127</t>
  </si>
  <si>
    <t>2019/10/19 09:52:05</t>
  </si>
  <si>
    <t>投诉人 陈海水        投诉对象  先花一亿元        涉诉金额  100 元    问题类型    诉求类型投诉详情  不能借款请把100退还给我。这个平台客服也没在线。电话客服也一个打不通</t>
  </si>
  <si>
    <t>不退钱不放款</t>
  </si>
  <si>
    <t>http://ts.21cn.com/tousu/show/id/1373126</t>
  </si>
  <si>
    <t>2019/10/19 09:50:20</t>
  </si>
  <si>
    <t>买过财神黑卡，不放款3天了都是额度已抢光，要不退钱要不放款。</t>
  </si>
  <si>
    <t>虚假商品收钱不给予发货</t>
  </si>
  <si>
    <t>http://ts.21cn.com/tousu/show/id/1373124</t>
  </si>
  <si>
    <t>2019/10/19 09:49:01</t>
  </si>
  <si>
    <t>付钱了不发货不理人，虚假商品还不给予发货网络骗子。</t>
  </si>
  <si>
    <t>你借我有协商还款</t>
  </si>
  <si>
    <t>http://ts.21cn.com/tousu/show/id/1373125</t>
  </si>
  <si>
    <t>2019/10/19 09:48:51</t>
  </si>
  <si>
    <t>借款多次，老用户，目前资金困难，想要协商还款，速度跟我联系。</t>
  </si>
  <si>
    <t>升学教育不退款</t>
  </si>
  <si>
    <t>http://ts.21cn.com/tousu/show/id/1373123</t>
  </si>
  <si>
    <t>2019/10/19 09:48:37</t>
  </si>
  <si>
    <t>本人于去年八月份报名了升学教育的专升本的学习，后不到一个月的时间本人提出退学，对方告知班主任会联系处理，两天了也没人联系，我再次联系他们，对方工作人员再三推迟，后迫于无奈冻结了课程，今年再次提出退学，对方处理中服务态度非常不好，多次强话，打断，最后告知只能退回一千多，这个结果我不接受，因为我一节课都还没有上过，我要求全额退费。</t>
  </si>
  <si>
    <t>爱钱进私自行为让客户的钱无法出来</t>
  </si>
  <si>
    <t>http://ts.21cn.com/tousu/show/id/1373121</t>
  </si>
  <si>
    <t>2019/10/19 09:48:18</t>
  </si>
  <si>
    <t>10月14日申请的，显示需要150日之后才能到账，期间享受4%利息，或者转投12期的，这种行为不是诱导客户继续转投吗，而且为什么这么大的平台这么一点金额需要这么久到账，而且需要这么久到账为什么不提前告知用户，自己单方面自主行为的设置150天，在出借之前从来没有告知用户退出时需要150天之后才能到账属于欺骗欺诈客户行为。</t>
  </si>
  <si>
    <t>好易贷高利贷</t>
  </si>
  <si>
    <t>http://ts.21cn.com/tousu/show/id/1373122</t>
  </si>
  <si>
    <t>2019/10/19 09:48:11</t>
  </si>
  <si>
    <t>9月20日借的，合同是7天，实际是6天，放款说是3000，实际到账2100，每次到还款日客服就打电话威胁还款，不然就爆通讯录，没办法每次只能续期，已经续了四期，实在无力偿还了，现在要求直接平台销账，谢谢。</t>
  </si>
  <si>
    <t>天猫超市买到变质长虫的大米</t>
  </si>
  <si>
    <t>http://ts.21cn.com/tousu/show/id/1372273</t>
  </si>
  <si>
    <t>2019/10/19 09:47:31</t>
  </si>
  <si>
    <t>投诉人吴先生投诉对象天猫超市涉诉金额168元问题类型诉求类型投诉详情产品是天猫直送的产品，也就是说是经过天猫超市官方的仓库验收入库才发货的，从评价来看，这种事情已经不是第一次，也不是第一次发生了。</t>
  </si>
  <si>
    <t>客服一直说给协商处理，一直没有结果</t>
  </si>
  <si>
    <t>http://ts.21cn.com/tousu/show/id/1373120</t>
  </si>
  <si>
    <t>2019/10/19 09:46:46</t>
  </si>
  <si>
    <t>多次与客服联系进行违约金的协商，都是答应可以然后就没有结果。</t>
  </si>
  <si>
    <t>期待合伙人（期待科技））高利贷、砍头息、暴力恐吓催收</t>
  </si>
  <si>
    <t>http://ts.21cn.com/tousu/show/id/1373119</t>
  </si>
  <si>
    <t>2019/10/19 09:46:26</t>
  </si>
  <si>
    <t>本人于2018年12月从期待合伙人APP借款7000元，实际到账7000元，分12期还款，煤气还款金额682.41元，期间还款状态一直良好，也有按期还款，已还6期，已还金额为4127.23元，本人现在生活很紧张，之前被其他网贷公司打爆通讯录，导致本人没有亲朋好友，也失去了工作，已经没法再借到钱了，同时因为被暴力催收，患有抑郁症，我之所以今天投诉，就是希望期待合伙人停止暴力催收，款我会还，还有，期待合伙人的违约金是否已构成高利贷，逾期金额每天0.13%,逾期本金每天5元，本人承诺还款，但是是在国家规定的范围之</t>
  </si>
  <si>
    <t>恒富创融科技·钱橙无忧强制扣费</t>
  </si>
  <si>
    <t>http://ts.21cn.com/tousu/show/id/1373116</t>
  </si>
  <si>
    <t>2019/10/19 09:45:56</t>
  </si>
  <si>
    <t>钱橙无忧，私自扣费，说是评估借款需要168的费用，没有出来支付密码的页面，只是出来注册验证码之后就把我的钱扣了几十块，还好卡里没多少钱，客服态度强硬说还需要支付398元的费用，这不是骗人的嘛，话都没说完就把我电话挂了，当我再点进去之后就登录不了，主页页面也不在了。</t>
  </si>
  <si>
    <t>金鹰钱包714平台高利贷</t>
  </si>
  <si>
    <t>http://ts.21cn.com/tousu/show/id/1373115</t>
  </si>
  <si>
    <t>2019/10/19 09:45:48</t>
  </si>
  <si>
    <t>本人于2019年10月3日在该平台借了一笔4000元的款，为期5天，实际到账2440元，要我还款4000元，期间由于催收扬言要打联系人电话，所以我在凑不够4000的情况先先后三次续期1560元工4680元，远超实际借款2440元和应还款4000元，今天早上接到电话要求12点之前处理好，否则就打联系人电话态度强硬，由于我先后还款已达到4000元，要求平台销账处理，并不能对联系人进行骚扰。</t>
  </si>
  <si>
    <t>立借套路贷</t>
  </si>
  <si>
    <t>http://ts.21cn.com/tousu/show/id/1373117</t>
  </si>
  <si>
    <t>2019/10/19 09:45:41</t>
  </si>
  <si>
    <t>2019年8月在立借借款1万元分12期还款，但后来才发现前三期需要连本带息还款12600，后面九期每期象征性的还款111，借款前根本就看不到这种套路，简直太坑人了，协商无果怕逾期已经还了两期了，一共是9099.9，两期就还了这么多，第三期需要还款3450.1，严重套路贷，高利贷，希望聚投诉主持公道，我愿意本金加合法利息还款清帐。</t>
  </si>
  <si>
    <t>招联金融威胁恐吓</t>
  </si>
  <si>
    <t>http://ts.21cn.com/tousu/show/id/1373114</t>
  </si>
  <si>
    <t>2019/10/19 09:44:40</t>
  </si>
  <si>
    <t>来自075536343415的招联金融催收人员在早上9：40分来电。</t>
  </si>
  <si>
    <t>平安人寿保险离职后不退还入职保证金</t>
  </si>
  <si>
    <t>http://ts.21cn.com/tousu/show/id/1373113</t>
  </si>
  <si>
    <t>2019/10/19 09:44:16</t>
  </si>
  <si>
    <t>我是今年4月份入职的平安人寿，当时入职时说要交500元押金到保监会，如果离职的话会退还，然后到6月份的时候做不下去了，因为想着没出单也会清除工号，所以没有在他这个同学会的app上申请离职，后来经过别人告知才知道需要在app上申请离职才能退保证金，我就联系了我的主管，问他离职流程，但是他却一拖再拖，直到后来多次联系他才告诉我流程并同意我的离职申请，然后在内勤审批这里又卡了我差不多一个月的时间，到了保证金退还这里之后app界面进度什么的一直没变过，app上提示的是内勤审批完并发起保证金抽档会在1-3个工作日内就</t>
  </si>
  <si>
    <t>http://ts.21cn.com/tousu/show/id/1373111</t>
  </si>
  <si>
    <t>2019/10/19 09:44:09</t>
  </si>
  <si>
    <t>我当时借的1350还是1250我忘了，到我手上是900，他们直接加的我微信，因为我当时缺钱，所以，我没有办法还上，然后，我每逾期一天，他就让我给他转100，说是延展期，我每天都给他转，有几天我没有转，他就微信语音聊天过来威胁恐吓我，要把我通讯录，怎么怎么。</t>
  </si>
  <si>
    <t>爱上街套路不能分期了</t>
  </si>
  <si>
    <t>http://ts.21cn.com/tousu/show/id/1373112</t>
  </si>
  <si>
    <t>2019/10/19 09:44:07</t>
  </si>
  <si>
    <t>在爱上街用花吧购物多次，也问过客服确认，出账单后还能申请分期还款，当时还明确问过客服，但今天收到消息，说爱上街账单2天后到期，就登陆爱上街办理分期，咋知道点进去一看，哪里也找不到分期入口，然后再找客服，客服竟然又说分期是系统评估，我说之前客服明明跟我说过可以20号才办理分期也可以，但在线客服又说要我找聊天记录，但app上聊天记录全部都没有了，只有今天的记录，客服还说我这号第一次找在线客服，真搞笑了，你们私自删记录，还说是我问题，我用爱上街都2年了，买东西都不下10次，有什么理由第一次找在线客服，而且我是冲着</t>
  </si>
  <si>
    <t>北京众慧科技有限公司（闪电借款）恶意 电话骚扰</t>
  </si>
  <si>
    <t>http://ts.21cn.com/tousu/show/id/1373110</t>
  </si>
  <si>
    <t>2019/10/19 09:43:43</t>
  </si>
  <si>
    <t>1.一个自称闪电借款法务的人打电话骚扰我单位老板，说我欠款未还，没有联系我本人直接联系我老板，严重影响我工作2.当我联系改人，此人扬言要天天打500多个电话打个我老板，要搞到我掉到工作为止，如果本人因此没有了工作，一切费用将用改公司赔偿，手上有录音3.本人具体不知怎么会欠款，但借款3000还5000多，这是高利贷吗。</t>
  </si>
  <si>
    <t>拼多多商户涉嫌为博彩黑平台收款</t>
  </si>
  <si>
    <t>http://ts.21cn.com/tousu/show/id/1372692</t>
  </si>
  <si>
    <t>2019/10/19 09:43:15</t>
  </si>
  <si>
    <t>投诉人薛先生投诉对象拼多多涉诉金额160000元问题类型诉求类型投诉详情拼多多代付被骗10几万，都是代付连接，我几个月被pian了10几万，一个网赌APp，每次充值都会弹出来拼多多代付，已经投诉拼多多客服，拼多多拼多多平台客服只会说等待专员处理，我投诉了5天了，客服还让我等待专员处理，到目前为止还未接到拼多多任何电话，短信，通知，然而拼多多代付充值通道，仍然在正常为第三方违法平台进行收款充值，。</t>
  </si>
  <si>
    <t>多次与兴业银行沟通第三方仍然威逼一次性还款</t>
  </si>
  <si>
    <t>http://ts.21cn.com/tousu/show/id/1373092</t>
  </si>
  <si>
    <t>2019/10/19 09:43:07</t>
  </si>
  <si>
    <t>投诉人杜国申投诉对象兴业银行信用卡涉诉金额6900元问题类型诉求类型投诉详情本人因为家庭及各方面原因导致资金周转不开，造成兴业银行信用卡逾期，2019年10月份开始正常工作，但资金不够一次性还款，多次致电兴业银行客服表明信用卡希望能延期还款，同时表示期间所有的逾期费滞纳金及利息都愿意支付，客服都回复已记录会转给相关部门处理，第三方催收公司一直联系本人均要求一次性付清，通话态度极为恶劣，语气不满，2019年10月18日下午第三方催收公司要求我三点在家等候，本人因为在县份工作坐班车赶回家，路遇车祸造成车辆拥堵，</t>
  </si>
  <si>
    <t>高利贷，催收</t>
  </si>
  <si>
    <t>http://ts.21cn.com/tousu/show/id/1373108</t>
  </si>
  <si>
    <t>2019/10/19 09:42:21</t>
  </si>
  <si>
    <t>昨天时光分期的催收人员给我打电话，和加微信，在微信上说要把我和我儿子的照片P图成色情图片，还骂我儿子不得好死，各种难听的语言，我给时光分期的客服打电话，他们给我回复说不是他们的催收，我又把录音给发过去，现在直接不给管了，不是你们的催收，能让我把钱还到时光分期的app里，。</t>
  </si>
  <si>
    <t>苏打优选恶意出售问题商品</t>
  </si>
  <si>
    <t>http://ts.21cn.com/tousu/show/id/1373109</t>
  </si>
  <si>
    <t>2019/10/19 09:42:18</t>
  </si>
  <si>
    <t>之前在苏打优选上买了这个高压锅，看到包装完好所以一直未拆开，昨天晚上才开看发现已经变形，昨晚联系客服，现在在忙需要排队，我在第九位，我排了一个多小时都没联系上客服，今天找了半天也没找到客服电话，在APP上一直显示客服不在线。</t>
  </si>
  <si>
    <t>飞猪旅行非自愿退票等待时间过长，一直处于受理状态</t>
  </si>
  <si>
    <t>http://ts.21cn.com/tousu/show/id/1373107</t>
  </si>
  <si>
    <t>2019/10/19 09:42:17</t>
  </si>
  <si>
    <t>我于2019年8月8日在飞猪旅行购买了10月18日至10月26日昆明飞蒙特利尔的往返机票，后因加拿大签证拒签，在拒签当日，也就是8月26日申请了拒签非自愿退票，当晚工作人员打电话来要求邮箱传送大使馆出具的拒签证明及相关资料，按照卖家要求所有资料已于8月27日邮箱传送成功，说要1-3个月的时间才能退款，推脱给航司，说要航司审理通过，现已过去将近2个月的时间，中途一直联系飞猪客服，给的理由都是要等航司那边处理，或者是已经反馈给退票同事，无法真正及时解决问题，故意拖延时间一直不给处理，现已等待近2个月，订单现在仍</t>
  </si>
  <si>
    <t>中信银行没完没了骚扰</t>
  </si>
  <si>
    <t>http://ts.21cn.com/tousu/show/id/1373106</t>
  </si>
  <si>
    <t>2019/10/19 09:41:44</t>
  </si>
  <si>
    <t>投诉人任女士投诉对象中信银行信用卡涉诉金额38000元问题类型诉求类型投诉详情三番五次去单位骚扰我找我领导对我的工作造成很大的困扰严重影响到我的正常生活已经再跟你们银行打电话协商还款一个多星期没人回复天天找人来骚扰威胁恐吓让不让人生活是不是要搭上一条命有意思吗你们非要把人整死是吗今天之内必须给我个回复。</t>
  </si>
  <si>
    <t>快闪卡贷（小闪分期）与中国人民保险集团捆绑兜售保险，光大银行苏州分行放款，高额砍头息，套路贷</t>
  </si>
  <si>
    <t>http://ts.21cn.com/tousu/show/id/1373105</t>
  </si>
  <si>
    <t>2019/10/19 09:41:41</t>
  </si>
  <si>
    <t>本人在2019年4月19日在快闪卡贷现改名为小闪分期平台借款7000元，月还款1402.22元，分六期还完，本息合计8413.32元，然而放款时却发现只到账了5892.34元，余下的1107.66元被快闪卡贷强行购买了中国人保的两份保险业务，其中一份为“保福满屋”城市家庭组合保险，而另外一份保险为个人贷款保证保险，也就是所谓的“代偿”本人实在难以理解，借款时为何要捆绑销售保险业务，况且已经购买了个人贷款保证保险，为何还要让我强行购买一份跟贷款本身毫无关系的组合险，这根本就是套路贷，给收取砍头息找一个理由而已</t>
  </si>
  <si>
    <t>伪造立案通知</t>
  </si>
  <si>
    <t>http://ts.21cn.com/tousu/show/id/1373104</t>
  </si>
  <si>
    <t>2019/10/19 09:41:28</t>
  </si>
  <si>
    <t>今天早上收到捷信委托方发来的立案通知，邮件发送，我就想知道，捷信平台一边和我协商还款，一边又找人起诉我，是想让我还款呢还不是不想让我还款，我真是醉了，贷了七千多，还了三千多还需要还七千多是什么鬼，捷信给个说法吧！还伪造通知立案，伪造律师函，难道你们不知道犯法吗，当初贷款说利息多么低多么低，现在逾期了，利息成了违约金，你们是怎么说怎么有理啊！。</t>
  </si>
  <si>
    <t>从退款到现在两个月了</t>
  </si>
  <si>
    <t>http://ts.21cn.com/tousu/show/id/1373103</t>
  </si>
  <si>
    <t>2019/10/19 09:41:02</t>
  </si>
  <si>
    <t>感觉他们就是个骗子，我从8月18左右跟他们说申请退款。</t>
  </si>
  <si>
    <t>平安普惠i贷无法提前结清</t>
  </si>
  <si>
    <t>http://ts.21cn.com/tousu/show/id/1373102</t>
  </si>
  <si>
    <t>2019/10/19 09:40:59</t>
  </si>
  <si>
    <t>查不到申请记录，没法提前还款，每个月催收电话一堆不堪其扰。</t>
  </si>
  <si>
    <t>http://ts.21cn.com/tousu/show/id/1373101</t>
  </si>
  <si>
    <t>2019/10/19 09:40:51</t>
  </si>
  <si>
    <t>我在钱站借了一千元，实际到账也只有一千，分期三个月，每个月归还574.74元，总共要还1724元，借的时候根本没有说清楚，想要撤销又不让我撤销，我已经还了两期总共1149.48元，要求剩下的一期给我销账，希望能维护我们的利益。</t>
  </si>
  <si>
    <t>要求恒企教育退还学费并终止分期还款</t>
  </si>
  <si>
    <t>http://ts.21cn.com/tousu/show/id/1373071</t>
  </si>
  <si>
    <t>2019/10/19 09:40:16</t>
  </si>
  <si>
    <t>投诉人吴女士投诉对象恒企教育涉诉金额8562元问题类型诉求类型投诉详情我在2019年6月14日报名恒企教育深圳龙岗区的学前教育大专和汉语言文学名师辅导本科一起的专本套读学费一共是8880元，当时说有活动，使用优惠券318元，就是学费一共8562元，当时首付交了888元，然后剩下的7674是由恒企里的老师安排在百度有钱花上面分期，分期时长为一年十二期，目前已经还了四期，后面家里出了意外，由于本人拿不出病历证明，所以初次与恒企老师协商无功而返，后面因工作繁忙，报考的科目都没去考，想着自己去考也没时间，平时也没精</t>
  </si>
  <si>
    <t>无故扣款</t>
  </si>
  <si>
    <t>http://ts.21cn.com/tousu/show/id/1373099</t>
  </si>
  <si>
    <t>2019/10/19 09:39:25</t>
  </si>
  <si>
    <t>10月7号突然扣款，并且联系客服说1-7个工作日退款成功，直到10月19号也没有退款，刚才又主动联系客服说1-3个工作日，不能再拖了，今天必须退回来。</t>
  </si>
  <si>
    <t>海淘免税app</t>
  </si>
  <si>
    <t>http://ts.21cn.com/tousu/show/id/1373098</t>
  </si>
  <si>
    <t>2019/10/19 09:39:22</t>
  </si>
  <si>
    <t>等待时间略久…在线希望可以全额退款消费者的权利呢…。</t>
  </si>
  <si>
    <t>紫马财行提现问题</t>
  </si>
  <si>
    <t>http://ts.21cn.com/tousu/show/id/1373096</t>
  </si>
  <si>
    <t>2019/10/19 09:38:39</t>
  </si>
  <si>
    <t>我在2018年投入到紫马财行的钱加之2019年又充的共有33000元，现在想提现，发现苹果APP已经不支持紫马财行，提现不能完成，哪是母亲的养老钱，现在母亲有病急需用钱，所以急切需要用钱提现。</t>
  </si>
  <si>
    <t>360借条无法无天每天恐吓威胁我家人及朋友同事</t>
  </si>
  <si>
    <t>http://ts.21cn.com/tousu/show/id/1373095</t>
  </si>
  <si>
    <t>2019/10/19 09:38:00</t>
  </si>
  <si>
    <t>我在360借条上面借了20000元，由于生意原因钱一直没有到位，刚刚过了3天他们的催收人员开始暴力催收爆我通讯录，每天给我父母老婆女儿家人朋友同事领导打电话恐吓威胁他们，每天用不同的网络电话给我的工作，生活带来了很大的困扰，，我每天基本不敢去上班了，现在我已经在当地派出所报案了还跟律师沟通过走法律程序，现在所有的都有电话录音，包括我的朋友他们都录音了，他们这样暴力催收爆通讯录已经是严重的违法了，可以治安拘留15天，我欠的你的钱是我个人的问题，你们凭什么去恐吓我的家人亲人朋友同事，难道你们店大在中国这个和谐社</t>
  </si>
  <si>
    <t>利息太高</t>
  </si>
  <si>
    <t>http://ts.21cn.com/tousu/show/id/1373094</t>
  </si>
  <si>
    <t>2019/10/19 09:37:56</t>
  </si>
  <si>
    <t>利率太高了，借了7000让还九千多胖，跟客服说降低利率，客服说降低不了。</t>
  </si>
  <si>
    <t>还的信用卡钱对不上帐</t>
  </si>
  <si>
    <t>http://ts.21cn.com/tousu/show/id/1373091</t>
  </si>
  <si>
    <t>2019/10/19 09:37:01</t>
  </si>
  <si>
    <t>投诉人 杨剑        投诉对象  农业银行信用卡        涉诉金额  1 000 元    问题类型    诉求类型投诉详情  我的钱哪去了 打客服他们老是答非所问 我想知道钱哪去了</t>
  </si>
  <si>
    <t>蜂窝钱包保留催收</t>
  </si>
  <si>
    <t>http://ts.21cn.com/tousu/show/id/1373090</t>
  </si>
  <si>
    <t>2019/10/19 09:35:59</t>
  </si>
  <si>
    <t>蜂窝钱包用实名电话催收暴力催收我，打我通讯录，恐吓我亲朋好友，他这个是高丽贷，714。</t>
  </si>
  <si>
    <t>你我贷怂恿我去借钱还他们</t>
  </si>
  <si>
    <t>http://ts.21cn.com/tousu/show/id/1373089</t>
  </si>
  <si>
    <t>2019/10/19 09:35:01</t>
  </si>
  <si>
    <t>投诉人 王先生        投诉对象  你我贷        涉诉金额  5 000 元    问题类型    诉求类型投诉详情  在你我贷借款。昨天到期373元。但因为最近生意失败。所以暂时要到20号发工资了才能还。今天催收打电话过来。跟客服说明情况。愿意承担逾期的后果。也愿意还款。等20号工资发了就还。竟然催收怂恿让我去借钱还给他们。说找朋友去借。。怎么怎么的。有录音。</t>
  </si>
  <si>
    <t>投诉闪银奇异高利贷</t>
  </si>
  <si>
    <t>http://ts.21cn.com/tousu/show/id/1373087</t>
  </si>
  <si>
    <t>2019/10/19 09:34:07</t>
  </si>
  <si>
    <t>闪银奇异是高利贷因为他们会骚扰所以本人一直在还款目前只剩下最后一期没有还希望并要求闪银奇异协商还款时间。</t>
  </si>
  <si>
    <t>想你分期套路贷砍头息</t>
  </si>
  <si>
    <t>http://ts.21cn.com/tousu/show/id/1373088</t>
  </si>
  <si>
    <t>2019/10/19 09:34:01</t>
  </si>
  <si>
    <t>投诉人 孙女士        投诉对象  汇潮支付,想你分期        涉诉金额  2 500 元    问题类型    诉求类型投诉详情  借款2500 到帐只有1625 800多都被砍掉了 只有6天 希望调整利率 销帐处理</t>
  </si>
  <si>
    <t>http://ts.21cn.com/tousu/show/id/1373085</t>
  </si>
  <si>
    <t>2019/10/19 09:33:48</t>
  </si>
  <si>
    <t>马上消费金融委托第三催收平台电话骚扰，短信威胁，甚至准备上门催收。</t>
  </si>
  <si>
    <t>月光侠套路贷</t>
  </si>
  <si>
    <t>http://ts.21cn.com/tousu/show/id/1373086</t>
  </si>
  <si>
    <t>2019/10/19 09:33:45</t>
  </si>
  <si>
    <t>月光侠分期高利贷，套路贷，实际到账2400元，合同以及要求还款3600多元。</t>
  </si>
  <si>
    <t>薪意贷暴力催收威胁</t>
  </si>
  <si>
    <t>http://ts.21cn.com/tousu/show/id/1373083</t>
  </si>
  <si>
    <t>2019/10/19 09:32:24</t>
  </si>
  <si>
    <t>投诉人 龚女士        投诉对象  信用管家,畅捷支付        涉诉金额  2 250 元    问题类型    诉求类型投诉详情  违规操作提供支付通道 赔偿退款 暴力催收 威胁爆通讯录</t>
  </si>
  <si>
    <t>闪电借款不注销账号</t>
  </si>
  <si>
    <t>http://ts.21cn.com/tousu/show/id/1373082</t>
  </si>
  <si>
    <t>2019/10/19 09:32:16</t>
  </si>
  <si>
    <t>借款2500，还款2625，多收625元要求注销账号，客服各种刁难，不快速解决要求上传各种照片刁难，借款时确没有要求本人手持身份证照片，随意借款，信息被他人盗用，导致借款。</t>
  </si>
  <si>
    <t>前海锐步商业保理（深圳）有限公司虚假贷款，以开通会员、账户异常为由套取费用不放款。</t>
  </si>
  <si>
    <t>http://ts.21cn.com/tousu/show/id/1373074</t>
  </si>
  <si>
    <t>2019/10/19 09:31:57</t>
  </si>
  <si>
    <t>有限公司涉诉金额7976元问题类型诉求类型投诉详情之前有人电话联系我说我符合他们公司贷款资质，后来就有微信客服添加我，我按照客服提示下载注册APP，上面显示我可以借款5万元，我提出申请出款时，客服说他们公司只针对会员提供服务，我就按照她提供的账号交了588元中级会员会费，再次申请出款时显示中级会员已抢完，我急用钱就又给客服提供的账号转账1388元！申请出款后客服说十分钟之内到账，过了二十分钟依旧没有到账联系客服，她说帮我问后台工作人员，后来说给我打款显示账号姓名与账户号不符无法打款，要我自己去后台核对信息是</t>
  </si>
  <si>
    <t>无良商家，恶意承诺有关部门麻烦调查，本人配合</t>
  </si>
  <si>
    <t>http://ts.21cn.com/tousu/show/id/1373066</t>
  </si>
  <si>
    <t>2019/10/19 09:30:46</t>
  </si>
  <si>
    <t>客服打电话给我说7个工作日可以退款，叫我撤销聚投诉案件，撤销后上传他们客服，说退款给我，都已经照做，7天已经过了，每天客服都说审核中，其实都是，忽悠我们，别信他们，信而富就是平台，我录音都有，请媒体严重曝光，我完全配合，这个不良商家，。</t>
  </si>
  <si>
    <t>支付宝未经我同意自动划扣我银行卡的钱</t>
  </si>
  <si>
    <t>http://ts.21cn.com/tousu/show/id/1373081</t>
  </si>
  <si>
    <t>2019/10/19 09:30:08</t>
  </si>
  <si>
    <t>产品质量问题，退货不成功，未经过我同意自己划扣我银行卡的钱，也没有输入密码。</t>
  </si>
  <si>
    <t>http://ts.21cn.com/tousu/show/id/1373080</t>
  </si>
  <si>
    <t>2019/10/19 09:29:32</t>
  </si>
  <si>
    <t>投诉人刘先生投诉对象捷信金融涉诉金额10000元问题类型诉求类型投诉详情1万本金已给完剩下7000多利息别玩高利贷找个什么河南商丘的人给我打电话第一次说给我调利息然后40天以后一次性给5000多利息就行了，今天又来装逼给我打电话说什么律师，故意让劳资逾期那么长时间，然后装狗，不还了捷信狗儿随便上征信！。</t>
  </si>
  <si>
    <t>对保险不认可，被搭售认为众安保险和闪电借款相互勾结借贷搭售，要求退保！闪电借款降息</t>
  </si>
  <si>
    <t>http://ts.21cn.com/tousu/show/id/1373079</t>
  </si>
  <si>
    <t>2019/10/19 09:29:27</t>
  </si>
  <si>
    <t>众安保险与闪电借款相互勾结，借贷搭售保险，该笔借款金额5000，还款周期为6个月，每个月还款983.33，该笔实际年利率远超法规规定红线，众安保险伙同该高利贷公司，相互勾结借贷搭售，要求退保！降息！。</t>
  </si>
  <si>
    <t>好分期暴力催收高利贷</t>
  </si>
  <si>
    <t>http://ts.21cn.com/tousu/show/id/1373078</t>
  </si>
  <si>
    <t>2019/10/19 09:29:19</t>
  </si>
  <si>
    <t>没到还款日就短信电话轰炸，借4800要还6500，提前还也是这么多钱黑网贷。</t>
  </si>
  <si>
    <t>借贷宝借条不放款暴力催收</t>
  </si>
  <si>
    <t>http://ts.21cn.com/tousu/show/id/1373061</t>
  </si>
  <si>
    <t>2019/10/19 09:28:08</t>
  </si>
  <si>
    <t>2019年10月10日打了张借条，放款人宋宝霞，手机号165******61，2000元到手1400元，15号还，打了借条后要收取我60元信用报告费，我怀疑是骗子，就没给并且要求消条，他说现在很忙，等15号给我消，结果只给我消了1300，还剩700不处理，人也联系不到，找借贷宝客服处理，交替了举报材料，可是催收暴力催收，一天几个电话来威胁还款，我都已经说明情况，他们说不管，只按协议来，客服也说要提供警方或法院起诉回执才能申请停催，我就气的要死，几百块钱警察又不立案，法院起诉也需要时间，举报材料交了也叫我7天</t>
  </si>
  <si>
    <t>洋钱罐逾期一天50利息，暴力催收</t>
  </si>
  <si>
    <t>http://ts.21cn.com/tousu/show/id/1373077</t>
  </si>
  <si>
    <t>2019/10/19 09:28:05</t>
  </si>
  <si>
    <t>投诉人崔先生投诉对象现金借款涉诉金额950元问题类型诉求类型投诉详情逾期第一天直接多了几十块，今天打第一电话态度及其恶劣，意思一个小时还不了直接爆我通讯了呗爆了这辈子都不会还了，这催收态度为啥真的社会。</t>
  </si>
  <si>
    <t>魔借</t>
  </si>
  <si>
    <t>http://ts.21cn.com/tousu/show/id/1373076</t>
  </si>
  <si>
    <t>2019/10/19 09:27:31</t>
  </si>
  <si>
    <t>9月份借的款，合同金额9000实际到账7000，上面明明写着还款852，但还款日尽然还要多还2000，这是是帐，。</t>
  </si>
  <si>
    <t>即付宝刷我100元承诺退我但是不退</t>
  </si>
  <si>
    <t>http://ts.21cn.com/tousu/show/id/1373063</t>
  </si>
  <si>
    <t>2019/10/19 09:26:49</t>
  </si>
  <si>
    <t>投诉人靳先生投诉对象即付宝涉诉金额100元问题类型诉求类型投诉详情10月9号即付宝业务员到我们公司推销即付宝机器，而且说可以办理信用卡，工商信用卡，承诺包通过，而且推荐我的即付宝机器，刷了我100元，说第二天会退回来，但现在已经十天了，还没到账，而且信用卡也没通过，期间通过微信，手机号多次联系，但是都联系不上，联系了即付宝客服，他们在核对了情况后说对业务员做了处罚，但是说刷我的钱是无法退还的。</t>
  </si>
  <si>
    <t>招商银行信用卡高额违约金</t>
  </si>
  <si>
    <t>http://ts.21cn.com/tousu/show/id/1373075</t>
  </si>
  <si>
    <t>2019/10/19 09:26:33</t>
  </si>
  <si>
    <t>招商银行信用卡全额罚息，收取高额违约金，不给协商退款，视投诉为无物。</t>
  </si>
  <si>
    <t>海南意源达网络科技有限公司乱扣费</t>
  </si>
  <si>
    <t>http://ts.21cn.com/tousu/show/id/1373072</t>
  </si>
  <si>
    <t>2019/10/19 09:25:32</t>
  </si>
  <si>
    <t>投诉人李先生投诉对象海南意源达涉诉金额150元问题类型诉求类型投诉详情海南意源达网络科技有限公司在本人不知情的情况下从我农业银行账户恶意扣走150元，现要求退回。</t>
  </si>
  <si>
    <t>去花花砍头息高利贷</t>
  </si>
  <si>
    <t>http://ts.21cn.com/tousu/show/id/1373070</t>
  </si>
  <si>
    <t>2019/10/19 09:24:48</t>
  </si>
  <si>
    <t>去花花借款2000，到账1400！砍头息变相捆绑保险600！！在本人不知情的情况下！现在已经还款5期1705元，现在不打算还最后一期了，而且还款日当天他们一直给我打电话我都还没逾期就一直打。</t>
  </si>
  <si>
    <t>海洋商旅和南通兴东机场联合误导欺诈旅客</t>
  </si>
  <si>
    <t>http://ts.21cn.com/tousu/show/id/1373069</t>
  </si>
  <si>
    <t>2019/10/19 09:23:02</t>
  </si>
  <si>
    <t>2019年8月，本人在南通兴东机场取票时，一身穿机场工作服的工作人员给我推销“海洋商旅VIP钻石卡”，当时介绍说，只要预存1000元，就可以成为终身制贵宾会员，可以免费使用机场的贵宾休息室；卡里的钱是可以全额使用购票，订票也比其他平台便宜，但后面实际订票时发现，用这vip卡每次买机票只能减少几十元，结果价格比其他平台订票还贵出许多，工作人员声称持有该卡在全国机场都可以享受到贵宾服务，但实际上海洋商旅在全国仅有十几家服务网点，而且都在三四线城市的小机场，此外，工作人员声称1周内给邮寄发票，现在近3个月了还未收</t>
  </si>
  <si>
    <t>威胁爆破通讯录</t>
  </si>
  <si>
    <t>http://ts.21cn.com/tousu/show/id/1373068</t>
  </si>
  <si>
    <t>2019/10/19 09:22:34</t>
  </si>
  <si>
    <t>因欠款逾期一天、客服打来电话、直接威胁、不还钱就爆我通讯录、态度特别恶劣、。</t>
  </si>
  <si>
    <t>佰仟金融</t>
  </si>
  <si>
    <t>http://ts.21cn.com/tousu/show/id/1373067</t>
  </si>
  <si>
    <t>2019/10/19 09:22:31</t>
  </si>
  <si>
    <t>高利贷，超出国家利息，在本人还清本金后依然索取高利息部分，并且不断骚扰.恐吓.威胁.冒出假律师事务所来恐吓！希望有关部门可以帮助对他们作出处罚并且消账！。</t>
  </si>
  <si>
    <t>拍拍贷系统维护，无法还款，第二天就算逾期，还有违约金！</t>
  </si>
  <si>
    <t>http://ts.21cn.com/tousu/show/id/1373031</t>
  </si>
  <si>
    <t>2019/10/19 09:21:45</t>
  </si>
  <si>
    <t>投诉人乙先生投诉对象拍拍贷涉诉金额1318元问题类型诉求类型投诉详情昨天是我在拍拍贷借款APP的还款期，下班比较晚，十点多的时候去取钱还款，结果怎么都不能正常还款，拍拍贷APP没有任何提示系统维护或者其他提示，去官网看了一下，说可能是卡的问题，我立即换卡重试，换卡以后还是一样有问题，联系客服，联系不上，说不在工作时间，我怕逾期，又去网站把钱充值上，结果早上一看，还是逾期，还有滞纳金，我不明白，为什么自己平台的问题，还不了款，还要客户来承担这份责任，本来已经很高的利息给他们平台，还要承受这种罪过。</t>
  </si>
  <si>
    <t>豹子贷无故扣我299</t>
  </si>
  <si>
    <t>http://ts.21cn.com/tousu/show/id/1373065</t>
  </si>
  <si>
    <t>2019/10/19 09:20:49</t>
  </si>
  <si>
    <t>投诉人 师小航        投诉对象  造艺科技        涉诉金额  299 元    问题类型    诉求类型投诉详情  我申请借款 没看到有支付299 当时卡里没钱 也没扣 那天我冲了1500 居然一个银行短信扣我299 我当时懵逼了 才知道是豹子贷 我也没借 本来都没钱 还被套路扣 还叫人活不 那钱本来给孩子打防疫针的后来说给退 现在一直没到账 我累的一天跑外卖 跑12个小时才赚150 他们怎么可以这样 还我辛苦钱 还我血汗钱在黑猫上投诉没用 造艺不理睬</t>
  </si>
  <si>
    <t>花转转樱桃小借高利贷暴力催收超高逾期费</t>
  </si>
  <si>
    <t>http://ts.21cn.com/tousu/show/id/1373064</t>
  </si>
  <si>
    <t>2019/10/19 09:20:43</t>
  </si>
  <si>
    <t>投诉人 周先生        投诉对象  花转转        涉诉金额  4 900 元    问题类型    诉求类型投诉详情  砍头息 超高逾期费 暴力催收 影响本人正常工作</t>
  </si>
  <si>
    <t>闪电借款伙同财神黑卡宝付支付收取去会员费（砍头息）</t>
  </si>
  <si>
    <t>http://ts.21cn.com/tousu/show/id/1373054</t>
  </si>
  <si>
    <t>2019/10/19 09:20:26</t>
  </si>
  <si>
    <t>财神黑卡,财神管家,掌众金服,宝付支付,北京智茗耀科技有限公司，借款8700元，到账8700元，借款期限50天，到期还款9100多元，但是借款中提示要买财神黑卡，当时黑卡上写的贷款返利2.4%，加油打折6.5折，，就买了财神黑卡，但是后面给宣传的根本都不一样，根本没有什么权益，一点都没有用上，就是贷款的砍头息1920元会员费，和广州2345小额贷款公司的立即贷一样收会员费。</t>
  </si>
  <si>
    <t>闪电借款暴力催收，砍头息，高利贷</t>
  </si>
  <si>
    <t>http://ts.21cn.com/tousu/show/id/1373062</t>
  </si>
  <si>
    <t>2019/10/19 09:19:58</t>
  </si>
  <si>
    <t>本人因需要周转，于2017年10月28日在掌众金服旗下闪电借款申请借款4000元，实际到账3748元，这已经有了砍头息，在还款日当天，由于在工作忘了，闪电借款公司就开始轰炸我的通讯录，影响了我的生活，本人一气之下就当是没有还款选择报案处理，后面闪电借款更是变本加厉，每天暴力催收，轰炸通讯录，威胁p黄图，恶心人，威胁上门催收，严重影响本人和身边人的生活和工作，不堪骚扰之下只能在2017年12.31日还清5220元，这不是高利贷是什么，现要求闪电借款退还多还的的超过法律规定的利息金额。</t>
  </si>
  <si>
    <t>分期乐骚扰家人</t>
  </si>
  <si>
    <t>http://ts.21cn.com/tousu/show/id/1373060</t>
  </si>
  <si>
    <t>2019/10/19 09:17:54</t>
  </si>
  <si>
    <t>投诉人 王晓靓        投诉对象  分期乐        涉诉金额  10 000 元    问题类型    诉求类型投诉详情  骚扰家人 并给我的生活造成了困扰 委托第三方每天打骚扰电话</t>
  </si>
  <si>
    <t>洋钱包和讯联智付私自恶意扣款</t>
  </si>
  <si>
    <t>http://ts.21cn.com/tousu/show/id/1373058</t>
  </si>
  <si>
    <t>2019/10/19 09:17:43</t>
  </si>
  <si>
    <t>洋钱包app和讯联智付-鲸纬科技合伙盗刷银行卡，可以看图，都是自相矛盾，说什么推荐服务收费要299，5点扣的钱，一次100，一次49，8点才发短信，还说是3点50几买的服务，什么服务要299，我又没有贷款，也没有任何的密码和验证，就能扣我的钱，再说卡里都不够299怎么去买你们所谓的299的服务，这算是你们扣了149然后跑来解释吗，龌龊手段还躲躲藏藏，强烈要求退款并删除资料，给出合理解释，并受到一定的制裁，希望平台能帮忙处理，谢谢。</t>
  </si>
  <si>
    <t>小闪分期，协商还款</t>
  </si>
  <si>
    <t>http://ts.21cn.com/tousu/show/id/1373057</t>
  </si>
  <si>
    <t>2019/10/19 09:17:12</t>
  </si>
  <si>
    <t>本人无力偿还贷款，希望能协商还款，退还砍头息。</t>
  </si>
  <si>
    <t>商品经顺丰承运 但是收到后已是泡水件</t>
  </si>
  <si>
    <t>http://ts.21cn.com/tousu/show/id/1373056</t>
  </si>
  <si>
    <t>2019/10/19 09:17:05</t>
  </si>
  <si>
    <t>本人于6月13日在nice好货上购买了一双adidas，发现购买商品泡水之后也第一时间联系到了顺丰，并且对于内地段的承运也一概不承认自己有任何过失。</t>
  </si>
  <si>
    <t>拍拍贷骚扰同事朋友家人</t>
  </si>
  <si>
    <t>http://ts.21cn.com/tousu/show/id/1373055</t>
  </si>
  <si>
    <t>2019/10/19 09:16:16</t>
  </si>
  <si>
    <t>投诉人肖先生投诉对象拍拍贷涉诉金额6600元问题类型诉求类型投诉详情拍拍贷逾期五个多月，，，拍拍贷泄露个人信息资料，外包贷后催收，多次座机电话，网络虚拟号码骚扰，语气强硬，态度恶劣，如今偿还的利息已经是本金的一倍以上，今日打电话给我通讯录及其他家人朋友，盗取我通讯录，骚扰亲友，你们这是违法的行为、没说不还钱、只是现在暂时困难、请你们通过正常的法律途径解决。</t>
  </si>
  <si>
    <t>捷信金融严重影响家人生活</t>
  </si>
  <si>
    <t>http://ts.21cn.com/tousu/show/id/1373053</t>
  </si>
  <si>
    <t>2019/10/19 09:15:37</t>
  </si>
  <si>
    <t>捷信金融每天对我联系人打无数个电话，严重影响家人。</t>
  </si>
  <si>
    <t>砍头息，年利率百分之36，协商还款</t>
  </si>
  <si>
    <t>http://ts.21cn.com/tousu/show/id/1373052</t>
  </si>
  <si>
    <t>2019/10/19 09:15:08</t>
  </si>
  <si>
    <t>在MY钱包借款4000，三个月需还款4840，收取480的服务费，360的利息，年利率在百分之36，现在资金周转困难，想要协商还款，去除服务费，在法定利率内还款。</t>
  </si>
  <si>
    <t>催收爆通讯录骚扰我</t>
  </si>
  <si>
    <t>http://ts.21cn.com/tousu/show/id/1373051</t>
  </si>
  <si>
    <t>2019/10/19 09:13:51</t>
  </si>
  <si>
    <t>朋友欠钱，催收公司给我打电话，并且态度很恶劣，说让我手机保持畅通，还会骚扰我。</t>
  </si>
  <si>
    <t>易宝支付严重违规为714套路贷提供清结算通道，获取暴利</t>
  </si>
  <si>
    <t>http://ts.21cn.com/tousu/show/id/1373050</t>
  </si>
  <si>
    <t>2019/10/19 09:13:39</t>
  </si>
  <si>
    <t>易宝支付作为三方支付公司，审核不严严重失职，违规为714套路贷公司杭州啊噗电子商务有限公司提供变相砍头息结算通道，获取暴利，该企业无金融放贷资质超范围经营非法放贷，旗下啊噗商城非法经营714高炮！例如借款周期7天，借3000元，必须提前缴纳900元购买会员，典型的砍头息，7天后还款3000多，315曝光后，为逃避打击更名后仍不收敛并且将之前的订单全部删除！继续违法涉黑！本人要求易宝支付和该公司退还本人的所有砍头息！公司目前已经注销，但法人还在，如不解决，本人选择继续投诉支付公司严重违法违规,针对该企业的套路</t>
  </si>
  <si>
    <t>中邮金融恶意</t>
  </si>
  <si>
    <t>http://ts.21cn.com/tousu/show/id/1373049</t>
  </si>
  <si>
    <t>2019/10/19 09:12:27</t>
  </si>
  <si>
    <t>投诉人 杨先生        投诉对象  中邮消费金融        涉诉金额  600 元    问题类型    诉求类型投诉详情  中邮一直恶意骚扰各种威胁 暴力催收</t>
  </si>
  <si>
    <t>活力花暴力催收、骚扰</t>
  </si>
  <si>
    <t>http://ts.21cn.com/tousu/show/id/1373047</t>
  </si>
  <si>
    <t>2019/10/19 09:10:30</t>
  </si>
  <si>
    <t>，活力花泄露个人信息资料，外包贷后催收，多次座机电话，网络虚拟号码骚扰，语气强硬，态度恶劣，如今偿还的利息已经是本金的一倍以上，今日打电话给我通讯录及其他家人朋友，盗取我通讯录，骚扰亲友，你们这是违法的行为、没说不还钱、只是现在暂时困难、请你们通过正常的法律途径解决。</t>
  </si>
  <si>
    <t>特约小富商城无缘无故扣掉我卡里的2000元钱</t>
  </si>
  <si>
    <t>http://ts.21cn.com/tousu/show/id/1373048</t>
  </si>
  <si>
    <t>2019/10/19 09:10:18</t>
  </si>
  <si>
    <t>小富商城在10月17号早上9点25分47秒无缘无故扣掉卡里的1000元，在10月19号早上8点14分47秒又无缘无故扣掉我卡里的1000元钱，这是我还信用卡用的钱，就这么无缘无故被小富商城给扣掉了。</t>
  </si>
  <si>
    <t>婕信贷款套路贷</t>
  </si>
  <si>
    <t>http://ts.21cn.com/tousu/show/id/1373046</t>
  </si>
  <si>
    <t>2019/10/19 09:09:44</t>
  </si>
  <si>
    <t>当时借款时说还6198连利息都算里面了但是我还了几期感觉不对了一算没期还416.60需还20期也就是得还8.332请求投诉成功还款金额与实际不符。</t>
  </si>
  <si>
    <t>关于手机借钱里的多宝分期高利贷的投诉</t>
  </si>
  <si>
    <t>http://ts.21cn.com/tousu/show/id/1373045</t>
  </si>
  <si>
    <t>2019/10/19 09:09:30</t>
  </si>
  <si>
    <t>我于2019年9月5日从手机借钱里的多宝分期借款6000元，需要分四期还款，每15天一还，每期需还款2368.80元，共需还款9475.20元，也就是6000元的本金借款2月，利息高达3475.20元！远远超过国家规定利息，属于国家最近正在严厉打击的非法高利贷！而且听说该公司有暴力催收行为，骚扰联系人和通讯录，要求本金加100元利息协商还款销账，并且停止骚扰联系人和通讯录这样的暴力催收非法行为！。</t>
  </si>
  <si>
    <t>拖着不给退款</t>
  </si>
  <si>
    <t>http://ts.21cn.com/tousu/show/id/1373001</t>
  </si>
  <si>
    <t>2019/10/19 09:09:11</t>
  </si>
  <si>
    <t>于10月10号从nike微信小程序上下单买的一双699元的鞋！10月12号中午收到的鞋，打开外包装，没有取出鞋盒，然后打开鞋盒拿出一只鞋，一试发现小了，就把鞋子放回去，一直到15号对方客服给我打电话说我的快递库房收到了，没有订单号，让我给报订单号，我报完订单号，他们说会给我处理退款，对方又跟我说因为我的快件今天库房刚刚收到，得等验货核实，从14号起物流信息一直显示“快件到达收方仓库，正在排队验货签收”，然后到16号我给对方打了电话咨询什么时候到账，他们又说鞋盒底部有个合格证没有找到，在查，我给打去电话咨询什</t>
  </si>
  <si>
    <t>钱站恶意骚扰爆通讯录</t>
  </si>
  <si>
    <t>http://ts.21cn.com/tousu/show/id/1373042</t>
  </si>
  <si>
    <t>2019/10/19 09:08:51</t>
  </si>
  <si>
    <t>本人在钱站逾期三天，钱站工作人员第三天疯狂打电话，以及给联系人打电话发信息，严重影响本人生活工作，，因为本人这一期确实困难，周转不开，所以要求钱站催收停止骚扰，在给一点时间我去周转马上还进去。</t>
  </si>
  <si>
    <t>洋钱罐收取不合法的利息</t>
  </si>
  <si>
    <t>http://ts.21cn.com/tousu/show/id/1373043</t>
  </si>
  <si>
    <t>2019/10/19 09:08:41</t>
  </si>
  <si>
    <t>9月27日，我以偿还21015元，还需偿还6141，总共需偿还利息7156，这利息远高于国家法律规定的利率，我希望与该平台对话，希望减少利息只偿还国家法律规定利率范围内的利息。</t>
  </si>
  <si>
    <t>http://ts.21cn.com/tousu/show/id/1373044</t>
  </si>
  <si>
    <t>2019/10/19 09:08:39</t>
  </si>
  <si>
    <t>本人在钱站app借款3000元，分三期，钱站合同写的4000元，每月要还1405元。</t>
  </si>
  <si>
    <t>与中信银行信用卡中心协商还款</t>
  </si>
  <si>
    <t>http://ts.21cn.com/tousu/show/id/1373041</t>
  </si>
  <si>
    <t>2019/10/19 09:07:53</t>
  </si>
  <si>
    <t>请求中信信用卡中心客服给予回复，已经等很长时间，中信银行信用卡中心不给予回复。</t>
  </si>
  <si>
    <t>钱橙无忧乱扣费</t>
  </si>
  <si>
    <t>http://ts.21cn.com/tousu/show/id/1373014</t>
  </si>
  <si>
    <t>2019/10/19 09:07:28</t>
  </si>
  <si>
    <t>未经本人同意连续扣款两次84元，客服联系不到，请他们退款。</t>
  </si>
  <si>
    <t>立借钱置宝还款不销账</t>
  </si>
  <si>
    <t>http://ts.21cn.com/tousu/show/id/1373040</t>
  </si>
  <si>
    <t>2019/10/19 09:07:22</t>
  </si>
  <si>
    <t>10月16号有钱置宝工作人员联系我，说减免逾期费，当天在app上操作还款，到晚上8-9点才更新账单，我点绑卡还款，绑不了，支付宝账号也没有人告诉我，在10月17号的时候我自己联系他们钱置宝，问了账号把16号说的1502块钱转了过去，现在还没有销账，你们钱置宝是乞丐吗，我已经付了几百服务费给你们了，现在和我玩还款不销账。</t>
  </si>
  <si>
    <t>闪银开延期</t>
  </si>
  <si>
    <t>http://ts.21cn.com/tousu/show/id/1373039</t>
  </si>
  <si>
    <t>2019/10/19 09:07:06</t>
  </si>
  <si>
    <t>闪银到期，周一才能发工资，希望贵平台能联系客服协商延期还款谢谢。</t>
  </si>
  <si>
    <t>翼钱包已经银行扣款，已经显示已还清，可是第二天来看就是逾期，而且逾期费用快到一百</t>
  </si>
  <si>
    <t>http://ts.21cn.com/tousu/show/id/1373038</t>
  </si>
  <si>
    <t>2019/10/19 09:07:04</t>
  </si>
  <si>
    <t>砍头息，到期之后延期一次就是750的费用，现在还说要仲裁我。</t>
  </si>
  <si>
    <t>http://ts.21cn.com/tousu/show/id/1373037</t>
  </si>
  <si>
    <t>2019/10/19 09:04:30</t>
  </si>
  <si>
    <t>借29000还60000，阴阳合同，平台收取高额利息及高额服务费，在未通知借款人的情况下，制造虚假合同，擅自添加修改借款账单让借款人还款，借款后不仅需要偿还本金及正常利息，还需支付服务费以及服务费还需要利息，以各种方式变相收取高额费用，欺骗借款人，使用分期等额本息方式进行还款，每月偿还本金，利息，服务费，以及服务费利息，实际偿还总利息超过国家规定标准年利率。</t>
  </si>
  <si>
    <t>多次收连环利息</t>
  </si>
  <si>
    <t>http://ts.21cn.com/tousu/show/id/1373036</t>
  </si>
  <si>
    <t>2019/10/19 09:04:07</t>
  </si>
  <si>
    <t>我每个月分期还款的，上个月还款日提后四天才还进去尽然扣我我几十倍的利息。</t>
  </si>
  <si>
    <t>彩虹钱包不合法</t>
  </si>
  <si>
    <t>http://ts.21cn.com/tousu/show/id/1373032</t>
  </si>
  <si>
    <t>2019/10/19 09:02:45</t>
  </si>
  <si>
    <t>投诉人刘女士投诉对象彩虹钱包金融有限公司,彩虹钱包涉诉金额20000元问题类型诉求类型投诉详情最近手头确实紧，收到了彩虹钱包的短信，爆着死马当活马医的心态，就申请了，点进去验证后申请通过，直接蹦出签合同页面，说需要支付借款金额0.05工本费三个月，当时的理解就是下款后，前三个月多还这些，或者说直接砍头息，当时并没有漏出明白的合同，以为跟正常贷款一样，就把合同签了，但是一查订单，发现要提前交工本费3个月才能下款，这简直是拿我当傻子，现在联系客服取消借款也联系不上，而且在我没收到钱的情况下，还款账单已经出来了，</t>
  </si>
  <si>
    <t>神舟租车绑定车辆信息不给解绑</t>
  </si>
  <si>
    <t>http://ts.21cn.com/tousu/show/id/1373035</t>
  </si>
  <si>
    <t>2019/10/19 09:02:13</t>
  </si>
  <si>
    <t>租了一辆神舟的车跑滴滴，没有签任何合同，现在不干了，绑定的车辆信息不给解绑，联系无果后投诉…。</t>
  </si>
  <si>
    <t>要求美图免除多余利息</t>
  </si>
  <si>
    <t>http://ts.21cn.com/tousu/show/id/1373034</t>
  </si>
  <si>
    <t>2019/10/19 09:01:38</t>
  </si>
  <si>
    <t>我*子引导在美图e钱包借了20000元，分6期还，客服说协议上有相关条例，我要求把协议给到我看，客服说系统优化无法查看，相当于签了合同只有一份合同，而且他们是合作平台，应该有三方协议，应该一式三份，然而我这边根本看不到，要求减免余期费用，只支付应支付的费用，并且平台对我的精神损失和时间损失做出相应道歉，您好，我是通过应用商店下载的APP，我需要支付的是六个月息费，用一天他们也说是要交六个月的息费，借款20000,不管什么时候还也是还3933.33×6=23599.98,借款期限是6个月，贷款通过美图e钱包借</t>
  </si>
  <si>
    <t>http://ts.21cn.com/tousu/show/id/1373033</t>
  </si>
  <si>
    <t>2019/10/19 09:01:16</t>
  </si>
  <si>
    <t>10月22日还款，催收今天打来电话态度恶劣，我已经表示逾期费用会承担并全额还款，只是和亲朋好友真的借不上钱了，希望可以协商到10月22日还款。</t>
  </si>
  <si>
    <t>蜂窝钱包5天非法高利贷申请额度直接下款不接受协商还款汇潮支付和支付宝为非法高利贷提供放款还款通道请求协商本金</t>
  </si>
  <si>
    <t>http://ts.21cn.com/tousu/show/id/1373029</t>
  </si>
  <si>
    <t>2019/10/19 08:58:03</t>
  </si>
  <si>
    <t>汇潮支付和支付宝为非法高利贷提供放款还款通道。</t>
  </si>
  <si>
    <t>闲鱼买到假货，卖家拒绝退货，拒不处理</t>
  </si>
  <si>
    <t>http://ts.21cn.com/tousu/show/id/1373027</t>
  </si>
  <si>
    <t>2019/10/19 08:57:17</t>
  </si>
  <si>
    <t>本人买到一双假鞋，卖家已即将出国为由拒不处理，，并且卖家声称即使我寄过去也不会被签收而是直接原路退回，本人表示可以寄到她方便的地方，她总不可能只有学校这一个收货地址。</t>
  </si>
  <si>
    <t>联动优势为变相高利贷平台趣惠买提供通道</t>
  </si>
  <si>
    <t>http://ts.21cn.com/tousu/show/id/1373026</t>
  </si>
  <si>
    <t>2019/10/19 08:56:34</t>
  </si>
  <si>
    <t>本人于10月11日在趣惠买平台使用白条购物，后因无法退款只有卖了换钱，1050元到账735元，期限为八天，严重违法国家正常利率，属于变相高利贷，联动优势为其提供放款通道，本人无法接受这个利率，希望平台给出一个合理的解释与说法，不要说购物平台，只要涉及白条就属于高利贷，如产生骚扰并没有一个合理的解释，本人将进行其他各大投诉平台进行投诉，并与12377网贷投诉平台取得联系，同时并进行报警，寻找相关人事处理。</t>
  </si>
  <si>
    <t>注册上海律环科技网络的立即秒贷没有提示就扣款299元，</t>
  </si>
  <si>
    <t>http://ts.21cn.com/tousu/show/id/1373025</t>
  </si>
  <si>
    <t>2019/10/19 08:54:24</t>
  </si>
  <si>
    <t>你好，聚投诉的工作人员，我投诉得是上海律环的立即贷，不要联系以前的立即贷，不然说投诉无效，那些就是抓住冒名的进行骗钱，19年10月18日中午1点左右在华为市场下载了一个上海律环网络科技公司的立即贷的软件，注册时没有任何提示要划扣299元，我在注册完毕以后，就私自要扣我299元。</t>
  </si>
  <si>
    <t>宜信砍头息，暴力催收，恐吓</t>
  </si>
  <si>
    <t>http://ts.21cn.com/tousu/show/id/1373024</t>
  </si>
  <si>
    <t>2019/10/19 08:54:17</t>
  </si>
  <si>
    <t>暴力催收，为了要钱我的命可以不要！！！我在开车车流比较大，晚上开始疯狂拨打我通讯录说联系不上我，下午5点多到6点不是电话联系就是微信，我贷款到手才25000.还11期一期2488.83.还了快2万5了，剩下还有31053.22元。</t>
  </si>
  <si>
    <t>360借款未经同意骚扰并泄露通讯录</t>
  </si>
  <si>
    <t>http://ts.21cn.com/tousu/show/id/1373023</t>
  </si>
  <si>
    <t>2019/10/19 08:53:50</t>
  </si>
  <si>
    <t>非法骚扰通讯录！对家人朋友造成了严重的骚扰！要求360借款停止一切对家人朋友的骚扰，并对相关人员做出处罚！。</t>
  </si>
  <si>
    <t>商家逾期未发货</t>
  </si>
  <si>
    <t>http://ts.21cn.com/tousu/show/id/1373022</t>
  </si>
  <si>
    <t>2019/10/19 08:53:22</t>
  </si>
  <si>
    <t>商家逾期未发货，之前联系商家说的好好的马上发货过两天还是没有发货，浪费我时间等那么久麻烦赔偿我40无门槛红包。</t>
  </si>
  <si>
    <t>交通银行信用卡中心客服</t>
  </si>
  <si>
    <t>http://ts.21cn.com/tousu/show/id/1373021</t>
  </si>
  <si>
    <t>2019/10/19 08:53:21</t>
  </si>
  <si>
    <t>投诉人 张女士        投诉对象  交通银行        涉诉金额  9 000 元    问题类型    诉求类型投诉详情  交通银行信用卡。用私人手机号码威胁单位同事，家人，。钱我都已经还一部分了还是不停的骚扰。还钱了。看不到吗？眼瞎的吗？</t>
  </si>
  <si>
    <t>捷信又爆通讯录</t>
  </si>
  <si>
    <t>http://ts.21cn.com/tousu/show/id/1373019</t>
  </si>
  <si>
    <t>2019/10/19 08:50:48</t>
  </si>
  <si>
    <t>捷信又开始爆通讯录了，这家高利贷公司，怎么这么猖狂，真没人管了吗，怎么能这样伤害人，借了3万，现在已经还了36000，还在不停的催收，爆通讯录，恐吓。</t>
  </si>
  <si>
    <t>求求你们别逼我了，非要把人逼死</t>
  </si>
  <si>
    <t>http://ts.21cn.com/tousu/show/id/1373018</t>
  </si>
  <si>
    <t>2019/10/19 08:50:29</t>
  </si>
  <si>
    <t>本人因服装生意失败信用卡逾期了，结婚以后怀孕生孩子一个人带孩子，没有工作，仅仅靠微商一点收入，但是不是恶意拖欠，这两天也在积极还款，每天500－1000的在还，也还了5/6千了，只要每天有收入，都一分不剩的，还进去，那天恶露不净大出血去检查剩下的300块钱也还进去了！可是中信的复利太可怕了，还进去的钱直接都看不见，而且也不知道他们从哪知道各种家人电话，办卡的时候根本没有留，一天十几个打电话，给我打电话我也接了，说明情况了，可是他们不同意协商就让我借钱，还款，我能借的都借了，要是有真的早还了，他们还要上门，母</t>
  </si>
  <si>
    <t>星赫梁山科技有限公司乱扣钱</t>
  </si>
  <si>
    <t>http://ts.21cn.com/tousu/show/id/1373017</t>
  </si>
  <si>
    <t>2019/10/19 08:49:45</t>
  </si>
  <si>
    <t>在没有输入任何验证码的情况下，在2019年10月18日下午16：19分扣款288元，本人和星赫，科技有限公司不存在借贷纠纷，买卖纠纷，希望在协商下归还血汗钱。</t>
  </si>
  <si>
    <t>浦发信用卡中心</t>
  </si>
  <si>
    <t>http://ts.21cn.com/tousu/show/id/1373016</t>
  </si>
  <si>
    <t>2019/10/19 08:49:27</t>
  </si>
  <si>
    <t>投诉人 田士栋        投诉对象  浦发信用卡        涉诉金额  3 100 元    问题类型    诉求类型投诉详情  协商还款 我已没有还款能力 刚出院 有诊断通知</t>
  </si>
  <si>
    <t>今日花呗未使用服务扣款299</t>
  </si>
  <si>
    <t>http://ts.21cn.com/tousu/show/id/1373015</t>
  </si>
  <si>
    <t>2019/10/19 08:47:28</t>
  </si>
  <si>
    <t>昨晚在今日花呗注册了准备借点钱周转，结果没有额度，想的是算了换一个，就卸载了，结果凌晨三点过连续两天扣款信息直接从卡里扣了299，我就想我没有在你平台借到钱你扣我钱干嘛，有服务费我可以接受，但前提是我在你们平台借到或者怎么样才行啊。</t>
  </si>
  <si>
    <t>砍头息，高利贷，714，阴阳合同</t>
  </si>
  <si>
    <t>http://ts.21cn.com/tousu/show/id/1372992</t>
  </si>
  <si>
    <t>2019/10/19 08:45:33</t>
  </si>
  <si>
    <t>随你分期借款4000，到账2600，7天要还4000，手头资金周转不开，马上还款日，不希望打扰家人和正常生活，现接受只支付本金加合理利息，钱站用过一次，利息还可以接受，第二次，借1100，三期，要还1900多，和合同不一致，没明确表明每期都收手续费，贷上钱，借一个月1500，要还1900多，之前周转需要用钱，现在已支撑不住了，希望可以只支付收到本金加和合理利息。</t>
  </si>
  <si>
    <t>套路贷。高利息</t>
  </si>
  <si>
    <t>http://ts.21cn.com/tousu/show/id/1373012</t>
  </si>
  <si>
    <t>2019/10/19 08:45:11</t>
  </si>
  <si>
    <t>投诉人 李先生        投诉对象  平安普惠        涉诉金额  120 000 元    问题类型    诉求类型投诉详情  高利息，砍头息。而且每个月都要交保险费和服务费。</t>
  </si>
  <si>
    <t>通联支付未经本人同意第三方直接扣除银行卡的钱</t>
  </si>
  <si>
    <t>http://ts.21cn.com/tousu/show/id/1373013</t>
  </si>
  <si>
    <t>2019/10/19 08:45:08</t>
  </si>
  <si>
    <t>16号我账号汇入一笔钱是急用，然后被通联支付未经本人同意的情况下直接扣款，之后联系银行客服让联系通联支付，，打了十多分钟终于打进了电话，联系在线人工也联系了配合他们提供了一系列的退款流程需要的证件等，告知等他们工作人员处理，因为急用，要加急处理，但是周四商户那边联系上到今天都没动静，我想请问通联支付你们处理效率呢，是不是别人用钱急用你们随意扣款导致发生了什么问题你们是否能付出相应的责任，这个事情能不能解决了，现在多少号了。</t>
  </si>
  <si>
    <t>变向收取费用</t>
  </si>
  <si>
    <t>http://ts.21cn.com/tousu/show/id/1373011</t>
  </si>
  <si>
    <t>2019/10/19 08:43:35</t>
  </si>
  <si>
    <t>小赢卡贷变向高利贷，1万元分12期需要还13598达到年利率百分之六十，还款7期还需要还款5520。</t>
  </si>
  <si>
    <t>牛人有品暴力要求还款高利贷！</t>
  </si>
  <si>
    <t>http://ts.21cn.com/tousu/show/id/1373010</t>
  </si>
  <si>
    <t>2019/10/19 08:43:05</t>
  </si>
  <si>
    <t>还款日当天威胁并辱骂聚投诉一分不减！高利贷！借一千三百多还款1900！要求调整利息还款！至今无人联系！客服电话无人接听！请平台跟进！。</t>
  </si>
  <si>
    <t>退货淘宝介入快2个月没处理结果</t>
  </si>
  <si>
    <t>http://ts.21cn.com/tousu/show/id/1373009</t>
  </si>
  <si>
    <t>2019/10/19 08:41:57</t>
  </si>
  <si>
    <t>水果全坏，申请退款，淘宝介入快2个月没有处理结果，拨打2次淘宝客服，任然没有处理结果。</t>
  </si>
  <si>
    <t>瓜子网不按合同提供快速过户服务</t>
  </si>
  <si>
    <t>http://ts.21cn.com/tousu/show/id/1373008</t>
  </si>
  <si>
    <t>2019/10/19 08:40:33</t>
  </si>
  <si>
    <t>瓜子二手车通知有客户定车，9月30日完成检测并签下合同付了百分之七十的首付款，约定节后办理过户手续，十一期间本人购买了新车等着旧车指标，瓜子网节后告知买家贷款没批不在购买，本人要求按照合同规定执行快速过户服务并同意支付费用，瓜子网一直以审批为由不给办理。</t>
  </si>
  <si>
    <t>财付通微信零钱充值账户</t>
  </si>
  <si>
    <t>http://ts.21cn.com/tousu/show/id/1373007</t>
  </si>
  <si>
    <t>2019/10/19 08:39:56</t>
  </si>
  <si>
    <t>我邮政银行卡里的钱分9次转到微信财付通零钱充值账户.我去我微信零钱上看了也没有这些钱充值记录都没有。</t>
  </si>
  <si>
    <t>兰州中川机场套路办理出行唯选1998</t>
  </si>
  <si>
    <t>http://ts.21cn.com/tousu/show/id/1373006</t>
  </si>
  <si>
    <t>2019/10/19 08:38:22</t>
  </si>
  <si>
    <t>10月17日，我从兰州中川机场准备飞往广州，在T2航站楼办理登机牌，一身着机场工作人员服装的女性在自动柜机帮我办理登机牌，后介绍她们办理会员卡，说预存1998元会员卡会赠送1000元，可以用来通过出行唯选APP购买底仓机票等一系列的服务，因为机场工作人员直接办理，想着不会骗人！2019年10月18日利用出行唯选购买机票时，才发现自己预存1998和赠送1000元只是能够抵扣单次机票50元。</t>
  </si>
  <si>
    <t>公示总欠款，停息还款</t>
  </si>
  <si>
    <t>http://ts.21cn.com/tousu/show/id/1373005</t>
  </si>
  <si>
    <t>2019/10/19 08:37:41</t>
  </si>
  <si>
    <t>本人卡片额度总的是1万，后来客服联系我要我在财智金里套出来，我也正常还款，财智金也还在正常使用，但没有通知我总欠款总额是多少，之前一直还的最低欠款，然后突然财智金不给用了，多次联系客服协商还款，申请分期，都是不给分期，本人有强烈的还款意愿，广发客服人员态度不好，一直不给解决，还骚扰我的联系人，强烈要求申请分期还款，停息结款。</t>
  </si>
  <si>
    <t>http://ts.21cn.com/tousu/show/id/1373004</t>
  </si>
  <si>
    <t>2019/10/19 08:35:22</t>
  </si>
  <si>
    <t>本人2019年9月19日在闪银瞬瞬借款2500元，，现已还清，无法再次借款，导致第二笔哼哼2300元产生逾期，要求客服人员与我联系，开通延期还款方式。</t>
  </si>
  <si>
    <t>闪电借款暴力催收，客服联系不上</t>
  </si>
  <si>
    <t>http://ts.21cn.com/tousu/show/id/1373003</t>
  </si>
  <si>
    <t>2019/10/19 08:34:51</t>
  </si>
  <si>
    <t>我在闪电借款申请了一笔借款，现在由于孩子有病了，钱都给孩子看病了，导致逾期，我主动联系他们客服联系不上，现在一直电话暴击催收，现在请求聚投诉帮忙，我要协商还款。</t>
  </si>
  <si>
    <t>品牌奶粉纽瑞滋佶润一段奶粉吃出黄色固体颗粒</t>
  </si>
  <si>
    <t>http://ts.21cn.com/tousu/show/id/1373002</t>
  </si>
  <si>
    <t>2019/10/19 08:34:37</t>
  </si>
  <si>
    <t>2019年6月30号，我在西安曲江金地翔悦天下南门小马驹孕婴店购买了一箱6桶纽瑞滋佶润一段奶粉，价格是358/桶，在给孩子吃的时候，发现黑色颗粒，他们说是焦糖颗粒，无条件退换，结果还没退换，新开购买的的奶粉罐里又发现黄色固体颗粒，而且质地坚硬，并不融于水，就武断地单方面下结论说这是属于正常现象，是他们在生产过程中添加的乳铁蛋白，却提供不了该颗粒相应的官方成分鉴定报告，难道牵扯广大新生儿健康的奶粉产品质量，就可以这样目测检验，我们随后联系了孕婴店，他们也解释不清，宝宝吃完了之后拉灰色的便便，孩子精神也不太好，</t>
  </si>
  <si>
    <t>盈股信息配资虚拟盘非法</t>
  </si>
  <si>
    <t>http://ts.21cn.com/tousu/show/id/1372964</t>
  </si>
  <si>
    <t>2019/10/19 08:33:13</t>
  </si>
  <si>
    <t>投诉人杨先生投诉对象佛山市盈股信息技术咨询有限公司,支付宝涉诉金额110000元问题类型诉求类型投诉详情本人5月份在盈股信息配资平台操作，至今陆续充值了17万，亏损11万，近期发现其平台为虚拟盘，自己亏损的资金被平台吞了，我要求其交出我自己交易的交割单，平台无法拿出，并且也无法解释交易软件买卖单无法在券商平台正常显示，因此要求平台退还我亏损的金额，希望支付宝冻结其充值帐号资金转出，帮我跟平台施压，还我血汗钱，如我有虚假，愿意承担法律责任。</t>
  </si>
  <si>
    <t>招联金融暴力催收让我生死不能</t>
  </si>
  <si>
    <t>http://ts.21cn.com/tousu/show/id/1373000</t>
  </si>
  <si>
    <t>2019/10/19 08:28:23</t>
  </si>
  <si>
    <t>让咱们这些平民百姓生不如死！招联金融随意把我们的个人信息透露给陌生人，前天招联催收，声称不还款，就通知我的亲戚朋友，让我臭名远扬，有录音为证，本来就是低谷时期，朋友们就逐渐疏远，再接到我的这些信息或电话，那就更加不会理我了，没有亲人，没有朋友，没有钱，活着还有意义吗！现在无心工作，无心生活，也没有没有什么希望残活！现在每天都活在担惊受怕之中，聚投诉官方，如果哪一天我出意外了，一定就是催收逼的！希望官方，为我们这些弱势群体，做主！我们是因为一些意外，欠了招联的钱，但我们没有说不还，也一直在努力，给我一点时间，</t>
  </si>
  <si>
    <t>淘手游平台办事效率低</t>
  </si>
  <si>
    <t>http://ts.21cn.com/tousu/show/id/1372999</t>
  </si>
  <si>
    <t>2019/10/19 08:25:52</t>
  </si>
  <si>
    <t>在淘手游平台购买一个游戏账号，有权验证账号信息，但是账号登入不了，告诉我可以随时登入，但是我付款后登入不了还是要原卖家手机验证才能登入，我要登入必须12小时候换绑手机后，客服却说可以随时登入，完全欺骗消费者，我买个东西有权利退货但是要等7天，这中间的损失谁负责，钱收了不办事，那我跟卖家双方他卖的东西冻结在那，无法再次出售，而我购买的资金无法马上退还，你是银行吗。</t>
  </si>
  <si>
    <t>暴力威胁爆通讯录</t>
  </si>
  <si>
    <t>http://ts.21cn.com/tousu/show/id/1372998</t>
  </si>
  <si>
    <t>2019/10/19 08:25:48</t>
  </si>
  <si>
    <t>借了10000,分三期，第一期3723，第二期，3611，第三期，3611，总共还10945，他们暴力催收，然后，还爆我通讯录，打给我家人，致使，我家人都非常害怕，。</t>
  </si>
  <si>
    <t>多宝分期高利贷</t>
  </si>
  <si>
    <t>http://ts.21cn.com/tousu/show/id/1372996</t>
  </si>
  <si>
    <t>2019/10/19 08:24:34</t>
  </si>
  <si>
    <t>因急用钱周转经人介绍在多宝分期借款6000元，分4期偿还申请时未显示总还款额，待申请完成时显示每期15天，每期还款2398.8元，现已还2期共计4797.6，现申请按照国家规定24%的年利率进行还款，即今日一次性还款1442.4后该平台进行销账处理。</t>
  </si>
  <si>
    <t>飞贷</t>
  </si>
  <si>
    <t>http://ts.21cn.com/tousu/show/id/1372995</t>
  </si>
  <si>
    <t>2019/10/19 08:23:55</t>
  </si>
  <si>
    <t>飞贷投诉到现在已经有几天了，一点用都没有，还是无语的催收，跟客服反应也都没有用，没有心想还款的，也还了一部分，还是遭到催收的攻击，每天要上班，不接电话也不是，还收到这些不负责任的短信，本来飞贷就是高利贷，逾期一天涨四十多块钱，明的要害人，国家也不允许这样啊，还一次还要收几块钱的手续费，现在真的没有能力还款了，看见这样的乱收费，希望有关部门严查，这些催收很可恨，我录音都有，都是玩套路，号码不断的改变，飞贷金融业也是，逾期一天的费用，高得你都没有能力还款，该什么办，每个人收的手续费，逾期一天四十多，两天八十多，</t>
  </si>
  <si>
    <t>瑞易生活扫码支付未到账，客户一直推说到账时间，投诉赔付</t>
  </si>
  <si>
    <t>http://ts.21cn.com/tousu/show/id/1372994</t>
  </si>
  <si>
    <t>2019/10/19 08:22:48</t>
  </si>
  <si>
    <t>办理刷卡机和商户系统时，工作人员说都是秒到帐，用了半年多了，一直都是秒到账，可这次却没到账，扫码支付后，20分钟没到账，就联系了客服，客服说：到账时间是两个小时内，喊我耐心等待，可两个小时后还是没到账，我又联系客服，客服又说：可能是银行系统升级，喊我等到第二天下午四点，可第二天四点还是没到账，我又给客服打电话，客服说喊我等到凌晨十二点前一定到账，可还是没到账，我也不知道怎么回事，客服人员就这样一直推诿我希望那么大一个公司，能不能讲点诚信，而且我商户页面也全部显示已结算！我怕啊，那是别人刷钱救命的钱啊！。</t>
  </si>
  <si>
    <t>钱站高利贷，</t>
  </si>
  <si>
    <t>http://ts.21cn.com/tousu/show/id/1372993</t>
  </si>
  <si>
    <t>2019/10/19 08:21:50</t>
  </si>
  <si>
    <t>当初在app明明写的借款7000，今天还款日，我才突然间多了这么多，一期2100多，共6期，共12500。</t>
  </si>
  <si>
    <t>所有家人被威胁骚扰，要求道歉</t>
  </si>
  <si>
    <t>http://ts.21cn.com/tousu/show/id/1372990</t>
  </si>
  <si>
    <t>2019/10/19 08:21:08</t>
  </si>
  <si>
    <t>严重受到骚扰并受到威胁，要求活力花的人道歉并停止骚扰和威胁。</t>
  </si>
  <si>
    <t>你我贷高利贷</t>
  </si>
  <si>
    <t>http://ts.21cn.com/tousu/show/id/1372991</t>
  </si>
  <si>
    <t>2019/10/19 08:21:01</t>
  </si>
  <si>
    <t>投诉人 林志强        投诉对象  你我贷        涉诉金额  6 210 元    问题类型    诉求类型投诉详情  前两个月远远超过。要求退还钱没两期多余的</t>
  </si>
  <si>
    <t>暴力催收恐吓辱骂</t>
  </si>
  <si>
    <t>http://ts.21cn.com/tousu/show/id/1372988</t>
  </si>
  <si>
    <t>2019/10/19 08:18:37</t>
  </si>
  <si>
    <t>属于高利贷，还有，他们还有一个第三方，叫多米，他们说我借了他们880，但是我印象没有，我总共要还他们1500左右，我不知道这是什么。</t>
  </si>
  <si>
    <t>51人品贷胡乱收费</t>
  </si>
  <si>
    <t>http://ts.21cn.com/tousu/show/id/1372987</t>
  </si>
  <si>
    <t>2019/10/19 08:18:20</t>
  </si>
  <si>
    <t>违规收取高额金融服务费用，提前结清还需要各项费用。</t>
  </si>
  <si>
    <t>天天拍车检测差异胡乱扣款</t>
  </si>
  <si>
    <t>http://ts.21cn.com/tousu/show/id/1372986</t>
  </si>
  <si>
    <t>2019/10/19 08:17:20</t>
  </si>
  <si>
    <t>一台15年上牌大众朗逸，检测报告与实车不符，有些地方未有真实图片，本人提出差异，事实明明存在喷漆整形，大灯也存在灯脚断裂焊接，还被拒，客服态度强硬，说这个价格你若不要，就给别人了，还要扣款2千元，本人不同意，一分钟就把我款给扣了！图为天天拍车检测报告与4s店记录，实车图片。</t>
  </si>
  <si>
    <t>尚德机构投诉专题</t>
  </si>
  <si>
    <t>http://ts.21cn.com/tousu/show/id/1372985</t>
  </si>
  <si>
    <t>2019/10/19 08:16:52</t>
  </si>
  <si>
    <t>我在2019年，十月十八号，在尚德机构报名，然后，缴纳了定金1238元，还在老师的劝说下贷款一万多，事后老是感觉不对劲，经家人和同事的劝说后，决定想着考虑想清楚了在报考，让她给我退定金1238元时，发现老师老师推脱说等待，二十四小时过去了，也没有答复，而且现在发消息也不回，还请尚德机构退还本人1238元，并停止我的贷款项目。</t>
  </si>
  <si>
    <t>新浪分期的受害者</t>
  </si>
  <si>
    <t>http://ts.21cn.com/tousu/show/id/1372983</t>
  </si>
  <si>
    <t>2019/10/19 08:15:51</t>
  </si>
  <si>
    <t>投诉人 李花花        投诉对象  新浪分期        涉诉金额  1 000 000 元    问题类型    诉求类型投诉详情  新浪分期的受害者 请尽快联系海南澄迈警方 新浪分期套路贷 高利贷已被调查 、请大家保留证据 向警方提供破案线索</t>
  </si>
  <si>
    <t>51分期砍头息</t>
  </si>
  <si>
    <t>http://ts.21cn.com/tousu/show/id/1372984</t>
  </si>
  <si>
    <t>2019/10/19 08:15:45</t>
  </si>
  <si>
    <t>砍头息，要求取消砍头息，我要一次结清，利息我可以接受，砍头息不接受！。</t>
  </si>
  <si>
    <t>在我不知情情况下，扣我199块钱</t>
  </si>
  <si>
    <t>http://ts.21cn.com/tousu/show/id/1372981</t>
  </si>
  <si>
    <t>2019/10/19 08:15:28</t>
  </si>
  <si>
    <t>凌晨五点在不知情情况下，分两次扣款199元。</t>
  </si>
  <si>
    <t>报通讯录</t>
  </si>
  <si>
    <t>http://ts.21cn.com/tousu/show/id/1372982</t>
  </si>
  <si>
    <t>乱打通讯录电话严重影响生活影响上班希望做出相应调整不然起诉。</t>
  </si>
  <si>
    <t>海浪分期系原肥猫贷，高利贷</t>
  </si>
  <si>
    <t>http://ts.21cn.com/tousu/show/id/1372980</t>
  </si>
  <si>
    <t>2019/10/19 08:14:10</t>
  </si>
  <si>
    <t>肥猫贷网贷，现在更名为海浪分期，继续原本的勾当，借款1400元，六天后需还款2000元，远远高于国家的规定，而且催收态度十分恶劣，威胁，爆通讯录，无所不用其极，汇潮支付有限公司为高利贷平台提供下款还款通道，真是助纣为虐，先希望肥猫贷或者汇潮支付尽快联系我，协商处理，如果今天再有催收乱搞我，我就直接报警，通过法律来处理。</t>
  </si>
  <si>
    <t>钱站高利贷高额砍头息</t>
  </si>
  <si>
    <t>http://ts.21cn.com/tousu/show/id/1372979</t>
  </si>
  <si>
    <t>2019/10/19 08:12:49</t>
  </si>
  <si>
    <t>从2019年8月开始经过钱站电话推销人员的不间断电话销售，我手机下载了钱站app产品，9月25日在钱站上借了13000元到账，结果合同上借款金额写成17680,收取高额砍头息4680元，分12期还款，每期要还1837元，现在不到一个月我想一次性给他还款完，远离高利贷，结果他们要我还18611元，不到一个月我要出5611元利息，这比国家法定超出几百倍了，有人管管吗，这5000多相当于我一月的工资了，叫人怎么还的起，我想借助贵平台与钱站协商一次性还款15000元给你们。</t>
  </si>
  <si>
    <t>扣款问题</t>
  </si>
  <si>
    <t>http://ts.21cn.com/tousu/show/id/1372977</t>
  </si>
  <si>
    <t>2019/10/19 08:09:12</t>
  </si>
  <si>
    <t>2019年9月12日造艺网络技术有限公司私自从我的银行卡扣除299元，他们的客服电话也一直打不进去，希望聚投诉能帮忙处理一下，谢谢！。</t>
  </si>
  <si>
    <t>薪薪借钱恶意扣款</t>
  </si>
  <si>
    <t>http://ts.21cn.com/tousu/show/id/1372976</t>
  </si>
  <si>
    <t>2019/10/19 08:08:30</t>
  </si>
  <si>
    <t>之前申请过小额贷款，但是看到的都是推荐平台就删了吗，今天突然恶意扣款199元所谓的会员服务费，而且是在我不知情的情况下扣款的！！要求全额退款，并且做出道歉。</t>
  </si>
  <si>
    <t>闪银高利贷套路贷</t>
  </si>
  <si>
    <t>http://ts.21cn.com/tousu/show/id/1372975</t>
  </si>
  <si>
    <t>2019/10/19 08:08:21</t>
  </si>
  <si>
    <t>本人于9月18日在闪银借款两笔，共两千元，收取四百多的变相砍头息，买的东西远远高出商品价格，现在已经到期，希望能够延期还款。</t>
  </si>
  <si>
    <t>马上金融，平安普惠不实征信</t>
  </si>
  <si>
    <t>http://ts.21cn.com/tousu/show/id/1372974</t>
  </si>
  <si>
    <t>2019/10/19 08:08:00</t>
  </si>
  <si>
    <t>马上消费金融,平安普惠,中国人民银行征信中心，本人在平安普惠i贷分期借款7000元，实际到账7000元，央行征信显示借款10000元，试问平安普惠那3000元哪里去了！本人从未收到！通过京东借钱导流在马上金融借款10000元，实际到账10000元，央行征信显示借款10100元，且该机构对外宣传年化利率与实际不符！相关证据我会寄送到央行，追究到底。</t>
  </si>
  <si>
    <t>http://ts.21cn.com/tousu/show/id/1372973</t>
  </si>
  <si>
    <t>2019/10/19 08:07:50</t>
  </si>
  <si>
    <t>首先，我总共欠他们19700元钱，但是，我要还25000多，他们还私自改合同，我从来没有分期过36个月，48个月，但是，我在，并且打电话威胁恐吓我的同时，还打电话威胁我的家人。</t>
  </si>
  <si>
    <t>收取工本费</t>
  </si>
  <si>
    <t>http://ts.21cn.com/tousu/show/id/1372971</t>
  </si>
  <si>
    <t>2019/10/19 08:03:03</t>
  </si>
  <si>
    <t>在招联分期贷里借了20000，当时签电子合同时没有显示合同内容，只有签字框，不知道合同里说先要支付5%的工本费然后在放款，借款没收到一分钱，问客服钱款没到，客服直接不回，然后还款信息已经出现了，客服说需要充值工本费还款后退回。</t>
  </si>
  <si>
    <t>未经本人允许泄露个人信息与第三方，爆通讯录</t>
  </si>
  <si>
    <t>http://ts.21cn.com/tousu/show/id/1372970</t>
  </si>
  <si>
    <t>2019/10/19 08:00:50</t>
  </si>
  <si>
    <t>分期乐未经本人同意，泄露个人信息给第N方，每天全国各地电话，N个微信加我，我已经不知道那个是真是假，本人最近资金链断了，负债几十万，请求给我一段时间，会慢慢还清的。</t>
  </si>
  <si>
    <t>http://ts.21cn.com/tousu/show/id/1372969</t>
  </si>
  <si>
    <t>2019/10/19 08:00:37</t>
  </si>
  <si>
    <t>我是去年12月份在51借了8500元，分12期，但是，每个月要还894，算下来我总共要还12000多，这个月是第九期，我刚开始逾期了一天，他们就暴力催收，威胁我，然后，就爆我通讯录，给我紧急联系人打电话，威胁，还给他们发短信说，通知我，让我还钱。</t>
  </si>
  <si>
    <t>拼多多平台纵容商家，拖延时间不解决问题</t>
  </si>
  <si>
    <t>http://ts.21cn.com/tousu/show/id/1372968</t>
  </si>
  <si>
    <t>2019/10/19 07:59:51</t>
  </si>
  <si>
    <t>13号在拼多多平台的”健安轮椅厂家“店购买了价值368的轮椅，发的物流是龙邦快递210335981826，首先快递公司在没有联系过我的情况下，没有将包裹送给我就擅自确认签收，我以为是放到菜鸟驿站，于是点击了确认收货，后来去菜鸟驿站查根本没有包裹，然后联系拼多多商家的客服电话都联系不到了，立刻和拼多多官方客服反应情况，说商家已经完全失联，从消费者这方面考虑，可不可以暂时冻结商家资金账户，只得到会有专员解决这种托词，现在已经过去30多个小时，没有任何人联系我，事情也没有任何进展，失联的店铺依然正常经营，请问下拼</t>
  </si>
  <si>
    <t>滴滴故意说我作弊不发奖励</t>
  </si>
  <si>
    <t>http://ts.21cn.com/tousu/show/id/1372967</t>
  </si>
  <si>
    <t>2019/10/19 07:59:50</t>
  </si>
  <si>
    <t>我辛辛苦苦跑10多个小时跑到晚上11点你们说我作弊，30块钱奖励不给，真牛滴滴出行，我觉得你们可以直接把全国所有司机钱包里的钱全部扣走，反正你们都觉得那里面的钱是你的。</t>
  </si>
  <si>
    <t>钱伴平台变向高利贷</t>
  </si>
  <si>
    <t>http://ts.21cn.com/tousu/show/id/1372966</t>
  </si>
  <si>
    <t>2019/10/19 07:59:20</t>
  </si>
  <si>
    <t>变向高利贷收取金融服务费每期256元，开始不表明是一次性的。</t>
  </si>
  <si>
    <t>逾期一天暴力催收</t>
  </si>
  <si>
    <t>http://ts.21cn.com/tousu/show/id/1372965</t>
  </si>
  <si>
    <t>2019/10/19 07:58:09</t>
  </si>
  <si>
    <t>受到暴力催收..严重影响家人生活..我有协商出人工时立刻还款..但对方恶言相对.还不停地发短信骚扰。</t>
  </si>
  <si>
    <t>联系不到客服还款导致逾期</t>
  </si>
  <si>
    <t>http://ts.21cn.com/tousu/show/id/1372963</t>
  </si>
  <si>
    <t>2019/10/19 07:54:53</t>
  </si>
  <si>
    <t>app提示线上还不了，线下还款，客服电话停机，QQ客服提示在线中但是不回答我，微信客服找一天也无人理会，没有客服打电话催款，现在导致逾期。</t>
  </si>
  <si>
    <t>暴力催收暴打通讯录</t>
  </si>
  <si>
    <t>http://ts.21cn.com/tousu/show/id/1372962</t>
  </si>
  <si>
    <t>2019/10/19 07:54:47</t>
  </si>
  <si>
    <t>我申请借款是3000,到我手上是，2300，然后他们还有一个990的什么费用我不知道，然后，我每个月还1135分三期，第一期我还了，第二期我逾期了，他们打电话过来辱骂我，威胁我，还爆我通讯录，威胁我家人。</t>
  </si>
  <si>
    <t>请求分期乐账单分期</t>
  </si>
  <si>
    <t>http://ts.21cn.com/tousu/show/id/1372961</t>
  </si>
  <si>
    <t>2019/10/19 07:54:29</t>
  </si>
  <si>
    <t>分期乐每期还款希望能改成500以下，可以保证不逾期，每月900确实还不起，前一段有最低还款，现在没有了，网贷十几家变成最后两家，请求从下个月开始每月还款500，我好早日还清欠款，谢谢。</t>
  </si>
  <si>
    <t>京东白条第三方催收伪造文件</t>
  </si>
  <si>
    <t>http://ts.21cn.com/tousu/show/id/1372140</t>
  </si>
  <si>
    <t>2019/10/19 07:52:45</t>
  </si>
  <si>
    <t>投诉人张女士投诉对象京东金融涉诉金额800元问题类型诉求类型投诉详情说我不接电话…呵呵，我一直都接电话然后用私人号码威胁我。</t>
  </si>
  <si>
    <t>人证审核一直显示审核中</t>
  </si>
  <si>
    <t>http://ts.21cn.com/tousu/show/id/1372960</t>
  </si>
  <si>
    <t>2019/10/19 07:51:34</t>
  </si>
  <si>
    <t>上个月10号审核的，今天都19号了，还显示审核中，客服说最多30天审核时间，到今天都快40天了，我需要派单倾斜呀！。</t>
  </si>
  <si>
    <t>投诉上海拍拍贷恶意骚扰</t>
  </si>
  <si>
    <t>http://ts.21cn.com/tousu/show/id/1372953</t>
  </si>
  <si>
    <t>2019/10/19 07:49:34</t>
  </si>
  <si>
    <t>投诉人冯先生投诉对象拍拍贷涉诉金额0元问题类型诉求类型投诉详情恶意骚扰，三天两头打电话发短信骚扰我，我又没有借钱，不能因为前同事留了我的号码，骚扰我两年吧！！！。</t>
  </si>
  <si>
    <t>给你花暴力催收</t>
  </si>
  <si>
    <t>http://ts.21cn.com/tousu/show/id/1372959</t>
  </si>
  <si>
    <t>2019/10/19 07:49:14</t>
  </si>
  <si>
    <t>给你花暴力催收，网贷欠了十几家了，还的就剩给你花了，请求晚一个月还款给我资金倒过来的时间，谢谢了。</t>
  </si>
  <si>
    <t>在本人不知情的情况下扣费</t>
  </si>
  <si>
    <t>http://ts.21cn.com/tousu/show/id/1372958</t>
  </si>
  <si>
    <t>2019/10/19 07:48:39</t>
  </si>
  <si>
    <t>投诉人 涂先生        投诉对象  聚富分期        涉诉金额  150 元    问题类型    诉求类型投诉详情  银行卡在我本人不知道的情况下进行了扣费。</t>
  </si>
  <si>
    <t>暴力威胁暴打通讯录</t>
  </si>
  <si>
    <t>http://ts.21cn.com/tousu/show/id/1372957</t>
  </si>
  <si>
    <t>2019/10/19 07:47:44</t>
  </si>
  <si>
    <t>欠款3400,总共要还4700,这个月我要还700，然后我逾期了10天左右，他们就开始暴力催收威胁恐吓我的同时爆我通讯录，威胁恐吓我的家人，对我和我的家人生活要成了严重影响，还要去我们家里要债。</t>
  </si>
  <si>
    <t>自称友信客服威胁客户</t>
  </si>
  <si>
    <t>http://ts.21cn.com/tousu/show/id/1372956</t>
  </si>
  <si>
    <t>2019/10/19 07:46:04</t>
  </si>
  <si>
    <t>因家中突发变故，致使无法按时还款，已向友信客服解释，本人绝非恶意拖欠，罚息及征信问题按规定执行，但昨天突然接到自称友信工作人员电话声称昨天0:00前如不结清欠款，将联系我的朋友，我欠的钱我又不是不认账，我也未失联，请问友信有什么权利骚扰我的朋友。</t>
  </si>
  <si>
    <t>my钱包</t>
  </si>
  <si>
    <t>http://ts.21cn.com/tousu/show/id/1372955</t>
  </si>
  <si>
    <t>2019/10/19 07:45:19</t>
  </si>
  <si>
    <t>my钱包逾期一大早就会被爆，还不能协商还款。</t>
  </si>
  <si>
    <t>建行还我被盗刷的钱</t>
  </si>
  <si>
    <t>http://ts.21cn.com/tousu/show/id/1372954</t>
  </si>
  <si>
    <t>2019/10/19 07:44:54</t>
  </si>
  <si>
    <t>本人建行卡无故被中金金服划扣577元，对此本人决定当今社会存在这类现象非常可怕而且没有安全性。</t>
  </si>
  <si>
    <t>半夜骚扰通讯录</t>
  </si>
  <si>
    <t>http://ts.21cn.com/tousu/show/id/1372952</t>
  </si>
  <si>
    <t>2019/10/19 07:42:55</t>
  </si>
  <si>
    <t>来分期凌晨四点打电话给我手机通讯录里的人，给本人及其身边的人造成了严重的骚扰，望你们能制止！。</t>
  </si>
  <si>
    <t>淘豆分期退我血汗钱</t>
  </si>
  <si>
    <t>http://ts.21cn.com/tousu/show/id/1372951</t>
  </si>
  <si>
    <t>2019/10/19 07:41:23</t>
  </si>
  <si>
    <t>本来想借钱周转，就去淘豆分期注册账号，借钱哪有不绑银行卡的，然后来了短信绑定快捷通，我想以后可能还款用，然后说验证银行卡让输入验证码，结果刚输入银行提示扣费299，我懵逼了，赶快查所有短信看看是不自己没看清点错了，结果没有，什么也没，就一个淘豆分期的验证码，又赶快网上看看有同样情况的没，一看还不少，说是会员费，我是缺钱来借钱的，谁疯了花钱开一个啥用也没的会员，希望能通过黑猫平台能给要回被没任何操作和说明被扣走的钱。</t>
  </si>
  <si>
    <t>Wecash闪银借款砍头息</t>
  </si>
  <si>
    <t>http://ts.21cn.com/tousu/show/id/1372950</t>
  </si>
  <si>
    <t>2019/10/19 07:36:21</t>
  </si>
  <si>
    <t>借款之前让选商品开通额度选了328的商品借了6030，还了6395+328还说我逾期656发来的商品东拼西凑的。</t>
  </si>
  <si>
    <t>涉及到奢侈品包包，闲鱼小二审核凭证超过三个工作日</t>
  </si>
  <si>
    <t>http://ts.21cn.com/tousu/show/id/1372949</t>
  </si>
  <si>
    <t>2019/10/19 07:33:07</t>
  </si>
  <si>
    <t>涉及到奢侈品包包，买家收到了申请退款，理由是我是假货，我自己专柜买的，知道自己时正品，并且提供了专柜刷卡记录，闲鱼长时间不处理，买家有充足的时间调包我的商品，那我就要损失1万2千元。</t>
  </si>
  <si>
    <t>飞花宝阴阳合同高利贷</t>
  </si>
  <si>
    <t>http://ts.21cn.com/tousu/show/id/1372948</t>
  </si>
  <si>
    <t>2019/10/19 07:32:42</t>
  </si>
  <si>
    <t>本人于14号不小心点了飞花宝没细看，结果利率高的吓人，借款2000到账1240，6天要还2011.84，严重超标，联系打不通，对方电话156******43，正常利息可以还款。</t>
  </si>
  <si>
    <t>http://ts.21cn.com/tousu/show/id/1372947</t>
  </si>
  <si>
    <t>2019/10/19 07:29:57</t>
  </si>
  <si>
    <t>绑定银行卡，在未经允许的情况下扣除396元。</t>
  </si>
  <si>
    <t>交通银行银行卡被限制使用后无法联系到人工客服</t>
  </si>
  <si>
    <t>http://ts.21cn.com/tousu/show/id/1372946</t>
  </si>
  <si>
    <t>2019/10/19 07:29:06</t>
  </si>
  <si>
    <t>信用卡提前还清之后收到短信因存在风险被限制使用，被限制之前未收到任何短息提醒，存在风险被限制之前应该提前通知一下的，未收到任何信息，之后客服电话也打不进去，人工服务转接不了联系不上客服，想要了解具体情况都无法联系，这个是解燃眉之急的，做生意有时候需要资金周转，突然被限制很不理解是什么原因，请求恢复卡片使用。</t>
  </si>
  <si>
    <t>http://ts.21cn.com/tousu/show/id/1372944</t>
  </si>
  <si>
    <t>2019/10/19 07:28:17</t>
  </si>
  <si>
    <t>投诉人 李女士        投诉对象  你我贷        涉诉金额  200 元    问题类型    诉求类型投诉详情  微信骚扰恐吓我 不能协商还款 威胁我要骚扰家人</t>
  </si>
  <si>
    <t>暴力辱骂催收</t>
  </si>
  <si>
    <t>http://ts.21cn.com/tousu/show/id/1372945</t>
  </si>
  <si>
    <t>2019/10/19 07:28:12</t>
  </si>
  <si>
    <t>在拍拍贷借了4700块钱，然后，这一期需要还343，然后，逾期了半个月，他们先是打电话过来威胁我，辱骂我，还要上门去要债。</t>
  </si>
  <si>
    <t>友信贷款高利贷</t>
  </si>
  <si>
    <t>http://ts.21cn.com/tousu/show/id/1372943</t>
  </si>
  <si>
    <t>2019/10/19 07:27:51</t>
  </si>
  <si>
    <t>投诉人刘女士投诉对象友信涉诉金额73000元问题类型诉求类型投诉详情在友信贷款73000元，等额本息还款36期每个月3562元约定的月利息是2.09，已经还了20期，我用等额本息计算器算出来是2700多元每个月，联系客服居然说三万多是服务费，这样算下来综合月利息已经达到了4.3了，回来仔细研究合同才发现合同本金居然是110900元，他们实际打给我的才73000元啊。</t>
  </si>
  <si>
    <t>http://ts.21cn.com/tousu/show/id/1372942</t>
  </si>
  <si>
    <t>2019/10/19 07:26:35</t>
  </si>
  <si>
    <t>1.报名忽悠好过，一年4次，一次3—4门，最快一年拿证，进去后发现其实是自考，难度非常大，我其实就有一门其他专业的自考，知道自考打死我也不会报，3点左右打我电话，让我报名，说5点结束，最后一天，最优惠，手忙脚乱的付了款，2.机构教师水平差，啰哩啰嗦，所谓上课就是罗列以前的考点，我在网上几十块钱就能买到资料，3.申请换专业，一开始说有，催着班主任才告诉我没有我要换的专业，4.从14号申请到现在，班主任就说到技术部门了，让我等，15—20个工作日，工单一直显示退费中，催单好几次没人理，他们太多的负面新闻，我害怕</t>
  </si>
  <si>
    <t>虚假合同，违规利息</t>
  </si>
  <si>
    <t>http://ts.21cn.com/tousu/show/id/1372941</t>
  </si>
  <si>
    <t>2019/10/19 07:23:32</t>
  </si>
  <si>
    <t>本人于4月份在喜鹊快贷借款13000元，结果到账只有10000元，还款却要14428，年化利率高达44%，严重违反国家规定，同时借款13000，收取3000元砍头息，现强烈要求调整利率，退回差价，否则本人将拒绝还款，通过法律途径维护利益。</t>
  </si>
  <si>
    <t>严重骚扰紧急联系人以外的通讯录的亲朋好友</t>
  </si>
  <si>
    <t>http://ts.21cn.com/tousu/show/id/1372940</t>
  </si>
  <si>
    <t>2019/10/19 07:17:49</t>
  </si>
  <si>
    <t>严重骚扰紧急联系人以外的亲朋好友，群发侮辱我个人的短信，。</t>
  </si>
  <si>
    <t>滴滴更换城市之后滴滴服务分降了30分</t>
  </si>
  <si>
    <t>http://ts.21cn.com/tousu/show/id/1372939</t>
  </si>
  <si>
    <t>2019/10/19 07:16:16</t>
  </si>
  <si>
    <t>这个破滴滴9月30号变更城市到现在这个服务分已经反馈到到平台去，一直到现在都还没有恢复，我这个服务分到底怎么回事啊，看来这个滴滴平台是要搞死这些司机，像我们这些司机辛辛苦苦赚了两块钱，还要被他扣25%气，滴滴服务分变更成事后降了30分一直到现在还没有完全恢复。</t>
  </si>
  <si>
    <t>滴滴欠我的奖励至今不发放</t>
  </si>
  <si>
    <t>http://ts.21cn.com/tousu/show/id/1372938</t>
  </si>
  <si>
    <t>2019/10/19 07:15:30</t>
  </si>
  <si>
    <t>在2019年9月30日至10月7日国庆节日期间，滴滴组织了组队PK赛，在比赛之间，图片上的第一名的队伍因有人违反平台规则有刷单现象，平台对正在参赛的个人已做出了奖励不发放的处罚，但并没有像平台说的那样，取消参赛队伍的资格，还再比赛结束以后拿到了应该属于我们队伍的奖励，在与平台交涉无果之后，我们队伍当中的沙某和钱某向你们聚投诉平台对滴滴平台这样的事情提出了投诉，在15天左右的等待中，沙某和钱某分别在10月18日的前后拿到了属于他们自己的奖励，但我们其他三人还未收到应该得到的奖励，请问滴滴平台什么意思，意思只有</t>
  </si>
  <si>
    <t>宝付支付未经允许私自盗扣工商银行卡里的钱</t>
  </si>
  <si>
    <t>http://ts.21cn.com/tousu/show/id/1372937</t>
  </si>
  <si>
    <t>2019/10/19 07:13:54</t>
  </si>
  <si>
    <t>昨天晚上我的工商银行卡无故被宝付支付扣款1282.66，我并不知道宝付什么，我从未与宝付支付签订过任何代扣协议，最关键的是我并不知道宝付支付把钱扣了给了谁，对于宝付的强盗行为，未经本人同意，无故盗刷银行卡里的钱，希望通过贵平台可以拿到一个合理的解释以及退款处理。</t>
  </si>
  <si>
    <t>宜人贷系统升级强迫用户承担高额利息</t>
  </si>
  <si>
    <t>http://ts.21cn.com/tousu/show/id/1372936</t>
  </si>
  <si>
    <t>2019/10/19 07:10:48</t>
  </si>
  <si>
    <t>本人在宜人贷有笔借款，18号的还款日，刚到还款日宜人贷公司就开始打电话催还款，说两点系统升级喊我赶紧还款，我说款还没到晚一点才能到，那边不听解释，一直打电话骚扰，后来又说五点升级，然后还是一直打电话，我觉得既然是你系统升级就不应该把责任归咎于用户身上，让用户来承担高额逾期费用，希望宜人贷取消逾期费用，停止骚扰。</t>
  </si>
  <si>
    <t>群利花联合汇潮支付高利贷</t>
  </si>
  <si>
    <t>http://ts.21cn.com/tousu/show/id/1372935</t>
  </si>
  <si>
    <t>2019/10/19 07:07:27</t>
  </si>
  <si>
    <t>本人不小心点了群利花借款，当时没细看，这款软件利息严重超标，2000借款5天，利息要1240，到期要还3240元，希望有关部门帮帮我，正常利息可以还款。</t>
  </si>
  <si>
    <t>优酷vip误点想要退款</t>
  </si>
  <si>
    <t>http://ts.21cn.com/tousu/show/id/1372934</t>
  </si>
  <si>
    <t>2019/10/19 07:06:44</t>
  </si>
  <si>
    <t>我还是个学生误点优酷vip想要退款29元，vip可以给我弄没了。</t>
  </si>
  <si>
    <t>薪意袋高利贷</t>
  </si>
  <si>
    <t>http://ts.21cn.com/tousu/show/id/1372933</t>
  </si>
  <si>
    <t>2019/10/19 07:03:48</t>
  </si>
  <si>
    <t>薪意袋产品，八月30日借款2250，分6期偿还，10天一期，一期522元，两个月的时间需要偿还3132，严重超出了合法利率，其中750是收取的信用报告费，其实就是借款3000砍头息750，现在本人已经还了4期，要求剩下两期协商处理，只归还合法本金加利率，而且已归还的账单已经被删除，看不到了，这是故意销毁证据，我这有客服电话，02022510508，希望帮忙处理。</t>
  </si>
  <si>
    <t>捷信逾期费太吓人，找客服商量减免逾期不同意，还把个人隐私给其他人催收</t>
  </si>
  <si>
    <t>http://ts.21cn.com/tousu/show/id/1372932</t>
  </si>
  <si>
    <t>2019/10/19 07:01:29</t>
  </si>
  <si>
    <t>在捷信金融贷了8000元，还了5400多了，把我个人隐私也给了其他人，现在还要还4900多，逾期费太高，现要求减免逾期费用和利息！。</t>
  </si>
  <si>
    <t>卡卡贷不放款也不给取消申请</t>
  </si>
  <si>
    <t>http://ts.21cn.com/tousu/show/id/1372931</t>
  </si>
  <si>
    <t>2019/10/19 06:57:59</t>
  </si>
  <si>
    <t>10月2日从维信卡卡贷申请贷款用于周转，到现在19号了一直没到账，利息高不说，还有评估费，打电话给客服想取消申请，客服说不能取消，现在也不给放款，一直这样晾着，请客服给取消订单或者尽快放款。</t>
  </si>
  <si>
    <t>石榴快贷和金银钱包是不是高利贷</t>
  </si>
  <si>
    <t>http://ts.21cn.com/tousu/show/id/1372930</t>
  </si>
  <si>
    <t>2019/10/19 06:57:20</t>
  </si>
  <si>
    <t>石榴快贷和金银钱包不知道是不是高利贷，石榴快贷借了1650，4天利息是1350，金银钱包借了1375，4天利息是1125。</t>
  </si>
  <si>
    <t>http://ts.21cn.com/tousu/show/id/1372929</t>
  </si>
  <si>
    <t>2019/10/19 06:51:33</t>
  </si>
  <si>
    <t>投诉人 李女士        投诉对象  月光侠分期        涉诉金额  4 950 元    问题类型    诉求类型投诉详情  借3100要还4950</t>
  </si>
  <si>
    <t>讯联智付-鲸纬科技恶意扣款</t>
  </si>
  <si>
    <t>http://ts.21cn.com/tousu/show/id/1372928</t>
  </si>
  <si>
    <t>2019/10/19 06:46:51</t>
  </si>
  <si>
    <t>讯联智付-鲸纬科技刚刚莫名扣除我银行卡两笔钱，一个100元，一个49元，我没有网上任何交易，就连对方是谁都不知道，更没有电话，这属于犯罪，要求退款并删除资料，解释怎么扣的钱。</t>
  </si>
  <si>
    <t>梁山仙域信息技术有限公司通过天天有钱app恶意扣款</t>
  </si>
  <si>
    <t>http://ts.21cn.com/tousu/show/id/1372927</t>
  </si>
  <si>
    <t>2019/10/19 06:33:45</t>
  </si>
  <si>
    <t>天天有钱app,我只是注册绑定了银行卡，莫名奇妙扣除我银行卡288元，看了才发现是一个报告就扣我288元，一个查我手机的，一个风险评估，我需要你们评估这些吗，这属于欺诈，属于犯罪，强烈要求退款并道歉，并解释如何扣的钱，要求删除信息。</t>
  </si>
  <si>
    <t>滴滴司机预约单途中发生小事故，提交证据后依然扣分扣成交率</t>
  </si>
  <si>
    <t>http://ts.21cn.com/tousu/show/id/1372922</t>
  </si>
  <si>
    <t>2019/10/19 06:30:58</t>
  </si>
  <si>
    <t>当时我在接乘客途中进入高速入口时由于前车etc问题改换间隔车道时，被相邻车道车辆倒车轻微碰撞，当时联系乘客说可能迟到三五分钟但是乘客不同意导致订单取消，后报备由于第一次事故不懂当时没有拍到自己车牌照片，但是后续提交了四张照片能证明是同一台车发生事故，平台依然扣分扣成交率，由于事故时图片太大上传不了本投诉平台，现要求滴滴出行联系本人认真审核并恢复本人账号预约单成交率与服务分。</t>
  </si>
  <si>
    <t>在智行上定的机票一直不出票，而且也不能退款</t>
  </si>
  <si>
    <t>http://ts.21cn.com/tousu/show/id/1372926</t>
  </si>
  <si>
    <t>2019/10/19 06:28:06</t>
  </si>
  <si>
    <t>在智行昨天买的火车票今天还不出票，已经显示只有最后2张票了，我怕定不上了，还不能去定其他机票，也不给退款，求快速解决，要不然退款要不然出票，我的电话182******21。</t>
  </si>
  <si>
    <t>为什么玖富万卡我把本钱还进去了还要利息，</t>
  </si>
  <si>
    <t>http://ts.21cn.com/tousu/show/id/1372924</t>
  </si>
  <si>
    <t>2019/10/19 06:27:58</t>
  </si>
  <si>
    <t>因为我没有能力在去还款了，可是我看了下利息加对外信托就要2000多，这不是坑人吗，那有这样子的人家要把本金还进去了还有那么多利息，谁还受的起啊，我在这里说明下，只有你们这一个借款平台这样子，对外信托利息太高了，我已经还了好几个月了，反正我是没有那么多钱还款了希望平台理解下。</t>
  </si>
  <si>
    <t>钱站太高利贷了</t>
  </si>
  <si>
    <t>http://ts.21cn.com/tousu/show/id/1372925</t>
  </si>
  <si>
    <t>2019/10/19 06:27:48</t>
  </si>
  <si>
    <t>借3990实际到账3000元，每个月要还1400，。</t>
  </si>
  <si>
    <t>qq微众银行</t>
  </si>
  <si>
    <t>http://ts.21cn.com/tousu/show/id/1372923</t>
  </si>
  <si>
    <t>2019/10/19 06:26:49</t>
  </si>
  <si>
    <t>166******32153******41陈科长175******37陈经理189******95冒充律师恐吓我微粒贷催收各种骚扰朋友公司电话告诉所有人我欠款，我要他们道歉。</t>
  </si>
  <si>
    <t>变相抬高利息</t>
  </si>
  <si>
    <t>http://ts.21cn.com/tousu/show/id/1372919</t>
  </si>
  <si>
    <t>2019/10/19 05:22:27</t>
  </si>
  <si>
    <t>总共借款6500我现在也忘记了，借款6个月，每期偿还1278.33其中包含162.22服务费另外55块钱利息这不是变相的抬高国家利息，不能做冤大头，。</t>
  </si>
  <si>
    <t>http://ts.21cn.com/tousu/show/id/1372917</t>
  </si>
  <si>
    <t>2019/10/19 05:17:52</t>
  </si>
  <si>
    <t>投诉人肖绍亮投诉对象拍拍贷涉诉金额700元问题类型诉求类型投诉详情本人由于资金问题导致拍拍贷逾期两天，今天第三天，从昨天开始不停的打电话进行催收，一天多个电话，只是逾期第二天而已，我均接电话表示会尽快想办法处理，但是还是强行催收必须还款。</t>
  </si>
  <si>
    <t>投诉九阳推销九阳净水器，洗脑式误导消费者消费</t>
  </si>
  <si>
    <t>http://ts.21cn.com/tousu/show/id/1372916</t>
  </si>
  <si>
    <t>2019/10/19 05:10:42</t>
  </si>
  <si>
    <t>10月18日，收到永辉电话及短信邀请，九阳回馈老客户活动，开始说空气不好，拿了一台空气净化器，说是市面上的净水器，然后就开始说水质不好，弄了一堆视频给大家看，说明水质不好对人体的危害，套路大家，然后就推出价值5999的九阳航天技术净水器，现场只买3980元，还说名额有限，先到先得，基于对永辉和九阳的信任，就买了一台，他们还要求要连夜安装，也没多想，后来一查网上发现很多消费者都遇到这种事，都被骗了，这款净水器在九阳官网上都查找不到，感觉就是完全上当了。</t>
  </si>
  <si>
    <t>立借叮当想花暴力催收</t>
  </si>
  <si>
    <t>http://ts.21cn.com/tousu/show/id/1372915</t>
  </si>
  <si>
    <t>2019/10/19 04:51:17</t>
  </si>
  <si>
    <t>8月24日在立借上的叮当想花借了2600元，7天还款4000，而到还款日联系客服协商还款没人回，之后叮当想花直接在立借上消失了，无处还款，10月18日下午直接爆了通讯录，骚扰亲友，侮辱谩骂。</t>
  </si>
  <si>
    <t>银行卡莫名其妙被美团点评平台商户扣费500</t>
  </si>
  <si>
    <t>http://ts.21cn.com/tousu/show/id/1372914</t>
  </si>
  <si>
    <t>2019/10/19 04:46:26</t>
  </si>
  <si>
    <t>农行是我没有短信提醒的，剩下五百多，这次要用钱所以才用到农行卡，转账交易渠道电子商务交易附言：NA2019100421280774560142310310108美团点评平台商户我对这个单完全不知道是哪里来的，准备使用才发现钱没了，心是真的凉完全不知道美团点评是什么东西，还去美团看了下，根本没有，发现余额不足，看了账单明细详情，里面是这么写的交易时间：2019-10-04，而且我农行这卡没绑定什么东西我真的很醉啊，！！钱去哪里了。</t>
  </si>
  <si>
    <t>http://ts.21cn.com/tousu/show/id/1372913</t>
  </si>
  <si>
    <t>2019/10/19 04:42:38</t>
  </si>
  <si>
    <t>去年下半年辞职因社会经验减少想换行业，今年年初家里老人又身体不适住院，在去年年底先后分两次在京东金融借了共5700，出来应急，前期每个月都在按时还款，到今年七月份因工作变动同时之前年初家里老人住院借的钱朋友也急着用，七月份开始金条没办法开始逾期了，七月份原工作单位没开到单子工资只拿了一千来块钱，所有开销除掉七月份已经还不上金条了，这时候京东客户开始联系我了我也有和客户积极沟通也没有说关机怎么的吧，八月找了份稳定点的工作实习期三个月工资也只有一千多块钱，九月份拿到工资挤出几百块把七月份的换了这时候京东就开始不</t>
  </si>
  <si>
    <t>微信支付限制支付</t>
  </si>
  <si>
    <t>http://ts.21cn.com/tousu/show/id/1372912</t>
  </si>
  <si>
    <t>2019/10/19 04:40:57</t>
  </si>
  <si>
    <t>莫明其妙冻结我支付账号，里面的钱都是全身家当，腾讯就这样私吞了。</t>
  </si>
  <si>
    <t>非法博彩软件，骚扰并欺诈</t>
  </si>
  <si>
    <t>http://ts.21cn.com/tousu/show/id/1372911</t>
  </si>
  <si>
    <t>2019/10/19 04:24:10</t>
  </si>
  <si>
    <t>发送网站给我手机号进行骚扰，进去发现是非法博彩软件，而且行了不给提。</t>
  </si>
  <si>
    <t>小赢易贷高利贷，暴力催收</t>
  </si>
  <si>
    <t>http://ts.21cn.com/tousu/show/id/1372910</t>
  </si>
  <si>
    <t>2019/10/19 04:19:36</t>
  </si>
  <si>
    <t>我今年2月18号申请的小赢卡贷10000元，分了12期没期还1104元，已经还了7期，小赢的利率是%35.99.利息太高了我，因为我是在公司做贸易的，去年贸易就不好做我就以贷养贷，养到现在是在是撑不下去了，我今年光还网贷都还了10万了，我在8月份就停止了以贷养贷我也在努力，家人也在帮忙，我也从网贷的恐惧中走了出来，在我和家人努力的这几个月里，经过和网贷平台的协商金额也在慢慢的减少，我们已经努力了这几个月到现在已经没有多余的钱还了，剩下的网贷也不多了我慢慢的还，小赢卡贷的催收打电话给我态度及其恶心，让我本来想</t>
  </si>
  <si>
    <t>滴滴司机接不到女乘客</t>
  </si>
  <si>
    <t>http://ts.21cn.com/tousu/show/id/1372909</t>
  </si>
  <si>
    <t>2019/10/19 04:17:41</t>
  </si>
  <si>
    <t>我是一个滴滴司机，拉滴滴已经一年半了，没有任何不良记录，可是从去年十月开始我就拉不到女乘客订单了，我给客服打电话，客服只是在敷衍我。</t>
  </si>
  <si>
    <t>瀚银诱导诱刷</t>
  </si>
  <si>
    <t>http://ts.21cn.com/tousu/show/id/1372907</t>
  </si>
  <si>
    <t>2019/10/19 04:16:46</t>
  </si>
  <si>
    <t>投诉人林女士投诉对象瀚银科技涉诉金额100000元问题类型诉求类型投诉详情2018年底至2019年间，我被诱导经瀚银支付不正当支付渠道，一共被诱导骗刷不正当商户累计高达10万元，恳请瀚银支付协助退款。</t>
  </si>
  <si>
    <t>人人贷提前还款收取高额服务费</t>
  </si>
  <si>
    <t>http://ts.21cn.com/tousu/show/id/1372908</t>
  </si>
  <si>
    <t>2019/10/19 04:13:45</t>
  </si>
  <si>
    <t>在人人贷申请了两笔借款，第一笔5000元，分6期，第二笔9000元，当时点了借款直接就放款了，没有任何二次确认以及默认给我分12期，如今我还款一期后，准备提前还款，发现服务费总共高达2400多，这笔费用不明确，且过于高昂，我要求按照正常的费用去支付提前还款的费用。</t>
  </si>
  <si>
    <t>诱导求职者高价购买电瓶车</t>
  </si>
  <si>
    <t>http://ts.21cn.com/tousu/show/id/1372887</t>
  </si>
  <si>
    <t>2019/10/19 04:04:10</t>
  </si>
  <si>
    <t>投诉人范先生投诉对象饿了么涉诉金额3980元问题类型诉求类型投诉详情我是在工地上班的，晚上不加班想找个兼职赚点外快贴补家用，前两天在网上看到的饿了么招聘兼职就投了简历，让我18号下午去应聘，在应聘的时候提到电瓶车最好是新的跑的远的那种，于是跟我介绍公司租车每个月400多，最好是买一个公司现在有活动新员工入职买车补助2400元，相当于一千多元钱就有一个属于自己的车子，不用月月交租金了，到时候直接从工资里面扣，于是就同意，就让我填一个入职单子，又把我的身份证和银行卡在电脑上弄了一下，让我配合电脑做动作说是填写资</t>
  </si>
  <si>
    <t>国美金融爆暴力催收爆我通讯录影响我生活</t>
  </si>
  <si>
    <t>http://ts.21cn.com/tousu/show/id/1372906</t>
  </si>
  <si>
    <t>2019/10/19 04:03:58</t>
  </si>
  <si>
    <t>投诉人 陈女士        投诉对象  国美金融        涉诉金额  0 元    问题类型    诉求类型投诉详情  我在国美金融贷款 因没能力偿还 国美金融爆力催收 打电话给我通讯录的好友败坏我名声</t>
  </si>
  <si>
    <t>钱站催收非法爆通讯录</t>
  </si>
  <si>
    <t>http://ts.21cn.com/tousu/show/id/1372905</t>
  </si>
  <si>
    <t>2019/10/19 04:02:07</t>
  </si>
  <si>
    <t>投诉人 谭先生        投诉对象  钱站        涉诉金额  2 000 元    问题类型    诉求类型投诉详情  钱站套路贷，逾期了非法暴力催债。骚扰了其他无相关的人。要求马上停止骚扰通讯录联系人</t>
  </si>
  <si>
    <t>招联金融暴力催骚扰公司被辞退</t>
  </si>
  <si>
    <t>http://ts.21cn.com/tousu/show/id/1372904</t>
  </si>
  <si>
    <t>2019/10/19 04:00:21</t>
  </si>
  <si>
    <t>因近一年家里变故，工作不稳定，父母不在了还要供我弟弟上学，我有钱都每月主动还部分进去，号码没缴费停机，催收一直打电话到单位威胁，而且还在凑钱当中已还部分，这几天还在凑钱中让给段时间缓冲都不可以。</t>
  </si>
  <si>
    <t>云闪付中国银联纵容网路赌博为网络赌博提供充值服务</t>
  </si>
  <si>
    <t>http://ts.21cn.com/tousu/show/id/1372902</t>
  </si>
  <si>
    <t>2019/10/19 03:58:28</t>
  </si>
  <si>
    <t>银联提供网络赌博充值渠道，这是我辛苦几年的血汗钱，希望能帮我找回。</t>
  </si>
  <si>
    <t>我来数科高利贷</t>
  </si>
  <si>
    <t>http://ts.21cn.com/tousu/show/id/1372900</t>
  </si>
  <si>
    <t>2019/10/19 03:55:23</t>
  </si>
  <si>
    <t>之前在我来贷上借的钱，逾期一天，晚上打电话给我，我说6点左右，它5点多扣了一次，余额不足，6点我登app一直闪退，还不上，现在有逾期费用300，希望能减免。</t>
  </si>
  <si>
    <t>来分期账单到期日没有任何提醒</t>
  </si>
  <si>
    <t>http://ts.21cn.com/tousu/show/id/1372899</t>
  </si>
  <si>
    <t>2019/10/19 03:52:49</t>
  </si>
  <si>
    <t>以前账单日就拼命的打电话骚扰，现在账单日，连条短信都没有，我哪里会天天记着几号还款啊，我今晚下班回来后，无聊上去看一下，结果看到逾期，我想充值，地方农商银行维护，支付宝上面只有350，只够还了另外一张账单，我今天睡觉起来，马上会充值上去还款，请勿轰炸我的电话和通讯录，如果19号24点前没还款上去，你们怎么炸通讯录，骚扰我本人都可以。</t>
  </si>
  <si>
    <t>华尔街英语欺诈</t>
  </si>
  <si>
    <t>http://ts.21cn.com/tousu/show/id/1372898</t>
  </si>
  <si>
    <t>2019/10/19 03:40:17</t>
  </si>
  <si>
    <t>之前他们打电话给我说给我发放免费资料，所以我过去了，然后有一位工作人员带领我参观了他们的工作室，然后带领我到她的个人办公室，开始跟我说他们的课程安排和教学计划，先是介绍了总体要交的费用，先是说交两万多首付和24个月分期的这样一个课程，然后说现在有个活动，交580选体验，到后面还可以退的，后来就和我说可以申请一个奖学金，能够抵扣学费，抵扣后只要49300元，然后就开始洗脑忽悠，说：“你看首付4930元你没问题吧，剩下的每个月1848.75元也没问题吧，现在付的话之前的580元可以算在首付里，你只要再交4350</t>
  </si>
  <si>
    <t>在淘手游买的号被找回希望退款</t>
  </si>
  <si>
    <t>http://ts.21cn.com/tousu/show/id/1372897</t>
  </si>
  <si>
    <t>2019/10/19 03:35:20</t>
  </si>
  <si>
    <t>投诉人 王先生        投诉对象  淘手游        涉诉金额  760 元    问题类型    诉求类型投诉详情  希望淘手游给退款 不到一个星期就找回了 你们自己看单号吧 跟客服联系中淘手游客没回复我</t>
  </si>
  <si>
    <t>虚假宣传，误导消费者</t>
  </si>
  <si>
    <t>http://ts.21cn.com/tousu/show/id/1372894</t>
  </si>
  <si>
    <t>2019/10/19 03:29:08</t>
  </si>
  <si>
    <t>投诉人黄延武投诉对象嗨学网涉诉金额3498元问题类型诉求类型投诉详情嗨学网，欺骗消费者，误导消费者购买培训课程。</t>
  </si>
  <si>
    <t>贷上钱高利贷暴力催收</t>
  </si>
  <si>
    <t>http://ts.21cn.com/tousu/show/id/1372893</t>
  </si>
  <si>
    <t>2019/10/19 03:26:48</t>
  </si>
  <si>
    <t>贷上钱借款二千元，一个月时间要还二千六，因为被爆通讯录，导致我被公司开除，被媳妇起诉离婚，被家人抛弃，现在无力偿还，和他们协商宽限我十天时间我一定还，可是他们十天时间的不给我，立即爆我通讯录，打电话辱骂我六七十岁的母亲，导致我母亲当场被气晕倒住院抢救，实在没发了所有亲戚朋友想办法帮我凑了一千五，然后打电话和他们协商暂时还一千五，剩下的钱宽限我十天，当时他们电话里面口头答应我可以，我的有录音，可是等我还了一千五他们立马变卦不同意，只给我两天时间，今天又打电话来非逼我立马还钱，不知道他们今天是否有没有又爆我通讯</t>
  </si>
  <si>
    <t>首汽车主要求下线支付，让加钱不然就扔半路</t>
  </si>
  <si>
    <t>http://ts.21cn.com/tousu/show/id/1372891</t>
  </si>
  <si>
    <t>2019/10/19 03:17:30</t>
  </si>
  <si>
    <t>川AW33T3,夏师傅,首汽约车,白色雪铁龙世嘉，第一次预约首汽约车遇到不良司机一上车就让取消下线支付但是被拒绝走了半途让加三十元不然就甩到半途中间大半夜的打客服电话就更不说了每次感觉跟她们打还不如不打他们客服居然联系不打司机态度又恶劣最终也没处理。</t>
  </si>
  <si>
    <t>广州银行虚假宣传.吴经理态度恶劣</t>
  </si>
  <si>
    <t>http://ts.21cn.com/tousu/show/id/1372890</t>
  </si>
  <si>
    <t>2019/10/19 03:02:39</t>
  </si>
  <si>
    <t>活动时间:2018年12月5日一19年12月31日广州银行的广银信用app活动小广跨年礼包送一整年2019，吴经理嚣张说你不顺你就去注销张卡，不要用卡，活动要在18年领取礼包后主卡可以领取2019年全年礼包，本人按规则去年12月领取参加，按活动规则每个月可以在app上领取礼包，然而在活动领取版块广州银行根本没有推送领取礼包的界面，广州银行严重欺骗消费者，涉嫌虚假宣传，反馈情况后，工号9354吴经理态度恶劣而且不处理，工号9354吴经理也就是之前处理另一件事态度很差的经理，因为银行系统问题前面的客服补偿杯子给</t>
  </si>
  <si>
    <t>阴阳合同高利贷</t>
  </si>
  <si>
    <t>http://ts.21cn.com/tousu/show/id/1372889</t>
  </si>
  <si>
    <t>2019/10/19 03:00:46</t>
  </si>
  <si>
    <t>合同利息12%实际收取我的利息28%要求退款利息。</t>
  </si>
  <si>
    <t>投诉百事普惠乱扣费，误导着绑定银行卡后在没有本人的操作下一共自动的在卡上扣掉了299块钱，我要求退还扣掉的299块钱</t>
  </si>
  <si>
    <t>http://ts.21cn.com/tousu/show/id/1372888</t>
  </si>
  <si>
    <t>2019/10/19 02:55:08</t>
  </si>
  <si>
    <t>投诉人黄女士投诉对象百事普惠涉诉金额299元问题类型诉求类型投诉详情投诉百事普惠乱扣费，误导绑定银行卡后自动的在没本人的操作下自动的在卡上一共扣了我299块钱，现要求退还被自动扣掉我的299块钱。</t>
  </si>
  <si>
    <t>东方银谷第三方催收打着黑社会名义恐吓侮辱及威胁当事人及通讯录人员</t>
  </si>
  <si>
    <t>http://ts.21cn.com/tousu/show/id/1372885</t>
  </si>
  <si>
    <t>2019/10/19 02:51:43</t>
  </si>
  <si>
    <t>投诉人余先生投诉对象东方银谷涉诉金额3020元问题类型诉求类型投诉详情2018年在银谷贷款，合同签署贷款金额六万多，交砍头息三千元，还款一年，这三个月来，备受银谷公司第三方催收公司，明打着催款公司名义，不断骚扰，侮辱和威逼当事人，同时以侮辱人格方式打电话以及发信息给通讯录人员，这种典型的黑社会性质，银谷公司视而不见且变本加厉，和国家所规定打黑政策完全相向而行，以上的信息都有录音保存，希望有关部门管制这类黑社会的毒瘤。</t>
  </si>
  <si>
    <t>信用飞l砍头息催收影响人正常生活</t>
  </si>
  <si>
    <t>http://ts.21cn.com/tousu/show/id/1372884</t>
  </si>
  <si>
    <t>2019/10/19 02:42:06</t>
  </si>
  <si>
    <t>信用飞砍头息，还本金无果，威胁亲友，态度恶劣，对本人进行骚扰。</t>
  </si>
  <si>
    <t>360借条提前还款需要收取全额借款利息</t>
  </si>
  <si>
    <t>http://ts.21cn.com/tousu/show/id/1372882</t>
  </si>
  <si>
    <t>2019/10/19 02:36:29</t>
  </si>
  <si>
    <t>准备提前还款，发现需要1300多利息，这个肯定不行的。</t>
  </si>
  <si>
    <t>怀疑被套路贷，要求取消贷款订单注销账号</t>
  </si>
  <si>
    <t>http://ts.21cn.com/tousu/show/id/1372881</t>
  </si>
  <si>
    <t>2019/10/19 02:35:16</t>
  </si>
  <si>
    <t>本人于2019年10月16号，下载网商贷app借款20000元，分24期还款，平台审核通过，并放款，但钱并没有打到我的银行卡账号上，而是放到了平台钱包上，提示提现要支付3个点的工本费，奇怪的是，钱是由一个叫清衣贷的放款，平台上没有在线客服，没有客服电话，怀疑是被套路贷，虚假网贷。</t>
  </si>
  <si>
    <t>兴业银行开卡自动扣搜狐视频年费</t>
  </si>
  <si>
    <t>http://ts.21cn.com/tousu/show/id/1372880</t>
  </si>
  <si>
    <t>2019/10/19 02:33:36</t>
  </si>
  <si>
    <t>投诉人王先生投诉对象兴业银行信用卡涉诉金额168元问题类型诉求类型投诉详情1、办卡时并不知道办理了兴业银行信用卡，因为办理华夏银行信用卡时被业务员顺带办理，本人并不清楚，2、收到信用卡开卡后，在我没有任何操作的情况下自动被办理了搜狐视频业务，且不可自行取消，3、搜狐视频业务费用168元，分期6期，每期28元，本单位在不清楚的情况下被动办理的有多人，可核实，，在办理华夏银行信用卡时问有没有年费，回答没有，5、申诉取消搜狐视频业务，返回费用，不扣年费。</t>
  </si>
  <si>
    <t>闪银联系不到客服</t>
  </si>
  <si>
    <t>http://ts.21cn.com/tousu/show/id/1372878</t>
  </si>
  <si>
    <t>2019/10/19 02:29:27</t>
  </si>
  <si>
    <t>投诉人陈先生投诉对象Wecash闪银涉诉金额1250元问题类型诉求类型投诉详情联系不上客服麻烦客服中午或者下午再打电话过来早上不方便接听。</t>
  </si>
  <si>
    <t>http://ts.21cn.com/tousu/show/id/1372877</t>
  </si>
  <si>
    <t>2019/10/19 02:28:50</t>
  </si>
  <si>
    <t>投诉人施先生投诉对象钱站涉诉金额3000元问题类型诉求类型投诉详情借款3000，到账3000，合同竟然显示借款3990，账单分3期，每月需还1662合计需还款4900多，利息高达1900多这是高利贷吗。</t>
  </si>
  <si>
    <t>腾讯支付</t>
  </si>
  <si>
    <t>http://ts.21cn.com/tousu/show/id/1372874</t>
  </si>
  <si>
    <t>2019/10/19 02:20:45</t>
  </si>
  <si>
    <t>对方让我给他用车送女朋友人送到地方以后，对方转钱给我设置24小时，却遭到用户投诉，腾讯也不调查，直接把我的账号资金全部冻结申诉十多次，，按微信操作流程根本没用，需要的资料根本不可能有，个人用户哪来的商户执照，怎么提交，还有通过承诺函方式来解除可是申请多次都没有通过，就算这样，支付宝没有权利冻结我全部资金，严重导致我资金周转出现问题，我问客服:那解不了限制，，一个360的异常收款，却要冻结支付里面全部资金。</t>
  </si>
  <si>
    <t>无故扣费</t>
  </si>
  <si>
    <t>http://ts.21cn.com/tousu/show/id/1372872</t>
  </si>
  <si>
    <t>2019/10/19 02:19:33</t>
  </si>
  <si>
    <t>我的卡也没个新浪第三方支付平台绑定，他怎么扣的。</t>
  </si>
  <si>
    <t>波克扑鱼里的小游戏涉嫌赌博太坑消费者</t>
  </si>
  <si>
    <t>http://ts.21cn.com/tousu/show/id/1372871</t>
  </si>
  <si>
    <t>2019/10/19 02:18:32</t>
  </si>
  <si>
    <t>本人去年开始玩波克捕鱼，从微信小程序进去的，刚开始玩还觉得是一款消遣娱乐的游戏，可是中途变味了，有中介线下人民币兜售和收购弹头，也就是游戏里的道具，可是新的一个项目出来了，就是游戏里的小游戏，从4000金币赔率到几十万不等，输了金币再让你充值，我前前后后一千多块人民币就冲进去了。</t>
  </si>
  <si>
    <t>瀚银支付提供不正当平台支付渠道</t>
  </si>
  <si>
    <t>http://ts.21cn.com/tousu/show/id/1372870</t>
  </si>
  <si>
    <t>2019/10/19 02:17:32</t>
  </si>
  <si>
    <t>投诉人林女士投诉对象瀚银科技涉诉金额200000元问题类型诉求类型投诉详情2019年间，我被诱导经瀚银支付不正当支付渠道，一共被诱导骗刷不正当商户累计高达20万，恳请瀚银支付协助退款。</t>
  </si>
  <si>
    <t>钱站还款乱扣费</t>
  </si>
  <si>
    <t>http://ts.21cn.com/tousu/show/id/1372869</t>
  </si>
  <si>
    <t>2019/10/19 02:17:23</t>
  </si>
  <si>
    <t>投诉人尹女士投诉对象钱站涉诉金额3037元问题类型诉求类型投诉详情因个人资金问题，钱站还款逾期一天，打了客服说明问题，说晚三天还款，客服答应给备注，然后逾期当天晚上资金问题解决还款，逾期费用我也付了，但是却瞎扣款，明明我还款是1136.81，却扣了我3036.48，然后显示结清确实1136.81，要求退款，并且钱站逾期产生的费用在还款后不显示在详单上，属于阴阳合同。</t>
  </si>
  <si>
    <t>美团无故扣押合作商家销售款，涉嫌非法侵占</t>
  </si>
  <si>
    <t>http://ts.21cn.com/tousu/show/id/1372868</t>
  </si>
  <si>
    <t>2019/10/19 02:15:27</t>
  </si>
  <si>
    <t>10月13日，美团还打入我们提供的新卡1分钱验证资金，我们也收到了，美团也对新卡验证成功了，但还是不给打款，总找各种借口说是打款失败，我们也打电话催促总部，安排大连本地服务人员上门研究解决，但都是置之不理，无影无踪，我们不知道美团基于何种目的扣押侵占合作客户的销售款，为什么多次催促都无动于衷，为什么总部不给打款肆意侵占，当地客服也不理会，不上门弄清问题?为什么对客户的正当权益肆意践踏，盛气凌人，目空一切的侵犯合作小商户的利益，让小商户无法经营下去，让小商户寒心，后悔与美团的合作，我们强烈要求美团立即停止对合</t>
  </si>
  <si>
    <t>汇潮支付违规经营套路贷</t>
  </si>
  <si>
    <t>http://ts.21cn.com/tousu/show/id/1372866</t>
  </si>
  <si>
    <t>2019/10/19 02:12:08</t>
  </si>
  <si>
    <t>本人银行卡内有多笔汇潮支付放款款记录，且都是为315曝光的714高炮提供的支付渠道，另外都是本人在网上贷款时候的放款商户显示为汇潮支付，汇潮支付违规经营放贷。</t>
  </si>
  <si>
    <t>汇聚支付违规经营套路贷</t>
  </si>
  <si>
    <t>http://ts.21cn.com/tousu/show/id/1372865</t>
  </si>
  <si>
    <t>2019/10/19 02:09:06</t>
  </si>
  <si>
    <t>本人银行卡内有多笔汇聚支付扣款记录，且都是为315曝光的714高炮提供的支付和扣款渠道，另外都是本人在网上贷款时候的放款商户显示为汇聚支付，汇聚支付违规经营放贷。</t>
  </si>
  <si>
    <t>约单APP充值后不能提现</t>
  </si>
  <si>
    <t>http://ts.21cn.com/tousu/show/id/1372863</t>
  </si>
  <si>
    <t>2019/10/19 02:04:06</t>
  </si>
  <si>
    <t>约单app钱包不可提现，强加服务费，未有提醒。</t>
  </si>
  <si>
    <t>对方没有了解的情况下冻结资金。</t>
  </si>
  <si>
    <t>http://ts.21cn.com/tousu/show/id/1372862</t>
  </si>
  <si>
    <t>2019/10/19 01:59:08</t>
  </si>
  <si>
    <t>投诉人李廖富投诉对象微信支付涉诉金额1860元问题类型诉求类型投诉详情对方在没有完全了解的情况下，冻结我微信支付。</t>
  </si>
  <si>
    <t>阳光保险集团黑社会性质催收</t>
  </si>
  <si>
    <t>http://ts.21cn.com/tousu/show/id/1372849</t>
  </si>
  <si>
    <t>2019/10/19 01:58:13</t>
  </si>
  <si>
    <t>投诉人王先生投诉对象阳光保险集团涉诉金额40000元问题类型诉求类型投诉详情本人由于创业，在河北石家庄阳光保险贷款40000元，被业务员误导办理的贷款，强制分36期，由于没有工作单位，业务员辅助强行办理虚假单位，贷款成功后按照要求每月还1997，36期将近72000元，并强制要求购买三年阳光意外险，由于还了3期后不小心出现意外，手臂受伤，筋骨断裂，暂时没有工作能力和还款能力，协商也不行，逾期一天就开始狂轰我的通讯录，并打电话和发送各种短信给我的亲朋好友，使我名誉受损，购买了三年的意外险在我真正出现意外了也不</t>
  </si>
  <si>
    <t>证通股份有限公司涉违规经营套路贷。</t>
  </si>
  <si>
    <t>http://ts.21cn.com/tousu/show/id/1372860</t>
  </si>
  <si>
    <t>2019/10/19 01:52:53</t>
  </si>
  <si>
    <t>证通股份有限公司其本身没有支付牌照却违规扣取我银行内资金，并且涉嫌参与714高炮套路贷。</t>
  </si>
  <si>
    <t>无权无势被无视</t>
  </si>
  <si>
    <t>http://ts.21cn.com/tousu/show/id/1372859</t>
  </si>
  <si>
    <t>2019/10/19 01:51:12</t>
  </si>
  <si>
    <t>这6个月当中我们去过很多次.每次的答复都一样，现在是我们急需用钱因为我爸病很严重.已经借不少钱了.，就是被银行内部的人卡住了.我们不认识人就不给我们放。</t>
  </si>
  <si>
    <t>http://ts.21cn.com/tousu/show/id/1372824</t>
  </si>
  <si>
    <t>2019/10/19 01:50:12</t>
  </si>
  <si>
    <t>本人2019年10月1日在钱站借款2600元实际到账2000元总共三期没期还款1120元总共3360元，他们口中的就是收取服务费用，这明显的就是高利贷，再别的平台投诉过，没有什么深入的手段就是叫我致电他们客服，他们客服压根就不管都是一致同声的，我要求他们立即降低我的利息，这种网贷我希望聚投诉能够曝光他们，要是这里不行我就在各个平台曝光他们，这只是借的小钱要是借多了利息更高，让他们逍遥法外。</t>
  </si>
  <si>
    <t>宜人万花道歉</t>
  </si>
  <si>
    <t>http://ts.21cn.com/tousu/show/id/1372858</t>
  </si>
  <si>
    <t>2019/10/19 01:49:58</t>
  </si>
  <si>
    <t>很多朋友都遇到了同样的问题，刚开始银行卡号是正常填写，之后就发信息通知你信息错误，我刚刚说我信息错误他们马上就回复我说银行卡信息错误了，还要我叫百分之二十的解冻金，还威胁我说处不处理我自己看着办，银行卡就算填错了也不会收到验证码好吧，真的是，希望平台能帮我们处理一下，谢谢，还大家几个公道，我刚刚看到了很多人都和我一样被骗了，刚刚开始银行卡还是正常正确的，过一会儿把银行卡信息都给我改了。</t>
  </si>
  <si>
    <t>刷卡2天了一直到账不了，客服电话全天没有人接</t>
  </si>
  <si>
    <t>http://ts.21cn.com/tousu/show/id/1372855</t>
  </si>
  <si>
    <t>2019/10/19 01:47:24</t>
  </si>
  <si>
    <t>投诉人赵博先生投诉对象中汇支付,中汇掌富通涉诉金额7300元问题类型诉求类型投诉详情刷卡2天了一直到账不了，客服电话全天没有人接，刷的是及时到账的，可是2天了到账不了，联系客服没人接电话，什么原因没有人处理。</t>
  </si>
  <si>
    <t>请停止发信息给我家里人以及朋友</t>
  </si>
  <si>
    <t>http://ts.21cn.com/tousu/show/id/1372854</t>
  </si>
  <si>
    <t>2019/10/19 01:46:30</t>
  </si>
  <si>
    <t>投诉人廖女士投诉对象你我贷涉诉金额642元问题类型诉求类型投诉详情在你我贷借3200，还款金额是4200，我已经还了本金了，还剩下利息600百左右没有还，但是你我贷发短信明天上午10回寄相关邮件但我公司甚至会有人上门，我希望能停止这动作，我已经跟发信人申请协商下个月15还，发信人说不行要我自己看着办，我目前是实在还不了，而且本金我也已经还完了，到了下个月15号剩下的利息我也会一起还了，我只是希望能停止对我家里人朋友的骚扰，。</t>
  </si>
  <si>
    <t>百度有钱花暴力催收</t>
  </si>
  <si>
    <t>http://ts.21cn.com/tousu/show/id/1372853</t>
  </si>
  <si>
    <t>2019/10/19 01:45:37</t>
  </si>
  <si>
    <t>投诉人何先生投诉对象有钱花,百度涉诉金额1500元问题类型诉求类型投诉详情百度有钱花工作人员对我进行暴力催收，侵犯我的隐私、利用我的身份证信息查我的五险一金，查到我工作的公司，每天打电话到公司暴力催收、恐吓威胁，导致我丢失工作，口口声声说我借钱，可是登陆有钱花app查不到任何信息，查不到任何借钱记录，还说欠1500，要我还2600，恐吓我，这个130******15的北京联通号码还利用手机短信给我发了个链接，我按照链接往里面转账400，然后这个人还恐吓我要我把剩下的高额利息还清。</t>
  </si>
  <si>
    <t>闪银变相砍头息借1100到账800</t>
  </si>
  <si>
    <t>http://ts.21cn.com/tousu/show/id/1372852</t>
  </si>
  <si>
    <t>2019/10/19 01:43:54</t>
  </si>
  <si>
    <t>投诉人苏先生投诉对象Wecash闪银涉诉金额3000元问题类型诉求类型投诉详情本人于10月12日在闪银哼哼和瞬瞬申请两笔借款借款金额2300借款期限为一个月闪银误导并强制在闪银购买总计六百余元垃圾商品到账借款为1700元一月后到期应还为2400余元一个月利息总计七百元已远远超出国家利率年利息封顶百分之36。</t>
  </si>
  <si>
    <t>宝付支付违规为套路贷公司提供支付渠道，扣取我银行卡内资金</t>
  </si>
  <si>
    <t>http://ts.21cn.com/tousu/show/id/1372851</t>
  </si>
  <si>
    <t>2019/10/19 01:38:56</t>
  </si>
  <si>
    <t>本人银行内流水有大笔宝付支付的扣款记录，却不显示商户名称，而且有多笔涉及套路贷公司的扣款都是有宝付支付提供支付渠道。</t>
  </si>
  <si>
    <t>小花钱包上门催收问题</t>
  </si>
  <si>
    <t>http://ts.21cn.com/tousu/show/id/1372850</t>
  </si>
  <si>
    <t>2019/10/19 01:37:02</t>
  </si>
  <si>
    <t>聚投诉平台各位领导你们好，欠债还钱天经地义，我们也知道，我们身为90后也明白其中道理，人活着就是要先学会做人后学会做事，我承认小花钱包我当初借款总额是借了一万二，上一期协商好分六期处理，我已按约定处理好第一期2800，可小花钱包出尔反尔，钱收了还爆通讯录，骚扰家人亲戚朋友，一天上百个电话几千条信息，对我们的生活和工作已造成严重影响，上一期还款我就提醒过，先向我亲戚朋友道歉后续我自会按时还款，可对方答应好好的，钱一到手联系不上，现在第二期还款我已经逾期二十多天，今天来了句这两天会派人上门催收，我想说我等的就是</t>
  </si>
  <si>
    <t>本元商城买东西反现不到帐</t>
  </si>
  <si>
    <t>http://ts.21cn.com/tousu/show/id/1372848</t>
  </si>
  <si>
    <t>2019/10/19 01:32:06</t>
  </si>
  <si>
    <t>本元商城一直说买多少钱的东西，过个十来天东西到了又返现给你，但是现在东西买了也没到，返现钱也不见了，商城东西都买不了了，这是怎么回事。</t>
  </si>
  <si>
    <t>多宝分期app高息借贷</t>
  </si>
  <si>
    <t>http://ts.21cn.com/tousu/show/id/1372847</t>
  </si>
  <si>
    <t>2019/10/19 01:31:26</t>
  </si>
  <si>
    <t>多宝分期高息借贷，3000元分3期，每10天1期，每期要还1329.6元，整整一个月还下来要比原先借款多还差不多1000块钱，已经属于高利贷行为。</t>
  </si>
  <si>
    <t>处处APP涉嫌欺诈，诱导用户套取资金</t>
  </si>
  <si>
    <t>http://ts.21cn.com/tousu/show/id/1372829</t>
  </si>
  <si>
    <t>2019/10/19 01:31:20</t>
  </si>
  <si>
    <t>投诉人王先生投诉对象友缘在线涉诉金额198元问题类型诉求类型投诉详情今天刷抖音的时候下载了处处APP，然后我点开APP，就跳出来好多信息和主动找我联系得陌生人，回复就得开通VIP，随便回复了一个，就诱导我开通了一个零元的体验VIP，我就按照提示开通了，但是还是没有用，这时候我的免密支付已经被诱导开通了，返回APP之后发现还是无法回复，后面就跳出来好多视频语音画面，点了个接听，就直接扣了两次99元钱，未经用户允许直接扣款，霸王条款，上面还说会返还100元话费，结果也是没有返还一点，这完全是个欺诈，从用户的第一</t>
  </si>
  <si>
    <t>我自己花钱买的手机号凭啥被你绑定？</t>
  </si>
  <si>
    <t>http://ts.21cn.com/tousu/show/id/1372846</t>
  </si>
  <si>
    <t>2019/10/19 01:31:19</t>
  </si>
  <si>
    <t>2019年10月17日我下单购买的联通卡2019年10月19日激活注册支付宝时发现这个手机号被注册过！里面的规则忍无可忍！我花钱买的手机号凭啥被别人绑定，反正把那个叫什么春华的支付宝账号给我转移到哪也好不要在我手机上转移到你们客服的也好转移公司的也好！OK?不转移我天天投诉你们。</t>
  </si>
  <si>
    <t>中国银联股份有限公司广州分公司违规扣刷本人银行卡资金</t>
  </si>
  <si>
    <t>http://ts.21cn.com/tousu/show/id/1372842</t>
  </si>
  <si>
    <t>2019/10/19 01:27:58</t>
  </si>
  <si>
    <t>本人银行内有多笔中国银联股份有限公司广州分公司扣款记录，但是却查询不到商户名称，而且在本人解除扣款协议之后该公司依旧继续对我银行卡进行扣款。</t>
  </si>
  <si>
    <t>浦发银行信用卡暴力催收</t>
  </si>
  <si>
    <t>http://ts.21cn.com/tousu/show/id/1049946</t>
  </si>
  <si>
    <t>2019/10/19 01:27:55</t>
  </si>
  <si>
    <t>投诉人董晋林投诉对象浦发信用卡涉诉金额6000元问题类型诉求类型投诉详情浦发银行信用卡，雇佣自称太原一家律师事务所给我打电话进行威胁还款，我让对方提供身份证明信息与银行委托书，对方不提供而且态度很蛮狠，对浦发银行的这种违法行为与催收公司的恶势力团伙严厉打击！。</t>
  </si>
  <si>
    <t>51人品涉嫌联合跨地域放贷</t>
  </si>
  <si>
    <t>http://ts.21cn.com/tousu/show/id/1372841</t>
  </si>
  <si>
    <t>2019/10/19 01:27:47</t>
  </si>
  <si>
    <t>投诉人徐先生投诉对象51人品贷,武汉众邦银行涉诉金额4200元问题类型诉求类型投诉详情本人在51人品贷申请了一资金贷款4200元，结果变成“51生e金”第三方贷款机构的贷款。</t>
  </si>
  <si>
    <t>利息太高，时间本来是一个月改成了十四天，没有人工客服解决这个问题，人工电话也打不通</t>
  </si>
  <si>
    <t>http://ts.21cn.com/tousu/show/id/1372840</t>
  </si>
  <si>
    <t>2019/10/19 01:27:38</t>
  </si>
  <si>
    <t>投诉人文女士投诉对象58好借涉诉金额3000元问题类型诉求类型投诉详情利息高，爆通讯录，还有时间从以前的一个月该成了十四天，客服这些嘟找不到，没有截图这些，因为银行卡不是现在这个电话号码，短信这些嘟删了的。</t>
  </si>
  <si>
    <t>虚假服务信息一直让你充钱，没有提现入口</t>
  </si>
  <si>
    <t>http://ts.21cn.com/tousu/show/id/1372839</t>
  </si>
  <si>
    <t>2019/10/19 01:27:04</t>
  </si>
  <si>
    <t>投诉人王先生投诉对象约单涉诉金额100元问题类型诉求类型投诉详情虚假信息服务平台，一直要求充钱但是没有退款和提现入口。</t>
  </si>
  <si>
    <t>玖富万卡故意扣款失败导致逾期</t>
  </si>
  <si>
    <t>http://ts.21cn.com/tousu/show/id/1372838</t>
  </si>
  <si>
    <t>2019/10/19 01:21:18</t>
  </si>
  <si>
    <t>在21:30-23:00时间内，不超过23:00，已提交中国银行卡6204主动还款，平台显示扣款，2019.10.19在00:14显示逾期一天，此时还款提示23:30-7:30之后才可进行还款，未有任何提示，我在还款日还的，硬让我逾期了，请撤销我的征信问题，19号让我把款还上去。</t>
  </si>
  <si>
    <t>无法提现</t>
  </si>
  <si>
    <t>http://ts.21cn.com/tousu/show/id/1372837</t>
  </si>
  <si>
    <t>2019/10/19 01:20:03</t>
  </si>
  <si>
    <t>无法撤销任务，没有提现入口根本就是不能退款。</t>
  </si>
  <si>
    <t>宜人贷强制高利贷砍头息，强制收取咨询费及保障费</t>
  </si>
  <si>
    <t>http://ts.21cn.com/tousu/show/id/1372836</t>
  </si>
  <si>
    <t>2019/10/19 01:19:40</t>
  </si>
  <si>
    <t>本人在宜人贷借款金额38961.04元，到账只有30000元，分36期，每期还款1490.33元，已经还款11期共16393.63元，剩余应还25期共37258.25元，其中包括平台强制收取的前期咨询费用4285.71元，前期服务保障费用4675.33元，这样的强制收费是明显不合理也不合法的，但是平台却不接受任何协商，因此，想通过聚投诉合法维权，应还的我一分不会少，但是额外的高利息无法接受，。</t>
  </si>
  <si>
    <t>飞花宝，虫虫快借是高利贷借款2000到账1300多</t>
  </si>
  <si>
    <t>http://ts.21cn.com/tousu/show/id/1372835</t>
  </si>
  <si>
    <t>2019/10/19 01:19:10</t>
  </si>
  <si>
    <t>当时急用钱在一个平台上找到的飞花宝和虫虫快借，填完资料后批了额度就直接提现了，现在准备还款发现利息这么高，到款金额少了那么多，这就是暴力黑高利贷。</t>
  </si>
  <si>
    <t>和信砍头息，严重骚扰单位及个人</t>
  </si>
  <si>
    <t>http://ts.21cn.com/tousu/show/id/1372833</t>
  </si>
  <si>
    <t>2019/10/19 01:15:51</t>
  </si>
  <si>
    <t>和信严重砍头息，暴力催收，恐吓威胁，爆隐私，什么都干，简直就是流氓！一个自称是和信公司北京总部法务部姓刘的男士，在能联系到本人的情况下，并且表达我还款的意愿，没有躲没有赖！连续几天，每天七八个电话打到我单位的两个办公室，严重影响本人及同事的正常上班！已严重影响本人隐私和个人名誉，也对我个人精神也带来伤害，这是我个人行为，请不要影响到单位，并且还威胁说不还款就会继续打电话到办公室，我和他说不要做这样的事，我会丢工作的，他们不管不顾，我能不能工作跟他们没关系！！！态度恶劣，要求平台严惩！！！欠债还钱天经地义，但</t>
  </si>
  <si>
    <t>合利宝违规为套路贷公司提供支付</t>
  </si>
  <si>
    <t>http://ts.21cn.com/tousu/show/id/1372832</t>
  </si>
  <si>
    <t>2019/10/19 01:15:40</t>
  </si>
  <si>
    <t>本人在网上借款时支付方显示为广州合利宝支付科技有限公司，后来网上那些借款平台被曝光，都属于714高炮，都是没有资质的网贷平台，合利宝在为其提供支付渠道时没有审查商户资质违规为这些平台扣取本人银行卡内资金，与套路贷公司合伙获取非法利益，本人会继续向中国人民银行和金融办举报该情况。</t>
  </si>
  <si>
    <t>快闪卡贷砍头息</t>
  </si>
  <si>
    <t>http://ts.21cn.com/tousu/show/id/1372831</t>
  </si>
  <si>
    <t>2019/10/19 01:14:51</t>
  </si>
  <si>
    <t>2019年5月份我在快闪卡贷借款7000元，结果实际到账5500元，到了还款日期，客服通知我还7000元他们雇佣催收公司用威胁，恐吓，骚扰等手段暴力催收。</t>
  </si>
  <si>
    <t>已还清卡牛信用管家里的欠款，要注销卡，却一直遭到拒绝。</t>
  </si>
  <si>
    <t>http://ts.21cn.com/tousu/show/id/1372830</t>
  </si>
  <si>
    <t>2019/10/19 01:10:55</t>
  </si>
  <si>
    <t>在卡牛信用管家贷款，现在提前还清并支付了所有的手续费用，结果要注销账户的时候却遭到拒绝，我还清了钱凭什么不给我销户，这就是霸王条款，是不是存在后期泄露我资料的风险，要求注销账户。</t>
  </si>
  <si>
    <t>移动，电信，联通</t>
  </si>
  <si>
    <t>http://ts.21cn.com/tousu/show/id/1372828</t>
  </si>
  <si>
    <t>2019/10/19 01:09:27</t>
  </si>
  <si>
    <t>投诉人刘先生投诉对象中国联通涉诉金额108元问题类型诉求类型投诉详情我的号码，一个月通话不到三十分钟，也没有流量，竟然每个月108消费，移动营业厅处理也没有结果，客服也没有结果，相互推诿，不知道怎么办，问题始终不能给我解决。</t>
  </si>
  <si>
    <t>拉卡拉Q码商户通，恶意冻结本人1405交易资金，不予结算</t>
  </si>
  <si>
    <t>http://ts.21cn.com/tousu/show/id/1372827</t>
  </si>
  <si>
    <t>2019/10/19 01:04:51</t>
  </si>
  <si>
    <t>我是一名跑业务的小员工，我出差时通过代理办理了拉卡拉Q码收款，那时服务商说只要身份证，银行卡，手机号就能办理很简单，资金是时时到账，2019年10月14日去外地帮人调试设备用拉卡拉q码收款3201元，可是两天过去只到了一部分，之后我的账号店铺无效，之后找客服处理，客服让我联系服务商，服务商说资金冻结了让我提供相关材料，我也提供了所有材料并做了书面说明，为了拍需要的材料无还专程坐火车缺外地但是交易的客户店一趟剩下该提供的我都提供了，可是客服也没有给我及时答复，只是说会帮我加急处理，一直没有说什么时候还我钱的问</t>
  </si>
  <si>
    <t>深圳长鼎富网络金融科技有限公司违法放贷，收取砍头息</t>
  </si>
  <si>
    <t>http://ts.21cn.com/tousu/show/id/1372826</t>
  </si>
  <si>
    <t>2019/10/19 01:03:56</t>
  </si>
  <si>
    <t>魔BUY商城,深圳长鼎富网络金融科技有限公司,上海魔金点子商务有限公司，本人自2017年以来在魔法现金APP借款，每次借款都以强制购买会员的方式收取砍头息，本人现能查询到流水有十笔左右，每笔手续砍头息298元，而且深圳长鼎富网络金融科技有限公司并无放贷资质却违规放贷，收取会员卡的上海魔金电子商务有限公司违规超出范围经营。</t>
  </si>
  <si>
    <t>来分期利息费奇高</t>
  </si>
  <si>
    <t>http://ts.21cn.com/tousu/show/id/1372825</t>
  </si>
  <si>
    <t>2019/10/19 01:02:24</t>
  </si>
  <si>
    <t>每天都有贷款平台给我打电话而且利息费太高借1000元还1200多！。</t>
  </si>
  <si>
    <t>拍拍贷爆通讯录，催收冒充交通银行</t>
  </si>
  <si>
    <t>http://ts.21cn.com/tousu/show/id/1372822</t>
  </si>
  <si>
    <t>2019/10/19 00:54:41</t>
  </si>
  <si>
    <t>催收冒充交通银行，给我通讯录好友打电话骚扰，我通讯录中一名朋友是派出所民警，今日问到我具体原因，已经报警！！。</t>
  </si>
  <si>
    <t>还款未销帐，多扣走一期还款金额</t>
  </si>
  <si>
    <t>http://ts.21cn.com/tousu/show/id/1372821</t>
  </si>
  <si>
    <t>2019/10/19 00:48:02</t>
  </si>
  <si>
    <t>在多宝分期借了2000元，分了三期，每期还款886.37元，还第一期显示扣款失败，没过几分钟，在平台上绑定的银行卡里面划走了两期的金额，我还一期给我划走了两期，总共1772.74元，平台上也没有显示还款成功，客服也联系不上，请客服人员与我联系提供结清证明。</t>
  </si>
  <si>
    <t>重复扣款</t>
  </si>
  <si>
    <t>http://ts.21cn.com/tousu/show/id/1372820</t>
  </si>
  <si>
    <t>2019/10/19 00:40:52</t>
  </si>
  <si>
    <t>投诉人王女士投诉对象嗨钱网,微众金融涉诉金额983元问题类型诉求类型投诉详情从2019年8月17号开始还款到9月17号还款多扣了我415，在10月16号已经把多扣的415退还，10月17号联系微众金融的客服告知转入他们的对公账户本期还款金额，在10月18号晚上10点又从我卡里扣走钱了，而且还不销账，从第一期还款到现在都没销账。</t>
  </si>
  <si>
    <t>钱伴催收威胁</t>
  </si>
  <si>
    <t>http://ts.21cn.com/tousu/show/id/1372818</t>
  </si>
  <si>
    <t>2019/10/19 00:39:44</t>
  </si>
  <si>
    <t>发短信，然后加微信威胁要我三点前还款，还说要承担后果！。</t>
  </si>
  <si>
    <t>投诉安亿花app，退回欺诈的198元钱。</t>
  </si>
  <si>
    <t>http://ts.21cn.com/tousu/show/id/1372817</t>
  </si>
  <si>
    <t>2019/10/19 00:39:12</t>
  </si>
  <si>
    <t>安亿花以会员服务名义扣走我198会员费，我打电话要求退费，他们以各种理由拒绝，我安要求申请八家网贷没有通过后截图上传，安亿花说不合规不给退费。</t>
  </si>
  <si>
    <t>http://ts.21cn.com/tousu/show/id/1372816</t>
  </si>
  <si>
    <t>2019/10/19 00:39:02</t>
  </si>
  <si>
    <t>捷信金融有限公司以高利贷，骚扰，爆通讯录，欺诈，冒充公检法来恐吓欠款人，利息高达百分65高利贷，天天打电话来催收，上门催收恐吓，希望有关部门为我们做主！！！！！。</t>
  </si>
  <si>
    <t>正合普惠恶意催收强制结清威胁恐吓拨打联系人曝通迅录</t>
  </si>
  <si>
    <t>http://ts.21cn.com/tousu/show/id/1372815</t>
  </si>
  <si>
    <t>2019/10/19 00:38:12</t>
  </si>
  <si>
    <t>2017年8月22日向正合普惠借款，合同金额93273元，到账64000元，分36期，每期3053.64，从未逾期已还19期，共还58019元，今年4月扣款不成功，今天我打东莞公安处置专线询问东莞公安说按合同正常还款，没接到结清文件，昨晚，催收人微信联系我，我说款会按合同按期还的，他说不行，必须在今天12点前结清51911.88元，今天催收人又打微信电话，很嚣张猖獗，他说他们按他们的催收方式，管他公安局不公安局，不容许我说话，要还款就必须结清，说已上报征信，晚上又打电话，威胁恐吓如不结清，就拨打联系人，曝通</t>
  </si>
  <si>
    <t>http://ts.21cn.com/tousu/show/id/1372814</t>
  </si>
  <si>
    <t>2019/10/19 00:37:27</t>
  </si>
  <si>
    <t>像客服那边说明最近住院没办法，缓几天赔款，但一直收到暴力催收的信息，还暴了我的通讯录，给家人及朋友生活带来严重影响，侵犯我的隐私，对我精神上造成了伤害，本人是一个马上到预产期的孕妇，请平台帮忙遏制这种不法行为。</t>
  </si>
  <si>
    <t>http://ts.21cn.com/tousu/show/id/1372813</t>
  </si>
  <si>
    <t>2019/10/19 00:36:01</t>
  </si>
  <si>
    <t>投诉人崔女士投诉对象钱站涉诉金额75000元问题类型诉求类型投诉详情协商之后，又反悔，暴力催收，亲戚朋友，严重影响正常生活。</t>
  </si>
  <si>
    <t>畅快车贷强行偷车</t>
  </si>
  <si>
    <t>http://ts.21cn.com/tousu/show/id/1372812</t>
  </si>
  <si>
    <t>2019/10/19 00:35:41</t>
  </si>
  <si>
    <t>2018年12月4日在畅快车贷长沙门店借款3万，每月4号偿还3160元，2019年10月由于资金周转困难没有及时还款，逾期14天。</t>
  </si>
  <si>
    <t>支付宝单方面冻结资金</t>
  </si>
  <si>
    <t>http://ts.21cn.com/tousu/show/id/1372811</t>
  </si>
  <si>
    <t>2019/10/19 00:31:35</t>
  </si>
  <si>
    <t>我店铺正常营业，为什么好好关闭了我的支付功能，说我违规操作，打客服电话态度太差，直接不让我把话说完，给我转到语音通报，请问我何时才能把钱拿回来，你们这样影响到我的正常营业了吧。</t>
  </si>
  <si>
    <t>京东金融乱扣费，私自转走我的钱</t>
  </si>
  <si>
    <t>http://ts.21cn.com/tousu/show/id/1372810</t>
  </si>
  <si>
    <t>2019/10/19 00:29:57</t>
  </si>
  <si>
    <t>本人建设银行储蓄卡于2019年10月18日下午18时41分被京东支付扣款了2469元，当时手机没电处于关机状态，我本人并没有进行此支付操作，联系建行客服，客服明确是京东支付扣的款，要我联系京东客服询问，因为走的是京东支付的通道追款也应该是京东支付的事，他们是合作方，而且所谓的第三方代扣也是京东金融的一面之词（且取消任何没有经过我本人授权同意的扣款，对此我投诉京东以下几点及我的相关诉求：1.没经过我的授权，私自代扣我绑定京东金融储蓄卡内的钱，2.联系京东客服说是代扣，也明确回复这笔扣款是由京东支付第三方代扣了</t>
  </si>
  <si>
    <t>长期不退押金</t>
  </si>
  <si>
    <t>http://ts.21cn.com/tousu/show/id/1372809</t>
  </si>
  <si>
    <t>2019/10/19 00:28:11</t>
  </si>
  <si>
    <t>投诉人 李浩文        投诉对象  立刻出行        涉诉金额  499 元    问题类型    诉求类型投诉详情  因立刻出行严重逾期退押金 违反协议约定 希望尽快退还押金</t>
  </si>
  <si>
    <t>兑现广告价格并赔偿损失</t>
  </si>
  <si>
    <t>http://ts.21cn.com/tousu/show/id/1372808</t>
  </si>
  <si>
    <t>2019/10/19 00:27:29</t>
  </si>
  <si>
    <t>2019年10月16日凌晨京东发布广告预约18日购买博世10公斤洗衣机成交价不高于3699，本人遂16日凌晨预约购买，并截图.但16日19点广告又变成18日成交价不高于6199，我当即联系博世供应商客服，供应商客服表示不可能有3699，是京东页面错误，让我联系京东客服.我19点40联系京东电话客服，电话客服答复我：“16号凌晨预约的客户将会享受单台3699的价格，让我18号凌晨蹲点购买.”我听从客服的说法，从17日23点蹲守至18日凌晨1点，都没有发现价格变为3699，为了保留证据，本人在18日0点00分在</t>
  </si>
  <si>
    <t>中融创融胡乱扣费</t>
  </si>
  <si>
    <t>http://ts.21cn.com/tousu/show/id/1372807</t>
  </si>
  <si>
    <t>2019/10/19 00:25:37</t>
  </si>
  <si>
    <t>本人与中融创融担保有限公司无业务来往，2019年9月6日下午3时扣款774元，打电话给客服，客服说闪银扣的，我跟闪银的业务往来与你公司何干，谁给你们的权利扣款，我要求退还我的774元，并给我个合理解释。</t>
  </si>
  <si>
    <t>支付1元，实际支付198元</t>
  </si>
  <si>
    <t>http://ts.21cn.com/tousu/show/id/1372805</t>
  </si>
  <si>
    <t>2019/10/19 00:24:03</t>
  </si>
  <si>
    <t>投诉人赵先生投诉对象友缘在线涉诉金额198元问题类型诉求类型投诉详情浏览器看新闻时广告下载了app处处，然后出现一堆真真假假的推荐信息和主动找我联系得陌生人，怀疑都是处处软件虚构出来引诱用户的，然后回复就得开通VIP,同时诱导用户开通了一个零元的体验vip开通了还是没有任何作用，这个操作完全诱导用户免密支付宝，然后发现仍然无法回复，跟他们说的vip不一样，结果悄悄的VIP还是扣费99元，同时就弹出了一堆窗口和语音申请，这个时候用户找关闭按钮时，这时候不管则么按都是个利用第一步诱导用户开通的免密支付，直接未经</t>
  </si>
  <si>
    <t>钱站混淆概念，高利贷，高砍头息</t>
  </si>
  <si>
    <t>http://ts.21cn.com/tousu/show/id/1372804</t>
  </si>
  <si>
    <t>2019/10/19 00:23:58</t>
  </si>
  <si>
    <t>19年6月17日申请借款4000元，实际到账金额4000元，根据后来一直要求钱站出示的合同原件显示，借款本金在合同里竟然变成了6760元整，而且没有利率显示，每期等额还款金额竟然高达2298.93元，总还款金额高达6896.79，来个明白人告诉我，这利率是多少，是不是高利贷，后来咨询客服，客服辩称实际到账金额为合同金额-首期服务费-中介担保费，并且首期服务费和担保费不到账，直接扣除，还说这两笔费用不会计算利息，这不分明是自相矛盾吗，既然6760元是本金，你合同不按照本金来计算利息吗，那如果按到账金额4000</t>
  </si>
  <si>
    <t>该平台是违规网贷平台，现无法登陆还款</t>
  </si>
  <si>
    <t>http://ts.21cn.com/tousu/show/id/1372806</t>
  </si>
  <si>
    <t>2019/10/19 00:23:49</t>
  </si>
  <si>
    <t>本人已对之前该平台所下款金额全部清还，剩砍头息加违规利息金额1488元，本可对其还款，但该平台已经无法登陆，且之前已还清本金额度，对此进行自身情况进行维护，并希望有关部门严查该网贷平台。</t>
  </si>
  <si>
    <t>小闪分期高利贷暴力催收</t>
  </si>
  <si>
    <t>http://ts.21cn.com/tousu/show/id/1372802</t>
  </si>
  <si>
    <t>2019/10/19 00:19:06</t>
  </si>
  <si>
    <t>到我手里只有15000元，扣了2千多的什么费用，共6期每期还3418，还两万多，当我我感觉利息高，想还进去可是还不了，只能分期还，现在已经还了两期，还低三期，我资金出了点状况，钱没有及时到位，他们一天给我算将近100的利息，过了我们约定的日子，他们暴力催收，有个女的基本几分钟给我打一个电话，由于我开餐厅，中午饭点比较忙，没有及时接他们电话，他们就给我身边的朋友，我表哥他们这些打电话说让我还款，泄露我的一切信息，我觉得这样严重损坏我的个人名誉，现在对我得生活已经造成可隐形，今晚我已经把??凑好了要还他们，却又还</t>
  </si>
  <si>
    <t>京东金条高利贷</t>
  </si>
  <si>
    <t>http://ts.21cn.com/tousu/show/id/1372801</t>
  </si>
  <si>
    <t>2019/10/19 00:17:15</t>
  </si>
  <si>
    <t>京东，来告诉我，这是不是高利贷，我不会算，你帮我算算，第三期比第一四还款还高，年息29.2我忍了，给你还了那么多，现在偷偷加息成高利贷了。</t>
  </si>
  <si>
    <t>淘宝纵容黑心商家不退款</t>
  </si>
  <si>
    <t>http://ts.21cn.com/tousu/show/id/1370558</t>
  </si>
  <si>
    <t>2019/10/19 00:16:47</t>
  </si>
  <si>
    <t>投诉人 崔女士        投诉对象  淘宝网        涉诉金额  500 元    问题类型    诉求类型投诉详情  8月29日在淘宝购物 虚拟发货没有等到货 系统确认收货 申请退款淘宝不及时处理 让我等卖家处理 这个过程中卖家店铺关闭 退款失败 淘宝介入 以卖家没有保证金为由 关闭我的维权申请 退款详情表示已经对商家处理 只是淘宝的处理没有退款给我多次协商被拒 款项石沉大海 非常气愤</t>
  </si>
  <si>
    <t>淘集集退店不肯退保证金</t>
  </si>
  <si>
    <t>http://ts.21cn.com/tousu/show/id/1372800</t>
  </si>
  <si>
    <t>2019/10/19 00:16:41</t>
  </si>
  <si>
    <t>退店审核通过，不肯退保证金，已经过去很久了。</t>
  </si>
  <si>
    <t>闪电借款。借钱需要买黑卡，说买了之后不行可以退钱，结果根本找不到退钱的口子，而且打客服电话从来也打不通</t>
  </si>
  <si>
    <t>http://ts.21cn.com/tousu/show/id/1372799</t>
  </si>
  <si>
    <t>2019/10/19 00:16:09</t>
  </si>
  <si>
    <t>买了之前上面写着不行可以全额退款，结果连退钱通道都找不到，打客服电话打了三天了，也没打通过。</t>
  </si>
  <si>
    <t>深圳小牛普惠第三方暴力催收</t>
  </si>
  <si>
    <t>http://ts.21cn.com/tousu/show/id/1372797</t>
  </si>
  <si>
    <t>2019/10/19 00:15:37</t>
  </si>
  <si>
    <t>深圳小牛普惠第三方没有经过我同意给我爆通讯录，给我妻子打电话，辱骂，威胁，实际到账不到40000元，还款40000多元，现在第三方，今天让我还57000元，明天让我还13000元，过几天说还8000元，第三方说多少就多少深圳小牛普惠不管，我投诉他们不管，希望领导尽快处理，谢谢。</t>
  </si>
  <si>
    <t>买家退货淘宝方已商品排查为理由同意买家退货并上马退款给买家</t>
  </si>
  <si>
    <t>http://ts.21cn.com/tousu/show/id/1372798</t>
  </si>
  <si>
    <t>2019/10/19 00:15:32</t>
  </si>
  <si>
    <t>本人淘宝店因为出售的一款产品被淘宝查了，涉嫌售假问题，这个我们承认，淘宝方面也对我们进行了处罚，某些方面我们意识薄弱，但是也会改正，但是罚也罚了，商品也删除了，，淘宝居然以商品排查为理由默认买家退款然后直接退款给买家，要我们货物双方自行协商处置，导致了很多买家退款不退货给我们，对我们的事实很严重，对此我希望淘宝对此规则做出更改，下面是我一部分的截图。</t>
  </si>
  <si>
    <t>合同金额152300元，实际到手100000元，要还180522</t>
  </si>
  <si>
    <t>http://ts.21cn.com/tousu/show/id/1372796</t>
  </si>
  <si>
    <t>2019/10/19 00:09:02</t>
  </si>
  <si>
    <t>2017年6月在凡普借款合同金额十五万多，服务费三笔一共五万多，实际到账十万元，每月12号还款5014.5元，一共还了26个月130377元，没有一天逾期！上个月资金周转困难，家里老人还住院了，别人欠我的钱答应还我也没还上，我和凡普的催收商量晚几天，缓一缓，要不是确实遇到困难了不会不还的，26个月都还了，不是恶意逃债，而且十万的本金也早还完了！怎么商量都不行，态度极其恶劣还是个女的，15号开始给我家人、朋友、同事挨个打电话，换手机号，坐机号打，一直打到接电话为止，美其名曰是在“帮我”，早上八点半上班开始打电</t>
  </si>
  <si>
    <t>财滚滚砍头息，高利贷</t>
  </si>
  <si>
    <t>http://ts.21cn.com/tousu/show/id/1372795</t>
  </si>
  <si>
    <t>2019/10/19 00:08:59</t>
  </si>
  <si>
    <t>投诉人 李先生        投诉对象  财滚滚        涉诉金额  1 200 元    问题类型    诉求类型投诉详情  没有与我联系就已经结案。一点态度都没有。</t>
  </si>
  <si>
    <t>立借套路贷款</t>
  </si>
  <si>
    <t>http://ts.21cn.com/tousu/show/id/1372793</t>
  </si>
  <si>
    <t>2019/10/19 00:07:08</t>
  </si>
  <si>
    <t>立借平台套路贷款，借8500要分12期还要还12000多，而且手续费高，逾期一天加100费用，暴力催收，电话短信骚扰通讯录好友。</t>
  </si>
  <si>
    <t>高价砍头息</t>
  </si>
  <si>
    <t>http://ts.21cn.com/tousu/show/id/1372792</t>
  </si>
  <si>
    <t>2019/10/19 00:05:59</t>
  </si>
  <si>
    <t>我在10月7日时申请的借款，当时太急了没有注意，就借了出来，在此期间也没有客服打电话过来核实信息，并提醒借款金额的问题，我借了3000元，但是到账只有1650元，砍头息砍掉了1350元，我当时就蒙了，打电话过去也没有人接，我在被逼无奈之下，只能找我的朋友借钱还了借款。</t>
  </si>
  <si>
    <t>北京闪银奇异科技有限公司高利贷套路利息</t>
  </si>
  <si>
    <t>http://ts.21cn.com/tousu/show/id/1372791</t>
  </si>
  <si>
    <t>2019/10/19 00:05:48</t>
  </si>
  <si>
    <t>最后审核通过我看账单多出来一个三天内还450元白条，否则我将投诉到底而且还完白条以后连还款记录都没有了。</t>
  </si>
  <si>
    <t>高利贷，非法</t>
  </si>
  <si>
    <t>http://ts.21cn.com/tousu/show/id/1372790</t>
  </si>
  <si>
    <t>2019/10/19 00:05:07</t>
  </si>
  <si>
    <t>本人在2019年4月3日在榕树贷款平台申请你我贷20000元借款，下款后发现总共要还27189.24，前两期为3565.77元，后10期为2005.77，算下来年化利率已经超过国家法定利息，，且已按时还款的7期费用总额为17160.39，接下来5期提前还款，金额合计为10601.15，实际费用已达27761.54，绝对属于高利贷，所以请求与你我贷协商，退还已经还款7期多付的利息与杂费，非法砍头息，包含利息以及所谓的平台费，服务费，本人只能接受合法合理合规的利息费用！若平台拒绝协商，只能通过求助法律途径解决！</t>
  </si>
  <si>
    <t>变相高利贷，阴阳合同</t>
  </si>
  <si>
    <t>http://ts.21cn.com/tousu/show/id/1372789</t>
  </si>
  <si>
    <t>2019/10/19 00:04:51</t>
  </si>
  <si>
    <t>投诉人潘先生投诉对象捷信金融涉诉金额460000元问题类型诉求类型投诉详情推销员说好了的，分48期还当看到合同是60期，当贷款下来之后又额外向我要了500元手续费，贷46000元，以还了13期，每期还款1636.45元，想提前还完还需要还4万三千多元，照这样下去无力偿还，之前有过协商，没有商量的余地。</t>
  </si>
  <si>
    <t>恶意催款，曝光通讯录，恶意骚扰本人亲朋好友</t>
  </si>
  <si>
    <t>http://ts.21cn.com/tousu/show/id/1372787</t>
  </si>
  <si>
    <t>2019/10/19 00:03:15</t>
  </si>
  <si>
    <t>由于本人年少轻狂，不知道，由于本人缺钱就在小花钱包贷款25000元，每个月还款1900百多，每个月按时还款了后来才知道要还款37000多，觉得利息高还不能提前还款，提前还款还要收取违约金及利息，现在没有钱还了，刚刚过一两天就恶意催款恐吓曝光通讯录，骚扰本人亲朋好友。</t>
  </si>
  <si>
    <t>智行未告知加速包费用情况下多扣了40</t>
  </si>
  <si>
    <t>http://ts.21cn.com/tousu/show/id/1372786</t>
  </si>
  <si>
    <t>2019/10/19 00:01:39</t>
  </si>
  <si>
    <t>投诉人 王女士        投诉对象  智行        涉诉金额  40 元    问题类型    诉求类型投诉详情  未告知加速包需要收费的情况下多扣了40元</t>
  </si>
  <si>
    <t>http://ts.21cn.com/tousu/show/id/1372785</t>
  </si>
  <si>
    <t>2019/10/19 00:00:42</t>
  </si>
  <si>
    <t>我在10月7日时在金银钱包申请的借款，当时太急了没有注意，就借了出来，在此期间也没有客服打电话过来核实信息，并提醒借款金额的问题，我借了2500,元，但是到账只有1375元，我当时就蒙了，打电话过去也没有人接，我在被逼无奈之下，只能找我的朋友借钱还了借款。</t>
  </si>
  <si>
    <t>浦发银行信用卡中心恶意骚扰</t>
  </si>
  <si>
    <t>http://ts.21cn.com/tousu/show/id/1372784</t>
  </si>
  <si>
    <t>2019/10/19 00:00:32</t>
  </si>
  <si>
    <t>每天催收二十多个打电话，还让人活吗，严重扰乱自己以及家人的正常生活，今天催收说是明天上门，家里父母都七十多的年龄，我承认欠债还钱，上去五天还了五万多了，有钱肯定要还，，，停止骚扰，罚息，协商分期还款。</t>
  </si>
  <si>
    <t>浏览器看新闻时广告下载了app处处，然后出现一堆真真假假的推荐信息和主动找我联系得陌生人，怀疑都是处处软件虚构出来引诱用</t>
  </si>
  <si>
    <t>http://ts.21cn.com/tousu/show/id/1372783</t>
  </si>
  <si>
    <t>2019/10/19 00:00:15</t>
  </si>
  <si>
    <t>以欺骗消费者为主，引诱消费者开通免密支付后自动扣费。</t>
  </si>
  <si>
    <t>拍拍贷主动还款不扣款造成逾期恶意收取逾期费用</t>
  </si>
  <si>
    <t>http://ts.21cn.com/tousu/show/id/1372782</t>
  </si>
  <si>
    <t>2019/10/19 00:00:02</t>
  </si>
  <si>
    <t>本人于今日需还拍拍贷借款98.33元，由于没有主动扣款，本人于下午开始一直手动还款，但是拍拍贷无法正常还款，本人已录制还款过程作为证据！对拍拍贷恶意让用户逾期并收取滞纳金的行为表示不满！希望平台予以处理！。</t>
  </si>
  <si>
    <t>海尔施特劳斯净水机</t>
  </si>
  <si>
    <t>http://ts.21cn.com/tousu/show/id/1372781</t>
  </si>
  <si>
    <t>2019/10/18 23:59:06</t>
  </si>
  <si>
    <t>本人于2019年10月17日接到西安一手机号打过来的说是海尔公司售后，邀请我去宝鸡市金台区冠森路1号冠森大世界建材城海尔专卖店参加答谢会，下午6点开始去后转化为海尔净水器推销会，主持的在会上营造水质空气严重污染的氛围，并将墨水倒入一箱水中，通过净水器过滤把污染一扫而光，推销说市场上售价6999的净水器回馈客户只要3999，并切急切利用诱导手段致现场缴费，即可安装，当晚工作人员到家装后，当晚因本人上网查看品牌发现是骗局赶快打海尔电话不通，并去海尔专柜查也无HSNF一1800J0净水机，询问工作人员才知这是前年</t>
  </si>
  <si>
    <t>随手记账高额砍头息</t>
  </si>
  <si>
    <t>http://ts.21cn.com/tousu/show/id/1372780</t>
  </si>
  <si>
    <t>2019/10/18 23:58:47</t>
  </si>
  <si>
    <t>10月16日在随手记福贷记借了9500，分12期还清11447.43元，每期还款953.95元，10月6日收到到账9500元信息，随后扣了两笔钱合计1900，扣了一个1425，一个475，变相的砍头息，相当于我借9500，扣了1900，到手7600，分12期要还11447.43元，比高利贷还高，当时就不想借了点提前还清要还9960.24元，其中包括利息197.92元，违约金262.32元。</t>
  </si>
  <si>
    <t>51人品贷黑心高利贷，暴利催收骚扰联系人</t>
  </si>
  <si>
    <t>http://ts.21cn.com/tousu/show/id/1372779</t>
  </si>
  <si>
    <t>2019/10/18 23:57:57</t>
  </si>
  <si>
    <t>事件：在2019年8月11日为在51人品贷申请了一笔22400元的借款，共分期12期用于周转，在按时还款2个月后我发现这笔借款的利息及各项费用比以往高出很多，我计算了下借款22400元分期一年总还款额居然高达29854.76元，利息加各种莫名其妙的费用居然有7454.76元，明显高于国家规定的贷款利率！1.51人品贷并且并且在第一期还款违规收取1568元砍头息行为，诉求：1.申请提前结清2.剩余还款额减免1568元违规“砍头息”3.剩余还款额减免4037.18元“居间服务费+保障计划费”。</t>
  </si>
  <si>
    <t>钱澄无忧虚假宣传乱扣费</t>
  </si>
  <si>
    <t>http://ts.21cn.com/tousu/show/id/1372778</t>
  </si>
  <si>
    <t>2019/10/18 23:57:21</t>
  </si>
  <si>
    <t>钱澄无忧未经本人同意私自划扣银行卡的钱，付款环节也没有密码支付，也未享受到任何服务，借款平台，没有贷款业务只有乱扣费，虚假宣传套路贷，要求退还所扣费用。</t>
  </si>
  <si>
    <t>用苹果手机开通腾讯视频扣费成功，会员没开通</t>
  </si>
  <si>
    <t>http://ts.21cn.com/tousu/show/id/1372777</t>
  </si>
  <si>
    <t>2019/10/18 23:56:04</t>
  </si>
  <si>
    <t>通过苹果手机开通腾讯视频会员，支付宝显示没没有开通，然后我通过安卓手机直接在微信支付开通成功了之后十分钟，我的支付宝又给我扣费了，现在是开一个月的会员扣了二次费，前面一张是苹果手机支付宝免密支付的，后面是安卓手机微信支付的，以后都不敢用苹果支付任何费用了......求解决。</t>
  </si>
  <si>
    <t>爆通讯录，骚扰我朋友</t>
  </si>
  <si>
    <t>http://ts.21cn.com/tousu/show/id/1372776</t>
  </si>
  <si>
    <t>2019/10/18 23:53:57</t>
  </si>
  <si>
    <t>客服态度超级差，还爆我通讯录，多次骚扰朋友。</t>
  </si>
  <si>
    <t>714砍头息利息高暴力催收</t>
  </si>
  <si>
    <t>http://ts.21cn.com/tousu/show/id/1372775</t>
  </si>
  <si>
    <t>2019/10/18 23:51:51</t>
  </si>
  <si>
    <t>投诉人 李先生        投诉对象  石榴快袋,汇潮支付        涉诉金额  2 000 元    问题类型    诉求类型投诉详情  砍头息汇潮支付违法提供高利贷支付暴力催收</t>
  </si>
  <si>
    <t>iPhone11摄像头进灰</t>
  </si>
  <si>
    <t>http://ts.21cn.com/tousu/show/id/1372773</t>
  </si>
  <si>
    <t>2019/10/18 23:47:21</t>
  </si>
  <si>
    <t>发现新买的iPhone11摄像头进灰，去苹果浦东直营店做售后，不给保修。</t>
  </si>
  <si>
    <t>360借条套路贷，高炮，黑平台</t>
  </si>
  <si>
    <t>http://ts.21cn.com/tousu/show/id/1372772</t>
  </si>
  <si>
    <t>2019/10/18 23:47:17</t>
  </si>
  <si>
    <t>本人先后在该平台借了三次2200，共计6600，头两次借用时间不到三天，可利息却多收了400多，国家现在在大力整治网贷乱象，我就不信法制社会还有如此黑平台纵横，黑中国老百姓。</t>
  </si>
  <si>
    <t>好易贷退回砍头息</t>
  </si>
  <si>
    <t>http://ts.21cn.com/tousu/show/id/1372770</t>
  </si>
  <si>
    <t>2019/10/18 23:46:01</t>
  </si>
  <si>
    <t>本人在好易贷平台借款3000，实际到账2100，7天还款，标准的714高炮平台，期间没有钱全额还款，续期7天。</t>
  </si>
  <si>
    <t>创维食材净化器</t>
  </si>
  <si>
    <t>http://ts.21cn.com/tousu/show/id/1372769</t>
  </si>
  <si>
    <t>2019/10/18 23:44:34</t>
  </si>
  <si>
    <t>2019年10月18日在江西萍乡润达国际酒店4楼会议室参加创维答谢老客户活动被忽悠，主持人采用夸大宣传，大幅优惠误导我花了3999元购买JS3食材净化器，送了一个创维破壁机和新飞空气净化器，回家在创维官网上经查后，找不到这款机器的任何资料，连准确价格也没有，机器上贴的所谓厂家地址也不是创维的主要厂址，无法查询到该商品的销售资质，网络平台上也没有找到该产品的售卖，也未找到该产品的3C认证根本就是贴牌生产，要求退货退款。</t>
  </si>
  <si>
    <t>制造虚假司法文件，到处群发，影响本人声誉，影响工作，导致失业，对本人的生活造成极大困扰，要求拍拍货对本人道歉及赔偿。</t>
  </si>
  <si>
    <t>http://ts.21cn.com/tousu/show/id/1372768</t>
  </si>
  <si>
    <t>2019/10/18 23:44:10</t>
  </si>
  <si>
    <t>未经本人同意私自扣费</t>
  </si>
  <si>
    <t>http://ts.21cn.com/tousu/show/id/1372767</t>
  </si>
  <si>
    <t>2019/10/18 23:44:06</t>
  </si>
  <si>
    <t>未经本人允许私自通过薪薪借钱app从我银行卡划扣199元，而且该平台根本不能借款，虚假宣传，要求退款。</t>
  </si>
  <si>
    <t>青客公寓退押金困难</t>
  </si>
  <si>
    <t>http://ts.21cn.com/tousu/show/id/1372766</t>
  </si>
  <si>
    <t>2019/10/18 23:42:57</t>
  </si>
  <si>
    <t>本人于2019年10月16日在青客公寓租了房，17日与房管沟通无条件退房，房管称流程已提交，APP上无显示，退款需要7-20工租日。</t>
  </si>
  <si>
    <t>投诉银豹</t>
  </si>
  <si>
    <t>http://ts.21cn.com/tousu/show/id/1372765</t>
  </si>
  <si>
    <t>2019/10/18 23:42:56</t>
  </si>
  <si>
    <t>做银豹代理商，签合同之前说的特别好，结果合同签完之后，各种不作为。</t>
  </si>
  <si>
    <t>捷信金融利息高</t>
  </si>
  <si>
    <t>http://ts.21cn.com/tousu/show/id/1372764</t>
  </si>
  <si>
    <t>2019/10/18 23:42:19</t>
  </si>
  <si>
    <t>本人与2018年6月借款7万元，已经还款34000元，结果发现还需要还款6W余元，因为本人生病家庭困难无力偿还剩余贷款。</t>
  </si>
  <si>
    <t>即分期和广东南粤银行恶意逾期</t>
  </si>
  <si>
    <t>http://ts.21cn.com/tousu/show/id/1372763</t>
  </si>
  <si>
    <t>2019/10/18 23:40:54</t>
  </si>
  <si>
    <t>即分期和广东南粤银行恶意逾期2016年9月起我在重庆美轮美奂整形美容医院和重庆美圣美邦医院办理了12799.92元和15125.52元的美容消费贷，办理的平台都是上海即分期消费金融，公司全称是即科金融信息服务，其中重庆美轮美奂整形美容医院在2017年8月12日还完，每期还款金额是1066.74元，一共12期，去年，也就是在2018年9月到银行打征信发现自己竟有一笔逾期贷款，已经逾期了，但是当时没有引起重视，因为我从来没有去南粤银行也没有办过南粤银行的卡，当时就觉得一头雾水，原来是即分期自己平台出错了，但是广</t>
  </si>
  <si>
    <t>结算，销帐</t>
  </si>
  <si>
    <t>http://ts.21cn.com/tousu/show/id/1372762</t>
  </si>
  <si>
    <t>2019/10/18 23:40:53</t>
  </si>
  <si>
    <t>2017年11月23日在广东省江门市银谷普惠贷款3万元，合同却是4万多，实际到帐3万元，截止2109年10月止已还43400左右。</t>
  </si>
  <si>
    <t>安逸花严重超出国家规定利率恶意骚扰</t>
  </si>
  <si>
    <t>http://ts.21cn.com/tousu/show/id/1372744</t>
  </si>
  <si>
    <t>2019/10/18 23:40:11</t>
  </si>
  <si>
    <t>本人在马上金融安逸花平台有一笔金额为14000的借款因上月遭遇电信zp目前无力偿还导致逾期，后续在检查借款额度过程中发现已无法查询以往还款金额，将还可查询的账单进行核算了之后发现该平台已严重超出国家规定利率36%，已经涉嫌违法，另外账目十分的不清不楚，请相关部门及时给予答复！。</t>
  </si>
  <si>
    <t>易秒分期到期app打不开不自动还款找不到客服</t>
  </si>
  <si>
    <t>http://ts.21cn.com/tousu/show/id/1372761</t>
  </si>
  <si>
    <t>2019/10/18 23:39:16</t>
  </si>
  <si>
    <t>投诉人 朱先生        投诉对象  易秒下款        涉诉金额  3 000 元    问题类型    诉求类型投诉详情  找不到还款位置好嘛 逼着逾期？app挂了 没联系方式 贴吧到处有人被骗</t>
  </si>
  <si>
    <t>http://ts.21cn.com/tousu/show/id/1372760</t>
  </si>
  <si>
    <t>2019/10/18 23:39:09</t>
  </si>
  <si>
    <t>逾期一天电话催收，上App无法还款，一直显示还款中，导致逾期，请马上联系我。</t>
  </si>
  <si>
    <t>苹果手机激活锁</t>
  </si>
  <si>
    <t>http://ts.21cn.com/tousu/show/id/1372759</t>
  </si>
  <si>
    <t>2019/10/18 23:38:26</t>
  </si>
  <si>
    <t>投诉人朱先生投诉对象苹果,苹果工程部涉诉金额7600元问题类型诉求类型投诉详情10月6号提交发票三包卡包装盒不给解除激活锁说无法解决也没给出解决办法回电话就说解不了。</t>
  </si>
  <si>
    <t>小赢卡贷利息高</t>
  </si>
  <si>
    <t>http://ts.21cn.com/tousu/show/id/1372758</t>
  </si>
  <si>
    <t>2019/10/18 23:37:59</t>
  </si>
  <si>
    <t>我在小赢卡贷借了三万，分12期还清，我算了算还到最后需要还40797.82元，光利息就10797.82元，利息太高，我承担不了，还有很多的费用！希望部门领导可以协商一下，调整一下！。</t>
  </si>
  <si>
    <t>上海通用金融暴力催收收取高额利息</t>
  </si>
  <si>
    <t>http://ts.21cn.com/tousu/show/id/1372755</t>
  </si>
  <si>
    <t>2019/10/18 23:36:21</t>
  </si>
  <si>
    <t>投诉人 肖女士        投诉对象  上海通用汽车金融有限公司        涉诉金额  160 000 元    问题类型    诉求类型投诉详情  上海通用金融暴力催收，收取高额利息。利息过高。</t>
  </si>
  <si>
    <t>淘集集无限拖延提现时间，一直不让退店</t>
  </si>
  <si>
    <t>http://ts.21cn.com/tousu/show/id/1372753</t>
  </si>
  <si>
    <t>2019/10/18 23:35:06</t>
  </si>
  <si>
    <t>提现申请好几个月了，一直在财务审核，也联系不到客服，也不能退店。</t>
  </si>
  <si>
    <t>325棋牌简直就是魔鬼</t>
  </si>
  <si>
    <t>http://ts.21cn.com/tousu/show/id/1372754</t>
  </si>
  <si>
    <t>2019/10/18 23:35:02</t>
  </si>
  <si>
    <t>325棋牌去年开始经银商介绍！刚开始玩给你一点油水！今年开始这个游戏简直就是魔鬼了！输一次就三四万！赢一次二三千都难赢！今年8910月三个月就输了十五万进去每次都是输二三万一次！没钱了过几天不甘心去玩那个好有吐几千给你接着又杀你几万进去每次都是这样输钱！这个棋牌不知道害了多少人！我要是知道老板住哪！我都想去替天行道除掉这个害人的人！325真他妈就一个魔鬼！把我性格都搞变态了输了那么多钱，现在一万吧块钱都不当钱用了！没有人管这个害人的棋牌公司！搞的我都有报复社会的心里了！请求有关部门重查此公司！。</t>
  </si>
  <si>
    <t>腾讯now直播不能注销账号</t>
  </si>
  <si>
    <t>http://ts.21cn.com/tousu/show/id/1372752</t>
  </si>
  <si>
    <t>2019/10/18 23:34:49</t>
  </si>
  <si>
    <t>工信部声明必须具备账号注销功能，而腾讯now直播不具备这项功能。</t>
  </si>
  <si>
    <t>活力花高罚息暴力催收恐吓借款人</t>
  </si>
  <si>
    <t>http://ts.21cn.com/tousu/show/id/1372729</t>
  </si>
  <si>
    <t>2019/10/18 23:34:40</t>
  </si>
  <si>
    <t>投诉人王女士投诉对象活力花涉诉金额10198元问题类型诉求类型投诉详情本人在活力花借款10198元，共进行分期三期处理，因上月被电信欺诈金额较大无法进行还款工作，于上月开始逾期，随后的时间里客服不停对本人及本人通讯录进行电话骚扰，电话沟通协商还款无果，更是进行短信威胁，后续查看app内罚金以及借款额度，发现已超出国家规定范围内，请相关部门尽快给予答复！第二十六条借贷双方约定的利率未超过年利率24%，出借人请求借款人按照约定的利率支付利息的，人民法院应予支持，借款人请求出借人返还已支付的超过年利率36%部分的</t>
  </si>
  <si>
    <t>宜人贷收取高额服务费，利息，砍头息，阴阳合同</t>
  </si>
  <si>
    <t>http://ts.21cn.com/tousu/show/id/1372751</t>
  </si>
  <si>
    <t>2019/10/18 23:33:55</t>
  </si>
  <si>
    <t>本人在2017年从宜人贷平台借款60000元至今年八??份到期，之前生意还行，还能免强还上没怎么在意到今年七月份由于意外出现导致逾期，最近刚在后台看到利息和服务费高的离谱，恳请减免罚息。</t>
  </si>
  <si>
    <t>点点平台所推荐的下款app进都进不去，也验证不了。可从我这里扣走的288元却还没退给我，我已截图给客服看了，可是钱还没退</t>
  </si>
  <si>
    <t>http://ts.21cn.com/tousu/show/id/1372738</t>
  </si>
  <si>
    <t>2019/10/18 23:32:37</t>
  </si>
  <si>
    <t>本人在点点平台打算借款，但是款没借到，它所推荐的平台借款，进都进不去，也无法验证，他就已开始就从我卡里扣走了288元，说通过不了，截图5个申请未通过的截图给他，但是我进都进不了如何截图5个给他，根本都无法验证，我截图了进不去的图片给它了，可是客服还是没把钱退给我。</t>
  </si>
  <si>
    <t>爱又米，第三方催收，威胁，人生攻击</t>
  </si>
  <si>
    <t>http://ts.21cn.com/tousu/show/id/1372750</t>
  </si>
  <si>
    <t>2019/10/18 23:31:15</t>
  </si>
  <si>
    <t>最近资金出了点问题，逾期5天，骚扰亲友，p图，各种暴力催收，对我的生活造成严重的影响，导致工作下岗，我挣不了钱怎么还，我要求赔偿精神损失费，误工费，打击暴力催收。</t>
  </si>
  <si>
    <t>钱站，爱钱进的速金服同样是高炮，阴阳合同，高利息，变相利息。</t>
  </si>
  <si>
    <t>http://ts.21cn.com/tousu/show/id/1372749</t>
  </si>
  <si>
    <t>2019/10/18 23:30:56</t>
  </si>
  <si>
    <t>本人在同样是爱钱进放款的的速金服内借款2000元，分期三个月，一月一期每期1310.86元，总还款额高达3932.58元，三个月利息高达本金2倍，我想问一下钱站，在如此的环境下，还敢这样顶风作案，不把国家政策放在眼里，借2000元，3个月还将近4000元，请给出一个合理的解释。</t>
  </si>
  <si>
    <t>钱站高利贷暴力催收，请停止骚扰</t>
  </si>
  <si>
    <t>http://ts.21cn.com/tousu/show/id/1372748</t>
  </si>
  <si>
    <t>2019/10/18 23:30:48</t>
  </si>
  <si>
    <t>钱站高利贷砍头息，逾期两天骚扰通讯录,泄露隐私。</t>
  </si>
  <si>
    <t>京东百条俞期</t>
  </si>
  <si>
    <t>http://ts.21cn.com/tousu/show/id/1372747</t>
  </si>
  <si>
    <t>2019/10/18 23:30:39</t>
  </si>
  <si>
    <t>本人使用从2018年6月份开始京东百条一年以上了，只因为这次的分期没有还才一个多月就引起了京东百条的爆力催收，要不是资金没钱谁愿意欠钱啊，京东百条的人要我两天内还清所有的钱，因为这个现在对我的生活和工作都有了影响，现在我需要为这个事就需要他们道歉并恢复我原来的分期，继续使用原来的分期付款。</t>
  </si>
  <si>
    <t>淘宝商家出售无3c认证的手机</t>
  </si>
  <si>
    <t>http://ts.21cn.com/tousu/show/id/1372746</t>
  </si>
  <si>
    <t>2019/10/18 23:30:08</t>
  </si>
  <si>
    <t>我9月2号在淘宝下单买了一个苹果8puls手机，店铺名叫“佳祥时尚数码”，到货后我发现手机不是全新的，也没有进网许可和3c认证，这种手机国家是禁止销售的，后来我与商家协商退款赔偿，被拒绝，协商过程中商家不但不积极配合解决还对消费者进行辱骂，事发后商家关闭了店铺疑似逃避责任，无奈我只好在平台申请了仅退款，被平台拒绝，平台还打电话说就算再次申请还是不支持仅退款，目前的情况就是我买到了违规产品，还被无良商家辱骂，最后还得妥协，这让我很失望，后来我想商家注册地，发货地，还有商家提供的退货地址的工商部门进行投诉，三地</t>
  </si>
  <si>
    <t>遵义湘江投资公司卖房不给房也不退款</t>
  </si>
  <si>
    <t>http://ts.21cn.com/tousu/show/id/1372745</t>
  </si>
  <si>
    <t>2019/10/18 23:29:57</t>
  </si>
  <si>
    <t>我2018年在遵义湘江投资公司买房，认购合同是2019年4月30号交房。</t>
  </si>
  <si>
    <t>淘宝服务商武汉葫芦娃科技有限公司，违背承诺，拒绝退剩余时间的运营服务费</t>
  </si>
  <si>
    <t>http://ts.21cn.com/tousu/show/id/1372728</t>
  </si>
  <si>
    <t>2019/10/18 23:29:07</t>
  </si>
  <si>
    <t>2019年9月20日在淘宝服务市场中订购了武汉葫芦娃科技有限公司旗下产品“双引擎，，当月20日与武汉葫芦娃科技有限公司客服人员沟通后订购公司旗下“VIP托管，订购之前已经与客服协商清楚，客服明确承诺：如果不满意可以随时申请退款，按天收费，按天退费，经过约25天的合作，店铺数据几乎每天都在下降，我于10月15日要求暂停“VIP托管，”一并关闭，给的理由是：一个后台，要关就一起关，但是和我对接的售后服务人员却不认可我的合理要求，售后人员无视这1个月糟糕的运营服务，让店铺生意越来越差，竟然还要让我承担违约责任，要</t>
  </si>
  <si>
    <t>连资贷还款不成功影响征信</t>
  </si>
  <si>
    <t>http://ts.21cn.com/tousu/show/id/1372743</t>
  </si>
  <si>
    <t>2019/10/18 23:28:57</t>
  </si>
  <si>
    <t>连资贷还款不成功，账户一直没自动扣款，怕会影响征信。</t>
  </si>
  <si>
    <t>联通信号差，长达半年仍未得到任何回复</t>
  </si>
  <si>
    <t>http://ts.21cn.com/tousu/show/id/1372742</t>
  </si>
  <si>
    <t>2019/10/18 23:26:55</t>
  </si>
  <si>
    <t>投诉人 余先生        投诉对象  中国联通        涉诉金额  50 元    问题类型    诉求类型投诉详情  订购了一张腾讯大王卡。签收的时候，业务员非要让我充50块钱。 本来是充50送50的活动。结果充了50块钱，什么都没送。</t>
  </si>
  <si>
    <t>松紧贷高利贷骚扰</t>
  </si>
  <si>
    <t>http://ts.21cn.com/tousu/show/id/1372740</t>
  </si>
  <si>
    <t>2019/10/18 23:24:19</t>
  </si>
  <si>
    <t>本人在松紧贷平台借款22400，到账直接扣去了2400的服务费！分十二期还，每期要还2262，合同中的还款金额是1971！然而每个月的还款中还有服务费！严重的高利贷，砍头息！因最后一期没还！就各种骚扰和恐吓，我只想维护我的权益，本金加利息早已经还够，现要求最后一期给我销账！松紧贷存在暴力催收，骚扰本人的生活！。</t>
  </si>
  <si>
    <t>套路高利贷暴力催收阳光保险与光大银行</t>
  </si>
  <si>
    <t>http://ts.21cn.com/tousu/show/id/1372739</t>
  </si>
  <si>
    <t>2019/10/18 23:22:34</t>
  </si>
  <si>
    <t>借300000元要还445320元，要多还145320元，36期，如现结清需再付16162062元左右利息，2018年4月2日放款30万，到现在2019年还款18期，每月还款12370.28元，目前为止已还：222666.40元，要求结清，还完30万本金，退55440元隐形保险和服务费，拒绝每个月的隐形保险费和服务费3090元，打打电话，发发短信息每个月要收3090服务费，高利贷，每个月1号还款，提前10天就要求还款，高利贷，暴利催款，曝光通讯录，微信威胁，恶骂，一天打上100多个电话和微信视频电话。</t>
  </si>
  <si>
    <t>交通银行信用卡违约金过高</t>
  </si>
  <si>
    <t>http://ts.21cn.com/tousu/show/id/1372737</t>
  </si>
  <si>
    <t>2019/10/18 23:20:04</t>
  </si>
  <si>
    <t>家里本来就出了事，我妈得知我欠信用卡不还，催收垂到她头上，当时差点想不开，吓得那几天我日日夜夜和我妈在一起已经结清所有欠款，工资能不能发都难说工作丢了，生活本就困难，现在难上加难，因为老板出事，工资能不能发都难说，工作丢了，生活本就困难，现在难上加难，当时10000分24期，每期72的手续费，不包括利息，呵呵，竟然已经收了分期费，逾期不应该只收分期的那部分未还吗，要求银行退还过高两期违约金，总共大概700，银行一直故意拖延，从开始坚决不退，到帮忙申请，就打了十几个电话，经过了5天，求求你们得到重视，拯救像我</t>
  </si>
  <si>
    <t>还有没有王法呢</t>
  </si>
  <si>
    <t>http://ts.21cn.com/tousu/show/id/1372736</t>
  </si>
  <si>
    <t>2019/10/18 23:19:50</t>
  </si>
  <si>
    <t>我在去点还是不得说中级会员名额已满要购买高级。</t>
  </si>
  <si>
    <t>购买衣服质量问题，联系商户退货无回应</t>
  </si>
  <si>
    <t>http://ts.21cn.com/tousu/show/id/1372735</t>
  </si>
  <si>
    <t>2019/10/18 23:19:34</t>
  </si>
  <si>
    <t>我母亲于2019年10月10在有赞微商平台“思曼莉女装特卖”购买了一件女装，商品页面上承诺“七天无理由退款”，订单号为E20191010073323023600001，付款方式为货到付款，10月13日我母亲收到快递当天拆开后，发现衣服有明显的质量问题，左胸口处有一次明显的破损、瑕疵，由于快递员着急走，未及详查之下收下了商品，之后我母亲联系客服沟通此事，自此杳无音讯，我用本人微信账号于10月17日、18日再次联系客服，起初要求我提供订单号，但我提供后，自此没有下文，不再回复，现在诉求如下，第一全款退款，并支付</t>
  </si>
  <si>
    <t>投诉拍拍货暴力催收，制造虚假司法文件</t>
  </si>
  <si>
    <t>http://ts.21cn.com/tousu/show/id/1372734</t>
  </si>
  <si>
    <t>2019/10/18 23:19:21</t>
  </si>
  <si>
    <t>京东金条扬言要爆我通讯录，还说是本人自己填写的联系人姓名电话</t>
  </si>
  <si>
    <t>http://ts.21cn.com/tousu/show/id/1372732</t>
  </si>
  <si>
    <t>2019/10/18 23:18:38</t>
  </si>
  <si>
    <t>逾期几天，言下午三点必须处理，否则联系我通讯录的人，还说是我自己留的联系方式，姓名！我通讯录有人收到电话，我都有证据，还有录音，这是部分我通讯录的人发给我的。</t>
  </si>
  <si>
    <t>买房迟迟不交房</t>
  </si>
  <si>
    <t>http://ts.21cn.com/tousu/show/id/1372731</t>
  </si>
  <si>
    <t>2019/10/18 23:18:28</t>
  </si>
  <si>
    <t>遵义湘江,遵义湘江投资建设管理有限责任公司，19年4月份在湘江置业投资有限公司买了房，首付交了，开始说4月30号交房，后面又说推后9月30号，再后面又说12月30号，一推再推，房子网签也没下来，现在是首付交了房子也交不了，要退房也说不知道好久能把房款给我们推下来这个搞得退也不是进也不是心里着急呀，一家老小就盼房子赶紧下来，有个安生之处呀，现在一家老小还租起房子住呀，希望有关部门能帮忙解决此事！非常感谢！。</t>
  </si>
  <si>
    <t>频繁拨打骚扰电话以及爆通讯录</t>
  </si>
  <si>
    <t>http://ts.21cn.com/tousu/show/id/1372715</t>
  </si>
  <si>
    <t>2019/10/18 23:16:56</t>
  </si>
  <si>
    <t>在卡牛瑞贷申请贷款每次都要平台服务费，我由于被网贷骗现无力偿还和催收协商还款，催收不愿意协商爆我通讯录，害得我被公司辞退亲朋好友指责，压力好大无颜面面对亲朋好友，要求卡牛瑞贷赔礼道歉补偿我损失停止骚扰。</t>
  </si>
  <si>
    <t>高利息</t>
  </si>
  <si>
    <t>http://ts.21cn.com/tousu/show/id/1372727</t>
  </si>
  <si>
    <t>2019/10/18 23:13:56</t>
  </si>
  <si>
    <t>到账6500，保费扣3500还要换1万零5百。</t>
  </si>
  <si>
    <t>联动云共享汽车换了手机号码以后就登不上去了，客服号码也一直没人接</t>
  </si>
  <si>
    <t>http://ts.21cn.com/tousu/show/id/1372726</t>
  </si>
  <si>
    <t>2019/10/18 23:12:08</t>
  </si>
  <si>
    <t>之前注册了联动云共享汽车软件，然后换了手机号了以后就登录不上去了，想重新绑定驾驶证也绑定不了，打客服电话也是一直不接。</t>
  </si>
  <si>
    <t>http://ts.21cn.com/tousu/show/id/1372725</t>
  </si>
  <si>
    <t>2019/10/18 23:11:40</t>
  </si>
  <si>
    <t>钱站高利贷，阴阳合同，借款3000，合同显示3990，每期还1686，总共需还5058，要求提前还款，本金+合适利息。</t>
  </si>
  <si>
    <t>投诉贝贝网，诱导消费购买会员</t>
  </si>
  <si>
    <t>http://ts.21cn.com/tousu/show/id/1372721</t>
  </si>
  <si>
    <t>2019/10/18 23:10:44</t>
  </si>
  <si>
    <t>10月11日晚上，在贝贝以"下单返现“和"下单返红包,分享提现”的诱导下，购买了一张黄金VIP，订单号6****************1，当时99元办理金卡打95折，办理之后发现是不可消费的打折卡，当时贝贝网没有写这是一张虚拟卡，想退订单也不可以，而且此订单没有售后，直接显示签收；且购买会员后下的其他订单，说好的返红包也并非是宣传页面承诺那样分享就能提现，而是需要你分享给你的好友，你的好友帮你助力后才能解锁红包，而且这个解锁的金额也不等于红包的金额，而是随机的且小于红包的金额，需要你分享给更多的人帮你助力</t>
  </si>
  <si>
    <t>钱站高利息催收骚扰恐吓我通讯录好友</t>
  </si>
  <si>
    <t>http://ts.21cn.com/tousu/show/id/1372723</t>
  </si>
  <si>
    <t>2019/10/18 23:08:18</t>
  </si>
  <si>
    <t>钱站用阴阳合同高利息帮我办理了所谓的合并账单，但利息高的吓死人，我因为有事逾期了3天就爆了我的通讯录发信息恐吓我的家人，因为通讯录里有我上班的老板，现在连工作都丢了，希望能做出处罚，这是在把我往绝路上逼啊，逼死我啊。</t>
  </si>
  <si>
    <t>龙行天下虚假宣传误导办卡</t>
  </si>
  <si>
    <t>http://ts.21cn.com/tousu/show/id/1372722</t>
  </si>
  <si>
    <t>2019/10/18 23:07:33</t>
  </si>
  <si>
    <t>2018年4月21日在广西柳州机场被推销办卡，当时说冲1500送1500，可以享受比飞猪还低的折扣，充值自己赠送金额可以抵扣机票费用，但是没有告知抵扣额度，事后发现不仅机票折扣没有飞猪低；并且订票没有app，极不方便，还需电话联系；更可恨的是每次只能抵扣十来块钱！总得来说，上当受骗了！。</t>
  </si>
  <si>
    <t>嗨包协商未果希望得到该平台的帮助</t>
  </si>
  <si>
    <t>http://ts.21cn.com/tousu/show/id/1371803</t>
  </si>
  <si>
    <t>2019/10/18 23:06:32</t>
  </si>
  <si>
    <t>投诉人蒋女士投诉对象嗨包涉诉金额4500元问题类型诉求类型投诉详情本人10月12日申请一款叫嗨包的贷款平台，到账2100还3517.26期限5天，16号还了3517.26，10月17由于自身的原因缺钱又提出来了，额度变成4500可实际到账2700，21号要还4522.19，实在无力还了，就想着协商还本金，还个2800算了，可是由于跟客服沟通不下来，希望该平台能处理下，利息实在是吓人。</t>
  </si>
  <si>
    <t>我来贷故意不让还款</t>
  </si>
  <si>
    <t>http://ts.21cn.com/tousu/show/id/1372720</t>
  </si>
  <si>
    <t>2019/10/18 23:04:52</t>
  </si>
  <si>
    <t>由于今天事情很多直到刚回家才想起来是我来贷的还款日，但是发现居然不能还款，之前我来贷也并没有明确告知最迟截止几点还款所以一般默认为24点之前都可以，而且我发现另外一条今天的举报里那位女士晚八点还显示只能在19:45之前还，这跟我的时间明显有出入，所以有理由怀疑我来贷故意不让还款导致用户逾期，这种做法真下三滥，要求我来贷给个明确说法妥善处理此时，否则我将维权到底。</t>
  </si>
  <si>
    <t>打通讯录骚扰，拒不理会提出的提前还款，对后续手续费减除的要求。</t>
  </si>
  <si>
    <t>http://ts.21cn.com/tousu/show/id/1372719</t>
  </si>
  <si>
    <t>2019/10/18 23:03:43</t>
  </si>
  <si>
    <t>试问我提钱还到现在，后面的手续费为何要给，已经不发生借贷了。</t>
  </si>
  <si>
    <t>网贷米米罐</t>
  </si>
  <si>
    <t>http://ts.21cn.com/tousu/show/id/1372717</t>
  </si>
  <si>
    <t>2019/10/18 23:03:25</t>
  </si>
  <si>
    <t>投诉人付先生投诉对象米米罐涉诉金额3579元问题类型诉求类型投诉详情我在米米罐上借了2700元，三十天还款，到期要还3579这个费用太高了，要求协商解决利息。</t>
  </si>
  <si>
    <t>广发银行协商还款</t>
  </si>
  <si>
    <t>http://ts.21cn.com/tousu/show/id/1372716</t>
  </si>
  <si>
    <t>2019/10/18 23:02:04</t>
  </si>
  <si>
    <t>本人非常感觉广发银行信用卡这么久以来给自己带来的方便，夜里七点左右的时候广发银行的工作人员打电话说本人现在没有分期或还最低的权利，后来因为种种原因只能还最低，到后来的没有能力，还说后期对本人的名声和家庭造成的影响或伤害不负责，我很爱我老婆的，不想让他知道我欠信用卡的事，不想让他为我担心，真的逼的离婚的话我自己应该都不知道会怎么样。</t>
  </si>
  <si>
    <t>月光侠app违法高利贷砍头息暴力催收骚扰通讯录</t>
  </si>
  <si>
    <t>http://ts.21cn.com/tousu/show/id/1372714</t>
  </si>
  <si>
    <t>2019/10/18 22:59:29</t>
  </si>
  <si>
    <t>1，强制借款，不能取消借款2，砍头息，借款2500，到账1750。</t>
  </si>
  <si>
    <t>淘集集不能退店，保证金不能退</t>
  </si>
  <si>
    <t>http://ts.21cn.com/tousu/show/id/1372713</t>
  </si>
  <si>
    <t>2019/10/18 22:56:06</t>
  </si>
  <si>
    <t>淘集集不给退店，不能退保证金，说有货款未提现，提现就要通过资质审核，资质审核资料都上传了，就是不通过！！！！！。</t>
  </si>
  <si>
    <t>联动云需要我垫付第三方物损</t>
  </si>
  <si>
    <t>http://ts.21cn.com/tousu/show/id/1372712</t>
  </si>
  <si>
    <t>2019/10/18 22:56:05</t>
  </si>
  <si>
    <t>联动云租车需要我垫付1190元的第三方物损费用，我已购买了无忧服务还需要我垫付第三方维修费用。</t>
  </si>
  <si>
    <t>联动云出租</t>
  </si>
  <si>
    <t>http://ts.21cn.com/tousu/show/id/1372711</t>
  </si>
  <si>
    <t>2019/10/18 22:55:06</t>
  </si>
  <si>
    <t>而且退款还要等20天后付押金前没有任何提示。</t>
  </si>
  <si>
    <t>信而富欺诈消费者</t>
  </si>
  <si>
    <t>http://ts.21cn.com/tousu/show/id/1372710</t>
  </si>
  <si>
    <t>2019/10/18 22:54:43</t>
  </si>
  <si>
    <t>本人在信而富上面借款多次，其中信而富需要我在平台里面要购物才能放款，但是有多笔购物没有给我寄发物品，还需要我还款，现在我需要改平台退还我没有收到货物的款项，还有会员费用。</t>
  </si>
  <si>
    <t>拼多多店铺被判断诱导非官方交易，无实际依据</t>
  </si>
  <si>
    <t>http://ts.21cn.com/tousu/show/id/1372709</t>
  </si>
  <si>
    <t>2019/10/18 22:53:30</t>
  </si>
  <si>
    <t>10月18日，突然收到拼多多站内信，违规编号：10*************1，实际该时间段内，并无用户咨询，也未查询到有诱导非官方交易会话内容。</t>
  </si>
  <si>
    <t>平安银行对我恶意催收过</t>
  </si>
  <si>
    <t>http://ts.21cn.com/tousu/show/id/1372708</t>
  </si>
  <si>
    <t>2019/10/18 22:53:18</t>
  </si>
  <si>
    <t>9月19号，称是平安银行催收的号码07592228597跟我打电话说叫我5点之前把平安银行信用卡的本金22000，加1600的利息还清，我跟他协商给两天时间，他不愿意还说没有商量，要是没有还明天就安排武汉这边的人员上门，起诉，要找我家里去，被逼无奈我把我爸的手机号码给了他，他给我爸打了电话，我爸一时也拿不出来这多钱，他跟我爸说9月19号当天下午14点前还一万三千六进去，第二天3点之前还完剩余的一万，我爸没办法答应了，当天我爸到处借钱还了一万三千六，第二天没有搞到一万块钱，三点钟那人打电话来把我骂了一顿，还侮</t>
  </si>
  <si>
    <t>在转转二手平台关闭订单，竟然扣除我19元验机费</t>
  </si>
  <si>
    <t>http://ts.21cn.com/tousu/show/id/1372707</t>
  </si>
  <si>
    <t>2019/10/18 22:51:42</t>
  </si>
  <si>
    <t>我在转转上卖了一个手机，选择的是支持验机，有一个人买了之后，我不想卖了，我在一个小时关闭了订单，结果平台就扣除了我19元的验机费，联系客服，客服说这是规定，不退给我19元验机费，希望聚投诉能帮我维护权益，整改转转平台的不合理规定。</t>
  </si>
  <si>
    <t>违法博彩网站收款</t>
  </si>
  <si>
    <t>http://ts.21cn.com/tousu/show/id/1372706</t>
  </si>
  <si>
    <t>2019/10/18 22:50:15</t>
  </si>
  <si>
    <t>违法替博彩彩票网站收钱，，，，，，，，，，，，，，，，，，，。</t>
  </si>
  <si>
    <t>迪乐科技有限公司冻结资金不能提现</t>
  </si>
  <si>
    <t>http://ts.21cn.com/tousu/show/id/1372705</t>
  </si>
  <si>
    <t>2019/10/18 22:49:27</t>
  </si>
  <si>
    <t>接了个连续涮单的任务，首先刷了三单充了3000块，然后没有钱，客服说为我保单，可以明天完成任务在提现，然后我在第二天完成剩下六单6000块，准备体现的时候，告诉我，由于任务超时，请重新充值相同金额9000元激活，如果不充值就冻结资金。</t>
  </si>
  <si>
    <t>http://ts.21cn.com/tousu/show/id/1372704</t>
  </si>
  <si>
    <t>2019/10/18 22:48:56</t>
  </si>
  <si>
    <t>投诉人付先生投诉对象csgs658321涉诉金额3000元问题类型诉求类型投诉详情我忘记是哪个平台，他说那个平台倒闭了，现在联系他们催收资金回笼，我当时借的是两千，到账两千，二十八天的，分四期还款，每个星期还八百多，我还了两期，还第三期的时候他们平台倒闭了，但是我银行卡存的有还本期的钱，他们平台也没有扣，我银行卡留了三天，等他们扣最后也没有扣，今天跟我打电话叫我处理三千两百多的欠款，我现在忘记是哪个平台，他跟我发了她财务的微信csgs658321，就是这个号，我加了，他一直问我姓名，我问她那个平台她一直不说</t>
  </si>
  <si>
    <t>9665游戏中心诱导充值</t>
  </si>
  <si>
    <t>http://ts.21cn.com/tousu/show/id/1372700</t>
  </si>
  <si>
    <t>2019/10/18 22:47:55</t>
  </si>
  <si>
    <t>投诉人田先生投诉对象9665手机游戏涉诉金额448元问题类型诉求类型投诉详情各种推诿扯皮，这么幼稚的游戏大人怎么会去充四百多。</t>
  </si>
  <si>
    <t>闪银奇异催收威胁</t>
  </si>
  <si>
    <t>http://ts.21cn.com/tousu/show/id/1372703</t>
  </si>
  <si>
    <t>2019/10/18 22:47:13</t>
  </si>
  <si>
    <t>2019年10月17日9点48左右，电话02066343550，联系我说当天必须还上，但我当天出理酒驾事情，2019年10月18日16点55分，电话029，要求我明天下午4点前还上，逾期流程处理，我在2019年10月16日上午10点53分联系过闪银奇异客服给我备注，但后来还是有人联系，约定的没有奏效，要求给我打电话赔礼道歉，因为我还有事情没有处理完，等待事情处理完再处理。</t>
  </si>
  <si>
    <t>钱站变相收取费用高利贷伪造借款合同</t>
  </si>
  <si>
    <t>http://ts.21cn.com/tousu/show/id/1372702</t>
  </si>
  <si>
    <t>2019/10/18 22:46:34</t>
  </si>
  <si>
    <t>1.实际放款跟借款合同跟实际放款严重不符合，变更合同，变相收取费用，2.第一次借2000元到账，还三期共3168元，3.第二次借1000元到账，还六期共1935元。</t>
  </si>
  <si>
    <t>易开出行推迟退押金</t>
  </si>
  <si>
    <t>http://ts.21cn.com/tousu/show/id/1372699</t>
  </si>
  <si>
    <t>2019/10/18 22:39:57</t>
  </si>
  <si>
    <t>8月15日申请退押金，正常15个工作日退还，一个月联系时候说过中秋财务放假，过中秋后说一周内退给我，然后又说国庆节前，又说国庆节后，国庆后一直推迟，一周内一周内，说了五个一周，今天已经十月18日了，两个月了，希望立刻退还押金给我，不要再推脱了，毕竟客服也嫌弃一直打电话。</t>
  </si>
  <si>
    <t>豆豆钱暴力催收，令人难堪</t>
  </si>
  <si>
    <t>http://ts.21cn.com/tousu/show/id/1372698</t>
  </si>
  <si>
    <t>2019/10/18 22:39:56</t>
  </si>
  <si>
    <t>豆豆钱屡次暴力催收，扣款日已存款，但豆豆钱扣除不合理的利息逾期费用，导致这期扣款失败，多次投诉无果！！！！！！暴力依旧，迟早出事！！！！！。</t>
  </si>
  <si>
    <t>投诉前海锐步商业保理深圳有限公司</t>
  </si>
  <si>
    <t>http://ts.21cn.com/tousu/show/id/1372671</t>
  </si>
  <si>
    <t>2019/10/18 22:39:04</t>
  </si>
  <si>
    <t>加我微信发信息说是贷款平台，正好我需要钱为我母亲手术费筹钱，就填写了信息，审核通过额度30000然后放款他说需要申请会员698才能到账，我申请了，结果交钱后他说普通会员有名额限制，需要申请高级会员，1688才可以放款，后来我又申请了高级会员，然后放款出问题了，她说需要我交保障金7500银行才可以放款，要不然我的会员钱退不了，只能放款一并打到账户，保障金也是退给我的，后来我像两个账号转了钱，一个是5000一个是2500，母亲等着这笔钱做手术，结果我打了7500发来app发现还款金额没了，然后资金被冻结了，于是</t>
  </si>
  <si>
    <t>华夏信财砍头息，泄漏个人信息，暴力催收</t>
  </si>
  <si>
    <t>http://ts.21cn.com/tousu/show/id/1372697</t>
  </si>
  <si>
    <t>2019/10/18 22:38:49</t>
  </si>
  <si>
    <t>本人在刘某的带领下在华夏信财办理线下贷款，当时只跟我说批下来五万块，需要缴纳3000元保险，我说好，结果我到账72185.83，对方账户是平安银行股份有限公司厦门分行，然后说需要我转手续费72.19元，我转了，然后又让我转22185.83出去，转到华夏信财互联网金融信息服务，有限公司，两笔都是转到这个账户上，随后需要转3000元保险费，我转到刘某微信上，算下来到账金额仅有46393.81，要求我每个月还款2228.89，36期还完，现在我债务负担太重，导致逾期8天，爆了我通讯录，加我好几个认识的人的微信，然</t>
  </si>
  <si>
    <t>京东和国通石油联袂推出的京通卡余额无法使用，推诿扯皮不负责</t>
  </si>
  <si>
    <t>http://ts.21cn.com/tousu/show/id/1372696</t>
  </si>
  <si>
    <t>2019/10/18 22:37:43</t>
  </si>
  <si>
    <t>本人于2018年12月份，基于对京东商城的信任，在京东商城里购买了由京东和国通石油联袂推出的京通卡，京通卡封面有京东和国通石油的字样和商标，8月下旬我发现京通卡余额不能转储到中石油、中石化卡了，打电话给国通石油多次联系不上，现知悉国通石油已跑路，我要求京通卡的推出方之ー-京东商城负责退还我在京通卡所剩余额，希望京东立即承担起应有的责任，我相信只要京东商城还在，我的由京东和国通石油联袂推出的京通卡退还余额问题就一定能解决。</t>
  </si>
  <si>
    <t>网贷暴力催收</t>
  </si>
  <si>
    <t>http://ts.21cn.com/tousu/show/id/1372695</t>
  </si>
  <si>
    <t>2019/10/18 22:37:03</t>
  </si>
  <si>
    <t>深圳小银贷没有通知我，没有经过我同意，给我通讯录发这样信息，还威胁我要爆通讯录，我借了1000元，给我放款724，现在问我要1000元，希望尽快处理，谢谢！。</t>
  </si>
  <si>
    <t>月光侠分期砍头息</t>
  </si>
  <si>
    <t>http://ts.21cn.com/tousu/show/id/1372694</t>
  </si>
  <si>
    <t>2019/10/18 22:35:38</t>
  </si>
  <si>
    <t>借2600分三期我算了下要还3945.这利息太高了吧三个月利息要差不多1400，真的伤不起。</t>
  </si>
  <si>
    <t>驾校教练不负责任拒退学费</t>
  </si>
  <si>
    <t>http://ts.21cn.com/tousu/show/id/1372693</t>
  </si>
  <si>
    <t>2019/10/18 22:34:44</t>
  </si>
  <si>
    <t>本人于2018年9月30号在长沙市雨花区雨花亭联诚驾校报名学车，考完科目一后在十一月左右驾校就关门了，一年多了，找教练协商，拒不理人，协商效果极差！投诉，投诉无效，每次练车来回三个半小时，实在是没有空闲时间，请求有关部门能够协助，为我讨回公道，还驾考圈一片公平！。</t>
  </si>
  <si>
    <t>特约小富商城无缘无故扣掉我卡里的钱</t>
  </si>
  <si>
    <t>http://ts.21cn.com/tousu/show/id/1372691</t>
  </si>
  <si>
    <t>2019/10/18 22:29:28</t>
  </si>
  <si>
    <t>投诉人 陈先生        投诉对象  小富商城        涉诉金额  538 元    问题类型    诉求类型投诉详情  2019年10月08日 15:06:38 出现特约（小富商城）支出878.64元 在此我并没有消费任何东西 各类app网站都没有</t>
  </si>
  <si>
    <t>玖富万卡变相收取费用</t>
  </si>
  <si>
    <t>http://ts.21cn.com/tousu/show/id/1372690</t>
  </si>
  <si>
    <t>2019/10/18 22:26:50</t>
  </si>
  <si>
    <t>19年5月8号在玖富借款8300元分了12期，而后每月还款借款分期本息729.1元，，费用本息分期211.51元，总共还11294.59，年利率超过36%，典型的高利贷，其他网站上反应玖富高利贷砍头息的帖子很多。</t>
  </si>
  <si>
    <t>宜人贷借款逾期处理</t>
  </si>
  <si>
    <t>http://ts.21cn.com/tousu/show/id/1372689</t>
  </si>
  <si>
    <t>2019/10/18 22:26:38</t>
  </si>
  <si>
    <t>投诉人 王先生        投诉对象  宜人贷        涉诉金额  2 790 元    问题类型    诉求类型投诉详情  因为资金链断裂 现在能还一部分 可这逾期费用太高 还让我一下都还了下个月的 来电话协商吧</t>
  </si>
  <si>
    <t>信用钱包威胁恐吓暴利催收</t>
  </si>
  <si>
    <t>http://ts.21cn.com/tousu/show/id/1372688</t>
  </si>
  <si>
    <t>2019/10/18 22:26:35</t>
  </si>
  <si>
    <t>在我给他们说明为何逾期的情况下，一天好几个骚扰电话，威胁要给我家人电话通知还款，多次恐吓威胁，暴利催收。</t>
  </si>
  <si>
    <t>八千三百块钱扣了两个月了，一直不给，</t>
  </si>
  <si>
    <t>http://ts.21cn.com/tousu/show/id/1372687</t>
  </si>
  <si>
    <t>2019/10/18 22:26:25</t>
  </si>
  <si>
    <t>直接说我的收款违规，给我冻结了，也一直没人给我联系，我怎么违规的，我违规你们可以让我的收款二维码收不了钱，现在可好，钱收进去了，我的货也发出去了，钱到不了我的卡里，而且一直也联系不到人工客服，一直都是智能客服，也给我解决不了问题啊，更可气的，我的商业版收款二维码到现在还能收钱，收了你们就给我冻结，八千多直接给我扣了两个多月了，我用这东西是为了方便现在到好，反而给自己带来了损失，腾讯公司知道用微粒贷放款收利息，我这钱给我扣了这么长时间怎么么给我算！。</t>
  </si>
  <si>
    <t>骚扰</t>
  </si>
  <si>
    <t>http://ts.21cn.com/tousu/show/id/1372686</t>
  </si>
  <si>
    <t>2019/10/18 22:26:15</t>
  </si>
  <si>
    <t>投诉人 李女士        投诉对象  平安普惠        涉诉金额  13 000 元    问题类型    诉求类型投诉详情  平安普惠17日还款日 逾期一天 18日下午发起了代扣 它们扣款失败一直打电话来骚扰 没有考虑到别人的休息时间 希望平台好好整改一下</t>
  </si>
  <si>
    <t>小花钱包暴力催收！触犯个人隐私权，涉爆通讯录，骚扰正常生活，使人颜面扫地伤自尊</t>
  </si>
  <si>
    <t>http://ts.21cn.com/tousu/show/id/1372684</t>
  </si>
  <si>
    <t>2019/10/18 22:24:15</t>
  </si>
  <si>
    <t>小花钱包给本人总额度27000，我已经还小花钱包32700，第一次借13000到本人账户，算利息数据显示17998，分24期，每期还825.52，按期24×825.52＝19812，本人已还18期14859.36就这样没钱还又借，他们是连环借贷，一次次越陷越深，直到无力尝还，我找客服打电话要求协商给我时间，可客服直接把责任推到催收，就这样催收一天打好多电话给我和我的联系人，我给催收协商，催收口气好硬又说他们催收无权给我协商的机会，他们不但打电话给我和我联系人，还发短信告诉我通讯录里面的人我借网贷的事，胡编乱</t>
  </si>
  <si>
    <t>想还款还不了，系统显示是8:00-19:50，导致还款失败增加逾期费用</t>
  </si>
  <si>
    <t>http://ts.21cn.com/tousu/show/id/1372683</t>
  </si>
  <si>
    <t>2019/10/18 22:21:45</t>
  </si>
  <si>
    <t>逾期一天没注意，今天想还款，忙到20:00过才看到，还款显示还不了，要早上8:00-19:50还款才行，借款平台应该24小时都能还款的，为什么还有时间限制，导致逾期，费用增加。</t>
  </si>
  <si>
    <t>my钱包暴利催收，爆通讯录，恐吓，侮辱，威胁家人，泄露隐私</t>
  </si>
  <si>
    <t>http://ts.21cn.com/tousu/show/id/1372682</t>
  </si>
  <si>
    <t>2019/10/18 22:21:32</t>
  </si>
  <si>
    <t>在我说明为何逾期的情况下，挨个给我通讯录打电话，威胁家人，恐吓朋友，给我的生活造成了极大的影响，你们不是爱给我通讯录打电话要钱吗，多打打，使劲打。</t>
  </si>
  <si>
    <t>万和答谢会变相销售净水器</t>
  </si>
  <si>
    <t>http://ts.21cn.com/tousu/show/id/1372681</t>
  </si>
  <si>
    <t>2019/10/18 22:20:43</t>
  </si>
  <si>
    <t>10月18日，父母接到电话通知当天6点30到合肥外商活动中心参加万和老客户答谢会，之前确实买过万和电热水器，所以本着对万和的信任，就去了，现场，主持人又是马云又是白岩松，说起空气和水污染问题，并做起了实验，向大家推销万和净水器，京东标价6999元，现场价3980元，还送空气净化器，智能机器人，现场交了100元认购金，后又刷卡全款付清，工作人员主动送货上门安装，整个过程晕的，根本不给时间考虑，他们回家后我后来上网搜万和净水器质量，发现全是套路。</t>
  </si>
  <si>
    <t>超职教育虚假宣传拒不退款</t>
  </si>
  <si>
    <t>http://ts.21cn.com/tousu/show/id/1372680</t>
  </si>
  <si>
    <t>2019/10/18 22:20:02</t>
  </si>
  <si>
    <t>超职教育教师水平一般，宣传言过其实，我要求退费，他们互相推诿，不给退费，。</t>
  </si>
  <si>
    <t>要求聚富分期退款</t>
  </si>
  <si>
    <t>http://ts.21cn.com/tousu/show/id/1372679</t>
  </si>
  <si>
    <t>2019/10/18 22:19:41</t>
  </si>
  <si>
    <t>投诉人 蒋小跃        投诉对象  聚富分期        涉诉金额  150 元    问题类型    诉求类型投诉详情  当天我注册的时候看见要扣款，我就没注册了。立马就删了。。两天过后扣费了</t>
  </si>
  <si>
    <t>就想要个1周用车的资格或者陪我500补卡钱</t>
  </si>
  <si>
    <t>http://ts.21cn.com/tousu/show/id/1372678</t>
  </si>
  <si>
    <t>2019/10/18 22:19:34</t>
  </si>
  <si>
    <t>身份认证无法撤销，身份证认证后，无法解绑，需平台介入撤销绑定。</t>
  </si>
  <si>
    <t>趣惠买714</t>
  </si>
  <si>
    <t>http://ts.21cn.com/tousu/show/id/1372634</t>
  </si>
  <si>
    <t>2019/10/18 22:18:35</t>
  </si>
  <si>
    <t xml:space="preserve">投诉人 张先生        投诉对象  趣惠买        涉诉金额  1 050 元    问题类型    诉求类型投诉详情  趣惠买实则714 自己改成了8天 以购买东西转换成额度 东西不发货 伪造事实 大环境打击714力度这么大 铤而走险 改成8天 750 8天实际要还1050 系江西萍乡国科会计商贸有限公司主导 江西向来是传销 高利贷大省 能不能为了你们的地域 好好争气 按照国家利率进行贷款 你们无资质怎么敢这样做 保护伞又是什么 本人需要撤销不合理利率 </t>
  </si>
  <si>
    <t>速金服高利贷阴阳合同</t>
  </si>
  <si>
    <t>http://ts.21cn.com/tousu/show/id/1372677</t>
  </si>
  <si>
    <t>2019/10/18 22:18:31</t>
  </si>
  <si>
    <t>之前看见钱站申请了1000元以后又看见钱站旗下的速金服又申请了1000元本人因怀孕希望能协商还款，可是客服拒绝任何协商，我现在怀有身孕，也是被逼的走投无路，钱站借了1000要还1800多，速金服借了1000也要还1800多，如果暴力催收，或者影响到家人伤害到肚子里的孩子，那么全家人将追究一切责任，如果遇到催收我会录音保留证据。</t>
  </si>
  <si>
    <t>我要求捷信公司帮我消除征信呆账</t>
  </si>
  <si>
    <t>http://ts.21cn.com/tousu/show/id/1372676</t>
  </si>
  <si>
    <t>2019/10/18 22:17:43</t>
  </si>
  <si>
    <t>我在捷信公司贷款后，分期还款，后来有钱了想一次性还完，捷信公司员工说可以，让我给他现金他可以帮我结清，那个捷信员工是菏泽的，我是定陶的，他让我去菏泽找他，在一个自动取款机旁边我把现金给了他，我以为没什么事了，近期我准备购房，拉了个人征信，发现了呆账，呆账金额，刚好是我给捷信公司员工的那些钱，我发现我被捷信公司员工欺骗了，我打电话问，捷信公司各种理由推托，我没办法只好在网上把钱和利息又还一次，但是呆账还存在，我无法办理其它银行贷款，我要求捷信公司为我取消征信呆账问题，钱多花没事，因为你们员工问题，已经对我的生</t>
  </si>
  <si>
    <t>维信卡卡贷减免</t>
  </si>
  <si>
    <t>http://ts.21cn.com/tousu/show/id/1372675</t>
  </si>
  <si>
    <t>2019/10/18 22:16:24</t>
  </si>
  <si>
    <t>投诉人 王先生        投诉对象  维信金科        涉诉金额  2 329 元    问题类型    诉求类型投诉详情  想还款的 可这莫名其妙的扣款失败违约金是什么 一次就100 之前晚了一天 就扣了我一次100答应给我退回来 现在也没退 现在又有</t>
  </si>
  <si>
    <t>盈盈有钱催收</t>
  </si>
  <si>
    <t>http://ts.21cn.com/tousu/show/id/1372674</t>
  </si>
  <si>
    <t>2019/10/18 22:15:52</t>
  </si>
  <si>
    <t>盈盈有钱旗下美栗金委托三方电话骚扰影响到我工作。</t>
  </si>
  <si>
    <t>京东白条免息手续费</t>
  </si>
  <si>
    <t>http://ts.21cn.com/tousu/show/id/1372673</t>
  </si>
  <si>
    <t>2019/10/18 22:15:46</t>
  </si>
  <si>
    <t>本人于2019年10月11日在京东商城购买了一款三星牌s10+手机，在手机购买前就已经关注京东商城各项优惠活动，刚好11日凌晨看见京东出了一个24期免息活动，并于第二天中午下单了一部s10+手机，在选择付款时用了一张自己续费京东plus会员赠送的100无门槛优惠券，下单时再三看了一下白条24期是零手续费，手机用了大概3天后无意间查看账单发现竟然多了1300多元的手续费，随后就打京东商城电话咨询，京东商城告诉我，白条不属于商城让我打京东金融，等到9点致电京东金融我明确告知对方下单时一再看了24期为零手续费，我</t>
  </si>
  <si>
    <t>私家车强制买卖过户</t>
  </si>
  <si>
    <t>http://ts.21cn.com/tousu/show/id/1372672</t>
  </si>
  <si>
    <t>2019/10/18 22:15:13</t>
  </si>
  <si>
    <t>我是辽宁葫芦岛的，利用休息时间跑滴滴网约车，9月份被葫芦岛运输管理处抓了，非法营运，我们这是5线小城市，没有办理合规手续的部门，月末交罚款提车，但有附加条件是车辆进行买卖过户，才能给行政处罚书，因为滴滴平台能给报销罚款，要行政处罚书，我的车才买一年多，过户就变二手车了，怎么说都不行，说这是葫芦岛市定的规矩，必须这样弄，太不公平了，自己的车为啥要卖，我犯错交罚款了，为啥不给我处罚书。</t>
  </si>
  <si>
    <t>钱站高利息高手续费</t>
  </si>
  <si>
    <t>http://ts.21cn.com/tousu/show/id/1372670</t>
  </si>
  <si>
    <t>2019/10/18 22:14:56</t>
  </si>
  <si>
    <t>本人在钱站上借了6000合同上却显示7900多，分了六期每期要还1700多，领一笔借款5000也是分了六期每期要还1400多，还有一笔8000，分期12个月，每月却要还1500严重高利息。</t>
  </si>
  <si>
    <t>http://ts.21cn.com</t>
  </si>
  <si>
    <t>http://ts.21cn.com/tousu/show/id/1372669</t>
  </si>
  <si>
    <t>2019/10/18 22:14:50</t>
  </si>
  <si>
    <t>孩子是未成年，上触漫被骗充值1000左右，截屏了一部分，许多金额小的不算，9张计740元请帮帮我们吧！谢谢了！！。</t>
  </si>
  <si>
    <t>交易猫仲裁对买家不利</t>
  </si>
  <si>
    <t>http://ts.21cn.com/tousu/show/id/1372668</t>
  </si>
  <si>
    <t>2019/10/18 22:14:22</t>
  </si>
  <si>
    <t>买家把游戏里的手机绑定了！我的号是什么都没绑定的，可是他在游戏里已经绑定了自己的手机号！这是没办法更改的！也是找回账号的凭证，给他退款，我的号还给我，他随后申诉账号找回。</t>
  </si>
  <si>
    <t>宜人贷半夜上门催债，频繁电话骚扰</t>
  </si>
  <si>
    <t>http://ts.21cn.com/tousu/show/id/1372666</t>
  </si>
  <si>
    <t>2019/10/18 22:13:49</t>
  </si>
  <si>
    <t>宜人贷10月18日一天催款电话50多个，无法正常工作，晚上十点上门催款，严重影响家人小孩正常休息。</t>
  </si>
  <si>
    <t>拼多多虚假发货</t>
  </si>
  <si>
    <t>http://ts.21cn.com/tousu/show/id/1372667</t>
  </si>
  <si>
    <t>2019/10/18 22:13:31</t>
  </si>
  <si>
    <t>投诉人 杨先生        投诉对象  拼多多        涉诉金额  675 320 元    问题类型    诉求类型投诉详情  本人 在拼多多 购买 按摩椅设备 总金额付款675320 元 支付后 物流不更新 商户电话关机 店铺所有产品下架 十月6号被莫名奇妙签收 本人数次 拨打拼多多客服 拼多多回复 三个工作日 进行回复 通过电话告知我 我门公司既然敢做的这么大 任何部门都没人敢管 希望 平台 曝光这个 卖假货的平台</t>
  </si>
  <si>
    <t>你借我有借款多次扣除高额砍头息要求减免并延期还款</t>
  </si>
  <si>
    <t>http://ts.21cn.com/tousu/show/id/1372665</t>
  </si>
  <si>
    <t>2019/10/18 22:13:30</t>
  </si>
  <si>
    <t>在你借我有借款多次，最近一次在平台借款2500元，借款期限15天，实际14天，到账只有1750元，750元以游戏券的形式发放，其实就是变相的高利贷，已经支付了高额砍头息，最近经济出现问题，没法还款，希望聚投诉能帮助协商还款并能延期还款。</t>
  </si>
  <si>
    <t>月光侠阴阳合同，高利贷</t>
  </si>
  <si>
    <t>http://ts.21cn.com/tousu/show/id/1372664</t>
  </si>
  <si>
    <t>2019/10/18 22:11:21</t>
  </si>
  <si>
    <t>月光侠分期APP上借款3000，实际到账2100元，900元做了砍头息，未写入合同.，分3期，每期还款1039元，年利率近158%，远超国家保护的24%～36%，每月20号还款，昨天开始发现APP打不开，今天APP直接凭空消失，无法还款，登上账号找不到任何信息，要求调息在法律应许范围内，消除账单，提供结清证明，消除影响并解释。</t>
  </si>
  <si>
    <t>买买乐公司，暴力催收，群发短信，恐吓催收</t>
  </si>
  <si>
    <t>http://ts.21cn.com/tousu/show/id/1372663</t>
  </si>
  <si>
    <t>2019/10/18 22:09:54</t>
  </si>
  <si>
    <t>所谓的正规公司，买买乐购公司暴力催收，短信轰炸，恐吓家人，亲友，这就是买买乐购公司的真面孔，不作出道歉，不会善罢甘休！这根本就是在挑衅有关部门的权威政策！欠债还钱，天经地义，但是，有这样轰的吗，催收也厉害！字字句句伤人自尊，不作出道歉，群不要再用这家所谓的正规，这就是他们的真脸。</t>
  </si>
  <si>
    <t>活力花暴力催收，罚息太高</t>
  </si>
  <si>
    <t>http://ts.21cn.com/tousu/show/id/1372662</t>
  </si>
  <si>
    <t>2019/10/18 22:09:53</t>
  </si>
  <si>
    <t>，活力花泄露个人信息资料，外包贷后催收，多次座机电话，网络虚拟号码骚扰，语气强硬，态度恶劣，如今偿还的利息已经是本金的一倍以上，今日打电话给我通讯录及其他家人朋友，盗取我通讯录，骚扰亲友，你们这是违法的行为，况且现在确实有困难但也没说不还，真不知道他们这样的催收方式是想要回欠款还是宣泄个人私愤！！！我要求，停止骚扰我的通讯录亲戚及好友，调整利率到符合国家规定的，日，中国银行保险监督管理委员会、公安部、国家市场监督管理总局、中国人民银行颁发《关于规范民间借贷行为，详见http://www.cbrc.gov.c</t>
  </si>
  <si>
    <t>拍拍贷涉嫌套路贷，恶意催收</t>
  </si>
  <si>
    <t>http://ts.21cn.com/tousu/show/id/1372661</t>
  </si>
  <si>
    <t>2019/10/18 22:09:51</t>
  </si>
  <si>
    <t>拍拍贷恶意催收，催收恶意打电话辱骂，进行语言攻击，跟我朋友说我涉嫌诈骗，对我名声造成伤害必须道歉，作出处罚！。</t>
  </si>
  <si>
    <t>借贷宝打条后不放款</t>
  </si>
  <si>
    <t>http://ts.21cn.com/tousu/show/id/1372660</t>
  </si>
  <si>
    <t>2019/10/18 22:08:10</t>
  </si>
  <si>
    <t>借贷宝放款人让我打1500的条子以后说财务不放款说给我销账。</t>
  </si>
  <si>
    <t>360暴力催收，骚扰通讯录朋友，说话及其难听</t>
  </si>
  <si>
    <t>http://ts.21cn.com/tousu/show/id/1372659</t>
  </si>
  <si>
    <t>2019/10/18 22:06:56</t>
  </si>
  <si>
    <t>电话不停骚扰，说话及其难听，通知父母就算了，严重影响通讯录里的人员。</t>
  </si>
  <si>
    <t>哈罗单车不合理恶意扣除15元调节费</t>
  </si>
  <si>
    <t>http://ts.21cn.com/tousu/show/id/1372657</t>
  </si>
  <si>
    <t>2019/10/18 22:04:29</t>
  </si>
  <si>
    <t>“哈罗出行”在支付宝上通知因停在服务区外扣除15元，可是整个广州大学城在一个岛上，并未出服务区，等同于你可以吃饭，但是不能张开嘴巴，这是欺诈。</t>
  </si>
  <si>
    <t>http://ts.21cn.com/tousu/show/id/1372655</t>
  </si>
  <si>
    <t>2019/10/18 22:03:42</t>
  </si>
  <si>
    <t>以开会员才能体现为由要求我缴纳中级会员费用688元之后又要我开通超级会员1688元才能体现缴纳之后又以银行卡出错要求我缴纳百分之三十贷款金额保证金，当我要求取消时又以合同生效必须还款为由要求继续操作。</t>
  </si>
  <si>
    <t>钱站逾期费用一天一百，高利贷</t>
  </si>
  <si>
    <t>http://ts.21cn.com/tousu/show/id/1372653</t>
  </si>
  <si>
    <t>2019/10/18 22:03:04</t>
  </si>
  <si>
    <t>投诉人 马女士        投诉对象  钱站        涉诉金额  3 000 元    问题类型    诉求类型投诉详情  高利贷。逾期费用高。利息远远超过国家标准。发信息恐吓</t>
  </si>
  <si>
    <t>投诉交通银行信用卡还完款不给销账</t>
  </si>
  <si>
    <t>http://ts.21cn.com/tousu/show/id/1372654</t>
  </si>
  <si>
    <t>2019/10/18 22:03:00</t>
  </si>
  <si>
    <t>投诉人 夏先生        投诉对象  交通银行信用卡        涉诉金额  9 010 元    问题类型    诉求类型投诉详情  本人因创业失败交通卡逾期 与客服协商后同意减免利息还款销户 当时承诺三个月内处理完毕 现在查询征信还是会看到有信用卡未结清 多次致电客服都说尽快 距离上次致电已经一个月过去 今天再次查询还是如此</t>
  </si>
  <si>
    <t>我来贷威胁恐吓。暴力崔收</t>
  </si>
  <si>
    <t>http://ts.21cn.com/tousu/show/id/1372652</t>
  </si>
  <si>
    <t>2019/10/18 22:02:39</t>
  </si>
  <si>
    <t>多次拨打通信录内亲人及朋友电话并进行多次骚扰，于至本人及家人受到精神上打击，不能安然入睡，逾期后逾期费高于国家规定的逾期利率，希望给予减息。</t>
  </si>
  <si>
    <t>http://ts.21cn.com/tousu/show/id/1372651</t>
  </si>
  <si>
    <t>2019/10/18 22:02:27</t>
  </si>
  <si>
    <t>本人拍拍贷已结清突然给我发信息说我有一笔借款未结清，让联系我的该客服拿出截图他说明天回公司给我拿，我把我的结清证明发给他看说我P图还威胁我。</t>
  </si>
  <si>
    <t>套路来</t>
  </si>
  <si>
    <t>http://ts.21cn.com/tousu/show/id/1372650</t>
  </si>
  <si>
    <t>2019/10/18 22:02:14</t>
  </si>
  <si>
    <t>投诉人 孔维波        投诉对象  天天贷App        涉诉金额  2 010 元    问题类型    诉求类型投诉详情  恐吓辱骂骚扰，通报通讯录。说报警都管不了</t>
  </si>
  <si>
    <t>花薪利息太高不合格</t>
  </si>
  <si>
    <t>http://ts.21cn.com/tousu/show/id/1372649</t>
  </si>
  <si>
    <t>2019/10/18 22:02:12</t>
  </si>
  <si>
    <t>骂我爸妈，暴力催欠款，电话打爆，不是这个电话就那个电话，而且利息涨到6000多了。</t>
  </si>
  <si>
    <t>买房子不交房</t>
  </si>
  <si>
    <t>http://ts.21cn.com/tousu/show/id/1372648</t>
  </si>
  <si>
    <t>2019/10/18 22:01:40</t>
  </si>
  <si>
    <t>我在遵义湘江投资建设管理有限责任公司买了房子，说好了四月底交房，可是他一直拖，拖到现在还没交房，去找他也没有用，房产证还没有，可是，他们根本无所谓，还在光明正大的开着，其他受害者去找他们也没有用，所有的受害者都在找遵义湘江投资建设有限责任公司退钱，可他们还是无动于衷，所以我投诉遵义湘江投资建设有限责任公司。</t>
  </si>
  <si>
    <t>拼多多为赌博提供支付渠道</t>
  </si>
  <si>
    <t>http://ts.21cn.com/tousu/show/id/1372647</t>
  </si>
  <si>
    <t>2019/10/18 21:58:55</t>
  </si>
  <si>
    <t>拼多多商户涉嫌为赌博平台提供非法充值业务.虚假发货。</t>
  </si>
  <si>
    <t>中国银联为714提供便</t>
  </si>
  <si>
    <t>http://ts.21cn.com/tousu/show/id/1372646</t>
  </si>
  <si>
    <t>2019/10/18 21:58:20</t>
  </si>
  <si>
    <t>投诉人 赵先生        投诉对象  秒贝        涉诉金额  3 500 元    问题类型    诉求类型投诉详情  秒贝平台 几个月时间借款3500元实际到账 2200元 扣款钱财到中国银联账户 要求退款</t>
  </si>
  <si>
    <t>造艺科技恶意扣款</t>
  </si>
  <si>
    <t>http://ts.21cn.com/tousu/show/id/1372645</t>
  </si>
  <si>
    <t>2019/10/18 21:58:05</t>
  </si>
  <si>
    <t>这个豹子贷承诺退款，到现在不退，无奈再次投诉。</t>
  </si>
  <si>
    <t>广发信用卡积分被盗用</t>
  </si>
  <si>
    <t>http://ts.21cn.com/tousu/show/id/1372644</t>
  </si>
  <si>
    <t>2019/10/18 21:57:13</t>
  </si>
  <si>
    <t>我于10月16号发现广发信用卡积分10月10号分别被扣两次大额积分，备注是95508积分支付162000积分，不知道是什么意思，打电话给广发信用卡客服咨询，才知道是积分兑换礼品，地址是黑龙江处的，电话是：133******00吉林长春的，在于客服的沟通中也阐述了信用卡发卡地是杭州，自己常驻地是杭州，老家湖南，不可能会兑换东西去黑龙江处，自己平时也很谨慎且用的少，不存在泄露电话服务密码的可能性，并且信用卡支付密码和电话服务密码也不是同一个，更不可能单单泄露电话服务密码，所以我认为这是银行方面的漏洞，客服建议我</t>
  </si>
  <si>
    <t>拍拍贷无法联系</t>
  </si>
  <si>
    <t>http://ts.21cn.com/tousu/show/id/1372643</t>
  </si>
  <si>
    <t>2019/10/18 21:56:39</t>
  </si>
  <si>
    <t>拍拍贷无法还款，联系客服说等人联系，过了一个月也没人联系。</t>
  </si>
  <si>
    <t>安逸花</t>
  </si>
  <si>
    <t>http://ts.21cn.com/tousu/show/id/1372642</t>
  </si>
  <si>
    <t>2019/10/18 21:54:27</t>
  </si>
  <si>
    <t>催收人员打我公司电话，骂我，还骚扰我，我每个月都带着还款的，严重影响我生活，骚扰的号码是：173******05。</t>
  </si>
  <si>
    <t>潭州教育退课难</t>
  </si>
  <si>
    <t>http://ts.21cn.com/tousu/show/id/1372641</t>
  </si>
  <si>
    <t>2019/10/18 21:53:52</t>
  </si>
  <si>
    <t>刷着b站，偶然看到潭州教育，因感兴趣隧填了个人信息，不久就有老师通过短信联系加QQ,把我拉进公开课的群，那节课听得我心潮澎湃，讲的确挺好的，课后结束就马上进行交定金和付尾款，第二天兴致勃勃上课，但结果出乎我意料，背景音很吵，和公开课安静的环境不同，客服小艾交完所有费用之后，发信息给她从来没有理过我，加上当时还是抱着再听听的心态，听了几节课，但结果还是令人失望，叫班主任把课程关掉，想等下一期老师开课再重新听，最近认真听了两节课，觉得课程质量不好，对课程内容不满意，讲课方式太笼统，向老师反映进行退款，老师一直答</t>
  </si>
  <si>
    <t>http://ts.21cn.com/tousu/show/id/1372640</t>
  </si>
  <si>
    <t>2019/10/18 21:51:47</t>
  </si>
  <si>
    <t>投诉人 冶女士        投诉对象  马上消费金融        涉诉金额  9 000 元    问题类型    诉求类型投诉详情  暴力催收，威胁骚扰家人，一天打好多电话，</t>
  </si>
  <si>
    <t>买家恶意仅退款，拼多多介入处理后，同意买家仅退款不退货，我现在钱货两空</t>
  </si>
  <si>
    <t>http://ts.21cn.com/tousu/show/id/1372638</t>
  </si>
  <si>
    <t>2019/10/18 21:51:09</t>
  </si>
  <si>
    <t>订单编号：191008-5*************0，发货快递单号:75302524708306，此单买家收到货后，不做任何沟通，我联系他他不回复，以缺件原因申请仅退款，我拒绝后，拼多多平台介入后，判定同意买家恶意仅退款，现在货在买家手里，173元货款也退他了，我作为卖家，现在钱货两空，找平台客服要求全额赔偿我的货款173元，客服让我自己找买家协商……。</t>
  </si>
  <si>
    <t>101947475087必须退款，确实发错货了，已经退货，仓库签收了退款并赔偿我的损失</t>
  </si>
  <si>
    <t>http://ts.21cn.com/tousu/show/id/1372639</t>
  </si>
  <si>
    <t>2019/10/18 21:50:50</t>
  </si>
  <si>
    <t>101947475087必须退款，确实发错货了，已经退货，仓库签收了退款并赔偿我的损失。</t>
  </si>
  <si>
    <t>暴力催收，威胁恐吓侮辱使用软件骚扰</t>
  </si>
  <si>
    <t>http://ts.21cn.com/tousu/show/id/1372636</t>
  </si>
  <si>
    <t>2019/10/18 21:50:39</t>
  </si>
  <si>
    <t>拍拍贷雇佣第三方连续短信威胁恐吓，骚扰我朋友同事父母，恐吓我母亲造成惊吓，国家有关机构不管么，任意他们暴力催收，无法无天，给我精神造成极大伤害。</t>
  </si>
  <si>
    <t>要求爱又米平台停止暴力催收</t>
  </si>
  <si>
    <t>http://ts.21cn.com/tousu/show/id/1372635</t>
  </si>
  <si>
    <t>2019/10/18 21:50:15</t>
  </si>
  <si>
    <t>2017年通过校园贷代理办了这个爱又米平台的贷款，总共七千，期间一直都有还款，后来因为家里出事了导致没有还，当时就有催收人员群发侮辱短信，电话轰炸导致名誉尽失一度有轻生的念头，后来也联系过平台还款但是态度强硬不能免除超出国家规定的违约金，一直到现在平台委托催收公司到单位来找我，电话轰炸领导电话称不开除我就一直打，现在身心俱疲，希望得到说法，催收员电话073182892060，173******02，176******97，爱又米平台客服电话400-867-1888，请聚投诉平台能够帮助我维权，。</t>
  </si>
  <si>
    <t>联动发卡平台的问题</t>
  </si>
  <si>
    <t>http://ts.21cn.com/tousu/show/id/1372608</t>
  </si>
  <si>
    <t>2019/10/18 21:49:21</t>
  </si>
  <si>
    <t>这个平台买了东西根本不予回复&amp;nbsp;举报也无效&amp;nbsp;&amp;nbsp;&amp;nbsp;&amp;nbsp;这是一个骗子平台&amp;nbsp;我在网上也看到了一例&amp;nbsp;&amp;nbsp;我是虎牙的大老师&amp;nbsp;&amp;nbsp;&amp;nbsp;我现在不求退钱&amp;nbsp;&amp;nbsp;只希望这个平台关闭&amp;nbsp;不希望让其他人继续上当&amp;nbsp;&amp;nbsp;&amp;nbsp;骗子平台&amp;nbsp;谁的钱都不是大风刮来的&amp;nbsp;&amp;nbsp;我想知道这个平台为什么还一直在！很难受的难受香菇难受香菇难受香菇。</t>
  </si>
  <si>
    <t>逾期不办理房产证</t>
  </si>
  <si>
    <t>http://ts.21cn.com/tousu/show/id/1372633</t>
  </si>
  <si>
    <t>2019/10/18 21:46:21</t>
  </si>
  <si>
    <t>投诉人何先生投诉对象襄阳兴德利房地产开发有限公司涉诉金额1000000元问题类型诉求类型投诉详情本人于2014年在此房地产公司购买房产一套，房产证至今逾期不办理，整个小区至今未办理房产证。</t>
  </si>
  <si>
    <t>钱站阴阳合同高利债砍头息</t>
  </si>
  <si>
    <t>http://ts.21cn.com/tousu/show/id/1372632</t>
  </si>
  <si>
    <t>2019/10/18 21:45:45</t>
  </si>
  <si>
    <t>前面就是已经投诉了，那边就是也打电话来了，我这边就是也保留了电话录音，一就是我当时和客服说，我第一次借款的金额是2000，客服也承认了，但是又说合同是2660，请问就是这个单方面的合同怎么解释，二就是合同的上的金额是2660，放款的金额确实2000，三就是借款金额是2000，合同金额是2660，三就是利息加起来要3600多，请问国家法定的利息是多少，还有就是客服和我说就是可以申请少还点金额，说提前还款就是要3000多点，我就是10月5号借款的，17号才给我下款，今天就是要3000多，为什么有这么高的利息，国</t>
  </si>
  <si>
    <t>捷信金融催收骚扰电话不断</t>
  </si>
  <si>
    <t>http://ts.21cn.com/tousu/show/id/1372631</t>
  </si>
  <si>
    <t>2019/10/18 21:45:23</t>
  </si>
  <si>
    <t>本人于2017年在捷信办理了贷款业务总金额为56000元，月还1743元，到现在已经还了20000多了，就因为最近这两个月工资结算日发生了变化，晚了十几天，但捷信公司还是没完没了的打电话催收，家里也天天打，这已经打乱了我的正常生活！每天都打20多个，没完没了，解释过了又让别的催收来打。</t>
  </si>
  <si>
    <t>我想看一下贷上钱和我的贷款合同</t>
  </si>
  <si>
    <t>http://ts.21cn.com/tousu/show/id/1372630</t>
  </si>
  <si>
    <t>2019/10/18 21:44:29</t>
  </si>
  <si>
    <t>投诉人韩先生投诉对象贷上钱涉诉金额2500元问题类型诉求类型投诉详情贷上钱的绑定消费没有看到任何实质性的物品，也没有看到任何网上的消费窗口，。</t>
  </si>
  <si>
    <t>蜜瓜钱包砍头息</t>
  </si>
  <si>
    <t>http://ts.21cn.com/tousu/show/id/1372629</t>
  </si>
  <si>
    <t>2019/10/18 21:43:28</t>
  </si>
  <si>
    <t>蜜瓜钱包，实际到账金额1460元，6天时间利息接近800，远超国家标准的砍头息。</t>
  </si>
  <si>
    <t>拍拍贷高利息</t>
  </si>
  <si>
    <t>http://ts.21cn.com/tousu/show/id/1372628</t>
  </si>
  <si>
    <t>2019/10/18 21:43:02</t>
  </si>
  <si>
    <t>借款4500元，现在要我还接近一万元，你这利息怎么算的，第三催收连公司名称都不敢说，直接就让还款，去年工作都被你们这些搞丢了，村里也出名了，现在是亲朋好友没一个待见我的，有家不能回，还想咋样，又不是不还，谁想欠账啊又不是只欠你们一家的，总要给时间顺序吧，从去年到现在那个个不是把所有工资全还到欠款上了，你们这样逼着我走头无路呀，。</t>
  </si>
  <si>
    <t>http://ts.21cn.com/tousu/show/id/1372627</t>
  </si>
  <si>
    <t>2019/10/18 21:42:43</t>
  </si>
  <si>
    <t>在钱站平台借了6000元分6期，到账6000，合同显示7500！每期要还1627！利息总共高达3762元。</t>
  </si>
  <si>
    <t>运满满货主可以乱扣定金，客服还只帮货主说话</t>
  </si>
  <si>
    <t>http://ts.21cn.com/tousu/show/id/1372626</t>
  </si>
  <si>
    <t>2019/10/18 21:41:19</t>
  </si>
  <si>
    <t>投诉人黄杰投诉对象运满满涉诉金额100元问题类型诉求类型投诉详情我在运满满10月13拉定了一车货，货主不给我拉货的电话也告诉我拉货的地方.直接说不给我退压金，我货也没拉这么久了一直不给个说法，投诉他们他们也只帮货主说话，我就不明白了司机的定金就这么好骗吗。</t>
  </si>
  <si>
    <t>新意花高利贷并且恶意逾期打电话骚扰联系人，畅捷支付为其提供支付通道</t>
  </si>
  <si>
    <t>http://ts.21cn.com/tousu/show/id/1372624</t>
  </si>
  <si>
    <t>2019/10/18 21:41:07</t>
  </si>
  <si>
    <t>新意花小木钱包联合畅捷支付发放高利贷，到期没法打开app操作还款，也没有人联系任何还款方式，突然这两天恶意催收，未经本人核实情况，恶意联系通讯录散播恐吓言论，给本人及朋友带来严重影响，现投诉，本金处理。</t>
  </si>
  <si>
    <t>威胁，恐吓，拒绝协商！</t>
  </si>
  <si>
    <t>http://ts.21cn.com/tousu/show/id/1372625</t>
  </si>
  <si>
    <t>2019/10/18 21:40:56</t>
  </si>
  <si>
    <t>本人因为资金周转不过来，在喷火龙平台借款2600元，到账1612期限7天，到还款日期本人一时间拿不出2600元，当天去找亲戚朋友借款想把2600元还清谁知道过了12.00分，滞纳金涨了1000元，当时无法还款，要求与客服联系还款可平台没有客服联系方式，电话也不协商，直接威胁家人以及亲戚朋友，本人希望通过聚投诉，与其喷火龙平台联系，协商一下，把这贷款还清，平台链接https://phl.nn1n.com/channel/channel?channel_code=ujfbkjdfm如果不给予协商执意威胁下去哪没</t>
  </si>
  <si>
    <t>在花卡速购借款1000元，1200元，1300元，收取不同的高利息，期限七天，畅捷支付为其提供的放款服务</t>
  </si>
  <si>
    <t>http://ts.21cn.com/tousu/show/id/1372623</t>
  </si>
  <si>
    <t>2019/10/18 21:39:11</t>
  </si>
  <si>
    <t>在花卡速购借款1000元，收取250元的利息，且七天时间，借1200元，300元的利息，借款1300元，325元的高利息，都是七天的期限，畅捷支付为其提供的放款服务，先要求退还部分的利息。</t>
  </si>
  <si>
    <t>个人工商银行账户被其他代理业务资金_中国银联股份有限公司广东分公司专户05转走268.75元</t>
  </si>
  <si>
    <t>http://ts.21cn.com/tousu/show/id/1372622</t>
  </si>
  <si>
    <t>2019/10/18 21:39:06</t>
  </si>
  <si>
    <t>2019年10月18日当天用手机银行查询余额，00时05分有一笔268.75元的消费记录，让我给中国银联打电话查询这笔交易，结果银联电话永远不通，其他代理业务资金_中国银联股份有限公司广东分公司专户05。</t>
  </si>
  <si>
    <t>威胁，骚扰</t>
  </si>
  <si>
    <t>http://ts.21cn.com/tousu/show/id/1372621</t>
  </si>
  <si>
    <t>2019/10/18 21:39:02</t>
  </si>
  <si>
    <t>这就是你们说的正规办事，我这都是有证据的，成天的威胁，用私人电话号码打我电话过来威胁，我是逾期了，我也说了现在实在没钱还，如果爆通讯录了，那就是侵犯隐私了，不要逼迫到一个人跳楼自杀了，到时候你们的责任可更大了，还有医院开的证明什么的，不要逼迫到我真的不行了。</t>
  </si>
  <si>
    <t>请求建行对我的快贷进行分期</t>
  </si>
  <si>
    <t>http://ts.21cn.com/tousu/show/id/1372620</t>
  </si>
  <si>
    <t>2019/10/18 21:38:10</t>
  </si>
  <si>
    <t>6月28日，我从建行办理快贷18万，建行APP快贷没有对我的资产进行风控，能贷的全部贷给我，当然我自己也是犯错误，我的工资卡是建行的，每个月发工资都被秒扣，秒扣为0，既然要让我还钱，至少留给我一点生活费吧！希望建行可以和我做个长期的分期，望有关部门重视这个事情，我现在有正式工作，只要给我分期，我愿意一直还，一直到还清帐，是我没有进行理性消费，现在父母生病，而且父母年龄也大了，父母的生活费都是我拿给他们，下面这些图片就是建行APP快贷对我每个月工资进行秒扣！。</t>
  </si>
  <si>
    <t>支付宝暴力催收威胁恐吓借款人</t>
  </si>
  <si>
    <t>http://ts.21cn.com/tousu/show/id/1372619</t>
  </si>
  <si>
    <t>2019/10/18 21:37:52</t>
  </si>
  <si>
    <t>投诉人邱先生投诉对象支付宝,蚂蚁金服涉诉金额7000元问题类型诉求类型投诉详情因为本人个人原因一直在住院以至于支付宝逾期花呗4500元借呗2500元每次支付宝催收来电话我都表明还款意愿希望协商刚才一个号称支付宝第三方的催收公司来电话进行催收必须一次性还清我并没有逾期那么多为什么要一次性结清，而且威胁恐吓我直接要给我寄催收函不管你本人什么原因现在什么情况它们都会进行暴力催收居然嚣张到说如果你不还我们就会每个联系人都打电话逼到你还钱！！都在严厉打击暴力催收为什么你支付宝公司还会这么嚣张居然雇佣暴力催收公司进行催</t>
  </si>
  <si>
    <t>协商解决还款</t>
  </si>
  <si>
    <t>http://ts.21cn.com/tousu/show/id/1372618</t>
  </si>
  <si>
    <t>2019/10/18 21:36:00</t>
  </si>
  <si>
    <t>本人一直使用这几个信用卡前段时间因为父亲重病花销太大导致信用卡逾期，期间也有几个月没有工作，我做兼职还了一些，，后期父亲病情稍微好了一点我去上班一个月不到也还了一些，但是在上班期间催收给家里父亲打电话用的都是私人电话态度恶劣，带有威胁，以至于父亲再一次的住进了医院，导致我在次失去工作照顾父亲，资金再次断链，我本来是已经找到长期的工作我相信只要我努力几个月就可以尽快还清所以款，我也非常有还款意愿所以努力工作还找兼职，可就在上班不到一个月的时间这几家的催收一直给父亲打电话，电话有的是私人的有的在打过去就是空号，</t>
  </si>
  <si>
    <t>《连连支付》《京东支付》为714高炮《先花钱》违规提供支付业务</t>
  </si>
  <si>
    <t>http://ts.21cn.com/tousu/show/id/1372617</t>
  </si>
  <si>
    <t>2019/10/18 21:35:34</t>
  </si>
  <si>
    <t>投诉人曹先生投诉对象连连支付,京东金融,先花钱涉诉金额896元问题类型诉求类型投诉详情本人因套路贷累计三年付出息费高达百万，目前本人借过的几个网贷公司已经被立案，足以证明714高炮为非法的，《连连支付》《京东支付》不当得利，目前正在逐步整理清单，如果不愿意退还非法所得，本人后续将向中国人名银行举报，。</t>
  </si>
  <si>
    <t>淘宝买葡萄苗和枇杷苗店家发了死苗且不补发</t>
  </si>
  <si>
    <t>http://ts.21cn.com/tousu/show/id/1372616</t>
  </si>
  <si>
    <t>2019/10/18 21:34:52</t>
  </si>
  <si>
    <t>投诉人黄女士投诉对象山东老兵农业涉诉金额40元问题类型诉求类型投诉详情七月三号买的枇杷苗和葡萄苗店家都发了死苗答应要补发结果一直在骗人说下个月发国庆发到最后直接不理人。</t>
  </si>
  <si>
    <t>拿钱花呗主动扣款199</t>
  </si>
  <si>
    <t>http://ts.21cn.com/tousu/show/id/1372615</t>
  </si>
  <si>
    <t>2019/10/18 21:34:42</t>
  </si>
  <si>
    <t>投诉人王女士投诉对象拿钱花呗涉诉金额199元问题类型诉求类型投诉详情我注册了拿钱花呗，按照上面填写材料绑定银行卡，后来说什么会员服务，但是我没点同意会员服务，却被告知自动代收，扣款了199元，一开始并没有说要代收199，后面所有材料填写完毕，绑定银行卡完毕之后，出现什么会员页面，我并没有勾选同意，却收到代扣短信，成功支付199。</t>
  </si>
  <si>
    <t>买家给我发付款截图然后让我扫码联系客服发货然后发货买家确认收货了客服说钱24小时到支付宝结果超过了还不到账了</t>
  </si>
  <si>
    <t>http://ts.21cn.com/tousu/show/id/1372614</t>
  </si>
  <si>
    <t>2019/10/18 21:34:17</t>
  </si>
  <si>
    <t>投诉人 周周福军        投诉对象  交易猫        涉诉金额  7 400 元    问题类型    诉求类型投诉详情  买家给我付款截图了 让我扫码让客服发货 客服让我交了5个什么费总共2800元 然后发货了 我让买家确认收货了 客服说24小时到账支付宝 结果超了几小时还是不到账</t>
  </si>
  <si>
    <t>及贷砍头息</t>
  </si>
  <si>
    <t>http://ts.21cn.com/tousu/show/id/1372613</t>
  </si>
  <si>
    <t>2019/10/18 21:34:13</t>
  </si>
  <si>
    <t>借了及贷1500，到账1320，30天还1545元，要求给个说法，不然报警。</t>
  </si>
  <si>
    <t>拼多多平台售后介入客服处理交易态度有问题，不公平，乱处理，偏向消费者，</t>
  </si>
  <si>
    <t>http://ts.21cn.com/tousu/show/id/1372611</t>
  </si>
  <si>
    <t>2019/10/18 21:33:49</t>
  </si>
  <si>
    <t>2019-10-10当天买家在我们店铺下了一个订单，购买小双头油性记号笔200支，货款一共是57.92元，买家14号收到货，称我们发错货物，我们要求买家提供收到货物的图片，买家一直不提供，还申请了售后，售后原因是我们发错货，但是却没有提供证据，我们要求买家举证，买家一直不举证，在10月15号申请拼多多平台客服介入处理该交易问题，拼多多平台介入后称亲爱的商家，由于消费者反馈商品少件、漏发等问题要求换货，请您在48小时内积极联系消费者协商处理并举证，举证要求（1或者2）：1、如果您未同意换货，请提供快递的称重记</t>
  </si>
  <si>
    <t>工作内容与实际不符</t>
  </si>
  <si>
    <t>http://ts.21cn.com/tousu/show/id/1372612</t>
  </si>
  <si>
    <t>2019/10/18 21:33:43</t>
  </si>
  <si>
    <t>入职前说只需要交129元激活费用后再无需支付任何费用，支付后培训完又说要交159元VIP费用，支付后表示可以开始正式做介绍的6项兼职工作，结果是需要做注册任务，不做不能正式做介绍的6项工作，现申请把支付费用退回，且该公司存在欺诈行为。</t>
  </si>
  <si>
    <t>http://ts.21cn.com/tousu/show/id/1372610</t>
  </si>
  <si>
    <t>2019/10/18 21:31:35</t>
  </si>
  <si>
    <t>投诉人王先生投诉对象钱站涉诉金额2000元问题类型诉求类型投诉详情前面就是已经投诉了，那边就是也打电话来了，我这边就是也保留了电话录音，一就是我当时和客服说，我第一次借款的金额是2000，客服也承认了，但是又说合同是2660，请问就是这个单方面的合同怎么解释，二就是合同的上的金额是2660，放款的金额确实2000，三就是借款金额是2000，合同金额是2660，三就是利息加起来要3600多，请问国家法定的利息是多少，还有就是客服和我说就是可以申请少还点金额，说提前还款就是要3000多点，我就是10月5号借款的</t>
  </si>
  <si>
    <t>润小贷</t>
  </si>
  <si>
    <t>http://ts.21cn.com/tousu/show/id/1372609</t>
  </si>
  <si>
    <t>2019/10/18 21:30:51</t>
  </si>
  <si>
    <t>投诉人 杨先生        投诉对象  华润通        涉诉金额  6 879 元    问题类型    诉求类型投诉详情  高利贷，并存在恶意加长还款时间的行为。阴阳合同</t>
  </si>
  <si>
    <t>京东活力花暴力催收、恐吓、威胁</t>
  </si>
  <si>
    <t>http://ts.21cn.com/tousu/show/id/1372606</t>
  </si>
  <si>
    <t>2019/10/18 21:30:12</t>
  </si>
  <si>
    <t>淘宝店铺继承过户多次失败理由让我不知所措</t>
  </si>
  <si>
    <t>http://ts.21cn.com/tousu/show/id/1372605</t>
  </si>
  <si>
    <t>2019/10/18 21:29:06</t>
  </si>
  <si>
    <t>淘宝店铺开户人是我父亲，于10天前去世了，现在淘宝店想要过户走过世继承，但多次被驳回，原因是“目前核实您需要过户给第一顺位继承人但是提交的材料不完整”，其余顺位继承人已写放弃继承权声明书上传淘宝，但依然无法审核通过，寻求人工客服帮助但无法接入，希望能给我明确的回复，告诉我具体该修改或补充哪些材料，告诉我该如何处理这件事情，本来老人离世已很伤心，但被这过户一事折腾得非常难受，到处开证明，到处跑资料，店铺一直是本人在运营，希望能得到帮助，谢谢！。</t>
  </si>
  <si>
    <t>http://ts.21cn.com/tousu/show/id/1372604</t>
  </si>
  <si>
    <t>2019/10/18 21:28:56</t>
  </si>
  <si>
    <t>投诉人 夏先生        投诉对象  Wecash闪银        涉诉金额  100 000 元    问题类型    诉求类型投诉详情  之前不了解，法律法规。利息高于法规，申请降低费率</t>
  </si>
  <si>
    <t>商家销售辣条属于非法添加</t>
  </si>
  <si>
    <t>http://ts.21cn.com/tousu/show/id/1372603</t>
  </si>
  <si>
    <t>2019/10/18 21:27:54</t>
  </si>
  <si>
    <t>由于本人在拼多多上买的辣条，货到了刚打开来想吃，结果发现辣条中有非法添加剂甜菊糖苷，而这个添加剂不允许使用，对我的人身安全造成影响，我要求严肃处理商家，并且要求赔偿，非法添加，按照我国法律不足1000按1000算。</t>
  </si>
  <si>
    <t>省呗骚扰亲朋好友</t>
  </si>
  <si>
    <t>http://ts.21cn.com/tousu/show/id/1372602</t>
  </si>
  <si>
    <t>2019/10/18 21:27:47</t>
  </si>
  <si>
    <t>本人暂时因个人没固定工作还款金额比较少导致逾期，省呗天天人工和语音电话骚扰，催收员辱骂本人，未经调查，造谣诽谤，在能联系到本人的情况下，擅自拿个人隐私联系人等资料，以备案开庭之名给我通讯录里联系人到处发短信，任意拨打通讯录电话，造成严重的名誉损毁，吓唬我重病在身的父母。</t>
  </si>
  <si>
    <t>推迟交房毫无信用</t>
  </si>
  <si>
    <t>http://ts.21cn.com/tousu/show/id/1372601</t>
  </si>
  <si>
    <t>2019/10/18 21:26:43</t>
  </si>
  <si>
    <t>投诉人 黎银波        投诉对象  遵义湘江投资建设管理有限责任公司        涉诉金额  120 000 元    问题类型    诉求类型投诉详情  本人五月份在湘江舟水桥组团买房 交完首付告知下个月交房 一直到现在还是没有交房</t>
  </si>
  <si>
    <t>滴滴出行无故降司机服务分</t>
  </si>
  <si>
    <t>http://ts.21cn.com/tousu/show/id/1372598</t>
  </si>
  <si>
    <t>2019/10/18 21:25:32</t>
  </si>
  <si>
    <t>投诉人 张女士        投诉对象  滴滴出行        涉诉金额  0 元    问题类型    诉求类型投诉详情  本人是一名滴滴快车司机 因8月份家中有事没有出车 滴滴因此降了服务分 导致现在因为分低没有单子可接 请滴滴给出合理解释并恢复服务分 如果是因为我服务问题我愿意接受 但是谁家没有事 谁能保证天天都能正常出车接乘客</t>
  </si>
  <si>
    <t>http://ts.21cn.com/tousu/show/id/1372597</t>
  </si>
  <si>
    <t>2019/10/18 21:24:47</t>
  </si>
  <si>
    <t>本人借了买买乐高利贷，买买乐暴力催收太可怕了，我还钱了也爆我通讯录，骚扰我亲戚朋友，严重影响我的工作生活。</t>
  </si>
  <si>
    <t>交通信用卡骚扰联系人</t>
  </si>
  <si>
    <t>http://ts.21cn.com/tousu/show/id/1372596</t>
  </si>
  <si>
    <t>2019/10/18 21:24:30</t>
  </si>
  <si>
    <t>骚扰他人，给他人造成生活及工作上的不便，而且不是紧急联系人，还扬言要继续打电话骚扰。</t>
  </si>
  <si>
    <t>绿瘦让我们走上了减肥这条不归路</t>
  </si>
  <si>
    <t>http://ts.21cn.com/tousu/show/id/1372595</t>
  </si>
  <si>
    <t>2019/10/18 21:24:11</t>
  </si>
  <si>
    <t>9月8日，我的过敏已好一周，我再次问她，她给我发了一些减肥成功的案例等等，我把照片发上去，买了999元产品，邮来后，才知道是绿瘦产品，让我收到产品，联系她，但是，收到产品后，绿瘦公司的郑顾问，打来电话，问我，用产品了吗，我看到好多产品，不知道怎么用，在那放着，我告诉她没用，不知道，怎么用，她这么一说我也是害怕，然后，很快来电话，说是我非常幸运，是胡先生，他非常专业，让我好好和他配合，说胡先生下午给我来电话，等到下7点来钟给我来电话，说减肥需要改变体质，分解脂肪，代谢脂肪，最后巩固，需要用到我999元，买的产</t>
  </si>
  <si>
    <t>58好借高利贷45%的年化息费</t>
  </si>
  <si>
    <t>http://ts.21cn.com/tousu/show/id/1372593</t>
  </si>
  <si>
    <t>2019/10/18 21:23:01</t>
  </si>
  <si>
    <t>投诉人覃先生投诉对象58好借,58同城涉诉金额1300元问题类型诉求类型投诉详情算下来息费年化高达45%，远远超过了法律法规的36%高利贷，。</t>
  </si>
  <si>
    <t>超级套路高利贷</t>
  </si>
  <si>
    <t>http://ts.21cn.com/tousu/show/id/1372594</t>
  </si>
  <si>
    <t>2019/10/18 21:22:51</t>
  </si>
  <si>
    <t>投诉人余兵投诉对象拍拍贷,小五钱包涉诉金额9500元问题类型诉求类型投诉详情小五钱包上借了4000，拍拍贷上借了5500，还了2期，小五每期还了786.66，，准备提前还清，小五钱包还要还3105.91，拍拍贷还要还6038.81，利率远超国家法定利率，请问你们是先息后本，还是等额本息，你们的利率是怎么计算的，请给我一个合理的解释，如果不调整利率做出整改，我就准备逾期不还，最终结果接受法院的最终判决！！！。</t>
  </si>
  <si>
    <t>月光侠分期高利贷</t>
  </si>
  <si>
    <t>http://ts.21cn.com/tousu/show/id/1372592</t>
  </si>
  <si>
    <t>2019/10/18 21:21:07</t>
  </si>
  <si>
    <t>借款4000元，到账2800元，分三期，每期要还款1400.31元。</t>
  </si>
  <si>
    <t>http://ts.21cn.com/tousu/show/id/1372591</t>
  </si>
  <si>
    <t>2019/10/18 21:20:36</t>
  </si>
  <si>
    <t>利息不合理，并恶意加长还款期限，存在着阴阳和同。</t>
  </si>
  <si>
    <t>审核</t>
  </si>
  <si>
    <t>http://ts.21cn.com/tousu/show/id/1372590</t>
  </si>
  <si>
    <t>2019/10/18 21:20:33</t>
  </si>
  <si>
    <t>人工审核就是过个套不认真审核！！！！！！！！！。</t>
  </si>
  <si>
    <t>小象优品，高利贷，暴力催收，没有借款合同</t>
  </si>
  <si>
    <t>http://ts.21cn.com/tousu/show/id/1372589</t>
  </si>
  <si>
    <t>2019/10/18 21:20:16</t>
  </si>
  <si>
    <t>在小象优品那个颜值卡借款11000，分12期还款，每个月还款1246.67，已还6期，还款利息远远高于36%，逾期费用也是相当高，简直就是高利贷，与客服和催收人员沟通，什么都是不知道，要求提供电子合同和协议时，都不知道在那里，每次还款只有还款额度和逾期费用，没有本金和利息的详细组成方式！。</t>
  </si>
  <si>
    <t>信而富变相砍头息，高利贷</t>
  </si>
  <si>
    <t>http://ts.21cn.com/tousu/show/id/1372588</t>
  </si>
  <si>
    <t>2019/10/18 21:17:28</t>
  </si>
  <si>
    <t>信而富平台借款必须要在商城内购买他们的优选包，虚拟旅游卡后才能下款，这是明显变相砍头息，前海数量和中归提供支付扣款渠道在他们暴力催收的恐吓下，我已经结清欠款，现要求退回我在信而富商城购买过的虚拟商品款，因本人深陷套路贷逾期2天，遭到信而富催收电话骚扰，恐吓，微信爆通讯录，现投诉信而富平台提供借款，云南信托提供资金，前海数量和中归提供支付扣款渠道，在他们暴力催收的恐吓下，我已经结清欠款，现要求退回我在信而富商城购买过的虚拟商品款。</t>
  </si>
  <si>
    <t>招商信用卡</t>
  </si>
  <si>
    <t>http://ts.21cn.com/tousu/show/id/1372587</t>
  </si>
  <si>
    <t>2019/10/18 21:16:35</t>
  </si>
  <si>
    <t>招商银行信用卡无视国家法规-《商业银行信用卡业务监督管理办法》中的第70条规定，不同意达成5年60期的个性化分期还款协议，因为家中老人身体不好，本人做生意失败，现和招商信用卡中心和平解决逾期问题，希望能尽快达成共识。</t>
  </si>
  <si>
    <t>银行卡号错误打款资金显示冻结，客服拉黑我，每月还款账单还得还。</t>
  </si>
  <si>
    <t>http://ts.21cn.com/tousu/show/id/1372586</t>
  </si>
  <si>
    <t>2019/10/18 21:16:20</t>
  </si>
  <si>
    <t>银行卡号填错了，客服刚开始说要给他们4000块钱解冻，如果我不处理就让我每月还钱，可是他们打款卡号错误是根本打不出来钱的，所以这个钱还是在他们账户，为什么还要我每月还款。</t>
  </si>
  <si>
    <t>有砍头</t>
  </si>
  <si>
    <t>http://ts.21cn.com/tousu/show/id/1372585</t>
  </si>
  <si>
    <t>2019/10/18 21:15:28</t>
  </si>
  <si>
    <t>投诉人 夏先生        投诉对象  玖富        涉诉金额  3 700 元    问题类型    诉求类型投诉详情  借款3700，收取服务费800多。分24期，每期265.13元</t>
  </si>
  <si>
    <t>捷信曝光个人信息</t>
  </si>
  <si>
    <t>http://ts.21cn.com/tousu/show/id/1372584</t>
  </si>
  <si>
    <t>2019/10/18 21:14:58</t>
  </si>
  <si>
    <t>今天捷信派人来我们村曝光我个人信息，去别人家透露我欠钱了，我爸现在接到好多村里的电话，气的现在，120马上过来了，求求你们了，不是不还，真没钱拿的出来，七八年的烟民都戒烟了。</t>
  </si>
  <si>
    <t>拼多多官方无理由取消我的运费险补贴</t>
  </si>
  <si>
    <t>http://ts.21cn.com/tousu/show/id/1372583</t>
  </si>
  <si>
    <t>2019/10/18 21:14:20</t>
  </si>
  <si>
    <t>我在拼多多买了好多东西，都是买有运费险的，结果赶上搬家，有的用不上，有的怕丢了就退款了，因为店铺有运费险和7天无理由退货就退了一些，结果拼多多官方单方面把我的运费补贴给取消了，害得我要自己花运费。</t>
  </si>
  <si>
    <t>爆通讯录，骚扰亲友</t>
  </si>
  <si>
    <t>http://ts.21cn.com/tousu/show/id/1372581</t>
  </si>
  <si>
    <t>2019/10/18 21:13:51</t>
  </si>
  <si>
    <t>本人外6月15号在该平台上申请借款，由于本月特殊情况未能及其换上，昨天已经还上了，现在还在不停的打电话催，同时也在打我通讯录的电话，我都还了这个月的，为啥还在打电话，还骚扰我家里的亲朋好友，希望贵公司给一个解释，还有APP上为啥查不到订单号，问客服称没有订单号。</t>
  </si>
  <si>
    <t>希望能够与浦发银行通过协商偿还信用卡及万用金</t>
  </si>
  <si>
    <t>http://ts.21cn.com/tousu/show/id/1372582</t>
  </si>
  <si>
    <t>本人一直使用浦发信用卡消费多年2018年尾以前都用卡良好，2018年连续投资失败，买掉了车子，房子，但因为原先浦发银行给了31万的万用金额度，每月需10000多的还款，这是每个月必须还的，后面慢慢还不起又导致信用卡的不断分期，累计多了，无力偿还，2018年尾就开始逾期了，逾期后在2019年3月找亲戚朋友借那会还的是70000多，在2019年又借亲戚朋友的630000还进去，本月又开始逾期了，总账单117000多，本人目前真的无法一下偿还那么多，催收让我继续去借来还，我是真的借不到了，之前所欠的全部没有还，我</t>
  </si>
  <si>
    <t>华为售后前后说明不一致，EMS强行要求客户提供身份证拍照（且一再强调是华为公司需要），诉求双方道歉</t>
  </si>
  <si>
    <t>http://ts.21cn.com/tousu/show/id/1372580</t>
  </si>
  <si>
    <t>2019/10/18 21:13:48</t>
  </si>
  <si>
    <t>投诉人刘先生投诉对象华为,EMS涉诉金额0元问题类型诉求类型投诉详情前天华为商城购买的手机，今天下午收到短消息由EMS配送，买家主动联系配送员后得知需要提供身份证拍照，并在电话里说是华为公司需要提供身份证，当时便产生疑惑，买家买家一而再再而三的的强调并不是华为的问题希望更换快递公司签收快递完成交易后得到需要身份证是为了.......‘’（为何此时又需要身份证了？之前不是已经和客服确认不需要了吗？难道在华为购买一台手机也需要身份证证明自己？是不是此时就打脸下午客服和买家说的华为公司不需要提供身份证上传，服和买</t>
  </si>
  <si>
    <t>交通银行信用卡违约金+罚息高达年费用59%</t>
  </si>
  <si>
    <t>http://ts.21cn.com/tousu/show/id/1372579</t>
  </si>
  <si>
    <t>2019/10/18 21:13:31</t>
  </si>
  <si>
    <t>因个人原因，导致经济债务出现问题，现负债20多万！微薄收入现无法支付各银行债务，现已和浦发银行协商还款！声明本人有强烈还款意愿，但交通银行信用卡的违约金和罚息太高！逾期23489，！月还款比例率4分9,年还款比例率59%，比小贷公司高了近2倍！如此高额还款方式让人发指！国家法定利率和罚息不能超过24%，为何交通银行高出法定如此多。</t>
  </si>
  <si>
    <t>随手记app恶意扣款！</t>
  </si>
  <si>
    <t>http://ts.21cn.com/tousu/show/id/1372576</t>
  </si>
  <si>
    <t>2019/10/18 21:13:03</t>
  </si>
  <si>
    <t>随手记app贷款5500元，下款后强行扣除825超级会员费和275手续费，最后到手只有4400元，总共还款金额6627元，打电话给客服不给退总共1100元的超级会员和手续费，希望尽快得到解决。</t>
  </si>
  <si>
    <t>智行火车票改签不退钱</t>
  </si>
  <si>
    <t>http://ts.21cn.com/tousu/show/id/1372577</t>
  </si>
  <si>
    <t>2019/10/18 21:12:58</t>
  </si>
  <si>
    <t>投诉人李女士投诉对象智行涉诉金额185元问题类型诉求类型投诉详情我于九月份左右改签成功，坐上我改签成功后的高铁，但是我付了两张火车票的钱，第一张改签的车票到现在还没有退钱，问机器人客服就一到十五个工作日，现在已经不止了。</t>
  </si>
  <si>
    <t>网贷息费超利率</t>
  </si>
  <si>
    <t>http://ts.21cn.com/tousu/show/id/1372575</t>
  </si>
  <si>
    <t>2019/10/18 21:11:56</t>
  </si>
  <si>
    <t>本人于九月十七日在钱站借款四千，分三期，实际到账三千，本月还款发现每月要还1498元，且三月等额，犹豫对借还款存在疑问，未还款！今日逾期第一天，金额涨到1596元，且录音电话，短信等催收，联系人工客服询问还款利率是否可以协商，至现在，未见任何回复。</t>
  </si>
  <si>
    <t>京东业务员太过分了</t>
  </si>
  <si>
    <t>http://ts.21cn.com/tousu/show/id/1372574</t>
  </si>
  <si>
    <t>2019/10/18 21:11:24</t>
  </si>
  <si>
    <t>本人在京东商城上购买了一些电脑包，最近申请了无理由退货，3.后来我和业务员说换个业务员来吧，你不要来了，这个业务员说：别的业务员不愿意来取呢，1.几天前，京东的业务员上门来取件，说没有干燥剂就不能取走，我是京东老客户，买东西很多年了，头一次遇到这种情况，一包干燥剂没有了就不能取件，我当时很无语，我说我房间有很多干燥剂，我可以给他拿一包，他还是拒绝取件，2.今天，又是这个业务员来取件，我把商品给了他，商品和商品包装都在，只是包装撕开了，，然后这个业务员又以包装撕开为理由打电话给公司报备，我就奇了怪了，我买京东</t>
  </si>
  <si>
    <t>http://ts.21cn.com/tousu/show/id/1372571</t>
  </si>
  <si>
    <t>2019/10/18 21:11:22</t>
  </si>
  <si>
    <t>四方这就是一个赌博平台，还说是和真人打，都是机器人，输赢可以人为调，本人前后在这上面被骗了4万多，而且这一天赌资高达几百万，有很多收害着，希望有关部门严查。</t>
  </si>
  <si>
    <t>违规为非法商户提供结算</t>
  </si>
  <si>
    <t>http://ts.21cn.com/tousu/show/id/1372573</t>
  </si>
  <si>
    <t>2019/10/18 21:10:16</t>
  </si>
  <si>
    <t>投诉人 宋先生        投诉对象  酷宝支付        涉诉金额  8 000 元    问题类型    诉求类型投诉详情  未经本人密码许可 被不法分子盗取钱财没有安全可言</t>
  </si>
  <si>
    <t>私自爆我通讯录</t>
  </si>
  <si>
    <t>http://ts.21cn.com/tousu/show/id/1372572</t>
  </si>
  <si>
    <t>2019/10/18 21:09:51</t>
  </si>
  <si>
    <t>我本人并不是联系不到上你为什么要直接联系我通讯录里的人。</t>
  </si>
  <si>
    <t>投诉feeluniqe售后同意取消订单后仍旧发货</t>
  </si>
  <si>
    <t>http://ts.21cn.com/tousu/show/id/1372570</t>
  </si>
  <si>
    <t>2019/10/18 21:09:44</t>
  </si>
  <si>
    <t>2019年10月17日23:37我在feelunique中文网站下了一笔金额484.7人民币的订单，客服同意了我的取消申请，并声称将其反馈给仓库要求仓库取消订单，于是在12:47我便重新下了一个新的订单，然而，当天晚上七点半，我收到了来自feelunique的邮件，通知我该订单已发货，在这里我想强调的一点是，我所购买的所有商品全部是香港仓发货商品，所以不存在时差的问题，那么为什么我明明在12:40就要求了取消订单并且获得客服同意，却在19:27收到了发货邮件，假设feelunique客服即时将我的诉求反馈给</t>
  </si>
  <si>
    <t>高利贷，违法催收，捆绑销售保险，</t>
  </si>
  <si>
    <t>http://ts.21cn.com/tousu/show/id/1372569</t>
  </si>
  <si>
    <t>2019/10/18 21:09:21</t>
  </si>
  <si>
    <t>本人在2018年12月份申请的贷款，当时没算年利率，也不懂小额贷的套路，就这样我就陷下去了，借款金额5000分12期，每期还款552.07元，已还9期，已还金额5143.63元，中间有一次忘记还款了，预期3天，他们就暴打我通讯录电话，一天一直给我家人打，还发短信威胁我，年利率竟然高达55.43%，已经严重超过法律红线，同时他们有非法售卖保险，为期是一年的众安保险，他们暴力已经影响我的生活了，请对方给个答复，结清合同，开结清证明，。</t>
  </si>
  <si>
    <t>立借暴力催收</t>
  </si>
  <si>
    <t>http://ts.21cn.com/tousu/show/id/1372568</t>
  </si>
  <si>
    <t>2019/10/18 21:08:57</t>
  </si>
  <si>
    <t>投诉人梁先生投诉对象立借涉诉金额4500元问题类型诉求类型投诉详情资金出现问题不与我协商解决，电话轰炸骚扰！！！！必须道歉，调整利息，协商还款。</t>
  </si>
  <si>
    <t>房东不愿意退押金</t>
  </si>
  <si>
    <t>http://ts.21cn.com/tousu/show/id/1372567</t>
  </si>
  <si>
    <t>2019/10/18 21:08:32</t>
  </si>
  <si>
    <t>投诉人陈女士投诉对象深圳宝安沙井南浦花园B11栋房东涉诉金额780元问题类型诉求类型投诉详情租房的时候没有签合同，现在租了两个月，想退租押金一分不退。</t>
  </si>
  <si>
    <t>暴力催收，通讯录电话骚扰</t>
  </si>
  <si>
    <t>http://ts.21cn.com/tousu/show/id/1372566</t>
  </si>
  <si>
    <t>2019/10/18 21:08:16</t>
  </si>
  <si>
    <t>投诉人 傅先生        投诉对象  火影帮        涉诉金额  2 200 元    问题类型    诉求类型投诉详情  这样的平台能不能直接取缔。电话到处骚扰，泄露客户信息。暴力催收</t>
  </si>
  <si>
    <t>活力花暴力催收和额外收费加上年利率超过百分之36</t>
  </si>
  <si>
    <t>http://ts.21cn.com/tousu/show/id/1372565</t>
  </si>
  <si>
    <t>2019/10/18 21:05:58</t>
  </si>
  <si>
    <t>投诉人 吕先生        投诉对象  活力花        涉诉金额  4 000 元    问题类型    诉求类型投诉详情  活力花暴力催收。而且它的额外收费和年利率超过百分之36。 借款4000实际收到3800。</t>
  </si>
  <si>
    <t>拍拍贷拒绝协商减免</t>
  </si>
  <si>
    <t>http://ts.21cn.com/tousu/show/id/1372563</t>
  </si>
  <si>
    <t>2019/10/18 21:05:14</t>
  </si>
  <si>
    <t>本人有还款意愿，前段时间突发意外造成逾期，打算近期一次性结清，但是逾期费和利息太高，本人实在无法承担，要一次性结清还要本人去想办法去借钱才能解决，恳请拍拍贷官方，能体谅一下，减免逾期所产生的利息，和还没有逾期期数的利息费用，本人现在实在无法承担，再次声明，本人有一次性结清的意愿，同时也请拍拍贷不要骚扰家人。</t>
  </si>
  <si>
    <t>中金支付乱扣费</t>
  </si>
  <si>
    <t>http://ts.21cn.com/tousu/show/id/1372562</t>
  </si>
  <si>
    <t>2019/10/18 21:05:08</t>
  </si>
  <si>
    <t>我的工商银行储蓄卡，无故被扣498.30元，打银行电话说要我联系银联，银联说中金支付扣的，我又联系不到中金支付。</t>
  </si>
  <si>
    <t>爱又米客服威胁</t>
  </si>
  <si>
    <t>http://ts.21cn.com/tousu/show/id/1372560</t>
  </si>
  <si>
    <t>2019/10/18 21:02:19</t>
  </si>
  <si>
    <t>投诉人 程先生        投诉对象  爱又米        涉诉金额  1 200 元    问题类型    诉求类型投诉详情  最近手头紧 比较困难 可是爱又米的催收又是威胁又是恐吓 真怕出什么问题 是准备最近想办法处理这个事</t>
  </si>
  <si>
    <t>贝壳找房，连续多次拨打电话骚扰</t>
  </si>
  <si>
    <t>http://ts.21cn.com/tousu/show/id/1372559</t>
  </si>
  <si>
    <t>2019/10/18 21:01:40</t>
  </si>
  <si>
    <t>没见过你们这么没有素质的，还卖房的，你们培训的都是什么员工了，想不想干了，天天骚扰，还尼玛辱骂人，真是素质高尚呀。</t>
  </si>
  <si>
    <t>平安套路催收</t>
  </si>
  <si>
    <t>http://ts.21cn.com/tousu/show/id/1372558</t>
  </si>
  <si>
    <t>2019/10/18 21:01:33</t>
  </si>
  <si>
    <t>对这些乱催收，不法分之严查，希望有关部分能处理。</t>
  </si>
  <si>
    <t>免费推销pos机无辜刷我301块</t>
  </si>
  <si>
    <t>http://ts.21cn.com/tousu/show/id/1372557</t>
  </si>
  <si>
    <t>2019/10/18 20:59:11</t>
  </si>
  <si>
    <t>打着送pos机的幌子盗刷我301块钱！不知道什么情况在搞。</t>
  </si>
  <si>
    <t>中国人寿城区银保理财中心</t>
  </si>
  <si>
    <t>http://ts.21cn.com/tousu/show/id/1372556</t>
  </si>
  <si>
    <t>2019/10/18 20:58:06</t>
  </si>
  <si>
    <t>我与2019年8月13日正式上班，到2019年9月13号离职，贵公司的工资标准是参会率达到80%以上和出单来结算工资的，虽然我没有出单，但是我也正常参会，别人也没有出单，只是参加了参会，别人有工资，我就没有，然后我就去问主管，主管叫我去问内勤老师，我去加了那个内勤老师，那个内勤老师没有同意我，我就去问另一个内勤老师，她和我说参会率要达到80%以上和出单，才会有工资，后面我在问的时候，就把我给删了，我不懂贵公司现在这个做法什么意思，是不认账，想拖欠工资是吗。</t>
  </si>
  <si>
    <t>http://ts.21cn.com/tousu/show/id/1372554</t>
  </si>
  <si>
    <t>2019/10/18 20:57:28</t>
  </si>
  <si>
    <t>、在牛人有品借款1900，实际到账1368元，砍头息高达532元，2期每期需要还款969元，合计要还款1938元，远高国家法定利率，已经还了第一期969元，高额利息无力偿还。</t>
  </si>
  <si>
    <t>58同城推荐的商家不作为不退款</t>
  </si>
  <si>
    <t>http://ts.21cn.com/tousu/show/id/1372543</t>
  </si>
  <si>
    <t>2019/10/18 20:56:25</t>
  </si>
  <si>
    <t>家里房屋漏水，通过58同城查找搜索到龙江检测服务站，电话联系后上门查找漏点并维修，结果陷入对方的连环套，先收钱后干活，前前后后一共收取1200元钱，最后漏水点没查找到，也没有维修好，水依然漏，工人不退款也不在继续上门维修处理，竟然推脱去找物业解决，态度恶劣。</t>
  </si>
  <si>
    <t>健康724和苏州皓羽天下圈钱</t>
  </si>
  <si>
    <t>http://ts.21cn.com/tousu/show/id/1372553</t>
  </si>
  <si>
    <t>2019/10/18 20:55:47</t>
  </si>
  <si>
    <t>7月24日线下30000元购买10箱吉悠，724商城升级高级门店经销商，加入后发现吉悠产品一直处于缺货状态，要求退货退款不给退，直到9月4日才收到第一箱货，所以我拒收了，找收我3万块钱的总代理退款，她说只能退1万，是皓羽天下说的，不是她说的，要退就办，不退就拉倒，这边找724客服，客服说线下订单她们解决不了，还是让找团队和联席退款，但是724是收到我的钱才给我升级的V4的账号，现在我的3万块钱就在外面漂着，希望贵平台能帮助我。</t>
  </si>
  <si>
    <t>马上金融变相违规收取手续费服务费，app更改用户手机权限，不能截图维权，客服骚扰用户诱导借款，要求退费道歉</t>
  </si>
  <si>
    <t>http://ts.21cn.com/tousu/show/id/1372552</t>
  </si>
  <si>
    <t>2019/10/18 20:55:39</t>
  </si>
  <si>
    <t>旗下app马上金融app日利率为万分之一，即年化利率百分之三十六，已到达法律规定的上限，该app在实际运营当中，依然向用户收取譬如超次提款手续费.灵活还款包服务费.提前还款手续费，其中可选的灵活还款包服务费在用户首次开通后即无法关闭，在每笔还款强制收款，其他服务费亦强制收取，且未在借款时的还款详情中说明，变相收取的服务费加上利息早已超过国家给定的百分之三十六的上限，已属于高利贷范畴，二，用户使用马上金融旗下马上金融app时,该app更改用户手机权限，造成用户无法截图收集证据，同时该app上查看合同时，只提供</t>
  </si>
  <si>
    <t>美团点评押金迟迟不退</t>
  </si>
  <si>
    <t>http://ts.21cn.com/tousu/show/id/1372551</t>
  </si>
  <si>
    <t>2019/10/18 20:55:19</t>
  </si>
  <si>
    <t>退房服务员说退回卡里，也没说多久，美团点评收的押金，迟迟也不退，也没个信息，联系不到客服，钱不多，心里不舒服。</t>
  </si>
  <si>
    <t>http://ts.21cn.com/tousu/show/id/1372549</t>
  </si>
  <si>
    <t>2019/10/18 20:54:39</t>
  </si>
  <si>
    <t>投诉人 彭俊杰        投诉对象  招联金融        涉诉金额  2 000 元    问题类型    诉求类型投诉详情  打电话骚扰我同事 对我进行恐吓 如我失去工作 那我就没有能力还钱</t>
  </si>
  <si>
    <t>交通银行无任何提示致使可损失长达三年且客服服务水平基地</t>
  </si>
  <si>
    <t>http://ts.21cn.com/tousu/show/id/1372548</t>
  </si>
  <si>
    <t>2019/10/18 20:54:16</t>
  </si>
  <si>
    <t>16年办理交通银行信用卡，办理时无人告知积分每年只能兑换10万且只能兑换沃尔玛抵值劵，办卡后直至19年8月想使用积分才知道，期间无任何提醒服务，现积分余近80万，使用完需8年，联系客服多次协商希望将积分兑换，客服33198态度冷淡且强硬，开始告知无法兑换，后又告知可以兑换但要缩水6倍，并告知办卡时有协议，让银行提供协议被告知交通银行规定不给提供，最终多次协商后，要求将办卡后没兑换的16，17，18年补兑即可，当时确实不知情，客服33198同意回去核实申请，3天后晚8电来电告知要求将积分全部兑换无法满足，我已</t>
  </si>
  <si>
    <t>苏打优选过期一天收取20%延期费</t>
  </si>
  <si>
    <t>http://ts.21cn.com/tousu/show/id/1372547</t>
  </si>
  <si>
    <t>2019/10/18 20:53:03</t>
  </si>
  <si>
    <t>依据消法规定和央行和商务部发布的规定，1、卡的有效期设置不符合规定，不记名卡有效期不应低于三年；2、卡过期一天，苏打优选要求每张卡收取高达20%的管理费，；3、卡面没有任何关于有效日期的明确说明，没有使用的卡根本无法得知有效期限。</t>
  </si>
  <si>
    <t>长虹电视强制开机广告无法去除</t>
  </si>
  <si>
    <t>http://ts.21cn.com/tousu/show/id/1372546</t>
  </si>
  <si>
    <t>2019/10/18 20:51:58</t>
  </si>
  <si>
    <t>打开电视后，会有长达20秒的广告，查阅用户指南也无去除广告方法，现麻烦厂家出来解决问题。</t>
  </si>
  <si>
    <t>投诉瑞银信POS机刷卡不到账</t>
  </si>
  <si>
    <t>http://ts.21cn.com/tousu/show/id/1372544</t>
  </si>
  <si>
    <t>2019/10/18 20:50:33</t>
  </si>
  <si>
    <t>用瑞银信刷卡机，办的实时到账的，2019年10月17号早上9点半刷20000元，现在两天了不到账，打客服电话，客服说要到星期一10月21号到账，。</t>
  </si>
  <si>
    <t>乐刷清算机构</t>
  </si>
  <si>
    <t>http://ts.21cn.com/tousu/show/id/1372542</t>
  </si>
  <si>
    <t>2019/10/18 20:48:14</t>
  </si>
  <si>
    <t>投诉人 拜先生        投诉对象  乐刷公司,乐刷        涉诉金额  9 848 元    问题类型    诉求类型投诉详情  我的钱已经一个多月了不到账希望能抓紧到账</t>
  </si>
  <si>
    <t>冠诚（北京）信息服务有限公司违规收取砍头息</t>
  </si>
  <si>
    <t>http://ts.21cn.com/tousu/show/id/1372541</t>
  </si>
  <si>
    <t>2019/10/18 20:48:13</t>
  </si>
  <si>
    <t>1月30日，本人吴迪在北京冠诚贵阳门店签订了一份《信用咨询及管理服务协议》，编号:第G0*************4号，约定从北京冠诚贵阳门店借款140000元，期限为三年，在履行18个月后，我发现北京冠诚在协议中存在大量违规违法行为，严重损害了我的合法权益和违反法律规定、扰乱金融秩序，双方本来谈好是借款14万元，但北京冠诚将所谓的服务费46673元计入本金，在借款合同中变成了借款金额186773元，严重违反了司法解释不得将利息计入本金的规定，是民间俗称的“砍头息”，该协议书面约定36个月的借款期，由于北京</t>
  </si>
  <si>
    <t>微贷多米贷暴力催收</t>
  </si>
  <si>
    <t>http://ts.21cn.com/tousu/show/id/1372540</t>
  </si>
  <si>
    <t>2019/10/18 20:47:19</t>
  </si>
  <si>
    <t>投诉人 刘威        投诉对象  微贷网        涉诉金额  3 180 元    问题类型    诉求类型投诉详情  微贷多米贷 借3000 砍头息600 实际到账2400 分三月还每月还1060 总还3180 已还二期共2120 暴力催收 盗取信息 群发短信骚扰通讯录联系人 骚扰公司同事及领导 大势熏染借款信息</t>
  </si>
  <si>
    <t>拼趣多拖延不退商家保证金，已失联疑跑路</t>
  </si>
  <si>
    <t>http://ts.21cn.com/tousu/show/id/1372539</t>
  </si>
  <si>
    <t>2019/10/18 20:46:39</t>
  </si>
  <si>
    <t>本人在拼趣多开店铺，店铺名称千夕，缴纳保证金2000元，后因为销量不佳，2019年2月份申请退店铺退保证金，至今未收到退款保证金。</t>
  </si>
  <si>
    <t>转转平台拒收不退款</t>
  </si>
  <si>
    <t>http://ts.21cn.com/tousu/show/id/1372538</t>
  </si>
  <si>
    <t>2019/10/18 20:46:31</t>
  </si>
  <si>
    <t>转转平台，拒收快递后，申请退款后被拒绝，理由是要签收后确保物品完好才给退，这不是霸王条款吗?东西没经我手，我为什么要给你们保证物品完好?。</t>
  </si>
  <si>
    <t>小象优品的审核贷款手续费加利息高</t>
  </si>
  <si>
    <t>http://ts.21cn.com/tousu/show/id/1372537</t>
  </si>
  <si>
    <t>2019/10/18 20:43:14</t>
  </si>
  <si>
    <t>借18000一年的利息高达6480元，每一期需要还款2040元分还12期，已经还了6期，因利息太高本人决定投诉。</t>
  </si>
  <si>
    <t>钱站恶意骚扰通讯录</t>
  </si>
  <si>
    <t>http://ts.21cn.com/tousu/show/id/1372535</t>
  </si>
  <si>
    <t>2019/10/18 20:41:25</t>
  </si>
  <si>
    <t>要求立即停止对通讯录，和本人的骚扰，高利贷平台，谁在为他们撑腰。</t>
  </si>
  <si>
    <t>闪银不给注销账户</t>
  </si>
  <si>
    <t>http://ts.21cn.com/tousu/show/id/1372536</t>
  </si>
  <si>
    <t>2019/10/18 20:41:24</t>
  </si>
  <si>
    <t>闪银不给注销账号，黑心平台，555555555555。</t>
  </si>
  <si>
    <t>恶意催收电话不停的骚扰</t>
  </si>
  <si>
    <t>http://ts.21cn.com/tousu/show/id/1372534</t>
  </si>
  <si>
    <t>2019/10/18 20:40:02</t>
  </si>
  <si>
    <t>借款人出了一些事情导致资金问题断裂花呗和借款逾期三个月没能还款，已经给客服中心解释了，但是第三方催收部门还是不停的打催收电话，从昨天到今天一直在打借款人父母的手机和座机多次严重影响借款人的正常生活，下午又接到第三方电话说明天下午3点要去借款人父母家里去，第三方还说我花呗和借呗和支付宝脱离了关系，由第三方来催收，要求一次还款，强迫借款人还款，借款人也不是数额巨大，也不是恶意拖欠的，借款人现在还牵扯一起交通事故，2019年10月15去当地法院按的手印，现在催收部门快把借款人逼到绝路了。</t>
  </si>
  <si>
    <t>喜鹊快贷高利贷，超过国家规定</t>
  </si>
  <si>
    <t>http://ts.21cn.com/tousu/show/id/1372533</t>
  </si>
  <si>
    <t>2019/10/18 20:39:50</t>
  </si>
  <si>
    <t>依法追究法律责任，超过国家规定的年利率36%利息，高达56%的年利率，借10000，贷款期限一年到账10000，合同竟然高出国家规定，总需要还13248.33，这是在挑衅国家法律的规定，不止此事，还提前骚扰家人朋友，侮辱人格，需严重打击此公司，软件名:喜鹊快贷，借款协议都打不开了，强烈要求停止骚扰通讯录，再骚扰且解决不了，就上法院见，就因为你们这些高利贷出现，害死多少人命，换个角度想想。</t>
  </si>
  <si>
    <t>超高高级贷</t>
  </si>
  <si>
    <t>http://ts.21cn.com/tousu/show/id/1372532</t>
  </si>
  <si>
    <t>2019/10/18 20:39:42</t>
  </si>
  <si>
    <t>本人于2019.09.17在凡普金科集团有限公司名下钱站借款平台申请借款1330元钱！实则到账1000元钱整！还款则分为三期！每期还款493元钱！共计需还款1479元钱！严重超过了借款！。</t>
  </si>
  <si>
    <t>京东白条被盗刷，京东客服说不是盗刷，买有保险不能赔付，叫我联系当地警察处理</t>
  </si>
  <si>
    <t>http://ts.21cn.com/tousu/show/id/1364686</t>
  </si>
  <si>
    <t>2019/10/18 20:39:15</t>
  </si>
  <si>
    <t>投诉人张先生投诉对象京东金融,京东商城涉诉金额1000元问题类型诉求类型投诉详情由于我之前在京东抢手机，玩客云，360路由器，注册了几个账号，由于手机号不够用，所以到淘宝旗下的阿里小号购买了一个小号绑定了我的京东账号，保险公司的人说这个需要京东那边同意一下就可以了，并叫我放心这个是可以赔的，叫我再等一下，我问他们什么原因他们也不跟我说老是说一句话，是内部审核的结果，这是他们跟我说是我自己刷的了，我当时真的感到很无助，毕竟人家说不给你就不给你，你奈我如何啊，后来我再追问那个客服就扯开话题了，没想到我太低估了犯</t>
  </si>
  <si>
    <t>你我贷暴利催收</t>
  </si>
  <si>
    <t>http://ts.21cn.com/tousu/show/id/1372531</t>
  </si>
  <si>
    <t>2019/10/18 20:39:04</t>
  </si>
  <si>
    <t>投诉人 昌庭先生        投诉对象  你我贷        涉诉金额  7 600 元    问题类型    诉求类型投诉详情  暴利电话催收，轰炸信息，电话，恶语相向。</t>
  </si>
  <si>
    <t>暴力催收恐吓骚扰家人朋友</t>
  </si>
  <si>
    <t>http://ts.21cn.com/tousu/show/id/1372529</t>
  </si>
  <si>
    <t>2019/10/18 20:38:49</t>
  </si>
  <si>
    <t>投诉人黄女士投诉对象小伍钱包,我来贷,钱伴涉诉金额10000元问题类型诉求类型投诉详情短信恐吓短信轰炸爆通讯录骚扰家人再发恐吓短信报警处理。</t>
  </si>
  <si>
    <t>闪银高额利息，白条买一些垃圾东西</t>
  </si>
  <si>
    <t>http://ts.21cn.com/tousu/show/id/1372528</t>
  </si>
  <si>
    <t>2019/10/18 20:36:00</t>
  </si>
  <si>
    <t>闪银高额砍头息，利息太高，要求买东西，几百块买了都是些垃圾东西，每期借款利息还的都超过本金，还款日还没到打电话催，严重影响个人生活，利息太高实在还不起了。</t>
  </si>
  <si>
    <t>迟迟不见回复，也不处理</t>
  </si>
  <si>
    <t>http://ts.21cn.com/tousu/show/id/1372527</t>
  </si>
  <si>
    <t>2019/10/18 20:35:47</t>
  </si>
  <si>
    <t>于10月14号，不是本人进行付款项目，无缘无故从本人卡里扣款2345和1000两笔款项金额总数3345.望核实是什么费用！！。</t>
  </si>
  <si>
    <t>高利贷协融借（多宝分期）</t>
  </si>
  <si>
    <t>http://ts.21cn.com/tousu/show/id/1372526</t>
  </si>
  <si>
    <t>2019/10/18 20:34:24</t>
  </si>
  <si>
    <t>高利贷借2500实际还3300多，而且还款时间也就隔10天就要还，这钱是好赚，而且不能线上还款，有个人借我微信要我线下打卡还款，我没理！。</t>
  </si>
  <si>
    <t>现金巴士暴力催收</t>
  </si>
  <si>
    <t>http://ts.21cn.com/tousu/show/id/1372525</t>
  </si>
  <si>
    <t>2019/10/18 20:32:10</t>
  </si>
  <si>
    <t>暴力催收，高额砍头息，要求撤销账单停止骚扰，道歉，退还多期砍头息，不然只有报警，已经严重影响我的生活。</t>
  </si>
  <si>
    <t>充会员下款</t>
  </si>
  <si>
    <t>http://ts.21cn.com/tousu/show/id/1372524</t>
  </si>
  <si>
    <t>2019/10/18 20:30:38</t>
  </si>
  <si>
    <t>投诉人 李先生        投诉对象  闪集        涉诉金额  198 元    问题类型    诉求类型投诉详情  充会员下款，然后冲好会员了 没有下款就直接推别的款子</t>
  </si>
  <si>
    <t>OPPOR9SPLUS大规模无限重启变砖</t>
  </si>
  <si>
    <t>http://ts.21cn.com/tousu/show/id/1372523</t>
  </si>
  <si>
    <t>2019/10/18 20:30:37</t>
  </si>
  <si>
    <t>投诉人李先生投诉对象oppo,广东欧珀移动有限公司涉诉金额3500元问题类型诉求类型投诉详情2017年入手的OPPOr9splus到2019.10.18日无限重启。</t>
  </si>
  <si>
    <t>捷信金融分期业务跟我的分期实物不一样</t>
  </si>
  <si>
    <t>http://ts.21cn.com/tousu/show/id/1372522</t>
  </si>
  <si>
    <t>2019/10/18 20:30:15</t>
  </si>
  <si>
    <t>投诉人闫女士投诉对象捷信金融涉诉金额5772元问题类型诉求类型投诉详情本来我是分期的手机但是捷信金融上边是电脑。</t>
  </si>
  <si>
    <t>桂林悦程出行卡误导办卡</t>
  </si>
  <si>
    <t>http://ts.21cn.com/tousu/show/id/1372521</t>
  </si>
  <si>
    <t>本人2019.9.5号到桂林两江机场赶飞机，遇到穿着制服的空姐推销办理此卡，本人有询问充值的钱在卡里能否使用，对方说可以，对方明知不能，欺诈了我，误导消费。</t>
  </si>
  <si>
    <t>小米金融恶意骚扰不认识的紧急联系人</t>
  </si>
  <si>
    <t>http://ts.21cn.com/tousu/show/id/1372520</t>
  </si>
  <si>
    <t>2019/10/18 20:30:09</t>
  </si>
  <si>
    <t>现在时间2019年10月18日晚上20：21分，几分钟前不断有自称是小米金融的打电话给我，爆出一个人的名字叫还款，在半个月前我就明确表示不认识此人，但是自称小米金融的还不断打电话骚扰，带有威胁的口吻说话，但是就是不说他是哪家公司，工号多少，来电号码为：025-69071709；025-69071926，要求025-69071709；025-69071926此两个号码2019年10月18日20:17~19分来电员工向我道歉，大晚上骚扰还威胁我，是不是脑子秀逗了。</t>
  </si>
  <si>
    <t>不见回复，也不见回访</t>
  </si>
  <si>
    <t>http://ts.21cn.com/tousu/show/id/1372518</t>
  </si>
  <si>
    <t>2019/10/18 20:29:40</t>
  </si>
  <si>
    <t>不是本人操作，无缘无故扣两笔款项，于10月11号进行扣款金额分别是26351和23622扣款卡号是工商62****************2吓得我立马换新卡号了，希望核实清楚。</t>
  </si>
  <si>
    <t>希望支付宝能改进解除限制的问题</t>
  </si>
  <si>
    <t>http://ts.21cn.com/tousu/show/id/1372519</t>
  </si>
  <si>
    <t>2019/10/18 20:29:32</t>
  </si>
  <si>
    <t>，后来朋友让我帮他刷花呗的钱不晓得被骗了，现在已经无法联系朋友了，账户受到限制了，自己也还欠了花呗，现在正在积极解除限制，可是后来就无法通过提交验证信息，也没办法联系客服，现在急着使用支付宝苦于无法自行处理，也没办法联系问题账单的人。</t>
  </si>
  <si>
    <t>京东商城提供的手机30天无忧体验退货服务存在虚假宣传，且拒绝执行退货退款</t>
  </si>
  <si>
    <t>http://ts.21cn.com/tousu/show/id/1372517</t>
  </si>
  <si>
    <t>2019/10/18 20:29:23</t>
  </si>
  <si>
    <t>10月14日，即收到手机31日后，本人向京东申请无优体验服务，要求退货退款，但根据京东提供的无优体验服务宣传页面指示，在手机app我的订单页面并未找到对应的申请服务入口，随后咨询京东客服，京东客服表示必须联系务商，经与服务商联系，通过微信公众号，发送了所需的相关资料，但服务商并未第一时间回复，本人多次向京东客服投诉后，服务商提供了对应的退货指引，同时京东承诺因服务不到位，按照原价进行退货退款，并额外赔偿100元，本人于10月15日将手机通过顺丰快递寄出，10月17日京东服务商收到货后，本人于10月18日再次</t>
  </si>
  <si>
    <t>电话骚扰，辱骂，威胁，</t>
  </si>
  <si>
    <t>http://ts.21cn.com/tousu/show/id/1372516</t>
  </si>
  <si>
    <t>2019/10/18 20:29:17</t>
  </si>
  <si>
    <t>本人郑重承诺所说的一切都是真实的，深圳普惠快信公司2019年10月13日跟我打电话协商还款，本人正在上班就叫他15号跟我联系，15号联系后协商好了还款事项，因本人目前没有钱去解决，就说第2天借到钱了，跟他打电话说，但是借钱跟我的朋友资金也出了问题，暂时帮不了我，如果贵公司不出面解决，那么我也会报警，后果自负，骚扰电话号码，177******28，153******24，。</t>
  </si>
  <si>
    <t>交通信用卡</t>
  </si>
  <si>
    <t>http://ts.21cn.com/tousu/show/id/1372515</t>
  </si>
  <si>
    <t>2019/10/18 20:28:47</t>
  </si>
  <si>
    <t>交通银行你好全段时间家里发生意外出车祸了在医院住院三个月多现在不能上班医院费用还没有结清，催收人员来到家里态度非常恶劣辱骂只认钱没有什么说的。</t>
  </si>
  <si>
    <t>拉卡拉无缘冻结资金180天</t>
  </si>
  <si>
    <t>http://ts.21cn.com/tousu/show/id/1372514</t>
  </si>
  <si>
    <t>2019/10/18 20:28:41</t>
  </si>
  <si>
    <t>投诉人沈先生投诉对象拉卡拉涉诉金额700元问题类型诉求类型投诉详情无故冻结资金700元180天，一开始暂缓结算我一共提供3次资料，个人正反面身份证，手持说明书拍照，手持说明书拍照，招牌和店内视屏和收银台视屏，打过20次电话，每次都在询问，但每次收到的回答就是，审核不通过，拉卡拉客服说需要资料，我配合，我都给了，还是在这里耍无赖，占有商户的资金，后台永远都是不通过的状态，然后就是说什么就是说是配合我们商户，但从头到位都是我一直配合它们的工作，它们要什么资料我都给，但还是在这里霸王条款，我想问，你们有什么权利冻</t>
  </si>
  <si>
    <t>在淘集集的2000元保证金退不了</t>
  </si>
  <si>
    <t>http://ts.21cn.com/tousu/show/id/1372513</t>
  </si>
  <si>
    <t>2019/10/18 20:28:15</t>
  </si>
  <si>
    <t>淘集集恶意扣押货款，不按照签约的合同按时回款货款，联系官方今天这样说明天那样说，总之就是压着我们的货款不给我们回款，已经严重违法了合同签约条款，现在货款总共积压了将近50万元人民币，联系官方也不给处理，希望黑猫能协助处理下，他们这样明显的是故意拖延不给处理问题，一次又一次的被忽悠，请淘集集不要再忽悠人了，联系官方不予处理，多次找不同的理由恶意延迟打款，至今没有收到回款，一直不予打款，多次联系商家客服，不予处理问题，推脱忽悠，此平台打款是分微信打款和支付宝打款，其他商家的微信打款提现都是正常，我们这边的微信提</t>
  </si>
  <si>
    <t>闪银app交担保金然后再借款</t>
  </si>
  <si>
    <t>http://ts.21cn.com/tousu/show/id/1372511</t>
  </si>
  <si>
    <t>2019/10/18 20:27:57</t>
  </si>
  <si>
    <t>个条件大部分人应该都没仔细看所以我选择了第三个，然后说我们没有要求借款自己选择的交担保金形式。</t>
  </si>
  <si>
    <t>国庆组队奖励力为什么不发放</t>
  </si>
  <si>
    <t>http://ts.21cn.com/tousu/show/id/1372512</t>
  </si>
  <si>
    <t>2019/10/18 20:27:47</t>
  </si>
  <si>
    <t>投诉人李先生投诉对象滴滴出行涉诉金额200元问题类型诉求类型投诉详情国庆组队奖励，第一名队伍作弊，我们队伍应该第一奖金没有发放给我，其它二名队员己发放，你们平台，什么原因不发给我，给我个理由。</t>
  </si>
  <si>
    <t>http://ts.21cn.com/tousu/show/id/1372509</t>
  </si>
  <si>
    <t>2019/10/18 20:26:03</t>
  </si>
  <si>
    <t>之前有客服微信联系我说我可以在他们平台进行贷款！我按照客服提示下载APP进行操作！在申请出款时客服说只有会员才可以申请出款，本人按照她提供的账号交了588元中级会员会费，却显示中级会员已抢完必须办理高级会员，我就又往她提供的账号转了1588元！申请出款时，客服说我的银行卡号填写错误，我真的以为是自己大意填错了，她给我推荐了她们经理微信说让我联系经理解决！这个经理让我写委托书委托她修改卡号，我写好后她又说银行必须确定是我本人操作借款让我从我本人银行账户中走账借款金额30%的风控金到她指定的账户中！说转账的所有</t>
  </si>
  <si>
    <t>拍拍贷爆通讯录暴力催收</t>
  </si>
  <si>
    <t>http://ts.21cn.com/tousu/show/id/1372508</t>
  </si>
  <si>
    <t>2019/10/18 20:24:40</t>
  </si>
  <si>
    <t>暴力催收，影响正常生活，爆通讯录骚扰亲朋好友。</t>
  </si>
  <si>
    <t>京东商户平台</t>
  </si>
  <si>
    <t>http://ts.21cn.com/tousu/show/id/1372501</t>
  </si>
  <si>
    <t>2019/10/18 20:23:40</t>
  </si>
  <si>
    <t>投诉人曾先生投诉对象京东商城涉诉金额500元问题类型诉求类型投诉详情QQ空间看到有好友宣传衣服，这边通过微信扫码付款之后再京东商城的后台没有看到自己的购买订单，付款后只显示收款平台是京东商户平台，现在这边没有看到订单对方已经把我拉黑，我不能申请退款，也不知道对方有没有发货，我现在只想追回款项。</t>
  </si>
  <si>
    <t>http://ts.21cn.com/tousu/show/id/1372506</t>
  </si>
  <si>
    <t>2019/10/18 20:23:19</t>
  </si>
  <si>
    <t>阴阳合同10月6号我在玖富万卡上升请了一比贷款2500第二天打电给客服他们回复申请失败了我就申请了第二比2000的放款成功后短信，高利贷 砍头息 阴阳合同10月6号我在玖富万卡上升请了一比贷款2500第二天打电给客服他们回复申请失败了我就申请了第二比2000的放款成功后短信 提醒我扣除保费590分了12期这样我就要还3100我打电话给客服他说提前换清可以退差额头我就把着还了半个月里差额一直拖着不退打电话还说退给你退但是什么时候退 而且第一比借款失败的还到账了保费多出来740还款要换3391着两笔借款就多出1</t>
  </si>
  <si>
    <t>电话骚扰</t>
  </si>
  <si>
    <t>http://ts.21cn.com/tousu/show/id/1372505</t>
  </si>
  <si>
    <t>2019/10/18 20:23:17</t>
  </si>
  <si>
    <t>8点多了，不断打电话骚扰8点多了，不断打电话骚扰8点多了，不断打电话骚扰。</t>
  </si>
  <si>
    <t>希望有关部门取缔无故扣款平台</t>
  </si>
  <si>
    <t>http://ts.21cn.com/tousu/show/id/1372504</t>
  </si>
  <si>
    <t>2019/10/18 20:22:53</t>
  </si>
  <si>
    <t>建设银行卡无故扣了7500人民币希望把钱给我退回来，。</t>
  </si>
  <si>
    <t>http://ts.21cn.com/tousu/show/id/1372503</t>
  </si>
  <si>
    <t>2019/10/18 20:21:46</t>
  </si>
  <si>
    <t>每天不管是休息时间还是上班时间都乱打电话跟发信息。</t>
  </si>
  <si>
    <t>投诉宜信公司，砍头息，高利贷，暴力催收，恐吓</t>
  </si>
  <si>
    <t>http://ts.21cn.com/tousu/show/id/1372502</t>
  </si>
  <si>
    <t>2019/10/18 20:21:13</t>
  </si>
  <si>
    <t>宜信普惠，高利贷，实际放款4万，还了11个月，每个月2083，一共还了2万多，以后没有钱，还不上，已经说了有钱就会还上！但是催收人员暴力催收，对朋友，家人，单位，各种骚扰，辱骂！对我本人恐吓！现在我觉得我的人生随时都会收到威胁！。</t>
  </si>
  <si>
    <t>立借高利贷，暴力催收，协商全额还款不同意</t>
  </si>
  <si>
    <t>http://ts.21cn.com/tousu/show/id/1372500</t>
  </si>
  <si>
    <t>2019/10/18 20:19:38</t>
  </si>
  <si>
    <t>高利贷，8500，借的时候显示十二期，结果前三期基本就把全部的还清了，利率高达200%多，还款日当天客服打电话态度极其恶劣，第三天要求免违约金，不同意，要求全部结清，本金+合适利息，不同意，爆通讯录，打我同事电话，侵犯我隐私权，名誉权，坚决投诉到底，有录音为证据。</t>
  </si>
  <si>
    <t>请不要打电话发信息骚扰亲朋好友。</t>
  </si>
  <si>
    <t>http://ts.21cn.com/tousu/show/id/1372499</t>
  </si>
  <si>
    <t>2019/10/18 20:19:20</t>
  </si>
  <si>
    <t>因家庭问题造成资金紧张，个人在家待产，暂时没能力还款，但是并不是拒绝还款，但是还是电话骚扰亲朋好友，请求不要再骚扰家人朋友。</t>
  </si>
  <si>
    <t>吃清食会腐臭鸡肉肠拉肚子</t>
  </si>
  <si>
    <t>http://ts.21cn.com/tousu/show/id/1372498</t>
  </si>
  <si>
    <t>2019/10/18 20:19:03</t>
  </si>
  <si>
    <t>第二天早上我们两个上班出门情急下每人吃了两根。</t>
  </si>
  <si>
    <t>举报数来宝砍头息</t>
  </si>
  <si>
    <t>http://ts.21cn.com/tousu/show/id/1372497</t>
  </si>
  <si>
    <t>2019/10/18 20:17:34</t>
  </si>
  <si>
    <t>本人在6月份借了数来宝高利贷，14天的，借1200到账700元.14天到期需要还款1235元，当时怕逾期，借的另外高炮还款的，现在要求数来宝归还高额支付的金额，不退还我天天投诉。</t>
  </si>
  <si>
    <t>代练商家入驻金</t>
  </si>
  <si>
    <t>http://ts.21cn.com/tousu/show/id/1372496</t>
  </si>
  <si>
    <t>2019/10/18 20:17:19</t>
  </si>
  <si>
    <t>2018年3月19日刚开始加入交易猫开通代练套餐，需交1000元入驻金，2019年6月22日开始申请关闭代练套餐退还入驻金，刚开始说60个工作日内退还，结果我等了60天依旧没有收到退款，期间我马上和交易猫客服联系，但是依然是迟迟没有结果，得到的结果也只是2019年10月18日没有收到退款，期间我也是联系了很多次客服，收到的审核退款时间到了却还是依旧没有收到款项，就是欺骗我们吗。</t>
  </si>
  <si>
    <t>武汉聚狮霸权欺瞒消费者</t>
  </si>
  <si>
    <t>http://ts.21cn.com/tousu/show/id/1372495</t>
  </si>
  <si>
    <t>2019/10/18 20:16:18</t>
  </si>
  <si>
    <t>交费前态度很好各种诱惑，交钱后感觉不对劲想要退款却被拒绝，还拿出霸王条款。</t>
  </si>
  <si>
    <t>网络赌博提款取不出来</t>
  </si>
  <si>
    <t>http://ts.21cn.com/tousu/show/id/1372493</t>
  </si>
  <si>
    <t>2019/10/18 20:15:46</t>
  </si>
  <si>
    <t>我在500彩票网投注充值了5万元，开始输了点，后来赢回本金加平台奖励总共6万元，我就提现了6万，可不知道什么原因被卡住了提款不成功，我咨询客服，他们回答是让我找导师申请，导师继续让我往里充值10万带我赚钱就可以全部提出来，我一个工薪阶层根本整不到那么多钱，就得去网贷，我非常害怕，会不会都搭进去，他们是不是抓住了人性贪婪的弱点，我也很后悔，天上没有掉馅饼的好事，我是不是被套进去了，请求你们帮助我把钱提出来！。</t>
  </si>
  <si>
    <t>钱站用网络电话骚扰我朋友</t>
  </si>
  <si>
    <t>http://ts.21cn.com/tousu/show/id/1372494</t>
  </si>
  <si>
    <t>2019/10/18 20:15:39</t>
  </si>
  <si>
    <t>高利贷暴力非法催收，随便就爆通讯录，口出脏话侮辱别人，这难道不是违法的吗，为什么这个高利贷，砍头息的品牌，暴力违法催收的，国家还不打击掉，难道要让更多的人受伤害，还是等出了事情才去解决吗。</t>
  </si>
  <si>
    <t>http://ts.21cn.com/tousu/show/id/1372492</t>
  </si>
  <si>
    <t>2019/10/18 20:15:18</t>
  </si>
  <si>
    <t>投诉人 管先生        投诉对象  玖富万卡        涉诉金额  11 600 元    问题类型    诉求类型投诉详情  借款本金11600 还款金额22400多 客服态度还不好</t>
  </si>
  <si>
    <t>钱站丧尽天良</t>
  </si>
  <si>
    <t>http://ts.21cn.com/tousu/show/id/1372491</t>
  </si>
  <si>
    <t>2019/10/18 20:14:51</t>
  </si>
  <si>
    <t>钱站是个坑人的天价高利贷，借款1200总还款2200元，合同金额修改成1590元，真的是顶风作案，国家应该查封他们，我现在已经不打算还款给他们了，跟他们协商了一两个月都没用，我跟他们说的跟明白，我申请的又不多，才1200元，下款时就联系他们把本金退还他们不同意，故意让别人上套赚取高额服务费，催收的工作人员更是丧尽天良，什么事都干得出，。</t>
  </si>
  <si>
    <t>微信转账</t>
  </si>
  <si>
    <t>http://ts.21cn.com/tousu/show/id/1372490</t>
  </si>
  <si>
    <t>2019/10/18 20:14:46</t>
  </si>
  <si>
    <t>投诉人 武先生        投诉对象  缙云县夏秋燕副食店        涉诉金额  6 000 元    问题类型    诉求类型投诉详情  在网商贷APP借钱， 手续费6000元，被欺诈了，望把钱追回</t>
  </si>
  <si>
    <t>YY驾校退学扣费不合理</t>
  </si>
  <si>
    <t>http://ts.21cn.com/tousu/show/id/1372489</t>
  </si>
  <si>
    <t>2019/10/18 20:12:49</t>
  </si>
  <si>
    <t>投诉人呼女士投诉对象YY涉诉金额6400元问题类型诉求类型投诉详情我在YY驾校报名了清远VIP班，但是这个驾校和当初报名承诺的一点儿也不一样，考科目一前既没有考前培训也没有考试教材，导致我第一次考试没有通过，之后我就想退款，但客户跟我说要扣除4800的费用，就算我去考了一次科目一，他们出的费用也就是来回清远的车费，扣除4800元并不合理，我要求他们拿出扣除4800的合理解释，他们只是说按照合同规定要扣除这么多费用，我说要投诉就把我电话挂了，死活不同意我退学，只要退学就拿扣掉大半学费做威胁，这个驾校太坑了，听</t>
  </si>
  <si>
    <t>星管家恶意冻结商户资金</t>
  </si>
  <si>
    <t>http://ts.21cn.com/tousu/show/id/1372488</t>
  </si>
  <si>
    <t>2019/10/18 20:12:27</t>
  </si>
  <si>
    <t>本人是经营便利店生意的，偶然听说星管家收款可以当日到账，并决定办理用于收大额资金，方便周转，结果使用第四天本人在星管家上的资金被冻结无法提取，并且帐号上的资金也被清空，无法看到，询问业务员，业务员告知我有几笔资金存在远程收款，账户被冻结了，需要提供客户的付款记录和监控视频，本人店内无监控，并且客户付款完就走了，哪里去找客户要付款记录，非常不合理，本人已向星管家提供了营业执照，身份证，和收款小票，本人是正常经营的店铺，如果星管家对本店的资金有疑虑请通过法律来判定，请及时归还本人资金。</t>
  </si>
  <si>
    <t>浙江丽水市莲都区工商行政管理局失职渎职玩忽职守</t>
  </si>
  <si>
    <t>http://ts.21cn.com/tousu/show/id/1372485</t>
  </si>
  <si>
    <t>2019/10/18 20:11:57</t>
  </si>
  <si>
    <t>浙江丽水市莲都区工商行政管理局失职渎职玩忽职守，本人关于一笔网购消费维权投诉到国家12315网站，商家注册地为丽水莲都，受理单位丽水莲都工商行政管理局，本人将此作为信访至浙江信访局官网，上级政府无介入，还是丽水莲都工商行政管理局直接回复信访，让人发指的是，信访回复内容和投诉回复一模一样，甚至连行政复议也一样，请问信访有行政复议么，再次赤裸裸证明丽水莲都工商行政管理局玩忽职守不作为，二次信访浙江信访局，仍旧直接转至丽水市莲都区工商行政管理局，因投诉人是消费者维权人亲戚,代为再次信访，丽水市莲都区工商行政管理局</t>
  </si>
  <si>
    <t>联动云</t>
  </si>
  <si>
    <t>http://ts.21cn.com/tousu/show/id/1372487</t>
  </si>
  <si>
    <t>2019/10/18 20:11:54</t>
  </si>
  <si>
    <t>9月25左右和他们反馈的，一直也不给答复，10几天后还是我自己问的他们，当地的工作人员的意思就是他也管不了了也不管了，让我找客服说，客服说找他们工作人员，就这么来回的推，每次都是让我等5-10天，你说你找不到早跟我说啊，之前还跟我说他找到了，车里确实有，等了10几天的信，就给我整没了，，我要求赔偿，他们还是再推脱现在都17号了，我钱包也没给说法，赔偿的事也是没个说法，一直都在推脱，求大佬们帮帮忙。</t>
  </si>
  <si>
    <t>小花钱包暴力催收，威胁</t>
  </si>
  <si>
    <t>http://ts.21cn.com/tousu/show/id/1372486</t>
  </si>
  <si>
    <t>2019/10/18 20:11:50</t>
  </si>
  <si>
    <t>暴力催收，威胁，爆通讯录，无法协商，我打客服和催收电话，协商明天之前还，今天依旧骚扰我，而且还给我联系人打电话。</t>
  </si>
  <si>
    <t>玖富贷审核成功后，需要先支付工本费，人工费，才可下款</t>
  </si>
  <si>
    <t>http://ts.21cn.com/tousu/show/id/1372484</t>
  </si>
  <si>
    <t>2019/10/18 20:10:04</t>
  </si>
  <si>
    <t>要求撤销贷款合同，款项未到银行卡内，不予还款。</t>
  </si>
  <si>
    <t>曝光信用飞信用星球强制购买保险费收取砍头息</t>
  </si>
  <si>
    <t>http://ts.21cn.com/tousu/show/id/1372483</t>
  </si>
  <si>
    <t>2019/10/18 20:09:54</t>
  </si>
  <si>
    <t>在信用飞平台下载的信用星球，借款1500秒扣388元砍头息，388元强制购买保险服务，完全不知情，实际到账只有1000元，还有杂七杂八的费用，明显的高炮平台，试问，哪个合法平台会在下款前购买保险服务，收取砍头息。</t>
  </si>
  <si>
    <t>深圳小银奇异高利贷骚扰家里亲戚朋友群发短信</t>
  </si>
  <si>
    <t>http://ts.21cn.com/tousu/show/id/1372482</t>
  </si>
  <si>
    <t>2019/10/18 20:08:55</t>
  </si>
  <si>
    <t>本人6月份从小银奇异借款500元，14天要还款770元高利贷，砍头息，今天不断骚扰家人和亲戚朋友，群发短信，现要求查处。</t>
  </si>
  <si>
    <t>OYO酒店出问题无法入住不退款</t>
  </si>
  <si>
    <t>http://ts.21cn.com/tousu/show/id/1372481</t>
  </si>
  <si>
    <t>2019/10/18 20:08:24</t>
  </si>
  <si>
    <t>本人于2019年10月15号在OYO酒店进行网上订酒店服务，下午6点30到达宾馆，随后我打电话到他们客服，称会有专员联系，然后这现在18号也未有人联系退款问题，今天咨询了一下，他们讲15号进行过联系，然而我并未接受到他们的任何电话，退款也是了无音讯！！！这么大的一个平台服务简直差的要死。</t>
  </si>
  <si>
    <t>融360和及贷高利贷</t>
  </si>
  <si>
    <t>http://ts.21cn.com/tousu/show/id/1372480</t>
  </si>
  <si>
    <t>2019/10/18 20:08:12</t>
  </si>
  <si>
    <t>融360上接待了一笔9400元的贷款，一直正常还款，但是最近发现以下几个问题：1，利率过高，涉嫌高利贷，2，我是在融360下单借贷的，但是平常在及贷官方app却查不到订单，只有在要还款的时候才有显示订单，涉嫌阴阳合同。</t>
  </si>
  <si>
    <t>拒绝高利贷</t>
  </si>
  <si>
    <t>http://ts.21cn.com/tousu/show/id/1372479</t>
  </si>
  <si>
    <t>2019/10/18 20:08:10</t>
  </si>
  <si>
    <t>借款1800，借款6天，实际到账1170，收取高额砍头息630，想联系客服协商偿还合规本息客服根本无法联系，提供的客服QQ号设置了添加问题，陌生人无法添加好友。</t>
  </si>
  <si>
    <t>平安普惠捆绑销售保险，收取服务费，骚扰联系人</t>
  </si>
  <si>
    <t>http://ts.21cn.com/tousu/show/id/1372478</t>
  </si>
  <si>
    <t>2019/10/18 20:07:42</t>
  </si>
  <si>
    <t>投诉人何女士投诉对象平安普惠涉诉金额300000元问题类型诉求类型投诉详情平安惠普30万，还425890.08元，利息125890.08元，36期，如现结清还需还109200.10元，可以提供银行流水，付服务费扣9千，实际到手29万1千，本金30万已经还清，没能力还接下来的利息了，每个月27号还款，每个月还款金额11830.28元，每个月保险费960元，服务费1590元，银行利息可以充分提供，当时给平安普惠业务员服务费转账记录全部可以提供，可以提供业务员名字和手机号码，服务员在2019年10月16日下午微信</t>
  </si>
  <si>
    <t>暴力催收发律师函</t>
  </si>
  <si>
    <t>http://ts.21cn.com/tousu/show/id/1372477</t>
  </si>
  <si>
    <t>2019/10/18 20:07:23</t>
  </si>
  <si>
    <t>该平台涉嫌公开买卖个人隐私，第三方平台涉嫌伪造律师文件。</t>
  </si>
  <si>
    <t>网银在线为赌博输平台收单，请求网银在线为我退款挽回经济损失</t>
  </si>
  <si>
    <t>http://ts.21cn.com/tousu/show/id/1372476</t>
  </si>
  <si>
    <t>2019/10/18 20:06:16</t>
  </si>
  <si>
    <t>本人在网上被人诱骗以做兼职，赚流水等理由被人拉进兼职群，以购买彩票方式赚取佣金，后来才知道是非法赌博平台，和支付清算协会沟通得知第三方支付业务应审核客户的相关信息，第三方支付公司不得向证券、期货、博彩等机构提供支付结算业务，通过中国人民银行，中国银联，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t>
  </si>
  <si>
    <t>http://ts.21cn.com/tousu/show/id/1372475</t>
  </si>
  <si>
    <t>2019/10/18 20:06:12</t>
  </si>
  <si>
    <t>在网站买彩票，本以为是正规彩票网站，后来发现是个假网站，不予退款，联系不到客服，现要求首信易支付个酷宝支付联系违法商家退款，。</t>
  </si>
  <si>
    <t>在交易猫购买的实况足球OPPO账号被恶意找回，客服不解决</t>
  </si>
  <si>
    <t>http://ts.21cn.com/tousu/show/id/1372474</t>
  </si>
  <si>
    <t>2019/10/18 20:05:56</t>
  </si>
  <si>
    <t>2019年10月18日11时许，我在交易猫上购买实况足球游戏账号，购买的账号为OPPO账号，账号的描述中赫然写着不可能被找回的卖家宣传语，我付款后在客服的提示下一步步进行换绑，换绑了手机号和邮箱并完成交易，中间未提示会有找回风险，也就是说客服认为这个账号换绑后是安全的，没有人工客服投诉渠道只有机器人客服给出让找OPPO客服的网址，致电OPPO客服后得知，OPPO账户根本没有任何安全性，所有的OPPO账号原号主都可以通过手机申诉找回密码，并建议不要再购买OPPO账号，也没有投诉举报的渠道未绑定身份证，不可能被</t>
  </si>
  <si>
    <t>附近约爱支付</t>
  </si>
  <si>
    <t>http://ts.21cn.com/tousu/show/id/1372473</t>
  </si>
  <si>
    <t>2019/10/18 20:04:59</t>
  </si>
  <si>
    <t>投诉人 莫先生        投诉对象  友缘在线        涉诉金额  303 元    问题类型    诉求类型投诉详情  不小心点错，支付乱扣费了。。，。。。。。。。。。。。。。。。。。。。。。。。。。。。。。。。。。。。。。。。。。。。1。。。。。。。。。，。。。。。。。。。。。。。。。。。。。。。。。。。。。，，，，，，。。。。。。。。。。。。。。。。。。。。。。。。。。。。。。。？？？？。，？？？？。。？。。。。。。。。。。。。。。。。，。，。。。。，</t>
  </si>
  <si>
    <t>中信银行催收电话轰炸</t>
  </si>
  <si>
    <t>http://ts.21cn.com/tousu/show/id/1372472</t>
  </si>
  <si>
    <t>2019/10/18 20:04:37</t>
  </si>
  <si>
    <t>投诉人徐先生投诉对象中信银行信用卡涉诉金额9500元问题类型诉求类型投诉详情跟他协商不行，直接电话轰炸。</t>
  </si>
  <si>
    <t>骚扰我联系人</t>
  </si>
  <si>
    <t>http://ts.21cn.com/tousu/show/id/1372471</t>
  </si>
  <si>
    <t>2019/10/18 20:04:36</t>
  </si>
  <si>
    <t>骚扰我联系人暴力催收，借款金额跟到账金额不一样。</t>
  </si>
  <si>
    <t>即分期超G会员恐吓威胁</t>
  </si>
  <si>
    <t>http://ts.21cn.com/tousu/show/id/1372470</t>
  </si>
  <si>
    <t>2019/10/18 20:02:37</t>
  </si>
  <si>
    <t>我一直好好跟他说缓两天会把这个钱还上并且该公司收取的费用相当高，今天又打电话骂我还跟我说知道我的信息知道我的家庭住址会去搞死我还给我家人打电话还威胁我家人说要搞死我的家人这个人说话态度从头到尾都没有给我好好说过一直都是说要搞死我家人搞死我现在我的家人因为他的威胁压迫已经有了不想活的想法了他们公司的罚息也很高我已经承担不起了我只能等这个人来搞死我跟我的家人了天天受这样的威胁我已经没有任何意义了这个公司就是个高利贷公司而且公司的人给我打电话一直态度恶劣非要让我死他才愿意现在我跟我的家人已经受到了他的威胁我表示如</t>
  </si>
  <si>
    <t>厚本金融、凤凰智信砍头息，恐吓，威胁</t>
  </si>
  <si>
    <t>http://ts.21cn.com/tousu/show/id/1372469</t>
  </si>
  <si>
    <t>2019/10/18 20:02:28</t>
  </si>
  <si>
    <t>联系我，告知可以3000元结清，时限可以放宽至18号，与我达成协议，至10月13日，催收A联系我说我违约，态度较差，期间我月催收A，催收B反复联系沟通，耽误我大量时间，期间催收A口头威胁要求在10月14日必须处理，否则爆通讯录，并称他们公司原本8号就准备爆我通讯录，对我进行威胁恐吓，进行处罚并公示，公司及员工对我进行道歉，并作出经济赔偿300元。</t>
  </si>
  <si>
    <t>新橙优品（套路贷、高利贷）</t>
  </si>
  <si>
    <t>http://ts.21cn.com/tousu/show/id/1372468</t>
  </si>
  <si>
    <t>2019/10/18 20:02:25</t>
  </si>
  <si>
    <t>网贷贷款3000元，到手只有2460元！分6期还款，每期还款691.81元，无奈，现在已还4期，无力偿还，特要求按国家法侓程序走。</t>
  </si>
  <si>
    <t>国美易卡联系不到客服变相收手续费！</t>
  </si>
  <si>
    <t>http://ts.21cn.com/tousu/show/id/1372466</t>
  </si>
  <si>
    <t>2019/10/18 20:01:52</t>
  </si>
  <si>
    <t>国美易卡联系不到客服！家里小孩拿我手机去申请借款，现在发现想要提前还款还不进去！！。</t>
  </si>
  <si>
    <t>请求延期</t>
  </si>
  <si>
    <t>http://ts.21cn.com/tousu/show/id/1372467</t>
  </si>
  <si>
    <t>2019/10/18 20:01:43</t>
  </si>
  <si>
    <t>投诉人 关响生        投诉对象  现金巴士        涉诉金额  363 元    问题类型    诉求类型投诉详情  因为可能一些原因无法及时 请求延期 谢谢</t>
  </si>
  <si>
    <t>在本人不知情的情况下被恶意扣款</t>
  </si>
  <si>
    <t>http://ts.21cn.com/tousu/show/id/1372465</t>
  </si>
  <si>
    <t>2019/10/18 20:01:26</t>
  </si>
  <si>
    <t>投诉人 段女士        投诉对象  聚福        涉诉金额  299 元    问题类型    诉求类型投诉详情  在本人不知情的情况下扣款 当时注册了APP填了资料 看到需要扣款就卸载掉了 可他们在我不知情的情况下扣了款 想在下载APP查看就下载不到 给客服打了电话说我享受了他们的服务 如果需要退款要把自己的身份证复印件 本人和身份证的照片邮寄给他们 他们在审核 如果审核成功需要在十到十五个工作日退款 还要等正常五个工作日以后才可以办理退款 希望可以帮忙</t>
  </si>
  <si>
    <t>现金借款天价服务费</t>
  </si>
  <si>
    <t>http://ts.21cn.com/tousu/show/id/1372464</t>
  </si>
  <si>
    <t>2019/10/18 20:01:12</t>
  </si>
  <si>
    <t>在他们平台借款已经全部还清本金，还要支付3600元的利息，协商减免一期还款利息费用，因为现在还款的全部是利息，逾期一天他们平台就疯狂打电话骚扰，赚取人家高额手续费的时候怎么不多为贷款人着想，本金已经结清，希望聚投诉平台帮我大力监督下他们，。</t>
  </si>
  <si>
    <t>http://ts.21cn.com/tousu/show/id/1372463</t>
  </si>
  <si>
    <t>2019/10/18 20:00:21</t>
  </si>
  <si>
    <t>当时平安贷款的人说保险不需要自己购买的，说是平安公司买的，后来贷款下来才发现，怎么会多了一份每个月供383.72元的保险才发现自己上了套路，2年下来都差不多给多平安公司上万元了，通话记录都有的，请尽快处理吧。</t>
  </si>
  <si>
    <t>你我贷砍头息提前还款都拒绝协商</t>
  </si>
  <si>
    <t>http://ts.21cn.com/tousu/show/id/1372462</t>
  </si>
  <si>
    <t>2019/10/18 19:59:38</t>
  </si>
  <si>
    <t>投诉人李晓云投诉对象你我贷涉诉金额15000元问题类型诉求类型投诉详情你我贷这利息真是要人命，借15000要还个20000多，如果不是应急，谁敢碰这种高利贷，以为是碰到了救命稻草，没想到只是一个更深的坑，打电话给客服的态度更是差的离谱，我说我想提前结清还款，客服说提前还款可以给我减免600多块钱利息，app上的利息不是5000多吗，他们把服务费也算进利息里头，正常的利息也就1000多，年利率百分之35.99不属于高利因为并没有超过国家规定的标准，给我减免这600多是算在这1000多的基础利息里头，我才借了1</t>
  </si>
  <si>
    <t>支付吧被盗刷,支付宝信息被泄露</t>
  </si>
  <si>
    <t>http://ts.21cn.com/tousu/show/id/1366181</t>
  </si>
  <si>
    <t>2019/10/18 19:59:00</t>
  </si>
  <si>
    <t>微信点击了个链接直接被转入支付宝支付界面，后未输入密码，支付宝花呗上的1.7万元全被扣除，支付宝花呗所有的金额也就1.7万，账单显示全部用于购买了yy币，已经报案，并且以1.未输入密码；2.未输入金额；3.个人支付宝信息被泄为由向支付宝提出赔偿，后被拒，，其他两个问题连解释都没有，作为支付宝用户个人资金安全和个人信息安全得不到保障，被随意泄露。</t>
  </si>
  <si>
    <t>网贷没有逾期。催收</t>
  </si>
  <si>
    <t>http://ts.21cn.com/tousu/show/id/1372461</t>
  </si>
  <si>
    <t>2019/10/18 19:58:49</t>
  </si>
  <si>
    <t>2019年6月19日在恒易贷借款19929.66元。</t>
  </si>
  <si>
    <t>http://ts.21cn.com/tousu/show/id/1372460</t>
  </si>
  <si>
    <t>2019/10/18 19:58:32</t>
  </si>
  <si>
    <t>投诉人 张启义        投诉对象  聚富分期        涉诉金额  299 元    问题类型    诉求类型投诉详情  注册。聚富分期，直接被强制扣款299元。打客服电话要求退款、客服各种推脱。</t>
  </si>
  <si>
    <t>平安i贷还款当日威胁性催款</t>
  </si>
  <si>
    <t>http://ts.21cn.com/tousu/show/id/1372459</t>
  </si>
  <si>
    <t>2019/10/18 19:57:39</t>
  </si>
  <si>
    <t>还款日开始多次发短信催款，影响到我工作，卡内有钱不扣，以逾期威胁。</t>
  </si>
  <si>
    <t>我是淘宝卖家，买家定制的产品签收后被要求退货退款，到现在也没有收到退货。</t>
  </si>
  <si>
    <t>http://ts.21cn.com/tousu/show/id/1372458</t>
  </si>
  <si>
    <t>2019/10/18 19:57:32</t>
  </si>
  <si>
    <t>12:40:18在我店铺定制定做了一件产品，我们完全百分百按着当初的约定生产制作，客户签收收货后觉得不合适用要求退货退款，客服竟然在没有足够沟通了解的情况下判定为退货退款由我卖家承担退回运费！至今我们未收到退货，但是款已经被强制退给了买家！无论定制的产品是否能追回，我们都要求赔偿我店损失！买家的定做要求如下总结：外径长*宽*高，90*90*35cm；最下面一层层高为35cm；门需要从一开门改为推拉门设计，无其它要求和约定，目前产品符合买家的定做要求，没有任何错误，买家只是为了让卖家承担运费给他退货找出各种理</t>
  </si>
  <si>
    <t>久富万卡高利贷</t>
  </si>
  <si>
    <t>http://ts.21cn.com/tousu/show/id/1372457</t>
  </si>
  <si>
    <t>2019/10/18 19:57:22</t>
  </si>
  <si>
    <t>1,app显示贷款额度会存放在app里面自己自由选用，2,借款之前app显示金额16190元，总需要支付担保费3690元，3，到账10分钟之内我便建议客户，要求撤销贷款，2小时内打6个客服电话，说有人会联系我，但是3小时过去了，没人联系我撤销贷款！4，下款金额我一分未动，下款已经3小时了，我要求撤销贷款！。</t>
  </si>
  <si>
    <t>立马进钱呆呆苞还款失败导致逾期</t>
  </si>
  <si>
    <t>http://ts.21cn.com/tousu/show/id/1372456</t>
  </si>
  <si>
    <t>2019/10/18 19:57:14</t>
  </si>
  <si>
    <t>投诉人满先生投诉对象立马进钱,呆呆苞,畅捷支付涉诉金额4100元问题类型诉求类型投诉详情-10-1516:00:15本人于2019年8月25日通过推送链接注册，8月26号申请下款，申请金额2800元实际到账2800元，分四期还，每期8天，每期还款1022.4元，共需还款4089.6元，现已还三期共计3235.2元，已还够了我所借的本金和部分利息，因app故障导致最后一期9月27号逾期反馈给客服，客服告诉我由于系统原因产生的逾期给予减免，这都10月18号才收到短信告诉我要我还款在此期间所有产生的逾期由本人一律</t>
  </si>
  <si>
    <t>小米金融委托第三催收、爆通讯录</t>
  </si>
  <si>
    <t>http://ts.21cn.com/tousu/show/id/1372455</t>
  </si>
  <si>
    <t>2019/10/18 19:55:17</t>
  </si>
  <si>
    <t>1.小米金融在官方未任何通知的情况下，将个人通讯录提供给第三方催收公司，侵犯个人隐私，我无话可说今早我收到短信要求我需要全额还款，晚上我家人就收到小米金融提供给第三方催收公司的电话，2.在本人有还款意愿，但由于目前公司拖欠工资，暂时无法还款，预计10月21日才能处理，但第三方催收不问缘由，强迫恐吓必须半小时内还清，并威胁要爆个人通讯录，完全不给协商的机会，3.请小米金融删留存的本人的通讯录4.冻结我循环额度，我无话可说，今早我收到短信要求我需要全额还款，晚上我家人就收到小米金融提供给第三方催收公司的电话。</t>
  </si>
  <si>
    <t>被网商贷app收了一千工本费加三千解冻金</t>
  </si>
  <si>
    <t>http://ts.21cn.com/tousu/show/id/1372443</t>
  </si>
  <si>
    <t>2019/10/18 19:54:43</t>
  </si>
  <si>
    <t>投诉人林先生投诉对象网商贷app涉诉金额4000元问题类型诉求类型投诉详情在网商贷app贷了两万，要我交一千工本费，我交完工本费之后，网商贷app平台，擅自修改本人银行卡号信息导致卡号错误，要我交三千解冻金才能解冻，但是交完之后还要我再交三千说才能下款，我担心再次被骗，所以现在寻求法律援助。</t>
  </si>
  <si>
    <t>http://ts.21cn.com/tousu/show/id/1372454</t>
  </si>
  <si>
    <t>2019/10/18 19:54:22</t>
  </si>
  <si>
    <t>爆我通讯录，现在朋友都想打我了，老婆也害怕不敢回家了。</t>
  </si>
  <si>
    <t>闪电借款砍头息，威胁还款</t>
  </si>
  <si>
    <t>http://ts.21cn.com/tousu/show/id/1372452</t>
  </si>
  <si>
    <t>2019/10/18 19:53:52</t>
  </si>
  <si>
    <t>闪电借款以购买会员为理由，实际违反国家规定收取砍头息，6500元借款50天期限购买1800元会员卡，到期后由于出现情况，没有及时还款，跟催收人员协商不成威胁拨打通信录，请核查。</t>
  </si>
  <si>
    <t>投诉美团生活费恶意催收</t>
  </si>
  <si>
    <t>http://ts.21cn.com/tousu/show/id/1372451</t>
  </si>
  <si>
    <t>2019/10/18 19:52:34</t>
  </si>
  <si>
    <t>本人共借美团金融共计8千元；现已还至6千多元，因本人经济纠纷问题和困难，现已逾期三个多月左右，本人已表明态度：欠债还钱，天经地义！本人在上几个月前就因拖欠三个月一次还了2400，；现美团金融旗下的：美团生活费贷款，合约是：，；在本人欠款逾期没还的这段时间内，每天过10次以上电话和短信不断的骚扰本人，家庭，亲戚朋友同事；给本人带来了不论是经济、关系，工作、事业，生活，精神带来了不计其数的严重伤害及损失！现美团金融公司还通过外包公司带有携嫌涉及黑社会性质的有关人员来本人原所在公司找本人，本人因此事情已被公司无条</t>
  </si>
  <si>
    <t>苏宁任性付威胁、软暴力催收</t>
  </si>
  <si>
    <t>http://ts.21cn.com/tousu/show/id/1372450</t>
  </si>
  <si>
    <t>2019/10/18 19:51:59</t>
  </si>
  <si>
    <t>苏宁任性付暴力催收、威胁借款人，骚扰借款人外同事、朋友、家人亲戚、对借款人的生活造成了严重的影响并对借款人发短信经行威胁、对借款人的家人造成了严重的精神损失和骚扰！要求苏宁消费金融对借款人道歉，并严肃处理催收人员！。</t>
  </si>
  <si>
    <t>刷卡POS机押金不给退</t>
  </si>
  <si>
    <t>http://ts.21cn.com/tousu/show/id/1372449</t>
  </si>
  <si>
    <t>2019/10/18 19:51:53</t>
  </si>
  <si>
    <t>让消费者办理pos机,然后以各种理由让消费者寄回去升级,收取服务费欺骗消费者.机器不升级不能用,,押金也不退。</t>
  </si>
  <si>
    <t>被诱导刷单兼职到网赌平台损失惨重请求聚投诉帮我挽回血汗钱</t>
  </si>
  <si>
    <t>http://ts.21cn.com/tousu/show/id/1372448</t>
  </si>
  <si>
    <t>2019/10/18 19:51:08</t>
  </si>
  <si>
    <t>本人应在3月1号开始在百度无故看到投资理财诱导前后充值10多万网站里面有云闪付，中国银联快捷支付我以为是正规平台没想到居然是境外违法平台，全被第三方汇聚支付通道收的钱，现要求汇聚支付速速处理给我一个说法本人会通过各种司法部门维权坚决到底。</t>
  </si>
  <si>
    <t>借款成功确不放款</t>
  </si>
  <si>
    <t>http://ts.21cn.com/tousu/show/id/1372447</t>
  </si>
  <si>
    <t>2019/10/18 19:50:52</t>
  </si>
  <si>
    <t>借款成功显示放款了，却一天都不下款，客服处理问题太慢。</t>
  </si>
  <si>
    <t>http://ts.21cn.com/tousu/show/id/1372446</t>
  </si>
  <si>
    <t>2019/10/18 19:50:26</t>
  </si>
  <si>
    <t>投诉人 关响生        投诉对象  豹子贷        涉诉金额  1 700 元    问题类型    诉求类型投诉详情  因个人原因 豹子贷最后一期可以无法及时还上 请求平台能够延期几天 谢谢</t>
  </si>
  <si>
    <t>http://ts.21cn.com/tousu/show/id/1372445</t>
  </si>
  <si>
    <t>2019/10/18 19:50:16</t>
  </si>
  <si>
    <t>也算是oppo的老用户了，但期间间接的出现了死机的状态，直到2019年8月1号出现了无限重启，。</t>
  </si>
  <si>
    <t>恶意扣话费</t>
  </si>
  <si>
    <t>http://ts.21cn.com/tousu/show/id/1372444</t>
  </si>
  <si>
    <t>2019/10/18 19:48:50</t>
  </si>
  <si>
    <t>2819年10月25日晚10点中国联通以套餐为由扣取我130******45的联通号码264元，10月25此号码以欠费停机，。</t>
  </si>
  <si>
    <t>求放过</t>
  </si>
  <si>
    <t>http://ts.21cn.com/tousu/show/id/1371670</t>
  </si>
  <si>
    <t>2019/10/18 19:47:59</t>
  </si>
  <si>
    <t>投诉人赵女士投诉对象佰仟金融涉诉金额3000元问题类型诉求类型投诉详情本人与2018年象买买乐购借了8000还了6琪还差3000后来主动和贵公司联系说没有钱给点时间以后还该公司也同意但是催款人家还在发律师函给居委会给我的亲戚朋友让我身心俱疲本人身患癌症老公跑了贵公交还紧紧相逼。</t>
  </si>
  <si>
    <t>投诉兴业银行</t>
  </si>
  <si>
    <t>http://ts.21cn.com/tousu/show/id/1372442</t>
  </si>
  <si>
    <t>2019/10/18 19:46:57</t>
  </si>
  <si>
    <t>投诉兴业银行，要求那边做出赔偿，三日后会起诉。</t>
  </si>
  <si>
    <t>苹果官方旗舰店买的苹果11不见了</t>
  </si>
  <si>
    <t>http://ts.21cn.com/tousu/show/id/1372432</t>
  </si>
  <si>
    <t>2019/10/18 19:46:16</t>
  </si>
  <si>
    <t>投诉人朱女士投诉对象AppleStore官方旗舰店,EMS涉诉金额5999元问题类型诉求类型投诉详情苹果官方旗舰店不处理快递遗失，快递员联系不上问题，一直拖延，找各种借口&amp;lt;br&amp;gt;邮政EMS，下午三点显示在配送，因为在老家搬家亲人丧礼，想让朋友帮忙拿快递就一直关注物流信息，看到在配送给配送员连打两个电话一直无人接听，看到显示联系不上送件人，一直给配送员打电话一直打不通，可以从图片当中看到配送员根本没有给我打电话，我给配送员发短信也没有人回复，从头到尾联系不上配送员，什么叫联系不上派件人。</t>
  </si>
  <si>
    <t>没有借款，电话催收在他们平台借款</t>
  </si>
  <si>
    <t>http://ts.21cn.com/tousu/show/id/1372441</t>
  </si>
  <si>
    <t>2019/10/18 19:46:14</t>
  </si>
  <si>
    <t>本人压根就没听说过这个平台，更没借过款，查银行流水也没有这样的金额入帐！催收威胁不还款打爆通讯录！请问没借过款，还什么钱！太荒唐了。</t>
  </si>
  <si>
    <t>京东客服骂人，京东不给退货符合三包</t>
  </si>
  <si>
    <t>http://ts.21cn.com/tousu/show/id/1372440</t>
  </si>
  <si>
    <t>2019/10/18 19:45:58</t>
  </si>
  <si>
    <t>本人于19年10月4号在京东购买三星note10手机，京东给本人一个，，现在本人觉得三星手机不适合本人，本人跟京东协商退货问题，第一次京东客服告诉本人可以给本人办理退货退款的业务，本人给京东邮寄三星手机，之后被京东退回，京东告诉本人要在手机使用31-33天之后才能退货退款，本人告诉京东本人要出国回国时间预计在2020年，京东要本人自己想办法，本人跟京东多次协商无果，京东还骂本人有录音为证，在线客户截图为证。</t>
  </si>
  <si>
    <t>手机借钱多宝分期</t>
  </si>
  <si>
    <t>http://ts.21cn.com/tousu/show/id/1372439</t>
  </si>
  <si>
    <t>2019/10/18 19:44:29</t>
  </si>
  <si>
    <t>投诉人 王女士        投诉对象  利息太高还不上        涉诉金额  5 843 元    问题类型    诉求类型投诉详情  利息太高了 实在还不上 没钱还了 当时就借了3700需要还5843元 最后两期是在还不上了</t>
  </si>
  <si>
    <t>微信转了几次账就封了</t>
  </si>
  <si>
    <t>http://ts.21cn.com/tousu/show/id/1372438</t>
  </si>
  <si>
    <t>2019/10/18 19:42:17</t>
  </si>
  <si>
    <t>微信开通了小账本，转了两次帐就给我封了，也没有解释，申诉也不对我说。</t>
  </si>
  <si>
    <t>搜款网收货后不处理退款，原因是档口不给退现，但是货物并没有下架</t>
  </si>
  <si>
    <t>http://ts.21cn.com/tousu/show/id/1372436</t>
  </si>
  <si>
    <t>2019/10/18 19:41:48</t>
  </si>
  <si>
    <t>搜款网说明下架商品不予处理退货，但是这个款并没有下架，搜款网就说最终解释权在档口，档口说能退就退，说不能就不能，档口的服务也写着支持退现，搜款网这不是误导消费者吗。</t>
  </si>
  <si>
    <t>造艺科技扣款，请退款</t>
  </si>
  <si>
    <t>http://ts.21cn.com/tousu/show/id/1372435</t>
  </si>
  <si>
    <t>2019/10/18 19:40:50</t>
  </si>
  <si>
    <t>造艺科技扣款299，刚才投诉给我打电话说了几句就挂掉，然后还说我电话占线，你们能不能专业点啊，。</t>
  </si>
  <si>
    <t>短信轰炸通讯录</t>
  </si>
  <si>
    <t>http://ts.21cn.com/tousu/show/id/1372434</t>
  </si>
  <si>
    <t>2019/10/18 19:39:38</t>
  </si>
  <si>
    <t>短信轰炸我的通讯录，内容极其恶劣对我和我的家人造成伤害。</t>
  </si>
  <si>
    <t>要求中信银行赔偿</t>
  </si>
  <si>
    <t>http://ts.21cn.com/tousu/show/id/1372433</t>
  </si>
  <si>
    <t>2019/10/18 19:39:35</t>
  </si>
  <si>
    <t>要求做出道歉，要不会马上起诉中信银行，三日做出回复。</t>
  </si>
  <si>
    <t>相关部门监督</t>
  </si>
  <si>
    <t>http://ts.21cn.com/tousu/show/id/1372431</t>
  </si>
  <si>
    <t>2019/10/18 19:39:23</t>
  </si>
  <si>
    <t>投诉人 李女士        投诉对象  蟹老弟,小当家        涉诉金额  1 500 元    问题类型    诉求类型投诉详情  app无法登录 导致逾期 联系app客服 还款销账了 没有减免逾期费用</t>
  </si>
  <si>
    <t>还钱了分期乐还暴力催收</t>
  </si>
  <si>
    <t>http://ts.21cn.com/tousu/show/id/1372430</t>
  </si>
  <si>
    <t>2019/10/18 19:39:11</t>
  </si>
  <si>
    <t>本人借了分期乐高利贷，分期乐暴力催收太可怕了，我还钱了也爆我通讯录，骚扰我亲戚朋友，严重影响我的工作生活。</t>
  </si>
  <si>
    <t>山西省农业银行五台县支行五台山分理处无故拖延不解决贷款遗留问题</t>
  </si>
  <si>
    <t>http://ts.21cn.com/tousu/show/id/1372429</t>
  </si>
  <si>
    <t>2019/10/18 19:39:03</t>
  </si>
  <si>
    <t>2001.7.12-2003.7.12期间的房产抵押贷款，直至2019年期间无任何相关人员追溯债权！在农业银行系统也查不到任何相关贷款信息！于2019年八月底查询到房产有抵押状态的情况下，与山西省五台县农业银行支行五台山分理处协调查询希冀有贷款正常结清解除房产抵押状态等待处理至今，农行一直以各种错误信息拖延不给解决，让无限期等待！给95599客服投诉多次，亦没有结果！影响房屋交易合同进行，以致带来多方面很大损失！在此借平台曝光，解决问题！图片为房管局系统查询到的抵押状态，而银行系统无任何相关资料信息。</t>
  </si>
  <si>
    <t>乱收费，收费不合理</t>
  </si>
  <si>
    <t>http://ts.21cn.com/tousu/show/id/1372428</t>
  </si>
  <si>
    <t>2019/10/18 19:38:59</t>
  </si>
  <si>
    <t>投诉人 尹女士        投诉对象  闪银        涉诉金额  700 元    问题类型    诉求类型投诉详情  恶意收费，收费不合理，有高利贷嫌疑</t>
  </si>
  <si>
    <t>高利息，还收取很高的保费，问题就不解决，每天骚扰，客服也找不到</t>
  </si>
  <si>
    <t>http://ts.21cn.com/tousu/show/id/1372427</t>
  </si>
  <si>
    <t>2019/10/18 19:37:34</t>
  </si>
  <si>
    <t>高利息，还收取很高的保费，问题就不解决，每天骚扰，客服也找不到，要求去除保费，减免利率。</t>
  </si>
  <si>
    <t>京东白条已经还完，老是骚扰</t>
  </si>
  <si>
    <t>http://ts.21cn.com/tousu/show/id/1372426</t>
  </si>
  <si>
    <t>2019/10/18 19:36:03</t>
  </si>
  <si>
    <t>逾期了3个月以上，之后还完了，现在还在骚扰家人，请问你们京东要干什么，你们是侵犯别人隐私，如果下次再这样，我就报警处理，并让京东做出解释并道歉！。</t>
  </si>
  <si>
    <t>美利车贷高额利息</t>
  </si>
  <si>
    <t>http://ts.21cn.com/tousu/show/id/1372413</t>
  </si>
  <si>
    <t>2019/10/18 19:35:25</t>
  </si>
  <si>
    <t>我在2019年10月10号到武汉汉口北国际商品交易中心汽车城优信二手车网上商城三楼看上了艾瑞泽5&amp;nbsp;2016款26000公里汽车，本人有四万的预算购买汽车，打算全款购买，可是车行老板推荐我贷款分期购买，说是正规银行贷款，如果是正常的分期贷款也还好，我也能够按照分期购买下来，没想到噩梦才刚刚开始，很快车行老板联系到美利银行贷款人员并对我进行贷款，车价47000，我首付了15000元并在车行贷款两万，并在当天晚上在银行取出现金12000元交给车行老板提走车辆，也在当天晚上交了3798.51国寿保险，美利</t>
  </si>
  <si>
    <t>要求销账</t>
  </si>
  <si>
    <t>http://ts.21cn.com/tousu/show/id/1372425</t>
  </si>
  <si>
    <t>2019/10/18 19:34:43</t>
  </si>
  <si>
    <t>投诉人 孙先生        投诉对象  先花一亿元        涉诉金额  2 000 元    问题类型    诉求类型投诉详情  本人在先花一亿元贷2000砍头280 续期费用超过本金 要求销账处理</t>
  </si>
  <si>
    <t>退房房租迟迟不退，电话不接</t>
  </si>
  <si>
    <t>http://ts.21cn.com/tousu/show/id/1372424</t>
  </si>
  <si>
    <t>2019/10/18 19:34:42</t>
  </si>
  <si>
    <t>我在上海杨浦区合租的91公寓的房子，当时退房的时候说的是找到转租客就可以退押金和房租，说是国庆节假期过后七个工作日之内把款项打给我，上次打电话又说她去问财务说最近退房的人比较多所有租客都延迟最晚这周五、也就是2019年10月18号打钱，今天我又给他发信息说下午六点左右会打给我，六点过后快七点种我打电话给所谓的那个退房热线的电话，一直也不接，信息也不回！。</t>
  </si>
  <si>
    <t>爱又米催收被投诉，疯狂电话轰炸</t>
  </si>
  <si>
    <t>http://ts.21cn.com/tousu/show/id/1372423</t>
  </si>
  <si>
    <t>2019/10/18 19:34:28</t>
  </si>
  <si>
    <t>爱又米昨天被我投诉以后，催收疯狂电话轰炸，从早炸到晚，现在已经做到变态的程度，已经严重影响到我的生活，我作为合法公民，遭到了黑社会性质的恐吓威胁，希望该投诉平台能为我做主，还我一个公道。</t>
  </si>
  <si>
    <t>拍拍贷骚扰家人亲友</t>
  </si>
  <si>
    <t>http://ts.21cn.com/tousu/show/id/1372422</t>
  </si>
  <si>
    <t>2019/10/18 19:31:28</t>
  </si>
  <si>
    <t>拍拍贷非法监控手机窃取通话记录骚扰家人亲友给他们生活造成伤害。</t>
  </si>
  <si>
    <t>京东外包催收骚扰恐吓</t>
  </si>
  <si>
    <t>http://ts.21cn.com/tousu/show/id/1372421</t>
  </si>
  <si>
    <t>2019/10/18 19:31:13</t>
  </si>
  <si>
    <t>本人京东白条逾期，然后已经还上逾期金额，并且联系过京东客服，明确是按照账单还款的，我账单要下个月才需要还款，而京东外包催收公司要求我必须全额还款，并且向我所在村委会和公司以及住址发送催收函，影响我的生活，要求京东给出解释，并且我会继续想有关部门举报外包催收公司和京东金融。</t>
  </si>
  <si>
    <t>http://ts.21cn.com/tousu/show/id/1372420</t>
  </si>
  <si>
    <t>2019/10/18 19:30:41</t>
  </si>
  <si>
    <t>胡乱扣款，要求说明缘由，如不能给出理由，要求退款。</t>
  </si>
  <si>
    <t>捷信公司提前还款需要三个月的申请时间</t>
  </si>
  <si>
    <t>http://ts.21cn.com/tousu/show/id/1372419</t>
  </si>
  <si>
    <t>2019/10/18 19:30:01</t>
  </si>
  <si>
    <t>我妹妹之前在捷信公司分期办理过手机分期业务部，之后有捷信公司的员工给我妹妹打电话说我妹妹是优质客户可以在该公司办理分期，最高金额是5万使用三个月以后可以提前还款没有利息，就贷了5万，我妹妹本人是有轻微的抑郁症，倒是平时也都挺开朗，，没想到提前还款还需要3个月的提前申请单但是之前给她办理分期的人并没有说过这个问题，我拿着她手机看了一下所谓的等额本息5万块钱分45期需要支付的利息是四万多块钱，我希望通过投诉希望该公司可以重视一下这个事情。</t>
  </si>
  <si>
    <t>高利贷，暴利催款，曝光通讯录，砍头息，电话威胁</t>
  </si>
  <si>
    <t>http://ts.21cn.com/tousu/show/id/1372418</t>
  </si>
  <si>
    <t>2019/10/18 19:29:56</t>
  </si>
  <si>
    <t>1月25日签字，2018月1月30日放款，放款192720.80元，砍头息42720.80元，元，实际到手15万元，36期共还224520.12元，每个月还6236.67元，另外有一期押在华夏信财，在2019年10月9日华夏信财员工：周鑫星，亲口承认砍头息42720.80元，合同款192720.80元，一天不还利息就是300元，有微信和录音笔证明，发图片给家人，朋友，另在10月12日晚上华夏信财开始暴力催款，在10月13日下午举报当地公安局，10月14日去现场公安局报警：宁波市公安局鄞州分局东柳派出所，所有</t>
  </si>
  <si>
    <t>闪电借款高额砍头息</t>
  </si>
  <si>
    <t>http://ts.21cn.com/tousu/show/id/1372417</t>
  </si>
  <si>
    <t>2019/10/18 19:28:36</t>
  </si>
  <si>
    <t>本人在闪电借款借款1400元，周期50需要还1470，因债务危机逾期第一天，一天逾期费用63，和亲属借了500已经还上部分，第三次借款，望平台可以把逾期费减免，明天需要去山里打工挣钱几天时间回来把剩余结清，但手机没信号，今天联系多次客服要求工作人员协商还款，但始终没有回复，明天电话接不到，但不要随便拨打联系人。</t>
  </si>
  <si>
    <t>http://ts.21cn.com/tousu/show/id/1372415</t>
  </si>
  <si>
    <t>2019/10/18 19:27:49</t>
  </si>
  <si>
    <t>本人在钱站上借款3000元，到账3000元，可是在合同上却显示4200元，另外3000元分三期归还借款按照国家最高利息36%算，只要利息270元，可是我三期每期需要还1480元，面临最后一期还款，家徒四壁，只希望钱站能摸着良心来调整一下金额。</t>
  </si>
  <si>
    <t>http://ts.21cn.com/tousu/show/id/1372414</t>
  </si>
  <si>
    <t>2019/10/18 19:26:29</t>
  </si>
  <si>
    <t>投诉人 吴先生        投诉对象  云闪付,中国银联        涉诉金额  40 000 元    问题类型    诉求类型投诉详情  云闪付纵容网络赌博为网络赌博提供充值服务</t>
  </si>
  <si>
    <t>融360平台上及贷高利贷</t>
  </si>
  <si>
    <t>http://ts.21cn.com/tousu/show/id/1372412</t>
  </si>
  <si>
    <t>2019/10/18 19:26:13</t>
  </si>
  <si>
    <t>融360平台推荐的小贷公司及贷，本人于2018年11月借款9300元，利息和费用合计3399.79，利率已经超过国家规定最高标准，要求将年利率调整为24%。</t>
  </si>
  <si>
    <t>http://ts.21cn.com/tousu/show/id/1372411</t>
  </si>
  <si>
    <t>2019/10/18 19:24:53</t>
  </si>
  <si>
    <t>借贷宝平台借款1400元需要偿还2000元，且期限在7天之内，还款当天出借人威胁我要联系我家人朋友，希望平台能好好整治这种不符合国家利率的出借人，如果不能处理，本人将报警。</t>
  </si>
  <si>
    <t>招商银行催收骚扰</t>
  </si>
  <si>
    <t>http://ts.21cn.com/tousu/show/id/1372410</t>
  </si>
  <si>
    <t>2019/10/18 19:24:13</t>
  </si>
  <si>
    <t>我信用卡逾期，申请协商，但是催收老是不同意，还不停的打电话说你不还就会成为失信人什么的，因为电话啥都弄不好，已经严重影响到了我的生活，最近还不停的给我家里发短信，这也相当于在骚扰我的家人。</t>
  </si>
  <si>
    <t>诱导充值入会员</t>
  </si>
  <si>
    <t>http://ts.21cn.com/tousu/show/id/1372409</t>
  </si>
  <si>
    <t>2019/10/18 19:23:27</t>
  </si>
  <si>
    <t>以勾魂诱惑的手段欺骗消费者充值加入会员，加入会员后大尺度视频，app内无法截图，未能留下证据。</t>
  </si>
  <si>
    <t>360借条爆力骚扰家人</t>
  </si>
  <si>
    <t>http://ts.21cn.com/tousu/show/id/1372408</t>
  </si>
  <si>
    <t>2019/10/18 19:22:05</t>
  </si>
  <si>
    <t>360威胁骚扰也家人，并且确实骚扰家人了，打电话骂我父母，骂我婆婆，我老公和朋友都被他们一直骚扰。</t>
  </si>
  <si>
    <t>达飞云贷垃圾高利贷</t>
  </si>
  <si>
    <t>http://ts.21cn.com/tousu/show/id/1372407</t>
  </si>
  <si>
    <t>2019/10/18 19:21:58</t>
  </si>
  <si>
    <t>达飞云贷，高利贷，砍头息，软暴力催收，报通讯录，骚扰家人。</t>
  </si>
  <si>
    <t>诱导报名，拖延退款</t>
  </si>
  <si>
    <t>http://ts.21cn.com/tousu/show/id/1372406</t>
  </si>
  <si>
    <t>2019/10/18 19:21:32</t>
  </si>
  <si>
    <t>本人在2019年，7月28日11点多前去广州珠江新城了解华尔街英语，接待我的CC，于是我和顾问表明报名的事情不想这么仓促，毕竟还没有完全考虑好，30号晚上，我再一次前往公元前，当晚给我安排的是英语角，听了大致半个小时，CC要我进去办公室，于是又聊上了，到了晚上10多才离开，刚到家不久，晚上11点，珠江新城CC发微信，问我课程觉得如何，让我明天一定得要抓紧时间了，经过一番沟通，了解了情况之后她推荐了一个48000左右的学费，总共是8个级别的课程，当时没有想太多就表明了自己的预算，最多是在3W，她讲当时有一个暑</t>
  </si>
  <si>
    <t>现金巴士爆通讯录</t>
  </si>
  <si>
    <t>http://ts.21cn.com/tousu/show/id/1372405</t>
  </si>
  <si>
    <t>2019/10/18 19:21:16</t>
  </si>
  <si>
    <t>投诉人 王女士        投诉对象  现金巴士        涉诉金额  1 030 元    问题类型    诉求类型投诉详情  打电话爆通讯录 还不承认 态度恶劣 我没说不还 工资没开 我说延期两天都不行</t>
  </si>
  <si>
    <t>拍拍贷恶意催收，诽谤，辱骂</t>
  </si>
  <si>
    <t>http://ts.21cn.com/tousu/show/id/1372404</t>
  </si>
  <si>
    <t>2019/10/18 19:21:09</t>
  </si>
  <si>
    <t>拍拍贷恶意催收，之前不小心逾期了，后来也及时还上了，催收恶意打电话辱骂，跟我朋友说我涉嫌诈骗，对我名声造成伤害必须道歉，作出处罚！。</t>
  </si>
  <si>
    <t>微博借款恶意催收</t>
  </si>
  <si>
    <t>http://ts.21cn.com/tousu/show/id/1372403</t>
  </si>
  <si>
    <t>2019/10/18 19:20:52</t>
  </si>
  <si>
    <t>因为我个人原因资金周转不开，故在微博APP上搜到了微博借钱，故因此借了两笔，一笔4400一笔2000，无奈自己花的快，很快入不敷出，造成欠债还不上，最近几天客服加我微信催债，打电话骚扰，骚扰我的家人，电话一个接一个，恶意催收，我逾期了几天不满一周，一共被逼的无奈还了1000，客服态度差，恶言相向，还打电话给我的父母，甚至加我父母微信，我想问问，借款人的信息是怎么泄露的，家庭成员甚至都被牵连其中，我想请你们帮忙介入下，贷款利率最高是24%吧，这个估计超了。</t>
  </si>
  <si>
    <t>小米金融非法读取并骚扰手机通讯录联系人</t>
  </si>
  <si>
    <t>http://ts.21cn.com/tousu/show/id/1372402</t>
  </si>
  <si>
    <t>2019/10/18 19:19:16</t>
  </si>
  <si>
    <t>本人名字叫祖子捷，是娄迎东的朋友，但是小米金融的催收却非法联系我的通讯录好友数名，并且发送他的个人信息。</t>
  </si>
  <si>
    <t>支付宝来分期负面记录</t>
  </si>
  <si>
    <t>http://ts.21cn.com/tousu/show/id/1372401</t>
  </si>
  <si>
    <t>2019/10/18 19:18:33</t>
  </si>
  <si>
    <t>支付宝芝麻信用有来分期负面记录，可是我已经在2017年均已还清所有欠款，莫名其妙多了一个负面，影响芝麻信用长达2年时间，希望平台能快速处理，给我一个合理解释，恢复我的芝麻信用。</t>
  </si>
  <si>
    <t>光大信用卡一次性收手续费</t>
  </si>
  <si>
    <t>http://ts.21cn.com/tousu/show/id/1372400</t>
  </si>
  <si>
    <t>2019/10/18 19:18:19</t>
  </si>
  <si>
    <t>光大信用卡用了这么多年分期都不知道一次性收入手续费用的，搞得我现在想一次性偿还省点费用都难，意思这钱花也得花不花也得花，以前过去的就不申请了，我现在就想把我剩下没还的手续费产生的费要求给我退回处理，这样搞得我家破人亡，赚点钱养不了孩子，都还利息了，请批准光大信用卡给我一条生路，用了好几年。</t>
  </si>
  <si>
    <t>客服不处理</t>
  </si>
  <si>
    <t>http://ts.21cn.com/tousu/show/id/1372397</t>
  </si>
  <si>
    <t>2019/10/18 19:15:37</t>
  </si>
  <si>
    <t>闪银借款1100，一个月需还1133还有什么征信费，必须买他们的东西扣了大概182，砍头息，问客服，不处理。</t>
  </si>
  <si>
    <t>http://ts.21cn.com/tousu/show/id/1372396</t>
  </si>
  <si>
    <t>2019/10/18 19:14:31</t>
  </si>
  <si>
    <t>我招联有逾期5天！去年身遭变故，今年工作又不稳定！到现在八九份工资还没拿到！十月11号老板通知解散！老板还没出面让一个助理出来说的，工作拖着的，更不要说赔偿问题了，没办法我们16号去劳动仲裁报案了！希望政府能给我们解决！这些都跟招联人员解释了，希望宽限几天！今天开始恐吓我！说要通知我的亲戚朋友让他们协助我还款，还要来我村委会！说造成的一切后果我承担！哪个王八蛋真的爆了我的通讯录，这个畜牲太缺德了，有种你就来我这里，不是太困难了，会跟你们扯这么多吗。</t>
  </si>
  <si>
    <t>未经同意被扣款，要求退款</t>
  </si>
  <si>
    <t>http://ts.21cn.com/tousu/show/id/1372395</t>
  </si>
  <si>
    <t>2019/10/18 19:14:21</t>
  </si>
  <si>
    <t>我下载了情人花aqq，填写验证码后立刻就被无故扣款。</t>
  </si>
  <si>
    <t>暴力催收，骚扰亲戚朋友</t>
  </si>
  <si>
    <t>http://ts.21cn.com/tousu/show/id/1372392</t>
  </si>
  <si>
    <t>2019/10/18 19:13:23</t>
  </si>
  <si>
    <t>本人确实现在家庭经济困难，也清楚欠钱要还的道理，但是我不是不还，而是暂时无能力还，希望宽限几天，但是催收人员以爆我通讯录威胁我还款，我希望可以协商还款，协商还款时间，但是催收人员拒绝协商，威胁我电话已经搜出来了，要打电话给通讯录，本人家庭确实困难，如果不是发生事情，还有老人身体不好需要照顾，希望可以协商还款时间。</t>
  </si>
  <si>
    <t>拼多多活动提示微信助力随机金额红包，所有金额都是0.01元</t>
  </si>
  <si>
    <t>http://ts.21cn.com/tousu/show/id/1372393</t>
  </si>
  <si>
    <t>2019/10/18 19:13:18</t>
  </si>
  <si>
    <t>多多中天天领红包活动微信助力红包金额都是0.01元，找客服反映，客服就说系统随机的，随机你能全是0.01元，在打款晒单一项中可以看到他们邀请好友都不超过10人，我这边邀请了近50人了，一直都一分钱，早上活动初始金额196.4，一直邀请50人帮忙助力还是凑不够他最低提现标准200.要求赔偿200元虚假活动损失，还有联系50个亲朋好友的电话费，误解损失200，误工费200，共计600。</t>
  </si>
  <si>
    <t>拍拍贷爆我通讯录，毁我名誉</t>
  </si>
  <si>
    <t>http://ts.21cn.com/tousu/show/id/1372391</t>
  </si>
  <si>
    <t>2019/10/18 19:13:05</t>
  </si>
  <si>
    <t>因母亲突发脑溢血偏瘫，急需用钱，看到推送的拍拍贷手机广告，就下载并借款，逾期一星期，我多次主动打电话给平台协商，恳求他们别再打电话到我单位，还有的我的朋友家人，承诺月底一次性连本带息返还，他们还是威胁今天不还依旧会接着打电话骚扰，每天从早到晚的打，甚至我通讯录里的三叔都被通知到了，我很害怕，现在所有同事，朋友家人都知道了，我很痛苦，我承诺了月底才能结清，他们不听，一些记录看着害怕我删了，只留了一点。</t>
  </si>
  <si>
    <t>拼多多平台为网络赌博提供充值服务要求退款</t>
  </si>
  <si>
    <t>http://ts.21cn.com/tousu/show/id/1372390</t>
  </si>
  <si>
    <t>2019/10/18 19:11:51</t>
  </si>
  <si>
    <t>投诉人 吴先生        投诉对象  拼多多        涉诉金额  2 500 元    问题类型    诉求类型投诉详情  拼多多纵容网络赌博 为网络赌博提供充值服务</t>
  </si>
  <si>
    <t>玖富万卡取消贷款申请，不退工本费和交的其他费用</t>
  </si>
  <si>
    <t>http://ts.21cn.com/tousu/show/id/1372389</t>
  </si>
  <si>
    <t>2019/10/18 19:11:46</t>
  </si>
  <si>
    <t>我10月18日在玖富万卡平台申请借款3万元，平台客服先以交工本费为由要求转账900元，后又称银行账号错误，修改银行卡账号为由为其转帐4500元，共计5400元，后仍提示借款失败，以交商业保险为由让再为其转账6000元，我感觉不靠谱，申请取消借款，但之前交的5400元他们平台各种理由不给退，在网上看到很多关于玖富万卡的投诉，希望我的5400元能追回。</t>
  </si>
  <si>
    <t>高炮高利贷，收取高额利息</t>
  </si>
  <si>
    <t>http://ts.21cn.com/tousu/show/id/1372388</t>
  </si>
  <si>
    <t>2019/10/18 19:11:38</t>
  </si>
  <si>
    <t>太坑人了，根本就没明白怎么收取那么高利息，我希望只还国家规定的利益和到账的金额，也希望贵平台能帮助更近，在国家严厉监管的时候为啥还有这种放款公司收取高额的利益！！。</t>
  </si>
  <si>
    <t>暴力催收、高利贷、骚扰、盗取用户信息、客服不处理/处理不当</t>
  </si>
  <si>
    <t>http://ts.21cn.com/tousu/show/id/1372387</t>
  </si>
  <si>
    <t>2019/10/18 19:10:50</t>
  </si>
  <si>
    <t>因个人资金问题，逾期共6天，可我一直积极跟客服协商还款时间，并承诺今日还款，但客服在我约定的还款日早上就开始不依不饶的非要交给催收部爆我通讯录联系人，态度恶劣，完全不讲道理。</t>
  </si>
  <si>
    <t>高利贷高利息，逾期一天利息就100块钱，还打电话带有威胁性</t>
  </si>
  <si>
    <t>http://ts.21cn.com/tousu/show/id/1372386</t>
  </si>
  <si>
    <t>2019/10/18 19:10:39</t>
  </si>
  <si>
    <t>高利贷高利息，逾期一天电话爆打不停，还带有电威胁性，还说是大公司，逾期一天利息就100元。</t>
  </si>
  <si>
    <t>上海拍拍贷冒充公检法发送文件给客户第三方</t>
  </si>
  <si>
    <t>http://ts.21cn.com/tousu/show/id/1372385</t>
  </si>
  <si>
    <t>拍拍冒充公检法发文件骚扰第三方，要求该公司给第三方道歉。</t>
  </si>
  <si>
    <t>微信转账，不明收款方为36****************2、36****************9，后转账卡被其盗刷。</t>
  </si>
  <si>
    <t>http://ts.21cn.com/tousu/show/id/1372383</t>
  </si>
  <si>
    <t>2019/10/18 19:09:31</t>
  </si>
  <si>
    <t>9月11日，朋友通过微信给我转账，分别将工商银行内40000元、30000元转账给hd19800220，但是显示被不明收款账号36****************2、36****************9收取，其后，自2018年1月30日起，朋友的微信支付银行先后多次被不明账号36****************2、36****************9盗刷，每次金额不等，截至2019年10月16日涉及金额5865元。</t>
  </si>
  <si>
    <t>360借条高利贷</t>
  </si>
  <si>
    <t>http://ts.21cn.com/tousu/show/id/1372382</t>
  </si>
  <si>
    <t>2019/10/18 19:09:09</t>
  </si>
  <si>
    <t>本人在360借条借款5300元，，高利贷，不于协商。</t>
  </si>
  <si>
    <t>圆通快递不解决售后</t>
  </si>
  <si>
    <t>http://ts.21cn.com/tousu/show/id/1372373</t>
  </si>
  <si>
    <t>2019/10/18 19:08:47</t>
  </si>
  <si>
    <t>一个快递2个相同单号，客户收到的空包裹，怀疑在快递物流期间快递丢了，圆通快递打印相同单号，派送给客户。</t>
  </si>
  <si>
    <t>http://ts.21cn.com/tousu/show/id/1372378</t>
  </si>
  <si>
    <t>2019/10/18 19:08:06</t>
  </si>
  <si>
    <t>投诉人林先生投诉对象钱站涉诉金额4470元问题类型诉求类型投诉详情高利贷阴阳合同。</t>
  </si>
  <si>
    <t>百事普惠恶意扣款</t>
  </si>
  <si>
    <t>http://ts.21cn.com/tousu/show/id/1372381</t>
  </si>
  <si>
    <t>2019/10/18 19:07:06</t>
  </si>
  <si>
    <t>百事普惠恶意扣款299，造艺科技请求退款，谢谢聚投诉。</t>
  </si>
  <si>
    <t>遭到银行恐吓催收</t>
  </si>
  <si>
    <t>http://ts.21cn.com/tousu/show/id/1372380</t>
  </si>
  <si>
    <t>2019/10/18 19:06:46</t>
  </si>
  <si>
    <t>投诉人廖华兰投诉对象浦发信用卡涉诉金额55000元问题类型诉求类型投诉详情本人于去年办理一张浦发银行信用卡，但是八月有家庭原因自己的资金链断裂现在无法偿还信用卡，可能逾期的期间本人一直是有钱就还有钱就还还了四五笔还款，期间打电话跟银行沟通可是银行一直交给外包催收公司处理，可是外包公司一直以恐吓威胁咄咄相逼的态度处理，一天几十个电话导致现在电话不敢开机生活严重受到影响。</t>
  </si>
  <si>
    <t>光大银行股用催款员催款</t>
  </si>
  <si>
    <t>http://ts.21cn.com/tousu/show/id/1372379</t>
  </si>
  <si>
    <t>2019/10/18 19:06:26</t>
  </si>
  <si>
    <t>因本人，欠款光大银行，因此，光大银行，雇佣网贷催收员，暴力，恐吓催收，还骚扰我的家人朋友，现再说明，不要在让外带催收员，给我家人和朋友打电话，作为，我个人，我欠的钱，会一份不少的偿还给你们，但是我希望给我时间，还有，不要在给我的家人和朋友打电话，否则，我会继续像更高级，投诉。</t>
  </si>
  <si>
    <t>招商信用卡违约金和利息</t>
  </si>
  <si>
    <t>http://ts.21cn.com/tousu/show/id/1372377</t>
  </si>
  <si>
    <t>2019/10/18 19:05:53</t>
  </si>
  <si>
    <t>在招商信用卡银行一直使用，也做了很多的分期，有一个星期周转不开需要还16000，我只还了6000，剩下一万块就给我整出来了手续费和循环利息，加一起1000多块钱，一个星期，让我对此招商信用卡失望，一个星期扣了我这么多钱，并且在一个星期我全额还款了，还收取我钱，一点人情不讲，投诉并且申诉退款我这二笔费用违约金和循环利息。</t>
  </si>
  <si>
    <t>假冒伪劣产品</t>
  </si>
  <si>
    <t>http://ts.21cn.com/tousu/show/id/1372376</t>
  </si>
  <si>
    <t>2019/10/18 19:05:37</t>
  </si>
  <si>
    <t>由于公司外贸业务所需，购买了对方的路由器VIP，说是第一年700元，第二年续费250元，汇款过去以后，对方也给安装路由器VIP，但是只用了一个月就不能继续使用了，多次与对方沟通无果，后来根本不回信息。</t>
  </si>
  <si>
    <t>超过国家规定利息收费</t>
  </si>
  <si>
    <t>http://ts.21cn.com/tousu/show/id/1372374</t>
  </si>
  <si>
    <t>2019/10/18 19:03:32</t>
  </si>
  <si>
    <t>今天直接从我的建设银行卡扣去5066.38元而我只欠他们本金2366.38元。</t>
  </si>
  <si>
    <t>未经本人同意私自扣款审核费</t>
  </si>
  <si>
    <t>http://ts.21cn.com/tousu/show/id/1372372</t>
  </si>
  <si>
    <t>2019/10/18 19:02:44</t>
  </si>
  <si>
    <t>在本人未同意的情况下，私自扣除绑定银行卡里的钱。</t>
  </si>
  <si>
    <t>中信银行恶意催收，爆通讯录</t>
  </si>
  <si>
    <t>http://ts.21cn.com/tousu/show/id/1372370</t>
  </si>
  <si>
    <t>2019/10/18 19:01:25</t>
  </si>
  <si>
    <t>恶意骚扰通讯录，恶意恐吓，自称是法院律师，不断的骚扰亲朋好友，对亲朋好友进行恐吓。</t>
  </si>
  <si>
    <t>在未确认借款时直接进入放款</t>
  </si>
  <si>
    <t>http://ts.21cn.com/tousu/show/id/1372369</t>
  </si>
  <si>
    <t>2019/10/18 19:01:23</t>
  </si>
  <si>
    <t>在没确认审核直接放款，在不想借的情况下，返回的的过程中，没有第二次确认借款时，直接进入放款，由于本人以为返回退出完结了，第二天中午直接到账，现要求扣除会员费及利息，归还本金。</t>
  </si>
  <si>
    <t>马上金融暴力催收</t>
  </si>
  <si>
    <t>http://ts.21cn.com/tousu/show/id/1372368</t>
  </si>
  <si>
    <t>2019/10/18 19:00:06</t>
  </si>
  <si>
    <t>马上金融公司给朋友，家人p图，侮辱名誉，身份证跟个人照片都发了。</t>
  </si>
  <si>
    <t>天猫商家蟹卡不发货</t>
  </si>
  <si>
    <t>http://ts.21cn.com/tousu/show/id/1372322</t>
  </si>
  <si>
    <t>2019/10/18 18:59:53</t>
  </si>
  <si>
    <t>投诉人严先生投诉对象天猫商城,淘宝网涉诉金额268元问题类型诉求类型投诉详情天猫商家已预售大闸蟹蟹卡的方式欺骗客户，预售的蟹卡跟本就无法提货，然后也联系不上商家，也拒不退款，天猫也不处理商家。</t>
  </si>
  <si>
    <t>恶意骚扰，停止骚扰</t>
  </si>
  <si>
    <t>http://ts.21cn.com/tousu/show/id/1372367</t>
  </si>
  <si>
    <t>2019/10/18 18:59:49</t>
  </si>
  <si>
    <t>骚扰以前公司座机长达10多天，停止骚扰，并提供骚扰人信息以备报警处理。</t>
  </si>
  <si>
    <t>360借条，骚扰我通讯录好友</t>
  </si>
  <si>
    <t>http://ts.21cn.com/tousu/show/id/1372366</t>
  </si>
  <si>
    <t>2019/10/18 18:57:29</t>
  </si>
  <si>
    <t>因工资拖欠出现逾期，本人多次与客服说明情况，20号工资一发解决欠款问题，这两天陆续接到通讯录好友电话，在本人能联系上的情况下，平台骚扰我通讯录好友，已严重违反法律规定，希望360借款平台给个合理的解释并作出名誉赔偿。</t>
  </si>
  <si>
    <t>投诉豹子贷无故扣款</t>
  </si>
  <si>
    <t>http://ts.21cn.com/tousu/show/id/1372365</t>
  </si>
  <si>
    <t>2019/10/18 18:56:41</t>
  </si>
  <si>
    <t>我曾在豹子贷平台上申请过贷款，但是没有通过，我就把它卸载了，后来竟然银行卡里的钱竟然被无故扣了298元，我申请他们给我退款。</t>
  </si>
  <si>
    <t>樱桃小借自己问题还款逾期收取高额逾期费</t>
  </si>
  <si>
    <t>http://ts.21cn.com/tousu/show/id/1372364</t>
  </si>
  <si>
    <t>2019/10/18 18:56:22</t>
  </si>
  <si>
    <t>支付宝还款樱桃小借工作人员没有登账造成逾期，并产生高额逾期费用，我不愿意承担逾期费用，还给我亲友同事打骚扰电话。</t>
  </si>
  <si>
    <t>联通公司收取个人身份证复印件未协助进行业务处理</t>
  </si>
  <si>
    <t>http://ts.21cn.com/tousu/show/id/1372363</t>
  </si>
  <si>
    <t>2019/10/18 18:55:56</t>
  </si>
  <si>
    <t>卡片为朋友身份证办理并用朋友身份证实名认证，已按客服咨询结果，2013年11月份本人带上本人身份证复印件到营业厅进行更换机主业务办理，工作人员撑已更换成功，截止当前仍在朋友名下，请问，当时收取了复印件并告知处理成功是什么情况，联系客服投诉，客服让我提供当时底单号，所以，每一次处理，消费者都必须把所有的底单号保留否则就投诉处理无门。</t>
  </si>
  <si>
    <t>贵州省遵义市湘江投资不交房也不退钱</t>
  </si>
  <si>
    <t>http://ts.21cn.com/tousu/show/id/1372362</t>
  </si>
  <si>
    <t>2019/10/18 18:55:26</t>
  </si>
  <si>
    <t>贵州省遵义市湘江投资不交房也不退钱！未履行合同，欺骗消费者。</t>
  </si>
  <si>
    <t>普惠快信贷款年利率百分之60</t>
  </si>
  <si>
    <t>http://ts.21cn.com/tousu/show/id/1372361</t>
  </si>
  <si>
    <t>2019/10/18 18:55:17</t>
  </si>
  <si>
    <t>投诉人 张先生        投诉对象  深圳普惠快信        涉诉金额  12 000 元    问题类型    诉求类型投诉详情  我媳妇儿贷了个款 12000本金 分24期 每个月还860总共还20640 利息8640 完全超过国家利率 要求降低利率 降低到年利率百分之24 如果不降低 会像最高人民法院提起诉讼 请联系我 不要联系我媳妇儿 176******00</t>
  </si>
  <si>
    <t>渤海银行天津成都分行违规结算</t>
  </si>
  <si>
    <t>http://ts.21cn.com/tousu/show/id/1371301</t>
  </si>
  <si>
    <t>2019/10/18 18:54:42</t>
  </si>
  <si>
    <t>非法期货现货平台害了多少人，国家要重视，渤海银行公司给现货交易所提供资金接口，渤海银行有一定的责任，本人：于2019年2月至2019年8月之间，从本人招商银行卡，在2019年2月接触到“原油外汇期货买卖”这一业务，易游电子商务声称是得到工商局批准、持有发改委批文的期货买卖公司，根据于胡涛对接的业务员介绍，渤海银行是专门负责易游电子商务做原油期货的资金托管公司，用户资金都将转入渤海银行以保证资金安全，出金方式均有渤海银行代付，八月平台封了我的账号至今有140万没有提现，客服人员说我的资金都给了银行当做服务费了</t>
  </si>
  <si>
    <t>快递丢失</t>
  </si>
  <si>
    <t>http://ts.21cn.com/tousu/show/id/1372360</t>
  </si>
  <si>
    <t>2019/10/18 18:53:55</t>
  </si>
  <si>
    <t>本人于20190930日在广州市白云区发出百世快递71626665367896，1件针织衫，1件衬衫商品价值2000元左右，在本人回来后去街上拿快递发现没有这个包裹，本人联系快递站点客服QQ查件核实包裹状态，多日无结果，还通过短信告知我的件是虚假物流本人投诉到市政12345多日后快递才联系我说丢失了，致电95320官方总部只愿意赔偿我200元，且快递官网不显示物流状态，未履行快递责任！，本人对快递处理方式不认可，且要求快递公司赔偿本人衣物或等值金额款项~。</t>
  </si>
  <si>
    <t>贷上钱高利贷恶心恐吓催收</t>
  </si>
  <si>
    <t>http://ts.21cn.com/tousu/show/id/1372357</t>
  </si>
  <si>
    <t>2019/10/18 18:53:27</t>
  </si>
  <si>
    <t>因本人上夜班白天没有及时的接到电话，该平台就擅自给我家人打电话不断的进行骚扰恐吓，导致本人不能安心生活工作。</t>
  </si>
  <si>
    <t>协商违约金建设银行客服一直打太极不处理问题</t>
  </si>
  <si>
    <t>http://ts.21cn.com/tousu/show/id/1372359</t>
  </si>
  <si>
    <t>2019/10/18 18:53:26</t>
  </si>
  <si>
    <t>14日致电建设银行信用卡客服协商违约金问题，过长为由说查不到，然后我再三坚持下又说能查要五个工作日，当晚再次致电客服只说查账单又可以查了。</t>
  </si>
  <si>
    <t>宝付支付资金提取</t>
  </si>
  <si>
    <t>http://ts.21cn.com/tousu/show/id/1368590</t>
  </si>
  <si>
    <t>2019/10/18 18:53:01</t>
  </si>
  <si>
    <t>本人在my钱包申请借款，审核成功，由宝付支付打款，到时4次打款失败，联系my钱包客服，客服说宝付支付拦截资金，让我的借款无法到账，资金无法提取，联系宝付支付客服，说无法查询，无法给我处理！影响我正常资金周转，现要求宝付立即处理，否则我将采取维权手段！。</t>
  </si>
  <si>
    <t>还款失败</t>
  </si>
  <si>
    <t>http://ts.21cn.com/tousu/show/id/1372356</t>
  </si>
  <si>
    <t>2019/10/18 18:52:50</t>
  </si>
  <si>
    <t>投诉人 陈先生        投诉对象  豹子贷,银码头        涉诉金额  530 元    问题类型    诉求类型投诉详情  豹子贷app还款点击还款还不进去 请尽快处理</t>
  </si>
  <si>
    <t>期待合伙人爆通讯录，高利贷</t>
  </si>
  <si>
    <t>http://ts.21cn.com/tousu/show/id/1372355</t>
  </si>
  <si>
    <t>2019/10/18 18:52:45</t>
  </si>
  <si>
    <t>本人于2017年6月被期待合伙人业务员推荐下载该平台软件，后因资金问题向该平台借款20000后期陆续借款并还款，每次借款都被扣除手续费，自己加速包服务费，但是想着欠债还钱应该的，谁让自己用了，就一直再还，2019年我丈夫车祸导致右腿没知觉没有劳动能力，我家还有一个十个月的孩子，所以导致贷款逾期，和期待合伙人业务员协商减轻利息，分期还款，遭到拒绝，还给我家姑姑打电话说我欠医院钱让去还，还给父母打电话，各种骚扰，我就想知道谁给他们的权利骚扰我家人，我也说过我不是不还，实在是家里出现问题了，期待合伙人一点也不通融</t>
  </si>
  <si>
    <t>百合网广州珠江新城高德置地店金诺公司霸王条款，主体变更世纪佳缘不同意直接取消资料不退款</t>
  </si>
  <si>
    <t>http://ts.21cn.com/tousu/show/id/1372354</t>
  </si>
  <si>
    <t>2019/10/18 18:52:19</t>
  </si>
  <si>
    <t>前两日收到原百合网广州珠江新城高德置地店金诺公司通知，说公司已经变更为世纪佳缘，叫我转合同，我不同意，他们就说关闭我的资料，说他们现在是世纪佳缘退费找百合去。</t>
  </si>
  <si>
    <t>取款失败</t>
  </si>
  <si>
    <t>http://ts.21cn.com/tousu/show/id/1372353</t>
  </si>
  <si>
    <t>2019/10/18 18:51:48</t>
  </si>
  <si>
    <t>充值了不给提现，说我套利，不给提现，只求充值的反回。</t>
  </si>
  <si>
    <t>贷上钱暴力催收，高利贷</t>
  </si>
  <si>
    <t>http://ts.21cn.com/tousu/show/id/1372351</t>
  </si>
  <si>
    <t>2019/10/18 18:50:06</t>
  </si>
  <si>
    <t>现在还暴力威胁我，起诉我，已经微信私下还款了。</t>
  </si>
  <si>
    <t>微信支付转钱被永久冻结，钱取不出来了</t>
  </si>
  <si>
    <t>http://ts.21cn.com/tousu/show/id/1372350</t>
  </si>
  <si>
    <t>2019/10/18 18:49:12</t>
  </si>
  <si>
    <t>做微商转钱给我，这还是第一次，就直接说微信支付永久冻结了，我什么也没干啊，里面钱也不让我取出来了，我要求暂时恢复微信支付让我把钱取出来，不然不是坑钱啊，也没干什么坏事。</t>
  </si>
  <si>
    <t>高利贷，暴利催款，曝光通讯录，砍头息，发短信向恶骂我，以我的身份给家人和朋友</t>
  </si>
  <si>
    <t>http://ts.21cn.com/tousu/show/id/1372349</t>
  </si>
  <si>
    <t>2019/10/18 18:47:12</t>
  </si>
  <si>
    <t>叉叉ipa精灵不退款,退款难</t>
  </si>
  <si>
    <t>http://ts.21cn.com/tousu/show/id/1372347</t>
  </si>
  <si>
    <t>2019/10/18 18:46:49</t>
  </si>
  <si>
    <t>叉叉IPA精灵,叉叉助手,广州游顺网络科技有限公司，于本年3月7日在叉叉平台购买碧蓝航线小鱼干永久脚本，花费290元，现平台整改，无法继续履约，希望尽快退还所得，多谢。</t>
  </si>
  <si>
    <t>小赢卡贷爆通讯录，威胁恐吓</t>
  </si>
  <si>
    <t>http://ts.21cn.com/tousu/show/id/1372346</t>
  </si>
  <si>
    <t>2019/10/18 18:46:46</t>
  </si>
  <si>
    <t>之前投诉过，为什么我没有同意结案，现在上面连记录都没有了，实际到账22000，总的要还32900，已还28600，之前跟他们协商剩下的分期还，他们态度坚决不可以，叫我去抢劫，投都要把钱还了，打电话威胁我家人，爆我通讯录，就这样的平台我无语，去年投诉的记录没同意结案呢，怎么就连个记录都没有，希望小赢卡贷公司道歉，结清贷款，要不然我就是不吃不喝也要告你们，之前的证据我也都留着，别想通过时间来翻旧账，操作国家标准的利率是绝对不会还的，恐吓威胁我家人跟朋友，已经对我个人生活造成损害，希望做出道歉并结清高额利息。</t>
  </si>
  <si>
    <t>平安银行冒充法院的</t>
  </si>
  <si>
    <t>http://ts.21cn.com/tousu/show/id/1372348</t>
  </si>
  <si>
    <t>2019/10/18 18:46:40</t>
  </si>
  <si>
    <t>图片中166******84是平安银行用的网络电话，第一次通话说他们是深圳广荣律师事务所的律师，最后我又给他们打回去是他们又说是银行的工作人员，我80多岁的爷爷因为这是激动脑出血现在在住院中。</t>
  </si>
  <si>
    <t>乐伽公寓涉嫌欺诈</t>
  </si>
  <si>
    <t>http://ts.21cn.com/tousu/show/id/1372345</t>
  </si>
  <si>
    <t>2019/10/18 18:46:34</t>
  </si>
  <si>
    <t>投诉人陈女士投诉对象天津励诚商业管理有限公司涉诉金额6000元问题类型诉求类型投诉详情2019年7月15号租的天津市河东区泰兴南路临池里12号楼1门403，租期6个月，付款方式6个的房租1个月的押金，当天一次性付清，但是，2019年10月16号房东主动联系我，说乐伽没给他打房租，要强制收回房子请求帮助，谢谢。</t>
  </si>
  <si>
    <t>小象优品恶意骚扰通讯录联系人态度恶劣</t>
  </si>
  <si>
    <t>http://ts.21cn.com/tousu/show/id/1372344</t>
  </si>
  <si>
    <t>2019/10/18 18:46:09</t>
  </si>
  <si>
    <t>款项放出前收取砍头息服务费，还款利率太高，已经高出国家最高范围，而且预期之后，昨天疯狂拨打借贷人通讯录上家人朋友电话，几分钟一个电话，已经对借贷人和家人朋友造成了很多负面影响，今天处理结果刚出来，又疯狂打通讯录电话态度恶劣，出言不逊，此次事件如投诉处理不合理，借贷人不排除搜集证据报警，向互联网金融协会和银监会投诉，要一个合理的说法！。</t>
  </si>
  <si>
    <t>莫名其妙易宝扣费</t>
  </si>
  <si>
    <t>http://ts.21cn.com/tousu/show/id/1372342</t>
  </si>
  <si>
    <t>2019/10/18 18:45:50</t>
  </si>
  <si>
    <t>投诉人魏先生投诉对象涉诉金额158元问题类型诉求类型投诉详情早上七点多莫名其妙扣费绝对不是自己个人消费我很怀疑用什么方法支付的我密码都没输过现在想想特别恐怖。</t>
  </si>
  <si>
    <t>拖欠尾款不支付</t>
  </si>
  <si>
    <t>http://ts.21cn.com/tousu/show/id/1372341</t>
  </si>
  <si>
    <t>2019/10/18 18:45:40</t>
  </si>
  <si>
    <t>投诉人何先生投诉对象南京车置宝网络技术有限公司涉诉金额20400元问题类型诉求类型投诉详情合同声明车辆过户一天后，退车辆尾款20%.已经逾期两天，尾款至今没有到账，违反合同相关条例。</t>
  </si>
  <si>
    <t>友信普惠阴阳合同砍头息高利贷坑人不解决问题</t>
  </si>
  <si>
    <t>http://ts.21cn.com/tousu/show/id/1372340</t>
  </si>
  <si>
    <t>2019/10/18 18:44:53</t>
  </si>
  <si>
    <t>我的孩子是友信普惠的受害者，合同金额和实际到账金额不符，贷10万元，说是合同上14万多元，实际到手10万元，分36期每期还4660.01元，阴阳合同，砍头息，服务费，手续费，高利贷等等高得离谱，由于各种收费太高，加之个人经济出现紧张状况，致使还款逾期，逾期利息更是高得惊人，于2018年11月逾期40天时，累计欠款是12856.96元，平台坚持短信和电话催收，中途尚无累计欠款信息通知，直到2019年7月20日累计欠款信息通知来了，7月20日累计欠款116218.30元；8月20日累计欠款134737.19元；</t>
  </si>
  <si>
    <t>马上消费金融</t>
  </si>
  <si>
    <t>http://ts.21cn.com/tousu/show/id/1372338</t>
  </si>
  <si>
    <t>2019/10/18 18:44:27</t>
  </si>
  <si>
    <t>不明电话短信恐吓，威胁！马上消费金融通过第三方催收准备威胁家人！。</t>
  </si>
  <si>
    <t>威胁恐吓，制造虚假信息</t>
  </si>
  <si>
    <t>http://ts.21cn.com/tousu/show/id/1372337</t>
  </si>
  <si>
    <t>2019/10/18 18:44:09</t>
  </si>
  <si>
    <t>威胁，恐吓，还侮辱，伪造假律师文件，金额写的什么呢，总共才多少，给我写14000，这是算什么东西，各种电话骚扰我的亲戚，停止骚扰，停止威胁恐吓，如果你一直骚扰，那走法律程序。</t>
  </si>
  <si>
    <t>http://ts.21cn.com/tousu/show/id/1372336</t>
  </si>
  <si>
    <t>2019/10/18 18:43:57</t>
  </si>
  <si>
    <t>我在平安普惠i贷贷的款，现在还剩一万多没还，以前我都没看直接在卡里扣，今天我登上app查看每期都有个保险费和服务费，费用还很高！这不是坑害消费者么，这期我没还款，当天就骚扰我的联系人！要求官方给出解释！退回多收取的保险费和服务费！！。</t>
  </si>
  <si>
    <t>贷上钱以购买商城高额虚拟权益产品名义收取高额砍头息</t>
  </si>
  <si>
    <t>http://ts.21cn.com/tousu/show/id/1372335</t>
  </si>
  <si>
    <t>2019/10/18 18:43:43</t>
  </si>
  <si>
    <t>本人在贷上钱不是第一次借款,借过多次,每次短则7天,长则30天,周利率或月利率均达到36%,之前多次周转都还上了那样的高额砍头息,但是9月13号借的2500元,10月13号是还款日,要我还款3335，,但是由于工作原因离职两个月,10月13号不能还钱,贷上钱就暴力催收,电话骚扰我就算了,还打到我父母,我姐,我朋友以及同学那里,对我的个人生活以及亲朋好友造成了极其恶劣的影响,今天下午还威胁我要上门,恐吓我的父母亲人,更何况还严重骚扰我姐，,对此,我非常愧对我家人,我很怕很担心我姐出意外.我也极其憎恨贷上钱.希</t>
  </si>
  <si>
    <t>京东金融暴力催收</t>
  </si>
  <si>
    <t>http://ts.21cn.com/tousu/show/id/1372334</t>
  </si>
  <si>
    <t>2019/10/18 18:43:32</t>
  </si>
  <si>
    <t>本人欠款并未全部逾期，并多次致电京东金融客服说明原因，协商还款事宜，电话号码为155******96的京东金融外包催收人员，暴力催收、威胁、恐吓、侵犯个人隐私，用极其恶劣的语气协商未果，然后以联系家人朋友为由，无理要求归还全款，要求京东金融官方客服给出合理解释，并对其做出相应处罚。</t>
  </si>
  <si>
    <t>受害者</t>
  </si>
  <si>
    <t>http://ts.21cn.com/tousu/show/id/1372333</t>
  </si>
  <si>
    <t>2019/10/18 18:42:16</t>
  </si>
  <si>
    <t>投诉人 吴先生        投诉对象  易秒分期        涉诉金额  3 000 元    问题类型    诉求类型投诉详情  app登录不了无法还款 联系客服还款销账了。但是态度恶劣</t>
  </si>
  <si>
    <t>捷信对我进行暴力催收</t>
  </si>
  <si>
    <t>http://ts.21cn.com/tousu/show/id/1372332</t>
  </si>
  <si>
    <t>2019/10/18 18:40:53</t>
  </si>
  <si>
    <t>去年我做生意被骗，前年在捷信公司贷款9000导致去年到现在无法正常还款，前几天突然接到捷信委托的第三方对我进行恐吓。</t>
  </si>
  <si>
    <t>恶意催收骚扰</t>
  </si>
  <si>
    <t>http://ts.21cn.com/tousu/show/id/1372325</t>
  </si>
  <si>
    <t>2019/10/18 18:40:43</t>
  </si>
  <si>
    <t>投诉人 吴吴家安        投诉对象  蚂蚁金服        涉诉金额  5 400 元    问题类型    诉求类型投诉详情  本人暂时因为资金问题逾期。但每个月皆有还款。先息后本。利息已经全部归还。剩余本金。已经只有五千多。多次恶意催收。吓唬。威胁我家人。多次骚扰我家人。已经对本人于家人造成精神损失。要求道歉赔偿。</t>
  </si>
  <si>
    <t>苏宁金融暴力催收</t>
  </si>
  <si>
    <t>http://ts.21cn.com/tousu/show/id/1372330</t>
  </si>
  <si>
    <t>2019/10/18 18:40:00</t>
  </si>
  <si>
    <t>催收每天10几20几个不停打，威胁说爆我通讯录，骂我，使我收到惊吓，工作也没心去做，严重影响我正常生活和工作，如果爆我通讯录，那就等着我报警起诉！。</t>
  </si>
  <si>
    <t>http://ts.21cn.com/tousu/show/id/1372329</t>
  </si>
  <si>
    <t>2019/10/18 18:39:51</t>
  </si>
  <si>
    <t>聚福钱包通过海南塞姆尔网络科技有限公司私自克扣银行卡内金额。</t>
  </si>
  <si>
    <t>立借平台钱置宝还不了款导致逾期</t>
  </si>
  <si>
    <t>http://ts.21cn.com/tousu/show/id/1372328</t>
  </si>
  <si>
    <t>2019/10/18 18:39:36</t>
  </si>
  <si>
    <t>本人在2019年9月2日在立借平台钱置宝申请一笔贷款，到账2100，还3000，分四期，第一期还款以后，第二期怎么还也还不上，客服电话也一直打不通，今天有客服联系我让我还3936，说是逾期费，逾期并不是我本人原因，而是钱置宝还款还不上，客服也打不通，今天才联系我让我还这么多。</t>
  </si>
  <si>
    <t>威胁催款，利息太高，服务态度差</t>
  </si>
  <si>
    <t>http://ts.21cn.com/tousu/show/id/1372326</t>
  </si>
  <si>
    <t>2019/10/18 18:39:03</t>
  </si>
  <si>
    <t>利息高于国家标准太多，虚假误导，骚扰催款，公务人员服务态度差，不解决问题，每次都是打电话威胁催款。</t>
  </si>
  <si>
    <t>http://ts.21cn.com/tousu/show/id/1372324</t>
  </si>
  <si>
    <t>2019/10/18 18:38:12</t>
  </si>
  <si>
    <t>收取服务费和保险费用，贷款属于敲诈性质，分几笔扣款，利息高。</t>
  </si>
  <si>
    <t>米条联盟违规放高利贷套路贷</t>
  </si>
  <si>
    <t>http://ts.21cn.com/tousu/show/id/1372323</t>
  </si>
  <si>
    <t>2019/10/18 18:37:48</t>
  </si>
  <si>
    <t>米条联盟上的吴敏芝放高利贷套路贷，协商还完本金不给消条还恐吓威胁，爆通讯录，辱骂。</t>
  </si>
  <si>
    <t>http://ts.21cn.com/tousu/show/id/1372202</t>
  </si>
  <si>
    <t>2019/10/18 18:37:46</t>
  </si>
  <si>
    <t>投诉人师先生投诉对象51即刻有涉诉金额9700元问题类型诉求类型投诉详情本人于2019年向51即刻平台借款9700元，分12还款，首期还款本息1700.73元，其余11期每期1021.73元，目前还款4期，《最高人民法院关于审理民间借贷案件适用法律若干问题的规定》第十三条的规定中，在借贷中，出借人与借款人约定有利滚利，逾期违约金，平台管理费，滞纳金，服务费等各种费用时，累计金额仍不能超过年利率24%的标准计算利息，超出部分不受法律保护，超出36%的部分属于违法借贷，本人按照等额本息计算规则，，每月也只需承担</t>
  </si>
  <si>
    <t>立即贷无卡自助消费</t>
  </si>
  <si>
    <t>http://ts.21cn.com/tousu/show/id/1372321</t>
  </si>
  <si>
    <t>2019/10/18 18:37:08</t>
  </si>
  <si>
    <t>立即贷存在银行卡的钱都每次存进去就被无卡自助消费。</t>
  </si>
  <si>
    <t>安逸花恶意骚扰</t>
  </si>
  <si>
    <t>http://ts.21cn.com/tousu/show/id/1372320</t>
  </si>
  <si>
    <t>2019/10/18 18:37:01</t>
  </si>
  <si>
    <t>一天最少十几二十个电话，我不是不接电话，而是刚接了挂没两分钟又打...这已经算是恶意骚扰了。</t>
  </si>
  <si>
    <t>国美易卡</t>
  </si>
  <si>
    <t>http://ts.21cn.com/tousu/show/id/1372319</t>
  </si>
  <si>
    <t>2019/10/18 18:36:44</t>
  </si>
  <si>
    <t>本来是179元的还款，才逾期一天没有说要收其他费用，就要收费40元的利息。</t>
  </si>
  <si>
    <t>小通商城无故连续扣两笔款</t>
  </si>
  <si>
    <t>http://ts.21cn.com/tousu/show/id/1372318</t>
  </si>
  <si>
    <t>2019/10/18 18:36:34</t>
  </si>
  <si>
    <t>无故扣款两次一次198一次128元,强烈要求退款赔礼道歉.。</t>
  </si>
  <si>
    <t>时光分期高利贷暴力催收</t>
  </si>
  <si>
    <t>http://ts.21cn.com/tousu/show/id/1372226</t>
  </si>
  <si>
    <t>2019/10/18 18:36:32</t>
  </si>
  <si>
    <t>本人在时光分期借款6000现在已经还款7080，还剩下两期未归换，工作单位现在面临破产改组状态，结果逾期了这个平台的利息费用，就接到了这个平台的暴力催收！恐吓和侮辱而且是威胁！投诉后因为本人参加国家组织的退伍军人义务军训没有时间接打电话和上网，时光分期在本人不知情状态下拨打本人亲朋好友电话，言语威胁！有录音，并且在没有解决问题的情况下结案！这是不负责任。</t>
  </si>
  <si>
    <t>不要让第三方催收烦我</t>
  </si>
  <si>
    <t>http://ts.21cn.com/tousu/show/id/1372317</t>
  </si>
  <si>
    <t>2019/10/18 18:36:17</t>
  </si>
  <si>
    <t>投诉人陈先生投诉对象捷信金融涉诉金额30000元问题类型诉求类型投诉详情打电话到我家一直电话骚扰我电话到村委这个不是泄露个人资料你们给我注意点当我走投无路的时候我给你们捷信大新闻。</t>
  </si>
  <si>
    <t>http://ts.21cn.com/tousu/show/id/1372315</t>
  </si>
  <si>
    <t>2019/10/18 18:35:03</t>
  </si>
  <si>
    <t>一直打电话骚扰，一天10几个电话，态度极其恶劣，还威胁爆通讯录。</t>
  </si>
  <si>
    <t>http://ts.21cn.com/tousu/show/id/1372316</t>
  </si>
  <si>
    <t>2019/10/18 18:34:51</t>
  </si>
  <si>
    <t>请工作人员看到联系我，今天才发现这么恶心的事。</t>
  </si>
  <si>
    <t>http://ts.21cn.com/tousu/show/id/1372314</t>
  </si>
  <si>
    <t>2019/10/18 18:34:45</t>
  </si>
  <si>
    <t>本人因为个人原因造成订单逾期，在此期间因为工作问题无法接听电话，催收人员联系我无果之后便直接打电话骚然本人通讯录的人，而且态度不好说话难听，反应给分期乐公司之后，分期乐员工居然不承认骚扰我通讯录的人，还说在联系本人无果的情况之下只会联系当时借款所留下的紧急联系人电话，但是当时拨打的根本不是紧急联系人电话。</t>
  </si>
  <si>
    <t>投诉滴滴平台乱判责乱扣费</t>
  </si>
  <si>
    <t>http://ts.21cn.com/tousu/show/id/1372313</t>
  </si>
  <si>
    <t>2019/10/18 18:34:27</t>
  </si>
  <si>
    <t>抢预约单显示80几公里实际导航140几公里。</t>
  </si>
  <si>
    <t>上海漫道公司乱扣款</t>
  </si>
  <si>
    <t>http://ts.21cn.com/tousu/show/id/1372312</t>
  </si>
  <si>
    <t>2019/10/18 18:34:10</t>
  </si>
  <si>
    <t>上海漫道公司不是第一次在我这扣钱了我看了一下只有小赢卡贷但我已经还款了为什么还有莫名其妙的扣款。</t>
  </si>
  <si>
    <t>信用钱包超利贷</t>
  </si>
  <si>
    <t>http://ts.21cn.com/tousu/show/id/1372311</t>
  </si>
  <si>
    <t>2019/10/18 18:33:14</t>
  </si>
  <si>
    <t>信用钱包超利贷，借款八千，九个月需要还一万块钱，年化费率达到了百分之三十多，远超国家规定利息，要求提前结清本金，并且信用钱包减免剩余240元*6个月利息总共1440元。</t>
  </si>
  <si>
    <t>你我贷高利贷暴力催收</t>
  </si>
  <si>
    <t>http://ts.21cn.com/tousu/show/id/1372310</t>
  </si>
  <si>
    <t>2019/10/18 18:32:59</t>
  </si>
  <si>
    <t>投诉人 林女士        投诉对象  你我贷        涉诉金额  19 800 元    问题类型    诉求类型投诉详情  你我贷暴力催收 高利贷 借款19800还27000 还委托第三方催收公司 暴力催收 骚扰我家人 威胁我不还钱扩大骚扰范围 给单位打电话</t>
  </si>
  <si>
    <t>闪电借款用黑卡套路贷，高额滞纳金</t>
  </si>
  <si>
    <t>http://ts.21cn.com/tousu/show/id/1372309</t>
  </si>
  <si>
    <t>2019/10/18 18:32:58</t>
  </si>
  <si>
    <t>用所谓黑卡，变相放贷，实际这个这个卡一点用都没有，下款5400元，花了760元买了这个卡，，用50天，利息240，这个可以收，毕竟有资金成本，现在诉求请减免351的逾期费用，和760元的黑卡钱，50天，这是什么成本，吓人啊联系了，客服，让提交表单到售后，但是一天过去了，没人回复，是故意升级的吗，请你们公司尽快联系解决这个滞纳金后，将会当天还款，现在也不是恶意逾期，就转到催收了，你们公司是干嘛的，这个是有权限的，故意升级案件，，希望大家以后注意点，希望这家公司诚信经营，为人做点好事，而不是坑人，加重别人负担，</t>
  </si>
  <si>
    <t>你我金融高利贷暴力催收</t>
  </si>
  <si>
    <t>http://ts.21cn.com/tousu/show/id/1372307</t>
  </si>
  <si>
    <t>2019/10/18 18:32:54</t>
  </si>
  <si>
    <t>10月17日，逾期第一天，催收直言，不还就联系通讯录里面的联系人，祝我好运，因网贷高利贷和暴力催收的问题，于9月初在我市辖区派出所已立案，10月18日被爆通讯录，已向派出所提供了相关证据，你我金融就是牛，后面我将向中国互联网监督管理协会，你们当地的市工商局官网，信访办等相关部门实名投诉，举报，用你们催收的话回复你们，祝你们好运。</t>
  </si>
  <si>
    <t>马上金融群发恐吓联系人，爆通讯录</t>
  </si>
  <si>
    <t>http://ts.21cn.com/tousu/show/id/1372308</t>
  </si>
  <si>
    <t>2019/10/18 18:32:36</t>
  </si>
  <si>
    <t>马上金融催收群发我通讯录联系人，威胁要上门催收，多次如此，忍无可忍，在国家加大力度打击高利贷和暴力催收的情况下，还如此肆意妄为，严重影响了我亲友的生活，往该平台尽快给我答复，拿出处理意见，否则将报警处理。</t>
  </si>
  <si>
    <t>恶意催收</t>
  </si>
  <si>
    <t>http://ts.21cn.com/tousu/show/id/1372305</t>
  </si>
  <si>
    <t>2019/10/18 18:32:05</t>
  </si>
  <si>
    <t>欠钱没还上是我的不对但是你们也不应该爆通讯录。</t>
  </si>
  <si>
    <t>乐王扣款2004元</t>
  </si>
  <si>
    <t>http://ts.21cn.com/tousu/show/id/1372306</t>
  </si>
  <si>
    <t>2019/10/18 18:31:53</t>
  </si>
  <si>
    <t>10月14日凌晨3点多乐王扣款两笔1002元，这些交易不是本人操作，要求立刻全额退款到原银行账号。</t>
  </si>
  <si>
    <t>平安普惠i贷冒充公检法进行催收，以扰乱本人正常的工作生活</t>
  </si>
  <si>
    <t>http://ts.21cn.com/tousu/show/id/1372304</t>
  </si>
  <si>
    <t>2019/10/18 18:31:12</t>
  </si>
  <si>
    <t>平安普惠I贷的第三方催收公司，每天电话骚扰10次以上，并且伴随着催收短信，冒充公检法打电话对本人进行骚扰，这些催收人员像是恶狗一样乱吠，就像欠了他成百上万一样，这点钱我会还，但也不会让催收人员挣到这个钱，法院开庭信息、或者是打电话冒充警察、你们难道是想上天。</t>
  </si>
  <si>
    <t>你我贷砍头息，高利贷</t>
  </si>
  <si>
    <t>http://ts.21cn.com/tousu/show/id/1372303</t>
  </si>
  <si>
    <t>2019/10/18 18:30:34</t>
  </si>
  <si>
    <t>你我贷实际放款四千七百五，合同却写着5500，且每期要几十块的服务费，远超国家标准，希望减免退还砍头息，我已经还款远超过本金了。</t>
  </si>
  <si>
    <t>高利贷、阴阳合同</t>
  </si>
  <si>
    <t>http://ts.21cn.com/tousu/show/id/1372267</t>
  </si>
  <si>
    <t>2019/10/18 18:30:06</t>
  </si>
  <si>
    <t>本人于2019年由于宜人贷客服诱导，并且隐瞒实际贷款利率，向宜人贷APP平台借款50000元，分36还款，首期还款本息2483.89元，，目前还款4期，《最高人民法院关于审理民间借贷案件适用法律若干问题的规定》第十三条的规定中，在借贷中，，出借人与借款人约定有利滚利，逾期违约金，平台管理费，滞纳金，服务费等各种费用时，累计金额仍不能超过年利率24%的标准计算利息，超出部分不受法律保护，超出36%的部分属于违法借贷，本人按照等额本息计算规则，，每月也只需承担本息2290.18元，所以该平台的月还本息2483.</t>
  </si>
  <si>
    <t>http://ts.21cn.com/tousu/show/id/1372301</t>
  </si>
  <si>
    <t>2019/10/18 18:29:49</t>
  </si>
  <si>
    <t>微信支付如果觉得有异常交易，应该提供交易异常的证据，给用户提示，停止账号收款功能，而不是现在这样，不声不响地认定2笔交易涉嫌异常，不提示，无证据，要求用户提供证据进行申诉，拜托，既然官方已经做了异常冻结处理，应该举证说明异常的是平台方而不是我们这些用户吧，！并且不限制账号收款功能，转而直接把账号提现功能取消，导致所收钱款全部冻结无法提现，官方认定交易异常的时候，还要允许交易完成，这是什么逻辑，正常交易的资金也不归还，哎哟，这钱不要太好赚噢！这样的霸王条款严重侵害微信用户的权益，以自身产品逻辑的不合理为依据非</t>
  </si>
  <si>
    <t>收取高额利息，冒充公检法，还款不协商</t>
  </si>
  <si>
    <t>http://ts.21cn.com/tousu/show/id/1372300</t>
  </si>
  <si>
    <t>2019/10/18 18:29:26</t>
  </si>
  <si>
    <t>逾期利息太高了，客服协商态度差，在活力花借了6400，分3期前段时间出了点事没有还上，逾期了催收一天要打几个电话严重影响本人，第一期逾期一个月还了2774逾期利息就400多，后两期本金加逾期利息就要多还1000，本人是有意还款但逾期利息太高。</t>
  </si>
  <si>
    <t>套路贷款高利贷</t>
  </si>
  <si>
    <t>http://ts.21cn.com/tousu/show/id/1372283</t>
  </si>
  <si>
    <t>投诉人许先生投诉对象钱站涉诉金额4000元问题类型诉求类型投诉详情8月14日由于朋友在医院急需用钱，为凑钱，想起钱站app有2000元额度，，就申请提现了，大概三个小时到账，当时在医院比较着急也没注意借款合同什么的，回到家后打开app看分期三个月每个月要还款1400多元，贷款的2000元也变成了借款本金3960的借款合同，但是我得收款银行卡可以查到只有2000元，感觉不对，当时就联系客服，没有人接，第二天上午联系客服协商，说利息太高，不用了还给他再给几百元利息，客服说不能提前还款，让我正常还款，后期会有人跟</t>
  </si>
  <si>
    <t>钱包易贷</t>
  </si>
  <si>
    <t>http://ts.21cn.com/tousu/show/id/1372297</t>
  </si>
  <si>
    <t>2019/10/18 18:29:09</t>
  </si>
  <si>
    <t>暴力催收如果在使用不当的手段来骚扰的话，我用三样东西在平台获取的额度你们如果在把三样东西都给卖了还想要钱哪有那么多好事想要还钱给我老实现在还能力还给时间慢慢还如果你们再使用不当的手段的话慢慢想把。</t>
  </si>
  <si>
    <t>兴业消费金融</t>
  </si>
  <si>
    <t>http://ts.21cn.com/tousu/show/id/1372299</t>
  </si>
  <si>
    <t>2019/10/18 18:29:07</t>
  </si>
  <si>
    <t>去骚扰我的亲朋好友，已经违反催收原则，我已告知我的情况，为什么还去骚扰我的亲朋好友，我在想办法努力筹钱，请给于相关解决办法。</t>
  </si>
  <si>
    <t>TT语音欢游涉黄给未成年非法赌博</t>
  </si>
  <si>
    <t>http://ts.21cn.com/tousu/show/id/1340329</t>
  </si>
  <si>
    <t>2019/10/18 18:28:52</t>
  </si>
  <si>
    <t>投诉人肖先生投诉对象TT语音,欢游涉诉金额20000元问题类型诉求类型投诉详情这个软件非法涉黄涉赌给未成年人不当消费我弟弟拿我手机进行充值我问他干什么了他说去赌鱼塘一共充值我几万元进去赌博这是诱惑未成年人赌博行为，我刚刚点进去看了一下按照充值比例这个赌场流水一天达到几十万甚至几百万的人民币流水这是我怀疑是洗黑钱还是赌博行为。</t>
  </si>
  <si>
    <t>遭到信用卡暴力催收</t>
  </si>
  <si>
    <t>http://ts.21cn.com/tousu/show/id/1371934</t>
  </si>
  <si>
    <t>2019/10/18 18:28:46</t>
  </si>
  <si>
    <t>正常使用了一年多的时间一直征信良好的，由于今去两年工作受到打压，今年上半年在重庆买了一套房子但是由于私下与业主成交没有中介方介入被业主骗了将近50万块钱，但是主动打电话给银行协商银行不同意都交给第三方处理，逾期一共23天期间有过四五笔还款记录&amp;nbsp;&amp;nbsp;分别是100，200，1200.1200，100，哪怕我只有100块钱我也还进去，本人和老公都是做二手房销售，长时间都是拿点底薪1500百块钱&amp;nbsp;家里生活开支还有孩子，根本不给我协商的机会&amp;nbsp;每次打电话都是叫我还全款或者最低，但是</t>
  </si>
  <si>
    <t>上海曾左电子科技拖欠推广费不予返还</t>
  </si>
  <si>
    <t>http://ts.21cn.com/tousu/show/id/1372296</t>
  </si>
  <si>
    <t>2019/10/18 18:28:35</t>
  </si>
  <si>
    <t>2017年9月和上海曾左电子科技有限公司合作，推广其名叫的APP产品，签订合同+邮件确认推广需求+核对数据后，上海曾左电子科技有限公司以数据不合格为由将结算金额核减到10000元，无奈同意，开出发票邮寄给上海曾左电子科技有限公司，之后就一直拖欠推广服务费，再再后来之前合作时的对接人离职，说是团队解散，打了客服电话说项目解散，官方不认可有这么一项合作，更说团队解散发票丢失，总之就是对之前盖了红章的合同和合作不负责+拒绝沟通，很长一段时间是决定认栽了，毕竟各行各业没有诚信的合作商那么多，能把款追回的并不多，很可</t>
  </si>
  <si>
    <t>安逸花年化率严重超标</t>
  </si>
  <si>
    <t>http://ts.21cn.com/tousu/show/id/1372295</t>
  </si>
  <si>
    <t>2019/10/18 18:27:48</t>
  </si>
  <si>
    <t>第一：安逸花网贷平台存在年化率百分之三十六的利率，这一项就已经涉嫌违法，第二：强制保险业务，而且是每月每笔还款都要交保险金，本人已经被安逸花平台收取了很多法外费用，目前为止不低于三至五千块钱。</t>
  </si>
  <si>
    <t>借款2000到账1500还款2060高利贷</t>
  </si>
  <si>
    <t>http://ts.21cn.com/tousu/show/id/1372294</t>
  </si>
  <si>
    <t>2019/10/18 18:26:58</t>
  </si>
  <si>
    <t>借款2000到账1500一个月后还2060，不合理要求只还本金，本金已还，要求撤销借款。</t>
  </si>
  <si>
    <t>光大银行上门催收</t>
  </si>
  <si>
    <t>http://ts.21cn.com/tousu/show/id/1372292</t>
  </si>
  <si>
    <t>2019/10/18 18:26:23</t>
  </si>
  <si>
    <t>电话骚扰亲朋好友，上门威胁催收，卡被盗刷不给处理，恶意催收。</t>
  </si>
  <si>
    <t>申请退全款</t>
  </si>
  <si>
    <t>http://ts.21cn.com/tousu/show/id/1372293</t>
  </si>
  <si>
    <t>2019/10/18 18:26:06</t>
  </si>
  <si>
    <t>本人于10月10日在网上报的名，由于工作家庭忙没时间学习，昨日10月7日跟客服和连老师申请退款，他们一直劝我继续学，不给退款，后来发微信都不回我，今天我又跟他们申请退款，他们还是劝我学，不给我退费，后来干脆不理我，之前客服诱导我说先试学一个月不收费，11月份再收费，现在我才知道是分期贷款，在我不知情的情况下诱导我办了分期贷款，还给我发了他们私自定的霸王条款，我现在就是没时间学，不想学了，不想还贷款了，就是不给我退款，我要求退全款。</t>
  </si>
  <si>
    <t>及贷盗取用户资料对用户以及联系人进行骚扰已经违法</t>
  </si>
  <si>
    <t>http://ts.21cn.com/tousu/show/id/1372290</t>
  </si>
  <si>
    <t>2019/10/18 18:25:19</t>
  </si>
  <si>
    <t>投诉人 龙女士        投诉对象  及贷        涉诉金额  665 元    问题类型    诉求类型投诉详情  及贷这样的 直接说给我联系人发身份证照片 人脸照等等 不是违法行为？外包催收公司进行暴力催收 不是违法行为？明目张胆 还说与他无关？及贷出来解释 真的无法无天了 还敢发这种信息？国家是没有把收拾到？</t>
  </si>
  <si>
    <t>http://ts.21cn.com/tousu/show/id/1372289</t>
  </si>
  <si>
    <t>2019/10/18 18:24:50</t>
  </si>
  <si>
    <t>2017年一月份生意周转和平安普惠借了86000元，扣了所谓各种管理费到手80000出头，分了36期还款，至今已经还了32期，还款十一万多了，这个月因为收入出现问题导致无法按时承担上还款，结果平安就开始轰炸我的通讯录，我想问问平安普惠，我连本带利都还了这么多了，你已经赚得盆满钵满了，我是赖账躲债得吗，国家规定超过24%都属于高利贷了，你们赤裸裸得满打满算去到36%的利息了，其实我没有说想和他们闹得很僵，利息高我也还剩下几期了，我也愿意继续履行合约慢慢还上，可以现在我的生活全部都被他们的催收打乱了，泱泱大国你</t>
  </si>
  <si>
    <t>信用管家里的石头管家，高利贷</t>
  </si>
  <si>
    <t>http://ts.21cn.com/tousu/show/id/1372288</t>
  </si>
  <si>
    <t>2019/10/18 18:24:20</t>
  </si>
  <si>
    <t>我于2019年8月15日在信用管家平台上的石头管家，借款3200到账2625元，分四期还，我已还3期每期895元，共2685元，本身就是砍头息，我在第四期是时来电话要求协商还本金加国家规定利息，后一直未联系我，10月1日国庆后平台账单借款金额变成2625，要求来电协商，停止骚扰，不然就报警法律途径解决。</t>
  </si>
  <si>
    <t>贷上钱暴力催收骚扰我家人及朋友</t>
  </si>
  <si>
    <t>http://ts.21cn.com/tousu/show/id/1372287</t>
  </si>
  <si>
    <t>2019/10/18 18:23:50</t>
  </si>
  <si>
    <t>个人从贷上钱app分两次分别贷了一个期限为一个月金额为2000，及一个金额为3000分期三个月的两笔贷款，该两笔贷款均已放款至我个人交通银行卡，两笔合计5000元整，因为个人还款能力有限，到2019年10月导致逾期，10月8号和贷上钱工作人员协商，贷上钱工作人员因为我个人确实偿还能力有限，答应我只需偿还本金及利息以及本金和利息的逾期费用即可，其中的游戏金豆不用还，以后也不会私自从我绑定的交通银行卡扣款，除非我还继续向贷上钱借款，则需要把这金豆还上，这些通话我均有电话录音，协商好以后我借钱还了贷上钱所有本金,</t>
  </si>
  <si>
    <t>随手记雇佣黑社会暴力催收</t>
  </si>
  <si>
    <t>http://ts.21cn.com/tousu/show/id/1372285</t>
  </si>
  <si>
    <t>2019/10/18 18:22:57</t>
  </si>
  <si>
    <t>雇佣黑社会暴力催收，给我通讯录到处发这信息，没人管吗。</t>
  </si>
  <si>
    <t>开店宝支付乱跳商户乱加收费率</t>
  </si>
  <si>
    <t>http://ts.21cn.com/tousu/show/id/1372281</t>
  </si>
  <si>
    <t>2019/10/18 18:22:06</t>
  </si>
  <si>
    <t>投诉人林先生投诉对象开店宝支付涉诉金额4000元问题类型诉求类型投诉详情开机收取288/台的押金，对公账户收款，跳商户，说好的刷借记卡0.5%，封顶25，贷记卡0.6%，8⃣️月份正常，9月份开始借记卡、贷记卡全加收0.06%的费率，说什么打开了超级服务，我方完全不知情也没打开更没享受服务，也不知是什么超级服务。</t>
  </si>
  <si>
    <t>http://ts.21cn.com/tousu/show/id/1372284</t>
  </si>
  <si>
    <t>2019/10/18 18:22:01</t>
  </si>
  <si>
    <t>工作人员暴力催收，威胁恐吓，要爆通讯录，还要上门。</t>
  </si>
  <si>
    <t>江苏百瑞赢虚假宣传，不诚信，要求退款</t>
  </si>
  <si>
    <t>http://ts.21cn.com/tousu/show/id/1372248</t>
  </si>
  <si>
    <t>2019/10/18 18:21:48</t>
  </si>
  <si>
    <t>5月9日，江苏百瑞赢小黑业务员联系我，让我加入信易赢股票咨询群，股票群里每天大量发虚假广告，引诱群里人员入会，几乎每天都有几只涨停，有时全涨停，还发会员盈利的截图，业务员小黑一直不停打电话、发微信骚扰，午休时间也不放过，引诱我加入会员，我告诉他会员费太贵，没有那么多钱，他就以内部家属价格引诱我，他说他们做股票跟行情无关，做热点，抓黑马，提供周末股、月末股，有专业客服提供一对一服务，提示买入、卖出价格，他们是专业的团队，盈利如何如何多，最后经不住一直打来的电话骚扰和微信骚扰，在他们的引诱下，于6月28日微信转</t>
  </si>
  <si>
    <t>投诉宜人财富恶意冻结资金</t>
  </si>
  <si>
    <t>http://ts.21cn.com/tousu/show/id/1372282</t>
  </si>
  <si>
    <t>2019/10/18 18:21:02</t>
  </si>
  <si>
    <t>以贷款的名义进行套路，在合同里的某条条款为借款方在审核通过后由于各种因素导致放款失败如：虚假身份证、虚假银行卡、虚假联系人，此虚假信息会造成系统检测套路贷嫌疑，借款方必须积极配合甲方处理，如不配合，甲方有权向人民法院提起诉讼，并上报中国人民银行征信中心，限制其亲人、子女高消费，体制、教育等，为名义，在贷款放款时在合同动手脚，修改你的银行卡号，导致放款失败，然后安排你联系客服，客服就开始对你进行套路，以保证金为由去向你收取4000元保证金，照办就肯定被，不照办就让你立马归还本金，可是本金原本就没有到自己的账户</t>
  </si>
  <si>
    <t>高利贷头息</t>
  </si>
  <si>
    <t>http://ts.21cn.com/tousu/show/id/1372239</t>
  </si>
  <si>
    <t>2019/10/18 18:19:31</t>
  </si>
  <si>
    <t>借2000元&amp;nbsp;&amp;nbsp;3个月还款3600+&amp;nbsp;&amp;nbsp;，&amp;nbsp;合同金额和到账金额不一样。</t>
  </si>
  <si>
    <t>注册天天金钱，投诉星赫梁山信息科技有限公司恶意扣借记卡里面288元钱</t>
  </si>
  <si>
    <t>http://ts.21cn.com/tousu/show/id/1372280</t>
  </si>
  <si>
    <t>2019/10/18 18:19:05</t>
  </si>
  <si>
    <t>手机收到一条短息，打开页面下载“天天金钱”，抱着试试的心态输入资料借款1000元，输入银行卡号后，点击下一步时，自动从银行卡里面扣除288元，纯粹的欺诈！！！恶意扣款！！！强烈要求退款！！！。</t>
  </si>
  <si>
    <t>现今巴士APP下载不了导致逾期</t>
  </si>
  <si>
    <t>http://ts.21cn.com/tousu/show/id/1372279</t>
  </si>
  <si>
    <t>2019/10/18 18:18:47</t>
  </si>
  <si>
    <t>投诉人 李女士        投诉对象  现今巴士        涉诉金额  363 元    问题类型    诉求类型投诉详情  之前在现今巴士借了钱 已经逾期两天原因是找不到APP 也没有人告诉我该怎么办 导致20块钱逾期费用 希望能及时解决</t>
  </si>
  <si>
    <t>易宝支付融360714非法高利贷帮凶</t>
  </si>
  <si>
    <t>http://ts.21cn.com/tousu/show/id/1372278</t>
  </si>
  <si>
    <t>2019/10/18 18:18:41</t>
  </si>
  <si>
    <t>提供结算通道，把关不严，我诉求是要求退还国家法定利率之外的那一部分砍头息金额，到账记录还有，，2018年10月27日借款1500到账1200元，还款1522元，砍头息322元，11月11日借款1500元，到账1200元还款1552元，砍头息352元，11月26日借款1500到账1200元，还款1642元，砍头息442元，。</t>
  </si>
  <si>
    <t>贷上钱不给注销账号</t>
  </si>
  <si>
    <t>http://ts.21cn.com/tousu/show/id/1372276</t>
  </si>
  <si>
    <t>2019/10/18 18:18:34</t>
  </si>
  <si>
    <t>贷上钱注销账号需要手持身份证正反面和身份证正反面照片，严重违反国家法律法规，任何公司规章制度都不能凌驾于国家法律之上，不注销账号我会一直投诉下去。</t>
  </si>
  <si>
    <t>无良淘宝平台乱封账号权利</t>
  </si>
  <si>
    <t>http://ts.21cn.com/tousu/show/id/1372275</t>
  </si>
  <si>
    <t>2019/10/18 18:18:20</t>
  </si>
  <si>
    <t>无良淘宝，单方面限制账号投诉权利，我最近一次正常的投诉还是2018年，先是忽悠我账号正常拖延时间不解决，然后也不给出理由随便封账号权利，一开始是随便删我被卖家坑的不良评价，我投诉后给我评价恢复正常，慢慢的又只要涉及到影响卖家的评价就删除，关键我的评价都是正当评价，遇到被坑肯定要如实评价，淘宝涉及扰乱正常市场，这就是他们所谓的大数据，法院判死刑都要给证据，他们就来个大数据检测就可以随便封锁买家权利，如此霸款协议，不是我一个人受害，对账号我已经没什么奢求了，请求解决这种霸权主义，买家权利何以保障。</t>
  </si>
  <si>
    <t>360暴力催收</t>
  </si>
  <si>
    <t>http://ts.21cn.com/tousu/show/id/1372277</t>
  </si>
  <si>
    <t>2019/10/18 18:18:15</t>
  </si>
  <si>
    <t>这是不把消费者放在眼里啊，我现在就要求停止对我家人朋友的骚扰，说清楚我的个人信息来源，不然，我将采用其他方式来维护我的合法权益，360借条不停止对我家人朋友的骚扰，不停止对我家人的礼物恐吓，我将会向互联网金融协会、银监会和12315继续投诉……也会采取向法院起诉来保护我和我的家人。</t>
  </si>
  <si>
    <t>高利贷威胁恐吓</t>
  </si>
  <si>
    <t>http://ts.21cn.com/tousu/show/id/1372274</t>
  </si>
  <si>
    <t>2019/10/18 18:17:46</t>
  </si>
  <si>
    <t>催收人员给我打电话告诉我他们小贷公司的种种催收手段，我没有恶意拖欠我最近遇到了一点事情没能按时还款，我父母的身体不好如果出现任何问题我会追究你们到底！。</t>
  </si>
  <si>
    <t>微粒贷</t>
  </si>
  <si>
    <t>http://ts.21cn.com/tousu/show/id/1372272</t>
  </si>
  <si>
    <t>2019/10/18 18:17:29</t>
  </si>
  <si>
    <t>微粒贷逾期五天，贷后人员反复打电话催收，说下午五点前不还钱就不用还款，后来又有人骚扰催熟，。</t>
  </si>
  <si>
    <t>产品质量问题，天猫不退款</t>
  </si>
  <si>
    <t>http://ts.21cn.com/tousu/show/id/1372271</t>
  </si>
  <si>
    <t>2019/10/18 18:16:37</t>
  </si>
  <si>
    <t>09月28日，通过在天猫松下电器旗舰店购买电饭锅，收到快递以后，发现电饭锅内胆有产品缺陷，该产品是在生产的过程中有磕碰，所以产品表面涂层完好，通过肉眼就能确定产品是质量问题，2019年10月06日，向天猫官方客服沟通，需要卖家退款，并且卖家承担所有运费，当时天猫客服人员同意退款，并且安排快递人员上门收货，产品质量问题，销售以后不退货，国家哪条法律规定的。</t>
  </si>
  <si>
    <t>http://ts.21cn.com/tousu/show/id/1372269</t>
  </si>
  <si>
    <t>2019/10/18 18:16:09</t>
  </si>
  <si>
    <t>投诉人李先生投诉对象平安普惠涉诉金额200000元问题类型诉求类型投诉详情贷款20万，申请时注明利率是年息7.6%，实际还款时发现大额保险费和服务费。</t>
  </si>
  <si>
    <t>停止业务员骚扰我</t>
  </si>
  <si>
    <t>http://ts.21cn.com/tousu/show/id/1372266</t>
  </si>
  <si>
    <t>2019/10/18 18:15:14</t>
  </si>
  <si>
    <t>人人贷，我就想问你们想干什么，我需要借钱的时候你们说资质不符，现在不用钱了，你们天天有业务员打电话给我说是人人贷的让我借钱，已经严重影响到了我的生活，就算你解释不是你们业务员打的电话，也跟你们脱不了关系，请你们别再打电话骚扰我了，可以吗，我好不容易从网贷的深渊里挑出来，就别在让我重蹈覆辙了行吗。</t>
  </si>
  <si>
    <t>盗刷我钱！！太可怕了</t>
  </si>
  <si>
    <t>http://ts.21cn.com/tousu/show/id/1372268</t>
  </si>
  <si>
    <t>2019/10/18 18:15:05</t>
  </si>
  <si>
    <t>中金农商行是啥，就扣我钱！后面几块的我也不知道是什么。</t>
  </si>
  <si>
    <t>“立刻出行”共享汽车平台押金退还问题</t>
  </si>
  <si>
    <t>http://ts.21cn.com/tousu/show/id/1372264</t>
  </si>
  <si>
    <t>2019/10/18 18:14:29</t>
  </si>
  <si>
    <t>10月18日，已经将近半年的时间，押金退还流程依然审核中。</t>
  </si>
  <si>
    <t>友信威逼催收</t>
  </si>
  <si>
    <t>http://ts.21cn.com/tousu/show/id/1372265</t>
  </si>
  <si>
    <t>2019/10/18 18:14:23</t>
  </si>
  <si>
    <t>首先，是自己不对，没钱还，但确实也没办法，因为从年头开始生意越来越难做，现在倒闭了，这个月所有的东西开始爆了，我现在只能工作赚钱，现在是一点积蓄都没有，收入只能维持自己的生活！我能借的都已经借过了，都填生意坑了，你们联系我我都会跟你们沟通说明情况的，不会拒绝联系等行为！为什么要上门，逾期费用我后期也会一并处理掉，只是现阶段没有办法而已，如果是贵司这边不能接受的话，我也建议走正规的程序，我跟其他银行也这样反映了，要是借着联系家人朋友和上门调查来给我压力的话，我要进行投诉，毕竟情况我也说明了，但贵司一直骚扰，威</t>
  </si>
  <si>
    <t>随意扣款</t>
  </si>
  <si>
    <t>http://ts.21cn.com/tousu/show/id/1372263</t>
  </si>
  <si>
    <t>2019/10/18 18:13:22</t>
  </si>
  <si>
    <t>投诉人 刘先生        投诉对象  讯联智付，随便借网贷        涉诉金额  199 元    问题类型    诉求类型投诉详情  在我不知情的情况下随意扣除我银行卡里的钱。</t>
  </si>
  <si>
    <t>名校贷涉嫌违法违规，一起来起诉。</t>
  </si>
  <si>
    <t>http://ts.21cn.com/tousu/show/id/1372243</t>
  </si>
  <si>
    <t>2019/10/18 18:12:48</t>
  </si>
  <si>
    <t>投诉人年先生投诉对象麦子金服,名校白领贷涉诉金额4000元问题类型诉求类型投诉详情这是我，第五次投诉，都是被麦子金服非法侵占的财产！你出现过两次逾期，咨询费不能退还了，为什么我坚持认为每一个在名校贷贷过款的借款人都应该报警或起诉麦子金服，麦子金服伙同平台收取的所谓咨询费就是以非法侵占为目的的，被侵占的不止是咨询费本身，还有这笔钱产生的利息！这是不折不扣的欺诈，但是在仔细分析它的放贷模式之后，我发现，它不应该被看作是砍头息，或者说它的放贷模式涉及的问题不应该只是砍头息这么简单，我们之前认为它的问题主要在砍头息</t>
  </si>
  <si>
    <t>http://ts.21cn.com/tousu/show/id/1372262</t>
  </si>
  <si>
    <t>2019/10/18 18:12:42</t>
  </si>
  <si>
    <t>你我贷逾期了，这几天真的没钱，过几天就还，就威胁我说要发照片给通讯录的人，微信加我就不给我说是哪个平台，最后语音通话才说是你我贷的。</t>
  </si>
  <si>
    <t>电话频繁催收</t>
  </si>
  <si>
    <t>http://ts.21cn.com/tousu/show/id/1372261</t>
  </si>
  <si>
    <t>2019/10/18 18:11:59</t>
  </si>
  <si>
    <t>投诉人 彭先生        投诉对象  上汽通用汽车金融        涉诉金额  0 元    问题类型    诉求类型投诉详情  本人车贷逾期 不是不还 正在想办法 不要频繁的打电话 影响了正常的工作和生活了</t>
  </si>
  <si>
    <t>爆通讯录非法获取个人信息</t>
  </si>
  <si>
    <t>http://ts.21cn.com/tousu/show/id/1372258</t>
  </si>
  <si>
    <t>2019/10/18 18:11:48</t>
  </si>
  <si>
    <t>来分期,分期乐,好分期,拍拍贷,小米金融,京东商城。</t>
  </si>
  <si>
    <t>京东金融第三方催收就是垃圾</t>
  </si>
  <si>
    <t>http://ts.21cn.com/tousu/show/id/1372257</t>
  </si>
  <si>
    <t>上次客服给我打电话说就按app上面提示把逾期的还掉，后面的正常还款就可以了，说是什么有部分白条用户逾期了是可以继续按照app上面的继续还，刚才第三方催收让我一次性全部还完。</t>
  </si>
  <si>
    <t>交通银行信用卡违约金罚息</t>
  </si>
  <si>
    <t>http://ts.21cn.com/tousu/show/id/1372260</t>
  </si>
  <si>
    <t>2019/10/18 18:11:47</t>
  </si>
  <si>
    <t>交通银行信用卡违约金罚息收取费用大，不退还。</t>
  </si>
  <si>
    <t>平安银行暴力催收</t>
  </si>
  <si>
    <t>http://ts.21cn.com/tousu/show/id/1372256</t>
  </si>
  <si>
    <t>2019/10/18 18:11:46</t>
  </si>
  <si>
    <t>投诉人姚先生投诉对象平安银行,平安银行信用卡涉诉金额20000元问题类型诉求类型投诉详情催收人员频繁去家里进行暴力催收，恐吓本人以及父母，频繁上门骚扰父母，恐吓辱骂本人。</t>
  </si>
  <si>
    <t>即有分期无视投诉的问题，又开始威胁</t>
  </si>
  <si>
    <t>http://ts.21cn.com/tousu/show/id/1372259</t>
  </si>
  <si>
    <t>2019/10/18 18:11:41</t>
  </si>
  <si>
    <t>本人于5月31在聚投诉对即有分期进行了投诉，投诉平台上也显示会有人联系我，但到10.17号都没有客服联系我，看投诉平台上写着已告知我处理方法，我想请问处理结果什么时候跟我说过，自称是律师，说10.21前还款可以减免，告知目前还在负债，21号肯定处理不了，说之前的事他不管的，然后对我进行人身攻击，说我蛮不讲理，而且还是一个80后，还说要拘留我，难道我问下之前的结果也不行，还希望聚投诉平台能监督，也请即有有权的人给个说法。</t>
  </si>
  <si>
    <t>拍拍贷暴力催收，冒充最高人民法院工作人员骚扰我家人。</t>
  </si>
  <si>
    <t>http://ts.21cn.com/tousu/show/id/1372255</t>
  </si>
  <si>
    <t>2019/10/18 18:11:31</t>
  </si>
  <si>
    <t>严重影响了我家人的工作和生活，导致我母亲情绪异常不稳定，现在又冒充最高人民法院的人对我家人进行暴力催收，以及上门催收的恐吓，不断发信息给我家人。</t>
  </si>
  <si>
    <t>来分期态度恶劣，还款当日多次骚扰电话</t>
  </si>
  <si>
    <t>http://ts.21cn.com/tousu/show/id/1372252</t>
  </si>
  <si>
    <t>2019/10/18 18:10:50</t>
  </si>
  <si>
    <t>还款日当天一遍接一遍的打本人电话，态度十分恶劣，没逾期就开始骚扰，这种恶心的平台为什么存在。</t>
  </si>
  <si>
    <t>套路贷不下款就要钱，取消都不行</t>
  </si>
  <si>
    <t>http://ts.21cn.com/tousu/show/id/1372254</t>
  </si>
  <si>
    <t>2019/10/18 18:10:45</t>
  </si>
  <si>
    <t>申请了贷款，审核通过了，但是体现密码要先付百分之五的先付款，说不申请了要取消告诉我已经审核通过款他们不能用，但是我也不能用体现还要先付款他们才给我密码，我也不能用为什么要给他们钱，客服没有电话，太套路了。</t>
  </si>
  <si>
    <t>招联金融收取解冻费用为啥需要提供资金进行证明</t>
  </si>
  <si>
    <t>http://ts.21cn.com/tousu/show/id/1372253</t>
  </si>
  <si>
    <t>2019/10/18 18:10:43</t>
  </si>
  <si>
    <t>投诉人胡先生投诉对象招联金融涉诉金额2500元问题类型诉求类型投诉详情首先我通过审核后系统显示需要支付2500元的服务费，我已经进行支付，后面在下款的时候显示银行卡账号信息错误，原本应该可以修改可是我不能修改就算了，客服也不能进行修改，说的证明自己是本人必须通过支付1万元的保证金才可以进行解冻，为什么证明贷款是不是本人不能通过银行卡还有身份证进行证明呢。</t>
  </si>
  <si>
    <t>拍拍贷高利贷暴力催收辱骂威胁恐吓</t>
  </si>
  <si>
    <t>http://ts.21cn.com/tousu/show/id/1372251</t>
  </si>
  <si>
    <t>2019/10/18 18:10:13</t>
  </si>
  <si>
    <t>本人在拍拍贷借款到期有事没还上，拍拍贷客服人员打电话威胁恐吓我，要求拍拍贷出来道歉。</t>
  </si>
  <si>
    <t>速金服高额砍头息</t>
  </si>
  <si>
    <t>http://ts.21cn.com/tousu/show/id/1372250</t>
  </si>
  <si>
    <t>2019/10/18 18:10:12</t>
  </si>
  <si>
    <t>10月18日，15时，15分，在速金服借款2000元，实力到账2000元整，查看还款信息发现，该平台，分6期偿还利息和本金，以及所谓的高额服务费，每期为541元，若按照每期还款方式，最后还款金额为3246元，还有一种方式在11月16日之前一次性付款的话为2697元，而且自己在确认借款信息的时候，信息显示为2500元，还有该合同显示于本人借款金额不同，请该平台如实修改利率以及合法的利息，以及所谓的服务费，改正合法的合同。</t>
  </si>
  <si>
    <t>京东退店不退保证金</t>
  </si>
  <si>
    <t>http://ts.21cn.com/tousu/show/id/1372249</t>
  </si>
  <si>
    <t>2019/10/18 18:09:51</t>
  </si>
  <si>
    <t>我于2019年4月1号申请的退保证金，一直到2019年10月18号还没给退一直驳回说有店铺结算单没缴清，我们也看不到对账单京东客服处理人员一直拖不给退，退保证金只要3个月现在已经7个月了还不处理。</t>
  </si>
  <si>
    <t>http://ts.21cn.com/tousu/show/id/1372247</t>
  </si>
  <si>
    <t>2019/10/18 18:09:45</t>
  </si>
  <si>
    <t>骚扰联系人，诋毁个人的声誉，恐吓家里的老人，爆我通讯录，让我无法工作和正常的生活。</t>
  </si>
  <si>
    <t>融360旗下平台及贷威胁恐吓暴力催收</t>
  </si>
  <si>
    <t>http://ts.21cn.com/tousu/show/id/1372246</t>
  </si>
  <si>
    <t>2019/10/18 18:09:44</t>
  </si>
  <si>
    <t>融360旗下平台及贷，由于本人已经明确表示会想办法还款，下午打电话恐吓我，发信息逼我，说移交给其他部门处理这个事情，上次投诉之后并没有解决，没有人打电话过来，只知道恐吓骚扰本人及联系人，如果聚投诉平台不处理，融360和及贷继续骚扰，不停止，下一步我也只能报警处理。</t>
  </si>
  <si>
    <t>嗨钱，光华普惠恶意骚扰</t>
  </si>
  <si>
    <t>http://ts.21cn.com/tousu/show/id/1372245</t>
  </si>
  <si>
    <t>2019/10/18 18:09:28</t>
  </si>
  <si>
    <t>因为还了还是显示逾期，最后一期并没还，app还是还不了款。</t>
  </si>
  <si>
    <t>来客优平台没有借款，有人电话催还</t>
  </si>
  <si>
    <t>http://ts.21cn.com/tousu/show/id/1372237</t>
  </si>
  <si>
    <t>2019/10/18 18:09:14</t>
  </si>
  <si>
    <t>投诉人杨先生投诉对象来客优商城涉诉金额2500元问题类型诉求类型投诉详情根本没有在这个平台借款，现在有人打电话催还款，还要炸通讯录。</t>
  </si>
  <si>
    <t>http://ts.21cn.com/tousu/show/id/1372232</t>
  </si>
  <si>
    <t>2019/10/18 18:06:44</t>
  </si>
  <si>
    <t>投诉人陶女士投诉对象平安普惠涉诉金额120000元问题类型诉求类型投诉详情刚开始借款时显示的是平安银行保单贷，后面还款的时候发现是通过平安普惠的，借款都是电话办理的，到后面我下载平安普惠才知道是通过平安普惠下款的，根本不是平安银行，我的借款金额120000元，已经还款7万多了，按期还款还要还12多，本身就只借12万，还了7万多，为什么还要还12万多，每月还款本息不是3000多，莫名其妙多了一个服务费和保险费，这个是强制性的，本来就是买了中国平安的人寿保险，不是说拿保单贷款吗，有保单了，为什么每个月还要强制收</t>
  </si>
  <si>
    <t>催收</t>
  </si>
  <si>
    <t>http://ts.21cn.com/tousu/show/id/1372244</t>
  </si>
  <si>
    <t>2019/10/18 18:06:04</t>
  </si>
  <si>
    <t>中信银行信用卡因生意失败用圆梦金临时额度等前后三万吧，这两天催收天天打电话，是个女的，还可以，但是打各种家人电话，而且办卡的时候并没有留他们电话，也不知道从哪来的，天天打，一天好几十个，我现在哺乳期，无业，老公无业，分居，一个人靠微商仅有的一点来源，我最近前前后后也还了5000多，我说我每天都会还款的，还是不听打电话，还说要上门，不还就怎么怎么样。</t>
  </si>
  <si>
    <t>捷信金融公司变相高利贷</t>
  </si>
  <si>
    <t>http://ts.21cn.com/tousu/show/id/1372242</t>
  </si>
  <si>
    <t>2019/10/18 18:05:08</t>
  </si>
  <si>
    <t>本人因创业失败现处于捷信逾期中，也有找工作干着但是和捷信一直处于协商沟通达不成一致，导致给我通讯录骚扰，发催收函到我工作的地方，导致本人现处于失业，然后捷信人员让我去居委会开失业证明我也开了，还是让我还多出本金正常利息的好几倍，我不同意，现在又给我发通知，给我朋友发短信打电话，说起诉我让我缴纳律师费，还有天理么，一共借了三万已经还了两万五千多还要我还两万三，公道自在，，捷信你们不能无法无天！。</t>
  </si>
  <si>
    <t>http://ts.21cn.com/tousu/show/id/1372238</t>
  </si>
  <si>
    <t>2019/10/18 18:04:13</t>
  </si>
  <si>
    <t>投诉人 张先生        投诉对象  钱橙无忧        涉诉金额  168 元    问题类型    诉求类型投诉详情  未经告知，强行扣费168元。应该予以取缔！！！！</t>
  </si>
  <si>
    <t>希望现金巴士能减免一些逾期费用</t>
  </si>
  <si>
    <t>http://ts.21cn.com/tousu/show/id/1372235</t>
  </si>
  <si>
    <t>2019/10/18 18:03:29</t>
  </si>
  <si>
    <t>投诉人 韩先生        投诉对象  现金巴士        涉诉金额  463 元    问题类型    诉求类型投诉详情  借一千块钱 逾期一天收十块钱的费用 找客服协商 客服不愿减免 逾期费用太高了</t>
  </si>
  <si>
    <t>贷款利息超高，已保险的名字乱收费</t>
  </si>
  <si>
    <t>http://ts.21cn.com/tousu/show/id/1372234</t>
  </si>
  <si>
    <t>2019/10/18 18:03:12</t>
  </si>
  <si>
    <t>贷款30000合同确写着35400到账只有30000，还在我不知道的情况下买了保险，阴阳合同，要求退款，严惩！！！。</t>
  </si>
  <si>
    <t>投诉滴滴打车平台严重违规损害个人权益</t>
  </si>
  <si>
    <t>http://ts.21cn.com/tousu/show/id/1372233</t>
  </si>
  <si>
    <t>2019/10/18 18:02:49</t>
  </si>
  <si>
    <t>投诉滴滴出行，我在滴滴出现平台打车，司机距离我距离超过2.5公里以外，滴滴出现打车软件系统显示我已经上车并开始计费，我本人并没有上车，最后等待几十分钟后司机又取消了订单，耽误我重要的时间致我本人冻感冒。</t>
  </si>
  <si>
    <t>匠寓隐瞒费用，态度恶劣</t>
  </si>
  <si>
    <t>http://ts.21cn.com/tousu/show/id/1372231</t>
  </si>
  <si>
    <t>2019/10/18 18:02:47</t>
  </si>
  <si>
    <t>匠寓工作人员在租房时没有讲清楚违约金，没有给我讲具体的合同，当违约退房时要求两倍的违约金，工作人员以客户没有仔细阅读合同为由多长推托，给我多个号码，让我自己去问！态度恶劣！我多次表示要投诉，工作人员说我没有证据，投诉也是无效的！让我投诉去吧！现在就以一种要无所谓状态！。</t>
  </si>
  <si>
    <t>亿联银行菜鸟有钱金鸡下蛋玩躲猫猫</t>
  </si>
  <si>
    <t>http://ts.21cn.com/tousu/show/id/1372230</t>
  </si>
  <si>
    <t>2019/10/18 18:02:36</t>
  </si>
  <si>
    <t>亿联银行帮助高利贷平台菜鸟有钱，金鸡下蛋发放贷款！经过举报之后，客服给我打电话拒不提供平台的公司信息，找了一个协调方，协调人员中午说有人和我联系，亿联银行.金鸡下蛋和菜鸟有钱都没有和我协商！请以上三个部门尽快和我联系，同时希望所有受害人在下面评论。</t>
  </si>
  <si>
    <t>my钱包逾期暴力催收</t>
  </si>
  <si>
    <t>http://ts.21cn.com/tousu/show/id/1372229</t>
  </si>
  <si>
    <t>2019/10/18 18:02:09</t>
  </si>
  <si>
    <t>my钱包收取高额砍头息费用，借款周期为三个月，收取高额看头息费，暴利催收，恐吓通讯录联系人以及本人。</t>
  </si>
  <si>
    <t>邮政快递员态度恶劣</t>
  </si>
  <si>
    <t>http://ts.21cn.com/tousu/show/id/1372227</t>
  </si>
  <si>
    <t>2019/10/18 18:01:44</t>
  </si>
  <si>
    <t>当兵的朋友，因为部队要求换电话号码，把手机号码寄回家，快递没有到达我的手上，打电话给快递员，快递员态度极其恶劣，态度极差，说什么他能怎么办，他说他每到一个快递会发信息，但我没有收到他的信息，知道快递到了还是当兵朋友发给我的单号，自己去网上搜索的。</t>
  </si>
  <si>
    <t>小米金融恶意骚扰并群发短信</t>
  </si>
  <si>
    <t>http://ts.21cn.com/tousu/show/id/1372223</t>
  </si>
  <si>
    <t>2019/10/18 18:00:56</t>
  </si>
  <si>
    <t>小米金融无顾取消本人贷款分期，导致个人无力偿还，导致个人征信受损，客服并不接受解释强行群发短信，本人目前深受网贷困扰，希望有关公司能及时受理。</t>
  </si>
  <si>
    <t>减免利息</t>
  </si>
  <si>
    <t>http://ts.21cn.com/tousu/show/id/1372224</t>
  </si>
  <si>
    <t>投诉人 石先生        投诉对象  我来数科,我来贷        涉诉金额  4 000 元    问题类型    诉求类型投诉详情  都还完结清，减免400逾期费用，申请返还</t>
  </si>
  <si>
    <t>高额逾期费，砍头息</t>
  </si>
  <si>
    <t>http://ts.21cn.com/tousu/show/id/1372225</t>
  </si>
  <si>
    <t>2019/10/18 18:00:48</t>
  </si>
  <si>
    <t>本人在现金巴士借款十多多次每次按时还款从未逾期每次借款现金巴士都收取数十到一百多元所谓信用担保费用，期限14天到3个月，本人这次借款一千元要支付包括信用担保费用130元由于此次本人周转问题导致逾期，逾期费用过高，364元的借款，每天逾期费10元，远高于国家标准，希望给与部分减免，本人借款给与平台的各种服务费已经数倍于借款本金。</t>
  </si>
  <si>
    <t>高利贷网贷</t>
  </si>
  <si>
    <t>http://ts.21cn.com/tousu/show/id/1372222</t>
  </si>
  <si>
    <t>2019/10/18 18:00:34</t>
  </si>
  <si>
    <t>投诉人 伊西求        投诉对象  盈盈有钱        涉诉金额  9 000 元    问题类型    诉求类型投诉详情  骚扰电话 态度差 爆通讯录 骂人 影响正常生活</t>
  </si>
  <si>
    <t>招联金融暴力催收，并且言语辱骂</t>
  </si>
  <si>
    <t>http://ts.21cn.com/tousu/show/id/1372221</t>
  </si>
  <si>
    <t>2019/10/18 18:00:30</t>
  </si>
  <si>
    <t>本人在招联金融借款未按时还款，招联金融催收人员对其本人进行言语上的侮辱及恐吓。</t>
  </si>
  <si>
    <t>健康管理师#佰汇教育#伪造卫健委授权招生</t>
  </si>
  <si>
    <t>http://ts.21cn.com/tousu/show/id/1372187</t>
  </si>
  <si>
    <t>2019/10/18 17:59:52</t>
  </si>
  <si>
    <t>百汇教育,佰汇精英,佰汇教育,北京佰汇精英教育科技有限公司,北京佰汇博学教育咨询有限公司，健康管理师#佰汇教育#伪造卫健委授权招生百汇教育以卫健委官方名义宣传，询问过卫健委并没有相关授权，这一切授权都是假的。</t>
  </si>
  <si>
    <t>微信支付侵占个人钱款</t>
  </si>
  <si>
    <t>http://ts.21cn.com/tousu/show/id/1372220</t>
  </si>
  <si>
    <t>2019/10/18 17:59:47</t>
  </si>
  <si>
    <t>湘江投资公司卖房建好房子不交房</t>
  </si>
  <si>
    <t>http://ts.21cn.com/tousu/show/id/1372218</t>
  </si>
  <si>
    <t>2019/10/18 17:59:38</t>
  </si>
  <si>
    <t>本人于2018年11月在遵义市湘江大道舟水桥组团买了一套房子，买房是说2019年4月30交房但是到10月都没有交房，我们业主去找他们公司缺对我们的诉求不理，现在我们钱也退不了房子也接不了，我一个老百姓好不容易凑齐首付买房还被骗了，希望贵平台能够帮忙解决我的诉求。</t>
  </si>
  <si>
    <t>没有在安享花贷款，催收打我电话</t>
  </si>
  <si>
    <t>http://ts.21cn.com/tousu/show/id/1372219</t>
  </si>
  <si>
    <t>2019/10/18 17:59:27</t>
  </si>
  <si>
    <t>我没有在安享花贷款，催收老给我打电话，真的太气人了。</t>
  </si>
  <si>
    <t>趣用app借贷利率过高，年化率高达35.85%</t>
  </si>
  <si>
    <t>http://ts.21cn.com/tousu/show/id/1372217</t>
  </si>
  <si>
    <t>2019/10/18 17:58:51</t>
  </si>
  <si>
    <t>9月28日在微博平台借款5500，当时因为觉得微博是个大平台没有细看，就直接借款了，借款之后发现，年化率居然高达35.85%，这直接就是跟国家法规打擦边球了，我觉得自己收到了坑骗，当我在软件里找合同时，居然找不到合同，也就是他单方面有合同，而我却不清楚是怎样的，我现在只想提前全款结清，只偿还本金。</t>
  </si>
  <si>
    <t>来分期恶意催收</t>
  </si>
  <si>
    <t>http://ts.21cn.com/tousu/show/id/1372216</t>
  </si>
  <si>
    <t>2019/10/18 17:58:47</t>
  </si>
  <si>
    <t>投诉人叶先生投诉对象来分期涉诉金额363元问题类型诉求类型投诉详情犹豫我上班不方便接电话，来分期就从早上九点半一直到下午五点多，中途打了18个电话催收，我接了和他们说晚点下班我会处理，还是一个劲的打电话，望有关部门重视管理一下，万分感谢。</t>
  </si>
  <si>
    <t>http://ts.21cn.com/tousu/show/id/1372213</t>
  </si>
  <si>
    <t>2019/10/18 17:57:18</t>
  </si>
  <si>
    <t>投诉人 马先生        投诉对象  拍拍贷,分期乐        涉诉金额  0 元    问题类型    诉求类型投诉详情  骚扰电话 信息 轰炸 呼死你 恶意催收 言语恶劣 涉嫌涉黑</t>
  </si>
  <si>
    <t>信用卡暴力催收</t>
  </si>
  <si>
    <t>http://ts.21cn.com/tousu/show/id/1372214</t>
  </si>
  <si>
    <t>2019/10/18 17:57:11</t>
  </si>
  <si>
    <t>投诉人张女士投诉对象平安银行涉诉金额10000元问题类型诉求类型投诉详情请不要骚扰请朋友好友，很多人都收到平安银行催收电话，骚扰电话。</t>
  </si>
  <si>
    <t>交通银行对非欠款人进行骚扰及名誉诋毁</t>
  </si>
  <si>
    <t>http://ts.21cn.com/tousu/show/id/1372212</t>
  </si>
  <si>
    <t>2019/10/18 17:57:01</t>
  </si>
  <si>
    <t>本人是欠债人家属，本人未持有及欠交通银行钱交通银行信用卡中心对本人及公司同事、朋友、进行电话骚扰及名誉诋毁。</t>
  </si>
  <si>
    <t>没经同意扣费</t>
  </si>
  <si>
    <t>http://ts.21cn.com/tousu/show/id/1372211</t>
  </si>
  <si>
    <t>2019/10/18 17:56:39</t>
  </si>
  <si>
    <t>当初缺钱周转、情急之下找上网贷软件人人花、在进行一系列的信息认证过后、提示我绑定银行卡、明确提示会有0.1元的绑卡费用、之后便要求生成一份个人信誉评估报告还是什么文件、需要花费288米豆、然而这个米豆并没有明确表示和现金挂钩、当时本人就只认为那个所谓的米豆只是虚拟货币、所以点击了生成文件，当时本人银行卡里并没有钱、然后显示了支付成功、随后便是长时间的审核过程，我也就没有搭理过这个软件、直到第三天晚上，我卡上现金充足了、在我不知情的情况下、直接划扣掉我288现金，最后得知是人人花平台扣除我的这部分钱之后找上人</t>
  </si>
  <si>
    <t>退款，退款，退款，短信功能无法正常使用</t>
  </si>
  <si>
    <t>http://ts.21cn.com/tousu/show/id/1372210</t>
  </si>
  <si>
    <t>2019/10/18 17:56:36</t>
  </si>
  <si>
    <t>从10号开始到现在，一直没有处理问题，中间有打过一个电话给我，由于铃声静音没有接到，之后就无人再联系我，难道欺骗消费者都没有人管的吗。</t>
  </si>
  <si>
    <t>易程天下销售贵宾卡，未向消费者如实讲清贵宾卡使用规则</t>
  </si>
  <si>
    <t>http://ts.21cn.com/tousu/show/id/1372184</t>
  </si>
  <si>
    <t>2019/10/18 17:56:26</t>
  </si>
  <si>
    <t>本人于2017年8月21日末在河南郑州机场办理一张易程航空贵宾卡，由于当时销售人员称存入1380元可赠1380元的优惠活动，以后购买机票可折上折，后来我用此卡购买机票时，去哪网显示机票价格460元，易程航空给票价460元，卡内可抵优惠50元，还需另行支付410元，此卡只能扣走50元，第一，由于当时销售人员未说明该情况，存在恶意欺骗消费者的行为，第二，销售人员说可以终身享受签约机场贵宾休息厅，，VIP卡上显示可以享受签约机场贵宾休息厅，，现在打电话给客服预定贵宾休息室，客服答复只有一年的有效期。</t>
  </si>
  <si>
    <t>苏宁任性付暴力催收</t>
  </si>
  <si>
    <t>http://ts.21cn.com/tousu/show/id/1372209</t>
  </si>
  <si>
    <t>2019/10/18 17:56:13</t>
  </si>
  <si>
    <t>投诉人张女士投诉对象苏宁任性付涉诉金额438元问题类型诉求类型投诉详情苏宁任性付暴力催收威胁恐吓当事人联系通讯录，骚扰当事人。</t>
  </si>
  <si>
    <t>http://ts.21cn.com/tousu/show/id/1372207</t>
  </si>
  <si>
    <t>2019/10/18 17:56:02</t>
  </si>
  <si>
    <t>投诉人杨先生投诉对象京东商城,京东金融涉诉金额30000元问题类型诉求类型投诉详情本人于2019年4月一号申请的退保证金，一直到2019年10月18号还没退保证金，打电话说京东研发有个对账单没有处理好，为什么你们研发的错误要我们商家来承担后果，打电话客服打太极一直拖拖拖，说在解决，根本就解决不了问题，店铺有欠款你让欠款让我们商家看到，我们及时缴纳进去，说店铺欠款600多我们也在钱包里缴纳了700进去了欠多少你们可以直接扣不要为了几百块钱而不退几十万的保证金，希望你们尽快解决，我们是农村的钱对我们很重要，我们</t>
  </si>
  <si>
    <t>要求提前结清贷款</t>
  </si>
  <si>
    <t>http://ts.21cn.com/tousu/show/id/1372206</t>
  </si>
  <si>
    <t>2019/10/18 17:55:59</t>
  </si>
  <si>
    <t>平台无法提前结清贷款，已多次与客服沟通，无法成功申请，每次申请都提示“第二天再来”。</t>
  </si>
  <si>
    <t>中腾信暴力催收，威胁上门，骚扰家人及朋友</t>
  </si>
  <si>
    <t>http://ts.21cn.com/tousu/show/id/1372205</t>
  </si>
  <si>
    <t>2019/10/18 17:55:56</t>
  </si>
  <si>
    <t>10月18日，委托第三方崔收，对我进行要上门收全款的威胁，我及我爱人和第三方协商沟通，确直接被拒绝，说他们就是清账的，上门就收全款，事后，我又与中腾信客户联系，等到的答案是，因为逾期太久，他们交给第三方处理，协商都是找第三方，他们没有办法处理。</t>
  </si>
  <si>
    <t>快贷宝里面的樱桃贷</t>
  </si>
  <si>
    <t>http://ts.21cn.com/tousu/show/id/1372208</t>
  </si>
  <si>
    <t>2019/10/18 17:55:54</t>
  </si>
  <si>
    <t>涉诉金额1500元问题类型诉求类型投诉详情快贷宝原贷款大师里面的樱桃贷高额砍头息！高利贷冒充公检法骚扰我得通讯录！找他们协商还本金加正常利息不愿意！就打电话恐吓！。</t>
  </si>
  <si>
    <t>玖富万卡变相收取费用，高利贷，阴阳合同。</t>
  </si>
  <si>
    <t>http://ts.21cn.com/tousu/show/id/1372204</t>
  </si>
  <si>
    <t>2019/10/18 17:55:48</t>
  </si>
  <si>
    <t>投诉人张女士投诉对象玖富涉诉金额50000元问题类型诉求类型投诉详情该平台合同金额和实际到账金额不相符，本人借贷本金为50000元，期限为36期，现本人已经暴雷，只能还其剩余本金及法律保护的利息部分。</t>
  </si>
  <si>
    <t>禁止提现</t>
  </si>
  <si>
    <t>http://ts.21cn.com/tousu/show/id/1372203</t>
  </si>
  <si>
    <t>2019/10/18 17:55:22</t>
  </si>
  <si>
    <t>投诉人高先生投诉对象哈啰出行涉诉金额334.30元问题类型诉求类型投诉详情10月3号禁止提现，禁止余额消费，但是又可以买哈啰骑行卡，500多块钱现在还有300多，至今不能提现，找客服永远是敷衍了事，投诉无门！。</t>
  </si>
  <si>
    <t>工行卡16日下午无缘无故被扣200，每笔100，并且是快捷支付除了支付宝其他已注销的情况下</t>
  </si>
  <si>
    <t>http://ts.21cn.com/tousu/show/id/1372185</t>
  </si>
  <si>
    <t>2019/10/18 17:55:18</t>
  </si>
  <si>
    <t>因为这个银行卡绑的是原来的手机号，所以扣款没有短信，工行app里面查交易详情是走的银联平台，户名是：中国银联股份有限公司广东分公司专户07,打银联人工经查询是，中国银联股份有限公司广东分公司专户07,打银联人工经查询是（特约）小通商城通联支付渠道并查出了该渠道的电话号码4006695193，询问人工客服转至通联支付微信公众号在线人工客服提供一些信息经最后查到扣款单位是上海华瑞银行股份有限公司，对于该公司的做法严重侵犯了我个人权利，请求维权，希望学生的钱来之不易，虽说金额不大，但是有了第一次难保没有第二次的发</t>
  </si>
  <si>
    <t>无缘无故被扣钱也不通知</t>
  </si>
  <si>
    <t>http://ts.21cn.com/tousu/show/id/1372201</t>
  </si>
  <si>
    <t>2019/10/18 17:54:58</t>
  </si>
  <si>
    <t>投诉人张卫明投诉对象造诣涉诉金额299元问题类型诉求类型投诉详情本人没有任何操作，更加不知道海南萨姆尔科技有限公司是什么鬼，9月18日下午17点31突然收到一条银行卡扣款信息，消费299元，我就奇怪，立马查询查到海南萨姆尔*科技有限公司扣款，没有任何密码，就从我的银行卡扣去299元，要求萨姆尔*科技有限公司退款,打他们客服电话比登天还难啊，终于接通了各种理由，扣款一秒钟，让他们退款各种霸王条款，假如说真的退钱了也需要2个月的时间，我就希望能原路退回我的钱，现在各种套路，伤不起啊。</t>
  </si>
  <si>
    <t>闪银无任何短信还款提示导致逾期，要求免除逾期费</t>
  </si>
  <si>
    <t>http://ts.21cn.com/tousu/show/id/1372200</t>
  </si>
  <si>
    <t>2019/10/18 17:54:40</t>
  </si>
  <si>
    <t>本人于6月份在闪银新至尊借款1600元，平台收取了多种费用，一共分三期还款，前两期平台均有短信提示我还款，但最后一期我一直没有收到任何短信提示还款，导致我逾期22天之久才知道我还有一期未还，由于我之前有提前还款，一直以为自己已经结清，没想到闪银没有任何还款提示致使我逾期那么多天，打电话给闪银平台，首先催收部门承认可能他们的软件出了问题，其次闪银客服又说有些资方是没有短信通知还款的，但是我这笔借款前两期一直都有短信还款提示，唯独这最后一期没有，这说不通，我现强烈要求闪银方免除我的逾期费用，我将立即结清最后一期</t>
  </si>
  <si>
    <t>找靓机上买手机，才二十多天就坏了，还说我私拆过</t>
  </si>
  <si>
    <t>http://ts.21cn.com/tousu/show/id/1372199</t>
  </si>
  <si>
    <t>2019/10/18 17:54:39</t>
  </si>
  <si>
    <t>投诉人张女士投诉对象找靓机涉诉金额1199元问题类型诉求类型投诉详情找靓机上买手机，才二十多天就坏了，送回去保修，他们说我自己私拆过，可是我没有私拆，跟他们联系，他们也不管，还要我自己付钱。</t>
  </si>
  <si>
    <t>建设银行工作人员同意协商还款却委托律师起诉</t>
  </si>
  <si>
    <t>http://ts.21cn.com/tousu/show/id/1372198</t>
  </si>
  <si>
    <t>2019/10/18 17:54:15</t>
  </si>
  <si>
    <t>投诉人张先生投诉对象建设银行涉诉金额8590元问题类型诉求类型投诉详情本人建设银行信用卡逾期中，建行工作人员说我在21号前先还一部分欠款，然后帮我申请分期还款，结果今天我却收到建行委托律师的短信，说我必须在22号前结清所有欠款，否则有严重后果，我与建行工作人员说了我每月月底会还2000元，但是现在看来建行是想把我逼上绝路，我想知道建行是想要还钱的呢，还是想要我死成为呆账。</t>
  </si>
  <si>
    <t>小赢卡贷合同标注不明</t>
  </si>
  <si>
    <t>http://ts.21cn.com/tousu/show/id/1372197</t>
  </si>
  <si>
    <t>2019/10/18 17:54:13</t>
  </si>
  <si>
    <t>在小赢卡贷里面办理贷款，没有明确告知有保费，还款明细里面写的很清楚是每月2900多点，但是在还款的时候竟然第一个月产生保费1000多，借款30000竟然保费得1000多，加上36%的年化利息，简直就是吸血！！太坑了，希望贵平台帮我反馈，让小赢卡贷把多收的费用退回，谢谢。</t>
  </si>
  <si>
    <t>威胁恐吓，</t>
  </si>
  <si>
    <t>http://ts.21cn.com/tousu/show/id/1372196</t>
  </si>
  <si>
    <t>2019/10/18 17:53:55</t>
  </si>
  <si>
    <t>投诉人郑女士投诉对象买单侠涉诉金额2756元问题类型诉求类型投诉详情邮件发送过来自称是江苏圆点律师事务所催收员叫陈坤。</t>
  </si>
  <si>
    <t>高利贷威胁我</t>
  </si>
  <si>
    <t>http://ts.21cn.com/tousu/show/id/1372193</t>
  </si>
  <si>
    <t>2019/10/18 17:53:05</t>
  </si>
  <si>
    <t>投诉人王昊投诉对象买买乐购涉诉金额3700元问题类型诉求类型投诉详情威胁我威胁我的家人未经允许私自骚扰我的通讯录联系人借款3700需还款5400我已经被你们折磨的活不下去了我的名誉严重受损我要求赔偿我的名誉损失费，我不是恶意拖欠欠款我遇到了一点难处你们为什么要这样折磨我借款3700要还款5400这不是高利贷是什么国家的法律是公正的作为一名纳税人我有权受法律保护。</t>
  </si>
  <si>
    <t>美团钱袋子乱扣钱</t>
  </si>
  <si>
    <t>http://ts.21cn.com/tousu/show/id/1372192</t>
  </si>
  <si>
    <t>2019/10/18 17:53:01</t>
  </si>
  <si>
    <t>美团钱袋子无缘无故扣钱，一天内连续出现两次了！！。</t>
  </si>
  <si>
    <t>讯联智付中兴付违规给套路贷砍头息app提供支付渠道造成本人巨额损失并郁郁寡欢</t>
  </si>
  <si>
    <t>http://ts.21cn.com/tousu/show/id/1372194</t>
  </si>
  <si>
    <t>2019/10/18 17:52:54</t>
  </si>
  <si>
    <t>从2019年5月到2019年9月期间，讯联智付，讯联智付（中兴付）违反第三方支付机构管理条例违规为非法高利贷套路贷平台提供支付渠道短短5个月，从本人建设银行卡中刷取6万余元，能够提供每一笔扣款的扣款证据，对于能提供证据的交易请退还40％的砍头息费用，对于无法提供证据的希望讯联智付，希望该支付平台能加快处理进度，及时与本人联系，如果账户消极应对，那我也只能通过清算协会，央行，信访等方式追回本人财产损失。</t>
  </si>
  <si>
    <t>退罚息</t>
  </si>
  <si>
    <t>http://ts.21cn.com/tousu/show/id/1372191</t>
  </si>
  <si>
    <t>2019/10/18 17:52:48</t>
  </si>
  <si>
    <t>投诉人孟先生投诉对象马上消费金融涉诉金额3600元问题类型诉求类型投诉详情负责人态度恶劣，坚持不退，躲避退款问题，声称合法收取，没有一点解决问题的态度。</t>
  </si>
  <si>
    <t>比特矿场还我血汗钱</t>
  </si>
  <si>
    <t>http://ts.21cn.com/tousu/show/id/1372182</t>
  </si>
  <si>
    <t>2019/10/18 17:52:42</t>
  </si>
  <si>
    <t>比特矿场联合广东信汇电子商务有限公司以投资理财高额回报多少天回本卷款跑路了，充值以后就关网了，网站软件都进不去了，第一次说投49可以收益73块钱&amp;nbsp;第一次提现到账了&amp;nbsp;转账付款方是广东信汇电子商务有限公司的后面再充值然后昨天就跑了开始网站软件都进不去了&amp;nbsp;广东信汇电子商务有限公司涉嫌跟比特矿场合伙&amp;nbsp;合作提供支付通道&amp;nbsp;我现在只想要回赔偿。</t>
  </si>
  <si>
    <t>利息高的吓人，我借款33000利息要我还24723.6.还扣了我手续费4800</t>
  </si>
  <si>
    <t>http://ts.21cn.com/tousu/show/id/1372190</t>
  </si>
  <si>
    <t>2019/10/18 17:52:06</t>
  </si>
  <si>
    <t>利息高的吓人，借本金33000要还24723.6.并且还收了手续费4800。</t>
  </si>
  <si>
    <t>每日优鲜虚假宣传，误导诱导用户</t>
  </si>
  <si>
    <t>http://ts.21cn.com/tousu/show/id/1372189</t>
  </si>
  <si>
    <t>2019/10/18 17:51:38</t>
  </si>
  <si>
    <t>投诉人 邹女士        投诉对象  每日优鲜        涉诉金额  1 元    问题类型    诉求类型投诉详情  每日优鲜拼团成功 一直不补货 也不退款 说只能退红包不能退钱</t>
  </si>
  <si>
    <t>左右钱包高利贷，暴力催收</t>
  </si>
  <si>
    <t>http://ts.21cn.com/tousu/show/id/1372188</t>
  </si>
  <si>
    <t>2019/10/18 17:50:18</t>
  </si>
  <si>
    <t>高利贷，假合同，高额砍头息，还了2期实在还不起了。</t>
  </si>
  <si>
    <t>贷款7万合同却是10万多</t>
  </si>
  <si>
    <t>http://ts.21cn.com/tousu/show/id/1372186</t>
  </si>
  <si>
    <t>2019/10/18 17:50:17</t>
  </si>
  <si>
    <t>2017年11月27日在西安银谷普惠贷款7万元，合同却是10万多，实际到账7万，截止目前已还74000左右。</t>
  </si>
  <si>
    <t>支付宝支付成功的后发现支付错误联系不上对方，款要求追回</t>
  </si>
  <si>
    <t>http://ts.21cn.com/tousu/show/id/1372183</t>
  </si>
  <si>
    <t>2019/10/18 17:49:08</t>
  </si>
  <si>
    <t>支付宝支付成功后发现支付错误，联系不上对方。</t>
  </si>
  <si>
    <t>经常收到捷信的推销广告。请终止</t>
  </si>
  <si>
    <t>http://ts.21cn.com/tousu/show/id/1372181</t>
  </si>
  <si>
    <t>2019/10/18 17:48:31</t>
  </si>
  <si>
    <t>近一个月经常收到捷信公司的短信骚扰，严重叨扰我的生活，请尽快停止。</t>
  </si>
  <si>
    <t>你我贷威胁上门</t>
  </si>
  <si>
    <t>http://ts.21cn.com/tousu/show/id/1372180</t>
  </si>
  <si>
    <t>2019/10/18 17:47:48</t>
  </si>
  <si>
    <t>投诉人 张女士        投诉对象  你我贷        涉诉金额  4 000 元    问题类型    诉求类型投诉详情  三番五次打电话威胁上门 高利贷砍头息 如果去我就报警</t>
  </si>
  <si>
    <t>人人贷砍头息非法融资</t>
  </si>
  <si>
    <t>http://ts.21cn.com/tousu/show/id/1372179</t>
  </si>
  <si>
    <t>2019/10/18 17:47:36</t>
  </si>
  <si>
    <t>2019年9月20号因为资金短缺向人人贷借款平台借款15000块钱，我就借了，但是等了好几天都没有放款到第三天的时候才放款，当天我要提前还款，在她们平台上发现提前还款要扣除违约金和手续费，费用非常高昂而且我贷了15000块钱实际到账只有14320块钱，，还有500块钱的借款我当天就提前还款既然收了我136块钱服务费，，之前打电话给它们客服客服当时同意协商处理，现在暂时不能提前还款要等到下个月15号才可以，我说我考虑一下，之后再打电话给他们，她们说现在不可以免除服务费必须要收取服务费与违约金和高额的利息。</t>
  </si>
  <si>
    <t>小花钱包暴力催收，客服协商无效</t>
  </si>
  <si>
    <t>http://ts.21cn.com/tousu/show/id/1372177</t>
  </si>
  <si>
    <t>2019/10/18 17:47:24</t>
  </si>
  <si>
    <t>本人昨天在聚投诉里和小花钱包协商给三天宽限期，这三天小花钱包催收不要催，小花钱包客服也说了帮忙把诉求转交给催收组，结果今天还是照样催收，难道小花钱包的客服都一点没有约束吗，回应都是敷衍，催收的一点素质都没有，都没有好好沟通就到处去恶心别人，有一点道德吗。</t>
  </si>
  <si>
    <t>淘宝限制下单永久</t>
  </si>
  <si>
    <t>http://ts.21cn.com/tousu/show/id/1372178</t>
  </si>
  <si>
    <t>2019/10/18 17:47:13</t>
  </si>
  <si>
    <t>淘宝网在2019年10月6日的时候把我多年使用的淘宝账户进行了限制下单处理，原因说我使用不当，我多年的正常购物喜欢买东西，怎么就使用不当，经过了解说我最近的退货率太高了，我买东西多不喜欢的难道就不能申请退换货吗，七天无理由退换货也是你们认可的给我们消费者的权益，再说了我这个都是正常的退换货又不是投诉卖家的退换货处理，淘宝如此举动实在让人心寒，感谢！以下是我的淘宝账户以及账户内的动态，淘宝官方宣称我滥用购买权利，申请退款，发起投诉这样的理由来限制我下单，首先何为滥用购买权利，那就是同一时间下单超过多少次才能算</t>
  </si>
  <si>
    <t>无服务私自扣款</t>
  </si>
  <si>
    <t>http://ts.21cn.com/tousu/show/id/1372175</t>
  </si>
  <si>
    <t>2019/10/18 17:46:22</t>
  </si>
  <si>
    <t>投诉人 张陶        投诉对象  大庆语诗铭科技有限公司。罗汉分期        涉诉金额  132 元    问题类型    诉求类型投诉详情  请求退款，解除快捷支付模式。希望尽快处理这些</t>
  </si>
  <si>
    <t>http://ts.21cn.com/tousu/show/id/1372174</t>
  </si>
  <si>
    <t>2019/10/18 17:46:07</t>
  </si>
  <si>
    <t>一直是高息投诉过未处理现在还让我打电话给一个私人电话想暴力催收。</t>
  </si>
  <si>
    <t>银行卡无故被美团特约扣款</t>
  </si>
  <si>
    <t>http://ts.21cn.com/tousu/show/id/1372173</t>
  </si>
  <si>
    <t>2019/10/18 17:45:52</t>
  </si>
  <si>
    <t>，找了半天没找到美团人工客服，只有银行流水上可以查到。</t>
  </si>
  <si>
    <t>51金钱贷（盈火科技）非法放高利贷，暴力催收，威胁，恐吓，暴通讯录</t>
  </si>
  <si>
    <t>http://ts.21cn.com/tousu/show/id/1372172</t>
  </si>
  <si>
    <t>2019/10/18 17:45:26</t>
  </si>
  <si>
    <t>杭州龙盈互联网金融信息技术有限公司，通过51公积金APP非法放高利贷，利率高达50%，非法暴力催收，威胁恐吓，暴通讯录，给我个人生活带来非常大的影响。</t>
  </si>
  <si>
    <t>上海你我贷暴力催收，已无欠款</t>
  </si>
  <si>
    <t>http://ts.21cn.com/tousu/show/id/1372168</t>
  </si>
  <si>
    <t>2019/10/18 17:44:58</t>
  </si>
  <si>
    <t>借一万等额本息还了11540,八月份开始就暴力催收，骚扰我家人，从那一刻起，我和你我贷已两清，接下来永无止境的骚扰，现在起我申明不欠你我贷任何债务，如果觉得不对可以走法律途径，如再骚扰，我一定会到上海总部和法人及工作人员一起同归于尽，对你们已经忍无可忍了。</t>
  </si>
  <si>
    <t>网贷</t>
  </si>
  <si>
    <t>http://ts.21cn.com/tousu/show/id/1372167</t>
  </si>
  <si>
    <t>2019/10/18 17:44:56</t>
  </si>
  <si>
    <t>借8000要还12700多，只逾期了三天就打爆通讯录，还说再不还进去就要移交给上面催收，每天都联系亲朋好友。</t>
  </si>
  <si>
    <t>京东活力花催收人员威胁恐吓辱骂暴力催收！</t>
  </si>
  <si>
    <t>http://ts.21cn.com/tousu/show/id/1372170</t>
  </si>
  <si>
    <t>2019/10/18 17:44:53</t>
  </si>
  <si>
    <t>电话打通后就开始各种威胁，我说了20号还款给我宽限两天，他就开始说，要打我通讯录电话一个一个打，然后开始辱骂我和威胁我，现在还是不是法治社会了。</t>
  </si>
  <si>
    <t>小花钱包高利贷</t>
  </si>
  <si>
    <t>http://ts.21cn.com/tousu/show/id/1372169</t>
  </si>
  <si>
    <t>2019/10/18 17:44:43</t>
  </si>
  <si>
    <t>小花钱包当时我用1万5，借款1万5，分24期，显示审核中，到账了以后一看，需要还款22956元，现在还了10期了，还了10575.1元，还了快一年了，还了这么多了，剩余还款还剩13391元，还了1万多了，还有一万三，这不坑人吗，高利贷，而且还阴阳合同，当时借款是显示的不是这样的。</t>
  </si>
  <si>
    <t>闪银暴力催收</t>
  </si>
  <si>
    <t>http://ts.21cn.com/tousu/show/id/1372166</t>
  </si>
  <si>
    <t>2019/10/18 17:44:41</t>
  </si>
  <si>
    <t>闪银暴力催收，打着银行名义给通讯录里所有联系人打电话，骚扰联系人，现在要求闪银停止暴力催收并且严禁打通讯录电话，否则本人报警处理。</t>
  </si>
  <si>
    <t>平安银行无故拒发货</t>
  </si>
  <si>
    <t>http://ts.21cn.com/tousu/show/id/1372165</t>
  </si>
  <si>
    <t>2019/10/18 17:43:41</t>
  </si>
  <si>
    <t>我于10月3日在平安官方app“平安口袋银行”上购买了华为Mate，pro手机，使用了一张700元的优惠券，但是平安银行一直不给予发货，最后还将订单取消掉，导致我的700元优惠券无法再使用，我多次拨打平安客服电话，但是平安银行置之不理，一次都未进行回复过，现恳请贵平台能够进行协调，不胜感激！。</t>
  </si>
  <si>
    <t>骚扰我和我的家人朋友</t>
  </si>
  <si>
    <t>http://ts.21cn.com/tousu/show/id/1372164</t>
  </si>
  <si>
    <t>2019/10/18 17:43:40</t>
  </si>
  <si>
    <t>一天打几十个电话，希望不要打电话了，我会还的。</t>
  </si>
  <si>
    <t>支付宝借呗恶意催收</t>
  </si>
  <si>
    <t>http://ts.21cn.com/tousu/show/id/1372163</t>
  </si>
  <si>
    <t>2019/10/18 17:42:20</t>
  </si>
  <si>
    <t>支付宝借呗委托三方催收，问催收也不说自己是什么公司，因资金困难停止一月还款，催收一直恐吓，上门什么的，望支付宝这边给予合理解释，本人次月继续还款，望停止骚扰。</t>
  </si>
  <si>
    <t>快钱支付帮违规套路贷砍头息平台违规收费</t>
  </si>
  <si>
    <t>http://ts.21cn.com/tousu/show/id/1372162</t>
  </si>
  <si>
    <t>2019/10/18 17:42:08</t>
  </si>
  <si>
    <t>快钱支付在今年8月期间，通过本人银行卡向违规是套路贷平台提供支付渠道并扣款5876元，给本人造成巨大经济损失，希望快钱支付能够提供相应扣款证据，证明资金去向用途，并给予本人退款赔偿。</t>
  </si>
  <si>
    <t>http://ts.21cn.com/tousu/show/id/1372161</t>
  </si>
  <si>
    <t>2019/10/18 17:41:52</t>
  </si>
  <si>
    <t>已经还款，还打本人电话骚扰，甚至联系家属，此种行为十分可耻。</t>
  </si>
  <si>
    <t>及贷高额利息</t>
  </si>
  <si>
    <t>http://ts.21cn.com/tousu/show/id/1372160</t>
  </si>
  <si>
    <t>2019/10/18 17:41:50</t>
  </si>
  <si>
    <t>本金35000元及贷已还款7期，共26526.99元，，现在还要还18947.81利率太高提前还清还要手续费，。</t>
  </si>
  <si>
    <t>http://ts.21cn.com/tousu/show/id/1372158</t>
  </si>
  <si>
    <t>2019/10/18 17:41:30</t>
  </si>
  <si>
    <t>本人于2019年4月1号申请的退保证金，一直到2019年10月18号还没给退，一直驳回，说店铺有结算单没缴清，我们也看不到对账单，京东客服处理人员一直打太极，一直拖，退保证金只要3个月，现在都快一年了，迟迟不给退，打电话就说在处理在催促，希望尽快解决。</t>
  </si>
  <si>
    <t>http://ts.21cn.com/tousu/show/id/1372159</t>
  </si>
  <si>
    <t>2019/10/18 17:41:12</t>
  </si>
  <si>
    <t>小花钱包暴力催收泄露借款人信息，骚扰亲朋好友，其威胁恐吓等暴力方式已严重影响到本人的工作与生活，在此投诉请求停止骚扰。</t>
  </si>
  <si>
    <t>恶劣涨幅</t>
  </si>
  <si>
    <t>http://ts.21cn.com/tousu/show/id/1372157</t>
  </si>
  <si>
    <t>2019/10/18 17:40:35</t>
  </si>
  <si>
    <t>本人在兴业银行信用卡中心14000因为出车祸了在医院??住院不能按时还款希望银行理解一下帮我分期每个月还催收人员打电话态度非常恶劣找到老人也是恶劣恐吓我法院起诉我。</t>
  </si>
  <si>
    <t>松紧贷套路贷涉黑团伙暴力催收</t>
  </si>
  <si>
    <t>http://ts.21cn.com/tousu/show/id/1372156</t>
  </si>
  <si>
    <t>2019/10/18 17:40:34</t>
  </si>
  <si>
    <t>投诉人秦女士投诉对象松紧贷涉诉金额10000元问题类型诉求类型投诉详情套路贷利率超过国家规定逾期一条，暴力威胁催收，短信恐吓，电话骚扰并对短信验证码进行骚扰，骚扰通讯录。</t>
  </si>
  <si>
    <t>嗨钱网正常还款海尔金融乱上我征信报告</t>
  </si>
  <si>
    <t>http://ts.21cn.com/tousu/show/id/1372155</t>
  </si>
  <si>
    <t>2019/10/18 17:39:43</t>
  </si>
  <si>
    <t>是亨元金融嗨钱网跟你们对接问题、我正常还款你们公司凭什么上我的征信报告、！而且最后三期我都直接打入你们公司了。</t>
  </si>
  <si>
    <t>尚诚消费金融爆单位电话</t>
  </si>
  <si>
    <t>http://ts.21cn.com/tousu/show/id/1372154</t>
  </si>
  <si>
    <t>2019/10/18 17:39:22</t>
  </si>
  <si>
    <t>本人通过携程网导流的尚诚消费金融办理了借款，由于今年6月份起个人经济状况出现变故，导致暂时无力偿还借款，本人自2018年7月份已致残疾四级，目前派驻新疆和田地区于田鲁易服饰有限公司工作，催收人员通过电话号码为191******82催收，本人表达了还款意愿并说明近况，但催收人员于20分钟后拨打本人单位座机，以爆通讯录方式进行暴力催收，其谎称联系不上本人手机，但事实上16点56分刚接191******82号码，其行为已属涉黑性质，当前国家扫黑除恶形势下，尚诚消费金融委托第三方暴力催收机构采取违法爆通讯录的行为顶</t>
  </si>
  <si>
    <t>今日头条商家保证金不退还</t>
  </si>
  <si>
    <t>http://ts.21cn.com/tousu/show/id/1372153</t>
  </si>
  <si>
    <t>2019/10/18 17:39:06</t>
  </si>
  <si>
    <t>今日特卖，写着退还商家保证金3个星期左右，现在都一个月了保证金都还没退还，一直显示正在审批中。</t>
  </si>
  <si>
    <t>裕格调网络做单不给钱</t>
  </si>
  <si>
    <t>http://ts.21cn.com/tousu/show/id/1372151</t>
  </si>
  <si>
    <t>2019/10/18 17:38:45</t>
  </si>
  <si>
    <t>在今日工作找的手机兼职，说好十单一结，支付宝，微信支付，但是十单做完不给结账，也不理人。</t>
  </si>
  <si>
    <t>上海银行勾结还呗收取高利息</t>
  </si>
  <si>
    <t>http://ts.21cn.com/tousu/show/id/1372150</t>
  </si>
  <si>
    <t>2019/10/18 17:38:44</t>
  </si>
  <si>
    <t>上海银行为牟取高额利息，勾结还呗，借款费用不明，无合同展示作为银行违规为还呗提供资金，借款2700，等本等息每期还款954.51，共三期，还款年利率高达36.34%，且每一笔还款日期都提前一日，每期多收一日利息！作为银行机构公然违规！无视监管！。</t>
  </si>
  <si>
    <t>微信支付冻结资金12200元不给提现</t>
  </si>
  <si>
    <t>http://ts.21cn.com/tousu/show/id/1372149</t>
  </si>
  <si>
    <t>2019/10/18 17:38:42</t>
  </si>
  <si>
    <t>微信支付霸王条款，一个服务形机构无执法权利，为何无故冻结他人资金，连银行都没这个权利，他微信为何逆天。</t>
  </si>
  <si>
    <t>恐吓暴力催收骚扰</t>
  </si>
  <si>
    <t>http://ts.21cn.com/tousu/show/id/1372147</t>
  </si>
  <si>
    <t>2019/10/18 17:38:17</t>
  </si>
  <si>
    <t>然后还让我每天给他转100块钱然后给我处理，我已经跟他们沟通，我说现在实在没钱可不可以过几天处理。</t>
  </si>
  <si>
    <t>http://ts.21cn.com/tousu/show/id/1372148</t>
  </si>
  <si>
    <t>2019/10/18 17:38:10</t>
  </si>
  <si>
    <t>投诉人 毛先生        投诉对象  钱站        涉诉金额  3 569 元    问题类型    诉求类型投诉详情  合同上明明写着借2660元 为什么到账只有2000元</t>
  </si>
  <si>
    <t>宜人贷暴力催收，恐吓</t>
  </si>
  <si>
    <t>http://ts.21cn.com/tousu/show/id/1372144</t>
  </si>
  <si>
    <t>2019/10/18 17:38:03</t>
  </si>
  <si>
    <t>因资金链出了问题，导致贷款逾期，之前已经偿还了十二个月每月5700多，剩余本金大概十万左右，逾期一年不到，之前有协商过，但是无果，不仅爆了本人通讯录，名声，恐吓维持，最近利息高增长了百分之七十，最近威胁恐吓，还说上门，不敢说是哪家催收。</t>
  </si>
  <si>
    <t>月光侠分期，高利贷，爱钱进作为中间方助纣为虐。</t>
  </si>
  <si>
    <t>http://ts.21cn.com/tousu/show/id/1372152</t>
  </si>
  <si>
    <t>2019/10/18 17:37:35</t>
  </si>
  <si>
    <t>投诉人梅先生投诉对象月光侠分期,爱钱进涉诉金额4000元问题类型诉求类型投诉详情月光侠打着正规贷款的幌子，干着高利贷的事，之前借的3700还款，5238，这次没有标明利息借款4000三个月要还6500，放款前根本没有标注利息多少。</t>
  </si>
  <si>
    <t>民航通黑金卡虚假引入消费</t>
  </si>
  <si>
    <t>http://ts.21cn.com/tousu/show/id/1372146</t>
  </si>
  <si>
    <t>2019/10/18 17:37:24</t>
  </si>
  <si>
    <t>根据《消费者权益保护法》第五十六条的规定：对商品或者服务作虚假或者引人误解的宣传的，除承担相应的民事责任外，其他有关法律、法规对处罚机关和处罚方式有规定的，依照法律、法规的规定执行.法律、法规未作规定的，由工商行政管理部门或者其他有关行政部门责令改正，可以根据情节单处或者并处警告、没收违法所得、处以违法所得一倍以上十倍以下的罚款，没有违法所得的，处以五十万元以下的罚款；情节严重的，责令停业整顿、吊销营业执照。</t>
  </si>
  <si>
    <t>请求申请延期还款</t>
  </si>
  <si>
    <t>http://ts.21cn.com/tousu/show/id/1372145</t>
  </si>
  <si>
    <t>2019/10/18 17:37:22</t>
  </si>
  <si>
    <t>因为近期资金周转不开，闪银瞬瞬申请延期还款，客服电话打不通，请尽快与我联系。</t>
  </si>
  <si>
    <t>立借钱置宝高利贷</t>
  </si>
  <si>
    <t>http://ts.21cn.com/tousu/show/id/1372143</t>
  </si>
  <si>
    <t>2019/10/18 17:34:46</t>
  </si>
  <si>
    <t>钱置宝无法还款恶意造成用户逾期，逾期费用过高，要求只还本金。</t>
  </si>
  <si>
    <t>变相高利贷，严重影响我的生活</t>
  </si>
  <si>
    <t>http://ts.21cn.com/tousu/show/id/1372141</t>
  </si>
  <si>
    <t>2019/10/18 17:33:55</t>
  </si>
  <si>
    <t>我是小花钱包的用户，平台给我的借款额度是55000元，但是最近一对账，发现不对劲，今天清了一下账，感觉是变相的高利贷，我一共借了4笔款项，第一笔2月1日借的30000元，代还了信用卡，第二笔2月19日借的22000元，也是代还信用卡，第三笔一万多一点，具体的记不清了，第四笔是9500元，我发现第一笔借的是3万，到账也是3万，我今天看软件，上面确是写的借款金额39374.4元，每期还款2120.97元，我已经还了8期了，还了16967.76元了，但是现在的剩余还款还要还26249.6元，第二笔我借了22000</t>
  </si>
  <si>
    <t>正大财富暴力催收</t>
  </si>
  <si>
    <t>http://ts.21cn.com/tousu/show/id/1372142</t>
  </si>
  <si>
    <t>2019/10/18 17:33:52</t>
  </si>
  <si>
    <t>证大金服暴力催收，阴阳合同，借款40000，实际要还7万多，多次骚扰本人及亲朋。</t>
  </si>
  <si>
    <t>交通信用卡中心恐吓骚扰</t>
  </si>
  <si>
    <t>http://ts.21cn.com/tousu/show/id/1372139</t>
  </si>
  <si>
    <t>2019/10/18 17:33:20</t>
  </si>
  <si>
    <t>交通信用卡突然停卡，我与交通信用卡客服联系不上，第三方催收部门每天打十几个电话，而且恐吓骚扰我们，我本人用卡一直正常还款，突然给我停卡，而且恰巧我家里出了点事资金困难，一直想与交通信用卡客服联系，但是迟迟联系不上，我们不是不还款，我老公出了点意外赔了十几万，我婆婆每个月要住院输血和雪小板，真的资金出现了困难，交通银行今天上门来守着孩子说我们欠银行的钱，又说孩子上学怎么着的，还给孩子拍照，严重影响了我的孩子，我不是不还款，与交通信用卡中心客服联系不上，我想与交通信用卡中心协商办理分期，交通信用卡中心现在这种行</t>
  </si>
  <si>
    <t>友信信贷在未逾期的时间内对借款人进行暴力催收</t>
  </si>
  <si>
    <t>http://ts.21cn.com/tousu/show/id/1372138</t>
  </si>
  <si>
    <t>2019/10/18 17:33:14</t>
  </si>
  <si>
    <t>首先，在这里我承认自己没钱还是我不对，但是我确实没有办法，我也没有不去处理事情，但他们天天打电话骚扰我工作和骚扰我通信录里面所有的人，说话十分之难听，还打公司轰炸，现在我连工作都没有了，我更加难在短时间里处理好债务！。</t>
  </si>
  <si>
    <t>银行与佰仟公司合伙放高利贷</t>
  </si>
  <si>
    <t>http://ts.21cn.com/tousu/show/id/1372137</t>
  </si>
  <si>
    <t>2019/10/18 17:32:53</t>
  </si>
  <si>
    <t>微粒贷催收</t>
  </si>
  <si>
    <t>http://ts.21cn.com/tousu/show/id/1372136</t>
  </si>
  <si>
    <t>2019/10/18 17:32:52</t>
  </si>
  <si>
    <t>由于之前投资失败导致欠款严重，现在在外工作努力还账，此催收人员在进行电话时首先对我进行了毁谤，说我故意有意逃避，并且出言不逊，我很诚恳的沟通，结果换来的是更大层面的侮辱，欠债还钱天经地义，但现在生活费都有困难的情况下，申请分期也是没有办法的办法，这位工作人员员工编号不愿透露，姓名不愿透露，协商不愿与协商，今日竟然发消息威胁说到我以前所工作的单位，真的觉得不可理喻。</t>
  </si>
  <si>
    <t>维信卡卡贷不讲诚信</t>
  </si>
  <si>
    <t>http://ts.21cn.com/tousu/show/id/1372135</t>
  </si>
  <si>
    <t>2019/10/18 17:32:50</t>
  </si>
  <si>
    <t>维信卡卡贷仗势欺人，高利贷，套路贷，不讲诚信，2019年9月18号下午他们公司的客服经理和我沟通了一个问题，在我们两方都同意的情况下，他们客服经理说5到15个工作日给我解决问题，可是现在已经都17天了都没有解决，给客服打电话就是推脱，说联系不上经理，要我等着，我一看这就是官大欺负我们贷款人啊，在他们的公司规定里，我们这些贷款人逾期一秒钟就扣我们106元钱，可是他们逾期这么久了，谁又能扣他们的钱呢，我请求聚投诉平台给我们公平公正的处理一下，让我们这些贷款人得到我们的权益吧。</t>
  </si>
  <si>
    <t>京东白天委托第三方暴力催收，对我及我的家人电话轮番轰炸，态度恶劣</t>
  </si>
  <si>
    <t>http://ts.21cn.com/tousu/show/id/1372134</t>
  </si>
  <si>
    <t>2019/10/18 17:32:32</t>
  </si>
  <si>
    <t>本人已还清逾期的部分，结果催收霸王条款，要求必须还完全部欠款，我不按照他的意思，京东白条委托第三方催收公司，暴力催收，电话轮番轰炸本人及亲属，态度恶劣，威胁恐吓，人身安全受到严重威胁！被京东第三方催收公司已经骚扰到神经崩溃，已抑郁情绪，生无可恋投诉给95118京东金融客服，客服置之不理，任由这种暴力催收行为的肆意生长。</t>
  </si>
  <si>
    <t>大家看看不要脸的宝付支付</t>
  </si>
  <si>
    <t>http://ts.21cn.com/tousu/show/id/1372133</t>
  </si>
  <si>
    <t>2019/10/18 17:30:26</t>
  </si>
  <si>
    <t>之前已经投诉过宝付支付为714高利贷平台提供支付结算业务，回复就比较积极，我提供完订单交易后，就告知我现在和该商家不合作了，以此来推卸责任，请问一下按照宝付的说法，如果今天我去做违法行为，明天不做了是不是就不用承担责任了。</t>
  </si>
  <si>
    <t>买买钱包</t>
  </si>
  <si>
    <t>http://ts.21cn.com/tousu/show/id/1372132</t>
  </si>
  <si>
    <t>2019/10/18 17:30:13</t>
  </si>
  <si>
    <t>买买提利息过高！要求赔偿！为什么还了很多利息还是一样的！太不合理了！。</t>
  </si>
  <si>
    <t>到期无法还款</t>
  </si>
  <si>
    <t>http://ts.21cn.com/tousu/show/id/1372131</t>
  </si>
  <si>
    <t>2019/10/18 17:29:44</t>
  </si>
  <si>
    <t>砍头息不说了，急用钱，我也就算了，最主要的是，到期了，还无法还款，逾期了，到时候怎么算！。</t>
  </si>
  <si>
    <t>小花钱包恶意操作</t>
  </si>
  <si>
    <t>http://ts.21cn.com/tousu/show/id/1372130</t>
  </si>
  <si>
    <t>2019/10/18 17:29:31</t>
  </si>
  <si>
    <t>因在聚投诉投诉过小花钱包恶意催收，随后就被他们恶意操作冻结借款额度，据客服说将永久冻结，个人认为他们说系统自主审核人工无法介入是骗人的，因为刚投诉解决完随后额度就冻结了，现我强烈要求小花钱包恢复账号借款功能，且不能以审核失败阻止功能使用，并做出赔礼道歉，从来没有逾期，小花钱包怎么有权擅自恶意处理。</t>
  </si>
  <si>
    <t>利息超过国家规定，还群发消息</t>
  </si>
  <si>
    <t>http://ts.21cn.com/tousu/show/id/1372128</t>
  </si>
  <si>
    <t>2019/10/18 17:29:04</t>
  </si>
  <si>
    <t>群发信息，打电话恐慌威胁我多有录音，逾期就炸通讯录。</t>
  </si>
  <si>
    <t>名校贷咨询费不退还</t>
  </si>
  <si>
    <t>http://ts.21cn.com/tousu/show/id/1372127</t>
  </si>
  <si>
    <t>2019/10/18 17:28:04</t>
  </si>
  <si>
    <t>昨天我来投诉，今天打电话来解释我要求协商还款，请问！！分分钟就爆我通讯录了！！！从第一笔借款到现在每天都次都套路我！！，什么新旧换！还有服务费咨询费我都没有收到过根本就不知道有！！。</t>
  </si>
  <si>
    <t>浦发银行万用金</t>
  </si>
  <si>
    <t>http://ts.21cn.com/tousu/show/id/1370230</t>
  </si>
  <si>
    <t>2019/10/18 17:28:00</t>
  </si>
  <si>
    <t>本人于2016年自己创业陆陆续续向浦发银行借了万用金约有10万都分了期，中途也没逾期，直到2018年年尾生意出了点问题资金段了没还上，找贵行协商还款说要先把前期欠的本金，逾期费和利息一共2万2先还了才能协商，我怕影响孩子和家人的生活照他们说的去做，和亲戚朋友借了钱还上了找他们协商，钱还了之后找他们协商说4万8分36期加利息一共要还9万多差不多要10万了，第一次遇见这种事情我也不懂就同意了，一个月要还2千多，以为只要分期了就可以减轻负担，可是从2019年6月开始还进去到9月一共还了快1万我发现本金没少而且还多</t>
  </si>
  <si>
    <t>http://ts.21cn.com/tousu/show/id/1372129</t>
  </si>
  <si>
    <t>2019/10/18 17:27:41</t>
  </si>
  <si>
    <t>投诉人梁先生投诉对象捷信金融涉诉金额25000元问题类型诉求类型投诉详情利息太高，属于高利贷，这利息高的让我承受不了。</t>
  </si>
  <si>
    <t>闪银客服不理人</t>
  </si>
  <si>
    <t>http://ts.21cn.com/tousu/show/id/1372126</t>
  </si>
  <si>
    <t>2019/10/18 17:27:30</t>
  </si>
  <si>
    <t>不给处理问题，还一直不回复，不理人，什么意思，跟个哑巴一样。</t>
  </si>
  <si>
    <t>投诉月光侠分期阴阳合同，高额砍头息</t>
  </si>
  <si>
    <t>http://ts.21cn.com/tousu/show/id/1372125</t>
  </si>
  <si>
    <t>2019/10/18 17:26:57</t>
  </si>
  <si>
    <t>8月18日，从月光侠分期贷款4655元，分3期还款，每期1606元，实际到账3500元，砍头1155元，账单显示需要偿还4818元，明显存在阴阳合同，高利贷，砍头息等违法行为，现本人已偿还2期，共计3213元，由于最近债务爆发，无力偿还剩余欠款，愿与月光侠分期协商偿还合理利息，另外快钱支付为月光侠分期提供支付通道。</t>
  </si>
  <si>
    <t>钱站高利贷，收取高额管理费</t>
  </si>
  <si>
    <t>http://ts.21cn.com/tousu/show/id/1372122</t>
  </si>
  <si>
    <t>2019/10/18 17:26:48</t>
  </si>
  <si>
    <t>借款金额根本不是合同金额，利息高的吓人，服务费收取的莫名其妙，打客服客服说是合法合规，也不知道合法合规在哪里。</t>
  </si>
  <si>
    <t>钱站暴力催收</t>
  </si>
  <si>
    <t>http://ts.21cn.com/tousu/show/id/1372123</t>
  </si>
  <si>
    <t>2019/10/18 17:26:38</t>
  </si>
  <si>
    <t>投诉人袁梅投诉对象钱站涉诉金额20000元问题类型诉求类型投诉详情我在钱站平台借款20000元，合同上写着我借款26000多，到手也是20000，逾期两天爆我通讯录，我想问问钱站的人，我逾期是我不对，我也跟你们商量过但是还是爆我通讯录这是什么理。</t>
  </si>
  <si>
    <t>暴力催收，骚扰通讯录</t>
  </si>
  <si>
    <t>http://ts.21cn.com/tousu/show/id/1372124</t>
  </si>
  <si>
    <t>2019/10/18 17:26:34</t>
  </si>
  <si>
    <t>由于本人手机丢失，未能接到平台电话，该两家平台均对我通讯录里的亲戚朋友，同事进行骚扰，喜鹊快贷及铜小发均在51公积金里申请的请给个解释。</t>
  </si>
  <si>
    <t>小花钱包用短信呼不停骚扰</t>
  </si>
  <si>
    <t>http://ts.21cn.com/tousu/show/id/1372121</t>
  </si>
  <si>
    <t>2019/10/18 17:25:52</t>
  </si>
  <si>
    <t>发短信，打电话谩骂侮辱威胁，还用短信呼不停的骚扰，使手机根本不能用，如果没有部门来管，我投诉到底！。</t>
  </si>
  <si>
    <t>http://ts.21cn.com/tousu/show/id/1372120</t>
  </si>
  <si>
    <t>2019/10/18 17:25:51</t>
  </si>
  <si>
    <t>360借条利息高出国家标准，而且收取高额的逾期费用，广告语与实际不符，虚假广告，用各种虚拟电话骚扰，恐吓，采取暴力措施，说什么征信问题，都不合法，是谁允许他上征信了。</t>
  </si>
  <si>
    <t>微贷多米贷砍头息</t>
  </si>
  <si>
    <t>http://ts.21cn.com/tousu/show/id/1372119</t>
  </si>
  <si>
    <t>2019/10/18 17:25:43</t>
  </si>
  <si>
    <t>微贷多米贷借款4000到账3200，要求微贷网马上回电话，退还800。</t>
  </si>
  <si>
    <t>中信银行侮辱，恐吓</t>
  </si>
  <si>
    <t>http://ts.21cn.com/tousu/show/id/1372106</t>
  </si>
  <si>
    <t>2019/10/18 17:25:38</t>
  </si>
  <si>
    <t>10月18日下午，14时29分，我接到号码为：087410109558的来电，来电号称是中信银行工作人员，在电话接通后，她号称是中信银行工作人员，告知我信用卡逾期，逾期金额324元，要求我在2019年10月18日下午15时前处理，我将信用卡不在身边，不知道卡号的客观原因告知该客服人员，并承诺在2019年10月18日晚上回到家后马上处理，但该客服拒不同意，并声称如在15时前不处理到位，银行将认定我为恶意拖欠，并有权力委托第三方进行催收，并将联系我办卡时所填写的紧急联系人和手机通讯录联系人，并且该客服还对我本人</t>
  </si>
  <si>
    <t>微博借钱暴力催收</t>
  </si>
  <si>
    <t>http://ts.21cn.com/tousu/show/id/1372118</t>
  </si>
  <si>
    <t>2019/10/18 17:25:21</t>
  </si>
  <si>
    <t>微博借钱暴力催收，之前一直有协商还款，每个月都是11号发工资准时还进去，现在一直骚扰，威胁爆通讯录，钱我会还，继续非法骚扰，威胁我那我就不一定了。</t>
  </si>
  <si>
    <t>联通乱扣费</t>
  </si>
  <si>
    <t>http://ts.21cn.com/tousu/show/id/1372117</t>
  </si>
  <si>
    <t>2019/10/18 17:24:52</t>
  </si>
  <si>
    <t>联通乱扣我费用，随随便便停我机，客服的回复就是，钱是你自己花了，跟他们联通没有任何关系，欠费了就交，不交就没得用这就是他们的服务态度，乱扣费就算了，解决方法也是一样的不负责，乞求聚投诉为我们平民百姓做主。</t>
  </si>
  <si>
    <t>手游塞尔之光欺骗消费者</t>
  </si>
  <si>
    <t>http://ts.21cn.com/tousu/show/id/1372115</t>
  </si>
  <si>
    <t>2019/10/18 17:24:26</t>
  </si>
  <si>
    <t>游戏魔灵商店有神秘的魔灵蛋包，标明随机开出金色或橙色品质魔灵蛋，没有具体的概率，欺骗消费者，本人买了9次，开出的全是金色品质，国家文化部有颁布《关于规范网络游戏运营加强事中事后监管工作的通知》，该游戏并没有履行，故涉嫌欺骗消费者，我需要他们作出相应的赔偿以及道歉！。</t>
  </si>
  <si>
    <t>豆豆钱扣去保险费而且利率远超国家法定利率</t>
  </si>
  <si>
    <t>http://ts.21cn.com/tousu/show/id/1372116</t>
  </si>
  <si>
    <t>2019/10/18 17:24:18</t>
  </si>
  <si>
    <t>豆豆钱在放款时候违规扣取保险费，在还款过程中收取高额逾期费用，而且频繁进行暴力催收，别人无奈按照账单全部还款，现如今豆豆钱借款金额已经全额还清，现在投诉豆豆钱请退还我的保险费用以及超额的利息。</t>
  </si>
  <si>
    <t>合利宝为多家套路贷平台提供高利贷支付渠道造成本人家庭支离破碎</t>
  </si>
  <si>
    <t>http://ts.21cn.com/tousu/show/id/1372113</t>
  </si>
  <si>
    <t>2019/10/18 17:23:28</t>
  </si>
  <si>
    <t>合利宝平台完全没有按照清算协会的规定审核合作机构，为非法违规套路贷平台提供支付渠道，我在整理账单时发现被合利宝扣了22361元，这可是两万元！希望合利宝针对我的流水做出相应解释，并退还相应金额，能联系到合作方的尽快退款，追回我的血汗钱，并与非法套路贷公司解除非法合作关系，否则投诉到清算协会跟央行维护自己应有的权益。</t>
  </si>
  <si>
    <t>360借条盗取用户信息，爆我通讯录</t>
  </si>
  <si>
    <t>http://ts.21cn.com/tousu/show/id/1372114</t>
  </si>
  <si>
    <t>2019/10/18 17:23:20</t>
  </si>
  <si>
    <t>对方打我通讯录，盗取我信息，本人根本没填写的联系人也收到电话，之前按时还款，目前确实困难！贵司既然暴力催收，给出合理答复，否则绝不罢休，所有证据已经保留，包括录音。</t>
  </si>
  <si>
    <t>闪电借款变像收取利息</t>
  </si>
  <si>
    <t>http://ts.21cn.com/tousu/show/id/1372112</t>
  </si>
  <si>
    <t>2019/10/18 17:23:15</t>
  </si>
  <si>
    <t>10月18日9:04申请借款，需要先购买黑卡，7000额度1200黑卡钱，借款50天，我先申请了4000，需还4200，然后显示借款成功，预计2019年10月18日13:48到账，一直未收到款项，询问了客服说是反馈了情况，又继续等待，14:48仍未收到，在此联系客服又说反馈，然后15:15仍未收到又找了客服还是反馈，现在17:20依旧没有收到款项页面到款时间居然改了改成了2019年10月19日13:48之前到，这家公司真的是又变像收取利息，然后又按时放款，还款时间也不改变。</t>
  </si>
  <si>
    <t>交易猫卖号被买家恶意仲裁</t>
  </si>
  <si>
    <t>http://ts.21cn.com/tousu/show/id/1372111</t>
  </si>
  <si>
    <t>2019/10/18 17:22:33</t>
  </si>
  <si>
    <t>本人10月14日在交易猫卖了一个账号，买家是中午时候换绑成功，登录上号，但是14日下午4点多提出仲裁说号登录不上去，我根本没有找回，他们就凭一个别的手机登录，登录不上手机的截图就来诬陷我，让我找游戏方要换绑记录和历史IP，问题是我账号已经换绑给买家了，所有权已经是买家的了，游戏方根本不提供他人账号的换绑记录和历史IP，提供不了客服就要判定我交易失败，没有确凿的证据就把我的游戏账号给他人骗走了，我认为这是极其不合理和荒谬的，希望平台能帮我联系交易猫，挽回我身为卖家的权益，求个公正处理。</t>
  </si>
  <si>
    <t>苏宁金融暴力催收，</t>
  </si>
  <si>
    <t>http://ts.21cn.com/tousu/show/id/1372109</t>
  </si>
  <si>
    <t>2019/10/18 17:21:56</t>
  </si>
  <si>
    <t>电话骚扰通讯录，打电话带有侮辱性，恐吓性，要让我名誉扫地，父母名誉扫地，不能在村里呆着了，这个社会成你们苏宁的天下了，成你们催收的天下了，你想怎么样就怎么样了，骂我未出生的孩子，骂我的父母，你们没有父母没有孩子吗，没事，没人管我就跟你们死磕下去了，看你们苏宁的名声大还是我的名声大，惹了我，我就一条命，我会把你们苏宁连带上的。</t>
  </si>
  <si>
    <t>服务员未提醒有代金券</t>
  </si>
  <si>
    <t>http://ts.21cn.com/tousu/show/id/1372110</t>
  </si>
  <si>
    <t>2019/10/18 17:21:46</t>
  </si>
  <si>
    <t>2019年10月11日晚19点30分去徐汇区汇金广场的谭鸭血火锅吃饭，买单时服务员并未提醒在大众点评网有代金券可以购买使用，那顿火锅吃了340元，代金券是38元抵扣100元，一次可以使用两张，我们觉得商户是故意不提醒客户的，能坑一个是一个，非常垃圾，要求作出赔偿并道歉。</t>
  </si>
  <si>
    <t>电信合同到期不通知注销并一直扣费</t>
  </si>
  <si>
    <t>http://ts.21cn.com/tousu/show/id/1372108</t>
  </si>
  <si>
    <t>2019/10/18 17:21:42</t>
  </si>
  <si>
    <t>然后办卡的时候有签约合同，合同上好像是2年的，但是那会注销好像要违约就没有注销也不一直待在湖州所以就回了老家，到前两天才发短信联系我说号码欠费了，我一查欠了353.3元，他为什么不在合同到期就联系我缴费呢，而且合同到期也没并没有联系我，直到现在就这个号码已经被别人注册了也没跟我说，就告诉我欠费金额已经转到我身份证名下了，还告诉我不马上缴费就要上征信，所以现在要求电信合同期内的费用我正常缴，合同以外运营商扣费与我无关。</t>
  </si>
  <si>
    <t>佰仟金融冒充公检法</t>
  </si>
  <si>
    <t>http://ts.21cn.com/tousu/show/id/1372107</t>
  </si>
  <si>
    <t>2019/10/18 17:20:10</t>
  </si>
  <si>
    <t>之前在佰仟金融借了15000元，还了2万，按国家规定，本金和利息早就还够了，中间因为父母病重，无力偿还，中间被佰仟金融暴力催收很多回，现在突然冒充公检法诽谤我，我这边给佰仟金融的催收发了父母两个老人的诊断证明，水滴筹，佰仟金融明知道我把本金和利息还够了，还在诽谤和恐吓我。</t>
  </si>
  <si>
    <t>东亚银行不当催收，第三方催收</t>
  </si>
  <si>
    <t>http://ts.21cn.com/tousu/show/id/1372105</t>
  </si>
  <si>
    <t>2019/10/18 17:19:19</t>
  </si>
  <si>
    <t>投诉人黄女士投诉对象东亚银行涉诉金额0元问题类型诉求类型投诉详情东亚银行信用卡用固定电话一直打骚扰电话，该电话手机直接屏蔽为高频次异常电话，我有意愿还款，只是最近家里出现了问题，导致无法及时还款，东亚银行却一直催收，且态度恶劣，还到处打我非紧急联系人的电话，欠的钱没有说不还，之前还款都正常，而且信誉很好，没有特殊原因，没人愿意逾期。</t>
  </si>
  <si>
    <t>盗取通许录泄露公民个人隐私</t>
  </si>
  <si>
    <t>http://ts.21cn.com/tousu/show/id/1372104</t>
  </si>
  <si>
    <t>2019/10/18 17:18:01</t>
  </si>
  <si>
    <t>本人通过京东金融app借款马上金融，因为逾期马上金融收取高额息费，以经超过法律相关规定，本人向马上金融反映后马上金融随便拨打本人通讯录并群发短信，逼迫本人偿还高额息费，本人个人信息被京东京融恶意窃取用于高利非法催收。</t>
  </si>
  <si>
    <t>月光侠高利贷暴力催收</t>
  </si>
  <si>
    <t>http://ts.21cn.com/tousu/show/id/1372102</t>
  </si>
  <si>
    <t>2019/10/18 17:17:49</t>
  </si>
  <si>
    <t>借了2500，分三个月，每月还1250，完全属于高利贷，现在资金出现问题，协商结局，拒不解决，暴力催收，爆我通讯录，完全没法做人了。</t>
  </si>
  <si>
    <t>捷信对债务人三方联系人进行催收，已经严重影响三方联系人的工作和生活</t>
  </si>
  <si>
    <t>http://ts.21cn.com/tousu/show/id/1372103</t>
  </si>
  <si>
    <t>2019/10/18 17:17:41</t>
  </si>
  <si>
    <t>我一个堂哥欠捷信公司钱，但我并没有欠捷信公司钱，捷信公司打着减免名义一个劲的给我打电话要钱，因为这个事情我已经失业，捷信对我个人的生活和工作已经造成了严重影响，现在国家不是正在进行打黑除恶吗，希望借助贵平台力量，捷信公司能给出合理解释，我也不会向恶势力低头，会维权到底。</t>
  </si>
  <si>
    <t>现金巴士变相砍头息，套路贷收取高额逾期费，大家一起举报报警。</t>
  </si>
  <si>
    <t>http://ts.21cn.com/tousu/show/id/1372101</t>
  </si>
  <si>
    <t>2019/10/18 17:17:32</t>
  </si>
  <si>
    <t>现金巴士使用已经两三年，从一开始的利息还好，到现在的变相收取会员费的才会下款，本期还款才700元左右，逾期一天居然收取20元左右逾期费，逾期四五天逾期费高达100多，完全超出国家标准，先召集大家一起收集现金巴士变相砍头息等违规例子，一起还大家一个公道，别说投诉重复，我上个投诉是投诉现金巴士违规催收，这个投诉是投诉现金巴士变相砍头息，收取违规利息。</t>
  </si>
  <si>
    <t>平安普惠i贷</t>
  </si>
  <si>
    <t>http://ts.21cn.com/tousu/show/id/1372100</t>
  </si>
  <si>
    <t>2019/10/18 17:17:19</t>
  </si>
  <si>
    <t>投诉人 曹先生        投诉对象  平安普惠        涉诉金额  15 000 元    问题类型    诉求类型投诉详情  逾期一天了就不停打电话过来骚扰 还不停的通讯录联系人</t>
  </si>
  <si>
    <t>http://ts.21cn.com/tousu/show/id/1372099</t>
  </si>
  <si>
    <t>2019/10/18 17:17:09</t>
  </si>
  <si>
    <t>今天有个电话联系我说是兴业消费金融，属于兴业银行，说我老公在那贷款9000多，我问具体情况，说不能透露，让我自己关注“兴业消费金融”输我老公身份证号可以查询，我操作后不能看到具体信息，请兴业消费金融人员给到我具体信息：借款时间，金额，分期数，利率等。</t>
  </si>
  <si>
    <t>没经过同意就扣钱</t>
  </si>
  <si>
    <t>http://ts.21cn.com/tousu/show/id/1372098</t>
  </si>
  <si>
    <t>2019/10/18 17:16:40</t>
  </si>
  <si>
    <t>投诉人 唐磊        投诉对象  小v借款        涉诉金额  199 元    问题类型    诉求类型投诉详情  贷款软件。正常填写资料。然后绑定银行卡输入验证码。199就被扣了。打了客服电话。说是不可能退的。</t>
  </si>
  <si>
    <t>平安银行信用卡暴力催收，恶意诽谤，威胁上门</t>
  </si>
  <si>
    <t>http://ts.21cn.com/tousu/show/id/1372097</t>
  </si>
  <si>
    <t>2019/10/18 17:15:55</t>
  </si>
  <si>
    <t>本人于15年办理平安银行信用卡，额度3万，截止18年还款一直非常好，因19年1月开始家人生病住院，本人照顾家人，收入锐减，导致有逾期情况，多次app申请分期被拒，8月被平安银行强制调整额度为1000元，导致越发周转不开，9月开始一直在申请全款分期，也一直在开具困难证明，证明确实没有还款能力，多次被外包的催收部门暴力催收，多次联系平安银行客服，一直得不到解决，今天再次催收电话，对方接到自称是平安银行内催部门，工号0103，说的我案件被总行委托给他们北京分行的内催部门，全程态度非常非常差，根据2011年1月13</t>
  </si>
  <si>
    <t>http://ts.21cn.com/tousu/show/id/1372096</t>
  </si>
  <si>
    <t>2019/10/18 17:15:45</t>
  </si>
  <si>
    <t>投诉人 黄女士        投诉对象  微贷网        涉诉金额  5 000 元    问题类型    诉求类型投诉详情  微贷多米贷5000到账4200。分6期，每期还款920.85</t>
  </si>
  <si>
    <t>宜人贷群发短信，泄露隐私</t>
  </si>
  <si>
    <t>http://ts.21cn.com/tousu/show/id/1372095</t>
  </si>
  <si>
    <t>2019/10/18 17:15:41</t>
  </si>
  <si>
    <t>群发短信泄露隐私，高利贷，阴阳合同，砍头息。</t>
  </si>
  <si>
    <t>希望千锋培训可以帮我办理退费</t>
  </si>
  <si>
    <t>http://ts.21cn.com/tousu/show/id/1372094</t>
  </si>
  <si>
    <t>2019/10/18 17:15:25</t>
  </si>
  <si>
    <t>我是千锋教育杭州校区Java培训班学员，在这里培训学习了两个多月，由于个人原因无法继续培训下去，现在希望千锋把本人剩余的课时费用退还给我，经过多次协商，千锋的态度就是不能退，说两周的试学已经过去了，现在不能退钱，咨询过律师，这个本身就属于霸王条款，我之前是做少儿英语培训的，正常的培训机构都是退款不是扣除上过的课时费，剩下的都退。</t>
  </si>
  <si>
    <t>富友支付为违法套路贷提供支付渠道</t>
  </si>
  <si>
    <t>http://ts.21cn.com/tousu/show/id/1372092</t>
  </si>
  <si>
    <t>2019/10/18 17:15:09</t>
  </si>
  <si>
    <t>被富友支付扣款金额821元，希望平台解释并退还相应金额，解决问题，联系不到商户，提供不了相应扣款证明，那么我就申请调单拒付。</t>
  </si>
  <si>
    <t>大家看看不要脸的富友支付</t>
  </si>
  <si>
    <t>http://ts.21cn.com/tousu/show/id/1372093</t>
  </si>
  <si>
    <t>2019/10/18 17:15:08</t>
  </si>
  <si>
    <t>富友支付为714高利贷平台提供支付结算通道，一起来坑害老百姓的钱财，过后就以现在和商家没合作了来推卸责任，试问一下按照富友的说法，今天我去做出违法行为，明天我不做了是不是就可以不用承担责任了。</t>
  </si>
  <si>
    <t>去哪儿网拒不提供机票行程单</t>
  </si>
  <si>
    <t>http://ts.21cn.com/tousu/show/id/1372091</t>
  </si>
  <si>
    <t>2019/10/18 17:14:33</t>
  </si>
  <si>
    <t>因公司报销审核比较严格，报销必须提供行程单，但这张在去哪网预定的机票拒不给我提供行程单，说超过28天，但是在携程预定的更早时间的同一家航司的都可以提供行程单，希望能协调处理。</t>
  </si>
  <si>
    <t>收取砍头息。不支持结清</t>
  </si>
  <si>
    <t>http://ts.21cn.com/tousu/show/id/1372090</t>
  </si>
  <si>
    <t>2019/10/18 17:14:32</t>
  </si>
  <si>
    <t>客服人员态度恶劣，不反馈问题，本人欠款10几万无力偿还，找客服协商不肯，还有国美易卡还有砍头息，强制性评估费用，我也是不知道情况点的，国美易卡强制性把我钱从卡里代扣了。</t>
  </si>
  <si>
    <t>http://ts.21cn.com/tousu/show/id/1372089</t>
  </si>
  <si>
    <t>2019/10/18 17:14:31</t>
  </si>
  <si>
    <t>我在淘新机买了台手机，当时是分期还款的，后由于被套路带的原因造成无经济来源，导致预期为处理手机的钱，今天一个上海号码打来说不处理就联系通讯录上的人，我在电话里承诺下个月15日一次结清欠款，对方非但不同意还打我通讯录上的号码，且恶意虚报欠款金额，还威胁要找当地公司上门讨债，现在要求对方停止恶意骚扰，且下月结清欠款，减少利息。</t>
  </si>
  <si>
    <t>my钱包网贷平台高利贷，高额砍头息，暴利催收</t>
  </si>
  <si>
    <t>http://ts.21cn.com/tousu/show/id/1372088</t>
  </si>
  <si>
    <t>2019/10/18 17:13:46</t>
  </si>
  <si>
    <t>爱奇艺优智借暴力催收</t>
  </si>
  <si>
    <t>http://ts.21cn.com/tousu/show/id/1372087</t>
  </si>
  <si>
    <t>2019/10/18 17:12:16</t>
  </si>
  <si>
    <t>借款2400元，分十二期还款，因资金周转不开逾期一天，就无缘无故爆我电话，辱骂我，并且一会一个电话不断骚扰我，现在已经对我生活工作造成了严重的影响，我多次打畅快app客服均无人接听。</t>
  </si>
  <si>
    <t>恶意捆绑保险</t>
  </si>
  <si>
    <t>http://ts.21cn.com/tousu/show/id/1372086</t>
  </si>
  <si>
    <t>2019/10/18 17:11:57</t>
  </si>
  <si>
    <t>在玖富万卡分别借了20000元、中国太平财产保险保单号EP2****************2、保费1815.36元,一期还2130.37，年利率达48%，30240元、中国太平财产保险保单号EP2****************1、保费828.07,5000元、中国太平财产保险保单号EP2****************6、保费387.5,一期还454.97，年利率达51%,9000元、中国太平财产保险保单号EP2****************1、保费900.58,4200元、中国太平财产保险保单号EP</t>
  </si>
  <si>
    <t>信而富答应退款现在却不退</t>
  </si>
  <si>
    <t>http://ts.21cn.com/tousu/show/id/1372085</t>
  </si>
  <si>
    <t>2019/10/18 17:11:49</t>
  </si>
  <si>
    <t>信而富10月七号答应我退款没有收到货物商品的钱、现在已经过去那么久还没退款、客服一直说审核中、客服一直敷衍我了事、明天不退款本人将信而富收取前期砍头息高利贷的套路曝光媒体电视台、本人将维权到底、追究信而富并且赔偿本人所有的相关费用。</t>
  </si>
  <si>
    <t>建设银行信用卡恐吓，暴力，</t>
  </si>
  <si>
    <t>http://ts.21cn.com/tousu/show/id/1372084</t>
  </si>
  <si>
    <t>2019/10/18 17:10:38</t>
  </si>
  <si>
    <t>建设银行信用卡中心，恐吓我家人，暴力催收，联系我家人，朋友。</t>
  </si>
  <si>
    <t>捷信金融严重骚扰</t>
  </si>
  <si>
    <t>http://ts.21cn.com/tousu/show/id/1372083</t>
  </si>
  <si>
    <t>2019/10/18 17:09:45</t>
  </si>
  <si>
    <t>本人因相信前男友，从最初的八千…以贷养贷…到现在一些平台累积总共二十几万的债务，都是高利息…现在本人无力再去借贷养贷…本想一个平台一个平台慢慢来还清，这样两三年才能走到头，不然不知道何时才是个头…可是当我逾期第二天开始，“钱站”这个平台就打电话骚扰辱骂我的亲朋好友，接着一系列的电话短信…让我严重失眠，精神衰弱！我造的孽我自作自受，是我活该！现在又是捷信平台，用电脑每天二十分钟最多三十分钟一次骚扰本人跟我亲朋好友…欠债还钱，天经地义，但是他们这些平台却放肆的骚扰，辱骂，恐吓行为就应该吗，如果没有这么过分，我哪</t>
  </si>
  <si>
    <t>你我贷归还砍头息暴力催收</t>
  </si>
  <si>
    <t>http://ts.21cn.com/tousu/show/id/1372082</t>
  </si>
  <si>
    <t>2019/10/18 17:09:41</t>
  </si>
  <si>
    <t>还款前面2期有高额反砍头息！现在强烈要求贵平台改正错误，而且在能联系到我本人的情况下还获取我的通讯录爆我通讯录给我家人朋友打电话骚扰，然家人朋友给我施加压力不得不归还！现在我想找贵平台商量就还款方面我本人愿意偿还本金！如不然我将加大投诉力度曝光贵平台的高利贷和暴力催收。</t>
  </si>
  <si>
    <t>非法扣去报费</t>
  </si>
  <si>
    <t>http://ts.21cn.com/tousu/show/id/1372081</t>
  </si>
  <si>
    <t>2019/10/18 17:09:12</t>
  </si>
  <si>
    <t>投诉人 杨先生        投诉对象  卡卡贷        涉诉金额  400 元    问题类型    诉求类型投诉详情  贷款3200。保险费还扣我300多 自动扣的 我都不知道 单号也查不到的？</t>
  </si>
  <si>
    <t>微信支付冻结个人资产</t>
  </si>
  <si>
    <t>http://ts.21cn.com/tousu/show/id/1372080</t>
  </si>
  <si>
    <t>2019/10/18 17:09:11</t>
  </si>
  <si>
    <t>冻结个人资产，说我违规，问他们我哪一笔资金违规也说不出来，我那些钱都是货款，有一笔还是借朋友的钱。</t>
  </si>
  <si>
    <t>高利贷，暴利催款，曝光通讯录，砍头息，电话威胁，发短信向恶骂我，以我的身份给家人和朋友，不提供合同</t>
  </si>
  <si>
    <t>http://ts.21cn.com/tousu/show/id/1372078</t>
  </si>
  <si>
    <t>2019/10/18 17:08:25</t>
  </si>
  <si>
    <t>投诉：恒信永利不给合同，高利贷，暴利催款，曝光通讯录，砍头息，电话威胁，发短信向恶骂我，以我的身份给家人和朋友，不提供合同，让顾客下载他们的APP，盗窃新的通讯录，业务员说还款后就给合同，每次还款后不理人，一直到现在也没提供合同，放款7万9千，砍头息26202.72元，实际到手6万元，12期，每个月还7242.72元，已还款9期，还款金额65184.48元从2019年10月开始每个月还款金额7716.72元，在2019年10月16日下午1:40直接上门拿合同也不提供，在1:44报警110，说宁波没合同的，说</t>
  </si>
  <si>
    <t>网络套路贷款</t>
  </si>
  <si>
    <t>http://ts.21cn.com/tousu/show/id/1372079</t>
  </si>
  <si>
    <t>2019/10/18 17:08:13</t>
  </si>
  <si>
    <t>你我贷,人人贷,玖富,和信,中腾信,多米贷,快闪卡贷,钱站,团贷网,平安普惠，这些网络套路贷款平台，利息高于国家法定利率太多，已经触犯法律，非法暴力催收，骚扰家人朋友。</t>
  </si>
  <si>
    <t>http://ts.21cn.com/tousu/show/id/1372077</t>
  </si>
  <si>
    <t>2019/10/18 17:07:41</t>
  </si>
  <si>
    <t>说是贷款公司让我我去申请借款，申请后长时间没动静我就把app卸载了，今天突然就有扣款短信通知我被扣了299，打他们的客服电话4009950808也提示无法接通，app的下载地址也找不到了。</t>
  </si>
  <si>
    <t>支付宝不愿意协商还款，第三方催收态度很恶劣，威胁恐吓并且侮辱人。</t>
  </si>
  <si>
    <t>http://ts.21cn.com/tousu/show/id/1372076</t>
  </si>
  <si>
    <t>2019/10/18 17:07:34</t>
  </si>
  <si>
    <t>支付宝借呗和花呗因为健康原因导致逾期三个月，期间有陆续还款，也主动联系支付宝说明了情况，但是支付宝那边拒绝协商，外包第三方催收昨天来电话态度极其恶劣，威胁到我单位来闹事，并且侮辱我人格，我确实是遇到困难，不是故意不还，有明确的还款意愿，要不然我也不会每个月都还款，我只希望能做出合理处理！催收给我道歉，并且协商还款。</t>
  </si>
  <si>
    <t>慧金宝敏付科技违规为赌博行业提供支付渠道</t>
  </si>
  <si>
    <t>http://ts.21cn.com/tousu/show/id/1372074</t>
  </si>
  <si>
    <t>2019/10/18 17:07:29</t>
  </si>
  <si>
    <t>自8月初到9月底慧金宝敏付科技为非法的网络赌博网站收款8250元《中华人民共和国刑法》第二百八十七条之二：，明知他人利用信息网络实施犯罪，为其犯罪提供互联网接入、服务器托管、网络存储、通讯传输等技术支持，或者提供广告推广、支付结算等帮助，情节严重的，处三年以下有期徒刑或者拘役，并处或者单处罚金，单位犯前款罪的，对单位判处罚金，并对其直接负责的主管人员和其他直接责任人员，依照第一款的规定处罚，有前两款行为，同时构成其他犯罪的，依照处罚较重的规定定罪处罚，《非银行支付机构网络支付业务管理办法》第十七条：，支付机</t>
  </si>
  <si>
    <t>超级高利贷！1750元到账1130元</t>
  </si>
  <si>
    <t>http://ts.21cn.com/tousu/show/id/1372075</t>
  </si>
  <si>
    <t>2019/10/18 17:07:24</t>
  </si>
  <si>
    <t>一个月要还1802元！利息太高无法接受！要求退还前期612元！我发现向你们投诉根本没用！全都是一伙的！真的搞笑！根本不会处理！打着为别人维权的幌子！。</t>
  </si>
  <si>
    <t>没有任何验证码就可以扣我银行卡的钱？</t>
  </si>
  <si>
    <t>http://ts.21cn.com/tousu/show/id/1372073</t>
  </si>
  <si>
    <t>2019/10/18 17:07:05</t>
  </si>
  <si>
    <t>没有任何验证码也没有信息就扣我的钱.我也不知道点到哪里。</t>
  </si>
  <si>
    <t>关于中国银行减免违约金不给减免</t>
  </si>
  <si>
    <t>http://ts.21cn.com/tousu/show/id/1372072</t>
  </si>
  <si>
    <t>2019/10/18 17:06:23</t>
  </si>
  <si>
    <t>中国人民银行都规定了可以退一次违约金，但银行工作人员不给退。</t>
  </si>
  <si>
    <t>超高利息催收</t>
  </si>
  <si>
    <t>http://ts.21cn.com/tousu/show/id/1372071</t>
  </si>
  <si>
    <t>本人于2019年9月9日在信用管家元宝宝中借款，本金2625元，分4期，每期8天，一期还896元，32天利息支付959元，年化利息200%多，属于超高利贷，已还款两期，还余两期未还，信用管家平台已不能官方还款，逾期非我本人意愿，10月3日第三期已逾期，每日逾期费用高达60元，后续多次联系客服，推脱不给解决，总是让等后台人员电话，导致逾期费用越滚越多，平台催收多次打电话催收，态度蛮横，让本金利息加逾期费用全额还款，不还就采取非常手段，给通讯录联系人打电话骚扰，想通过聚投诉平台同信用管家元宝宝协商归还剩余本金及</t>
  </si>
  <si>
    <t>京东霸王条款，天价罚款，小卖家无力承担，弱势群体，就只能听天由命吗？</t>
  </si>
  <si>
    <t>http://ts.21cn.com/tousu/show/id/1372069</t>
  </si>
  <si>
    <t>2019/10/18 17:04:23</t>
  </si>
  <si>
    <t>人非生而知之者,孰能无过，知错能改善莫大焉，产品详情因为美工做图复制失误标错，因为现在详情我们也没法看到了，被查商品自链接从上架到下架至今从来没有真正卖过一笔销量，如果仅有一笔的话就可能是系统抽检的一个销量，其销量都是为0的，从来没有真正卖出一笔产品给消费者，我们从来不敢以次充好，因为都没有卖过的，专业们可以核实次订单链接是否有销量，我们也没有留意检查到这个产品存在标错的问题，实属无奈，产品标题上面我们也有标加：适用于某品牌的产品，也有说明是加装加装的配件，京东以此说我们售假，而且罚款违约金高达一百万，这个</t>
  </si>
  <si>
    <t>中银消费金融</t>
  </si>
  <si>
    <t>http://ts.21cn.com/tousu/show/id/1372068</t>
  </si>
  <si>
    <t>2019/10/18 17:03:44</t>
  </si>
  <si>
    <t>已与客服协商一致表示可以帮我消除征信不良记录。</t>
  </si>
  <si>
    <t>点融高利贷以及非法催收</t>
  </si>
  <si>
    <t>http://ts.21cn.com/tousu/show/id/1372067</t>
  </si>
  <si>
    <t>2019/10/18 17:03:06</t>
  </si>
  <si>
    <t>通过51公积金借的点融网贷款，到手11000分12个月还款，每个月1338，综合利息要5000块了，已经远远超过国家规定利息，最近资金周转不开，逾期了，开始疯狂骚扰我通讯录上的人，还打到单位去恶意破坏我名声，和她们协商希望全额本金加正常利息结清，竟然不允许！要按合同还，高利贷就是牛，现通过平台曝光这种高利贷，并希望通过平台与对方好好协商，合理归还贷款以及消除我不良影响。</t>
  </si>
  <si>
    <t>套路贷，无故冻结额度，迫使逾期</t>
  </si>
  <si>
    <t>http://ts.21cn.com/tousu/show/id/1372066</t>
  </si>
  <si>
    <t>2019/10/18 17:02:46</t>
  </si>
  <si>
    <t>这两年创业亏了很多钱，也背了很多债，现在也在努力上班还清债务，招联金融我用了有3年多了，中间从来没有过逾期，上个月开始，我的招联金融额度就被冻结，还款日当天还了3000元，最低还款还缺6000多元，导致逾期，逾期10天左右，中间被招联催收人员爆通讯录，伪造文件恐吓，万般无奈之下我拼命找人借钱，到晚上七八点才凑齐还清，本想这个月额度应该可以解冻了，没想到还在冻结中，这个月要还8900，今天就是最后还款日，我真的一时拿不出来，这是逼我再次逾期了！我请求招联能让我分期偿还，或解冻我的额度，我给客服打过电话，不行，</t>
  </si>
  <si>
    <t>网贷恐吓威胁年迈的父亲</t>
  </si>
  <si>
    <t>http://ts.21cn.com/tousu/show/id/1372065</t>
  </si>
  <si>
    <t>2019/10/18 17:02:04</t>
  </si>
  <si>
    <t>因我资金周转不过来，导致逾期，小米金融威胁我家人，恐吓我年迈的父亲母亲，我父亲母亲都60多岁了，承受不了打击。</t>
  </si>
  <si>
    <t>微信收了一次款，微信支付就被永久冻结，里面的钱取不出来</t>
  </si>
  <si>
    <t>http://ts.21cn.com/tousu/show/id/1372064</t>
  </si>
  <si>
    <t>2019/10/18 17:01:40</t>
  </si>
  <si>
    <t>微信收了一次钱，然后发现微信支付被冻结了，里面的钱也取不出来了。</t>
  </si>
  <si>
    <t>畅捷支付为高利贷平台违规扣款</t>
  </si>
  <si>
    <t>http://ts.21cn.com/tousu/show/id/1372063</t>
  </si>
  <si>
    <t>2019/10/18 17:01:39</t>
  </si>
  <si>
    <t>本人核对流水时，发现被畅捷支付扣款金额550元，希望平台给出相应解释，并退还相应金额，不要推脱，尽快解决问题。</t>
  </si>
  <si>
    <t>盗刷银行卡</t>
  </si>
  <si>
    <t>http://ts.21cn.com/tousu/show/id/1372062</t>
  </si>
  <si>
    <t>2019/10/18 17:01:20</t>
  </si>
  <si>
    <t>投诉人 何先生        投诉对象  马上来钱,新生-星赫（梁山）信息科技有限公        涉诉金额  90 元    问题类型    诉求类型投诉详情  莫名的在我卡里扣了90块钱。我还不知道是怎么回事</t>
  </si>
  <si>
    <t>点融网诱导贷款暴力催收</t>
  </si>
  <si>
    <t>http://ts.21cn.com/tousu/show/id/1372040</t>
  </si>
  <si>
    <t>2019/10/18 17:01:02</t>
  </si>
  <si>
    <t>投诉人李先生投诉对象点融网涉诉金额159900元问题类型诉求类型投诉详情承诺低息诱导我弟弟贷款13.52万，签订合同15.99万，对贷款方式提出异议后，每次都是不到还款期开始骚扰，并且承诺还了当期可以免息，今天让报负债材料协商减免，同时给单位领导打电话，要求兑现免息的承诺，赔礼道歉，赔偿精神损失，电话号码分别是131******6302066643746156******50171******17186******78130******09132******67。</t>
  </si>
  <si>
    <t>http://ts.21cn.com/tousu/show/id/1372060</t>
  </si>
  <si>
    <t>投诉人 陈女士        投诉对象  好易贷        涉诉金额  3 500 元    问题类型    诉求类型投诉详情  高利贷砍头息 借款2450还款3500 并且态度恶劣拒绝协商还款</t>
  </si>
  <si>
    <t>不知情的情况下，乱扣款</t>
  </si>
  <si>
    <t>http://ts.21cn.com/tousu/show/id/1372058</t>
  </si>
  <si>
    <t>2019/10/18 17:00:52</t>
  </si>
  <si>
    <t>上次开通百度网盘会员时，没说会自己动续费，结果今天，直接免密在花呗里把款扣了，这不是抢钱吗。</t>
  </si>
  <si>
    <t>http://ts.21cn.com/tousu/show/id/1372059</t>
  </si>
  <si>
    <t>2019/10/18 17:00:42</t>
  </si>
  <si>
    <t>投诉人朱先生投诉对象钱站涉诉金额2000元问题类型诉求类型投诉详情高利贷阴阳合同。</t>
  </si>
  <si>
    <t>小象优品暴力催收，发短信给我手机里面所有电话号码，威胁恐吓，才逾期三天，答应今天之内处理，还这样</t>
  </si>
  <si>
    <t>http://ts.21cn.com/tousu/show/id/1372057</t>
  </si>
  <si>
    <t>2019/10/18 17:00:12</t>
  </si>
  <si>
    <t>小象优品我逾期三天，最近也是因为资金紧张，跟他们协商了说今天之内处理，中午就发短信给我通讯录好友，威胁恐吓，。</t>
  </si>
  <si>
    <t>淘宝卖家承诺兑现</t>
  </si>
  <si>
    <t>http://ts.21cn.com/tousu/show/id/1372055</t>
  </si>
  <si>
    <t>2019/10/18 16:59:48</t>
  </si>
  <si>
    <t>下单之前价格已经谈好了，拍下的时候不小心金币忘记勾掉了，后来联系卖家，我说要不退款重新拍，卖家就说他们要金币也没用，说可以送，给设置单向签到的方式把金币还给我，最后却说没有单向设置的，这是欺骗消费者，如果当时卖家说没有办法退还，我就直接申请退款就好了。</t>
  </si>
  <si>
    <t>闪掌柜催收威胁暴力</t>
  </si>
  <si>
    <t>http://ts.21cn.com/tousu/show/id/1372056</t>
  </si>
  <si>
    <t>2019/10/18 16:59:47</t>
  </si>
  <si>
    <t>本月因工资周转问题闪管家逾期，催收打电话态度恶劣让两个小时内处理，不然后果自负，本人没有不还款的意愿，只是说晚上还，前期品台就收取了借款手续费100多，现在还有逾期费，还暴力催收，我会尽快还进去但是在威胁我就报警处理。</t>
  </si>
  <si>
    <t>玖富万卡非法收取服务费，利息高的吓人</t>
  </si>
  <si>
    <t>http://ts.21cn.com/tousu/show/id/1372054</t>
  </si>
  <si>
    <t>2019/10/18 16:59:13</t>
  </si>
  <si>
    <t>本人在玖富万卡上贷款两万，他们收取我服务费3000.并且利息高的吓人，一年要还本息一共两万八。</t>
  </si>
  <si>
    <t>投诉同程国际机票违规降舱出票，存在差价问题，要求“退一赔三”</t>
  </si>
  <si>
    <t>http://ts.21cn.com/tousu/show/id/1372053</t>
  </si>
  <si>
    <t>2019/10/18 16:58:48</t>
  </si>
  <si>
    <t>同程客服说往返均是H舱，实际上回程登机牌显示是P舱，去程是A舱，从欧罗巴伙伴航空——东航里程累积结果可以证明，且东航客服查询也是如此，我对同程居然和飞猪这种毫无道德底线的OTA的做法保持一致感到极度失望，本人要求按《消费者权益保护法》进行“退一赔三”。</t>
  </si>
  <si>
    <t>宝付支付为高利贷砍头息714平台违规提支付渠道，对本人造成极大精神伤害</t>
  </si>
  <si>
    <t>http://ts.21cn.com/tousu/show/id/1372052</t>
  </si>
  <si>
    <t>2019/10/18 16:57:34</t>
  </si>
  <si>
    <t>宝付支付平台不审核资质，为714砍头息高炮高利贷平台提供支付渠道，本人核对流水时，发现被宝付支付扣款金额高达一万多，希望宝付支付平台给出相应解释，并退还相应金额，不要推脱，尽快解决问题，能联系到商户的尽快退款，如若反应不合作或联系不到商户不予以解决的，我只能通过清算协会及央行解决。</t>
  </si>
  <si>
    <t>你我贷暴力催收高利贷</t>
  </si>
  <si>
    <t>http://ts.21cn.com/tousu/show/id/1372051</t>
  </si>
  <si>
    <t>2019/10/18 16:57:18</t>
  </si>
  <si>
    <t>8月22号，我在51分期贷款借钱上借了2000块钱，是你我贷放的款，账单上显示需要还2700，由于我对象生病住院，加上我对象经济纠纷案的手续问题，赔偿的钱一直不到账上，逾期了477.58，今天一个女的打电话过来，我说申请延期，这一两天钱到账了马上还进去，对方不同意就开始威胁我要爆我通讯录，给我家人，亲戚朋友打电话，在通话过程中，对方辱骂，恐吓我，我挂断电话之后对我实施电话轰炸，请求帮助！！。</t>
  </si>
  <si>
    <t>今借到打完借条不放款</t>
  </si>
  <si>
    <t>http://ts.21cn.com/tousu/show/id/1372031</t>
  </si>
  <si>
    <t>2019/10/18 16:57:08</t>
  </si>
  <si>
    <t>投诉人马先生投诉对象今借到,今借到涉诉金额1500元问题类型诉求类型投诉详情打完借条，出借人以有逾期有借口不给放款也不消账，还让我提供银行卡信息，让我交保证金，要求销账。</t>
  </si>
  <si>
    <t>广州银行</t>
  </si>
  <si>
    <t>http://ts.21cn.com/tousu/show/id/1372049</t>
  </si>
  <si>
    <t>2019/10/18 16:56:04</t>
  </si>
  <si>
    <t>盼望该银行请尽快删除此条信用卡审批查询记录。</t>
  </si>
  <si>
    <t>随手记福袋借款1万到账8000，要还12000，比国家规定的年息高出太多了</t>
  </si>
  <si>
    <t>http://ts.21cn.com/tousu/show/id/1372048</t>
  </si>
  <si>
    <t>2019/10/18 16:55:53</t>
  </si>
  <si>
    <t>贷款1万元成功私自从我卡里转钱2千元走，还款需要还1万2，整整百分之50的利息。</t>
  </si>
  <si>
    <t>蚂蚁金融威胁我说要给当地派出所打电话上门催收</t>
  </si>
  <si>
    <t>http://ts.21cn.com/tousu/show/id/1372047</t>
  </si>
  <si>
    <t>2019/10/18 16:55:36</t>
  </si>
  <si>
    <t>欠钱还钱，天经地义蚂蚁金融的催收员打电话来问这问那，还言语威胁要通知当地村委会上门催收，还说要叫当地派出所上门催收，是欠钱是我不对，现在还用软暴力催收虽然欠的钱不还，但我想跟蚂蚁金融协商还款，。</t>
  </si>
  <si>
    <t>条款混淆视听，霸王条款</t>
  </si>
  <si>
    <t>http://ts.21cn.com/tousu/show/id/1372030</t>
  </si>
  <si>
    <t>2019/10/18 16:55:28</t>
  </si>
  <si>
    <t>10月21日后入住，并收到自如平台发送短信明确21号后入住；2、2019年10月17日晚进屋放置被褥等生活用品时发现房屋隔音效果巨差，楼上正常走路声清晰可听，当晚提出退房，自如告知已过3天免责退房时间，需扣半月保证金，，自如给出的规则是入住后如发现问题可在3天内提出免责退房，问题是自如平台明确短信告知需在2019年10月21日后入住，实际租金从2019年10月21日开始计算，那么就是说如果真的按自如平台给出的2019年10月21日入住并发现问题也超过了他们规定的3天内可免责退房的期限，针对上述描述:我针对下</t>
  </si>
  <si>
    <t>兴业银行减免违约金不给减免</t>
  </si>
  <si>
    <t>http://ts.21cn.com/tousu/show/id/1372046</t>
  </si>
  <si>
    <t>2019/10/18 16:55:05</t>
  </si>
  <si>
    <t>从十月十四号就给他们打电话说退违约金，，客服说三个工作日回复我，，这都五个工作日了还没有回复。</t>
  </si>
  <si>
    <t>我要投诉区花分期手机贷。</t>
  </si>
  <si>
    <t>http://ts.21cn.com/tousu/show/id/1372045</t>
  </si>
  <si>
    <t>2019/10/18 16:54:55</t>
  </si>
  <si>
    <t>他们就不停地骚扰我家人，给我发律师函骚扰短信。</t>
  </si>
  <si>
    <t>投诉贷上钱恶意催收</t>
  </si>
  <si>
    <t>http://ts.21cn.com/tousu/show/id/1372044</t>
  </si>
  <si>
    <t>2019/10/18 16:54:18</t>
  </si>
  <si>
    <t>9月25日开始，到10月15为止，每天至少打5个电话进行催收，还对我朋友和同事进行骚扰，对我及我同事，朋友的生活造成了非常恶劣的影响，对我的精神造成很大的伤害！目前本人处于抑郁状态！请平台帮忙处理一下。</t>
  </si>
  <si>
    <t>融360一刻分期及代涉嫌高利贷暴力催收</t>
  </si>
  <si>
    <t>http://ts.21cn.com/tousu/show/id/1372043</t>
  </si>
  <si>
    <t>2019/10/18 16:54:16</t>
  </si>
  <si>
    <t>在说明最近有资金困难暂时无法周转无法即使还清的情况下！能联系我本人！还获取我的通讯录打电话给我的家人朋友实行软暴力催收！而且利率这么高已经超出国家底线！我联系他们他们拒绝！我会还钱但是这么高的利率高利贷我是不会还的！现在我只要求还本金希望贵平台能同意协商本金事宜。</t>
  </si>
  <si>
    <t>http://ts.21cn.com/tousu/show/id/1372042</t>
  </si>
  <si>
    <t>2019/10/18 16:53:50</t>
  </si>
  <si>
    <t>在我不知道的情况下，随意扣除我银行卡里的现金。</t>
  </si>
  <si>
    <t>招联暴力催收</t>
  </si>
  <si>
    <t>http://ts.21cn.com/tousu/show/id/1372041</t>
  </si>
  <si>
    <t>2019/10/18 16:53:43</t>
  </si>
  <si>
    <t>要求停止骚扰，协商还款，道歉！！！！！！！。</t>
  </si>
  <si>
    <t>信用管家薪意贷</t>
  </si>
  <si>
    <t>http://ts.21cn.com/tousu/show/id/1372039</t>
  </si>
  <si>
    <t>2019/10/18 16:53:19</t>
  </si>
  <si>
    <t>信用管家里面的薪意贷，借款2250元，实际还款3000多，超过了国家法定的利率，而且还准备暴力催收，是通过畅捷支付到账的。</t>
  </si>
  <si>
    <t>现金巴士砍头息</t>
  </si>
  <si>
    <t>http://ts.21cn.com/tousu/show/id/1372037</t>
  </si>
  <si>
    <t>2019/10/18 16:52:30</t>
  </si>
  <si>
    <t>投诉人 李先生        投诉对象  现金巴士        涉诉金额  1 000 元    问题类型    诉求类型投诉详情  现金巴士借款1000元 到手800多 砍头息 一天10元违约金 应还363 违约金收140元 高利贷</t>
  </si>
  <si>
    <t>手机换号后滴滴账号已知密码无法找回</t>
  </si>
  <si>
    <t>http://ts.21cn.com/tousu/show/id/1372036</t>
  </si>
  <si>
    <t>2019/10/18 16:52:26</t>
  </si>
  <si>
    <t>手机号换号后因为以前未实名认证无法找回，已知密码还是无法找回，既然非要手机号登陆那么设置密码的意义是什么，既然不要实名认证也能正常交易坐车，为什么找回一个账号又非得认证过才可以。</t>
  </si>
  <si>
    <t>好易借套路贷违规收取砍头息</t>
  </si>
  <si>
    <t>http://ts.21cn.com/tousu/show/id/1372035</t>
  </si>
  <si>
    <t>2019/10/18 16:52:25</t>
  </si>
  <si>
    <t>好易借app借款为高利贷：通过好易借app借款13000元，期限为360天，砍头息2000多元，但是在前三个月就需要还清本金加利息16500元，利率已远超国家规定利率，除利息1755元外，另外还违规收取担保费1170、融资管理费1755元，，协商还款，现在还款已经超过17000元，远远超过国家规定利息，希望好易借沟通结清欠款、销账事宜。</t>
  </si>
  <si>
    <t>亨元金融嗨钱网没把钱给海尔消费金融</t>
  </si>
  <si>
    <t>http://ts.21cn.com/tousu/show/id/1372034</t>
  </si>
  <si>
    <t>2019/10/18 16:52:21</t>
  </si>
  <si>
    <t>2、3、4、5月份我都正常还款、你们公司为什么不跟海尔消费金融对接、导致我征信一直被上、严重影响到生活了。</t>
  </si>
  <si>
    <t>玖富万卡合同账单与实际还款账单不符</t>
  </si>
  <si>
    <t>http://ts.21cn.com/tousu/show/id/1371929</t>
  </si>
  <si>
    <t>2019/10/18 16:52:18</t>
  </si>
  <si>
    <t>10月15日贷款的，到今天10月18日共计3天，客服上午回复我取消需要支付205元的手续费，而且，造成账单错误不是我本人原因！而且，借款协议上写的很清楚。</t>
  </si>
  <si>
    <t>微博借钱，利率游走在法律边缘</t>
  </si>
  <si>
    <t>http://ts.21cn.com/tousu/show/id/1372033</t>
  </si>
  <si>
    <t>2019/10/18 16:51:17</t>
  </si>
  <si>
    <t>投诉人 赵女士        投诉对象  微博借钱        涉诉金额  5 000 元    问题类型    诉求类型投诉详情  借款5000.年利率36%。游走在法律边缘</t>
  </si>
  <si>
    <t>http://ts.21cn.com/tousu/show/id/1372032</t>
  </si>
  <si>
    <t>2019/10/18 16:51:07</t>
  </si>
  <si>
    <t>本人在2017年11月向白领贷借款4万元整用于房租周转，实际下款32000元整，扣除8000元整咨询费用承诺全部还款后进行归还，分期共24期，前23期每期还款2182.66元，最后一期还款1862.43元，期间在4.29日、6.29日逾期两次，共收取80元逾期费用，4.29日当日未收到平台发来的短信提示还款且在30日逾期后都没有任何短信提示，该款项30日还款，逾期一天，逾期费用40元，6.27日—6.30日因本人突犯细菌性痢疾导致住院，拉肚子导致精神恍惚错过了还款日期，30日出院后立刻还清，逾期一天，逾期费</t>
  </si>
  <si>
    <t>恶意捆绑搭售保险</t>
  </si>
  <si>
    <t>http://ts.21cn.com/tousu/show/id/1372029</t>
  </si>
  <si>
    <t>2019/10/18 16:51:03</t>
  </si>
  <si>
    <t>借款30000万分20期，年利率达58%，投诉无门，退保。</t>
  </si>
  <si>
    <t>招联好期贷，麻烦联系我</t>
  </si>
  <si>
    <t>http://ts.21cn.com/tousu/show/id/1347044</t>
  </si>
  <si>
    <t>2019/10/18 16:50:23</t>
  </si>
  <si>
    <t>投诉人柯女士投诉对象招联金融涉诉金额23850元问题类型诉求类型投诉详情你好，10月24日是我在招联好期贷的还款日，本月还款金额4004.46元，总欠款23843.02元，由于我目前没有工作，没有收入，新工作我也没找到，目前还在面试阶段，想跟客服人员联系协商延长还款期数，降低还款金额，但是客服人员回复我如果逾期了，客服人员联系我的时候，可以跟客服人员协商，我明知道还不上了，主动找你们协商解决问题，为什么一定要我逾期，你们打电话催收，或者联系亲属，才能协商解决，我还款意识很强，我想要还款，想要还清债务，但是为</t>
  </si>
  <si>
    <t>深圳市恒富创融科技有限公司乱扣款</t>
  </si>
  <si>
    <t>http://ts.21cn.com/tousu/show/id/1372028</t>
  </si>
  <si>
    <t>2019/10/18 16:50:19</t>
  </si>
  <si>
    <t>突然收信息扣了我的钱，我都不知道它是干什么的，上了聚投诉才知道是非法高利贷公司，希望有关部门严惩这些社会的败类，不知道害多少人家破人亡！必须严惩不贷。</t>
  </si>
  <si>
    <t>立借借款借一万要还16800，提前还款还要15000，利息太高没法活了</t>
  </si>
  <si>
    <t>http://ts.21cn.com/tousu/show/id/1372027</t>
  </si>
  <si>
    <t>2019/10/18 16:50:03</t>
  </si>
  <si>
    <t>和立即借款了一万元，但是利息6个月就要6800，协商提前还款但是要利息要还15000块光利息就要5000，这个利息实在太高没法还了。</t>
  </si>
  <si>
    <t>逾期一次不退我咨询费</t>
  </si>
  <si>
    <t>http://ts.21cn.com/tousu/show/id/1372026</t>
  </si>
  <si>
    <t>2019/10/18 16:49:58</t>
  </si>
  <si>
    <t>投诉人 曾罗斌        投诉对象  白领贷麦子金服        涉诉金额  1 800 元    问题类型    诉求类型投诉详情  贷款还清不退我1800元的砍头费。希望各领导部门严查。</t>
  </si>
  <si>
    <t>平安普惠催收威胁要轰炸我电话和我联系人</t>
  </si>
  <si>
    <t>http://ts.21cn.com/tousu/show/id/1372025</t>
  </si>
  <si>
    <t>2019/10/18 16:49:31</t>
  </si>
  <si>
    <t>我已经表示下个月处理剩下的三千多欠款，这个月实在无力偿还，平安普惠催收人员还多次威胁我要对我持续骚扰，声称这个月还不了钱就让我以后一直关机，要电话轰炸我！并且对我进行侮辱！这是一家合规平台工作人员的态度吗，和黑社会流氓分子没有任何区别！就是下图电话号码。</t>
  </si>
  <si>
    <t>钱橙无忧网贷app在我不知情情况下扣款</t>
  </si>
  <si>
    <t>http://ts.21cn.com/tousu/show/id/1372023</t>
  </si>
  <si>
    <t>2019/10/18 16:49:17</t>
  </si>
  <si>
    <t>钱橙无忧APP我已缷载了，今天发现他两次扣我的钱共168元。</t>
  </si>
  <si>
    <t>系统不扣款，导致逾期</t>
  </si>
  <si>
    <t>http://ts.21cn.com/tousu/show/id/1372022</t>
  </si>
  <si>
    <t>2019/10/18 16:48:47</t>
  </si>
  <si>
    <t>还款金额已存够，玖富系统没扣款，导致第二天逾期，要加收服务费。</t>
  </si>
  <si>
    <t>http://ts.21cn.com/tousu/show/id/1372021</t>
  </si>
  <si>
    <t>2019/10/18 16:48:46</t>
  </si>
  <si>
    <t>钱站高利贷，本人借4200元，需要还款6千多，阴阳合同，本期账单为20号，已还清一期，还剩下2期未还。</t>
  </si>
  <si>
    <t>与点筹网签订的合作协议协议标明款项周结但是八月份发的货款项一直拖点筹网也没有合理的解释</t>
  </si>
  <si>
    <t>http://ts.21cn.com/tousu/show/id/1372020</t>
  </si>
  <si>
    <t>2019/10/18 16:48:13</t>
  </si>
  <si>
    <t>投诉人 吴先生        投诉对象  点筹网        涉诉金额  6 300 元    问题类型    诉求类型投诉详情  今年八月与点筹网签订的合作协议 协议标明款项周结 但是八月份发的货 款项一直拖 点筹网也没有合理的解释</t>
  </si>
  <si>
    <t>时光分期暴力催收，恐吓，骚扰家人，同事，朋友，盗取通讯录骚扰。</t>
  </si>
  <si>
    <t>http://ts.21cn.com/tousu/show/id/1372019</t>
  </si>
  <si>
    <t>2019/10/18 16:47:25</t>
  </si>
  <si>
    <t>时光分期放款15000元，分6期还款，每月还款2949.25元，本来也正常还款，最近一期忘了存进代扣银行卡，第二天就开始电话轰炸，盗取我通讯录，群发给我手机通讯录里联系人，还电话威胁如一小时内不还款，打电话给通讯录里所有人，对方打过来电话全是网络模拟电话，回拨过去都无法接听，这真是无法容忍，简直跟黑社会无异，应该曝光，以下附图片，短信内容亲朋好友多人收到。</t>
  </si>
  <si>
    <t>还款本金</t>
  </si>
  <si>
    <t>http://ts.21cn.com/tousu/show/id/1372018</t>
  </si>
  <si>
    <t>2019/10/18 16:46:51</t>
  </si>
  <si>
    <t>立借平台钱置宝，平台还款不能还，恶意造成逾期25天，现要求还本金，借款2100到账1500，还款2100。</t>
  </si>
  <si>
    <t>招联金融广告骚扰</t>
  </si>
  <si>
    <t>http://ts.21cn.com/tousu/show/id/1372017</t>
  </si>
  <si>
    <t>2019/10/18 16:46:39</t>
  </si>
  <si>
    <t>招联金融又来发送短信引诱 这个无耻的高利贷平台害的多少家庭家破人亡 本人表示再也不碰网贷 珍爱生命 远离招联。</t>
  </si>
  <si>
    <t>达飞云套路贷</t>
  </si>
  <si>
    <t>http://ts.21cn.com/tousu/show/id/1372012</t>
  </si>
  <si>
    <t>2019/10/18 16:46:15</t>
  </si>
  <si>
    <t>贷了28000只给25200还了8个月每个月还2800还有19000本金现在电话威胁。</t>
  </si>
  <si>
    <t>关于建设银行违约金撤销问题</t>
  </si>
  <si>
    <t>http://ts.21cn.com/tousu/show/id/1372013</t>
  </si>
  <si>
    <t>2019/10/18 16:46:04</t>
  </si>
  <si>
    <t>朋友建设银行逾期申请撤销违约金事宜，比较合理的安排了同意，但本人去联系客服期间，客服第一次电话查询告知我17年至今产生的违约金有800多元，第二次再次电话沟通客服的时候客服却拒不回答，当地分行客服专员联系我本人时候告知我无法查询到我的违约金有多少，需要去向上级银行调取我的所有信用卡账单明细才能查询到，但是第二天却告知我不能撤销的我违约金，我向客服询问工号却拒不回答。</t>
  </si>
  <si>
    <t>征信出现代偿记录</t>
  </si>
  <si>
    <t>http://ts.21cn.com/tousu/show/id/1372011</t>
  </si>
  <si>
    <t>2019/10/18 16:45:57</t>
  </si>
  <si>
    <t>投诉人石先生投诉对象银鼎融资涉诉金额2500元问题类型诉求类型投诉详情今天刚刚查了一下征信就有代偿记录，我都不知道，也没有电话胡乱上去。</t>
  </si>
  <si>
    <t>http://ts.21cn.com/tousu/show/id/1372010</t>
  </si>
  <si>
    <t>2019/10/18 16:45:40</t>
  </si>
  <si>
    <t>大学同学借款，留的我的联系方式，多少天前我就告诉你们，我没有联系了，‭，7041‬这个号码天天给我打，第一次还逼我给借款人打电话，这工作我理解了，但是后来三番五次给我打电话，昨天下午我说没有联系，而且电话接通后，她还在跟身边人聊天，这工作态度，今天又打过来，刚接通，说一句就挂断了，说自己忘了，已经打扰我正常生活。</t>
  </si>
  <si>
    <t>闪银变相砍头息</t>
  </si>
  <si>
    <t>http://ts.21cn.com/tousu/show/id/1372009</t>
  </si>
  <si>
    <t>2019/10/18 16:45:26</t>
  </si>
  <si>
    <t>申请并未选择购买担保凭证，强制购买担保凭证，变相收取高额服务费用作为砍头息。</t>
  </si>
  <si>
    <t>恶意收取费用并且跑路，请立即退还我全部款项</t>
  </si>
  <si>
    <t>http://ts.21cn.com/tousu/show/id/1371978</t>
  </si>
  <si>
    <t>2019/10/18 16:45:12</t>
  </si>
  <si>
    <t>该公司一次又一次的骗取我的金钱，让我去投标，说定的时间内没有给我退款还一而再再而三的找我要钱，收了钱以后人就找不到了，平台也没有电话，一共骗取了我1610元整。</t>
  </si>
  <si>
    <t>翼支付捆绑保费保费远超利息</t>
  </si>
  <si>
    <t>http://ts.21cn.com/tousu/show/id/1372008</t>
  </si>
  <si>
    <t>2019/10/18 16:45:05</t>
  </si>
  <si>
    <t>本人在翼支付中的借钱借了15000元，保费远超利息，其中保费每月173元左右，恶意捆绑保单。</t>
  </si>
  <si>
    <t>http://ts.21cn.com/tousu/show/id/1372007</t>
  </si>
  <si>
    <t>2019/10/18 16:45:01</t>
  </si>
  <si>
    <t>2018年1月13号和2018年3月14号，浦发信用卡中心未经本人允许擅自查询本人征信记录盼望该银行请尽快删除此条信用卡审批查询记录否则走各大法律途径投诉处理或行政诉讼。</t>
  </si>
  <si>
    <t>拇指下款在不知情的情况下扣我卡里的钱</t>
  </si>
  <si>
    <t>http://ts.21cn.com/tousu/show/id/1372006</t>
  </si>
  <si>
    <t>2019/10/18 16:44:07</t>
  </si>
  <si>
    <t>投诉人 梁女士        投诉对象  拇指下款        涉诉金额  200 元    问题类型    诉求类型投诉详情  不知情的情况下扣钱？？？希望快点给我处理了，不然在去报警了！</t>
  </si>
  <si>
    <t>骚扰到我的朋友家人了</t>
  </si>
  <si>
    <t>http://ts.21cn.com/tousu/show/id/1372005</t>
  </si>
  <si>
    <t>2019/10/18 16:43:57</t>
  </si>
  <si>
    <t>我自己会还款的过了几天就开始骚扰我的家人和朋友，请停止骚扰，也没有人微信联系过我的！利息太高了吧！不知道这个属不属于暴力催收！。</t>
  </si>
  <si>
    <t>捷信消费金融高利贷</t>
  </si>
  <si>
    <t>http://ts.21cn.com/tousu/show/id/1372004</t>
  </si>
  <si>
    <t>2019/10/18 16:43:56</t>
  </si>
  <si>
    <t>本来去银行贷款的，咨询过了，可以做，但是下款要20天左右所以来不及，，经人介绍的捷信金融业务员，当初咨询了业务员，利息方面1.2分左右+其他平台服务费不会超过2分才做的，现在本人已经还了14期每期还款2497.42元，还了3.49w之后逾期3个月，各种爆通讯录，以至于我现在不得不换号码，把原来的手机号做销号处理，现在要求我一次性还清借款6.4w左右，我就搞不懂了，总共借了6.5w前面还的3.5w是什么，当初因为急用钱没怎么看合同，都是业务员说了个大概然后就签字，这是我的过错，我认，但是我估计10个借网贷的也</t>
  </si>
  <si>
    <t>你我贷，拍拍贷，洋钱罐，钱伴，信用钱包，亨分期恶意催收，爆通讯录</t>
  </si>
  <si>
    <t>http://ts.21cn.com/tousu/show/id/1372003</t>
  </si>
  <si>
    <t>2019/10/18 16:43:38</t>
  </si>
  <si>
    <t>钱伴,洋钱罐,你我贷,拍拍贷,信用钱包，享分期，你我贷，享分期，信用钱包，拍拍贷，钱伴，洋钱罐。</t>
  </si>
  <si>
    <t>小花钱包</t>
  </si>
  <si>
    <t>http://ts.21cn.com/tousu/show/id/1372002</t>
  </si>
  <si>
    <t>2019/10/18 16:43:33</t>
  </si>
  <si>
    <t>这两天在乡下村子里边，我的钱都是用的时候存卡里，今天也明确的告知了客服今天会处理，一直打电话来，还告诉我一分钟都不行，威胁我必须马上处理，不然移交催收，你们小花钱包这么牛逼吗。</t>
  </si>
  <si>
    <t>佰仟金融旗下买买乐购暴力催收</t>
  </si>
  <si>
    <t>http://ts.21cn.com/tousu/show/id/1372001</t>
  </si>
  <si>
    <t>2019/10/18 16:43:01</t>
  </si>
  <si>
    <t>买买乐购一天打几十个电话骚扰本人，而且还去骚扰我的朋友还给以前所在单位打电话，已经严重影响到我了。</t>
  </si>
  <si>
    <t>给了手续费不下款</t>
  </si>
  <si>
    <t>http://ts.21cn.com/tousu/show/id/1372000</t>
  </si>
  <si>
    <t>2019/10/18 16:42:30</t>
  </si>
  <si>
    <t>我说了我花呗有逾期，对方称可以贷款，只不过提高点数，也就是手续费，贷款15000手续费750已经打给他说的账户，说等半个小时就下款，然后被套路，App显示说我的信用不足，我当天就去中国银行查自己没有逾期记录，而且对方口口声声说的可以给我下款，钱都发过去了，不给我下款这属于欺骗行为，有证据，其他平台虽然利息高手续费高但是说到做到，玖富金融这个给了钱不办事，简直就是欺骗。</t>
  </si>
  <si>
    <t>http://ts.21cn.com/tousu/show/id/1371998</t>
  </si>
  <si>
    <t>2019/10/18 16:42:22</t>
  </si>
  <si>
    <t>在百事普惠App，填完信息自动从我银行卡扣款150，还说银行卡钱不够，叫我继续存钱等待再次扣款。</t>
  </si>
  <si>
    <t>有用分期高利贷</t>
  </si>
  <si>
    <t>http://ts.21cn.com/tousu/show/id/1371999</t>
  </si>
  <si>
    <t>2019/10/18 16:42:02</t>
  </si>
  <si>
    <t>我是18年二月份在有用分期上借了14000，这一段时间我在维护自己权利，起诉各个不和理的平台，有一笔3000元的账单已经还完，但是他给我消除了。</t>
  </si>
  <si>
    <t>自主扣款</t>
  </si>
  <si>
    <t>http://ts.21cn.com/tousu/show/id/1371997</t>
  </si>
  <si>
    <t>2019/10/18 16:41:14</t>
  </si>
  <si>
    <t>联动优势电子商务有限公司私自从我银行卡扣钱本人在借款app上借钱。</t>
  </si>
  <si>
    <t>闪电借款恶意性骚扰</t>
  </si>
  <si>
    <t>http://ts.21cn.com/tousu/show/id/1371996</t>
  </si>
  <si>
    <t>2019/10/18 16:40:34</t>
  </si>
  <si>
    <t>逾期又不能延期，一直骚扰我的朋友，请停止骚扰我的朋友。</t>
  </si>
  <si>
    <t>拉牛瑞贷高利贷，暴力催收</t>
  </si>
  <si>
    <t>http://ts.21cn.com/tousu/show/id/1371995</t>
  </si>
  <si>
    <t>2019/10/18 16:39:39</t>
  </si>
  <si>
    <t>本人在卡牛瑞贷上贷款7500当时合同写年利率百分之10觉得可以才接受的！放款成功后就按时还款最近一个月资金有些困难就有武器！该平台联系表明最近困难无法偿还！然后改平台就爆我通讯录迫使我的家人朋友给我还钱！今天把逾期补上才发现7500一年要还10000多！已经超出想象！合同原本定百分之10的利率！还款年利率达到百分之40！现在要求只还本金不然一分钱以后都不会还了。</t>
  </si>
  <si>
    <t>账号用不了</t>
  </si>
  <si>
    <t>http://ts.21cn.com/tousu/show/id/1371994</t>
  </si>
  <si>
    <t>2019/10/18 16:38:56</t>
  </si>
  <si>
    <t>账号用不了，问客服，客服说解决不了，要求给出合理解释，不要一味说系统原因。</t>
  </si>
  <si>
    <t>短信骚扰</t>
  </si>
  <si>
    <t>http://ts.21cn.com/tousu/show/id/1371993</t>
  </si>
  <si>
    <t>2019/10/18 16:38:42</t>
  </si>
  <si>
    <t>本人未在拍拍贷借款，拍拍贷整天给我发骚扰电话。</t>
  </si>
  <si>
    <t>车速递杭州分公司不退押金</t>
  </si>
  <si>
    <t>http://ts.21cn.com/tousu/show/id/1371991</t>
  </si>
  <si>
    <t>2019/10/18 16:37:49</t>
  </si>
  <si>
    <t>今年年初在网上看到了租车信息，联系到销售员，办理了租车，约定每个月4500租金，要缴纳10000元押金，租的车子跑滴滴用的，跑了7个月，车子修好，还掉了，最后一个月的租金没给，我跟他们车管协商的说是从押金里面扣，但是他们押金不给退了，。</t>
  </si>
  <si>
    <t>樱桃小借高额砍头息套路贷巨额逾期费用</t>
  </si>
  <si>
    <t>http://ts.21cn.com/tousu/show/id/1371992</t>
  </si>
  <si>
    <t>2019/10/18 16:37:48</t>
  </si>
  <si>
    <t>投诉人 苏先生        投诉对象  花转转,樱桃小借        涉诉金额  7 553 元    问题类型    诉求类型投诉详情  之前几次借款记录被平台删除了 但是放款记录还在 这期的是上期没还完就放款了 这期的是我联系客服 给我取消借款但是一直推辞 要就是客服电话联系不到 几次联系无果后给我下款 而且利息都高 借4000到账2800 。</t>
  </si>
  <si>
    <t>暴力收款</t>
  </si>
  <si>
    <t>http://ts.21cn.com/tousu/show/id/1371990</t>
  </si>
  <si>
    <t>2019/10/18 16:37:41</t>
  </si>
  <si>
    <t>逾期一天，要我通讯录乱给朋友家人打电话骚扰，态度恶劣，无法沟通，完全影响了我正常的生活，利息也高。</t>
  </si>
  <si>
    <t>平安普惠冒充法院，公安，律师进行电话恐吓以及骚扰</t>
  </si>
  <si>
    <t>http://ts.21cn.com/tousu/show/id/1371989</t>
  </si>
  <si>
    <t>2019/10/18 16:37:16</t>
  </si>
  <si>
    <t>在平安普惠借款15万元分36期归还，每期7200元，连续的电话狂轰乱炸对方说带10几个人要上门催收每天变成法子换电话联系我们。</t>
  </si>
  <si>
    <t>协融借网贷平台有高利贷行为</t>
  </si>
  <si>
    <t>http://ts.21cn.com/tousu/show/id/1371988</t>
  </si>
  <si>
    <t>2019/10/18 16:37:11</t>
  </si>
  <si>
    <t>10月4号借的6千块钱，两个月分成4期还，一期2398.8元，远远高于国家法定利率！自己也两次拨打协融借客服电话与其协商，客服人员态度恶劣，要求我线下处理归还7797.6元，我不能接受，要求平台调整利率，按照国家规定标准收取欠款。</t>
  </si>
  <si>
    <t>辱骂家人</t>
  </si>
  <si>
    <t>http://ts.21cn.com/tousu/show/id/1371987</t>
  </si>
  <si>
    <t>2019/10/18 16:36:43</t>
  </si>
  <si>
    <t>因近期换工作，至少在多米贷借了1500元，还了两期，最后一期逾期，打客服电话没打通，然后多米贷电话打到父母手机上去了，并且辱骂严重。</t>
  </si>
  <si>
    <t>钱站高利贷，恶意骚扰通讯录</t>
  </si>
  <si>
    <t>http://ts.21cn.com/tousu/show/id/1371986</t>
  </si>
  <si>
    <t>2019/10/18 16:35:47</t>
  </si>
  <si>
    <t>9月20日左右，钱站因为自身问题导致IOS版本的APP无法登陆，导致用户无法还款，客服也不主动联系用户，直接对其通讯录进行骚扰，已经严重造成了个人名誉受损，强制要求该产品相关部门作出回应，对客户个人声誉造成损害要求补偿，于2019年10月18日本人就合同问题对其客服人员作出解答，客服人员解答说至于那1000多元是由担保公司的服务费代收，想问担保公司代收为什么是同一家企业代收，代收的义务和服务是什么，在本人未及时还款的情况下，担保公司是否应该出资解决未还款项，如不解决，是否我这1000多元的担保费是无任何意义</t>
  </si>
  <si>
    <t>遵义湘江投资公司违规操作售房</t>
  </si>
  <si>
    <t>http://ts.21cn.com/tousu/show/id/1371985</t>
  </si>
  <si>
    <t>2019/10/18 16:35:43</t>
  </si>
  <si>
    <t>本人于2018年在湘江投资公司买房，合同约定于2019年4月交房，交房时间一拖再拖，截止2019年8月，湘江公司说退钱，但是要走流程，我们相信了，但是到了2019年10月，湘江公司直接表明态度，退钱不退，交房不交的的态度，希望看见这封信息的领导能够引起重视，还老几百个受骗老百姓一个公道，还社会一个清明，。</t>
  </si>
  <si>
    <t>捷信恶意改合同收费</t>
  </si>
  <si>
    <t>http://ts.21cn.com/tousu/show/id/1371983</t>
  </si>
  <si>
    <t>2019/10/18 16:35:22</t>
  </si>
  <si>
    <t>因为遭遇电信诈骗，然后以前用的那个手机号登录不了导致现在逾期10多天捷信就开始轰炸我通讯录，威胁我家人今天补办了以前手机号收到短信还说要上门催收，还说我借款合同是2017年签订的按照2017年的合同开始收费，他妈的劳资借款都是2018年借的你从17年开始收费几个意思，恶意修改合同吗，借20000已经还款15期从来没有逾期这次特殊情况结果你们就这样，那你们就上门吧劳资一分不还了爆通讯录导致朋友都知道，现在工作也工作不了，如果我没工作了你们还怎么拿回你们的钱，报警的话也只是属于经济纠纷，你们起诉我没钱你们也拿不</t>
  </si>
  <si>
    <t>正常使用超盟金服二维码，资金无故被冻结，按要求多次提交了所有资料仍不放款</t>
  </si>
  <si>
    <t>http://ts.21cn.com/tousu/show/id/1371982</t>
  </si>
  <si>
    <t>2019/10/18 16:35:14</t>
  </si>
  <si>
    <t>投诉人朱女士投诉对象超盟金服,乐刷涉诉金额116607元问题类型诉求类型投诉详情本人正常经营一家首饰礼品店，2019年9月15日-16日营业款未到账，咨询超盟客服告知说是触动风控，需要提供申诉材料进行申诉，资料当时已经按要求提交，一个月过去了仍未解决，问其原因无法得知，无故这样冻结款项，请超盟给出一个解释！。</t>
  </si>
  <si>
    <t>普惠快信恶意催收</t>
  </si>
  <si>
    <t>http://ts.21cn.com/tousu/show/id/1371984</t>
  </si>
  <si>
    <t>2019/10/18 16:35:07</t>
  </si>
  <si>
    <t>投诉人董先生投诉对象深圳普惠快信涉诉金额5000元问题类型诉求类型投诉详情普惠快信公司，骂人催收，还说要过来，恐吓，电话轰炸，给客服人员反映迟迟没有结果，电话还在恶意的骚扰，现在已经严重影响到我的生活，工作。</t>
  </si>
  <si>
    <t>投诉美团重庆三快小额贷款暴力催收，爆通讯录进行口头谩骂</t>
  </si>
  <si>
    <t>http://ts.21cn.com/tousu/show/id/1371981</t>
  </si>
  <si>
    <t>2019/10/18 16:34:46</t>
  </si>
  <si>
    <t>投诉美团重庆三快小额贷款进行语言侮辱，虚假电话号码爆手机电话，对我身边亲友恐吓，爆我通讯录。</t>
  </si>
  <si>
    <t>小花钱包恐吓催收</t>
  </si>
  <si>
    <t>http://ts.21cn.com/tousu/show/id/1371980</t>
  </si>
  <si>
    <t>2019/10/18 16:34:27</t>
  </si>
  <si>
    <t>发恐吓短信，要骚扰我亲戚朋友，才逾期三天就开始爆通讯录，还有没有人管了，打客服的催收反馈是假电话。</t>
  </si>
  <si>
    <t>共享单车已换车。系统显示没有还车，还扣我142元</t>
  </si>
  <si>
    <t>http://ts.21cn.com/tousu/show/id/1371979</t>
  </si>
  <si>
    <t>2019/10/18 16:33:47</t>
  </si>
  <si>
    <t>我共享单车已还，但是平台方未还，打电话过去，客服说没有办法处理，期间发了一条短信，被手机垃圾信息屏蔽了，我说扣那么多钱，为什么平台方都不打个电话过来，故意拖到第二天5点多才还，什么情况！。</t>
  </si>
  <si>
    <t>广州银联支付公司扣两笔款</t>
  </si>
  <si>
    <t>http://ts.21cn.com/tousu/show/id/1371977</t>
  </si>
  <si>
    <t>2019/10/18 16:33:11</t>
  </si>
  <si>
    <t>本人中国银行借记卡于17年12月5日和18年1月30日被广州银联支付有限公司代扣两笔各一万元。</t>
  </si>
  <si>
    <t>钱站爱钱进利息太高</t>
  </si>
  <si>
    <t>http://ts.21cn.com/tousu/show/id/1371976</t>
  </si>
  <si>
    <t>2019/10/18 16:32:45</t>
  </si>
  <si>
    <t>9月16日到账2000,还款三个月需要还将近3000元，实在承担不了如此高利息。</t>
  </si>
  <si>
    <t>身份证被其他抖音账号绑定</t>
  </si>
  <si>
    <t>http://ts.21cn.com/tousu/show/id/1371975</t>
  </si>
  <si>
    <t>2019/10/18 16:32:26</t>
  </si>
  <si>
    <t>身份证被他人账号占用，现个人账号无法认证绑定。</t>
  </si>
  <si>
    <t>遵义湘江投资公司没有按期交房也不退款</t>
  </si>
  <si>
    <t>http://ts.21cn.com/tousu/show/id/1371973</t>
  </si>
  <si>
    <t>2019/10/18 16:31:55</t>
  </si>
  <si>
    <t>于2019年4月以订金的形式交了13万元购房款，说4月30日可以办按揭并交房，至今没有对现承诺，我们要求交不了房就退款，现在湘江投资有限公司又以公司账上没有钱拒绝退款，望有关重视，业主群有500多户都是这个情况。</t>
  </si>
  <si>
    <t>交易猫王者荣耀帐号被盗回</t>
  </si>
  <si>
    <t>http://ts.21cn.com/tousu/show/id/1371972</t>
  </si>
  <si>
    <t>2019/10/18 16:31:28</t>
  </si>
  <si>
    <t>交易猫买的帐号因为上学原因，今天放假才发现被卖加盗回了。</t>
  </si>
  <si>
    <t>网贷高利息</t>
  </si>
  <si>
    <t>http://ts.21cn.com/tousu/show/id/1371971</t>
  </si>
  <si>
    <t>2019/10/18 16:31:18</t>
  </si>
  <si>
    <t>投诉人覃女士投诉对象货上钱,贷上钱涉诉金额3000元问题类型诉求类型投诉详情于9月17号向该平台借3000期限为一个月，借3000还强行要我购买什么游戏金币900元到了还款期却要我还4100，现在该平台把期限改为分三期还第一个月还1380，后两个月还1360元我认为是高利息不能接受。</t>
  </si>
  <si>
    <t>河南中牟农商银行柜台人员利用职权之便，恶意泄露客户信息</t>
  </si>
  <si>
    <t>http://ts.21cn.com/tousu/show/id/1371970</t>
  </si>
  <si>
    <t>2019/10/18 16:31:03</t>
  </si>
  <si>
    <t>事发地：中牟白沙恒通分理处柜台工作人员日期：2019.10.16日早上9.00后10点前原因：2号柜台在当天办理009号业务，该工作人员就说如果你敢爆光我们行，我就把你的身份证信息，所有信息全部泄露，并记下你们家地址，弄死你........此女嚣张形为，根本就不像是一个通过正常渠道进入的当时厅里面的主任，过来及时的进行了制止，给我拉一1号窗口办理了，我因为我急事，就走了，需要补很多资料，我拿的号是013号，由于当天有很急的事情，我想着只是存钱，50元的没有办法去自动柜员机上存，就想着能不能帮一下，先给我办，</t>
  </si>
  <si>
    <t>买房被一再拖延交房时间，且退不了款。</t>
  </si>
  <si>
    <t>http://ts.21cn.com/tousu/show/id/1371969</t>
  </si>
  <si>
    <t>2019/10/18 16:30:54</t>
  </si>
  <si>
    <t>本人于2018年年底在遵义湘江投资有限公司购买商品房一套，当时购买时由于不了解，所以直接就购买了一套住房，且付了首付款，我以及众多业主也都没有怨言，也没有提及违约金内容，可是到了9月30日仍然没能交房，说是水电气没通，可是在近期，我从其他途径了解到这个黑心房开连五证两书都不齐全就敢公开的打广告卖房，于是要求全额退款，可是这无良房开已种种原因拖延了众多业主整整2个月的时间，期间以各种理由各种推脱，现在见推脱不掉干脆玩起了赖皮，直接就一句“现在我们申请验收了，可是政府这边验收没有通过，交不了房，但是你们要想退款</t>
  </si>
  <si>
    <t>http://ts.21cn.com/tousu/show/id/1371967</t>
  </si>
  <si>
    <t>2019/10/18 16:30:40</t>
  </si>
  <si>
    <t>闪银砍头息担保凭证，捆绑借款，套路贷，大量证据，借款人利息＋强制担保凭证年利率超过80%，望得到处理。</t>
  </si>
  <si>
    <t>淘宝闲鱼平台，假货横行，无视国家法律，对己方责任双重标准</t>
  </si>
  <si>
    <t>http://ts.21cn.com/tousu/show/id/1371966</t>
  </si>
  <si>
    <t>2019/10/18 16:30:13</t>
  </si>
  <si>
    <t>，闲鱼规定退货费用由买家承担，但明确卖家责任除外，后发现卖家知悉此主板为问题主板仍然发出，可明确为卖家责任，但闲鱼平台不作为，一直拒绝解释“明确卖家责任除外”这一条文，拒绝履行这一条文要求，后经本人多次致电沟通，闲鱼方又改口说我为优质用户，可以申请运费赔付，但是不保证赔付成功，也不公开审核依据和审核流程，赤裸裸的欺诈行为，如果本人先行垫付运费，很有可能再次损失退货运费，遂进行举报，要求闲鱼正视问题，进行明确解释“明确卖家责任除外”这一条文，明确运费赔付的依据和流程，明确赔付金额和成功可能性，要求对相关客服进</t>
  </si>
  <si>
    <t>钱站阴阳合同疯狂捞钱！</t>
  </si>
  <si>
    <t>http://ts.21cn.com/tousu/show/id/1371965</t>
  </si>
  <si>
    <t>2019/10/18 16:30:11</t>
  </si>
  <si>
    <t>还美名其曰没有超过国家规定36%，放你母亲的p。</t>
  </si>
  <si>
    <t>中信银行信用卡中心</t>
  </si>
  <si>
    <t>http://ts.21cn.com/tousu/show/id/1371964</t>
  </si>
  <si>
    <t>2019/10/18 16:29:52</t>
  </si>
  <si>
    <t>http://ts.21cn.com/tousu/show/id/1371963</t>
  </si>
  <si>
    <t>2019/10/18 16:29:15</t>
  </si>
  <si>
    <t>本人在浏览网页时被广告引诱到博彩公司网站，充值后得知此网站为非正规购彩网致使本人亏损几千元。</t>
  </si>
  <si>
    <t>平安普惠骚扰到工作单位，有恶意中伤嫌疑</t>
  </si>
  <si>
    <t>http://ts.21cn.com/tousu/show/id/1371962</t>
  </si>
  <si>
    <t>2019/10/18 16:29:00</t>
  </si>
  <si>
    <t>本人于18年三月份左右在平安普惠共借出一万三千多的本金借款，其中六千多为很早以前已借出并一直还款良好循环借出状态，而后一两个月因为资金周转问题，各方面都资金不足导致所有借款都无法按时处理，后面在19年三月份，与平安催收人员通过沟通，协商当月收到工资后会处理三千员，希望该人员暂时不要致电到工作单位，但是该工作人员质疑我收到工资未处理，连续三天每天五六个电话致电我工作单位询问我工资发放情况，而后我被工作单位辞退，所以最后没有能处理欠款，之后也一直有过平安的工作人员致电催款，但均没有达成一致而未还款，就刚刚手机号</t>
  </si>
  <si>
    <t>平安银行催收骚扰</t>
  </si>
  <si>
    <t>http://ts.21cn.com/tousu/show/id/1371961</t>
  </si>
  <si>
    <t>2019/10/18 16:28:36</t>
  </si>
  <si>
    <t>天天发短信打电话的，这个人我都不认识，能不能不要在骚扰了。</t>
  </si>
  <si>
    <t>淘宝商家欺诈消费者，联系阿里客服无果</t>
  </si>
  <si>
    <t>http://ts.21cn.com/tousu/show/id/1371960</t>
  </si>
  <si>
    <t>2019/10/18 16:28:31</t>
  </si>
  <si>
    <t>本人在淘宝店铺买了一个龙族幻想礼包，宝贝描素写的抽奖形式可以开出游戏里好几百一千多的东西，结果我就抱着试一下的心态使用了，开出来是腾讯新闻礼包，这个礼包在游戏内都是可以免费领取的，商家居然拿来天价出售，还做成抽奖形式，后看店铺其他物品都是实体物品雨伞什么的，就挂着一个虚拟物品在出售，而且是用的周边实体类目出售游戏礼包，这不是明摆着欺骗消费者吗，打电话给淘宝客服投诉，淘宝客服说淘宝是严禁出售游戏礼包，会对商家做出相应的沟通和惩罚，结果第二天商家还是大摇大摆的在骗人，再次打电话客服说这个他们只能让我退款，商家态</t>
  </si>
  <si>
    <t>51人品贷高利贷</t>
  </si>
  <si>
    <t>http://ts.21cn.com/tousu/show/id/1371959</t>
  </si>
  <si>
    <t>2019/10/18 16:27:56</t>
  </si>
  <si>
    <t>本人于2018年12月17日急需用钱！在51人品贷借款4000元！当时借款协议年利率12%，现已还款11期，还款总额4909元！早已还够本金！最后一期本想有钱一起结清，谁知不能提前还款！现在已没钱！要求取消最后一期还款！并开结清证明！而且第11期逾期一天催收态度恶劣！。</t>
  </si>
  <si>
    <t>金鹰钱包说我在他们平台申请网贷3000元</t>
  </si>
  <si>
    <t>http://ts.21cn.com/tousu/show/id/1371958</t>
  </si>
  <si>
    <t>2019/10/18 16:27:23</t>
  </si>
  <si>
    <t>他们今天下午给我打电话说我在金鹰钱包贷款3000元已经逾期，要我还，可我没有申请过这个网站，我让他们提供账单给我，他们说不给，我的银行卡也没有收到他们的贷款，还说十月七号已经下架了，额在网上查询到好多人八月九月份也收到金鹰钱包客服的电话说还款，都是没有申请过他们的产品就被催收人员催收，这个网站平台你们的处理一下，02569071006这个是他们给我打的电话，。</t>
  </si>
  <si>
    <t>榕树贷款公司暴力催收，盗取客户信息借钱</t>
  </si>
  <si>
    <t>http://ts.21cn.com/tousu/show/id/1371940</t>
  </si>
  <si>
    <t>2019/10/18 16:27:07</t>
  </si>
  <si>
    <t>投诉人林女士投诉对象榕树贷款涉诉金额12000元问题类型诉求类型投诉详情榕树贷款公司暴力疯狂催收，催收人员更是丧心病狂，借我名义私人借钱，盗取通讯录，疯狂骚扰，请问该公司都是不正规的吗，让催收人员用客户信息名义借钱，你们盗取客户信息借钱，等着被报警投诉。</t>
  </si>
  <si>
    <t>滴滴分期严重高利贷</t>
  </si>
  <si>
    <t>http://ts.21cn.com/tousu/show/id/1371956</t>
  </si>
  <si>
    <t>2019/10/18 16:27:05</t>
  </si>
  <si>
    <t>通过短信给我链接进去下载的这个软件滴滴分期，借款周期4天，两天1期，说是借款1200实际到账只有720，但是却要还款1200元！！！简直就是714高炮还高炮了！！！汇潮支付提供的放款渠道！！！麻烦聚投诉平台跟进本人愿意本金处理！不然升级投诉；。</t>
  </si>
  <si>
    <t>协商处理多米贷</t>
  </si>
  <si>
    <t>http://ts.21cn.com/tousu/show/id/1371957</t>
  </si>
  <si>
    <t>2019/10/18 16:26:59</t>
  </si>
  <si>
    <t>本人于2018年4月11日在融360多米贷借款10000元，每期还1034.34但是现在APP上根本看不到借款合同，本人记得今年1月份时候已经告知还完了但是没有出具结清证明，但是今天又接到电话告知还款，处理最后三期现在希望本金结清，请客服联系我们，不希望是催收联系我们。</t>
  </si>
  <si>
    <t>闪银奇异退还砍头息</t>
  </si>
  <si>
    <t>http://ts.21cn.com/tousu/show/id/1371955</t>
  </si>
  <si>
    <t>2019/10/18 16:26:46</t>
  </si>
  <si>
    <t>自2017年开始，闪银以至尊卡，哼哈顺顺前期手续费为名，收取每个月3%的砍头息，外加3%的借款利息，年利率高达100%，其中砍头息就要付36%，欠闪银的钱我全都还清了，没逾期，现在要求闪银退还砍头息，一共是6400块钱，其中三期至尊卡1400元，六期至尊卡前期3000元，哼哈瞬瞬前期2000元。</t>
  </si>
  <si>
    <t>叮当想花爆通讯录爆验证码</t>
  </si>
  <si>
    <t>http://ts.21cn.com/tousu/show/id/1371954</t>
  </si>
  <si>
    <t>2019/10/18 16:26:23</t>
  </si>
  <si>
    <t>投诉人 尤先生        投诉对象  叮当想花        涉诉金额  2 600 元    问题类型    诉求类型投诉详情  立借上叮当想花借款2600还4000 后来立借上找不到叮当想花的还款渠道 导致逾期 暴力催收 已爆通讯录 并且爆了几百条验证码短信</t>
  </si>
  <si>
    <t>建设银行信用卡退还违约金</t>
  </si>
  <si>
    <t>http://ts.21cn.com/tousu/show/id/1371952</t>
  </si>
  <si>
    <t>2019/10/18 16:26:19</t>
  </si>
  <si>
    <t>建设银行违反国家规定，国家禁止收取信用卡最低还款所产生的费用和违约金，建设银行每个月收取高额的费用，现在要求退还，态度海特别恶劣。</t>
  </si>
  <si>
    <t>汇潮支付为高利贷提供渠道</t>
  </si>
  <si>
    <t>http://ts.21cn.com/tousu/show/id/1371953</t>
  </si>
  <si>
    <t>2019/10/18 16:26:04</t>
  </si>
  <si>
    <t>10月20日，时间不足六天！由汇潮支付提供违法支付通道！利息太高，还有恶劣砍头息！实在无法承担，请求聚投诉督促汇潮支付联系对方协商还款！谢谢。</t>
  </si>
  <si>
    <t>没有贷款却被催收</t>
  </si>
  <si>
    <t>http://ts.21cn.com/tousu/show/id/1371903</t>
  </si>
  <si>
    <t>2019/10/18 16:25:57</t>
  </si>
  <si>
    <t>投诉人 熊先生        投诉对象  大王贷款（中盟盛世）        涉诉金额  0 元    问题类型    诉求类型投诉详情  本人没有在大王贷款上贷过款 今天下午接到电话 说有三笔贷款怎么没有还 语气恶劣 脏话连篇</t>
  </si>
  <si>
    <t>714套路贷</t>
  </si>
  <si>
    <t>http://ts.21cn.com/tousu/show/id/1371951</t>
  </si>
  <si>
    <t>2019/10/18 16:25:56</t>
  </si>
  <si>
    <t>非法高利贷，暴力催收，借2000元实际到账只有1560，440元为游戏币充值，6天后要还款20013.3，利息已经严重超过了国家规定范围，本人也以借款多次，早已经超过本金，现要求退还多次的砍头期。</t>
  </si>
  <si>
    <t>恒易贷收取砍头息，高额利息</t>
  </si>
  <si>
    <t>http://ts.21cn.com/tousu/show/id/1371950</t>
  </si>
  <si>
    <t>2019/10/18 16:25:20</t>
  </si>
  <si>
    <t>恒易贷合同金额11723.33，实际到账10000，分十二期每期还款1122.87。</t>
  </si>
  <si>
    <t>你我贷恶心骚扰联系人拨打亲朋好友电话</t>
  </si>
  <si>
    <t>http://ts.21cn.com/tousu/show/id/1371949</t>
  </si>
  <si>
    <t>2019/10/18 16:24:55</t>
  </si>
  <si>
    <t>我爱人张艳超在你我贷公司最后一期还款失败，因为生意失败导致最后一期逾期，在和你我贷公司取得联系后说明情况，你我贷工作人员在没有取得我爱人同意后恶意拨打我爱人身边的朋友亲人并且恶意诽谤侮辱老人，对我和我的家人及朋友完成非常严重的后果，现在强烈要求你我贷公司向我爱人和朋友郑重道歉和说明。</t>
  </si>
  <si>
    <t>要求催收取消电话轰炸以及爆破通讯录</t>
  </si>
  <si>
    <t>http://ts.21cn.com/tousu/show/id/1371948</t>
  </si>
  <si>
    <t>2019/10/18 16:24:41</t>
  </si>
  <si>
    <t>暴力催收，严重影响正常生活，已经干扰到朋友的生活。</t>
  </si>
  <si>
    <t>套路贷，高利贷，阴阳合同，盗取信息</t>
  </si>
  <si>
    <t>http://ts.21cn.com/tousu/show/id/1371947</t>
  </si>
  <si>
    <t>2019/10/18 16:24:15</t>
  </si>
  <si>
    <t>投诉人王先生投诉对象宜人贷涉诉金额120000元问题类型诉求类型投诉详情套路贷，不借他钱天天打电话，当初借钱只说用一年可显示只有一种36期，他们说没关系的随借随还费率手续费一个月那么多少，然而三个月后找他们说时间太短你在用用，过了半年再次询问就开始一拖再拖，八个月后人都找不到只好打客服也是一样说谁给你这么说的找谁，投诉都没地方，他说系统显示多少就得还多少，无语了，我借了12万每月还六千八个月了，现在还让还13万多，这不是高利贷中的战斗机啊，八个月利息六七万，大家一起联名团结起来让他下架。</t>
  </si>
  <si>
    <t>立刻出行不退押金，客服电话没人接</t>
  </si>
  <si>
    <t>http://ts.21cn.com/tousu/show/id/1371946</t>
  </si>
  <si>
    <t>2019/10/18 16:23:59</t>
  </si>
  <si>
    <t>投诉人卢先生投诉对象立刻出行涉诉金额499元问题类型诉求类型投诉详情2019年9月24号申请退款押金的，系统提示10个工作日退的，过了半个月都没见结果，软件哪里一直显示审核中的，过差不多一个月了还是审核中的，客服电话都没接，谁来维护我们消费者的权益啊。</t>
  </si>
  <si>
    <t>圆通快递旗下承诺达快递招用征信污点员工</t>
  </si>
  <si>
    <t>http://ts.21cn.com/tousu/show/id/1371945</t>
  </si>
  <si>
    <t>2019/10/18 16:23:54</t>
  </si>
  <si>
    <t>投诉人张先生投诉对象圆通速递涉诉金额0元问题类型诉求类型投诉详情圆通快递旗下承诺达快递南京龙池营业部录用征信不良员工，该员工恶意欠款不还，恶意逃避，耍赖敷衍、不接电话，借钱长时间不还，请圆通快递做出解释。</t>
  </si>
  <si>
    <t>本人没有在小米金融贷款却一直催熟影响生活</t>
  </si>
  <si>
    <t>http://ts.21cn.com/tousu/show/id/1371944</t>
  </si>
  <si>
    <t>2019/10/18 16:23:26</t>
  </si>
  <si>
    <t>投诉人 刘女士        投诉对象  小米金融        涉诉金额  3 000 元    问题类型    诉求类型投诉详情  小米金融天天打电话催收 影响正常生活 本人从来没有贷过款</t>
  </si>
  <si>
    <t>洋钱罐现金借款爆通讯录催收</t>
  </si>
  <si>
    <t>http://ts.21cn.com/tousu/show/id/1371943</t>
  </si>
  <si>
    <t>2019/10/18 16:23:25</t>
  </si>
  <si>
    <t>在联系到本人的情况下，沟通协商处理，还爆通讯录骚扰朋友圈，且催收电话次数超过3次，严重影响身边朋友工作和生活，要求停止爆力催收，当事人道歉，并做出处理，沟通协商还款。</t>
  </si>
  <si>
    <t>关于建设银行减免违约金不给减免</t>
  </si>
  <si>
    <t>http://ts.21cn.com/tousu/show/id/1371941</t>
  </si>
  <si>
    <t>2019/10/18 16:23:04</t>
  </si>
  <si>
    <t>我朋友逾期8个月退了一部分的违约金，我逾期不到8个月不给我退，打分行电话打不通，打总行说不行，建设信用卡龙卡本人32000多说不能办理违约金减免，我说不要你减免很多减免一部分都不行，希望相关部门关注一下，平民百姓赚钱不容易，顾客反馈不给处理，电话打不通，还各说各的，说什么要地区受自然灾害才能办理，我朋友跟我一样一个地方为什么他能办理他跟我的卡一样都能办理，为什么我不行，别的银行都可以办理就你们建设银行比较厉害。</t>
  </si>
  <si>
    <t>爆通讯录，骚扰我的亲戚朋友</t>
  </si>
  <si>
    <t>http://ts.21cn.com/tousu/show/id/1371942</t>
  </si>
  <si>
    <t>2019/10/18 16:22:52</t>
  </si>
  <si>
    <t>因为出去旅游，所以在立借平台上借款6500，填写资料是分12期，并且等额分期，申请提交后，一直在审核中，就忘记看了，后面第一期还款时因为卡里有点，自动扣款成功，也就没有管他，直到这个月，工资没有按时发，扣款不成功，就不停打电话，我也给其中的一位催收人员说明了我现在的情况，也问了他我是等额分期怎么现在变成前面三期都是两三千，他回我说他们一直都是这样，我就问他一直这样为什么你们宣传是可以等额分期，申请的时候也有等额分期这一项，问了后他一直不回我，我就去APP客服问也没有一个明确回复，问他其他费是什么费，第一期有</t>
  </si>
  <si>
    <t>投诉易宝支付为714非法网贷提供交易</t>
  </si>
  <si>
    <t>http://ts.21cn.com/tousu/show/id/1371939</t>
  </si>
  <si>
    <t>2019/10/18 16:22:40</t>
  </si>
  <si>
    <t>分期还,易宝支付,吉时用,钱金金,融360，湖南浩瀚汇通小额贷款有限公司提供结算通道把关不严，我诉求是要求退还国家法定利率之外的那一部分砍头息金额，到账记录还有，融360还已经把所有的信息记录全部都删除掉了，删除掉我们还是留记录了，如果不予处理，会找各种通道投诉到底。</t>
  </si>
  <si>
    <t>苏宁易购没诚信，没有保障付款者的资金安全</t>
  </si>
  <si>
    <t>http://ts.21cn.com/tousu/show/id/1371824</t>
  </si>
  <si>
    <t>2019/10/18 16:21:38</t>
  </si>
  <si>
    <t>投诉人鲍女士投诉对象苏宁易购涉诉金额10899元问题类型诉求类型投诉详情我有一万多元被忽悠进苏宁易购账户，要求苏宁易购退回，苏宁易购说我误入的钱，是某某人的购买苹果手机的钱，我多次跟他们联系，我的钱是被忽悠进去的，不要给他们说的谁发货，他们说不发货办了延迟，叫我提供警方立案回执，我也提供了，再次联系他们，他们说高度重视会有专门的客户经理给我处理，叫我耐心等待，第二天他们打来电话，说他们的手机发给某某人了，我的款不给我退。</t>
  </si>
  <si>
    <t>http://ts.21cn.com/tousu/show/id/1371937</t>
  </si>
  <si>
    <t>2019/10/18 16:21:22</t>
  </si>
  <si>
    <t>防不胜防啊，大缺德了，套路恶意严处理还我公道。</t>
  </si>
  <si>
    <t>冒充催收</t>
  </si>
  <si>
    <t>http://ts.21cn.com/tousu/show/id/1371938</t>
  </si>
  <si>
    <t>2019/10/18 16:21:08</t>
  </si>
  <si>
    <t>投诉人张女士投诉对象万象财务涉诉金额2900元问题类型诉求类型投诉详情刚才来电话说我欠款已逾期我问她什么平台她说她这边不知道.我根本没有逾期的账单我也没有欠2900的账单.我说他是骗子她说我可以报警。</t>
  </si>
  <si>
    <t>闪掌柜逾期费</t>
  </si>
  <si>
    <t>http://ts.21cn.com/tousu/show/id/1371935</t>
  </si>
  <si>
    <t>2019/10/18 16:21:04</t>
  </si>
  <si>
    <t>本人第一时间与客服联系，无人搭理，现在逾期费一天比一天多的同时，还在骚扰我的联系人，给我的生活造成了不便。</t>
  </si>
  <si>
    <t>小象优品收取高额利息砍头息</t>
  </si>
  <si>
    <t>http://ts.21cn.com/tousu/show/id/1371936</t>
  </si>
  <si>
    <t>2019/10/18 16:20:50</t>
  </si>
  <si>
    <t>小象优品收取高额利息，5900本金，分12期，每月还款668.67，颜值卡4600，分12期每月还款521.33。</t>
  </si>
  <si>
    <t>农业退还违约金</t>
  </si>
  <si>
    <t>http://ts.21cn.com/tousu/show/id/1371933</t>
  </si>
  <si>
    <t>2019/10/18 16:20:20</t>
  </si>
  <si>
    <t>农业银行请退回违约金，违约金银监会可以退回，违约金就是变相的高利贷。</t>
  </si>
  <si>
    <t>支付宝借呗委外协商态度差</t>
  </si>
  <si>
    <t>http://ts.21cn.com/tousu/show/id/1371932</t>
  </si>
  <si>
    <t>2019/10/18 16:20:18</t>
  </si>
  <si>
    <t>家属支付宝借呗逾期委外催收威胁要联系村委户籍地上门催收家属愿意协商还款，但是联系支付宝和联系催收互相推脱不承认可以修改还款方案并且委外催收威胁代偿家属。</t>
  </si>
  <si>
    <t>投诉圆通损坏客户物品损坏逃避赔偿责任以及圆通客服号6150多次敷衍客户</t>
  </si>
  <si>
    <t>http://ts.21cn.com/tousu/show/id/1371928</t>
  </si>
  <si>
    <t>2019/10/18 16:20:14</t>
  </si>
  <si>
    <t>投诉人胡女士投诉对象圆通速递,圆通客服号6150涉诉金额299元问题类型诉求类型投诉详情圆通速递把我寄的烤箱途中挤压变形导致损坏，我多次沟通圆通95554未得到答复未得到解决10月10号事发当日拨打圆通客服要求处理未有人处理以及解决圆通客服无限次重复着一句话：24小时会回复本人10月10号至10月18号至今未有联通工作人员或解决问题相关部门与本人沟通，难道圆通客服的存在只是为了传达一句24小时我方将有工作人员与您沟通，但其实并没有所等到的无限的重复这句话。</t>
  </si>
  <si>
    <t>支付宝想黑我900块钱</t>
  </si>
  <si>
    <t>http://ts.21cn.com/tousu/show/id/1327830</t>
  </si>
  <si>
    <t>2019/10/18 16:19:51</t>
  </si>
  <si>
    <t>投诉人程万发投诉对象支付宝涉诉金额900元问题类型诉求类型投诉详情支付宝故意不让我使用自己的资金，不让提现，各种协商未果，再不处理，将报警处理，支付宝想独吞本人合法资产。</t>
  </si>
  <si>
    <t>钱包易贷违法催收客服态度极其恶劣</t>
  </si>
  <si>
    <t>http://ts.21cn.com/tousu/show/id/1371931</t>
  </si>
  <si>
    <t>2019/10/18 16:19:39</t>
  </si>
  <si>
    <t>本人还没逾期就接到该公司的催收骚扰电话和协商减免电话，但是本人于该公司联系该公司称这一切都是假的。</t>
  </si>
  <si>
    <t>套路贷，砍头息</t>
  </si>
  <si>
    <t>http://ts.21cn.com/tousu/show/id/1371930</t>
  </si>
  <si>
    <t>2019/10/18 16:18:59</t>
  </si>
  <si>
    <t>本人由于急需钱周转下载乐趣平台，填完资料后并没有确认借款的提示，借款2600到账1300期限是7天，催收员态度恶劣，希望通过聚投诉于优选金沟通退还本金并且销账，催收期间被催的受不了，也有还过一点，毕竟我有想还款的心，没想到催收员不放过我，还轰炸我朋友短信，下载链接https://fir.im/t9ng。</t>
  </si>
  <si>
    <t>北京环球网校不履行承诺拒不退费</t>
  </si>
  <si>
    <t>http://ts.21cn.com/tousu/show/id/1371926</t>
  </si>
  <si>
    <t>2019/10/18 16:18:48</t>
  </si>
  <si>
    <t>2019年6月环球网校微信名为晓霞老师的一名销售人员，承诺我4500元包过BIM考试，不用去学习和考试就能拿到证书，发证部门为人社部和图学会，两本证书，并让我在环球网校APP上完成交费，交费完成后，一名助学老师联系我报名，但发证单位与承诺我的人社部、图学会不符，多次与环球网校官方客服沟通，拒不退费。</t>
  </si>
  <si>
    <t>软暴力催收</t>
  </si>
  <si>
    <t>http://ts.21cn.com/tousu/show/id/1371923</t>
  </si>
  <si>
    <t>2019/10/18 16:17:46</t>
  </si>
  <si>
    <t>投诉人 洪先生        投诉对象  佰仟金融 买买乐购        涉诉金额  7 000 元    问题类型    诉求类型投诉详情  借7000已经还款8700多 还骚扰家人 软暴力催收 麻烦平台帮忙处理一下 如果还继续软暴力催收 我们可以直接法院见</t>
  </si>
  <si>
    <t>小花钱包长期暴力催收</t>
  </si>
  <si>
    <t>http://ts.21cn.com/tousu/show/id/1371924</t>
  </si>
  <si>
    <t>2019/10/18 16:17:36</t>
  </si>
  <si>
    <t>投诉人 胡女士        投诉对象  小花钱包        涉诉金额  3 000 元    问题类型    诉求类型投诉详情  小花钱包无良催收时常骚扰并且恐吓威胁上门 并且盗取户籍信息地址</t>
  </si>
  <si>
    <t>恐吓家人。</t>
  </si>
  <si>
    <t>http://ts.21cn.com/tousu/show/id/1371927</t>
  </si>
  <si>
    <t>2019/10/18 16:17:14</t>
  </si>
  <si>
    <t>投诉人陈玉英投诉对象百度有钱花涉诉金额5000元问题类型诉求类型投诉详情一直打电话骚扰家人，恐吓家人，还发法律传票到家里去，把家里的老人都吓了，爆通讯录，不经过协商，主要是家里老人年纪大了，经不起恐吓，希望停止催收，还款可以，不要给家里人打电话了，我每个月分期还，不是不还，多多少少我一个月还点进去，就请求不要骚扰亲戚朋友，其他的什么都好说，如果在骚扰亲戚朋友，或者恐吓一分都不还，这是我的极限。</t>
  </si>
  <si>
    <t>招联金融恶意催收</t>
  </si>
  <si>
    <t>http://ts.21cn.com/tousu/show/id/1371920</t>
  </si>
  <si>
    <t>2019/10/18 16:17:11</t>
  </si>
  <si>
    <t>招联金融让协商分期付款，不给，一直逼着我还全款，但凡有一点能力，会一直拖着吗，我从来没有不承认这笔钱钱，你们逾期费我都认，一直打电话打到公司，不同部门都有。</t>
  </si>
  <si>
    <t>在淘手游卖了账号买家换密保了，账号没问题，不收货要求退货，客服说7天内处理，7天。。。</t>
  </si>
  <si>
    <t>http://ts.21cn.com/tousu/show/id/1371922</t>
  </si>
  <si>
    <t>2019/10/18 16:17:08</t>
  </si>
  <si>
    <t>投诉人段先生投诉对象淘手游涉诉金额680元问题类型诉求类型投诉详情在淘手游卖了一个王者荣耀账号，客服要求跟买家核实账号皮肤英雄等等，我跟买家核实之后买家无任何问题，然后改换qq密保，换完之后也无任何问题有截图为证，但一天后买家对账号不满意要求退货，我肯定不愿意了账号密保跟手机身份证都换了，把我正常4天买家就算不确认收货，我也能拿到钱，但是现在仲裁中把我资金冻结了，然后我去找客服看怎么解决，我也提供了证据截图，客服早上九点上班，我昨晚就发了过去，然后早上十点问客服，下午俩点才回我然后我问怎么解决，客服说仲裁结</t>
  </si>
  <si>
    <t>返现没通知自动转换积分</t>
  </si>
  <si>
    <t>http://ts.21cn.com/tousu/show/id/1371921</t>
  </si>
  <si>
    <t>2019/10/18 16:16:55</t>
  </si>
  <si>
    <t>之前谈恋爱的时候，用艺龙比较多，有返现各种活动，然后用了2，3年之后不怎么出去玩了，偶然间看到返现还没提出来就变积分了，艺龙没有任何形式通知有返现会过期，严重侵害客户的合法权益，基本这些年用的都是艺龙，希望帮我好好处理。</t>
  </si>
  <si>
    <t>信而富砍头息</t>
  </si>
  <si>
    <t>http://ts.21cn.com/tousu/show/id/1371919</t>
  </si>
  <si>
    <t>2019/10/18 16:16:53</t>
  </si>
  <si>
    <t>砍头息，买东西不给发货，实为虚拟产品，希望有关部门严查。</t>
  </si>
  <si>
    <t>闪银哼哼暴力催收</t>
  </si>
  <si>
    <t>http://ts.21cn.com/tousu/show/id/1371917</t>
  </si>
  <si>
    <t>2019/10/18 16:16:43</t>
  </si>
  <si>
    <t>闪银糯米贷哼哼贷，以高价购买廉价商品为凭借砍头息借款，高利贷暴力催收，催收员态度恶劣，严重影响日常生活。</t>
  </si>
  <si>
    <t>元丰手机贷暴力催收电话骚扰高利贷</t>
  </si>
  <si>
    <t>http://ts.21cn.com/tousu/show/id/1371918</t>
  </si>
  <si>
    <t>2019/10/18 16:16:37</t>
  </si>
  <si>
    <t>他们暴力催收高利贷，不协商处理，电话骚扰，辱骂，要求有关部门严查。</t>
  </si>
  <si>
    <t>平安i贷逾期第三方</t>
  </si>
  <si>
    <t>http://ts.21cn.com/tousu/show/id/1371916</t>
  </si>
  <si>
    <t>2019/10/18 16:16:21</t>
  </si>
  <si>
    <t>最近因为老公被朋友骗了好几万，摊上官司，加上老人被查出癌症，各方面经济紧张，一直在跟平安i贷客服人员沟通，5.5万循环额度，还有7000没有还上，这几天他们连着好几天把电话打到单位，弄的我没心情上班了，所以辞职了，人家说他们在打电话就报警了，严重扰乱了我的正常工作和生活，现在没有收入了，这是平安想看到的吧，我首先没有失联，第二我也主动跟第三方联系了，为什么还要影响别人工作呢。</t>
  </si>
  <si>
    <t>小象优品高利贷</t>
  </si>
  <si>
    <t>http://ts.21cn.com/tousu/show/id/1371913</t>
  </si>
  <si>
    <t>2019/10/18 16:16:01</t>
  </si>
  <si>
    <t>本人在小象优品上借款8000元分12期如今要还12000块钱..利息高达4000元..已经超过国家规定的利率..现在第三期逾期三天.收取了滞纳金逾期费用..之前是那边催收部给我打电话让我还款..我说了资金周转不过来..给他们也是好话说尽..现在开始窃取我的通讯录.联系我通讯录..打给我家人朋友.影响我生活.工作...我要求相关部门给出相应的答复..让该平台给我通讯录里面的人赔礼道歉...如若不然.我是不会处理该笔欠款...我还要求只还本金..请相关部门给出回应。</t>
  </si>
  <si>
    <t>电量容量问题</t>
  </si>
  <si>
    <t>http://ts.21cn.com/tousu/show/id/1371912</t>
  </si>
  <si>
    <t>2019/10/18 16:15:47</t>
  </si>
  <si>
    <t>投诉人唐昭展投诉对象苹果手机涉诉金额8700元问题类型诉求类型投诉详情13号预定的iPhone11pro20号到手一个月不到的时间，手机电池容量下降百分之三，客服也不给解决，只告诉注意事项，难道注意事项我不清楚吗。</t>
  </si>
  <si>
    <t>微众银行法务部催收威胁</t>
  </si>
  <si>
    <t>http://ts.21cn.com/tousu/show/id/1371911</t>
  </si>
  <si>
    <t>2019/10/18 16:15:34</t>
  </si>
  <si>
    <t>微众银行微粒贷，委托外包催收，自称法务部，对我进行辱骂，态度恶劣，蛮横，不断问各种亲友信息家庭信息，并要求我见一面，对我造成困扰和威胁。</t>
  </si>
  <si>
    <t>http://ts.21cn.com/tousu/show/id/1371910</t>
  </si>
  <si>
    <t>2019/10/18 16:13:46</t>
  </si>
  <si>
    <t>未经允许，私自扣除银行卡里的钱，巧立名目进行扣费，说事不通过贷款就能退钱，最后又是不退，说是另外一个款项。</t>
  </si>
  <si>
    <t>宜信砍头息、高利贷、电话骚扰</t>
  </si>
  <si>
    <t>http://ts.21cn.com/tousu/show/id/1371909</t>
  </si>
  <si>
    <t>2019/10/18 16:13:29</t>
  </si>
  <si>
    <t>17年经过宜信业务员推销说利息低，放款快，什么的，从宜信贷款80000元，实际到账7万多元，实际多少忘记了，到账之后才告诉我什么服务费，咨询费之类的，总共分了36期，每月还款4291，现在已经还了25期，累计还款已经107000多元，这个月实在还不上了，开始往我对象单位打骚扰电话，希望帮忙协调处理，我不是不认账，有钱了肯定还清！。</t>
  </si>
  <si>
    <t>拍拍贷，威胁恐吓，泄露隐私</t>
  </si>
  <si>
    <t>http://ts.21cn.com/tousu/show/id/1371887</t>
  </si>
  <si>
    <t>2019/10/18 16:13:26</t>
  </si>
  <si>
    <t>投诉人孙先生投诉对象拍拍贷涉诉金额6148元问题类型诉求类型投诉详情拍拍贷公司催收人员用手机号码发送威胁恐吓短信，威胁本人，本人用手机拨打对方电话若干次，想问问什么情况，对方电话均为响铃状态但对方不接电话，然后近期又给本人和家人以彩信的方式发送不知真假的律师函件，泄露本人隐私严重影响损坏了本人的名誉，给本人生活家庭带来了及大的伤害，请聚投诉平台携手相关部门严厉打击拍拍贷公司催收。</t>
  </si>
  <si>
    <t>百度推广费快半年了也没退</t>
  </si>
  <si>
    <t>http://ts.21cn.com/tousu/show/id/1371908</t>
  </si>
  <si>
    <t>2019/10/18 16:13:09</t>
  </si>
  <si>
    <t>本人在百度推广使用保力cz06、闪耀jh07。</t>
  </si>
  <si>
    <t>兴业银行</t>
  </si>
  <si>
    <t>http://ts.21cn.com/tousu/show/id/1371906</t>
  </si>
  <si>
    <t>2019/10/18 16:13:01</t>
  </si>
  <si>
    <t>兴业银行信用卡，找外包催收公司，打电话必须一次性还款，还问我家里有没有人，说什么后果自负！威胁，暴力，。</t>
  </si>
  <si>
    <t>捷信高利贷，增加的灵活还款包不承认、频繁催收</t>
  </si>
  <si>
    <t>http://ts.21cn.com/tousu/show/id/1371905</t>
  </si>
  <si>
    <t>2019/10/18 16:12:55</t>
  </si>
  <si>
    <t>2017年捷信天天电话让本人借款、借13000分27期，每期还836，已还23期、将近2万，还剩4期还完将近4000还完，其中办理贷款时办理了灵活还款包可延期还款、本月资金困难，申请延期！不知为什么一直没给办、这个月疯狂催收！请问灵活包办理无效，还是欺骗借贷者！高利贷我就不说了、主要钱给了、为什么服务办理不下来。</t>
  </si>
  <si>
    <t>唯品会强买强卖收到货不退款</t>
  </si>
  <si>
    <t>http://ts.21cn.com/tousu/show/id/1371907</t>
  </si>
  <si>
    <t>2019/10/18 16:12:47</t>
  </si>
  <si>
    <t>本人于2019年7月3日在唯品会下单，7月6日商品签收，因尺码不合适，试穿后效果不好等原因于10号申请退货退款，唯品会旗下品骏快递快递员上门取货后检验商品没问题，然后为我办理了退货退款，结果，7月23号唯品会致电说仓库反应商品有问题，不能退款，要求把我退回的商品发回来，并为此支付费用，声称没有问题可以再次退回仓库进行退款，事后一想，我在七天内正常申请退款退货，为什么后续会出现又威胁让我购买商品的情况，之后联系唯品会客服，申请退货退款，一直处于更进更进的敷衍状态，终于，8月7号一个唯品会的男客服致电给我，让我</t>
  </si>
  <si>
    <t>平安普惠逾期6天，爆通讯录骚扰家人朋友以及进行威胁</t>
  </si>
  <si>
    <t>http://ts.21cn.com/tousu/show/id/1371901</t>
  </si>
  <si>
    <t>2019/10/18 16:12:34</t>
  </si>
  <si>
    <t>平安普惠逾期6天，爆通讯录对家人进行骚扰，恐吓，目前已经结清本金。</t>
  </si>
  <si>
    <t>世联金融？</t>
  </si>
  <si>
    <t>http://ts.21cn.com/tousu/show/id/1371902</t>
  </si>
  <si>
    <t>2019/10/18 16:12:29</t>
  </si>
  <si>
    <t>最后一期还款，我现在没能力还，客服给我打电话，再给我两天时间，不然就给我联系人打电话，向他们了解我的情况，并要求让他们给我还款，我如果能借到的话，就不可能到现在没还上了，问我周围的亲朋好友，只能诋毁我的信誉，起不到马上还款的任何作用。</t>
  </si>
  <si>
    <t>现金巴士催收态度恶略，砍头息</t>
  </si>
  <si>
    <t>http://ts.21cn.com/tousu/show/id/1371900</t>
  </si>
  <si>
    <t>2019/10/18 16:12:05</t>
  </si>
  <si>
    <t>现金巴士恶意催收，电话02066323387，给我发过来的，用威胁的口吻说你别后悔，也会对你正常催收。</t>
  </si>
  <si>
    <t>哆米黑卡未经同意从银行卡里扣除会员费</t>
  </si>
  <si>
    <t>http://ts.21cn.com/tousu/show/id/1371877</t>
  </si>
  <si>
    <t>2019/10/18 16:11:58</t>
  </si>
  <si>
    <t>投诉人张女士投诉对象哆米黑卡涉诉金额299元问题类型诉求类型投诉详情今天下午在哪吒闪电借app里申请贷款，它推荐了哆米黑卡，我点进去刚填完资料就被莫名其妙扣了299元，哆米黑卡在我未知情情况下自动点击扣款，完全就是欺诈，找到软件人工客服需要我申请六家贷款平台被拒才肯退款，就是骗子，联合骗子，我要求立马退款！。</t>
  </si>
  <si>
    <t>交易猫客服换绑失败，导致逾期不能换绑</t>
  </si>
  <si>
    <t>http://ts.21cn.com/tousu/show/id/1371899</t>
  </si>
  <si>
    <t>2019/10/18 16:11:56</t>
  </si>
  <si>
    <t>我在交易猫上挂卖了一个率土之滨账号，通过交易猫换绑安全手机两天没响应，两天以后还显示换绑失败，下个月才能换绑手机号，延误了我游戏账号的保值期，希望能给予公平受理。</t>
  </si>
  <si>
    <t>支付宝都开始雇佣催收暴力催收了，</t>
  </si>
  <si>
    <t>http://ts.21cn.com/tousu/show/id/1371898</t>
  </si>
  <si>
    <t>2019/10/18 16:11:53</t>
  </si>
  <si>
    <t>因为个人经济原因，支付宝发生了逾期，本人给支付宝客服打过电话说明过情况，但是支付宝公司并没有直接给本人打电话，而是直接交给第三方催收进行暴力催收，有两三个公司，杭州的上海的，都有的，打电话给亲好友进行催收。</t>
  </si>
  <si>
    <t>信用钱包收取高额利息</t>
  </si>
  <si>
    <t>http://ts.21cn.com/tousu/show/id/1371896</t>
  </si>
  <si>
    <t>2019/10/18 16:10:18</t>
  </si>
  <si>
    <t>信用钱包收取高额利息，本金15000，分12期，每期还款1700，最后三期一次还清没有任何减免。</t>
  </si>
  <si>
    <t>上海证大财富高利贷，阴阳合同，暴力催收</t>
  </si>
  <si>
    <t>http://ts.21cn.com/tousu/show/id/1371895</t>
  </si>
  <si>
    <t>2019/10/18 16:10:17</t>
  </si>
  <si>
    <t>我于2019‭年4月份在本地兰州市上海证大门店借四万，三年下来年还七万，砍头息4000多，现在app，看不到合同，他们造假阴阳合同，现在电子合同又出现了一系列的服务费用，当时都没有告知有这项费用，找他们工作人员说是我签过子的，签字的时候没有这一系列合同内容，现在又暴力催收，爆通讯录，冒充公检法，严重影响生活本人及家人的生活和工作，导致精神抑郁。</t>
  </si>
  <si>
    <t>来分期频繁骚扰</t>
  </si>
  <si>
    <t>http://ts.21cn.com/tousu/show/id/1371894</t>
  </si>
  <si>
    <t>2019/10/18 16:09:42</t>
  </si>
  <si>
    <t>上次就投诉过一天打十几个电话，说不会了，这是不长记性吗，今天又打了7个了除了第一个没接到后边都接到了，目测还要七八个要打。</t>
  </si>
  <si>
    <t>创维电视酷开会员涉嫌欺诈</t>
  </si>
  <si>
    <t>http://ts.21cn.com/tousu/show/id/1371892</t>
  </si>
  <si>
    <t>2019/10/18 16:09:06</t>
  </si>
  <si>
    <t>我的酷开会员今年十月初到期，我6月8号提前续费了，一直使用正常，，客服告诉我说购买之后必须激活才能使用，因为没有在7月8日之前激活，现在过期了，现在请创维和酷开告诉我：会员权益是不是我真金白银购买的，这四个月以来我都是在使用去年的会员权益，现在该使用今年的会员权益了却发现没有了，这是我激活晚了吗，我在商家购买了商品，过几个月去拿就没有了，这是不是霸王条款，欺骗自己的会员，这是一个负责任公司该做的事情吗。</t>
  </si>
  <si>
    <t>轻周转芒果筹高利贷</t>
  </si>
  <si>
    <t>http://ts.21cn.com/tousu/show/id/1371891</t>
  </si>
  <si>
    <t>2019/10/18 16:09:02</t>
  </si>
  <si>
    <t>本人于2019年9月13号在轻周转上借了2800，8天一还，以还3期，最后一期于10月7号到期，直到今天家人接到一个广州的电话打去，严重骚扰到家人，已经还够本金，导致逾期费和最后一期只能协商处理。</t>
  </si>
  <si>
    <t>钱站违法催收，手机轰炸。</t>
  </si>
  <si>
    <t>http://ts.21cn.com/tousu/show/id/1371890</t>
  </si>
  <si>
    <t>2019/10/18 16:08:23</t>
  </si>
  <si>
    <t>投诉人兰先生投诉对象钱站涉诉金额5600元问题类型诉求类型投诉详情请问贵公司的不合法利息是什么给你们勇气去收的，和你们客服协商，你们客服理直气壮的说那你不会不借，下款当天看到你们阴阳合同借2600合同上面显示借款5600，我就联系你们客服说不同意要提前还款，霸王条款不能提前还款，现在你们平台已经通过各种扣款渠道从我银行卡里扣钱，本金2600早已还完，利息也还了1000多了吧，年利率超过百分之200，国家目前不管，是不是等出了事情国家才会管理，你们平台后台强大，我们小老百姓惹不起，客服也很牛，直接轰炸手机，爆</t>
  </si>
  <si>
    <t>建设银行95533客服不解决问题</t>
  </si>
  <si>
    <t>http://ts.21cn.com/tousu/show/id/1371893</t>
  </si>
  <si>
    <t>2019/10/18 16:08:09</t>
  </si>
  <si>
    <t>投诉人陈先生投诉对象建设银行客服涉诉金额2900元问题类型诉求类型投诉详情我的2900块钱于2019年10月17日上午九点存入建设银行的自动存取款机，机器上未贴机器故障的标识，钱存进去之后显示机器故障，钱被暂存，但我存钱就是着急用，还信用卡，现在打95533的客服电话只是说帮我催办，但截止2019年10月18日下午也没有收到钱，明天就要还款，如果退回不了导致逾期上征信，建设银行承担损失吗，客服态度也不好，口气僵硬，说我只能帮你上报催一下，至于什么时候到账也不清楚。</t>
  </si>
  <si>
    <t>汇潮支付为群利花高利贷提供放款</t>
  </si>
  <si>
    <t>http://ts.21cn.com/tousu/show/id/1371889</t>
  </si>
  <si>
    <t>2019/10/18 16:08:01</t>
  </si>
  <si>
    <t>群利花高利贷到账2000五天还3240利息高达1240，汇潮支付为其提供放款机构是不是该负责任，先要求平台联系群利花还款本金销帐，不然我必投入到国家部门。</t>
  </si>
  <si>
    <t>http://ts.21cn.com/tousu/show/id/1371888</t>
  </si>
  <si>
    <t>2019/10/18 16:07:57</t>
  </si>
  <si>
    <t>给我打电话说5点前不还就要爆通讯录了，我现在也是没有办法。</t>
  </si>
  <si>
    <t>招商银行暴力催款</t>
  </si>
  <si>
    <t>http://ts.21cn.com/tousu/show/id/1371886</t>
  </si>
  <si>
    <t>2019/10/18 16:07:30</t>
  </si>
  <si>
    <t>行为民事责任人，信用卡债务与家人、亲友和单位无关，银行给我下发的卡片是通过正规渠道经过银行严格审批下卡，并在当地支行柜台按要求开卡和使用的，我没有恶意透支卡片，而是由于客观原因造成无法暂时按银行的要求一次结清全额或最低还款，现在我基本没有失联，也没有拒绝还款，何况按国家要求在满足最低生活保障的前提下用剩余合法的收入还款而不是去按你们催收的说法让我去借钱还款，，我不逃避债务也没有失联，由于软暴力催收造成我精神过度紧张对生活造成很大影响，很多电话都显示为骚扰电话使我无法接听，现在只能接听银行的官方电话或信用卡中</t>
  </si>
  <si>
    <t>建设银行信用卡中心欺瞒客户，各种理由推脱不给办理业务</t>
  </si>
  <si>
    <t>http://ts.21cn.com/tousu/show/id/1371885</t>
  </si>
  <si>
    <t>2019/10/18 16:06:21</t>
  </si>
  <si>
    <t>最近有朋友和建设银行协商退违约金已经成功了很多例，然而我多次打电话，给我的答复就是不能办理，人和人的情况不一样，我想说一句，退违约金还要以貌取人吗，都是逾期产生的利息与违约金，为什么其他人可以，但我这里不给办理呢，账单都在我邮箱里，个人算了下，交过的利息与违约金，和本金差不多了，卡是20000的额度，希望通过该平台能维护我自己的利息，能追多少是多少。</t>
  </si>
  <si>
    <t>平安惠普非法催收</t>
  </si>
  <si>
    <t>http://ts.21cn.com/tousu/show/id/1371884</t>
  </si>
  <si>
    <t>2019/10/18 16:06:12</t>
  </si>
  <si>
    <t>平安惠普非法催收轰炸短信图一是外包公司的电话。</t>
  </si>
  <si>
    <t>欺诈消费，以贷还贷</t>
  </si>
  <si>
    <t>http://ts.21cn.com/tousu/show/id/1371795</t>
  </si>
  <si>
    <t>2019/10/18 16:05:50</t>
  </si>
  <si>
    <t>投诉人苏女士投诉对象捷信金融,捷信消费金融有限公司涉诉金额70000元问题类型诉求类型投诉详情一、请求事项：1、撤消上传到征信系统原告的逾期信用报告，2、返回不当得利息，不当服务费，用于抵扣尚未产生利息的应还分期本金，3、捷信消费金融有限公司支付欺诈消费赔偿金，欺诈行为，三倍赔偿，4、深圳捷信信驰咨询有限公司支付欺诈消费赔偿金，欺诈行为，三倍赔偿，5、针对捷信消费金融有限公司带给亲戚朋友家人造成的恐慌的生活影响，进行道歉赔偿，二、事实与理由：1、2018年6-7月份，捷信消费金融有限公司，以本人系该公司优质</t>
  </si>
  <si>
    <t>钱橙无忧随着乱扣费</t>
  </si>
  <si>
    <t>http://ts.21cn.com/tousu/show/id/1371883</t>
  </si>
  <si>
    <t>2019/10/18 16:05:45</t>
  </si>
  <si>
    <t>2018年10月18日13时17分在本人未经授权，不知情的情况下，钱橙无忧，深圳市恒富创融科技有限公司，以购买风险评估报告方式恶意扣取本人兴业银行卡上金额84元，本人在8月17日发现该app存在套路，恶意扣费的情况已经卸载钱橙无忧app了，可是还是在18日未经任何授权扣款84元。</t>
  </si>
  <si>
    <t>融360上的小额贷款平台收取砍头息。暴力催收</t>
  </si>
  <si>
    <t>http://ts.21cn.com/tousu/show/id/1371882</t>
  </si>
  <si>
    <t>2019/10/18 16:05:21</t>
  </si>
  <si>
    <t>融360上的小额贷款平台收取砍头息，暴力催收，本人迫于无奈在平台上多次借款，砍头息总共下来一万多元。</t>
  </si>
  <si>
    <t>苹果分期高利贷汇潮支付提供支付通道</t>
  </si>
  <si>
    <t>http://ts.21cn.com/tousu/show/id/1371880</t>
  </si>
  <si>
    <t>2019/10/18 16:04:51</t>
  </si>
  <si>
    <t>苹果分期app，趣花分期提供平台，在国家扫黑除恶巡视高压态势下依然进行高利贷放款，借款到账1430，5天需要还款2207.92，利息高达780余元，完全是套路贷，违规为其提供支付通道作为支付平台完全无视国家法律法规，汇潮支付为了获得不当得利，违规为其提供支付通道，作为支付平台完全无视国家法律法规，现我要求本金销账，否则我会将相关材料递交当地扫黑办，连同汇潮支付的材料一并递交。</t>
  </si>
  <si>
    <t>在淘宝买的洗发水本身没有头皮屑用完之后满头的头皮屑</t>
  </si>
  <si>
    <t>http://ts.21cn.com/tousu/show/id/1371881</t>
  </si>
  <si>
    <t>2019/10/18 16:04:37</t>
  </si>
  <si>
    <t>淘宝网,淘宝卖家triptychoflune三谷，在淘宝triptychoflune三谷旗舰店买的洗发水，本身没有头皮屑的用完这个洗发水以后满头的头皮屑，出门都不好意，找店家解决却是说暂时先不使用或者让我转送别人，我花钱买回来放家里看着吗，商品详情上写得是适用于所有发质，商家却告知我的发质不太适合，所以想请问什么叫所有发质。</t>
  </si>
  <si>
    <t>UC浏览器（iOS端）未登录用户微信分享自动先进行微信第三方登录</t>
  </si>
  <si>
    <t>http://ts.21cn.com/tousu/show/id/1371879</t>
  </si>
  <si>
    <t>2019/10/18 16:04:34</t>
  </si>
  <si>
    <t>UC浏览器用户未登录时，微信分享会自动先去请求微信授权，，如果不小心授权过一次，那你就算退出uc登录，只要点分享就会自动先微信登录再分享第三方登录操作非我本人意愿进行，并且并为显示用户服务协议与隐私协议也无法不认同，这相当于依赖引导用户误操作从微信那偷取用户信息，严重侵犯了个人隐私。</t>
  </si>
  <si>
    <t>微粒贷催收发威胁信息</t>
  </si>
  <si>
    <t>http://ts.21cn.com/tousu/show/id/1371878</t>
  </si>
  <si>
    <t>2019/10/18 16:04:32</t>
  </si>
  <si>
    <t>本人在微粒贷借款，15号是还款日，因家人住院未及时处理，便与催收人员协商还款事宜，催收人员口气相当强硬，以上报征信为由威胁其赶紧还款！未接到电话，便发信息威胁！微粒贷这么大的平台，好意思吗。</t>
  </si>
  <si>
    <t>你我贷催收人员骚扰并污辱我</t>
  </si>
  <si>
    <t>http://ts.21cn.com/tousu/show/id/1371876</t>
  </si>
  <si>
    <t>2019/10/18 16:04:06</t>
  </si>
  <si>
    <t>每天多次使用网络虚拟号码严重骚扰到我的正常生活。</t>
  </si>
  <si>
    <t>北京雅酷时空信息交换技术有限公司随意扣款</t>
  </si>
  <si>
    <t>http://ts.21cn.com/tousu/show/id/1371875</t>
  </si>
  <si>
    <t>2019/10/18 16:03:25</t>
  </si>
  <si>
    <t>莫名其妙，凌晨1-4点被刷了4笔金额而且都不知道是什么原因被扣的，打了银联电话才查询到这家公司。</t>
  </si>
  <si>
    <t>陛下借款平台存在套路贷现象</t>
  </si>
  <si>
    <t>http://ts.21cn.com/tousu/show/id/1371873</t>
  </si>
  <si>
    <t>2019/10/18 16:02:54</t>
  </si>
  <si>
    <t>借款2000元，实际到账1200，要求还款2480，现在已经偿还本金1200，平台不做处理，不销账，并且再次要求还款1800元，涉嫌套路贷现象。</t>
  </si>
  <si>
    <t>农业银行随便冻结客户信用卡</t>
  </si>
  <si>
    <t>http://ts.21cn.com/tousu/show/id/1371874</t>
  </si>
  <si>
    <t>让他正常使用，正常还款，随随便便就给我冻结了。</t>
  </si>
  <si>
    <t>@星赫（梁山）信息科技有限公司随意扣款，性质非常恶劣</t>
  </si>
  <si>
    <t>http://ts.21cn.com/tousu/show/id/1371871</t>
  </si>
  <si>
    <t>2019/10/18 16:02:44</t>
  </si>
  <si>
    <t>信息科技有限公司随意扣款，在本人不知情，没输密码的情况下随意扣款，这种情况非常恶劣，希望能处理好，都不能保证我的资金安全了。</t>
  </si>
  <si>
    <t>易到用车，多次不开具发票</t>
  </si>
  <si>
    <t>http://ts.21cn.com/tousu/show/id/1371870</t>
  </si>
  <si>
    <t>2019/10/18 16:02:41</t>
  </si>
  <si>
    <t>易到用车，多次不开具发票平台长时间不受理，不处理客户索要发票要求，导致客户无法报销车费。</t>
  </si>
  <si>
    <t>滴水贷不让提前还款，不能更改还款金额，每个银行都是限额五万，恶意阻止提前还款</t>
  </si>
  <si>
    <t>http://ts.21cn.com/tousu/show/id/1371869</t>
  </si>
  <si>
    <t>2019/10/18 16:02:31</t>
  </si>
  <si>
    <t>滴滴出行平台下的滴滴金融滴水贷借款协议写到可以提前还款，但我一直还不上，问客服客服说限额了，银行方面是没有问题的，因为我在还其他平台都是秒还的，所以问题就出在这个滴水贷上面了就是说等于把这个还款渠道关闭了，限制伍万，然后自己还列举了每个银行的限额，每日单笔限额五万，你设置的提前还款那里金额不能自由填写！除非等到自然还款日，客服一直都是说帮我记录问题帮我反馈但是一直都没有实质性的进展。</t>
  </si>
  <si>
    <t>销账，提供结清证明</t>
  </si>
  <si>
    <t>http://ts.21cn.com/tousu/show/id/1371872</t>
  </si>
  <si>
    <t>2019/10/18 16:02:25</t>
  </si>
  <si>
    <t>剩余借款还剩下8929.46，现在因为资金周转问题想提前还清，本金➕合理利息，爱又米方面不肯协商。</t>
  </si>
  <si>
    <t>房贷金额与我贷款到账现金不符，高利贷</t>
  </si>
  <si>
    <t>http://ts.21cn.com/tousu/show/id/1371868</t>
  </si>
  <si>
    <t>2019/10/18 16:01:24</t>
  </si>
  <si>
    <t>投诉北京玖富互金控股集团有限责任公司！当时贷款金额是五万元！到我账号四万零点！现在法院判决我还85845元再加上逾期利息年利率的10%这不是高利贷是什么。</t>
  </si>
  <si>
    <t>微众银行微粒贷第三方威胁并恶意催款</t>
  </si>
  <si>
    <t>http://ts.21cn.com/tousu/show/id/1371866</t>
  </si>
  <si>
    <t>2019/10/18 16:00:36</t>
  </si>
  <si>
    <t>因为生意资金周转问题，微粒贷每期还款并未按时还款，但是虽然每期还款记录不好，到目前为止也没有拖欠超过一期，都是在下一期账单之前都处理了欠款，但是微众委托的第三方电话过来催款，态度不好，沟通过程中第三方客户有引导性的要我承认我不愿意还款，但是在通话过程中一直表达了本人的还款意愿，可是对方直接拒绝了，并且扬言，处理不了还款的话那就承担责任吧，并且威胁会联系家人朋友，但是我本人并未失联，积极接听电话，也表达了还款意愿，故此在平台投诉微粒贷，并且每天都能收到0571的杭州座机，打过来接通后就马上挂断，挂断后马上就会</t>
  </si>
  <si>
    <t>微贷网多米贷爆力通讯录催收</t>
  </si>
  <si>
    <t>http://ts.21cn.com/tousu/show/id/1371865</t>
  </si>
  <si>
    <t>2019/10/18 16:00:16</t>
  </si>
  <si>
    <t>电话催收次数多次，已超3次/天，沟通协商不予，并威胁说要爆光通讯录，严重影响到工作及生活，要求道歉，并停止爆力催收，协商处理。</t>
  </si>
  <si>
    <t>网商贷雇佣第三方骚扰家人</t>
  </si>
  <si>
    <t>http://ts.21cn.com/tousu/show/id/1371864</t>
  </si>
  <si>
    <t>2019/10/18 16:00:11</t>
  </si>
  <si>
    <t>投诉人 柴先生        投诉对象  网商贷        涉诉金额  20 000 元    问题类型    诉求类型投诉详情  浙江网商贷雇佣第三方 对我家人进行电话骚扰 爆我通讯录</t>
  </si>
  <si>
    <t>乐意花在可以联系得到借款人的情况下，随意打其它联系人电话</t>
  </si>
  <si>
    <t>http://ts.21cn.com/tousu/show/id/1371862</t>
  </si>
  <si>
    <t>2019/10/18 15:59:48</t>
  </si>
  <si>
    <t>乐意花，逾期一天，因为上夜班，工作原因手机关机了，在逾期一天情况下，且回复了短信，并没有表示不愿意还款，只是因为工作原因不好拿出手机来！然后就威胁，随意打通讯录里人的电话，严重影响他人生活！要求乐意花工作人员对本人和打过电话的人电话道歉！不然能投诉的地方都投诉，投诉到底！。</t>
  </si>
  <si>
    <t>My钱包恶意骚扰联系人</t>
  </si>
  <si>
    <t>http://ts.21cn.com/tousu/show/id/1371863</t>
  </si>
  <si>
    <t>2019/10/18 15:59:45</t>
  </si>
  <si>
    <t>黑龙江万方众信互联网小额贷款有限公司，以下简称My钱包。</t>
  </si>
  <si>
    <t>征信呆账、按呆账金额偿还</t>
  </si>
  <si>
    <t>http://ts.21cn.com/tousu/show/id/1371859</t>
  </si>
  <si>
    <t>2019/10/18 15:58:40</t>
  </si>
  <si>
    <t>1月17日起逾期，尚欠两期余款共2006.94，现查征信已成呆账，欠款余额1941，本身每期还1003.47，年利率已达36%，已是高利贷了，还上报征信已不合理，可能平台知道利息不合法，所以上报征信本身就有误，本人已咨询过律师本身高利贷逾期就没有所谓的逾期利息，现打电话给中银消费金融说我还需要还2582.35，我不同意，按照年利率24%，我只需要还1312.5，但是由于征信报告显示呆账1941，我只能同意按征信报告欠款的余额偿还，以下是我通过某个消费金融机构贷款10000，分别按年利率36%和24%算出来的</t>
  </si>
  <si>
    <t>http://ts.21cn.com/tousu/show/id/1371860</t>
  </si>
  <si>
    <t>共三笔借款，一万的借款，到账一万，但是后来看到合同，才发现写了15800的借款。</t>
  </si>
  <si>
    <t>虫虫快借利息太高</t>
  </si>
  <si>
    <t>http://ts.21cn.com/tousu/show/id/1371858</t>
  </si>
  <si>
    <t>2019/10/18 15:58:24</t>
  </si>
  <si>
    <t>虫虫快借周期短，利息太高，到1925，要求还3500。</t>
  </si>
  <si>
    <t>不知道是否要爆通讯录</t>
  </si>
  <si>
    <t>http://ts.21cn.com/tousu/show/id/1371857</t>
  </si>
  <si>
    <t>2019/10/18 15:57:26</t>
  </si>
  <si>
    <t>投诉人 郑女士        投诉对象  爱又米        涉诉金额  8 000 元    问题类型    诉求类型投诉详情  我因家里出事 导致爱又米逾期很久了 才找到的工作 和爱又米的工作人员协商尽快想办法 但是 他们说二十号以后爆通讯录 我就有点害怕二十号工资不到 连累家人 可能否协商分期还款</t>
  </si>
  <si>
    <t>支付宝恶意冻结商家账号，非法侵占商户资金，客服处理效率低下，颓唐。</t>
  </si>
  <si>
    <t>http://ts.21cn.com/tousu/show/id/1371855</t>
  </si>
  <si>
    <t>2019/10/18 15:57:22</t>
  </si>
  <si>
    <t>9月27日，我的企业支付宝莫名被支付宝冻结，里面资金大约有7-8万元，得知情况后立马联系95188，蚂蚁金服人员告知，是涉嫌盗刷投诉，就是客户给我支付宝付款了500元，然后投诉说自己的卡是被盗了，这笔消费不是自己操作的，然后客服告诉我，要提供投诉人的卡号，交易流水，才能给予处理，我辛苦联系半个月，都没有联系到投诉人，无法提供素材，所以支付宝一直不给予处理，就这样，因为500元的投诉，而占用了我7万多的资金奖金一个月时间至今让无法有合适的解决方法，现我投诉支付宝公司，非法侵占我的财产7万多元，因为限制我账号登</t>
  </si>
  <si>
    <t>御剑飞行高利贷强买强卖</t>
  </si>
  <si>
    <t>http://ts.21cn.com/tousu/show/id/1371856</t>
  </si>
  <si>
    <t>2019/10/18 15:57:12</t>
  </si>
  <si>
    <t>投诉人陈先生投诉对象上海华瑞,御剑飞行涉诉金额4900元问题类型诉求类型投诉详情本人在御剑飞行平台填写完个人资料竟自动下款3500，到账2100，砍头息1400，5天到期归还3500，逾期两天逾期费竟达1400700一天，超过国家正常利息几千倍，上海华瑞银行为这种高利贷提供支付通道，如合理要求得不到解决，下一步将走银监，公安。</t>
  </si>
  <si>
    <t>卡牛瑞贷坑人六千一天一千利息</t>
  </si>
  <si>
    <t>http://ts.21cn.com/tousu/show/id/1371854</t>
  </si>
  <si>
    <t>2019/10/18 15:56:53</t>
  </si>
  <si>
    <t>我在卡牛申请的贷款17号有笔六千多到期，我晚上八点二十存卡里的钱，他们没有扣，第二天直接说我逾期，而且要多掏一千零二十的利息，明明是他们自己的问题，18号扣我了七千还说我逾期，太坑人了简直就是强盗。</t>
  </si>
  <si>
    <t>借贷宝打条不放款债权人推脱不消条</t>
  </si>
  <si>
    <t>http://ts.21cn.com/tousu/show/id/1371853</t>
  </si>
  <si>
    <t>2019/10/18 15:55:31</t>
  </si>
  <si>
    <t>今天像借贷宝第三方出借人李春花打条打好借条后对方不履行承诺放款让我查询报告。</t>
  </si>
  <si>
    <t>广发银行信用卡违约金收取</t>
  </si>
  <si>
    <t>http://ts.21cn.com/tousu/show/id/1371852</t>
  </si>
  <si>
    <t>2019/10/18 15:55:29</t>
  </si>
  <si>
    <t>我打电话给银行，说退不了，我想让广发银行退我一些滞纳金。</t>
  </si>
  <si>
    <t>小花钱包暴力催收</t>
  </si>
  <si>
    <t>http://ts.21cn.com/tousu/show/id/1371851</t>
  </si>
  <si>
    <t>2019/10/18 15:55:27</t>
  </si>
  <si>
    <t>小花钱包暴力催收，本人逾期，但是是资金周转不开，但是催收人员根本不给解释机会，口出恶言，电话短信轰炸，造成我生活工作困扰。</t>
  </si>
  <si>
    <t>上海翼勋暴力催收，威胁，恐吓暴通讯录</t>
  </si>
  <si>
    <t>http://ts.21cn.com/tousu/show/id/1371850</t>
  </si>
  <si>
    <t>2019/10/18 15:55:02</t>
  </si>
  <si>
    <t>投诉人吕先生投诉对象翼勋涉诉金额3800元问题类型诉求类型投诉详情上海翼勋互联网金融信息服务有限公司，非法放高利贷，签阴阳合同，收砍头息，非法催收威胁恐吓，泄露个人隐私，要求其立即停止暴力非法手段，合法合规协商还款事宜。</t>
  </si>
  <si>
    <t>http://ts.21cn.com/tousu/show/id/1371849</t>
  </si>
  <si>
    <t>2019/10/18 15:54:16</t>
  </si>
  <si>
    <t>莫名其妙乱扣费……我连app都卸载了！未经授权随着扣费。</t>
  </si>
  <si>
    <t>淘宝卖家打电话骂人</t>
  </si>
  <si>
    <t>http://ts.21cn.com/tousu/show/id/1371848</t>
  </si>
  <si>
    <t>2019/10/18 15:54:10</t>
  </si>
  <si>
    <t>商丘就是这个号码，打电话来骂人，说是因为给了差评，卖家也很聪明，等到在淘宝过了投诉期才来骂人，淘宝也不回复，一定要严肃处理，不然我们消费者还有地方评理吗。</t>
  </si>
  <si>
    <t>新浪卡贷中银消费金融私自拨打我的联系人</t>
  </si>
  <si>
    <t>http://ts.21cn.com/tousu/show/id/1371847</t>
  </si>
  <si>
    <t>2019/10/18 15:53:22</t>
  </si>
  <si>
    <t>本人最近出了点特殊情况11号的时候给客服打了电话说了这个事情，我说了我最近有些困难，本月23号发工资，到时候逾期的费用及本月还款我都处理，现在中银和新浪卡贷每天给我通讯录联系人打电话什么意思呢，现在请求中银停止骚扰我联系人，我23号统一处理我这月还款的事宜。</t>
  </si>
  <si>
    <t>被卖家忽悠平台做事不管</t>
  </si>
  <si>
    <t>http://ts.21cn.com/tousu/show/id/1371832</t>
  </si>
  <si>
    <t>2019/10/18 15:53:10</t>
  </si>
  <si>
    <t>投诉人刘先生投诉对象交易猫涉诉金额310元问题类型诉求类型投诉详情在此平台购买游戏账号，被卖家诱导取消仲裁，导致自动收货，平台做事不管，投诉无果，账号被卖家找回卖家职业多次，我以知道多人被pian。</t>
  </si>
  <si>
    <t>小黑鲨恶意催收威胁家人</t>
  </si>
  <si>
    <t>http://ts.21cn.com/tousu/show/id/1371846</t>
  </si>
  <si>
    <t>2019/10/18 15:53:02</t>
  </si>
  <si>
    <t>投诉人 司先生        投诉对象  小黑鲨        涉诉金额  3 000 元    问题类型    诉求类型投诉详情  小黑鲨恶意催收 给家人打电话威胁骚扰 并且威胁完家人继续威胁我</t>
  </si>
  <si>
    <t>http://ts.21cn.com/tousu/show/id/1371845</t>
  </si>
  <si>
    <t>2019/10/18 15:52:36</t>
  </si>
  <si>
    <t>骗我绑定银行卡，等我银行卡有钱了就扣，现在已经扣了我168快，联系客服也不让退。</t>
  </si>
  <si>
    <t>电话暴力催收骚扰我同事骂人恐吓</t>
  </si>
  <si>
    <t>http://ts.21cn.com/tousu/show/id/1371844</t>
  </si>
  <si>
    <t>2019/10/18 15:52:05</t>
  </si>
  <si>
    <t>投诉人 支先生        投诉对象  MY钱包        涉诉金额  19 000 元    问题类型    诉求类型投诉详情  不要给打电话催收骚扰了 我和你说了生病住院了 月底出院结清 不要长利息了 出院了工作没有了怎么还你 在这样子骚扰 我就报警了</t>
  </si>
  <si>
    <t>网络借贷实际利息与平台所说利率严重不符，要求降低利息，道歉</t>
  </si>
  <si>
    <t>http://ts.21cn.com/tousu/show/id/1371843</t>
  </si>
  <si>
    <t>2019/10/18 15:52:02</t>
  </si>
  <si>
    <t>在玖富万卡平台申请借款，申请时显示日息0.027%，综合日息0.057%，点击借款后的还款计划是每一期还款4400.45元，然而借款生成后其他没变但第一期从4400.45变成了11872.25，整整多出7471.8元。</t>
  </si>
  <si>
    <t>希望延期还款小米和翼支付贷款</t>
  </si>
  <si>
    <t>http://ts.21cn.com/tousu/show/id/1371842</t>
  </si>
  <si>
    <t>2019/10/18 15:51:45</t>
  </si>
  <si>
    <t>现在资金链断裂，无力在近期还款，希望协商延期半年到一年还款，但是苦于没有办法和平台协商，我也不想下月逾期，所以希望你们平台帮帮忙，谢谢！。</t>
  </si>
  <si>
    <t>建行拒不协商退还多收取的滞纳金</t>
  </si>
  <si>
    <t>http://ts.21cn.com/tousu/show/id/1371841</t>
  </si>
  <si>
    <t>2019/10/18 15:49:54</t>
  </si>
  <si>
    <t>本人曾经是建设银行的忠实用户，在2017年因为特殊情况信用卡造成逾期，手机恢复使用后立即联系银行协商还款，被告知不能分期必须全额还款，无奈于2018年8月全额还款，次月又有利息账单70多被告知是上个月账单的滞纳金！不看不知道一看滞纳金费用一共3000多，本人因为生活困难多和建设银行协商退还一部分滞纳金，客服推来推去5个工作日后一个自称可以代表建设银行的人说不能协商减免。</t>
  </si>
  <si>
    <t>钱还清了很久，有一笔咨询费当时下款收取的不给退</t>
  </si>
  <si>
    <t>http://ts.21cn.com/tousu/show/id/1371840</t>
  </si>
  <si>
    <t>2019/10/18 15:49:49</t>
  </si>
  <si>
    <t>钱结清了很久，有几年了，当时大学毕业的时候贷的，做点小生意，由于资金周转不开，中途有过逾期，也协商过积极配合处理，并且钱都还上了并不是有意躲避，等全部结清欠款时当时收取的一笔1200元咨询费就据不退还，也打过电话，态度十分强硬。</t>
  </si>
  <si>
    <t>诱导办理会员，说有额度能办理贷款</t>
  </si>
  <si>
    <t>http://ts.21cn.com/tousu/show/id/1371812</t>
  </si>
  <si>
    <t>2019/10/18 15:49:44</t>
  </si>
  <si>
    <t>投诉人杜先生投诉对象聚优钱袋,中辉商务咨询涉诉金额99元问题类型诉求类型投诉详情说有额度能办理贷款，叫办理会员，办理以后根本不是本平台业务，要下载别的贷款平台才能办理。</t>
  </si>
  <si>
    <t>神马借高额砍头套路贷</t>
  </si>
  <si>
    <t>http://ts.21cn.com/tousu/show/id/1371839</t>
  </si>
  <si>
    <t>2019/10/18 15:49:27</t>
  </si>
  <si>
    <t>神马贷砍头息套路贷，2500元本金要求换3200元左右，并且期间下架App任由逾期费增长强行要求人更，在国家严厉打击下仍旧套路贷！。</t>
  </si>
  <si>
    <t>平安银行委托第三方非法催收</t>
  </si>
  <si>
    <t>http://ts.21cn.com/tousu/show/id/1371809</t>
  </si>
  <si>
    <t>2019/10/18 15:49:03</t>
  </si>
  <si>
    <t>平安银行信用卡逾期，跟银行协商解决，但平安银行委托第三方非法催收，第三方冒充银行工作人员联系我，态度恶劣，威胁，恐吓，侮辱，辱骂，甚至冒充法院以私人手机号码给我发法院开庭通告，以私人手机号码让我去户籍所在地领传票，并且一天有好几个人不同的号码打给我说是平安银行的，严重违反国家法律法规，严重影响到家人朋友父母的人身安全……强烈要求国家严打黑恶势力。</t>
  </si>
  <si>
    <t>违规提供支付渠道间接致使我遭遇网络中“毒手”</t>
  </si>
  <si>
    <t>http://ts.21cn.com/tousu/show/id/1371826</t>
  </si>
  <si>
    <t>2019/10/18 15:48:53</t>
  </si>
  <si>
    <t>本人平常喜欢玩一玩中国体育彩票，后来收到个陌生人短信，可以在网上投注,不用再去跑实体店买票，于是我听信了这个，后来在违规网站上一直输钱，经过朋友提醒才发觉这是违规赌博网站，希望能帮助追回资金,充值通道是云闪付里面用建设银行卡和农业银行卡支付，或者直接转账给上海瀚银，还有很多低于200的基本没统计，接近2万左右，，如有需要提供，随时可以提供支付截图还有订单号！还请相关部门彻查，如解决不了，我将直接向更高一级的有关部门举报，并且报警处理！，&amp;nbsp;&amp;nbsp;&amp;nbsp;&amp;nbsp;&amp;nbsp;&amp;nbsp;</t>
  </si>
  <si>
    <t>骗我的钱不给我处理问题</t>
  </si>
  <si>
    <t>http://ts.21cn.com/tousu/show/id/1371838</t>
  </si>
  <si>
    <t>2019/10/18 15:48:51</t>
  </si>
  <si>
    <t>北京国美融通科技有限公司,国美金融,国美,国美易卡，之前我们协商好，还了这个钱就把这个单子跟征信处理好，我也跟他们公司客服电话问过确认过，这个事情可以处理，也在手机APP跟人工客服确认过，也是可以，但现在钱转过去了，现在反悔了不肯处理了，又要我这边给他打钱，这种就是套路，说过的话都不算话，网上借的利息都超出国家规定的范围内，哪来40%以上的利息，这是高利贷啊，希望你这个平台尽快处理。</t>
  </si>
  <si>
    <t>苏宁金融任性贷第三方平台恶意扣款5700多元</t>
  </si>
  <si>
    <t>http://ts.21cn.com/tousu/show/id/1371837</t>
  </si>
  <si>
    <t>2019/10/18 15:48:15</t>
  </si>
  <si>
    <t>平台评估借款金额29500元，被分别两次扣款金额达5811.5元。</t>
  </si>
  <si>
    <t>星星借呗催收公司骂人我这里有录音</t>
  </si>
  <si>
    <t>http://ts.21cn.com/tousu/show/id/1371836</t>
  </si>
  <si>
    <t>2019/10/18 15:48:10</t>
  </si>
  <si>
    <t>星星借呗打电话骂人，用短信轰炸机轰炸我通讯录里面的好友，还说天天轰炸，骂我是，我这里都有录音，他们这个属于套路贷款，当时宣传给我发短信，说不用还，现在打电话骂人，还冒充长沙公安局的，电话来利用短信轰炸我的通讯录。</t>
  </si>
  <si>
    <t>高利贷，阴阳合同</t>
  </si>
  <si>
    <t>http://ts.21cn.com/tousu/show/id/1371835</t>
  </si>
  <si>
    <t>2019/10/18 15:47:54</t>
  </si>
  <si>
    <t>在钱站app借款1000元分3期还清每期还款635元一共还款1905元3个月的利息高达900多元真的是超级高利贷，现在已经还款2期已经还款1270元，本来金已经还清还多付了270的利息，最后一期协商还款，客服赶紧联系我协商还款这利息太高了已经无力还款了，。</t>
  </si>
  <si>
    <t>http://ts.21cn.com/tousu/show/id/1371834</t>
  </si>
  <si>
    <t>2019/10/18 15:47:46</t>
  </si>
  <si>
    <t>实际利息和下款后的利息不符，还收取高额服务费！。</t>
  </si>
  <si>
    <t>网贷被骗</t>
  </si>
  <si>
    <t>http://ts.21cn.com/tousu/show/id/1371833</t>
  </si>
  <si>
    <t>2019/10/18 15:47:40</t>
  </si>
  <si>
    <t>本人2019年9月20日在钱站借款600元，合同里面却显示本人借款798元，需要本人偿还本息一共1181.37元，望有关部门进行审查。</t>
  </si>
  <si>
    <t>取消放款</t>
  </si>
  <si>
    <t>http://ts.21cn.com/tousu/show/id/1371831</t>
  </si>
  <si>
    <t>2019/10/18 15:46:59</t>
  </si>
  <si>
    <t>投诉人翁先生投诉对象钱站涉诉金额1000元问题类型诉求类型投诉详情要求资金放取消放款。</t>
  </si>
  <si>
    <t>还款日当天通讯录好友收到短信催收信息</t>
  </si>
  <si>
    <t>http://ts.21cn.com/tousu/show/id/1371829</t>
  </si>
  <si>
    <t>2019/10/18 15:46:54</t>
  </si>
  <si>
    <t>投诉人 刘先生        投诉对象  有用分期        涉诉金额  40 000 元    问题类型    诉求类型投诉详情  还款日当天通讯录好友收到短信催收信息。侵犯我个人隐私。</t>
  </si>
  <si>
    <t>不退押金</t>
  </si>
  <si>
    <t>http://ts.21cn.com/tousu/show/id/1371828</t>
  </si>
  <si>
    <t>2019/10/18 15:46:41</t>
  </si>
  <si>
    <t>明确告知酒店，2019年9月30号开四个房间；2019年10月1号3个房间；并提前交纳总计7个房间的房价款1400元，押金200元；退押金酒店以没有提前归还房卡为由不退押金；问题：明确说明房间数在押金条有说明；。</t>
  </si>
  <si>
    <t>投诉省呗暴力催收</t>
  </si>
  <si>
    <t>http://ts.21cn.com/tousu/show/id/1371827</t>
  </si>
  <si>
    <t>2019/10/18 15:46:09</t>
  </si>
  <si>
    <t>我的省呗账单日是16号，17号接到催收电话，我有告诉他未还款原因，17号，我也和客服沟通过，客服保证不会爆我通讯录，然而18号9点左右打电话威胁我后，11点20分左右爆我通讯录，联系我的家人朋友，下午两点多，又打电话来威胁，我一直尝试沟通，都没有结果。</t>
  </si>
  <si>
    <t>侵犯个人隐私</t>
  </si>
  <si>
    <t>http://ts.21cn.com/tousu/show/id/1371825</t>
  </si>
  <si>
    <t>2019/10/18 15:46:00</t>
  </si>
  <si>
    <t>投诉人 罗先生        投诉对象  贷上钱        涉诉金额  2 000 元    问题类型    诉求类型投诉详情  侵犯隐私 读取通讯录 暴力恐吓</t>
  </si>
  <si>
    <t>投诉海南圣云网络科技有限公司无故扣款</t>
  </si>
  <si>
    <t>http://ts.21cn.com/tousu/show/id/1371823</t>
  </si>
  <si>
    <t>2019/10/18 15:45:33</t>
  </si>
  <si>
    <t>本人于10月10日浏览拇指下款及豹子贷时，注册完成后，在14日被无故扣款298元，本人承诺从未在平台借款成功，唯一的一次还在无限推荐中，所以并不知晓这298时扣的我什么费用，再者扣款时本人并不知晓，故请求平台退还此扣款。</t>
  </si>
  <si>
    <t>盛钱包坑激活费，还我血汗??</t>
  </si>
  <si>
    <t>http://ts.21cn.com/tousu/show/id/1371822</t>
  </si>
  <si>
    <t>2019/10/18 15:45:28</t>
  </si>
  <si>
    <t>盛钱包以自己是中国银行办卡员的名义，叫我们办信誉卡说能下来大额度，还给赠送礼品，然后拿个盛钱包的boss机，刷走我196的钱，说这是押金必须刷的，几天就给返回来，现在这个业务员电话也不接，钱也不给我返，我要求盛钱包返我血汗钱，。</t>
  </si>
  <si>
    <t>交通银行不按国家标准收费，当时用信用卡消费1000多被迫还款7000块</t>
  </si>
  <si>
    <t>http://ts.21cn.com/tousu/show/id/1371821</t>
  </si>
  <si>
    <t>2019/10/18 15:44:59</t>
  </si>
  <si>
    <t>当时用交通银行信用卡消费了1000多块，因当时进入了传销组织，导致逾期，后来自己主动联系交通银行还款，被告知要求连本带利要还款7000块钱左右，当时交通银行利用恐吓等手段逼我还款，后来还清了，现在本人觉得当时交通银行多收了我5000块钱是不合法，现在本人失业，身体有病，小孩要读书，老人身体不好，没有经济来源，所以强烈要求退回来当时交通银行多收我的5000块钱血汗钱，为我们农民工讨回一个公道，消费1000多块要求还7000块钱，是不是比高利贷还高利贷，还恐吓我，是不是黑社会，现在国家打黑除恶严打，我就不相信交</t>
  </si>
  <si>
    <t>广发银行信用卡</t>
  </si>
  <si>
    <t>http://ts.21cn.com/tousu/show/id/1371820</t>
  </si>
  <si>
    <t>2019/10/18 15:44:58</t>
  </si>
  <si>
    <t>第三方暴力催收，恐吓，侵权，未经过本人同意，第三方私自截图本人征信，恐吓我家人，说要马上还3至5万，不然立即报案，现在确实还不上，本人因遇到困难，导致逾期，可每个月都在尽力还款，一直寻找银行，可银行一直推于第三方，导致被恐吓，我都有寻死之决心，希望银行给条活路。</t>
  </si>
  <si>
    <t>捷信金融超级高利贷，暴力催收。</t>
  </si>
  <si>
    <t>http://ts.21cn.com/tousu/show/id/1371819</t>
  </si>
  <si>
    <t>2019/10/18 15:44:42</t>
  </si>
  <si>
    <t>本人于2016年向捷信金融申请个人贷款15000元，分期42期，每月还款957元，目前已经还款27期，还款金额早已经超过贷款本金，目前捷信金融公司要求我提前一次性洁清欠款12000元，捷信金融国家合法，允许的超级高利贷，希望捷信金融给出合理的解释，按照国家规定内利率来做出解释。</t>
  </si>
  <si>
    <t>海豚家长时间没有收到货也不退货</t>
  </si>
  <si>
    <t>http://ts.21cn.com/tousu/show/id/1371818</t>
  </si>
  <si>
    <t>2019/10/18 15:44:40</t>
  </si>
  <si>
    <t>本人于2019.9.5日在海豚加购买了三件商品，其中最便宜的一件商品已经收到，另外两件商品至今未收到，期间多次联系海豚家客服退款，客户均表示目前正在清关不予退款，只表示会跟进物流，及时处理，至今未收到海豚家任何处理回复。</t>
  </si>
  <si>
    <t>翰银科技为赌博平台收单，请求瀚银为我退款挽回经济损失</t>
  </si>
  <si>
    <t>http://ts.21cn.com/tousu/show/id/1371817</t>
  </si>
  <si>
    <t>2019/10/18 15:44:27</t>
  </si>
  <si>
    <t>后想在网上想找点兼职网赚点小钱养家糊口，奈何被人诱骗充值赚流水等理由被人拉进兼职群，以购买彩票方式赚取佣金，后来才知道是非法赌博平台，和支付清算协会沟通得知第三方支付业务应审核客户的相关信息，第三方支付公司不得向证券、期货、博彩等机构提供支付结算业务，现在全家进入负债经济困难时期，可以说吃了上顿没下顿的状态，通过中国人民银行，中国银联，和支付清算协会沟通得知，第三方支付业务应审核客户的相关信息，第三方支付公司不得向证券、期货、博彩等机构提供支付结算业务，作为有牌照的支付公司没有履行国家相关法律法规要求，为违</t>
  </si>
  <si>
    <t>滴滴出行</t>
  </si>
  <si>
    <t>http://ts.21cn.com/tousu/show/id/1371816</t>
  </si>
  <si>
    <t>2019/10/18 15:44:06</t>
  </si>
  <si>
    <t>我10月9号13:57在君悦公寓接到乘客送到南昌站，在送到目的地后乘客下车拿东西导致我被拍违章，滴滴客服说我没按导航要求行驶停车而产生的违章不予报销。</t>
  </si>
  <si>
    <t>网贷公司暴力催收，骚扰通讯录联系人</t>
  </si>
  <si>
    <t>http://ts.21cn.com/tousu/show/id/1371815</t>
  </si>
  <si>
    <t>2019/10/18 15:43:09</t>
  </si>
  <si>
    <t>近期朋友顾客接二连三跟我说接到电话，有的直接让朋友还钱，有的跟朋友说我把她写成了紧急联系人，朋友跟我点名说了其中有点点贷款公司，其他的说不知道是哪个平台，在这里我想对以下网贷公司说明一下情况，首先我不是恶意拖欠不打算还款，是因为2019年5月份我婆婆查出宫颈癌，确诊之后我6月份生孩子，我是在8月份开始出现逾期状况，因为我生完孩子之后家里就开始对我婆婆进行治疗，家里的钱除了孩子的必要开销都拿去给婆婆看病，所以造成了逾期现象，我名下有一个房产，131平方得房子，现在正在出售，就是为了还钱，但是房子不是一天两天就</t>
  </si>
  <si>
    <t>因为招商银行过失导致31岁中年男子面临失业，家庭风雨飘零。消除影响，移除黑名单。</t>
  </si>
  <si>
    <t>http://ts.21cn.com/tousu/show/id/1371814</t>
  </si>
  <si>
    <t>2019/10/18 15:41:35</t>
  </si>
  <si>
    <t>投诉人成继华投诉对象招商银行信用卡涉诉金额12000元问题类型诉求类型投诉详情本人名下有6-7家银行信用卡，为了方便还款全部通过电子邮件来还款避免遗漏，2016年下半年经常收不到招商银行信用卡账单，期间有打招商银行信用卡客服热线叫其帮忙解决，说已经记录，当本人知道已经逾期立马把钱还了，并且再次反馈收不到电子账单导致逾期，银行减免了逾期费用，当时询问银行是否会影响个人征信，银行工作人员敷衍称应该不会影响，由于个人工作原因，需要提供个人征信报告，2018年10月14日打印征信报告才发现招商银行在2017年3月份</t>
  </si>
  <si>
    <t>违约金和滞纳金和利息</t>
  </si>
  <si>
    <t>http://ts.21cn.com/tousu/show/id/1371813</t>
  </si>
  <si>
    <t>2019/10/18 15:41:19</t>
  </si>
  <si>
    <t>交通银行未按照国家标准收费罚息，现在不退多收取部分的违约金和滞纳金和利息，当年受伤上不了班没钱还。</t>
  </si>
  <si>
    <t>http://ts.21cn.com/tousu/show/id/1371810</t>
  </si>
  <si>
    <t>2019/10/18 15:41:08</t>
  </si>
  <si>
    <t>每天轰炸本人通讯录亲朋好友，恶意催收，暴力血腥手段威胁，以严重损害声誉扰乱了正常生活。</t>
  </si>
  <si>
    <t>关于招联金融恶意骚扰，冒充公检法暴力催收</t>
  </si>
  <si>
    <t>http://ts.21cn.com/tousu/show/id/1371811</t>
  </si>
  <si>
    <t>2019/10/18 15:41:03</t>
  </si>
  <si>
    <t>给我本人及家人造成了严重的心理负担和精神骚扰！，我有电话录音，已经回电告诉对方，我不是你们催收的本人，也不认识你们所催收的欠款人，对方也同意不再骚扰，但是最近还是陆续收到恐吓短信。</t>
  </si>
  <si>
    <t>宜信贷款利息太高，暴力催收</t>
  </si>
  <si>
    <t>http://ts.21cn.com/tousu/show/id/1371808</t>
  </si>
  <si>
    <t>2019/10/18 15:40:44</t>
  </si>
  <si>
    <t>在宜信普惠借款4万元，每期还款1800多，还了2万多了，现在还要还4万多，利息太高，现在协商延期还款不同意，暴力催收，爆通讯录，打单位电话，找领导……严重影响个人上班！。</t>
  </si>
  <si>
    <t>机场、高铁站、双证司机不派单</t>
  </si>
  <si>
    <t>http://ts.21cn.com/tousu/show/id/1371806</t>
  </si>
  <si>
    <t>2019/10/18 15:39:49</t>
  </si>
  <si>
    <t>本人接到机场订单上机，在机场长期都是要等4-5小时排队系统才给派单，而且每次派的订单质量都不高，我希望滴滴相关客服严格管控机场上使用外挂打针的现象。</t>
  </si>
  <si>
    <t>投诉天猫搏时通信专营店涉嫌商业欺诈</t>
  </si>
  <si>
    <t>http://ts.21cn.com/tousu/show/id/1371805</t>
  </si>
  <si>
    <t>2019/10/18 15:39:41</t>
  </si>
  <si>
    <t>该店销售的虚拟充值商品涉嫌商业欺诈，导致本人直接产生120元经济损失，要求卖家赔偿。</t>
  </si>
  <si>
    <t>盼达用车押金难退、成为泡影？</t>
  </si>
  <si>
    <t>http://ts.21cn.com/tousu/show/id/1371807</t>
  </si>
  <si>
    <t>2019/10/18 15:39:38</t>
  </si>
  <si>
    <t>盼达用车押金难退、一味等待、只能投诉又投诉、难耐！。</t>
  </si>
  <si>
    <t>51人品贷暴力催收，威胁家人</t>
  </si>
  <si>
    <t>http://ts.21cn.com/tousu/show/id/1371804</t>
  </si>
  <si>
    <t>2019/10/18 15:39:25</t>
  </si>
  <si>
    <t>骚扰我的家人，威胁恐吓，先说要报警抓我，后面又说要找社会人来我家里，现在说要爆我通讯录，每次打过来的号码都不一样，有录音证据。</t>
  </si>
  <si>
    <t>达飞云贷套路贷，高利贷</t>
  </si>
  <si>
    <t>http://ts.21cn.com/tousu/show/id/1371802</t>
  </si>
  <si>
    <t>2019/10/18 15:38:52</t>
  </si>
  <si>
    <t>投诉人 常女士        投诉对象  达飞云贷        涉诉金额  40 500 元    问题类型    诉求类型投诉详情  达飞云贷套路贷，暴力催收，威胁恐吓家人。</t>
  </si>
  <si>
    <t>信用卡循环利息违约金</t>
  </si>
  <si>
    <t>http://ts.21cn.com/tousu/show/id/1371801</t>
  </si>
  <si>
    <t>2019/10/18 15:38:09</t>
  </si>
  <si>
    <t>央行明文规定2017年1月1日之后不允许银行收取循环利息，违约金，如果收取要和客户商量，招商银行不仅没有和我商量，而且我打电话跟他们协商退款，他们直接说知道央行规定不允许收取，他们就是要收，而且说办信用卡的同时就等于默认收取这些费用！我希望这个问题能得到解决！。</t>
  </si>
  <si>
    <t>黑网贷恶意扣费</t>
  </si>
  <si>
    <t>http://ts.21cn.com/tousu/show/id/1371800</t>
  </si>
  <si>
    <t>2019/10/18 15:37:43</t>
  </si>
  <si>
    <t>申请分期速贷恶意被上海履信科技有限公司扣款300元请求退回300。</t>
  </si>
  <si>
    <t>聚富分期未经同意私自扣款</t>
  </si>
  <si>
    <t>http://ts.21cn.com/tousu/show/id/1371799</t>
  </si>
  <si>
    <t>2019/10/18 15:37:41</t>
  </si>
  <si>
    <t>聚富分期未经允许私自扣除我银行卡的钱，打着检测信用分的幌子，我本人没有任何授权同意的情况下扣除我199元，多次联系客服均联系不上，在国家大力整治网贷的情况下聚富分期明目张胆的如同抢劫一样，如不处理本人将报案。</t>
  </si>
  <si>
    <t>华拓金服不明来路的暴力催收</t>
  </si>
  <si>
    <t>http://ts.21cn.com/tousu/show/id/1371788</t>
  </si>
  <si>
    <t>2019/10/18 15:37:34</t>
  </si>
  <si>
    <t>投诉人王婧投诉对象华拓金服涉诉金额2875元问题类型诉求类型投诉详情在本人不知情的情况下恐吓本人要对本人的通讯录进行爆炸式攻击，同时本人从为有过未尝还外债，此行为属于暴力，恐吓行为，请相关部门介入。</t>
  </si>
  <si>
    <t>自由摩卡六便士高利贷</t>
  </si>
  <si>
    <t>http://ts.21cn.com/tousu/show/id/1371798</t>
  </si>
  <si>
    <t>2019/10/18 15:37:19</t>
  </si>
  <si>
    <t>本人于9月15号在自由摩卡app上通过六便士借款2000元，却要提前支付540元的会员费才能收到借款，该笔借款期限30天，到期后需还款2060元，询问相关律师后告知我六便士收取的会员费其实就是高额砍头息，自由魔卡为其高利贷提供平台，畅捷支付为其提供高利贷放款通道，本人要求客服联系我合理协商本金还款销账事宜，本人也愿实名接受任何媒体采访。</t>
  </si>
  <si>
    <t>苏宁和交通银行活动不兑现</t>
  </si>
  <si>
    <t>http://ts.21cn.com/tousu/show/id/1371797</t>
  </si>
  <si>
    <t>2019/10/18 15:37:06</t>
  </si>
  <si>
    <t>投诉人 王女士        投诉对象  苏宁,苏宁易购        涉诉金额  66 元    问题类型    诉求类型投诉详情  苏宁和交行合作的66元优惠券活动 我提交转账了以后 显示未提交银期转账 但已经提交（如图）希望尽快给我落实</t>
  </si>
  <si>
    <t>广东汇卡商务服务有限公司涉嫌违纪违反银联及银监会规定，为非法博彩公司提供通道，请求广东汇卡商务服务有限公司为我讨回血汗钱</t>
  </si>
  <si>
    <t>http://ts.21cn.com/tousu/show/id/1371796</t>
  </si>
  <si>
    <t>2019/10/18 15:35:51</t>
  </si>
  <si>
    <t>本人浏览网页时，被弹窗兼职信息吸引，至非法网站，亚博体育www.yabovip666.com，，平台客服向本人提供自称稳赚不赔的彩票计划，在诱导下进行了充值及购买彩票，造成资金巨大亏损，今发现该平台为违法平台，目前悔之晚矣，对我本人和家庭造成了巨大影响，现请求贵公司在祖国70周年华诞之际，协助追回退款，严惩非法平台。</t>
  </si>
  <si>
    <t>高额砍头息！！暴力催收！！黑社会一样威胁</t>
  </si>
  <si>
    <t>http://ts.21cn.com/tousu/show/id/1371794</t>
  </si>
  <si>
    <t>2019/10/18 15:35:35</t>
  </si>
  <si>
    <t>投诉人王女士投诉对象指上旅行涉诉金额2100元问题类型诉求类型投诉详情投诉了以后依旧暴力催收，本金2100，还了800，现在依旧让还2300多，高额砍头息！！暴力催收！！黑社会一样的威胁人！！！扫黑除恶都不行么，！！微信言语威胁，电话骚扰威胁我的爸妈，往我公司打电话，不能正常工作！！！要求停止骚扰，协商还款本金和国家规定利息。</t>
  </si>
  <si>
    <t>美团网客人用浴巾弄狗屎</t>
  </si>
  <si>
    <t>http://ts.21cn.com/tousu/show/id/1371793</t>
  </si>
  <si>
    <t>2019/10/18 15:35:08</t>
  </si>
  <si>
    <t>客人从美团预定并入住房间，损毁浴巾，用来处理狗屎，没有赔偿。</t>
  </si>
  <si>
    <t>保险高</t>
  </si>
  <si>
    <t>http://ts.21cn.com/tousu/show/id/1371792</t>
  </si>
  <si>
    <t>2019/10/18 15:35:02</t>
  </si>
  <si>
    <t>111111111111111111111111111。</t>
  </si>
  <si>
    <t>小电充电宝归还仍旧扣费客服不管</t>
  </si>
  <si>
    <t>http://ts.21cn.com/tousu/show/id/1371791</t>
  </si>
  <si>
    <t>2019/10/18 15:34:37</t>
  </si>
  <si>
    <t>投诉人 刘先生        投诉对象  小电        涉诉金额  99 元    问题类型    诉求类型投诉详情  小电充电宝 买断后 归还错误仍旧扣费 买断的充电宝不予帮助客户取出</t>
  </si>
  <si>
    <t>度小满公司辱骂借款人，，</t>
  </si>
  <si>
    <t>http://ts.21cn.com/tousu/show/id/1371790</t>
  </si>
  <si>
    <t>2019/10/18 15:34:12</t>
  </si>
  <si>
    <t>逾期几天百度有钱花雇佣黑社会暴力催收，辱骂，诅咒，。</t>
  </si>
  <si>
    <t>融乐贷炸通讯录</t>
  </si>
  <si>
    <t>http://ts.21cn.com/tousu/show/id/1371767</t>
  </si>
  <si>
    <t>2019/10/18 15:34:08</t>
  </si>
  <si>
    <t>投诉人戴先生投诉对象乐贷涉诉金额2900元问题类型诉求类型投诉详情电话威胁，态度恶劣恐吓威胁骚扰，希望严肃处理，还爆我通讯录。</t>
  </si>
  <si>
    <t>白领贷高额利息，砍头息</t>
  </si>
  <si>
    <t>http://ts.21cn.com/tousu/show/id/1371789</t>
  </si>
  <si>
    <t>2019/10/18 15:34:04</t>
  </si>
  <si>
    <t>12月7日，在白领贷借款40000元，白领贷以咨询费为由提前收取8000元砍头息，实际到账32000元，目前已还款22期，累计已还40,196.86‬元，app上显示结清金额还有18735.62，年利率高达50%，《关于规范整顿“现金贷”业务的通知》明确规定，不得撮合或变相撮合不符合法律有关利率规定的借贷业务；禁止从借贷本金中先行扣除利息、手续费、管理费、保证金以及设定高额逾期利息、滞纳金、罚息等”，白领贷却以咨询费的名义强行收取8000元砍头息，年利率也远超过国家相关规定标准，由于生意出现问题，无力偿还高</t>
  </si>
  <si>
    <t>暴力催收花闪云高炮谁给你的胆子，幕后又有什么黑幕</t>
  </si>
  <si>
    <t>http://ts.21cn.com/tousu/show/id/1371787</t>
  </si>
  <si>
    <t>2019/10/18 15:33:05</t>
  </si>
  <si>
    <t>是谁给你们的胆子，高利贷砍头息，见不得光，逾期那么多天不敢催收，现在国家没严打了，又来暴力催收，你们这些不法的借贷平台，迟早有一天会被公安部门一锅端的，大家一起收集证据，暴力，恐吓，骂人，什么手段都能使出来的高利贷违法催收。</t>
  </si>
  <si>
    <t>骚扰、催收、爆通讯录、名誉受损</t>
  </si>
  <si>
    <t>http://ts.21cn.com/tousu/show/id/1371777</t>
  </si>
  <si>
    <t>2019/10/18 15:32:46</t>
  </si>
  <si>
    <t>1、本人昨天主动打电话联系钱站相关人员，并说明自身情况，希望贵公司能给宽限几天，等资金到位后一并全款节庆，2、沟通完毕后，贵公司的工作人员相继爆了本人的通讯录，这个可以调查，我提供相关的记录，最重要的是给我领导发短信，并告知相关情况，对我以后工作很不利，3、本人的声誉收到损失，希望贵公司给予道歉及说法，4、本人在正规银行办理抵押贷款，很快就下款，到时会一次性还请借款，在此，希望贵公司第一停止对联系人及通讯录的骚扰，第二，给本人就银行一些时间。</t>
  </si>
  <si>
    <t>美团电影票没开场之前都不能退，也不能改签</t>
  </si>
  <si>
    <t>http://ts.21cn.com/tousu/show/id/1371774</t>
  </si>
  <si>
    <t>2019/10/18 15:32:34</t>
  </si>
  <si>
    <t>投诉人闫先生投诉对象美团涉诉金额46元问题类型诉求类型投诉详情因为朋友那个时间段没空想改签，发现改签不了，也退不了票，去到前台也不给退，说第三方服务没办法退，美团就是这样欺骗消费者的吗。</t>
  </si>
  <si>
    <t>钱站高利贷套路贷阴阳合同</t>
  </si>
  <si>
    <t>http://ts.21cn.com/tousu/show/id/1371757</t>
  </si>
  <si>
    <t>2019/10/18 15:31:56</t>
  </si>
  <si>
    <t>本人在钱站借款5万元，每月还款3423两年需要还8万多，阴阳合同，显示本金68000，实际到账5万元，套路贷，高利贷。</t>
  </si>
  <si>
    <t>马上金融乱收逾期费</t>
  </si>
  <si>
    <t>http://ts.21cn.com/tousu/show/id/1371785</t>
  </si>
  <si>
    <t>2019/10/18 15:31:52</t>
  </si>
  <si>
    <t>尊敬的聚投诉，由于马上金融乱收取逾期费用，至今未给答复，一直坚定逾期费是按国家标准，未超出百分之四十，但我查询到马上金融逾期费远远超出百分之四十。</t>
  </si>
  <si>
    <t>套路贷，高利贷</t>
  </si>
  <si>
    <t>http://ts.21cn.com/tousu/show/id/1371784</t>
  </si>
  <si>
    <t>2019/10/18 15:31:50</t>
  </si>
  <si>
    <t>本人借爱白条2500，分三个月，前两个月还1400多，后面一个月还1000！这些我都可以接受，借钱还钱天经地义！我是23号要还款的，今天18号，我15号发的工资，就想把这个钱给还了，今天去app一看，根本进不去，就百度一下联系了客服！他们客服态度特别差，让我加一个微信，我加了之后，那个微信啥也没有，就很担心这个钱还了就没了，然后我就问，那客服态度特别差啊，嗓门特别大，搞得我跟欠他钱一样，我就说你凶什么凶啊，就不能好好说，他说你到底要不要还钱，我不要还钱，我提前给你打电话咨询干嘛！他就不听我说话，就一直说，你</t>
  </si>
  <si>
    <t>美利车、力蕴汽车套路贷</t>
  </si>
  <si>
    <t>http://ts.21cn.com/tousu/show/id/1371781</t>
  </si>
  <si>
    <t>2019/10/18 15:31:38</t>
  </si>
  <si>
    <t>我要投诉美利车金融，我的贷款明明是95500元为什么到了你们玩的贷款就变成了122668元，你们制造假合同，没有按贷款人真实资料申请，砍头息，多出来的贷款你们要么反还给我，要么我只还本金。</t>
  </si>
  <si>
    <t>凡谱金科子平台钱站高利贷砍头息</t>
  </si>
  <si>
    <t>http://ts.21cn.com/tousu/show/id/1371782</t>
  </si>
  <si>
    <t>2019/10/18 15:31:25</t>
  </si>
  <si>
    <t>本人在中介向凡谱金科子平台钱站借款37800元，实际到账35000元，又被中介拿了2450元，最后到手32550元，分36期还，每期1841.70元，一共要还66301.2元，，算下来利息综合年利率已超过36%！最可恨的是每个月没到还款日就开始短信骚扰，还款当日超过早上八点没还款就各地催收电话骚扰，加微信，加支付宝留言威胁我！请求退还砍头息和调整利息。</t>
  </si>
  <si>
    <t>网贷平台骚扰通讯录联系人</t>
  </si>
  <si>
    <t>http://ts.21cn.com/tousu/show/id/1371780</t>
  </si>
  <si>
    <t>乐客独角兽虚假宣传，诱导创业加入会员，收取高额会员费</t>
  </si>
  <si>
    <t>http://ts.21cn.com/tousu/show/id/1371523</t>
  </si>
  <si>
    <t>2019/10/18 15:31:18</t>
  </si>
  <si>
    <t>虚假/误导宣传、客服不处理/处理不当、服务不到位/态度差、涉骗、不予退款，夸大其词说钱很好赚，欺骗我们加入，但他们那些项目很很难做，我五分月到现在10多月份没有赚到一分钱，交了9800的会费也不给退，他们要我们交钱的时候没有说明不能退，隐瞒了重要信息，到后面直接就不理人夸大收益宣传，例如月入n，万，可兼职当副业，微信朋友圈各种套路吸引小白创业者，还请一些优秀会员分享月入10万秘籍教学等吸引创业者，刚加入他们会员的时候还专门去了一次他们公司，本来想着去了他们可以给你系统的培训一下，可是去了以后很失望，里边全是</t>
  </si>
  <si>
    <t>群利花高利贷威胁本人</t>
  </si>
  <si>
    <t>http://ts.21cn.com/tousu/show/id/1371779</t>
  </si>
  <si>
    <t>2019/10/18 15:31:15</t>
  </si>
  <si>
    <t>群利花高利贷到账2000还款要还3240，严重的高利贷，今天到期催收态度恶劣恐吓威胁中午12点前不还款进一步催收，国家现严打高利贷，该平台还明目张胆，要求贵平台严厉打击，超额的高利息本人已承受不起，要求还本金销账，不然我必去政府部门投诉。</t>
  </si>
  <si>
    <t>希望领导拼多多给我给予退款处理</t>
  </si>
  <si>
    <t>http://ts.21cn.com/tousu/show/id/1371778</t>
  </si>
  <si>
    <t>2019/10/18 15:31:07</t>
  </si>
  <si>
    <t>投诉人李先生投诉对象拼多多涉诉金额3483元问题类型诉求类型投诉详情本人于15日，在qq上通过赌博人员推荐一款名叫富狗娱乐的app，推荐给我的那个人说，充值包赢，有福利诱导我充值，随后我跟着充值了总共3483元完了才知道平台后台操作，而且我充值的订单的钱都入了拼多多商户口袋，我就联系了拼多多领导能够把这笔钱款退回我的账户中，因为这是我一个月的工资，拼多多客服说三个工作日给我取的联系，但是一直没有收到拼多多专员的回电，一直在推脱这个问题，希望领导能够帮我解决这个问题，谢谢赌博平台的人现在还封停了我的游戏账户。</t>
  </si>
  <si>
    <t>借款利息高出国家标准</t>
  </si>
  <si>
    <t>http://ts.21cn.com/tousu/show/id/1371776</t>
  </si>
  <si>
    <t>2019/10/18 15:30:50</t>
  </si>
  <si>
    <t>借款本金5万，合同本金56800.分36期，要还84070.54.以还28期，65388.83，已经严重超出国家标准。</t>
  </si>
  <si>
    <t>投诉被盗刷</t>
  </si>
  <si>
    <t>http://ts.21cn.com/tousu/show/id/1371775</t>
  </si>
  <si>
    <t>2019/10/18 15:30:26</t>
  </si>
  <si>
    <t>本人在使用这张银行，并无消费这两笔款1998元和1934元但被盗刷走了钱，麻烦请给予处理下，退款到此银行卡账户里面。</t>
  </si>
  <si>
    <t>无缘无故的限制我支付  我都不知道怎么回事</t>
  </si>
  <si>
    <t>http://ts.21cn.com/tousu/show/id/1371773</t>
  </si>
  <si>
    <t>2019/10/18 15:29:39</t>
  </si>
  <si>
    <t>投诉人 陈女士        投诉对象  腾讯微信        涉诉金额  150 元    问题类型    诉求类型投诉详情  今天去商店买多西 一看支付限制 我都知道怎么回事 昨天刚转进来的钱 现在只能进不能出 我就想问 凭什么 你这是限制我消费吗 我自己的钱 我是通缉犯啊 请给个说法</t>
  </si>
  <si>
    <t>打电话骚扰我</t>
  </si>
  <si>
    <t>http://ts.21cn.com/tousu/show/id/1371771</t>
  </si>
  <si>
    <t>2019/10/18 15:29:26</t>
  </si>
  <si>
    <t>投诉人 高先生        投诉对象  读秒贷款        涉诉金额  0 元    问题类型    诉求类型投诉详情  别人在读秒贷款借的钱里 他们联系不到借款人，来骚扰我</t>
  </si>
  <si>
    <t>网贷里面费用分期太多</t>
  </si>
  <si>
    <t>http://ts.21cn.com/tousu/show/id/1371772</t>
  </si>
  <si>
    <t>2019/10/18 15:29:21</t>
  </si>
  <si>
    <t>玖富万卡合同费用分期太多，需要有平台处理下。</t>
  </si>
  <si>
    <t>交通银行信用卡骚扰不停</t>
  </si>
  <si>
    <t>http://ts.21cn.com/tousu/show/id/1371770</t>
  </si>
  <si>
    <t>2019/10/18 15:29:14</t>
  </si>
  <si>
    <t>投诉人 张女士        投诉对象  交通银行        涉诉金额  10 491 元    问题类型    诉求类型投诉详情  交通银行恶意骚扰。不停的骚扰。还了几千块还是不停的骚扰短信不停的发。有没有王法了，还钱也骚扰到底想怎么样？烦死了。非要把人逼死你们才满意吗</t>
  </si>
  <si>
    <t>趣花分期内小笼宝714高利贷砍头息</t>
  </si>
  <si>
    <t>http://ts.21cn.com/tousu/show/id/1371769</t>
  </si>
  <si>
    <t>2019/10/18 15:28:50</t>
  </si>
  <si>
    <t>借3000元砍头息900元，实际到账2100元，要求协商处理，否则会进一步投诉有关部门。</t>
  </si>
  <si>
    <t>携程国际机票严重涨价</t>
  </si>
  <si>
    <t>http://ts.21cn.com/tousu/show/id/1371768</t>
  </si>
  <si>
    <t>2019/10/18 15:28:30</t>
  </si>
  <si>
    <t>10月18日，我们再次登录携程查询机票，此段机票的价格又为五千多元，致电携程客服，客服表示，回程机票当时购票时，低价票售空，现在是航司又放出票了，但是打电话到航空公司，航司表示，首先，截止到现在10月18日，回程低价舱位的票一直都有，且航司不会这么快又放出票，再次打电话到携程投诉部门要求给出解释，客服回复，就是价格上涨，希望携程能够给出一个合理的解释，并将此事予以解决，请注意，上传图片是两个人的总价，总价下面显示有每人的单价。</t>
  </si>
  <si>
    <t>http://ts.21cn.com/tousu/show/id/1371765</t>
  </si>
  <si>
    <t>2019/10/18 15:26:44</t>
  </si>
  <si>
    <t>新橙优品砍头息，借款3000到账2500，还款日不扣款，后来因为经济困难无力还款，暴力催收，骚扰通讯录。</t>
  </si>
  <si>
    <t>群利花高利贷砍头息</t>
  </si>
  <si>
    <t>http://ts.21cn.com/tousu/show/id/1371764</t>
  </si>
  <si>
    <t>2019/10/18 15:26:34</t>
  </si>
  <si>
    <t>借款到账2000元，实际时间4天要求还款3240，高利贷砍头息套路贷。</t>
  </si>
  <si>
    <t>招商银行骚扰逼迫，向我的家人施加压力</t>
  </si>
  <si>
    <t>http://ts.21cn.com/tousu/show/id/1371766</t>
  </si>
  <si>
    <t>2019/10/18 15:26:31</t>
  </si>
  <si>
    <t>前两年用卡一直正常，因为后面资金出了问题，暂时没办法还上，希望能够协商还款，招商银行咄咄逼人，联系父母兄弟，多次强调个人债务，依然我行我素，恶意不停骚扰，漠视法律，请停止骚扰，可以协商，也可以诉讼，我尽我最大能力还款。</t>
  </si>
  <si>
    <t>联通手机4G网速变慢</t>
  </si>
  <si>
    <t>http://ts.21cn.com/tousu/show/id/1371763</t>
  </si>
  <si>
    <t>2019/10/18 15:25:49</t>
  </si>
  <si>
    <t>大约19年8月份起联通的手机4G网络变得很慢，微博，微信，百度浏览器，视频APP等打开和运行都相当慢，而且经常出现无服务现象，本人月租相对还是比较高的32G以后就会限制网速，但是现在的情况就是感觉一直在限网速，完全影响到我的生活和工作的节奏。</t>
  </si>
  <si>
    <t>微贷暴力催收通讯录亲友</t>
  </si>
  <si>
    <t>http://ts.21cn.com/tousu/show/id/1371762</t>
  </si>
  <si>
    <t>2019/10/18 15:25:12</t>
  </si>
  <si>
    <t>今年一月份因为资金周转困难，通过去哪儿旅行app在微贷平台申请了一笔借款，后续一直按期偿还贷款本息，因为本月资金紧张暂时无力归还借款造成了逾期，微贷网就开始肆意拨打本人通讯录亲友，惯用对方是借款人预留的紧急联系人！到处骚扰并且辱骂借款人亲友，对本人生活造成严重影响，现在本人工作丢失，本已还款困难的情况下更是雪上加霜！本笔借款余下4期结清，因为个人负债比较高，目前失业下本期账单暂时无力偿还，微贷网催收人员照样还是采用恐吓威胁的方式催收，并且还是采取骚扰通讯录的方式，继续以盗取用户信息骚扰通讯录，等非法手段催收</t>
  </si>
  <si>
    <t>无法提前结清贷款</t>
  </si>
  <si>
    <t>http://ts.21cn.com/tousu/show/id/1371761</t>
  </si>
  <si>
    <t>2019/10/18 15:23:54</t>
  </si>
  <si>
    <t>小象优品颜值卡收取高额利息，无法提前还清借款，要求提前结清并返还为产生的应付利息。</t>
  </si>
  <si>
    <t>好分期恐吓并态度不良好要求协商解决</t>
  </si>
  <si>
    <t>http://ts.21cn.com/tousu/show/id/1371760</t>
  </si>
  <si>
    <t>2019/10/18 15:23:16</t>
  </si>
  <si>
    <t>本人在好分期平台借款5000元本期需要还804元因资金方面问题暂时未有能力偿还保持良好的态度与客服协商却一再遭到客服对我及家人的恐吓、威胁我现要求平台协商解决并停止恐吓威胁否则我将举报到当地有关部门依法处理。</t>
  </si>
  <si>
    <t>http://ts.21cn.com/tousu/show/id/1371759</t>
  </si>
  <si>
    <t>2019/10/18 15:23:15</t>
  </si>
  <si>
    <t>小象优品爆我通讯录，亵渎法律</t>
  </si>
  <si>
    <t>http://ts.21cn.com/tousu/show/id/1371758</t>
  </si>
  <si>
    <t>2019/10/18 15:23:06</t>
  </si>
  <si>
    <t>小象优品真牛，逾期3天没有任何通知，连续几个月都是这样，就为了坑我那点逾期费，今天更好，打电话让我还款，我说晚上7点左右下班处理，催收直接说不行，开始走爆通讯录程序，牛啊，我等着，你爆一个还一分算我输，盗取个人资料，亵渎国家法律。</t>
  </si>
  <si>
    <t>支付宝打骚扰电话给联系人</t>
  </si>
  <si>
    <t>http://ts.21cn.com/tousu/show/id/1371756</t>
  </si>
  <si>
    <t>2019/10/18 15:22:40</t>
  </si>
  <si>
    <t>投诉人 吴先生        投诉对象  支付宝        涉诉金额  4 800 元    问题类型    诉求类型投诉详情  支付宝杭州电话打骚扰电话给联系人。说我欠他们七千多块钱！</t>
  </si>
  <si>
    <t>高利贷，利率不符合国家标准，砍头息暴力催收</t>
  </si>
  <si>
    <t>http://ts.21cn.com/tousu/show/id/1371755</t>
  </si>
  <si>
    <t>2019/10/18 15:22:11</t>
  </si>
  <si>
    <t>借款1500，砍头息，到手1300，一天逾期15，不符合国家相关规定，客服不接受协商，不肯减免逾期费。</t>
  </si>
  <si>
    <t>美利车金融恶意骚扰非借款人本人</t>
  </si>
  <si>
    <t>http://ts.21cn.com/tousu/show/id/1371754</t>
  </si>
  <si>
    <t>2019/10/18 15:22:06</t>
  </si>
  <si>
    <t>有不明人士，打着美利车金融催款的名义，恶意骚扰借款人，进行电话轰炸，上传的通话记录仅为一个电话的截图，催款人员通过非法渠道获取借款人本人和紧急联系人以外的非联系人的同村人员的联系方式，并且认为自己的做法完全是正确的，不犯法不违规，同时，催款人员通过非法渠道，获取借款人本人和紧急联系人以外的非联系人的同村人员的联系方式，并且认为自己的做法完全是正确的，不犯法不违规，请问你一个来路不明的人士，以哪条法律条款作为依据，可以去恶意调查并获得借款人的人际关系及电话，这其中是否涉及了入侵户籍系统或通信网络公司的系统获得</t>
  </si>
  <si>
    <t>天猫平台假冒硅胶保护套</t>
  </si>
  <si>
    <t>http://ts.21cn.com/tousu/show/id/1371753</t>
  </si>
  <si>
    <t>2019/10/18 15:21:41</t>
  </si>
  <si>
    <t>在天猫平台购买硅胶手机保护套看中一家不错就购买了没想到收到竟然是塑料材质的保护套去天猫投诉维权，天猫驳回请求，说是投诉不成立。</t>
  </si>
  <si>
    <t>网络借贷误导性虚假信息</t>
  </si>
  <si>
    <t>http://ts.21cn.com/tousu/show/id/1371752</t>
  </si>
  <si>
    <t>2019/10/18 15:21:28</t>
  </si>
  <si>
    <t>好分期在放款前未披露借款合同，也均未披露具体放款机构信息，直到放款后好分期借钱也未披露借款合同，借款时显示每月等额还款，到还款日发现提前三期大量还款，后面九期还864，跟他们客服拿借款合同，他们不仅不提供，说借款时有提示，但这笔放款当初是直接进账的，跟他们协商提前全部还款，他们要求我按APP全部归还，不允许提前结清，也就是8792元，实际到账6500分了12期，现在刚到第二期我协商提前还款，他们不同意还要求我连本带利还8792，而且这个利息也是不符合法律法规，这种情况应该怎么解决。</t>
  </si>
  <si>
    <t>交通银行活动不兑现</t>
  </si>
  <si>
    <t>http://ts.21cn.com/tousu/show/id/1371751</t>
  </si>
  <si>
    <t>2019/10/18 15:21:12</t>
  </si>
  <si>
    <t>投诉人 王女士        投诉对象  交通银行        涉诉金额  66 元    问题类型    诉求类型投诉详情  交通银行苏宁，66元兑换券活动 我明明已经全部提交好 也银期转账成功了 但是奖励一直未到 然后显示未通过 没有银期转账。我这有当时转账完的时间截图 看下时间 多次联系客服。客服也不给个明确答复 一直就让我自己关注关注 我要知道什么情况我还用咨询？希望尽快给我兑现活动谢谢</t>
  </si>
  <si>
    <t>捷信金融骚扰，高利贷</t>
  </si>
  <si>
    <t>http://ts.21cn.com/tousu/show/id/1371748</t>
  </si>
  <si>
    <t>2019/10/18 15:20:55</t>
  </si>
  <si>
    <t>本人与2017年9月份在捷信借款12000整目前已还款24期每期大概766已还24期。</t>
  </si>
  <si>
    <t>平安信用卡暴力催收</t>
  </si>
  <si>
    <t>http://ts.21cn.com/tousu/show/id/1371749</t>
  </si>
  <si>
    <t>第三方不当催收，上门催收，电话误导，人格侮辱，要求和银行人员沟通未果，第三方电话号码075566832358。</t>
  </si>
  <si>
    <t>艺龙网坑消费者</t>
  </si>
  <si>
    <t>http://ts.21cn.com/tousu/show/id/1371476</t>
  </si>
  <si>
    <t>2019/10/18 15:20:53</t>
  </si>
  <si>
    <t>上个月我打电话询问艺龙的客服怎么购买贵就赔，她说不用买，在艺龙平台消费存在价格差，可以退款，今天价格真降下来，我申请退款，艺龙的工作人员竟和我扯皮，不承认。</t>
  </si>
  <si>
    <t>714高炮砍头息</t>
  </si>
  <si>
    <t>http://ts.21cn.com/tousu/show/id/1371747</t>
  </si>
  <si>
    <t>2019/10/18 15:20:06</t>
  </si>
  <si>
    <t>元，4天时间要求实际还款3500，砍头息，套路贷！。</t>
  </si>
  <si>
    <t>我来贷高利贷</t>
  </si>
  <si>
    <t>http://ts.21cn.com/tousu/show/id/1371745</t>
  </si>
  <si>
    <t>2019/10/18 15:19:28</t>
  </si>
  <si>
    <t>首先申请了，我来贷18000，分12个月还款，每个月还款都是2039.94.没有逾期，一直按时还款，但是2039.94×12＝24479.28，我的需求，我要求处理这种平台，而且，之前我也看过提前还款，并没有利息减少，我只剩最后一次还款，我要求处理销账，金额我要求不还，因为2039.94×11＝22439.34试问，我已经还了多少了。</t>
  </si>
  <si>
    <t>华夏信财花财客服态度恶劣，没到还款日就扣款</t>
  </si>
  <si>
    <t>http://ts.21cn.com/tousu/show/id/1371746</t>
  </si>
  <si>
    <t>2019/10/18 15:19:25</t>
  </si>
  <si>
    <t>投诉人张女士投诉对象花财涉诉金额10000元问题类型诉求类型投诉详情20号的还款日16日就扣款了打客服电话一直打不通打的花财客服接线员态度恶劣解释不清楚问题让他们对多收的这四天的利息做出解释客服说不清并明确告诉我退不了，想问一下凭什么不给我退凭什么多收我得利息！而且一到还款日前一周各种骚扰电话提醒还款，本人并未逾期且主动还款我已把和客服通话过程录音了如有需要可以联系我随时准备发送。</t>
  </si>
  <si>
    <t>高利贷，套路贷</t>
  </si>
  <si>
    <t>http://ts.21cn.com/tousu/show/id/1371744</t>
  </si>
  <si>
    <t>2019/10/18 15:19:10</t>
  </si>
  <si>
    <t>我在9月底的时候，曾通过助力钱包在神马借借款3000，可是实际到账只有2625，我已经还了3期了，每期还款896，每8天为一个周期，3期一共是2688，可是第四期的时候根本就没办法还，而且按照国家规定法律36%合法的，受法律保护的，我这个前三期已经还完了，如果说不提供结清证明，我这边会选择举报，并且进行报警，现在扫黑除恶这么严打的情况下，还存在这种高炮，高利贷，根本就没有把国家的权利，国家的威严放在眼里，而且今天打电话给我说需要再还200多块钱给他们，给我结清，是个上海的电话号码，我也不敢转，不确定是不是他</t>
  </si>
  <si>
    <t>淘宝商户未发货，淘宝客服不处理推卸责任</t>
  </si>
  <si>
    <t>http://ts.21cn.com/tousu/show/id/1371743</t>
  </si>
  <si>
    <t>2019/10/18 15:19:07</t>
  </si>
  <si>
    <t>9月28日发货，但物流状态迟迟没有更新，10月2日联系卖家无回复，联系客服小蜜，小蜜程他们是前台类工作，并无处理，10月3日联系物流，物流说卖家在9月28日追回快件，之后卖家回复说快件遗失了，让我退款处理！之后又说快件被退回到卖家了，没什么谈的，让我走流程！10月5日投诉，投诉后页面提示3个工作日处理，但迟迟没有处理结果，后拨打淘宝消费者热线相关客服多次推脱不处理任何问题，同时告知处理时间是3个工作日，之后是3—5个工作日，在之后是4—6个工作日，相关录音本人已经存档，根据本情况特做出如下诉求：1、就投诉时</t>
  </si>
  <si>
    <t>阿里巴巴淘宝网盗取个人信息，骚扰电话甚至是不认识的人</t>
  </si>
  <si>
    <t>http://ts.21cn.com/tousu/show/id/1371741</t>
  </si>
  <si>
    <t>2019/10/18 15:18:55</t>
  </si>
  <si>
    <t>淘宝花呗恶意盗取我的购物信息，给我只是帮忙的根本不认识的人打骚扰电话，恶意骚扰别人，要求立刻停止骚扰，联系我本人进行分期还款协商！。</t>
  </si>
  <si>
    <t>上海造艺网络技术有限公司</t>
  </si>
  <si>
    <t>http://ts.21cn.com/tousu/show/id/1371742</t>
  </si>
  <si>
    <t>2019/10/18 15:18:44</t>
  </si>
  <si>
    <t>在我不知情的情况下免密扣除我银行卡里的299元。</t>
  </si>
  <si>
    <t>泄露个人通讯录暴力催收</t>
  </si>
  <si>
    <t>http://ts.21cn.com/tousu/show/id/1371740</t>
  </si>
  <si>
    <t>2019/10/18 15:18:18</t>
  </si>
  <si>
    <t>恶意暴力催收，和泄露我个人通讯，浦发信用卡一天电话不下上百个，对我家人生活严重产生了不良。</t>
  </si>
  <si>
    <t>知名企业无视监管强制捆绑保险</t>
  </si>
  <si>
    <t>http://ts.21cn.com/tousu/show/id/1371444</t>
  </si>
  <si>
    <t>2019/10/18 15:17:39</t>
  </si>
  <si>
    <t>投诉人许先生投诉对象光大银行,平安普惠,平安保险集团涉诉金额7800元问题类型诉求类型投诉详情本人之前在平安普惠上分别申请两笔现金分期借款，分别为7800和2500，分别20期还款，放款方为光大银行和普惠小贷，放款下来强制购买保险，本人对于这份保险毫不知情，保险公司也没有短信或者纸质告知我何时何地买了保险，保险也没有我签名，依据：中国银监会《关于整治银行业金融机构不规范经营的通知》第一款第五条：不得借贷搭售，《中国人民银行金融消费者权益保护实施办法》，第二十条金融机构在提供金融产品和服务的过程中，不得通过附</t>
  </si>
  <si>
    <t>没有借款，说我在他们平台借款</t>
  </si>
  <si>
    <t>http://ts.21cn.com/tousu/show/id/1371739</t>
  </si>
  <si>
    <t>2019/10/18 15:17:23</t>
  </si>
  <si>
    <t>明明没有借款，说我在他们平台借款，还说等着上门催收，那个app我都不懂有。</t>
  </si>
  <si>
    <t>联想商城退货迟迟不退款</t>
  </si>
  <si>
    <t>http://ts.21cn.com/tousu/show/id/1371738</t>
  </si>
  <si>
    <t>2019/10/18 15:16:52</t>
  </si>
  <si>
    <t>你好，2019年10月10日在联想商城上购买两台联想MIXX520，因发货的原因，故而取消订单，订单取消流程也在2019年10月11日通过短信告知审核通过，也多次和联想售后客服沟通，迟迟没有给出最终退款时间，商品都没有发出，从10月10号取消订单，到现在的10月18号，退款依然没有收到，这么大的一家企业，居然迟迟霸占着客户的款不退，催三催四，售后客户依然没有给出最终退款时间。</t>
  </si>
  <si>
    <t>由于公司工资晚发两天，请求好分期给予推迟两天的还款时间</t>
  </si>
  <si>
    <t>http://ts.21cn.com/tousu/show/id/1371737</t>
  </si>
  <si>
    <t>2019/10/18 15:16:33</t>
  </si>
  <si>
    <t>由于公司工资晚发两天，请求好分期停止电话骚扰，给予本人两天时间，21号那天会一定还款，逾期费用本人愿意承担，请不要电话骚扰或爆通讯录！。</t>
  </si>
  <si>
    <t>拉卡拉扣留资金</t>
  </si>
  <si>
    <t>http://ts.21cn.com/tousu/show/id/1371735</t>
  </si>
  <si>
    <t>2019/10/18 15:16:31</t>
  </si>
  <si>
    <t>投诉人 胡先生        投诉对象  拉卡拉        涉诉金额  2 520 元    问题类型    诉求类型投诉详情  扫码收款资金被拉卡拉商户通冻结不结算到账</t>
  </si>
  <si>
    <t>和信贷踏实赚退出缓慢</t>
  </si>
  <si>
    <t>http://ts.21cn.com/tousu/show/id/1371734</t>
  </si>
  <si>
    <t>2019/10/18 15:16:24</t>
  </si>
  <si>
    <t>11月5日到期，至今未退出成功，拖期将近一年，期间多次咨询客服，客服以市场大环境不好为由一再推诿，出借前，平台宣传到期日5工作日内退出，可现在已经拖期一年，恳求聚投诉协调解决，谢谢。</t>
  </si>
  <si>
    <t>个人信息泄露被网贷平台暴力催收</t>
  </si>
  <si>
    <t>http://ts.21cn.com/tousu/show/id/1371736</t>
  </si>
  <si>
    <t>2019/10/18 15:16:19</t>
  </si>
  <si>
    <t>在本人不知情的情况下身份信息泄露，有多个网贷平台暴力催收威胁和辱骂骚扰其本人和家人，给本人造成了很大的影响，导致精神崩溃和生活无望，已报警！。</t>
  </si>
  <si>
    <t>强制性消费</t>
  </si>
  <si>
    <t>http://ts.21cn.com/tousu/show/id/1371732</t>
  </si>
  <si>
    <t>2019/10/18 15:16:13</t>
  </si>
  <si>
    <t>投诉人 李先生        投诉对象  捷信金融        涉诉金额  20 000 元    问题类型    诉求类型投诉详情  贷款要先收工本费才能提现 然后不提现说贷款任然生效拿不到本金</t>
  </si>
  <si>
    <t>http://ts.21cn.com/tousu/show/id/1371733</t>
  </si>
  <si>
    <t>2019/10/18 15:16:03</t>
  </si>
  <si>
    <t>本人因资金问题导致马上消费金融安逸花逾期第二天，催收人员多次联系，我均表示会尽快想办法还款，积极处理，但是今天催收人员直接威胁不还款就要转交高催部门，联系家人和工作单位，在我接电话并且表示了还款意愿的情况下，这种行为是否已经涉及到了暴力催收，并且只是逾期第二天而已。</t>
  </si>
  <si>
    <t>贷款公司爆联系人通讯录，骚扰让朋友还钱</t>
  </si>
  <si>
    <t>http://ts.21cn.com/tousu/show/id/1370126</t>
  </si>
  <si>
    <t>2019/10/18 15:15:55</t>
  </si>
  <si>
    <t>京东金融催收人员骚扰我家人</t>
  </si>
  <si>
    <t>http://ts.21cn.com/tousu/show/id/1371731</t>
  </si>
  <si>
    <t>2019/10/18 15:15:54</t>
  </si>
  <si>
    <t>在我手机能打通的情况下还拨打我家人手机号骚扰。</t>
  </si>
  <si>
    <t>遵义市湘江投资公司卖房多次延期不交房</t>
  </si>
  <si>
    <t>http://ts.21cn.com/tousu/show/id/1371730</t>
  </si>
  <si>
    <t>2019/10/18 15:15:10</t>
  </si>
  <si>
    <t>4月30日前交房，签订购房合同和办理银行按揭，多次协商未妥善处理！</t>
  </si>
  <si>
    <t>http://ts.21cn.com/tousu/show/id/1371729</t>
  </si>
  <si>
    <t>2019/10/18 15:15:06</t>
  </si>
  <si>
    <t>小象优品高利贷，非法盗取他人通讯录拨打并使，要求其道歉并对使用他人通讯录的行为作出解释。</t>
  </si>
  <si>
    <t>豆豆钱恶意，威胁</t>
  </si>
  <si>
    <t>http://ts.21cn.com/tousu/show/id/1371726</t>
  </si>
  <si>
    <t>2019/10/18 15:14:14</t>
  </si>
  <si>
    <t>之前以中信银行名义发送短信催收，现在打电话，直接问你是否拒绝还款，威胁说我们要怎样怎样，，没意思，你该怎样怎样，我可没有恶意不还。</t>
  </si>
  <si>
    <t>轻周转，芒果筹高利贷，套路贷高额逾期费用</t>
  </si>
  <si>
    <t>http://ts.21cn.com/tousu/show/id/1371727</t>
  </si>
  <si>
    <t>2019/10/18 15:14:01</t>
  </si>
  <si>
    <t>后来app开始无法正常还款，卡里有钱不扣款，联系不到客服，已经偿还了前两期，一共2044.8元，本人与平台协商还剩余800元本金。</t>
  </si>
  <si>
    <t>第三方上门威胁家人</t>
  </si>
  <si>
    <t>http://ts.21cn.com/tousu/show/id/1371723</t>
  </si>
  <si>
    <t>2019/10/18 15:13:13</t>
  </si>
  <si>
    <t>投诉人 卢平先生        投诉对象  拍拍贷        涉诉金额  1 000 元    问题类型    诉求类型投诉详情  如图片所示 拍拍贷威胁上门利用不法手段进行催收 影响家人正常生活</t>
  </si>
  <si>
    <t>闪电暴力催收，推卸责任！</t>
  </si>
  <si>
    <t>http://ts.21cn.com/tousu/show/id/1371722</t>
  </si>
  <si>
    <t>2019/10/18 15:12:36</t>
  </si>
  <si>
    <t>闪电借款！之前还款的时候承诺好的！不会在暴力催收！也不会在打电话催收！什么时候自己方便了，主动还款！中间有两个催收来过两次电话，没有暴力，也没威胁！今天下午一个催收人员威胁恐吓，又是去法院，又是找第三方爆通讯录，又是找人上门催收的，又是啥的！在这恐吓我！我也是咨询过律师的，不是不懂法的，真不愿意跟她争论！他这种违法威胁恐吓行为！还有他这种推卸责任的行为，说是之前承诺我的那个客服是刚来的，真可笑，之前那个女的通话录音我都留着呢，是我在聚投诉上投诉以后，这个主动联系的我，我都录音了，还有之前很所有的客服我都录过</t>
  </si>
  <si>
    <t>暴力催收，不听人话</t>
  </si>
  <si>
    <t>http://ts.21cn.com/tousu/show/id/1371721</t>
  </si>
  <si>
    <t>2019/10/18 15:12:21</t>
  </si>
  <si>
    <t>这笔金额逾期三天，我等催收来电话，本先说好五点还，但催收在电话威胁，把我的通讯录名字都点了一遍，扬言三点不还后果自负，后一点多，我想找其协商延期，又是一顿爆通讯录的威胁，我扬言要投诉就挂了他的电话，他还用座机跟手机分别给我打了七八个电话，态度极其恶劣。</t>
  </si>
  <si>
    <t>结清证明迟迟不给</t>
  </si>
  <si>
    <t>http://ts.21cn.com/tousu/show/id/1371720</t>
  </si>
  <si>
    <t>2019/10/18 15:11:56</t>
  </si>
  <si>
    <t>买房办房贷需要结清证明，半个月多了，还不给，房贷因为这个办不下来。</t>
  </si>
  <si>
    <t>上海喆迁搬场服务有限公司强制收取高额人工费用且拒不开票</t>
  </si>
  <si>
    <t>http://ts.21cn.com/tousu/show/id/1371719</t>
  </si>
  <si>
    <t>2019/10/18 15:11:46</t>
  </si>
  <si>
    <t>2019.09.27日本人于大众点评上找到上海喆迁搬场服务有限公司进行搬场服务，大众点评上团购价格是1人150/小时，我请了两位工人进行搬场，耗时一共是45分钟，搬好后，被工人告知2小时起搬，强制收取每人300元费用，最低两小时起搬的要求并未提前告知，大众点评上也并有任何相关的提示，还要求必须只能付现，不能通过大众点评网团购的价格进行交易！！问对方索取发票，被告知需要收取百分之六的税点，到最后没办法让工人手写了个收据，详情见附图。</t>
  </si>
  <si>
    <t>在试用期期间提出离职，公司直属主管不批准，让我自己旷工离职。</t>
  </si>
  <si>
    <t>http://ts.21cn.com/tousu/show/id/1371718</t>
  </si>
  <si>
    <t>2019/10/18 15:11:40</t>
  </si>
  <si>
    <t>.我在八月1号入职华拓金服昆山花桥分公司，因为团队流失非常严重，已经无法控制，自己的收入也得不到保证，提出离职，上级不批准，让我旷工离职，我看了公司制度，关于试用期员工离职，只需要提前一周或者三天报备就可以，我的直属上级不同意，给我灌输各种思想，最后说让我旷工离职。</t>
  </si>
  <si>
    <t>聚福钱包未经许可想私自扣费</t>
  </si>
  <si>
    <t>http://ts.21cn.com/tousu/show/id/1371717</t>
  </si>
  <si>
    <t>2019/10/18 15:11:24</t>
  </si>
  <si>
    <t>聚福钱包打着可以在他们APP申请借款的名义，让我注册填资料提交上去，前面根本没有说清楚需要扣费299元，我提交资料后才显示订单需要扣费299元，因为我银行卡没有足够的金额，所以他们扣费不了，但是订单一直还在，一直处于待扣费状态，只要一存钱进去银行卡就会扣除我299元，而且那个生成的订单报告根本没用的，我也没有用过，也没有在他们推荐的平台借款，我多次打电话到聚福钱包客户沟通，希望他们取消我的订单不要扣费，前后打了四五次，前面三次都说三天内一定给我解决，会有人给我打电话的，结果二个多月了，到今天为止一直没下文，</t>
  </si>
  <si>
    <t>百度有钱花</t>
  </si>
  <si>
    <t>http://ts.21cn.com/tousu/show/id/1371716</t>
  </si>
  <si>
    <t>2019/10/18 15:11:06</t>
  </si>
  <si>
    <t>今年在百度有钱花借了3000，现在已还清4期，第5期由于资金紧张，不能及时还款，导致逾期，今天是第四天，对方打电话告知让我今天下午之前必须处理掉，如果不处理，就会与我的通讯录联系人联系，本想与对方协商归还日期，但是对方不予理睬就直接挂了电话，逾期是我的问题，但我也没有说赖着不还款，所以，我希望协商，并且不要骚扰我的家人，我的事情，我自己处理。</t>
  </si>
  <si>
    <t>没借款合同催收款</t>
  </si>
  <si>
    <t>http://ts.21cn.com/tousu/show/id/1371715</t>
  </si>
  <si>
    <t>2019/10/18 15:11:03</t>
  </si>
  <si>
    <t>投诉人 石航铭        投诉对象  闪电公积金        涉诉金额  18 000 元    问题类型    诉求类型投诉详情  闪电公积金里面的一款产品 闪电快贷 借款18000 还款26000 而且还没有借款合同。现在客户电话都打不进，只有无尽的骚扰电话。</t>
  </si>
  <si>
    <t>不当催收</t>
  </si>
  <si>
    <t>http://ts.21cn.com/tousu/show/id/1371713</t>
  </si>
  <si>
    <t>2019/10/18 15:10:58</t>
  </si>
  <si>
    <t>投诉人 牛先生        投诉对象  光大银行信用卡中心,光大银行        涉诉金额  0 元    问题类型    诉求类型投诉详情  正经的银行催收就这样？看不起人？需要给我个合理的解释。</t>
  </si>
  <si>
    <t>投诉网贷平台</t>
  </si>
  <si>
    <t>http://ts.21cn.com/tousu/show/id/1371712</t>
  </si>
  <si>
    <t>2019/10/18 15:10:29</t>
  </si>
  <si>
    <t>我要投诉拍拍贷，暴力催收，违规操作，侵犯我的隐私，，天天骚扰电话，还骚扰我的家人，要求停止催收，违规操作查到我的通讯录来骚扰到我的家人，朋友。</t>
  </si>
  <si>
    <t>乱爆通讯录</t>
  </si>
  <si>
    <t>http://ts.21cn.com/tousu/show/id/1371711</t>
  </si>
  <si>
    <t>2019/10/18 15:10:02</t>
  </si>
  <si>
    <t>中腾信协商还款，不停爆通讯录，告知第三方欠款信息。</t>
  </si>
  <si>
    <t>http://ts.21cn.com/tousu/show/id/1371709</t>
  </si>
  <si>
    <t>2019/10/18 15:08:59</t>
  </si>
  <si>
    <t>剩余最后2期，已于9月份达成还款协议，一直到现在未有还款协商负责人联系本人。</t>
  </si>
  <si>
    <t>泄露个人隐私权</t>
  </si>
  <si>
    <t>http://ts.21cn.com/tousu/show/id/1371708</t>
  </si>
  <si>
    <t>2019/10/18 15:08:13</t>
  </si>
  <si>
    <t>本人能联系的到，去骚扰我的家人朋友，泄露我个人隐私。</t>
  </si>
  <si>
    <t>拼多多恶意扣区费用不发货</t>
  </si>
  <si>
    <t>http://ts.21cn.com/tousu/show/id/1371707</t>
  </si>
  <si>
    <t>2019/10/18 15:08:04</t>
  </si>
  <si>
    <t>拼多多被恶意扣款，通过链接付款了，未收到货，平台说我是*的，登陆原账号申请退款，我是链接点开付的，不知情的情况付款的，然后我点开拼多多APP看不到订单，拼多多专人回复，表示无法处理，当时看到是拼多多，就没有多想，致电快20次了，客服人员一味的说反馈给专员处理，结果根本得不到处理，客服只会拖延时间，试问这样处理订单，今后谁敢在拼多多下单了，处理订单需要好几天，，只有三个结论拼多多没有专员处理，拼多多不会处理问题，拼多多就是*，一旦收货就不会再管了 这一点我个人的观点是淘宝，京东做得非常好，就算确认收货，也有1</t>
  </si>
  <si>
    <t>http://ts.21cn.com/tousu/show/id/1371705</t>
  </si>
  <si>
    <t>2019/10/18 15:07:42</t>
  </si>
  <si>
    <t>借款8000元，合同10880元，已还1814.24，现在还要还10029元，现在我愿意承担本金和利息，其他多出来的2290元不知道是哪里来的服务费。</t>
  </si>
  <si>
    <t>花薪催收一直打电话骚扰我的家人</t>
  </si>
  <si>
    <t>http://ts.21cn.com/tousu/show/id/1371706</t>
  </si>
  <si>
    <t>投诉人 周勇        投诉对象  花薪闪借        涉诉金额  3 226 元    问题类型    诉求类型投诉详情  花薪这个高利贷你们都不管的吗。而且催收一直恐吓骚扰发短信给我的家人</t>
  </si>
  <si>
    <t>支付宝恶意限制余利宝使用功能</t>
  </si>
  <si>
    <t>http://ts.21cn.com/tousu/show/id/1371703</t>
  </si>
  <si>
    <t>2019/10/18 15:06:39</t>
  </si>
  <si>
    <t>投诉人陈先生投诉对象支付宝涉诉金额0元问题类型诉求类型投诉详情支付宝莫名其妙限制了本人余利宝的使用！也限制了本人账户收款问题！本人曾多次打电话给支付宝官方始终联系不上客服人员也在支付宝APP上进行反馈一直没有得到处理麻烦官方帮忙联系支付宝工作人员进行核实处理。</t>
  </si>
  <si>
    <t>电话骚扰短信骚扰</t>
  </si>
  <si>
    <t>http://ts.21cn.com/tousu/show/id/1371704</t>
  </si>
  <si>
    <t>2019/10/18 15:06:34</t>
  </si>
  <si>
    <t>投诉人 胥先生        投诉对象  嗨钱网,松紧贷,翼支付        涉诉金额  5 000 元    问题类型    诉求类型投诉详情  停止暴力骚扰，暴力短信，以及骚扰周边朋友</t>
  </si>
  <si>
    <t>聚富分期伪装成贷款中介平台，未撮合业务成功，就私自扣用户卡里的钱。</t>
  </si>
  <si>
    <t>http://ts.21cn.com/tousu/show/id/1371701</t>
  </si>
  <si>
    <t>2019/10/18 15:05:45</t>
  </si>
  <si>
    <t>聚富分期伪装成中介平台，为撮合借款成功就私自扣用户卡里的钱，且签约的支付平台频繁在卡里面自动扣款。</t>
  </si>
  <si>
    <t>创客软件达标我微信</t>
  </si>
  <si>
    <t>http://ts.21cn.com/tousu/show/id/1371700</t>
  </si>
  <si>
    <t>2019/10/18 15:05:26</t>
  </si>
  <si>
    <t>投诉人孙女士投诉对象创客工具箱涉诉金额0元问题类型诉求类型投诉详情无缘无故被创客达标成骗子，严重影响我的日常生活！希望尽快解决。</t>
  </si>
  <si>
    <t>http://ts.21cn.com/tousu/show/id/1371699</t>
  </si>
  <si>
    <t>2019/10/18 15:05:05</t>
  </si>
  <si>
    <t>投诉人 程女士        投诉对象  领分期        涉诉金额  6 711 元    问题类型    诉求类型投诉详情  要求协商处理，利息太高应该有所减免。请尽快处理</t>
  </si>
  <si>
    <t>及贷收取高额信息费</t>
  </si>
  <si>
    <t>http://ts.21cn.com/tousu/show/id/1371697</t>
  </si>
  <si>
    <t>2019/10/18 15:05:00</t>
  </si>
  <si>
    <t>我一共在及贷借了32000元，但是每个月要多交900多元的信息费。</t>
  </si>
  <si>
    <t>大庆语诗铭科技公司乱扣款，助力钱包</t>
  </si>
  <si>
    <t>http://ts.21cn.com/tousu/show/id/1371695</t>
  </si>
  <si>
    <t>2019/10/18 15:04:59</t>
  </si>
  <si>
    <t>投诉人 张陶        投诉对象  大庆语诗铭科技有限公司，助力钱包        涉诉金额  132 元    问题类型    诉求类型投诉详情  退款，解除快捷支付，进行道歉。请尽快解决问题，</t>
  </si>
  <si>
    <t>钱站砍头息，高利贷，未解决还申请结案</t>
  </si>
  <si>
    <t>http://ts.21cn.com/tousu/show/id/1286304</t>
  </si>
  <si>
    <t>2019/10/18 15:04:38</t>
  </si>
  <si>
    <t>投诉人符女士投诉对象爱钱进,钱站,快钱支付涉诉金额31595元问题类型诉求类型投诉详情2017在凡普金科集团旗下钱站app申请一笔20000元借款，当天夜间本人工商账户收到22400元入账，随即手机短信提示钱站要扣除2400作为第一笔服务费，快钱支付第三方非法盗取本人账户信息从入账到扣除砍头息2400元，前后不足5分钟！这属于套路贷中的制造银行资金走账流水，利用合法途径掩盖不合法行为！&amp;lt;br&amp;gt;下款后，app内的电子合同显示本人借款本金为22400元，本人申请的是20000元，实际可用金额也是20</t>
  </si>
  <si>
    <t>http://ts.21cn.com/tousu/show/id/1371694</t>
  </si>
  <si>
    <t>2019/10/18 15:04:37</t>
  </si>
  <si>
    <t>你们招联金融的催款是真的厉害，一天能打10几个电话，给你们说了现在的情况了现在没有，要到月底！你们厉害也爆我通讯录是吧，说了你们没有权利去骚扰我的亲戚朋友，这是犯法的！再有朋友告诉我他们被骚扰我就报警。</t>
  </si>
  <si>
    <t>2345随心借高利贷，暴力催收，恶意扣款</t>
  </si>
  <si>
    <t>http://ts.21cn.com/tousu/show/id/1371693</t>
  </si>
  <si>
    <t>2019/10/18 15:04:27</t>
  </si>
  <si>
    <t>2019年2月22在随心借借了2700元，砍头息355元，实际到账2345元，由于之前逾期一天，2345就开始暴力催收，轰炸我通讯录，弄得我名誉扫地，而后我就干脆不还了，从那时到现在，2345不断对银行卡发起扣款，给他们客服打电话，说是利息加上逾期费用占了2160元，我总共就借了2345元，逾期费用2160元，超级高利贷。</t>
  </si>
  <si>
    <t>客服态度强硬，不接受协商</t>
  </si>
  <si>
    <t>http://ts.21cn.com/tousu/show/id/1371692</t>
  </si>
  <si>
    <t>2019/10/18 15:04:17</t>
  </si>
  <si>
    <t>个人表示有还款意愿，客服态度强硬，不接受任何协商，威胁爆通讯录，逾期费用过高，为什么有管理费，而不是正常罚息。</t>
  </si>
  <si>
    <t>逾期一天，不停的骚扰朋友同事</t>
  </si>
  <si>
    <t>http://ts.21cn.com/tousu/show/id/1371691</t>
  </si>
  <si>
    <t>2019/10/18 15:04:10</t>
  </si>
  <si>
    <t>资金不足新橙优品逾期一天，打给我与朋友同事，不停的骚扰。</t>
  </si>
  <si>
    <t>套路贷提前结清被套路</t>
  </si>
  <si>
    <t>http://ts.21cn.com/tousu/show/id/1371689</t>
  </si>
  <si>
    <t>2019/10/18 15:03:52</t>
  </si>
  <si>
    <t>5月27日，本人在甘肃省庆阳市诺远普惠咨询有限公司庆阳公司贷款7万，于2018年5月29日分别收到49990元和20010元两笔借款，对方户名：天津融宝支付网络有限公司客户备付金，收款账户本人建行卡尾号1169.约定每月本息等额还款5484.89元/期共18期，因本人偿还13期后无能力偿还再加诺远公司催收对我及手机通讯录朋友骚扰，我和自称是诺远工作人员沟通提前还清借款，因为本人实在无法偿还最后偿还了17000元，最后收到诺远公司自称催收部主任的电话说这笔借款不算出还得继续还14000元才能结清。</t>
  </si>
  <si>
    <t>并未借款但是招联金融信息泄露，信息骚扰</t>
  </si>
  <si>
    <t>http://ts.21cn.com/tousu/show/id/1371690</t>
  </si>
  <si>
    <t>2019/10/18 15:03:50</t>
  </si>
  <si>
    <t>本人并未在招联金融上有借贷，但是连续多次收到招联金融IVR语音、人工座机电话、手机、微信、短信轰炸，说是别人逾期让我转告，但是这个别人我都不认识；招联金融作为一家消费金融公司存在严重的个人信息泄露、暴力催收现象，在本人并未有借贷情况下对本人多次骚扰对生活及工作造成严重困扰；请给出合理解释。</t>
  </si>
  <si>
    <t>百瑞赢虚假、诱导我交费，乱扣费，并且诱导我先撤诉再解决问题</t>
  </si>
  <si>
    <t>http://ts.21cn.com/tousu/show/id/1371687</t>
  </si>
  <si>
    <t>2019/10/18 15:02:59</t>
  </si>
  <si>
    <t>又一次的投诉，希望21cn聚投诉能够帮忙，之前我曾在2019年的9月12日投诉过江苏百瑞赢证券咨询有限公司，但是公司却诱导我先在21cn聚投诉上撤销投诉再给我解决退款问题，被诱导的我在未取得他们公司任何书面承诺的前提，同意了结案，但是公司却再次忽悠，告知我需要扣除30%的违约金，另加10%的研发费，还有我服务期2个月的费用，我的交费是68800元，在他们对我进行的服务期间，我并未通过他们赚到一分钱，甚至还亏损了几千元，该公司最终同意给我退款18347元，这不是抢钱是什么，我交了68800，一毛钱没赚，现在退</t>
  </si>
  <si>
    <t>卖家售假</t>
  </si>
  <si>
    <t>http://ts.21cn.com/tousu/show/id/1371688</t>
  </si>
  <si>
    <t>2019/10/18 15:02:53</t>
  </si>
  <si>
    <t>投诉人 杨先生        投诉对象  淘宝卖家毛毛熊代购        涉诉金额  568 元    问题类型    诉求类型投诉详情  做工粗糙 标签都是卡上去的 标签方向也是反的 而且标签剪得歪歪斜斜</t>
  </si>
  <si>
    <t>邮政储蓄银行信用卡逾期遭暴力催收</t>
  </si>
  <si>
    <t>http://ts.21cn.com/tousu/show/id/1371686</t>
  </si>
  <si>
    <t>2019/10/18 15:02:43</t>
  </si>
  <si>
    <t>本人因个人原因，无法按时履约信用卡还款业务，后主动联系该行信用卡中心电话，希望能协商还款，但是因无人工服务功能，后与催收人员取得联系，该行催收人员不问缘由，硬是要求还款，然后本人就答应尝试去向亲戚朋友借钱，但是没有借到，在我说明情况后，该催收人员还是不停的电话骚扰我，态度相当恶劣，该行的信用卡服务中心电话，无客服接听电话，无投诉之法，我希望与该银行工作人员直接联系联系，停止催收人员对我的骚扰。</t>
  </si>
  <si>
    <t>智享贷暴力催收</t>
  </si>
  <si>
    <t>http://ts.21cn.com/tousu/show/id/1371685</t>
  </si>
  <si>
    <t>2019/10/18 15:01:52</t>
  </si>
  <si>
    <t>借款2000完全没有如何提示的情况下砍头息到账300。</t>
  </si>
  <si>
    <t>骚扰通讯录</t>
  </si>
  <si>
    <t>http://ts.21cn.com/tousu/show/id/1371684</t>
  </si>
  <si>
    <t>2019/10/18 15:01:31</t>
  </si>
  <si>
    <t>投诉人叶女士投诉对象你我贷涉诉金额466元问题类型诉求类型投诉详情你我贷欠了一笔款，金额不多，但是已经无力还，讲明情况说宽限几天，工作人员就威胁说要打通讯录所以人电话。</t>
  </si>
  <si>
    <t>每日优鲜糊弄消费者</t>
  </si>
  <si>
    <t>http://ts.21cn.com/tousu/show/id/1371549</t>
  </si>
  <si>
    <t>2019/10/18 15:01:29</t>
  </si>
  <si>
    <t>我在10月13日上午10点40左右在每日优鲜购买商品，下订单后接近3个小时没有回应，订单一直显示打包中，我于下午13点左右拨打客服提醒，但是到下午18点以后才送到。</t>
  </si>
  <si>
    <t>钱站阴阳合同，砍头息，高利贷</t>
  </si>
  <si>
    <t>http://ts.21cn.com/tousu/show/id/1371682</t>
  </si>
  <si>
    <t>2019/10/18 15:01:23</t>
  </si>
  <si>
    <t>该公司在*借贷期间存在变相“砍头利”的行为，实际借款8000元，该公司放款后合同金额显示为10560元，实际到账金额8000元，最终还款金额11595元，实际利息为3595.6元，年化利息达到90.00%，严重违反国家规定的24%的借款利息，同时借款前显示利息“11%-26%左右，以实际发生为准”实际合同利息写到27.1993%，以违反国家固定的24%的利息上线，并且合同借款金额为10560元与实际发生到款借款不符，存在虚构阴阳合同。</t>
  </si>
  <si>
    <t>百行征信个人污点怎么来的？</t>
  </si>
  <si>
    <t>http://ts.21cn.com/tousu/show/id/1371681</t>
  </si>
  <si>
    <t>2019/10/18 15:01:20</t>
  </si>
  <si>
    <t>本人今日在做手机按揭的时候被告知百行征信有逾期污点，人行征信没有问题，本人网贷未记得有过逾期，作为信用守护的百行征信麻烦站出来给个理由，给个解释，我在哪个平台逾期过！。</t>
  </si>
  <si>
    <t>利息高强制购买保险不买就借不了钱</t>
  </si>
  <si>
    <t>http://ts.21cn.com/tousu/show/id/1371680</t>
  </si>
  <si>
    <t>2019/10/18 15:01:19</t>
  </si>
  <si>
    <t>利息超出国家规定最高利息百分之三十六达到百分之一百三。</t>
  </si>
  <si>
    <t>http://ts.21cn.com/tousu/show/id/1371683</t>
  </si>
  <si>
    <t>2019/10/18 15:01:14</t>
  </si>
  <si>
    <t>24期每期还款本金467，利息分期费用249，共计还款本金11208。</t>
  </si>
  <si>
    <t>微品分期砍头息，暴力催收</t>
  </si>
  <si>
    <t>http://ts.21cn.com/tousu/show/id/1371679</t>
  </si>
  <si>
    <t>2019/10/18 15:01:07</t>
  </si>
  <si>
    <t>砍头息，到账2300，需要还款2952，一个月期，各种电话骚扰我的亲戚朋友，同事，客户，诋毁我的声誉，严重影响我的生活，工作，请求严肃处理。</t>
  </si>
  <si>
    <t>没原因扣钱</t>
  </si>
  <si>
    <t>http://ts.21cn.com/tousu/show/id/1371678</t>
  </si>
  <si>
    <t>2019/10/18 15:00:48</t>
  </si>
  <si>
    <t>投诉人 王先生        投诉对象  饿了吗蜂鸟众包        涉诉金额  10 元    问题类型    诉求类型投诉详情  不明原因扣钱</t>
  </si>
  <si>
    <t>延期交房</t>
  </si>
  <si>
    <t>http://ts.21cn.com/tousu/show/id/1371677</t>
  </si>
  <si>
    <t>2019/10/18 14:59:52</t>
  </si>
  <si>
    <t>本人于2019年4月在湘江投资建设管理有限责任公司开发的舟水桥组团买的房说的是4月30号交房，一直到现在都没有交房，去找他们也说不出具体交房时间，我们这些业主也不知道怎么办。</t>
  </si>
  <si>
    <t>闪电借款暴力催收p图</t>
  </si>
  <si>
    <t>http://ts.21cn.com/tousu/show/id/1371676</t>
  </si>
  <si>
    <t>2019/10/18 14:59:49</t>
  </si>
  <si>
    <t>图，说那些恶心至极的话，导致名声受损，鱼肉百姓，无视国家政策。</t>
  </si>
  <si>
    <t>携程拿去花催收威胁要现实催收，协商还款不同意还款计划</t>
  </si>
  <si>
    <t>http://ts.21cn.com/tousu/show/id/1371675</t>
  </si>
  <si>
    <t>2019/10/18 14:59:39</t>
  </si>
  <si>
    <t>携程拿去花先是说走仲裁，之后个人没收到任何仲裁文件，拿去花单方面决定现实催收。</t>
  </si>
  <si>
    <t>暴力催收，恐吓导致家人病倒</t>
  </si>
  <si>
    <t>http://ts.21cn.com/tousu/show/id/1371634</t>
  </si>
  <si>
    <t>2019/10/18 14:59:33</t>
  </si>
  <si>
    <t>在小七钱包里申请，在未让我确认的情况下强行放款，借3500到账2100，期限5天，超级高利贷，到期当天就开始骚扰本人，群发通讯录，恐吓我的家人，导致我的家人住院，花费了高额的医疗费，涉及QQ806755017.3614912529.1069892305.。</t>
  </si>
  <si>
    <t>捷信消费金融公司乱发短信到通讯录</t>
  </si>
  <si>
    <t>http://ts.21cn.com/tousu/show/id/1371674</t>
  </si>
  <si>
    <t>2019/10/18 14:59:31</t>
  </si>
  <si>
    <t>投诉人 朱女士        投诉对象  捷信金融        涉诉金额  22 000 元    问题类型    诉求类型投诉详情  捷信金融公司 乱发短信到通讯录里 利息过高 借50000到手44000还差不多十万 现在已经还了70000多 现在还骚扰通讯录的人</t>
  </si>
  <si>
    <t>及时金委托托管方处理逾期问题</t>
  </si>
  <si>
    <t>http://ts.21cn.com/tousu/show/id/1371672</t>
  </si>
  <si>
    <t>2019/10/18 14:59:17</t>
  </si>
  <si>
    <t>及时金逾期处理，因上月打至父母处约定月底还款，还款日需要转至私人微信，现月底转至APP。</t>
  </si>
  <si>
    <t>快闪卡贷</t>
  </si>
  <si>
    <t>http://ts.21cn.com/tousu/show/id/1371673</t>
  </si>
  <si>
    <t>2019/10/18 14:59:11</t>
  </si>
  <si>
    <t>本人在快闪卡贷借款8000实际到账6600，以还一期1468元，本人当初还款是APP导致逾期，客服电话也打不通，也投诉过，也人工客服过，一直没有解决，今天专员加我微信，我说还到手本金销账，催收不同意，又开始骚扰，严重影响生活和工工作，希望快闪卡贷给个说话，要求还到手本金销账，做出赔偿本人在快闪卡贷借款8000实际到账6600，以还一期1468元，本人当初还款是APP导致逾期，客服电话也打不通，也投诉过，也人工客服过，一直没有解决，今天专员加我微信，我说还到手本金销账，催收不同意，又开始骚扰，严重影响生活和工</t>
  </si>
  <si>
    <t>360借条骚扰通讯录亲戚朋友</t>
  </si>
  <si>
    <t>http://ts.21cn.com/tousu/show/id/1371671</t>
  </si>
  <si>
    <t>2019/10/18 14:58:59</t>
  </si>
  <si>
    <t>是我借你们钱，你们催款的打我通讯录亲戚朋友是吧！我哪期逾期了，说了现在没有要到月底给你们，好这下好了你们牛逼！再有亲戚朋友给我电话说你们去骚扰他们我就报警了，你们这是犯法的，别说什么给我下通知了，你们没有权利去骚扰我的亲戚朋友！。</t>
  </si>
  <si>
    <t>被告知在陌生平台欠款逾期，被威胁爆通讯录</t>
  </si>
  <si>
    <t>http://ts.21cn.com/tousu/show/id/1371669</t>
  </si>
  <si>
    <t>2019/10/18 14:58:23</t>
  </si>
  <si>
    <t>接到陌生电话被告知在金鹰钱包欠款三千元已逾期。</t>
  </si>
  <si>
    <t>滴滴欺瞒司机</t>
  </si>
  <si>
    <t>http://ts.21cn.com/tousu/show/id/1371668</t>
  </si>
  <si>
    <t>2019/10/18 14:58:20</t>
  </si>
  <si>
    <t>我们作为快车司机每天给我们派几单，平均流水只有一百多，我们想要知道你们滴滴公司准备怎么解决派单不公平问题，请不要再敷衍我们，我们需要一个明确的答复和解决方案！。</t>
  </si>
  <si>
    <t>不给退学费，还要我继续支付</t>
  </si>
  <si>
    <t>http://ts.21cn.com/tousu/show/id/1371667</t>
  </si>
  <si>
    <t>2019/10/18 14:58:11</t>
  </si>
  <si>
    <t>我于9月13日通过微信宣传购买师大教育自考，费用为分12期付款11450元，在往后几天思考感觉不合适，于10月8日向班主任老师提出退费，停止分期订单请求，但老师一直是劝和态度，对于如何退费，一直未与正面回答，现在的态度依然是劝和，对于退费从不正面回答，现在订单已还1笔，对我造成损失，请求师大教育老师停止分期订单。</t>
  </si>
  <si>
    <t>建设银行信用卡逾期罚息与滞纳金</t>
  </si>
  <si>
    <t>http://ts.21cn.com/tousu/show/id/1371666</t>
  </si>
  <si>
    <t>2019/10/18 14:57:22</t>
  </si>
  <si>
    <t>投诉人韩先生投诉对象建设银行涉诉金额2400元问题类型诉求类型投诉详情与建行信用卡中心沟通信用卡逾期还款罚息与滞纳金退还事项后，接到建设银行为排第三方催收沟通，卡早已还清消卡，而且退还罚息与滞纳金因该是银行的问题为什么会涉及到第三方，请建设银行给出答复并将罚息退还，否则将继续与银监会进行投诉。</t>
  </si>
  <si>
    <t>请求分期免除利息</t>
  </si>
  <si>
    <t>http://ts.21cn.com/tousu/show/id/1371665</t>
  </si>
  <si>
    <t>2019/10/18 14:57:20</t>
  </si>
  <si>
    <t>家里孩子之前因为网贷高利贷喝药了，到现在还在病房家庭情况特殊我作为父母实在根本没办法，我有的就给，可是真没有，每天光病房药费上千，我跟第三方说了欠款就剩2000多了让我分期有多少我作为父母还多少，我说了不是不给要是有办法我早给了，请求协商还款分期处理，家里情绪都接近崩溃，现在给孩子看病都是四处凑，天天想办法，第三方联系不上孩子一直给家属打电话，怎么，0371开头的电话称第三方！还非找孩子爸说了没有你就是把家里催过来完这种情况也是没有，已经在想办法凑了，还要怎样。</t>
  </si>
  <si>
    <t>威胁恐吓我跟我朋友。</t>
  </si>
  <si>
    <t>http://ts.21cn.com/tousu/show/id/1371664</t>
  </si>
  <si>
    <t>2019/10/18 14:56:43</t>
  </si>
  <si>
    <t>给我朋友乱打电话，乱发信息，我今天也收到一条威胁恐吓呃呃信息，不过被我删除了，实在忍不了才来投诉，可以商量着还，是不是，威胁恐吓干啥呢，当聚投诉跟银监会是不存在的吗，严重影响到我的声誉以及我亲朋好友的隐私，请聚投诉严肃处理此事。</t>
  </si>
  <si>
    <t>投诉一款叫“约单”的手机APP</t>
  </si>
  <si>
    <t>http://ts.21cn.com/tousu/show/id/1371663</t>
  </si>
  <si>
    <t>2019/10/18 14:56:12</t>
  </si>
  <si>
    <t>里可以下载安装到手机，这是一款典型只能充值不能体现的号称可以约单赚钱的骗人软件，该软件使用时可充值，但是无提现功能，打客服提现表示3到7个工作日才到帐，提现到支付宝十分麻烦，还有扣很多手续费，50元扣了15服务费，10元还直接全扣了，要求全部返还费用。</t>
  </si>
  <si>
    <t>微信不能正常支付和提现，说涉嫌违规，把我支付账户永久冻结，查了一下原来是有人恶意投诉，凭什么无缘无故冻结我资金？</t>
  </si>
  <si>
    <t>http://ts.21cn.com/tousu/show/id/1371662</t>
  </si>
  <si>
    <t>2019/10/18 14:55:22</t>
  </si>
  <si>
    <t>投诉微信支付服务，不分青红皂白，不提示警告，随意冻结个人支付账户，申诉多次无果！导致资金周转不到位，造成利益损失巨大！。</t>
  </si>
  <si>
    <t>投诉融360违法收取砍头息，请求退砍头息</t>
  </si>
  <si>
    <t>http://ts.21cn.com/tousu/show/id/1371625</t>
  </si>
  <si>
    <t>2019/10/18 14:55:19</t>
  </si>
  <si>
    <t>投诉人李先生投诉对象融360涉诉金额2300元问题类型诉求类型投诉详情我于2017年-2018年在融360平台借过二十余次小贷，每次收取砍头息10%-15%，共计2300元以上，请融360平台退还违法砍头息。</t>
  </si>
  <si>
    <t>闪电借APP砍头息高利贷暴力催收骚扰</t>
  </si>
  <si>
    <t>http://ts.21cn.com/tousu/show/id/1371661</t>
  </si>
  <si>
    <t>2019/10/18 14:55:06</t>
  </si>
  <si>
    <t>5月16日因家中突发一些急事需要用钱，在没有过多考虑下在网上下载安装了闪电借这个借款的APP并申请了1600元额度，实际放款到账1120元，第7天还款1600元，之后因为困难办理过几次展期费用是480元到900元不等，随后几次还给提升了额度，一直深陷其中无法解决，最后6月15日一笔额度3000元，实际到账2100，后展期了两次收取了我1800元费用，实际上我已经还款给闪电借的金额早就远远超过了1120元，最后因为孩子看病眼睛需要做手术耽误了还款，之后闪电借有客服加我微信我也详细说明了情况，解释了从外地看病回</t>
  </si>
  <si>
    <t>网络兼职忽悠人</t>
  </si>
  <si>
    <t>http://ts.21cn.com/tousu/show/id/1371645</t>
  </si>
  <si>
    <t>2019/10/18 14:55:03</t>
  </si>
  <si>
    <t>投诉人贾女士投诉对象huide186,惠得客服涉诉金额2800元问题类型诉求类型投诉详情兼职忽悠人，付过钱就不给退了，根本就不像讲的那样，夸大虚假宣传。</t>
  </si>
  <si>
    <t>建设银行卡无故被壹钱包扣款500元</t>
  </si>
  <si>
    <t>http://ts.21cn.com/tousu/show/id/1371660</t>
  </si>
  <si>
    <t>2019/10/18 14:54:58</t>
  </si>
  <si>
    <t>银行卡在不知情的和无绑定的情况下被壹钱包无故扣款500元。</t>
  </si>
  <si>
    <t>马上金融安逸花</t>
  </si>
  <si>
    <t>http://ts.21cn.com/tousu/show/id/1371659</t>
  </si>
  <si>
    <t>2019/10/18 14:54:48</t>
  </si>
  <si>
    <t>涉诉金额25000元问题类型诉求类型投诉详情马上金融旗下产品安逸花，一直以来在平台借钱都没有预期！每次都是按时还款或者提前，但是近两个月还进去却借不出来！每次都提示综合评分不足！请问贵平台是以什么理由跟证据判定本人评分不足。</t>
  </si>
  <si>
    <t>上海翼勋暴力催收威胁恐吓</t>
  </si>
  <si>
    <t>http://ts.21cn.com/tousu/show/id/1371657</t>
  </si>
  <si>
    <t>2019/10/18 14:54:01</t>
  </si>
  <si>
    <t>上海翼勋暴力催收，辱骂，威胁恐吓，短信轰炸，威胁我的亲朋好友。</t>
  </si>
  <si>
    <t>拼多多不发货又不退款</t>
  </si>
  <si>
    <t>http://ts.21cn.com/tousu/show/id/1371658</t>
  </si>
  <si>
    <t>2019/10/18 14:53:57</t>
  </si>
  <si>
    <t>再拼多多平台购买六十平方人工草坪付款后一直不发货。</t>
  </si>
  <si>
    <t>暴力催收、恐吓、威胁上门</t>
  </si>
  <si>
    <t>http://ts.21cn.com/tousu/show/id/1371636</t>
  </si>
  <si>
    <t>2019/10/18 14:53:48</t>
  </si>
  <si>
    <t>投诉人李女士投诉对象福萝贝涉诉金额6000元问题类型诉求类型投诉详情对我自己手机和通讯录好友短信轰炸，爆通讯录，短信威胁恐吓，高利息，一直使用阴招，暴力催收，我就想知道是想催债还是催命呀，抖音上给我好友发送消息让我尽快还钱，威胁，骚扰，每次打电话态度都极其恶劣，我白天上班接不到电话就爆通讯录，都使用网络电话给我打电话，我都回不了电话，反过来说我诈骗，刚才打电话还扬言要来我这当面谈，说我不处理就让我侯哥帮着处理，赤裸裸的威胁我，说能查到我的住址，我借6000款钱，分6期，利息服务费就要还给他们2159元，还不</t>
  </si>
  <si>
    <t>闪银新至尊乱打通讯录电话、侵犯隐私</t>
  </si>
  <si>
    <t>http://ts.21cn.com/tousu/show/id/1371655</t>
  </si>
  <si>
    <t>2019/10/18 14:53:27</t>
  </si>
  <si>
    <t>投诉人王珍女士投诉对象Wecash闪银涉诉金额516元问题类型诉求类型投诉详情闪银里面的新至尊借款有砍头息，还到最后一期因私人原因暂时未能正常还款，于平台协商未果，今天闪银新至尊打了我通讯录联系人的电话，对我的家庭生活造成了极大地困扰，严重侵犯了我的隐私，请平台给与处理，让闪银的催收停止对我联系人和本人的骚扰，并对我们道歉。</t>
  </si>
  <si>
    <t>http://ts.21cn.com/tousu/show/id/1371656</t>
  </si>
  <si>
    <t>2019/10/18 14:53:18</t>
  </si>
  <si>
    <t>19号还款日，18号就开始打电话催收，联系不上我，就爆通讯录有病吧。</t>
  </si>
  <si>
    <t>完美证件照专业版随意扣款！</t>
  </si>
  <si>
    <t>http://ts.21cn.com/tousu/show/id/1371654</t>
  </si>
  <si>
    <t>2019/10/18 14:53:00</t>
  </si>
  <si>
    <t>本人今日看了一下支付宝，对对自己花了多少钱，结果莫名其妙的出现一笔证件照app的扣费，我是下载过这个软件，但是刚下载的时候，他说的免费试用3天，要是不想扣费就要在24小时内，取消订阅，我用了,很难用！所以我觉得都没有一个小时吧，！幸好我今天看了一下支付宝！要不然这钱就莫名其妙的让你们坐享其成了！而且订阅内容上就只有半年，谁会为了你一个难用且不实用的一个拍证件照的软件花178去购买，重点还是半年的???太气愤了！我很穷，178我可以买很多东西，吃很多饭！，我百度了一下，这个软件乱扣费的情况，很多！不止我一个人</t>
  </si>
  <si>
    <t>胖胖有米利息高爆通讯录</t>
  </si>
  <si>
    <t>http://ts.21cn.com/tousu/show/id/1371623</t>
  </si>
  <si>
    <t>2019/10/18 14:52:24</t>
  </si>
  <si>
    <t>投诉人刘先生投诉对象胖胖有米涉诉金额2500元问题类型诉求类型投诉详情2019-10-138.30左右通过小七钱包app下载该产品，填写资料之后，发现该产品借款金额2500，到账金额1375，于是本人当时即删除该产品app，并未申请借款，在除该产品一个多小时之后，本人尾号的4161卡收到胖胖有米打来的款项1375，该产品在本人未申请的情况下，自行下款，现本人请求归还该公司的1375，并撤销贷款。</t>
  </si>
  <si>
    <t>展鸿科技来花花714高利贷</t>
  </si>
  <si>
    <t>http://ts.21cn.com/tousu/show/id/1371653</t>
  </si>
  <si>
    <t>2019/10/18 14:52:22</t>
  </si>
  <si>
    <t>展鸿科技,聚合支付,多乾分期,来花花,支付宝，本人下载展鸿科技来花花，现已更名多乾分期高利贷，套路贷1，借款2000到账1400，利息高达6002，借款周期6天，实际还款时间5天3，展期费用3天300元4，聚合支付，支付宝为其提供支付通道5，本人已展期数十次，利息达本金数倍，要求其结清欠款6，催收态度恶略。</t>
  </si>
  <si>
    <t>百度金融有钱花委托催收多次骚扰本人以及拨打本人通讯录</t>
  </si>
  <si>
    <t>http://ts.21cn.com/tousu/show/id/1371650</t>
  </si>
  <si>
    <t>2019/10/18 14:51:48</t>
  </si>
  <si>
    <t>催收人员手机号：130******50和176******96。</t>
  </si>
  <si>
    <t>招商银行收取高额为违约费和利息</t>
  </si>
  <si>
    <t>http://ts.21cn.com/tousu/show/id/1371651</t>
  </si>
  <si>
    <t>2019/10/18 14:51:44</t>
  </si>
  <si>
    <t>招商银行信用卡，使用期间，因为家庭资金断裂，造成招商银行信用卡逾期或者最低还款，逾期并非本人愿意造成的，但逾期之后，招商银行收取高额的逾期费和利息，全额还款后，要求协商退还部分逾期违约金和利息，遭到拒接，态度恶劣，并表示去哪投诉都一样，不接受不处理。</t>
  </si>
  <si>
    <t>人人花APP未经同意扣除银行卡款项</t>
  </si>
  <si>
    <t>http://ts.21cn.com/tousu/show/id/1371649</t>
  </si>
  <si>
    <t>2019/10/18 14:51:28</t>
  </si>
  <si>
    <t>本人在网站下下载一款APP，名叫人人花，注册时说绑定银行卡，从里面口0.01元验证账户可用性，于两天后晚上收到一条短信，说服务开通，本人从未需要提供任何服务，扣除了所谓288元的服务费，在我不知情的情况下，扣除了卡里的钱，导致我房贷逾期，多次与客服协商全额退款，互相推诿，网络上查询许多相关受害者，实名举报，请相关部门给予处理。</t>
  </si>
  <si>
    <t>搜狐彩票不正规</t>
  </si>
  <si>
    <t>http://ts.21cn.com/tousu/show/id/1371602</t>
  </si>
  <si>
    <t>2019/10/18 14:51:21</t>
  </si>
  <si>
    <t>投诉人王先生投诉对象搜狐彩票涉诉金额900元问题类型诉求类型投诉详情怀疑该平台与正规平台开奖内容不一样，存在私人串改开奖号码的行为，希望聚投诉可以调查，还有该平台里的活动，关于彩票亏损救援金，存在虚假行为，内容里明明写着下注彩票亏损，和累计亏损，达到要求予以赔付。</t>
  </si>
  <si>
    <t>向学生收取高额咨询费拖了两年不给</t>
  </si>
  <si>
    <t>http://ts.21cn.com/tousu/show/id/1371648</t>
  </si>
  <si>
    <t>2019/10/18 14:51:12</t>
  </si>
  <si>
    <t>本人前期向名校贷借款两万四，前期一直按时还款，只有一次在晚上还款时，app一直闪退我也就没管，直到第二天客服打电话催还款，这时候能登陆了，我就直接还了，后期我是直接一次性付清后面的22个月的借款，没想到我的4800咨询费平台不予退还，我一直找客服，现在快两年了，也没有解决。</t>
  </si>
  <si>
    <t>http://ts.21cn.com/tousu/show/id/1371646</t>
  </si>
  <si>
    <t>2019/10/18 14:51:05</t>
  </si>
  <si>
    <t>恶意催收，辱骂恐吓爆通讯录，在能联系到借款人的情况下打单位，同事，亲戚朋友电话。</t>
  </si>
  <si>
    <t>玖富万卡套路贷高利贷爆通讯录骚扰亲朋好友</t>
  </si>
  <si>
    <t>http://ts.21cn.com/tousu/show/id/1371647</t>
  </si>
  <si>
    <t>2019/10/18 14:50:45</t>
  </si>
  <si>
    <t>2017年在玖富万卡上分别借了4万元，分5次借36期还，每月还款2700多元，至今已还2年，还款的金额早已超过借款金额4万，目前按照玖富的阴阳合同我还需继续还款，我现在已无还款能力了，玖富万卡每天爆我通讯录，骚扰家人朋友，恳请相关部门严肃处理高利贷，铲除社会毒瘤！。</t>
  </si>
  <si>
    <t>宜人贷高额砍头息，暴力催收上门，肆意宣传欠款</t>
  </si>
  <si>
    <t>http://ts.21cn.com/tousu/show/id/1371644</t>
  </si>
  <si>
    <t>2019/10/18 14:50:10</t>
  </si>
  <si>
    <t>本人于2017年9月份第一次通过宜人贷app借款15000元，实际到账15000元，并分为24还清，但是他们的合同金额为16800元，称之有1800元的信息服务费，对于这信息服务费是干什么的表示不解，你们本来就已经赚取我的利息了，还要信息服务费做什么，然后我又问我没有借那么多啊，他们回答我的是看我合同第一期提前结清应该是15000多，但是在中午12点多我刚拨打客服核过的账，客服明确表明我的提前结清金额为10980多怎么就有变成15600多了呢，然后他们的工作人员给我说我们所有的手续费都是计算在你的利息里面的</t>
  </si>
  <si>
    <t>http://ts.21cn.com/tousu/show/id/1371643</t>
  </si>
  <si>
    <t>2019/10/18 14:50:09</t>
  </si>
  <si>
    <t>暴力催收，对我进行骚扰，造成很大压力，利用网络电话进行骚扰。</t>
  </si>
  <si>
    <t>希望可以协商还款</t>
  </si>
  <si>
    <t>http://ts.21cn.com/tousu/show/id/1371641</t>
  </si>
  <si>
    <t>2019/10/18 14:49:59</t>
  </si>
  <si>
    <t>本人家里最近有事，资金不到位，恳求宽限几天！一定会早点还清，不会拖很久的。</t>
  </si>
  <si>
    <t>拼多多虚假宣传</t>
  </si>
  <si>
    <t>http://ts.21cn.com/tousu/show/id/1371642</t>
  </si>
  <si>
    <t>2019/10/18 14:49:55</t>
  </si>
  <si>
    <t>拼多多号称只要下载就能9.9元抢1000元加油卡，实际下载后并无比折扣，严重虚假宣传，在辞典中只要表示必然条件，就表示结果，用只要，就来宣传活动就是说只要9.9就能得到1000元加油卡，但是实际服务中并没有，希望相关部门予以处罚并且必须提供给我9.9充值1000元油卡的服务。</t>
  </si>
  <si>
    <t>百度钱包拒绝协商处理</t>
  </si>
  <si>
    <t>http://ts.21cn.com/tousu/show/id/1371640</t>
  </si>
  <si>
    <t>2019/10/18 14:49:53</t>
  </si>
  <si>
    <t>投诉人 伍女士        投诉对象  有钱花        涉诉金额  6 000 元    问题类型    诉求类型投诉详情  贷款逾期不是恶意的 不遇到困难谁也不会借钱。 逾期更不是我想的！ 发来信息说要上门了 联系客服电话 也一直打不通 只想百度钱包 可以协商处理账单分期还款</t>
  </si>
  <si>
    <t>百事普惠非法收取299费用</t>
  </si>
  <si>
    <t>http://ts.21cn.com/tousu/show/id/1371639</t>
  </si>
  <si>
    <t>2019/10/18 14:48:59</t>
  </si>
  <si>
    <t>百事普惠利用虚假宣传故意说用白条299支付以后可推荐借款，结果全部推荐拒绝，然后又在绑定银行卡扣走299，打电话给客服说3日给我答复，结果一星期了也没有人理会。</t>
  </si>
  <si>
    <t>虾米在线高利贷，套路贷</t>
  </si>
  <si>
    <t>http://ts.21cn.com/tousu/show/id/1371638</t>
  </si>
  <si>
    <t>2019/10/18 14:48:44</t>
  </si>
  <si>
    <t>本人通过网络推送链接下载安装了虾米在线app，于10月12日提交相关申请资料，不料提交完资料后不长时间直接到账！完全不需要本人确认借款，提前不告知借款周期与利率！1.借款3000元，实际到账1875元，砍头息1125元！借款周期5天，到期归还3014.79元！！逾期1天逾期费用高达600元！典型的高利贷，高额砍头息，套路贷！下有附图2.下载途径https://xmzx.nn1n.com/m.html#/landpage-third3.因app内示联系电话打不通，第二天就通过app内反馈相关，要求原路退回资金</t>
  </si>
  <si>
    <t>砍头息，随意扣款</t>
  </si>
  <si>
    <t>http://ts.21cn.com/tousu/show/id/1371637</t>
  </si>
  <si>
    <t>2019/10/18 14:48:36</t>
  </si>
  <si>
    <t>投诉人张先生投诉对象牛人有品涉诉金额2200元问题类型诉求类型投诉详情借款2200元两期30天，只到账1584元，两期总共还款2244元，利息算下来660元，且到了到期日尚未逾期电话短信就开始不断催收，对我造成了严重的骚扰。</t>
  </si>
  <si>
    <t>威胁恐吓给通讯录联系人发各种信息</t>
  </si>
  <si>
    <t>http://ts.21cn.com/tousu/show/id/1371635</t>
  </si>
  <si>
    <t>2019/10/18 14:48:24</t>
  </si>
  <si>
    <t>投诉人 李女士        投诉对象  招联金融        涉诉金额  9 000 元    问题类型    诉求类型投诉详情  没有失联 只是因为最近确实有困难 想着能周转过来了就还款了 打客服以后不同意晚还 然后就威胁 恐吓 骚扰 给第三方联系人发信息</t>
  </si>
  <si>
    <t>有人来电要在360借条上注销学生额度</t>
  </si>
  <si>
    <t>http://ts.21cn.com/tousu/show/id/1371633</t>
  </si>
  <si>
    <t>2019/10/18 14:47:42</t>
  </si>
  <si>
    <t>近期有来自大连辽宁的电话151******06来电说是360借条官方人员，要我注销学生借款额度，对方知道我的毕业院校、身份证后4位等个人信息；我寻思着不对，我在大学时期没有操作过相应贷款，我问了几个关于360借条APP的相关功能问题后对方不再回话了，我在网上查询发现有人遇到和我同样的情况，建议360借条官方做好相应的保密和严谨处理，避免对用户和你们公司造成不良影响附上帖吧帖子讨论连接https://tieba.baidu.com/p/6290666973?red_tag=1882754861。</t>
  </si>
  <si>
    <t>好易借高利贷，套路贷，阴阳合同</t>
  </si>
  <si>
    <t>http://ts.21cn.com/tousu/show/id/1371632</t>
  </si>
  <si>
    <t>2019/10/18 14:47:26</t>
  </si>
  <si>
    <t>本人于2018年11月在好易借借款8000元，到账后查看账单发现账单设置极其不合理，三期还完所有费用，后面剩下九期均为178元多，三个月的利息比国家法定一年的利息还要多，这样的还款方式实在不合理！本人于下款当月就投诉要求还款本金加上国家规定的利息后进行销账处理！好易借客服提前结清不减免任何费用，后续处理一拖就是几个月，无奈我也先按照APP还款，现在还剩两个月费用，借8000已经还了9796，实际资金只使用了3个月，要求好易借退还砍头费用720，后续两期直接销账，否则我将直接向广州金融办投诉，向广州扫黑办投诉</t>
  </si>
  <si>
    <t>遵义市湘江投资卖房不交房不退款</t>
  </si>
  <si>
    <t>http://ts.21cn.com/tousu/show/id/1371630</t>
  </si>
  <si>
    <t>2019/10/18 14:47:24</t>
  </si>
  <si>
    <t>2018年在他们那里买的现房，说年底交房，直到2019年10月都还没有接房，退钱又不给退。</t>
  </si>
  <si>
    <t>美团生活费威胁爆通讯录</t>
  </si>
  <si>
    <t>http://ts.21cn.com/tousu/show/id/1371629</t>
  </si>
  <si>
    <t>2019/10/18 14:47:16</t>
  </si>
  <si>
    <t>本人这期美团生活费本应15日还款，但出于母亲生病，导致工资全部给母亲看病，导致逾期，逾期金额789元，但是今天上午美团生活费的催收人员联系我说今天中午12点前不处理欠款就给通讯录的人打电话协助还款，爆通讯录，本人在此声明，每月20日发工资，请美团官方再给两天时间，10月20号之前肯定会还款，如未还款随便催收，请美团联系你们的工作人员暂停催收，暂停对我的骚扰，现在已经导致我无法正常工作，谢谢！。</t>
  </si>
  <si>
    <t>有人监管华晟易贷吗</t>
  </si>
  <si>
    <t>http://ts.21cn.com/tousu/show/id/1371631</t>
  </si>
  <si>
    <t>2019/10/18 14:47:13</t>
  </si>
  <si>
    <t>然后让我加他们的贷款专员微信，加过之后就是问我一些情况，告诉我资质审核成功，可以下款，但是需要缴纳会员费，缴纳之后又说我的银行卡号错误，资金被冻结了，需要我给他们转5000的风控担保费，而且还说需要验证支付宝的芝麻信用分，但是我看了芝麻信用分管理权限没有华晟易贷，这是骗人的！。</t>
  </si>
  <si>
    <t>http://ts.21cn.com/tousu/show/id/1371628</t>
  </si>
  <si>
    <t>2019/10/18 14:46:39</t>
  </si>
  <si>
    <t>投诉人 潘先生        投诉对象  立借,钱置宝        涉诉金额  3 000 元    问题类型    诉求类型投诉详情  违反国家规定的利息。本金还完销帐！！！！！！！！</t>
  </si>
  <si>
    <t>浦发银行违约金、罚息减免退还</t>
  </si>
  <si>
    <t>http://ts.21cn.com/tousu/show/id/1371594</t>
  </si>
  <si>
    <t>2019/10/18 14:46:36</t>
  </si>
  <si>
    <t>投诉人叶先生投诉对象浦发信用卡涉诉金额13253元问题类型诉求类型投诉详情本人浦发信用卡2017年申请万用金12万元，到账后浦发工作人员电话追加4万元万用金直接到储蓄卡，共计16万万用金额度，卡片信用额度37000.信用卡于2018年3月，7月发生逾期，逾期共造成违约金8830元，罚息4423元，卡片于2019年5月销卡本人于2019年10月11日致电浦发信用卡中心要求减免违约金及罚息，被告知按照银行给的邮件格式进行发送内容进行评估处理，7月逾期信用卡中心催收，期间也有多次还款，并未恶意逃避，并没有催收人员</t>
  </si>
  <si>
    <t>立借平台忽悠本人结案又骚扰电话</t>
  </si>
  <si>
    <t>http://ts.21cn.com/tousu/show/id/1371552</t>
  </si>
  <si>
    <t>2019/10/18 14:46:19</t>
  </si>
  <si>
    <t>投诉人崔先生投诉对象立借涉诉金额6500元问题类型诉求类型投诉详情本人有录音，立借平台客服打电话过来协商好了，叫本人结案就不在骚扰，本人结案，今天又打电话过来了，骚扰个不停啊。</t>
  </si>
  <si>
    <t>投诉小赢卡贷注销账户还要提供身份证信息</t>
  </si>
  <si>
    <t>http://ts.21cn.com/tousu/show/id/1371627</t>
  </si>
  <si>
    <t>2019/10/18 14:46:17</t>
  </si>
  <si>
    <t>注销账户，不要提供所谓的身份证正反面手拿身份证等违规信息，清除本人的一切数据。</t>
  </si>
  <si>
    <t>你们这是一天打多少电话？</t>
  </si>
  <si>
    <t>http://ts.21cn.com/tousu/show/id/1371626</t>
  </si>
  <si>
    <t>2019/10/18 14:46:14</t>
  </si>
  <si>
    <t>投诉人 符女士        投诉对象  浦发银行信用卡        涉诉金额  0 元    问题类型    诉求类型投诉详情  这算是恶意催收，暴力催收了吧？</t>
  </si>
  <si>
    <t>招商银行拒绝沟通还款，执意要家里人和他们联系</t>
  </si>
  <si>
    <t>http://ts.21cn.com/tousu/show/id/1371624</t>
  </si>
  <si>
    <t>2019/10/18 14:45:52</t>
  </si>
  <si>
    <t>行为民事责任人，信用卡债务与家人、亲友和单位无关，银行给我下发的卡片是通过正规渠道经过银行严格审批下卡，并在当地支行柜台按要求开卡和使用的，我没有恶意透支卡片，而是由于客观原因造成无法暂时按银行的要求一次结清全额或最低还款，现在我基本没有失联，也没有拒绝还款，只是现在我只有这样还款能力，何况按国家要求在满足最低生活保障的前提下用剩余合法的收入还款而不是去按你们催收的说法让我去借钱还款，，我不逃避债务也没有失联，由于软暴力催收造成我精神过度紧张对生活造成很大影响，很多电话都显示为骚扰电话使我无法接听，现在只能</t>
  </si>
  <si>
    <t>希望360贷款不要威胁我</t>
  </si>
  <si>
    <t>http://ts.21cn.com/tousu/show/id/1371622</t>
  </si>
  <si>
    <t>2019/10/18 14:44:58</t>
  </si>
  <si>
    <t>长时间骚扰我，我已向客服作出说明，最近情况特殊，有钱就还，客服每隔两三个小时给我打一个电话让我还钱，还说要让我的家人和朋友们都知道，我觉得我的通讯录遭到了泄漏。</t>
  </si>
  <si>
    <t>乔融医分期APP无法还款，恶意逾期，客服联系不上</t>
  </si>
  <si>
    <t>http://ts.21cn.com/tousu/show/id/1371621</t>
  </si>
  <si>
    <t>2019/10/18 14:44:57</t>
  </si>
  <si>
    <t>2019年1月23日在成都艾尚柏雅办理了乔融医分期，分期额度为16800元，共分12期还款，每月还款日23号，现已连续还款7期，泰安银行发来信息提供账号要求线下还款，就是第8期还款的时候，APP显示没有还款，我主动点击立即还款，可是没有反应，反复显示进行代扣中，请稍后！一直到30号仍然还是这样情况，找到客服电话，提示电话已过期！微信公众号一样如此！现在已逾期25天，罚息不说，严重影响我的征信！找美容院的人，也说让我们等，这能等吗，今天，泰安银行发来信息提供账号要求线下还款，极低！没负责人来解释！我们的线上利</t>
  </si>
  <si>
    <t>http://ts.21cn.com/tousu/show/id/1371620</t>
  </si>
  <si>
    <t>2019/10/18 14:44:35</t>
  </si>
  <si>
    <t>频繁电话骚扰，威胁，高利贷砍头息，爆通讯录，每天几十个电话。</t>
  </si>
  <si>
    <t>中信银行拒绝办理分期及协商还款</t>
  </si>
  <si>
    <t>http://ts.21cn.com/tousu/show/id/1371619</t>
  </si>
  <si>
    <t>2019/10/18 14:44:12</t>
  </si>
  <si>
    <t>我名下中信信用卡原额度为5万元，今年以来因为遭遇一些突发经济情况导致连续出现几次逾期，但从前几个月开始中信银行开始自动调降我的额度，还一笔降一笔，事先没通知，也不告知我到底降到多少，事后我致电咨询时银行工作人员一味推脱这是系统自动评估，我本来就是因为经济遇到困难所以才产生逾期，在这种情况下我这几个月依然咬牙还进去15000元，我并非恶意拖欠，也不想当老赖，只是希望和银行协商还款的方式，让我能够度过这个难关，免受逾期和滞纳金、利息的困扰，我本人工作稳定，收入也不算低，正常情况下可以还我甚至希望能够一次还完，作</t>
  </si>
  <si>
    <t>投诉苹果手机APP乱扣费</t>
  </si>
  <si>
    <t>http://ts.21cn.com/tousu/show/id/1371618</t>
  </si>
  <si>
    <t>2019/10/18 14:44:09</t>
  </si>
  <si>
    <t>本人于2019年10月17日发现手机支付宝账单有问题，，其中有很多支休闲娱乐产生很多笔消费，其中有陌陌、小堆钻石、抖音，其中抖音APP本人手机正在使用，就打电话给抖音客服，客服人员帮我查下来，发现不是自己充值，说是苹果手机APP那边的问题，随后打电话给苹果手机，苹果手机客服人员只赔付40元，剩余不想赔付。</t>
  </si>
  <si>
    <t>恶意骚扰，短信侮辱！！！</t>
  </si>
  <si>
    <t>http://ts.21cn.com/tousu/show/id/1371617</t>
  </si>
  <si>
    <t>2019/10/18 14:44:08</t>
  </si>
  <si>
    <t>投诉人谢女士投诉对象51人品,51速贷涉诉金额0元问题类型诉求类型投诉详情总是恶意骚扰打电话问我认不认识谁谁谁，电话不断，不接听会重复打，挂断居然短信辱骂！！！我不欠你们公司一分钱，别人借的关我什么事，这种信贷催收真的很恶心！已经严重影响到我的生活了！之前投诉过歇了一段时间没骚扰，最近又开始电话轰炸了，真的很头疼！。</t>
  </si>
  <si>
    <t>盼达用车，还我押金</t>
  </si>
  <si>
    <t>http://ts.21cn.com/tousu/show/id/1371616</t>
  </si>
  <si>
    <t>2019/10/18 14:43:16</t>
  </si>
  <si>
    <t>2019年6月22日通过支付宝充值1000元保证金，7月20日最后正常还车，且1月后无违章，与8月21提交退还押金申请，1月未果，9月下旬打客服询问，推卸责任，不处理问题，到10月12日未见退还，也未见盼达总部给个回复。</t>
  </si>
  <si>
    <t>极速熊猫催收爆通讯录</t>
  </si>
  <si>
    <t>http://ts.21cn.com/tousu/show/id/1371615</t>
  </si>
  <si>
    <t>2019/10/18 14:43:01</t>
  </si>
  <si>
    <t>态度极其恶劣，已经把我的电话通讯录联系人全部骚扰。</t>
  </si>
  <si>
    <t>金贝备砍头息714</t>
  </si>
  <si>
    <t>http://ts.21cn.com/tousu/show/id/1371614</t>
  </si>
  <si>
    <t>2019/10/18 14:42:28</t>
  </si>
  <si>
    <t>只希望减免还款，砍头息600，六天还清，属于714高利贷。</t>
  </si>
  <si>
    <t>虚假销售，延期交房</t>
  </si>
  <si>
    <t>http://ts.21cn.com/tousu/show/id/1371537</t>
  </si>
  <si>
    <t>2019/10/18 14:42:22</t>
  </si>
  <si>
    <t>投诉人李女士投诉对象遵义湘江投资建设管理有限责任公司涉诉金额300000元问题类型诉求类型投诉详情2019年4月初在遵义湘江投资公司旗下的《舟水桥组团》看房中心买房子当时是现房，说的是5月底交房，结果没有交又推迟到6月，6月底也未交房又推迟到九月，这当中才发觉有问题，去找公司好几次，直到上次去里面的领导才说五证两书差个证，房子质检也不合格，一直搪塞至今这样的欺骗还能成立售房部&amp;nbsp;&amp;nbsp;&amp;nbsp;&amp;nbsp;&amp;nbsp;望上级领导能给我们处理！！。</t>
  </si>
  <si>
    <t>要求赔偿损失费</t>
  </si>
  <si>
    <t>http://ts.21cn.com/tousu/show/id/1371396</t>
  </si>
  <si>
    <t>投诉人杨女士投诉对象浦发银行,浦发信用卡涉诉金额0元问题类型诉求类型投诉详情上海市市长、副市长关于金融领域扫黑除恶工作会议：坚持风险出清机构清退毫不动摇，以机构退出为主要方向，能退尽退、应关尽关、分类施策、精准拆弹；严厉整治暴力滋扰催收活动，督促辖内网贷机构建立完善催收管理制度；坚决杜绝收取各类形式高额息费，督促辖内机构杜绝“套路贷”、“校园贷”、“现金贷”、非法高利放贷等非法经营活动；督促机构开展扫黑除恶专项排查，除自身业务是否存在涉黑涉恶线索外，还要自查导流、催收等第三方合作机构，我已结清所有欠款，但浦</t>
  </si>
  <si>
    <t>开发商逾期多月不交房，也不给业主任何交房消息。</t>
  </si>
  <si>
    <t>http://ts.21cn.com/tousu/show/id/1371612</t>
  </si>
  <si>
    <t>2019/10/18 14:41:33</t>
  </si>
  <si>
    <t>希望湘江投资管理有限公司，给个说法，房子的问题怎么解决。</t>
  </si>
  <si>
    <t>拼多多上被商家货物不对</t>
  </si>
  <si>
    <t>http://ts.21cn.com/tousu/show/id/1371613</t>
  </si>
  <si>
    <t>2019/10/18 14:41:30</t>
  </si>
  <si>
    <t>上个月开始联系拼多多客服，结果到现在没有给我解决，所谓的高级客服一直没有给我电话，我前前后后主动给拼多多官方客服来电四五次没有一次是接到高级客服回访，涉嫌金额过万，平台也不处理，只是说金额过大要核实。</t>
  </si>
  <si>
    <t>宝付支付为套路贷读秒钱包提供放款渠道</t>
  </si>
  <si>
    <t>http://ts.21cn.com/tousu/show/id/1371608</t>
  </si>
  <si>
    <t>2019/10/18 14:40:58</t>
  </si>
  <si>
    <t>宝付支付为套路贷读秒钱包提供支付渠道，本人在读秒钱包借款已还清本金及多还利息，但是仍有一万多利息需要偿还，多次协商都不理会。</t>
  </si>
  <si>
    <t>http://ts.21cn.com/tousu/show/id/1371611</t>
  </si>
  <si>
    <t>2019/10/18 14:40:44</t>
  </si>
  <si>
    <t>借款时需要购买会员198，提钱游变成萤火虫借款。</t>
  </si>
  <si>
    <t>未经允许，拨打我亲朋好友的电话，给我生活带来严重影响，困扰</t>
  </si>
  <si>
    <t>http://ts.21cn.com/tousu/show/id/1371610</t>
  </si>
  <si>
    <t>2019/10/18 14:40:16</t>
  </si>
  <si>
    <t>投诉人 成女士        投诉对象  现金借款        涉诉金额  3 500 元    问题类型    诉求类型投诉详情  停此骚扰，拨打我亲朋好友的电话，对我道歉</t>
  </si>
  <si>
    <t>众安保险查不到我的投保地？</t>
  </si>
  <si>
    <t>http://ts.21cn.com/tousu/show/id/1371607</t>
  </si>
  <si>
    <t>2019/10/18 14:39:51</t>
  </si>
  <si>
    <t>要求查看投保地，问我查它干什么，我说我不能查嘛。</t>
  </si>
  <si>
    <t>借贷宝</t>
  </si>
  <si>
    <t>http://ts.21cn.com/tousu/show/id/1371604</t>
  </si>
  <si>
    <t>2019/10/18 14:39:03</t>
  </si>
  <si>
    <t>投诉人 游女士        投诉对象  借贷宝        涉诉金额  3 000 元    问题类型    诉求类型      投诉详情  通过借贷宝借款 到期后需要展期 因系统原因 交易无法点击确认 导致逾期 产生逾期费用150元 多次协商无果</t>
  </si>
  <si>
    <t>现金巴士砍头高利贷</t>
  </si>
  <si>
    <t>http://ts.21cn.com/tousu/show/id/1371603</t>
  </si>
  <si>
    <t>2019/10/18 14:38:50</t>
  </si>
  <si>
    <t>投诉人 罗先生        投诉对象  现金巴士        涉诉金额  1 000 元    问题类型    诉求类型投诉详情  现金巴士催收 不协商 威胁爆通讯录 要求现金巴士道歉 并取消高额的逾期利息和砍头利息 要求催收电话02066324004 工号027给我道歉 威胁人 他是黑社会么</t>
  </si>
  <si>
    <t>爱白条高利贷</t>
  </si>
  <si>
    <t>http://ts.21cn.com/tousu/show/id/1371601</t>
  </si>
  <si>
    <t>2019/10/18 14:38:35</t>
  </si>
  <si>
    <t>投诉人张先生投诉对象爱白条,爱钱进涉诉金额2200元问题类型诉求类型投诉详情一开始我借的时候好久没到账，后面我改了银行卡说不支持，我就没管它了，之后就直接给我到账2200，银行卡不支持那你们还放什么款，还要我还3100多，现在也找不到下载的地址了，我怎么还。</t>
  </si>
  <si>
    <t>办理宽带升级莫名给办理了小额贷款，多次主动联系电信均无处理！</t>
  </si>
  <si>
    <t>http://ts.21cn.com/tousu/show/id/1371600</t>
  </si>
  <si>
    <t>2019/10/18 14:38:13</t>
  </si>
  <si>
    <t>多次接到宽带升级推销，在18年12月的时候，我带着我爸，去了南京市苜蓿园大街华联紫金店旁边的一家电信营业厅，，办理的时候2个营业员推荐了现在使用的这个宽带套餐，描述199元/月，手机号码不停机每个月电信返还60元，家里只有老爸老妈2个快70的老人使用，就问营业员是否有其他的套餐，营业员说没有，现在只有这个套餐可以办理，送我们一个路由器，办理过程中，营业员拿着手机一顿操作，由于信任我和我爸就没管，一会儿营业员让我爸对着手机左右摇头张嘴，我当时就提出是否办理贷款，营业员回答不是，好，第二次处于信任我就让我爸继续</t>
  </si>
  <si>
    <t>http://ts.21cn.com/tousu/show/id/1371606</t>
  </si>
  <si>
    <t>2019/10/18 14:38:03</t>
  </si>
  <si>
    <t>投诉人杨女士投诉对象贵州省遵义市湘江投资涉诉金额290000元问题类型诉求类型投诉详情我于2019年5月23日在贵州省遵义市湘江投资公司买了两套房，原承诺大概两个月按揭贷款下来就办理接房交钥匙，两月、三月过去了，迟迟未能办下来，再三追问，总是以各种理由回拒！2019年9月18日、23日、24日，10月份来来回回跑去问了N次无果！开始说9月底交房办理也没能交，后来又说10月9日开始起动退款，10月这又屡次去退已无果，要钱没钱，要房，延期未知……。</t>
  </si>
  <si>
    <t>凡普金科暴力催收，非法恐吓当事人，暴通讯录</t>
  </si>
  <si>
    <t>http://ts.21cn.com/tousu/show/id/1371599</t>
  </si>
  <si>
    <t>2019/10/18 14:37:43</t>
  </si>
  <si>
    <t>凡普金科总部非法催收，暴力恐吓当事人，暴通讯录，有黑社会性质，请转交相关部门尽快查处。</t>
  </si>
  <si>
    <t>协商给点时间还清贷款</t>
  </si>
  <si>
    <t>http://ts.21cn.com/tousu/show/id/1371598</t>
  </si>
  <si>
    <t>2019/10/18 14:37:28</t>
  </si>
  <si>
    <t>之前从小米贷款处贷了九万多投资别的项目，前面一段一直正常还款，但是在七月份由于资金链有点问题逾期了几天，导致你们停止了我循环贷款的资格，资金压力一下子变大，好吧，那我也在这三个月内已经还了你们超过一半的钱了，现在还剩四万多，现在你们的催收人员要我立即要再还两万多，说实在的这让我很难办到，我三个月内已经还了那么多说明已经很有诚意，我不想欠你们的钱，我现在就只要求你们给我一个月时间别来骚扰我，我下个月有回款了全部跟你们结清，就这样。</t>
  </si>
  <si>
    <t>租房合同到期房东不退押金，链家拿了中介费找理由不帮忙处理</t>
  </si>
  <si>
    <t>http://ts.21cn.com/tousu/show/id/1371597</t>
  </si>
  <si>
    <t>2019/10/18 14:36:57</t>
  </si>
  <si>
    <t>2018年3月在上海市宝山区罗芬路链家分店租赁了一套别墅房子，合同一年期，房租13800，押金4个月55200，到今年合同到期交房，房东不交还押金55200，联系链家房产业务员帮忙处理，他们已理由推脱，拿中介费的时候倒很积极，现在有事了就各种理由，干嘛呢你们！。</t>
  </si>
  <si>
    <t>现金巴士威胁恐吓暴力催收</t>
  </si>
  <si>
    <t>http://ts.21cn.com/tousu/show/id/1371595</t>
  </si>
  <si>
    <t>2019/10/18 14:36:34</t>
  </si>
  <si>
    <t>投诉人林女士投诉对象现金巴士涉诉金额1000元问题类型诉求类型投诉详情现金巴士无法沟通还款时间，逼着就是要马上结清欠款，威胁爆通讯录，骚扰联系人，各种威胁的话语。</t>
  </si>
  <si>
    <t>卫浴柜拒绝发货</t>
  </si>
  <si>
    <t>http://ts.21cn.com/tousu/show/id/1371596</t>
  </si>
  <si>
    <t>2019/10/18 14:36:27</t>
  </si>
  <si>
    <t>本人在苏宁易购购买卫浴柜，商家一直不发货，。</t>
  </si>
  <si>
    <t>爆通讯</t>
  </si>
  <si>
    <t>http://ts.21cn.com/tousu/show/id/1371593</t>
  </si>
  <si>
    <t>2019/10/18 14:35:57</t>
  </si>
  <si>
    <t>我正在配合钱站工作人员协商还款，而第三方威胁恐吓私自加我微信爆我通讯录骚扰家人朋友。</t>
  </si>
  <si>
    <t>退押金几个月了都没有退</t>
  </si>
  <si>
    <t>http://ts.21cn.com/tousu/show/id/1371592</t>
  </si>
  <si>
    <t>2019/10/18 14:35:56</t>
  </si>
  <si>
    <t>在8月27日提交的保证金退款申请，至今任未退还！且如今无车可用，严重欺诈消费者的行为属实。</t>
  </si>
  <si>
    <t>电话恶意催款，骚扰亲朋好友</t>
  </si>
  <si>
    <t>http://ts.21cn.com/tousu/show/id/1371591</t>
  </si>
  <si>
    <t>2019/10/18 14:35:46</t>
  </si>
  <si>
    <t>在没有经过本人的允许条件下，拨打本人亲朋好友的电话，催收还款，，借款38000，分期两年，本金加利息需还58000。</t>
  </si>
  <si>
    <t>遵义湘江投资建设公司卖房不交房</t>
  </si>
  <si>
    <t>http://ts.21cn.com/tousu/show/id/1371590</t>
  </si>
  <si>
    <t>2019/10/18 14:35:39</t>
  </si>
  <si>
    <t>本人父母来自农村，是地地道道的老实人，在遵义市苦苦打拼二十年，对方没有任何表态要等到何年马月才能拿回我们付出去的血汗钱，难道要我们老百姓辛辛苦苦打拼的血汗钱就这样被他们吞噬吗，为的就是能在市里买上一套属于自己的房子，好不容易存了点钱够交首付，选择了在遵义湘投公司“舟水桥·组团”购买房子，一开始说好的2019.年4.30日会交房给我们，说等贷款下来就一起签订合同，在此之前我们交了2万元订金，并让我们在一个星期内过去交首付款11万元！一起共交了13万，当时想不通为什么银行贷款都没下来就让我们交首付，交了钱以后就</t>
  </si>
  <si>
    <t>http://ts.21cn.com/tousu/show/id/1371589</t>
  </si>
  <si>
    <t>2019/10/18 14:35:31</t>
  </si>
  <si>
    <t>该平台说我可以借款，让我购买会员249元，但是购买之后，随便给我推送几个软件让我自己去尝试，现在联系他们客服说我必须去尝试借款，五次失败才给我退款，我个人认为这不通情理，霸王条款，诱导我购买会员，希望聚投诉能联系白条分期，让其退我会员费共计249元。</t>
  </si>
  <si>
    <t>本人8月在米米罐申请借款一个月还款4000多，有1000的征信报告以会员费征信报告费收取高额利息要求退还已还</t>
  </si>
  <si>
    <t>http://ts.21cn.com/tousu/show/id/1371587</t>
  </si>
  <si>
    <t>2019/10/18 14:35:16</t>
  </si>
  <si>
    <t>米米罐,快捷通青岛路力软件科技有限公司,快捷通支付，4000多收取保险费1000多以会员费征信报告费收取高额利息。</t>
  </si>
  <si>
    <t>暴力催收威胁恐吓骚扰通讯录联系人</t>
  </si>
  <si>
    <t>http://ts.21cn.com/tousu/show/id/1371585</t>
  </si>
  <si>
    <t>2019/10/18 14:35:00</t>
  </si>
  <si>
    <t>投诉人 李女士        投诉对象  小花钱包        涉诉金额  11 400 元    问题类型    诉求类型投诉详情  威胁 恐吓 暴力催收钱 骚扰通讯录联系人</t>
  </si>
  <si>
    <t>借款利息超过国家规定利率、高利贷违法催收</t>
  </si>
  <si>
    <t>http://ts.21cn.com/tousu/show/id/1371586</t>
  </si>
  <si>
    <t>2019/10/18 14:34:59</t>
  </si>
  <si>
    <t>合同上金额25600元，到账金额是20000元，违反国家相关借款规定，现在逾期了三天，我想要提前结清，不想拿这种高利息，客服不给任何回应，催收不断的骚扰我的亲朋好友，包括恐吓电话和骚扰短信，往平台给我个说法。</t>
  </si>
  <si>
    <t>360借条诱导借款</t>
  </si>
  <si>
    <t>http://ts.21cn.com/tousu/show/id/1371583</t>
  </si>
  <si>
    <t>2019/10/18 14:34:52</t>
  </si>
  <si>
    <t>因为遇到资金周转问题，下载360借条软件，一进去软件就问我的期待借款多少，银行卡号，身份证照片等相关信息，我填写完毕后半个小时就有短信提示我批准额度为14700，我以为额度是需要我主动提取才会完成借款，过了一会儿我的储蓄卡，整个借款过程不是我主动的，而且借款前没有利率提示，也没有提示还款方式是等本等息，今天我还钱的时候发现半年利息高达1500多，共计还款16243.5元。</t>
  </si>
  <si>
    <t>中国联合网络通信有限公司提供违规支付通道</t>
  </si>
  <si>
    <t>http://ts.21cn.com/tousu/show/id/1371584</t>
  </si>
  <si>
    <t>2019/10/18 14:34:42</t>
  </si>
  <si>
    <t>投诉人 李先生        投诉对象  中国联通        涉诉金额  10 000 元    问题类型    诉求类型投诉详情  接到一个电话 说是联通公司做活动 充值1000话费赠送1000元话费充值卡 最后我充值资金多笔 不但没赠送充值卡 最后我钱也充值进去联通公司 没把钱给我退回来 要求联通公司给我个明确说法 我支付出去的钱为什么没给我充值卡</t>
  </si>
  <si>
    <t>小黑鲨平台暴力催收爆通讯录</t>
  </si>
  <si>
    <t>http://ts.21cn.com/tousu/show/id/1371582</t>
  </si>
  <si>
    <t>2019/10/18 14:33:57</t>
  </si>
  <si>
    <t>投诉人 陈磊        投诉对象  小黑鲨        涉诉金额  3 000 元    问题类型    诉求类型投诉详情  小黑鲨平台网络高利贷 暴力催收 盗取个人信息 乱打联系人电话 严重骚扰</t>
  </si>
  <si>
    <t>频繁打打电话骚扰，给家里人还有通讯录打电话骚扰</t>
  </si>
  <si>
    <t>http://ts.21cn.com/tousu/show/id/1371580</t>
  </si>
  <si>
    <t>2019/10/18 14:33:45</t>
  </si>
  <si>
    <t>频繁的打电话骚扰催收，还给我父母亲朋好友打电话骚扰，又不是不还，我还了好几期了。</t>
  </si>
  <si>
    <t>美团生活费暴力催收</t>
  </si>
  <si>
    <t>http://ts.21cn.com/tousu/show/id/1371579</t>
  </si>
  <si>
    <t>2019/10/18 14:33:00</t>
  </si>
  <si>
    <t>我在美团生活费上借了3000块钱，第一期已经还款，后面的571.34元因为我对象住院加上我对象经济纠纷案的还款因为手续问题一直不到账，无法按时还款导致逾期，美团生活费催收人员发信息，加微信威胁恐吓，期间一直和他们协商，前天未经我的允许爆通讯录，给我通讯录里的家人，亲戚，朋友打电话，对我的生活造成影响，造成我家庭不和，现在我请求得到帮助！。</t>
  </si>
  <si>
    <t>利息太高套路带</t>
  </si>
  <si>
    <t>http://ts.21cn.com/tousu/show/id/1371578</t>
  </si>
  <si>
    <t>2019/10/18 14:32:48</t>
  </si>
  <si>
    <t>投诉人 李先生        投诉对象  维信闪贷        涉诉金额  10 000 元    问题类型    诉求类型投诉详情  利息符合国家标准，停止骚扰，恢复征信名誉</t>
  </si>
  <si>
    <t>http://ts.21cn.com/tousu/show/id/1371576</t>
  </si>
  <si>
    <t>2019/10/18 14:32:33</t>
  </si>
  <si>
    <t>本人在麦子借款有借款，但从上月开始app进不去，也联系不到客服，不能进行还款，现在有催收部加本人微信说我逾期一个月，每天逾期费用七块二，原本三百多现在要还五百多，给的客服电话也打不通，本人拒绝还所有逾期费用，请聚投诉帮忙处理。</t>
  </si>
  <si>
    <t>暴力催收威胁恐吓</t>
  </si>
  <si>
    <t>http://ts.21cn.com/tousu/show/id/1371577</t>
  </si>
  <si>
    <t>2019/10/18 14:32:17</t>
  </si>
  <si>
    <t>投诉人 何女士        投诉对象  维信金科        涉诉金额  30 000 元    问题类型    诉求类型投诉详情  已经跟平台协商好 慢慢还款 可是还是收到这些短信 说要起诉我 还要影响后代 每次打电话我都是接听了 而且也有好好协商 但是催收公司也是暴力催收 丝毫不顾及别人的感受</t>
  </si>
  <si>
    <t>及贷催收骚扰辱骂联系人</t>
  </si>
  <si>
    <t>http://ts.21cn.com/tousu/show/id/1371574</t>
  </si>
  <si>
    <t>2019/10/18 14:32:05</t>
  </si>
  <si>
    <t>催收人员故意辱骂本人，骚扰通讯录亲友，侮辱亲友，暴力恐吓。</t>
  </si>
  <si>
    <t>高利贷砍头息高额逾期费恶意催收</t>
  </si>
  <si>
    <t>http://ts.21cn.com/tousu/show/id/1371572</t>
  </si>
  <si>
    <t>2019/10/18 14:32:01</t>
  </si>
  <si>
    <t>投诉人 陈先生        投诉对象  闪电借款        涉诉金额  6 900 元    问题类型    诉求类型投诉详情  借款一万 砍头息1500 逾期6900 逾期费每天三百多 催收威胁还款</t>
  </si>
  <si>
    <t>小赢暴力催收，威胁，恐吓</t>
  </si>
  <si>
    <t>http://ts.21cn.com/tousu/show/id/1371573</t>
  </si>
  <si>
    <t>2019/10/18 14:31:59</t>
  </si>
  <si>
    <t>本人于今年6月份向小赢卡贷借款30000元人民币，分6期还，现在第四期，并非恶意不还，由于工作变动，由原来每月15号发工资，改为25号，我也找工作人员协商，协商不下来，并且恶意恐吓，威胁，并且打爆我家里父母电话，还有朋友的，威胁恐吓我父母，受到严重的影响，生活上，工作上的影响，也希望能协商由原来的15号还款改为25号。</t>
  </si>
  <si>
    <t>不经核实的拨打本人电话进行车贷催债</t>
  </si>
  <si>
    <t>http://ts.21cn.com/tousu/show/id/1371575</t>
  </si>
  <si>
    <t>2019/10/18 14:31:58</t>
  </si>
  <si>
    <t>经常来电话，已经对本人正常生活已经造成了影响，催债电话态度也很恶劣，对我本人已经造成了恐慌！。</t>
  </si>
  <si>
    <t>苹果游戏误购买成648元商品，发现第一时间就向苹果公司申请退款，苹果公司多次拒绝</t>
  </si>
  <si>
    <t>http://ts.21cn.com/tousu/show/id/1371571</t>
  </si>
  <si>
    <t>2019/10/18 14:31:45</t>
  </si>
  <si>
    <t>我本来只是想购买王者荣耀游戏里45元商品，结果由于卡顿，选择成648元，通过face，直接验证，第一时间发现以后就像苹果公司客服沟通退款，对我来说648元是我半个月生活费，可是苹果客服多次以系统审批不过为由，据不退款，问他们能否人工解决，也不能，万般无奈之下只能申请投诉。</t>
  </si>
  <si>
    <t>钱站旗下速金服</t>
  </si>
  <si>
    <t>http://ts.21cn.com/tousu/show/id/1371570</t>
  </si>
  <si>
    <t>2019/10/18 14:31:27</t>
  </si>
  <si>
    <t>本人于2019年9月份在速金服申请了一笔2000元的贷款。</t>
  </si>
  <si>
    <t>恶意扣费</t>
  </si>
  <si>
    <t>http://ts.21cn.com/tousu/show/id/1371568</t>
  </si>
  <si>
    <t>2019/10/18 14:31:16</t>
  </si>
  <si>
    <t>注册下载app后，银行卡实名认证，但未享受任何服务，但还是恶意扣费。</t>
  </si>
  <si>
    <t>现金巴士高额砍头息高利贷</t>
  </si>
  <si>
    <t>http://ts.21cn.com/tousu/show/id/1371567</t>
  </si>
  <si>
    <t>2019/10/18 14:30:51</t>
  </si>
  <si>
    <t>9月6日13点现金巴士app扣款168借款1000分个月还款，每个月368。</t>
  </si>
  <si>
    <t>新橙优品非法砍头息挂靠保险扣费</t>
  </si>
  <si>
    <t>http://ts.21cn.com/tousu/show/id/1371565</t>
  </si>
  <si>
    <t>2019/10/18 14:30:47</t>
  </si>
  <si>
    <t>投诉人 莫先生        投诉对象  新橙优品        涉诉金额  3 000 元    问题类型    诉求类型投诉详情  借款3000 扣除所谓的保险费260 实力到账2840 每个月还1165 砍头息</t>
  </si>
  <si>
    <t>分期乐借款利率过高，已无力偿还</t>
  </si>
  <si>
    <t>http://ts.21cn.com/tousu/show/id/1371564</t>
  </si>
  <si>
    <t>2019/10/18 14:30:42</t>
  </si>
  <si>
    <t>分期乐利率过高，超出国家标准，已无力偿还，希望协商一次性偿还本金。</t>
  </si>
  <si>
    <t>畅捷支付帮助非法网贷提供支付通道，恶意让用户逾期</t>
  </si>
  <si>
    <t>http://ts.21cn.com/tousu/show/id/1371566</t>
  </si>
  <si>
    <t>2019/10/18 14:30:40</t>
  </si>
  <si>
    <t>提供支付通道，钱老哥恶意让用户逾期，还款日无法登陆APP，没有联系方式和还款通道，现在突然来联系我原本到账2800，现在要换7044元，超级高利贷，本人已经报警联系当地派出所，望平台能够联系钱老哥，客服4008336200，要求减免逾期费用，本人会处理还款事宜。</t>
  </si>
  <si>
    <t>速溶360还款未销账、恶意骚扰</t>
  </si>
  <si>
    <t>http://ts.21cn.com/tousu/show/id/1371545</t>
  </si>
  <si>
    <t>2019/10/18 14:30:07</t>
  </si>
  <si>
    <t>投诉人郑先生投诉对象速溶360涉诉金额20000元问题类型诉求类型投诉详情我于2016年中旬，在速溶360平台借款4笔，后因为个人原因逾期，本金合计9442元，但是偿还本金后，一直未给我销账，并且将我用于偿还本金的钱，大部分用来偿还了高额的逾期费，近日，速溶360人员再次联系我，并且打电话到我单位，严重影响到我的工作，说当时催收人员说的不算，要我继续偿还11000元，并且威胁我，如果我不还这个钱，就会继续打电话到我单位骚扰我，我请求速溶360立即给我销账，并且停止骚扰。</t>
  </si>
  <si>
    <t>钱站平台阴阳合同高利贷</t>
  </si>
  <si>
    <t>http://ts.21cn.com/tousu/show/id/1371563</t>
  </si>
  <si>
    <t>2019/10/18 14:29:50</t>
  </si>
  <si>
    <t>本人于9月27号在钱站平台借款2000元，当时看了合同写明借款金额是2600元，想着600元利息3个月也不算高属于正常，结果在于10月18日时告知10月19日到期应还款1214元，还款时间三个月，等于综合起来需还款3642元，致电客服以后客服表明借款金额合同为2600元，那我询问多出来的1000多元是怎么回事，连客服自己都解释不清，询问是否是利息，回答不是，说是什么系统审核资质费，我就了解下这个费用是怎么出来的，平白无故多出了1000元的利息，等于我借款2000元3个月需要支付1642元的利息，而且是在没有</t>
  </si>
  <si>
    <t>魅族售后不履行碎屏险</t>
  </si>
  <si>
    <t>http://ts.21cn.com/tousu/show/id/1371562</t>
  </si>
  <si>
    <t>2019/10/18 14:29:00</t>
  </si>
  <si>
    <t>在魅族商城购买碎屏险，寄修后不予处理，一直推拖，已超维修期限。</t>
  </si>
  <si>
    <t>转转退款不退验机费</t>
  </si>
  <si>
    <t>http://ts.21cn.com/tousu/show/id/1371558</t>
  </si>
  <si>
    <t>2019/10/18 14:28:21</t>
  </si>
  <si>
    <t>投诉人冯先生投诉对象转转涉诉金额39元问题类型诉求类型投诉详情买转转平台已验机的机器，信息显示卖家一天前寄存在平台，当天4点前拍下当天发货，结果我拍下隔了两三天都没发货，说是卖家没有把机器寄到平台，导致物流信息一直无法追踪，卖家跟客服沟通后得知是平台出问题导致订单信息不正确，三天后平台关闭了订单，退还我购机的费用，却少退了我39元验机费用，我问客服为什么这样，客服给我回电话说钱没法退，补偿我50元转转红包，我要你红包何用。</t>
  </si>
  <si>
    <t>小花钱包账户注销问题</t>
  </si>
  <si>
    <t>http://ts.21cn.com/tousu/show/id/1371561</t>
  </si>
  <si>
    <t>2019/10/18 14:28:02</t>
  </si>
  <si>
    <t>小花钱包要求注销账号，仅能在APP内操作，无法打客服电话在线注销，人工客服少，且难以接通，客服服务态度差，也只会像复读机一样回复，要求小花钱包及小花科技公司简化注销手续，其他的贷款公司只需要确认登录密码或者手机验证码即可注销，为何你们的还需要提供手持身份证照片，作为一家科技公司确认客户身份只有这一种方法了吗。</t>
  </si>
  <si>
    <t>苹果ID被盗用并通过支付宝免密支付消费</t>
  </si>
  <si>
    <t>http://ts.21cn.com/tousu/show/id/1371560</t>
  </si>
  <si>
    <t>2019/10/18 14:27:15</t>
  </si>
  <si>
    <t>支付时可以确认是异地登录并且没有通过我的确认就进行了消费。</t>
  </si>
  <si>
    <t>百世汇通快递五天无快递信息，解决不及时</t>
  </si>
  <si>
    <t>http://ts.21cn.com/tousu/show/id/1371559</t>
  </si>
  <si>
    <t>2019/10/18 14:27:01</t>
  </si>
  <si>
    <t>周一已经显示到西安，然后一直不派送，怀疑丢件，客服联系三次都说会核实会回电，五天了还没有消息。</t>
  </si>
  <si>
    <t>高额服务费，频繁催收，威胁要上门，催收员要家人给我收尸，恐吓我家人</t>
  </si>
  <si>
    <t>http://ts.21cn.com/tousu/show/id/1371556</t>
  </si>
  <si>
    <t>2019/10/18 14:26:38</t>
  </si>
  <si>
    <t>事情是这样的，去年昆明某捷德公司的是推荐下做了捷信的一款消费贷，因为是第一次接触中介，完全不知道里面的套路，捷信下款了25000中介就收了5000，实际到手20000，我问他们多少利息他们就告诉我7-8分便宜的很，也没有告诉我还有服务费什么的，就告诉我反正很便宜就行了，还告诉我可以提前还款什么的，后来打电话给客服才知道他们忽悠我，没给我开灵活包，我如何提前还款啊，借款25000实际到手20000，分30期还，我已经还了11期因为遭到了zhapian，共债过高，一下子无力还款，并非恶意拖欠，恶意逾期，期间已经</t>
  </si>
  <si>
    <t>小赢卡带过高利息等同高利贷</t>
  </si>
  <si>
    <t>http://ts.21cn.com/tousu/show/id/1371555</t>
  </si>
  <si>
    <t>2019/10/18 14:26:33</t>
  </si>
  <si>
    <t>平台地址：http://www.xiaoying.com平台名称；小赢理财官网地址：深圳市小赢科技有限责任公司小赢卡贷借款人的本金加利息总计：53605.71元，电话通知借款人说联络村委还款，恐吓威胁借款人你的工作要没了，要上门催缴等一系列催缴行为，就我知道被小赢卡贷的高额利息和贷后威胁的人数就达百人，小赢卡贷网络借贷，发放贷款，利息高于国家的规定，还有现金贷业务，不当催收侵犯个人隐私。</t>
  </si>
  <si>
    <t>尺寸与页面详情不符</t>
  </si>
  <si>
    <t>http://ts.21cn.com/tousu/show/id/1371557</t>
  </si>
  <si>
    <t>2019/10/18 14:26:29</t>
  </si>
  <si>
    <t>就算是有点偏差也不会偏差到两根手指都塞得下的差距。</t>
  </si>
  <si>
    <t>国美金融暴力催收</t>
  </si>
  <si>
    <t>http://ts.21cn.com/tousu/show/id/1371554</t>
  </si>
  <si>
    <t>2019/10/18 14:26:03</t>
  </si>
  <si>
    <t>国美金融最近疯狂的给我家人发短信，打电话，之前跟他们客服说过，家里遇到情况暂时有困难，之前一期逾期都没有，现在还说我逃避责任，说打我电话打不通，所以才打我朋友电话，我问她为什么要打我朋友电话，他问我那个朋友的电话，我告诉他以后，她又开始打我朋友电话，打起来没完没了的，太可笑了，居然还说替我借钱，能借到，你去借啊，有合同为什么不去起诉我啊，这是逼着人家不还钱啊，谁名誉受损了，还愿意还这个钱，自己的电话不敢用，怕被别人骂啊，。</t>
  </si>
  <si>
    <t>http://ts.21cn.com/tousu/show/id/1371535</t>
  </si>
  <si>
    <t>2019/10/18 14:25:46</t>
  </si>
  <si>
    <t>投诉人李双投诉对象钱橙无忧涉诉金额164元问题类型诉求类型投诉详情如果申请那一天扣的我也不说啥了，都好几天你为啥扣钱啊。</t>
  </si>
  <si>
    <t>点点平台强行绑定众安保险</t>
  </si>
  <si>
    <t>http://ts.21cn.com/tousu/show/id/1371553</t>
  </si>
  <si>
    <t>2019/10/18 14:25:20</t>
  </si>
  <si>
    <t>投诉人 沈女士        投诉对象  众安保险        涉诉金额  1 839 元    问题类型    诉求类型投诉详情  众安保险捆绑点点APP 属于违法行为 给众安客服打电话他们说退不了 必须要提前结清 才退我剩下部分的保险 我借款12个月是有合同的凭什么提前结清 希望平台退回所有保费 实在不行只有去保监会投诉了 保监会再不行我去找媒体曝光</t>
  </si>
  <si>
    <t>名校贷现白领贷非法收取高额咨询费</t>
  </si>
  <si>
    <t>http://ts.21cn.com/tousu/show/id/1371551</t>
  </si>
  <si>
    <t>2019/10/18 14:24:39</t>
  </si>
  <si>
    <t>投诉人 张先生        投诉对象  名校贷        涉诉金额  17 000 元    问题类型    诉求类型投诉详情  借一万到账七千还是八千 剩下的得还完才退还 每期而外收取咨询费</t>
  </si>
  <si>
    <t>维信卡卡贷</t>
  </si>
  <si>
    <t>http://ts.21cn.com/tousu/show/id/1371548</t>
  </si>
  <si>
    <t>2019/10/18 14:24:16</t>
  </si>
  <si>
    <t>投诉人翟女士投诉对象维信金科涉诉金额16000元问题类型诉求类型投诉详情协商还款，因为本人经济出现问题，不能按时还款，希望协商还款缓解我的压力，但是我协商过，他们不同意，意思说不能更改合同，说我恶意不还款，我已经还了9个月，还有三个月我就还清，如果我不想还，我为什么要还9个月呢，打电话催收的人员根本不理会你说什么，就说你还不上为什么要借。</t>
  </si>
  <si>
    <t>及贷催收恶意骚扰通讯录，对朋友造成生活影响</t>
  </si>
  <si>
    <t>http://ts.21cn.com/tousu/show/id/1371550</t>
  </si>
  <si>
    <t>2019/10/18 14:24:04</t>
  </si>
  <si>
    <t>及贷催收人员态度恶劣，直接威胁，并且向通讯录朋友进行多次电话骚扰，对无辜者生活造成严重影响，如果及贷继续联系我通讯录中的好友，我将直接报警处理！。</t>
  </si>
  <si>
    <t>退罚息跟保险费用</t>
  </si>
  <si>
    <t>http://ts.21cn.com/tousu/show/id/1371546</t>
  </si>
  <si>
    <t>2019/10/18 14:23:16</t>
  </si>
  <si>
    <t>一直拖欠不处理，没有人联系我给我答复，回避退款问题。</t>
  </si>
  <si>
    <t>360借条恶意骚扰我</t>
  </si>
  <si>
    <t>http://ts.21cn.com/tousu/show/id/1371544</t>
  </si>
  <si>
    <t>2019/10/18 14:22:38</t>
  </si>
  <si>
    <t>本人不知道360是从哪里来的电话，开始骚扰我以前做过脱毛的地方，并不想拖欠，没想到360借条疯狂到窃取我通讯录里面的信息，疯狂骚扰本人身边有关的一切事物，而且还收到了威胁。</t>
  </si>
  <si>
    <t>没有借款却被催收</t>
  </si>
  <si>
    <t>http://ts.21cn.com/tousu/show/id/1371543</t>
  </si>
  <si>
    <t>2019/10/18 14:22:37</t>
  </si>
  <si>
    <t>请好享贷给予解释！如进一步骚扰本人或用非法途径盗取本人信息联系人，人本将报警并追究相关负责人法律责任。</t>
  </si>
  <si>
    <t>http://ts.21cn.com/tousu/show/id/1371542</t>
  </si>
  <si>
    <t>2019/10/18 14:22:30</t>
  </si>
  <si>
    <t>四个月前申请提前还款金额是7000多，四个月后还要还4600多，金额太多，申请减免。</t>
  </si>
  <si>
    <t>请合利宝提供以下套路贷商户信息</t>
  </si>
  <si>
    <t>http://ts.21cn.com/tousu/show/id/1371541</t>
  </si>
  <si>
    <t>2019/10/18 14:22:15</t>
  </si>
  <si>
    <t>请合利宝提供以下图片扣款商户信息，以下均为合利宝提供支付渠道的714套路贷平台。</t>
  </si>
  <si>
    <t>http://ts.21cn.com/tousu/show/id/1371540</t>
  </si>
  <si>
    <t>2019/10/18 14:22:00</t>
  </si>
  <si>
    <t>嘀嗒出行，是每周二或者周五可以提现，我按正常程序操作，可是最后无法提现，我只能求助咱们的投诉平台给予合理，解决方案。</t>
  </si>
  <si>
    <t>砍头息高利贷还敢给我打电话</t>
  </si>
  <si>
    <t>http://ts.21cn.com/tousu/show/id/1371539</t>
  </si>
  <si>
    <t>2019/10/18 14:21:07</t>
  </si>
  <si>
    <t>现在还自己找上门来了是吧一个德州的号给我打电话问我是不是不还了，我还什么还 我什么时候借的??我不要求你们把之前的高利息还我就不错了 我告诉你们敢再给我打一个电话 就等着行了 查出公司来 直接报警 把我之前的利息全部追回 并且让德州那个号给我打电话道歉 153******62。</t>
  </si>
  <si>
    <t>智行火车票APP捆绑酒店优惠券</t>
  </si>
  <si>
    <t>http://ts.21cn.com/tousu/show/id/1371538</t>
  </si>
  <si>
    <t>2019/10/18 14:20:49</t>
  </si>
  <si>
    <t>智行火车票买票，买完发现默认买了APP捆绑的酒店优惠券，，而且这个酒店优惠券找不到退款的界面，太恶心了，用不上也退不了钱，被捆绑消费了，现投诉其诱导欺骗用户购买其增值服务的行为，要求退还20元的增值业务，并修改操作界面，防止其他人误操作。</t>
  </si>
  <si>
    <t>http://ts.21cn.com/tousu/show/id/1369797</t>
  </si>
  <si>
    <t>2019/10/18 14:20:10</t>
  </si>
  <si>
    <t>到处群发信息，严重影响个人生活，个人名誉遭到侵害。</t>
  </si>
  <si>
    <t>http://ts.21cn.com/tousu/show/id/1290336</t>
  </si>
  <si>
    <t>2019/10/18 14:20:05</t>
  </si>
  <si>
    <t>投诉人郭女士投诉对象平安普惠涉诉金额200000元问题类型诉求类型投诉详情本人于2018年3月28日以自己一份人寿保险作为基础，在平安普惠平台申请了贷款20万元，业务员是我老公认识的人，说是想冲业绩找我老公帮他做贷款，他在我申请前强调年利率8.4%，根据我和我先生当时的工资，觉得能接受，就申请该笔贷款，贷款下来陆陆续续还了12期后，我登陆平安普惠app才发现，我这笔贷款除了8.4%的年利息外，还有每月640元的所谓保险费和1200元的手续费，我质问对方平台为何办理贷款前不如实告知，对方业务员反而质问我你自己</t>
  </si>
  <si>
    <t>骚扰亲属</t>
  </si>
  <si>
    <t>http://ts.21cn.com/tousu/show/id/1371536</t>
  </si>
  <si>
    <t>2019/10/18 14:20:03</t>
  </si>
  <si>
    <t>本人小花钱包逾期几天，已经发信息说了，宽限几天，到了会还他们，小花钱包第三方催收，依然骚扰亲属，给本人和家属造成严重影响，停止骚扰家属。</t>
  </si>
  <si>
    <t>在一网站购买淘宝子账号该平台不让退款</t>
  </si>
  <si>
    <t>http://ts.21cn.com/tousu/show/id/1371534</t>
  </si>
  <si>
    <t>2019/10/18 14:19:44</t>
  </si>
  <si>
    <t>投诉人 蒋先生        投诉对象  广州市猫宁科技有限公司        涉诉金额  190 元    问题类型    诉求类型投诉详情  2019年10月17号 在改网站购买商品 但是中途出现问题 找售后退款 但是售后明确表达不给退 并且使用过程不超过1天 但是购买的时候该网站 没有明确表明不能在使用过程中退款</t>
  </si>
  <si>
    <t>不要骚扰通讯录及家人</t>
  </si>
  <si>
    <t>http://ts.21cn.com/tousu/show/id/1371533</t>
  </si>
  <si>
    <t>2019/10/18 14:19:15</t>
  </si>
  <si>
    <t>因为有时候忙手机坏了一段时间手机无法接通，催收人员要拨打通讯录及家人，我不是不还这个款，请不要骚扰家人，我先还最低还款。</t>
  </si>
  <si>
    <t>支付宝投诉无门</t>
  </si>
  <si>
    <t>http://ts.21cn.com/tousu/show/id/1371532</t>
  </si>
  <si>
    <t>2019/10/18 14:18:53</t>
  </si>
  <si>
    <t>支付宝多次关闭我的账户收款功能，说我账号存在异常操作，而且我本人电话打不进支付宝，我借别人手机能打进去，之后这一个手机号码也别想在打进95188了，简直是恶心人的操作，换手机号反复诉求，但是没人处理。</t>
  </si>
  <si>
    <t>好易贷高利贷暴力催收</t>
  </si>
  <si>
    <t>http://ts.21cn.com/tousu/show/id/1371502</t>
  </si>
  <si>
    <t>2019/10/18 14:18:14</t>
  </si>
  <si>
    <t>,杭州市民卡涉诉金额4500元问题类型诉求类型投诉详情我于2019年9月21日通过趣花分期app在好易贷app上申请2100元的借款，放款方是杭州市民卡公司26日到期，要求归还3000.14元，催收人员言语粗俗，含辱骂，威胁等，经协商归还2700元后不给销账，并于近期要求我再给4500元，且骚扰我通讯录亲朋好友，用词恶毒，给我本人及周围所有人造成了很大的精神压力。</t>
  </si>
  <si>
    <t>招联金融</t>
  </si>
  <si>
    <t>http://ts.21cn.com/tousu/show/id/1371531</t>
  </si>
  <si>
    <t>2019/10/18 14:17:44</t>
  </si>
  <si>
    <t>希望可以协商还款，不要一直打电话，我需要上班赚钱，才能还钱，我没有说我不还这个钱。</t>
  </si>
  <si>
    <t>捷信金融借款没到账就要求收工本费，还款账单也出来了</t>
  </si>
  <si>
    <t>http://ts.21cn.com/tousu/show/id/1371528</t>
  </si>
  <si>
    <t>2019/10/18 14:16:59</t>
  </si>
  <si>
    <t>在一个叫捷信金融的申请了贷款25000元，当时只写了月利率，没写具体每月还多钱，我找遍了APP上联系方式没有电话，只有在线客服，联系客服没人理会！尝试点击体现，合同没签本人名字，只签了宋一个字，借款需要提前支付工本费才能到账，这点首先不合理，如果支付了没到账白白损失2000元，现在款没到我账户，还款账单却出来了！这个我没法认！撤销贷款也要支付费用！这不明明就是在骗取客户钱吗，借款没到账怎么可能交其他费用！不符合正规贷款流程！望处理，打击不规范网贷！以下是APP截图和借款相关信息截图。</t>
  </si>
  <si>
    <t>网贷催收骂人</t>
  </si>
  <si>
    <t>http://ts.21cn.com/tousu/show/id/1371529</t>
  </si>
  <si>
    <t>2019/10/18 14:16:54</t>
  </si>
  <si>
    <t>由于本人资金周转不开，欠小赢卡贷的钱没能及时还上，刚刚小赢卡贷工作人员用手机号给我打电话，手机号为152******85，我想请贵平台解释一下，催收人员骂人是否合法，我这有录音为证，如果这个事不给我一个合理的解释，我会选择求助媒体曝光你们这种行为，国家三令五申，禁止暴力催收，明目张胆的骂我，还自报家门。</t>
  </si>
  <si>
    <t>马上金融催收威胁暴力骚扰我通讯录联系人，请平台帮忙协商处理！</t>
  </si>
  <si>
    <t>http://ts.21cn.com/tousu/show/id/1371527</t>
  </si>
  <si>
    <t>2019/10/18 14:16:24</t>
  </si>
  <si>
    <t>本人在马上金融安逸花有一笔金额为2363.79元的借款订单因为个人原因产生逾期，我支持且接受马上金融平台一切合法合规的催收方式，并且努力与平台沟通表达我的还款意愿，但今天该平台员工告知我3点之前没还上会爆破我通讯录，我表示他们可以按合法流程正常上报征信系统，我工资一发会立马还上，但该员工还是强硬表示如果超过3点就会爆破我的通讯录。</t>
  </si>
  <si>
    <t>暴力催收，阴阳合同，借2万要还四万，逾期没有及时还到群发我通讯录的人，对我造成了极大的伤害</t>
  </si>
  <si>
    <t>http://ts.21cn.com/tousu/show/id/1371526</t>
  </si>
  <si>
    <t>2019/10/18 14:15:52</t>
  </si>
  <si>
    <t>投诉人 张丽娜女士        投诉对象  捷信金融中心        涉诉金额  20 000 元    问题类型    诉求类型投诉详情  暴力催收高利贷，阴阳合同，借2万还4万</t>
  </si>
  <si>
    <t>天猫苹果旗舰店拒收商品后20多天不退款</t>
  </si>
  <si>
    <t>http://ts.21cn.com/tousu/show/id/1371525</t>
  </si>
  <si>
    <t>2019/10/18 14:15:42</t>
  </si>
  <si>
    <t>天猫苹果旗舰店在我拒收商品后迟迟不予退款，联系卖家只有智能机器回复，商家不予理睬9月25号拒收商品要求退款一直到现在10月18号还没退款。</t>
  </si>
  <si>
    <t>拼多多官方客服忽略消费者举报问题</t>
  </si>
  <si>
    <t>http://ts.21cn.com/tousu/show/id/1371524</t>
  </si>
  <si>
    <t>2019/10/18 14:15:38</t>
  </si>
  <si>
    <t>该商家存在导流量行为，多次反映拼多多官方，但不受到重视，望拼多多官方公平公正处理，对违规的商家履行拼多多导流量行为规则做出公正处罚。</t>
  </si>
  <si>
    <t>要求全额负责维修费用</t>
  </si>
  <si>
    <t>http://ts.21cn.com/tousu/show/id/1371507</t>
  </si>
  <si>
    <t>2019/10/18 14:15:07</t>
  </si>
  <si>
    <t>电话188******362019年10月7日在万博汇车库被蒋晓松车主湘AV02P6碰撞，对方的全责，把我雪佛兰湘A788WU车的车灯，前杠撞坏，下节撞断，现在要求换下节，车灯油漆，目前对方只交强险赔偿，超出的部分对方拒绝赔偿，电话联系也是拒接状态，请聚投诉介入尽快帮忙处理。</t>
  </si>
  <si>
    <t>名校贷不退换咨询费</t>
  </si>
  <si>
    <t>http://ts.21cn.com/tousu/show/id/1371522</t>
  </si>
  <si>
    <t>但是本人2017年提前还清后名校贷确以有逾期记录拒绝退还。</t>
  </si>
  <si>
    <t>砍头息，套路贷</t>
  </si>
  <si>
    <t>http://ts.21cn.com/tousu/show/id/1371520</t>
  </si>
  <si>
    <t>2019/10/18 14:14:47</t>
  </si>
  <si>
    <t>华农钱庄非法高利贷，合同2500，实际到账只有1375元，扣了1125元，要求1400元结清销账！。</t>
  </si>
  <si>
    <t>花财不能还款客服态度恶劣</t>
  </si>
  <si>
    <t>http://ts.21cn.com/tousu/show/id/1371055</t>
  </si>
  <si>
    <t>2019/10/18 14:14:40</t>
  </si>
  <si>
    <t>投诉人钟先生投诉对象花财,华夏信财涉诉金额6238元问题类型诉求类型投诉详情花财app，华夏信财企业管理咨询，有限公司，由于它公司系统更新，导致10月17日到19日还款不能正常还款，本人19日还款519.90元共分12期还款，现已还4期，本人登陆花财公众号进行还款发现不能还款17日联系客服，客服态度恶劣称道已经通知我系统更新，并且提前划扣还款款项未成功，而且现在不能还款，要等到21日才能还款，另外逾期由个人承担，后果自负还要催收我通讯录里朋友，对我已经造成恐吓，今日我对公还款打入对方账号工商银行，还款后客服</t>
  </si>
  <si>
    <t>网贷过度催收，侵犯个人隐私</t>
  </si>
  <si>
    <t>http://ts.21cn.com/tousu/show/id/1371521</t>
  </si>
  <si>
    <t>2019/10/18 14:14:38</t>
  </si>
  <si>
    <t>过度催收，爆打通讯录，各种骚扰，有还款意愿也不能进行协商。</t>
  </si>
  <si>
    <t>闪银收取高额借款手续费，催收人员恶意联系通讯录</t>
  </si>
  <si>
    <t>http://ts.21cn.com/tousu/show/id/1371519</t>
  </si>
  <si>
    <t>2019/10/18 14:14:27</t>
  </si>
  <si>
    <t>闪银借款除了向用户收取借款利息之外，还向用户变相收取借款手续费，用户每借100元就要收取11元的借款手续费，使用闪银这么久下来，我所付的额外非法手续费已经超过13000元，超过了借款本金，而且在非经过我本人同意的情况下，在我卡里擅自扣走借款手续费，近日闪银对我通讯录进行电话骚扰，影响我朋友们的生活，现在要求闪银方面停止对我通讯录的骚扰，如果再次骚扰通讯录，我将直接与警方联系。</t>
  </si>
  <si>
    <t>建行信用卡违约金</t>
  </si>
  <si>
    <t>http://ts.21cn.com/tousu/show/id/1371518</t>
  </si>
  <si>
    <t>2019/10/18 14:14:24</t>
  </si>
  <si>
    <t>建设银行的信用卡我已经全部还清，申请退还违约金。</t>
  </si>
  <si>
    <t>手机号二次放号绑定账户不属于自己</t>
  </si>
  <si>
    <t>http://ts.21cn.com/tousu/show/id/1371517</t>
  </si>
  <si>
    <t>2019/10/18 14:13:55</t>
  </si>
  <si>
    <t>投诉人高女士投诉对象京东涉诉金额500元问题类型诉求类型投诉详情京东e卡要求解绑他人账户再重新绑定</t>
  </si>
  <si>
    <t>购买天猫蟹码头食品旗舰店大闸蟹券但是无法提货</t>
  </si>
  <si>
    <t>http://ts.21cn.com/tousu/show/id/1371515</t>
  </si>
  <si>
    <t>2019/10/18 14:13:53</t>
  </si>
  <si>
    <t>但是提货的时候显示到18年12月份都预约满了。</t>
  </si>
  <si>
    <t>http://ts.21cn.com/tousu/show/id/1371514</t>
  </si>
  <si>
    <t>钱站app高利贷，我贷款8000，实际到款8000，可是页面显示我的贷款是10256，期限是12期，一期我要还1100多块钱，12期一共得还13200多，我贷完款后说我不贷款了，你们利息太吓人了，钱站不同意，他们说必须得把本金和利息还过来才行，本来我贷款的是8000，他们说我贷款是10256，多出的这2000是手续费。</t>
  </si>
  <si>
    <t>钱站没到期提前催收</t>
  </si>
  <si>
    <t>http://ts.21cn.com/tousu/show/id/1371511</t>
  </si>
  <si>
    <t>2019/10/18 14:13:39</t>
  </si>
  <si>
    <t>3000元借款，总共还4300，利息高不高我不说啥，我都看的清清楚楚，该还多少我也一分不差，我就想知道合同上写的18号到期，是必须要在18号下午4点前处理掉，客服态度强硬得一批，不知道的还以为我欠他千八百万，动不动就造成的后果你要考虑清楚，全程已录音，各种威胁胁迫，强迫我四点前处理，希望对其做出处罚我就想问下，我能不能晚上还款。</t>
  </si>
  <si>
    <t>强制收取服务费</t>
  </si>
  <si>
    <t>http://ts.21cn.com/tousu/show/id/1371512</t>
  </si>
  <si>
    <t>中秋节借款5千，分6个月还款！前三个月每个月强制收取我1384元的服务费！！上次投诉未处理清楚，商家就申请结案！请问，这投诉还有意义吗。</t>
  </si>
  <si>
    <t>光大银行信用卡第三方暴力催收</t>
  </si>
  <si>
    <t>http://ts.21cn.com/tousu/show/id/1371513</t>
  </si>
  <si>
    <t>2019/10/18 14:13:32</t>
  </si>
  <si>
    <t>本人因遇到困难，未能归还光大信用卡欠款，期间光大银行催收人员恶意骚扰单位及他人，95595打电话像黑社会一样，态度恶劣，2019年10月17日第三方催收人员上门态度恶劣，辱骂我父母，导致母亲因为惊吓身体异样，这第三方为了催收提成无所不用其极，最气人的是在不联系本人的情况下直接骚扰联系人，与其理论还恶语伤人，并且第三方泄露本人个人信息，希望尽快解决，不要去骚扰我父母，不要搞知法犯法的事，我是一名网贷的受害者，前期的钱全被网贷吸走了，这是银行的钱，我肯定会还上，只是现在实在还不出去，如果得不到回应我会选择向银监</t>
  </si>
  <si>
    <t>齐鲁交通ETC客服工作效率低，服务质量差</t>
  </si>
  <si>
    <t>http://ts.21cn.com/tousu/show/id/1371510</t>
  </si>
  <si>
    <t>2019/10/18 14:13:22</t>
  </si>
  <si>
    <t>在10月9日终于退款成功，当天车牌号遭内部工作人员抢注办理ETC，客服电话4007907979没有内容监督电话，对外公布的办公电话61361669无法接通，没有车主的信息怎么申请办理ETC，为什么退款和投诉要45天才能解决，什么工作效率。</t>
  </si>
  <si>
    <t>洋钱罐借款利息太高，协商还款，一次结清</t>
  </si>
  <si>
    <t>http://ts.21cn.com/tousu/show/id/1371509</t>
  </si>
  <si>
    <t>2019/10/18 14:13:13</t>
  </si>
  <si>
    <t>本人学生，受他人诱导在洋钱罐借款平台借款5000元，希望平台能与我联系，一次结清所有欠款减免利息服务费。</t>
  </si>
  <si>
    <t>爆通讯录，骚扰亲戚朋友</t>
  </si>
  <si>
    <t>http://ts.21cn.com/tousu/show/id/1371495</t>
  </si>
  <si>
    <t>2019/10/18 14:13:10</t>
  </si>
  <si>
    <t>我在洋钱罐上借钱周转，第一期正常还款，第二期因为遇到周末推迟了发工资的时间，导致逾期，客服每次打电话过来手机安全管家就提示骚扰和高度营销电话被拦截，后面直接打我通讯录里的电话进行骚扰，不接就不停的打电话，要求贵公司停止打电话，而且我还了你们还打这就是贵公司的问题了。</t>
  </si>
  <si>
    <t>合肥拍拍贷恶意催收</t>
  </si>
  <si>
    <t>http://ts.21cn.com/tousu/show/id/1371508</t>
  </si>
  <si>
    <t>2019/10/18 14:12:56</t>
  </si>
  <si>
    <t>打电话骚扰朋友家人，恶意诽谤中伤，对本人进行侮辱，辱骂家人。</t>
  </si>
  <si>
    <t>在不知情的情况下银行卡被扣费</t>
  </si>
  <si>
    <t>http://ts.21cn.com/tousu/show/id/1371506</t>
  </si>
  <si>
    <t>2019/10/18 14:12:36</t>
  </si>
  <si>
    <t>强制消费，恶意消费，在下载人人花第二天后银行卡就莫名其妙被扣费288，在为经过本人任何操作下被扣费，去问平台客服竟然说只能退一半的金额，我没有享受到任何的服务，还打擦边球，说什么已经写了288米币，但并为提示人民币，已经算是欺诈了，而且本人也没有贷到任何一笔款，请平台帮忙，谢谢。</t>
  </si>
  <si>
    <t>逾期后骚扰我家人。后续资金还不上，没有收入来源无法偿还剩余钱款</t>
  </si>
  <si>
    <t>http://ts.21cn.com/tousu/show/id/1371505</t>
  </si>
  <si>
    <t>2019/10/18 14:12:31</t>
  </si>
  <si>
    <t>本是20号还款日，因自身原因住院生产，本家里人不知道借款，就因为他们的电话打去给我爷爷，害得我爷爷心脏病发，安装了心脏支架，我要求该公司进行赔偿，自从6月份后我没有收入，家人都对我避而远之，我最多就只能把本金还完，利息实在是无力偿还了。</t>
  </si>
  <si>
    <t>交通银行客服说话的真实性</t>
  </si>
  <si>
    <t>http://ts.21cn.com/tousu/show/id/1371504</t>
  </si>
  <si>
    <t>2019/10/18 14:12:25</t>
  </si>
  <si>
    <t>本人于2012年还清交通银行信用卡以及利息后销卡，近期申请查询违约金，首先在交行APP买单吧里人工客服查询，金额为1033，后透露我查询的目的是为了退违约金，客服以之前工作人员算错为由！拒绝退款，之后出来个投诉主管说可以给我退最后三个月违约金的百分只五十，当时他给我的金额是俩百多块钱，百分之五十也就100左右，可是客服给我算后三个月的违约金高达800，所以我但是拒绝了！，最终！我妥协了，就同意退一百多了，可是又出现了一个部门经理，说话态度极其恶劣，工号为39848，姓王的！直接告诉我说不能退，威胁我提供什么</t>
  </si>
  <si>
    <t>钱站催收恶意骚扰通讯录里的人</t>
  </si>
  <si>
    <t>http://ts.21cn.com/tousu/show/id/1371503</t>
  </si>
  <si>
    <t>2019/10/18 14:12:24</t>
  </si>
  <si>
    <t>投诉人 刘女士        投诉对象  钱站        涉诉金额  3 000 元    问题类型    诉求类型投诉详情  钱站阴阳合同 高利贷 借款到账3000合同写4700 本金3000已还清 还多还了200多 催收骚扰 说要联系我的家人朋友 恶意骚扰</t>
  </si>
  <si>
    <t>水莲金条违规收取砍头息，高息还款</t>
  </si>
  <si>
    <t>http://ts.21cn.com/tousu/show/id/1371501</t>
  </si>
  <si>
    <t>2019/10/18 14:12:02</t>
  </si>
  <si>
    <t>本人2019年3月18日在融360平台申请了水莲金条借款15000元分期12期，审批通过后到账15000元，3分钟内扣除3000元的砍头息，其实际到账金额12000元，12期，每月还款1425.25元，本人借款中由于前期违规扣除3000元砍头息，目前还款已经超过国家法定年化利率。</t>
  </si>
  <si>
    <t>投诉京东金融针对我的账户被盗刷不作为</t>
  </si>
  <si>
    <t>http://ts.21cn.com/tousu/show/id/1371500</t>
  </si>
  <si>
    <t>2019/10/18 14:12:01</t>
  </si>
  <si>
    <t>，7月23日操作京东金条产生10000元借款，，至2019年10月16日，产生利息3312.5元，，以上操作都是不明犯罪分子在非本人操作，非本人所为，非本人授权与参与，本人并不知情的情况下产生，本人已在2019年10月16日得知这件事情当天挂失银行卡，报警，并要求京东金融客服锁定被盗账号，包括本人身份信息，白条金条交易否认函，报案回执单，，我也全部提供并及时回复，2019年10月18日，京东金融案件处理专员却告知我，我的京东金条需要我来进行还款，我追问案件调查情况，专员只强调要我进行赔付，具体调查需要银行和</t>
  </si>
  <si>
    <t>招商银行旗下得力催收公司协商不当</t>
  </si>
  <si>
    <t>http://ts.21cn.com/tousu/show/id/1371499</t>
  </si>
  <si>
    <t>2019/10/18 14:11:22</t>
  </si>
  <si>
    <t>10月18日早，就有催收公司的人打电话给我，告知要上门催收，后致电得力催收公司，工作人员告知，不还款就是要上门催收，这要上门催收的事，协商客服并没有事先告知我，我认为这不是协商，根本就是他们说什么就什么，根本没有协商的意义，我在此投诉招商银行信用卡以及他的催收公司——得力公司，根本没有做到协商的意义。</t>
  </si>
  <si>
    <t>现金借款电话催收利息高态度差</t>
  </si>
  <si>
    <t>http://ts.21cn.com/tousu/show/id/1371497</t>
  </si>
  <si>
    <t>2019/10/18 14:11:02</t>
  </si>
  <si>
    <t>投诉人 温女士        投诉对象  现金借款        涉诉金额  1 024 元    问题类型    诉求类型投诉详情  一直打电话 态度不好 恶语伤人 利息高 不断骚扰</t>
  </si>
  <si>
    <t>无故扣费拒绝退款</t>
  </si>
  <si>
    <t>http://ts.21cn.com/tousu/show/id/1371496</t>
  </si>
  <si>
    <t>2019/10/18 14:10:44</t>
  </si>
  <si>
    <t>无故扣费，拨打了客服电话是空号，在线客服拒不退款。</t>
  </si>
  <si>
    <t>小黑鲨暴力催收</t>
  </si>
  <si>
    <t>http://ts.21cn.com/tousu/show/id/1371494</t>
  </si>
  <si>
    <t>2019/10/18 14:09:58</t>
  </si>
  <si>
    <t>以温州敏驿网络科技为首的黑恶势力团伙，有组织的进行黑社会高利贷放款，放款后九月份APP无法还款，失连,造成逾期后委托黑恶催收公司进行催收，爆通讯录，该团伙人员众多，分工明确，有组织、有预谋，希望相关严惩次黑恶团伙。</t>
  </si>
  <si>
    <t>虚假链接被欺诈</t>
  </si>
  <si>
    <t>http://ts.21cn.com/tousu/show/id/1371481</t>
  </si>
  <si>
    <t>2019/10/18 14:09:43</t>
  </si>
  <si>
    <t>投诉人李女士投诉对象拼多多涉诉金额500元问题类型诉求类型投诉详情朋友介绍的刷单返现，被骗了，加微信之后，就让用支付宝扫一个带二维码的支付宝图片链接，进去之后就是耐克的天猫店，付款500，完成后发现是拼多多平台商户，但是淘宝天猫拼多多都找不到订单记录，对方让联系财务QQ客服才退款，客服一直不退款也不理人。</t>
  </si>
  <si>
    <t>闪电借款暴力催收欺诈诱导撤销投诉并继续暴力催收</t>
  </si>
  <si>
    <t>http://ts.21cn.com/tousu/show/id/1371493</t>
  </si>
  <si>
    <t>2019/10/18 14:09:22</t>
  </si>
  <si>
    <t>昨天投诉，然后他们联系我说协商，并欺诈诱导我删除投诉信息...然后继续施行暴力催收。</t>
  </si>
  <si>
    <t>招商银行骚扰家人</t>
  </si>
  <si>
    <t>http://ts.21cn.com/tousu/show/id/1371490</t>
  </si>
  <si>
    <t>2019/10/18 14:08:27</t>
  </si>
  <si>
    <t>招商银行骚扰家人，对生活带来严重的影响，一直在打电话。</t>
  </si>
  <si>
    <t>申请延期</t>
  </si>
  <si>
    <t>http://ts.21cn.com/tousu/show/id/1371491</t>
  </si>
  <si>
    <t>由于本人工作原因还款压力大导致资金紧张，希望贵公司停止骚扰，恐吓，暴力催收。</t>
  </si>
  <si>
    <t>光大银行信用卡催收不合理</t>
  </si>
  <si>
    <t>http://ts.21cn.com/tousu/show/id/1371489</t>
  </si>
  <si>
    <t>2019/10/18 14:08:12</t>
  </si>
  <si>
    <t>本人使用光大银行信用卡多年，一直遵守信用卡使用规则，并且从未逾期情况，近期因为和就职单位的原因拖欠工资近半年，本人也已申请劳动仲裁，故造成近期的逾期情况，也在逾期期间和银行沟通过很多次协商还款事宜，银行的回复差强人意，甚至委托三方催收发送一些威胁短信给我和我的家人朋友，家人对目前的情况也非常抱歉，但是却从未拒绝过还款，甚至尽我们所能去归还欠款，这期间贵行也多次打电话发短信过来逼迫还款，也造成了我的工作压力，甚至有过轻生的想法，所以在此投诉，因为沟通过很多次没有效果甚至这种催收行为让我无法正常上班赚取收入的情</t>
  </si>
  <si>
    <t>苏宁易购冻结我的任性付，有额度却无法用任性付支付</t>
  </si>
  <si>
    <t>http://ts.21cn.com/tousu/show/id/1371488</t>
  </si>
  <si>
    <t>2019/10/18 14:08:10</t>
  </si>
  <si>
    <t>苏宁易购无故冻结我的任性付，有额度，购买商品无法使用任性付支付购买商品我的苏宁金融产品一直无任何逾期和不良行为，现在突然无法使用了，导致我急用商品无法购买。</t>
  </si>
  <si>
    <t>卡卡贷从未逾期，我征信显示逾期</t>
  </si>
  <si>
    <t>http://ts.21cn.com/tousu/show/id/1371487</t>
  </si>
  <si>
    <t>2019/10/18 14:08:00</t>
  </si>
  <si>
    <t>我2018年12月4日借款8600，放款方是河南中原消费金融，我从来都是提前存款到我建设银行尾号2095的储蓄卡让它扣款，每月它自己扣款863.73，最近几个月我还提前几天还款863.73，如果他们没有处理，我将找银监会连同中原银行一并投诉到底。</t>
  </si>
  <si>
    <t>小象优品高利贷挑战法律</t>
  </si>
  <si>
    <t>http://ts.21cn.com/tousu/show/id/1371460</t>
  </si>
  <si>
    <t>2019/10/18 14:07:54</t>
  </si>
  <si>
    <t>是否国家已经没有了法律人民没有了希望，在如此的国度法律该怎么让老百姓生存这是国家应该考虑的，高利贷横行黑恶势力的嚣张跋扈，小象优品可谓是黑社会的领头羊，借款8500分期12期手续费高达3060这是在严重的挑选国家金融秩序，挑战法律，再这么为所欲为的下去只会激起民变，在逾期几天的情况下读取客户通讯录和通话记录名单进行骚扰和群发短信，让本人收到了极大的心里负担，公然挑衅国家法律明文规定，请求国家对该公司进行查询还有多少人陷在高利贷公司的威胁下。</t>
  </si>
  <si>
    <t>钱站高利息要求提前结清只还本金</t>
  </si>
  <si>
    <t>http://ts.21cn.com/tousu/show/id/1371486</t>
  </si>
  <si>
    <t>2019/10/18 14:07:50</t>
  </si>
  <si>
    <t>投诉人 曹女士        投诉对象  钱站        涉诉金额  2 000 元    问题类型    诉求类型投诉详情  借2000还款4000 高利贷 还本金 提前结清</t>
  </si>
  <si>
    <t>http://ts.21cn.com/tousu/show/id/1371485</t>
  </si>
  <si>
    <t>2019/10/18 14:06:33</t>
  </si>
  <si>
    <t>投诉人 梁女士        投诉对象  立刻出行        涉诉金额  499 元    问题类型    诉求类型投诉详情  全广州一辆车都没有 退押金也退不了 余额也退不了</t>
  </si>
  <si>
    <t>微贷网多米贷在联系到本人的前提下威胁要爆通讯录</t>
  </si>
  <si>
    <t>http://ts.21cn.com/tousu/show/id/1371483</t>
  </si>
  <si>
    <t>2019/10/18 14:06:19</t>
  </si>
  <si>
    <t>微贷网多米贷砍头息800元，必须买保险，而且现在保单都没看到，而且催收人员再联系到本人的情况下威胁要爆通讯录。</t>
  </si>
  <si>
    <t>人人贷暴力催收</t>
  </si>
  <si>
    <t>http://ts.21cn.com/tousu/show/id/1371479</t>
  </si>
  <si>
    <t>2019/10/18 14:06:03</t>
  </si>
  <si>
    <t>人人贷客服不断骚扰本人正常工作生活，用各种电话座机、手机、短信恐吓、威胁，暴力催收。</t>
  </si>
  <si>
    <t>与活力花协商还款</t>
  </si>
  <si>
    <t>http://ts.21cn.com/tousu/show/id/1371482</t>
  </si>
  <si>
    <t>2019/10/18 14:06:01</t>
  </si>
  <si>
    <t>前期在活力花有过借款，现在工作辞职，因为资金方面出现问题，现在不能进行如期还款，请商家协商还款，不要在暴力催收，本人在其他平台也有借款，现在家人正在想办法凑钱，现在希望与商家进行协商延期还款，停止催收行为！！！。</t>
  </si>
  <si>
    <t>花鹿10天收取砍头息，支付宝转款</t>
  </si>
  <si>
    <t>http://ts.21cn.com/tousu/show/id/1371480</t>
  </si>
  <si>
    <t>2019/10/18 14:05:53</t>
  </si>
  <si>
    <t>花鹿累计借款多次，10天借款期限，每次需现支付会员费用才下款，到账1260，乐清译浩贸易有限公司都需要收取费用298，还款1600，套路贷款.。</t>
  </si>
  <si>
    <t>钱站高利贷，催收人员催收金额不符</t>
  </si>
  <si>
    <t>http://ts.21cn.com/tousu/show/id/1371477</t>
  </si>
  <si>
    <t>2019/10/18 14:05:36</t>
  </si>
  <si>
    <t>钱站高利贷，还说自己是合法的，催收人员给的还款金额与实际完全不符，最后一张是借还款明细，这样的利率真的不是高利贷吗。</t>
  </si>
  <si>
    <t>http://ts.21cn.com/tousu/show/id/1371474</t>
  </si>
  <si>
    <t>2019/10/18 14:03:57</t>
  </si>
  <si>
    <t>贷上钱以购买游戏豆为通过放款费，变相砍头息，逾期不还非法爆通讯录，其逾期费更是离谱，现请求协商，撤销游戏豆和其他非法利息，如不达成协议:继续骚扰我亲朋好友，本人只能通过法律途径维权。</t>
  </si>
  <si>
    <t>快易花</t>
  </si>
  <si>
    <t>http://ts.21cn.com/tousu/show/id/1371475</t>
  </si>
  <si>
    <t>2019/10/18 14:03:56</t>
  </si>
  <si>
    <t>投诉人 朱女士        投诉对象  快钱-快易花        涉诉金额  900 元    问题类型    诉求类型投诉详情  协商好还一直不断的威胁 不断的威胁 万达快易花</t>
  </si>
  <si>
    <t>大白汽车分期售后问题</t>
  </si>
  <si>
    <t>http://ts.21cn.com/tousu/show/id/1371473</t>
  </si>
  <si>
    <t>2019/10/18 14:03:14</t>
  </si>
  <si>
    <t>大白汽车在让客户购买完车之后，对于售后服务问题处理慢，态度恶劣，只是需要盖章的问题却一个交一个的弄不下来，他们客服人员还告诉我打电话去也没用，。</t>
  </si>
  <si>
    <t>恶意篡改合同信息及恶意催收</t>
  </si>
  <si>
    <t>http://ts.21cn.com/tousu/show/id/1371472</t>
  </si>
  <si>
    <t>2019/10/18 14:02:47</t>
  </si>
  <si>
    <t>之前的合同欠款和现在的合同欠款可以随意篡改的吗.我特么借两万还了34期还剩1万5千多这是什么鬼希望平台可以严厉打击这种高利贷.没天还不停的打电话烧扰我通讯录的亲朋好友。</t>
  </si>
  <si>
    <t>http://ts.21cn.com/tousu/show/id/1371469</t>
  </si>
  <si>
    <t>2019/10/18 14:02:38</t>
  </si>
  <si>
    <t>现在实在是无力还款了，亲朋好友能借的都借遍了。</t>
  </si>
  <si>
    <t>http://ts.21cn.com/tousu/show/id/1371467</t>
  </si>
  <si>
    <t>2019/10/18 14:01:19</t>
  </si>
  <si>
    <t>遵义湘江投资公司，欺骗老百姓，付了钱却不给老百姓交房，退钱也不能退。</t>
  </si>
  <si>
    <t>钱站爱钱进阴阳合同</t>
  </si>
  <si>
    <t>http://ts.21cn.com/tousu/show/id/1371466</t>
  </si>
  <si>
    <t>2019/10/18 14:00:52</t>
  </si>
  <si>
    <t>借款5000期限半年，莫名其妙的服务费加利息算下来要还8000多，这是名副其实的高利贷啊，希望贵平台看到联系我，我要求提前结清本金和应付的利息，销账不再使用，不然就走司法程序吧！。</t>
  </si>
  <si>
    <t>喜鹊快贷套路贷高利贷，放款金额和合同金额不符，暴力催收爆通讯录</t>
  </si>
  <si>
    <t>http://ts.21cn.com/tousu/show/id/1371464</t>
  </si>
  <si>
    <t>2019/10/18 14:00:23</t>
  </si>
  <si>
    <t>本人2019年5月5日在喜鹊快贷上贷12000元整，放款前看到是贷款金额12000元，到账金额是12000元，分1年，放款到账后看到合同金额变成15444元，每个月还款1347.03，共分12个月，我的总还款金额是16164.36元，在查询合同后发现，原本贷款12000元，在宣传时候并未提及有关服务费、保证金、担保费等等，而这超出的3444元是服务费、保证金和担保费，则直接成了借款本金，利息跟服务费占比本金34%以上，这就是高利贷套路贷无疑，目前本人因家庭经济出现重大问题无法结清借款，也曾跟客服多次沟通协商</t>
  </si>
  <si>
    <t>网贷借款还款联系不到借款平台</t>
  </si>
  <si>
    <t>http://ts.21cn.com/tousu/show/id/1371465</t>
  </si>
  <si>
    <t>2019/10/18 14:00:05</t>
  </si>
  <si>
    <t>在小黑鲨平台借款2000元，现在短信告诉还款，但是app登录不上去，客服联系不上，无法还款，如果因为这些导致我逾期，或者出现信用不良，是小黑鲨平台得责任，跟我无关，希望尽快联系我，我可以还款，但是前提是能联系到平台得工作人员。</t>
  </si>
  <si>
    <t>小黑鲨阴阳合同，高利贷</t>
  </si>
  <si>
    <t>http://ts.21cn.com/tousu/show/id/1371463</t>
  </si>
  <si>
    <t>2019/10/18 13:59:47</t>
  </si>
  <si>
    <t>小黑鲨app，借款3500元，一个月分三期还清，第一期还款就要2000，剩下两期每期却还要还1189元，而且app上面一直还不了款，客服电话也没人接听，现在要求协商结清！。</t>
  </si>
  <si>
    <t>催款</t>
  </si>
  <si>
    <t>http://ts.21cn.com/tousu/show/id/1371461</t>
  </si>
  <si>
    <t>2019/10/18 13:58:38</t>
  </si>
  <si>
    <t>可是今天又发来律师函，这不仅是第一次发来，已经是三四次了，我也没有拒绝还款，上个月跟贵公司客服协商的时候，我提出逾期费降到法律规定的范围，客服也同意了，可是一直没有看到APP上有所变化，我一直很配合贵公司，按时接电话没有逃避，在这样催下去。</t>
  </si>
  <si>
    <t>捷信金融冒充公检法、威胁恐吓</t>
  </si>
  <si>
    <t>http://ts.21cn.com/tousu/show/id/1371459</t>
  </si>
  <si>
    <t>2019/10/18 13:58:34</t>
  </si>
  <si>
    <t>捷信金融恶意将我的号码提供给第三方催收公司，对我进行恶意催收、暴力催收长达6年，期间多次解释：“我不是孙继兵”，但是捷信公司仍然不做出任何处理，并一直不停暴力催收至今，这种行为已经严重影响我的工作和生活，并给我造成极大的精神压力，导致我轻度抑郁另外，我投诉捷信后，捷信否认，不承认给我发短信、打电话恶意骚扰，明显就是想已这种方式敷衍过去。</t>
  </si>
  <si>
    <t>不按期交房和处理实际问题</t>
  </si>
  <si>
    <t>http://ts.21cn.com/tousu/show/id/1371458</t>
  </si>
  <si>
    <t>2019/10/18 13:57:51</t>
  </si>
  <si>
    <t>投诉人 任讯        投诉对象  遵义湘江投资建设管理有限责任公司        涉诉金额  150 000 元    问题类型    诉求类型投诉详情  未履行合同，不按期交房。不积极处理该合同。损害了我们购房者的权益</t>
  </si>
  <si>
    <t>左右钱包</t>
  </si>
  <si>
    <t>http://ts.21cn.com/tousu/show/id/1371457</t>
  </si>
  <si>
    <t>2019/10/18 13:57:36</t>
  </si>
  <si>
    <t>左右钱包,卧龙钱包,浪花花,一秒陛下,诸葛钱包，这几个都是非法高利贷，砍头息，借1800只到账1140，五天就要还1800.借2207到账1400.砍头息多高啊，明明显示的是30天到期，审核通过了一看是六天的，然后就开始打电话，威胁恐吓，还骚扰亲戚朋友。</t>
  </si>
  <si>
    <t>滞纳金和利息</t>
  </si>
  <si>
    <t>http://ts.21cn.com/tousu/show/id/1371456</t>
  </si>
  <si>
    <t>2019/10/18 13:57:06</t>
  </si>
  <si>
    <t>交通银行未按照国家标准收费罚息，现在不退多收取部分的违约金和滞纳金和利息，如果收到邮件还不解决，我将继续维权。</t>
  </si>
  <si>
    <t>ofo小黄车私自将押金转为余额，且无退款通道，APP线上客服，电话客服永远无法接通</t>
  </si>
  <si>
    <t>http://ts.21cn.com/tousu/show/id/1371455</t>
  </si>
  <si>
    <t>2019/10/18 13:57:05</t>
  </si>
  <si>
    <t>本人于10月1日凌晨使用支付宝扫码使用ofo小黄车，当时显示需缴纳149元押金，待支付玩押金后，发现是故障车无法开锁，但ofo仍扣除了使用费，此时发现当时缴纳的押金已转为余额，且无退款通道，之后十余天多次通过在线客服和电话联系，均未能接通，此行为已涉嫌欺诈消费者，希望涉事企业退还本人账户余额并道歉！。</t>
  </si>
  <si>
    <t>现金巴士砍头息严重</t>
  </si>
  <si>
    <t>http://ts.21cn.com/tousu/show/id/1371454</t>
  </si>
  <si>
    <t>2019/10/18 13:56:35</t>
  </si>
  <si>
    <t>我于2019年7月18日在现金巴士借款1000元，该软件平台强制性要求购买168元的会员，在1000元借款到账后就短信提醒还那168元的会员费，后续8月17日在该平台还款364元，9月18日在该平台还款363元，但现在该平台仍然要求我再归还363元，明确表示168的会员费为砍头息，现恳请聚投诉各位领导能帮助我，给予我一个合理的说法。</t>
  </si>
  <si>
    <t>普惠快信恶意催收，非法高利贷</t>
  </si>
  <si>
    <t>http://ts.21cn.com/tousu/show/id/1371452</t>
  </si>
  <si>
    <t>2019/10/18 13:56:34</t>
  </si>
  <si>
    <t>去年去朋友手机店看手机，说可以分期购买，利息不太多，就3299买了一个分期手机，分12月，第一月账单出来，让还448以为一个月一个月会减本金，还了3个月本金利息都没减，第3月逾期几天没还，直接打通讯录电话恐吓家里人，架不住催收的谩骂骚扰还清了，每月448一年一共还了5376本金只有3299超出国家规定24%年利率，希望退还多余本金利息。</t>
  </si>
  <si>
    <t>拍拍贷短信轰炸</t>
  </si>
  <si>
    <t>http://ts.21cn.com/tousu/show/id/1371451</t>
  </si>
  <si>
    <t>2019/10/18 13:56:31</t>
  </si>
  <si>
    <t>投诉人 高先生        投诉对象  拍拍贷        涉诉金额  4 000 元    问题类型    诉求类型投诉详情  骚扰朋友 短信轰炸 威胁。语言谩骂 一天打29几个电话</t>
  </si>
  <si>
    <t>携程助力活动涉及套路</t>
  </si>
  <si>
    <t>http://ts.21cn.com/tousu/show/id/1371453</t>
  </si>
  <si>
    <t>2019/10/18 13:56:22</t>
  </si>
  <si>
    <t>携程昨天的助力活动最后还差六个人就无法助力了，为什么每到最后一刻就会这样，昨天回复很快，但是并没有给出一个解决方案，后续说会来电，至此并没有接到任何电话。</t>
  </si>
  <si>
    <t>http://ts.21cn.com/tousu/show/id/1371450</t>
  </si>
  <si>
    <t>2019/10/18 13:56:11</t>
  </si>
  <si>
    <t>一直提现不了有2，3个月了，另外交易订单也一直不给结算。</t>
  </si>
  <si>
    <t>趣惠买砍头息高利贷</t>
  </si>
  <si>
    <t>http://ts.21cn.com/tousu/show/id/1371449</t>
  </si>
  <si>
    <t>2019/10/18 13:55:55</t>
  </si>
  <si>
    <t>本人使用过3次趣惠买，第一次借款999元，实际到账749元，周期八天，已还清，第二次借款1050元，实际到账875，周期八天，第三次借款1650元,到账1155元，惠趣买不符合国家规定放贷，砍头息套路贷，还美其名曰购物平台，挂羊头卖狗肉，多次联系客服未果，要求平台严惩惠趣买套路贷平台，对未还款金额进行销账，联动优势为惠趣买砍头息套路贷平台提供支付服务，本人要求本金销账，多一分不还，请逾期前联系处理，如逾期前不联系处理产生逾期费本人不承担，若暴力催收爆通讯录将保留证据并报警处理！。</t>
  </si>
  <si>
    <t>活力花暴力催收侵犯隐私利息高</t>
  </si>
  <si>
    <t>http://ts.21cn.com/tousu/show/id/1371447</t>
  </si>
  <si>
    <t>2019/10/18 13:55:43</t>
  </si>
  <si>
    <t>活力花借款4500元，强制性扣除保险，并每月要偿还高额利息，已还款一期，第二期还款协商往后不同意，爆通讯录催收，恐吓，严重影响其他人生活，欠款不还可以依据合同起诉，不应通过不正当手段进行催收。</t>
  </si>
  <si>
    <t>易开出行押金逾期不退还</t>
  </si>
  <si>
    <t>http://ts.21cn.com/tousu/show/id/1371448</t>
  </si>
  <si>
    <t>2019/10/18 13:55:38</t>
  </si>
  <si>
    <t>本人于2019年9月13日在易开出行app上申请退还押金，易开出行承诺退款周期为十五个工作日，但押金至今未退，已经超过退款周期了，而且本人在用车期间无任何违章，期间多次联系平台客服，客服一直都是催促财务等模板性质的回复，然后马上就会被客服中断咨询！！！实际没有任何进展，请聚投诉一定要让易开出行尽快退回押金，此行为已严重影响了我的生活，请易开出行给予退款！！！。</t>
  </si>
  <si>
    <t>还款成功后，不销账，还显示逾期</t>
  </si>
  <si>
    <t>http://ts.21cn.com/tousu/show/id/1371437</t>
  </si>
  <si>
    <t>2019/10/18 13:55:37</t>
  </si>
  <si>
    <t>投诉人李先生投诉对象嗨钱网涉诉金额5444元问题类型诉求类型投诉详情在嗨钱的借款已经还清，对方以APP更新为理由，一直未销账，已经过去3个月了，客服在以APP更新为理由不销账！账单还显示了逾期，产生逾期费用！本人提供嗨钱在8月11号和9月11号当天从我银行卡划扣的凭证，要求嗨钱，销账处理！。</t>
  </si>
  <si>
    <t>钱站阴阳合同非法高利贷</t>
  </si>
  <si>
    <t>http://ts.21cn.com/tousu/show/id/1371445</t>
  </si>
  <si>
    <t>2019/10/18 13:54:59</t>
  </si>
  <si>
    <t>我的爱人，在钱站爱钱进上借款3000元，分三期需要还4440多元，每期1480元，这已经严重超出了国家的法定合法利息，按照年利率36%3000元，只要还3270/那再只要还308元，现在本人已经深陷绝境，面临家破人亡，希望贵平台帮忙协商解决一下这个问题能协商还款可以把合理利息范围内的还清。</t>
  </si>
  <si>
    <t>网络交易</t>
  </si>
  <si>
    <t>http://ts.21cn.com/tousu/show/id/1371432</t>
  </si>
  <si>
    <t>2019/10/18 13:52:31</t>
  </si>
  <si>
    <t>投诉人黄女士投诉对象拍拍涉诉金额1000元问题类型诉求类型投诉详情本人于昨天中午11:47分收到拍拍短信:拍拍您发布的商品收到一条买家留言，立刻点击查看&amp;nbsp;3.cn/xTGWshs&amp;nbsp;，随后我打开微信进入京东闲置商品页面看到买家留言，我说报警后，此留言已被买家删除，其中它发的一条朋友圈也删了，之后一直没回我信息，说想看物品照片，叫我加它微信，我按着上面的数字它为好友成功后，发了物品照片后买家说去下单，之后说下单交易失败，给我发了一张截图，[截图中有个二维码写着可以联系客服]并告诉我他的号也被</t>
  </si>
  <si>
    <t>跟滴滴要钱</t>
  </si>
  <si>
    <t>http://ts.21cn.com/tousu/show/id/1371442</t>
  </si>
  <si>
    <t>2019/10/18 13:51:23</t>
  </si>
  <si>
    <t>本人今天上午在大连海事大学接了2单，出门口时超时收费3块，2笔订单我怎么往里添加额外费用，人家乘客也不干呀，你可以给乘客打电话确认，或是海事大学电话确认。</t>
  </si>
  <si>
    <t>淘集集官方不让下架产品，客服电话一直打一直没人接，公众号客服没人回复</t>
  </si>
  <si>
    <t>http://ts.21cn.com/tousu/show/id/1371440</t>
  </si>
  <si>
    <t>2019/10/18 13:50:56</t>
  </si>
  <si>
    <t>我是淘集集商家，由于我的经营不善，打算换行业，但是因为有一款产品是隐身上架，一直不能下架，第一次找客服没有回复，一直拖到现在，好像有2个月了吧，导致现在也不能下架，找客服打电话一直没有人接，也没有效果，希望能通过给我处理一下，而且不让我提现金额，我希望官方尽快给我解决，金额可以不要。</t>
  </si>
  <si>
    <t>遵义湘江投资有限公司延期交房</t>
  </si>
  <si>
    <t>http://ts.21cn.com/tousu/show/id/1371441</t>
  </si>
  <si>
    <t>2019/10/18 13:50:46</t>
  </si>
  <si>
    <t>18年底买房子时说是现房，2019年4月30日交房。</t>
  </si>
  <si>
    <t>砍头息，恐吓</t>
  </si>
  <si>
    <t>http://ts.21cn.com/tousu/show/id/1371439</t>
  </si>
  <si>
    <t>2019/10/18 13:50:14</t>
  </si>
  <si>
    <t>打电话态度威胁，并且砍头息，这只是小部分，。</t>
  </si>
  <si>
    <t>建设银行信用卡中心拒不处理退违约金</t>
  </si>
  <si>
    <t>http://ts.21cn.com/tousu/show/id/1371438</t>
  </si>
  <si>
    <t>2019/10/18 13:49:48</t>
  </si>
  <si>
    <t>因2016年奶奶手术住院，家里经济困难，所以信用卡未及时还，当时跟建设银行客服请求拖延一点时间还款没有同意，迫于无奈只能支付大额罚息及违约金，现在从朋友及法律了解到违约金可以退还，而且这么大额违约金也违反法律规定，朋友的已经退还，而我给信用卡中心打电话客服却说没有这个业务，所以我希望能有人处理一下这个事情！。</t>
  </si>
  <si>
    <t>遵义湘江投资不交房也不退钱</t>
  </si>
  <si>
    <t>http://ts.21cn.com/tousu/show/id/1371436</t>
  </si>
  <si>
    <t>2019/10/18 13:49:47</t>
  </si>
  <si>
    <t>后来我们找他要说法！他们回答因没有土地使用证无法交房！然后我们要求退款，还是无法交房！且购房款被人贪污无法退款！这让我们几百户购房人钱财打水漂！希望相关部门重视！老百姓命苦无法和他们斗！。</t>
  </si>
  <si>
    <t>未经允许扣卡里钱</t>
  </si>
  <si>
    <t>http://ts.21cn.com/tousu/show/id/1371435</t>
  </si>
  <si>
    <t>2019/10/18 13:49:17</t>
  </si>
  <si>
    <t>10月18日凌晨注册借花钱app，刚完成认证，绑定银行卡，未经允许就扣了我卡里198元。</t>
  </si>
  <si>
    <t>专插本机构不退款</t>
  </si>
  <si>
    <t>http://ts.21cn.com/tousu/show/id/1371433</t>
  </si>
  <si>
    <t>2019/10/18 13:48:15</t>
  </si>
  <si>
    <t>8月30日，报名了一家名为广州诺信教育服务中心的专插本，该机构称报名费用为2800元，并与我就读的学校有合作，开学后就在学校里面上课，并承诺一直到插本考试前都不收取额外费用，都是我自己去询问一直让我等通知，直到10月8号我再一次问过该老师，老师称我要到燕塘总部去上课，我们学校开不了课，并还要我补900块的余款，一开始报名的时候不是说不会再收取费用而且在学校里面上课的吗，老师称她也没有办法，都是听从总部安排，我十分气愤，明明承诺了自己是在我自身学校上课的，并且2800元一直到考试前，现在说要改地点还要交钱，如</t>
  </si>
  <si>
    <t>急用钱平台电话威胁爆通讯录</t>
  </si>
  <si>
    <t>http://ts.21cn.com/tousu/show/id/1371434</t>
  </si>
  <si>
    <t>2019/10/18 13:48:06</t>
  </si>
  <si>
    <t>突然打电话告诉我有借款没还，还威胁我不还就爆我通讯录，我说你爆通讯录我就报警，还跟我理直气壮讲，你现在就报警，报警我也要爆你通讯录，威胁，恐吓！最主要的是我不知道这个平台，没借过款，你威胁我干毛线，我哪知道你是什么平台！希望能有人出来解决一下！。</t>
  </si>
  <si>
    <t>江苏移动无限卡为什么在扬州不能补卡</t>
  </si>
  <si>
    <t>http://ts.21cn.com/tousu/show/id/1371430</t>
  </si>
  <si>
    <t>2019/10/18 13:47:09</t>
  </si>
  <si>
    <t>本人原来一直在无锡市，办理移动卡号己多年，今年春节后离开无锡来扬州老家，无锡办理的移动卡不慎丢失，己几个月了，本人又没时间去无锡专为程补卡，在扬州这边去营业厅又不能补办、这样卡几个月不用还怕被注销了只能月月交费保号，扬州这边为什么不能补办无锡移动卡呢。</t>
  </si>
  <si>
    <t>建设信用卡收取违约金不合理</t>
  </si>
  <si>
    <t>http://ts.21cn.com/tousu/show/id/1371429</t>
  </si>
  <si>
    <t>2019/10/18 13:47:08</t>
  </si>
  <si>
    <t>我打电话给银行申请违约金减免退费，结果银行的客服，结果银行的客服(工号71530)说没有这个减免可说我当时已经说明情况是因为什么原因而不能还款的，中间我陆陆续续都有还款进去了，当时逾期的时候银行的催收我也说明了个人原因了，还被恐吓了说要上门什么的，昨天信用卡部的给我来电话，态度十分差，说话态度也牛得跟什么似的，他说你是因为地震原因或者其他什么原因不能还款吗，还是说什么不可抗拒的因素之类的，说要投诉到银监会也是投诉到他这里的，我就想问一下，他能代表银监会吗，我说我逾期你们已经收了罚息了，这个违约金是按照什么收</t>
  </si>
  <si>
    <t>http://ts.21cn.com/tousu/show/id/1371431</t>
  </si>
  <si>
    <t>2019/10/18 13:47:01</t>
  </si>
  <si>
    <t>投诉人 顾女士        投诉对象  树林分期        涉诉金额  3 000 元    问题类型    诉求类型投诉详情  借款3000到账2200 分四期，7天一期 每期还770</t>
  </si>
  <si>
    <t>投诉及贷暴力催收</t>
  </si>
  <si>
    <t>http://ts.21cn.com/tousu/show/id/1371428</t>
  </si>
  <si>
    <t>2019/10/18 13:46:47</t>
  </si>
  <si>
    <t>此平台存在暴力催收，不止一次出现此种情况，威胁恐吓报通讯录。</t>
  </si>
  <si>
    <t>钱站高利贷阴阳合同砍头息</t>
  </si>
  <si>
    <t>http://ts.21cn.com/tousu/show/id/1371427</t>
  </si>
  <si>
    <t>2019/10/18 13:46:16</t>
  </si>
  <si>
    <t>钱站就是一个超高利贷，我于10月3日申请借款1600元，号称利率年化只有24，我当时还挺高兴的，结果当时我没有细看，直到借款到账，我查看分期明细和合同，结果合同前面变成了2128，这也就算了，查看分期合同，才发现这不仅仅是砍头息，还有各种费用，一共差不多3000，这还是正规公司吗，一有时候并不是钱的事，这一定钱，真的让人寒心。</t>
  </si>
  <si>
    <t>淘集集不发货</t>
  </si>
  <si>
    <t>http://ts.21cn.com/tousu/show/id/1371415</t>
  </si>
  <si>
    <t>2019/10/18 13:43:53</t>
  </si>
  <si>
    <t>投诉人戴先生投诉对象淘集集涉诉金额33元问题类型诉求类型投诉详情不发货，用虚假发货信息，商家不理人，平台客服敷衍。</t>
  </si>
  <si>
    <t>要求全额负责维修费</t>
  </si>
  <si>
    <t>http://ts.21cn.com/tousu/show/id/1371426</t>
  </si>
  <si>
    <t>2019/10/18 13:43:42</t>
  </si>
  <si>
    <t>2019年10月7日在万博汇车库被湘AV02P6碰撞，对方的全责，把我雪佛兰湘A788WU车的车灯，前杠撞坏，下节撞断，现在要求更换下节，车灯油漆，可是人寿的车险专员一直以要跟客户协商做借口，不予以更换，请聚投诉介入尽快处理。</t>
  </si>
  <si>
    <t>贷上钱暴力催收态度极其恶劣</t>
  </si>
  <si>
    <t>http://ts.21cn.com/tousu/show/id/1371425</t>
  </si>
  <si>
    <t>2019/10/18 13:43:33</t>
  </si>
  <si>
    <t>发送上门暴力催收信息给我亲朋好友，对本人父母家人带来极大恐慌，对本人朋友造成极大困扰，使本人无法正常生活，利息明显超过国家标准带有诱导信息，还不同意协商解决，平台收取500元购物费用完全不存在，也给不了消费信息，各种套路，希望有关部门严格管控打击非法行为，本人愿意积极配合。</t>
  </si>
  <si>
    <t>与客服协商好后仍暴力催收</t>
  </si>
  <si>
    <t>http://ts.21cn.com/tousu/show/id/1371424</t>
  </si>
  <si>
    <t>2019/10/18 13:43:18</t>
  </si>
  <si>
    <t>与客服沟通好，暂停催收一段时间，一直在和单位和朋友周转还款，然后今天仍然收到催收电话，要求规定时间前还款，否则后果自负，使用app两年左右了第一次逾期，不是恶意的，一直在和朋友周转努力还款。</t>
  </si>
  <si>
    <t>ppmoeny擅自搭建保险平台收取保险费，高利贷</t>
  </si>
  <si>
    <t>http://ts.21cn.com/tousu/show/id/1371423</t>
  </si>
  <si>
    <t>2019/10/18 13:42:54</t>
  </si>
  <si>
    <t>本人在2019年3月22日在PPmoney，借款35000，分12期，每期需还款3789.57元，总还款金额高达45474.84元，年利率高达百分之47%，此外，还擅自和易安保险合作，强行让借款人购买担保费，根据国家法律规定，如果年利率超过银行利率四倍的均不收法律保护，由此证明PPmoney就是实实在在的高利贷公司，现在想提前还款，所以强烈要求全额退担保费，且提前还款时仅偿还剩余本金，已经准备好相关资料，如果不能实际解决问题，会直接起诉。</t>
  </si>
  <si>
    <t>http://ts.21cn.com/tousu/show/id/1371421</t>
  </si>
  <si>
    <t>2019/10/18 13:42:01</t>
  </si>
  <si>
    <t>投诉人 梁先生        投诉对象  钱橙无忧        涉诉金额  112 元    问题类型    诉求类型投诉详情  点击app提款按钮 直接无提示无验证扣款</t>
  </si>
  <si>
    <t>闪送平台肆意更改合作条件</t>
  </si>
  <si>
    <t>http://ts.21cn.com/tousu/show/id/1371420</t>
  </si>
  <si>
    <t>2019/10/18 13:41:49</t>
  </si>
  <si>
    <t>投诉人纪先生投诉对象北京同城必应科技有限公司,闪送涉诉金额0元问题类型诉求类型投诉详情闪送员还没注册完成，手机号已经准备不用了，也暂时不打算做闪送员，闪送以各种理由不给注销身份信息。</t>
  </si>
  <si>
    <t>合利宝支付为高利贷平台放款</t>
  </si>
  <si>
    <t>http://ts.21cn.com/tousu/show/id/1371422</t>
  </si>
  <si>
    <t>2019/10/18 13:41:46</t>
  </si>
  <si>
    <t>合利宝为网络高利贷平台放款，导致高利贷平台收取高额砍头息造成本人经济损失，要求合利宝支付处理，减少本人经济损失。</t>
  </si>
  <si>
    <t>钱站高额利息和违约金</t>
  </si>
  <si>
    <t>http://ts.21cn.com/tousu/show/id/1371419</t>
  </si>
  <si>
    <t>2019/10/18 13:41:02</t>
  </si>
  <si>
    <t>钱站到账4000合同却写着到账5184.93。</t>
  </si>
  <si>
    <t>众安处理问题拖沓，推卸责任，无视国家明文规定</t>
  </si>
  <si>
    <t>http://ts.21cn.com/tousu/show/id/1371418</t>
  </si>
  <si>
    <t>2019/10/18 13:40:54</t>
  </si>
  <si>
    <t>本人在8月份经查发现本人被众安强行购买保险6份，金额达2493元，8月向相关部门举报投诉，事逾2个月余，对方均不处理实际存在问题，并且心存侥幸！今日就《银保监开展银行保险机构侵害消费者权益乱象整治》通知一则再次进行投诉，本人无数次声明，本人一生都没有任何意愿购买众安保险，并且在从8月至今投诉的6份保单，没有一份是本人知情同意购买的！多次投诉众安众安回复本人：借款必须购买保险，借款过程中的勾选☑️等于同意购买保险！简直无天理！借款与购买为何混为一谈，众安保险不仅限制消费者自由选择权益，强制消费者在借款过程中购</t>
  </si>
  <si>
    <t>联动优势上海分公司恶意扣费</t>
  </si>
  <si>
    <t>http://ts.21cn.com/tousu/show/id/1371412</t>
  </si>
  <si>
    <t>2019/10/18 13:38:04</t>
  </si>
  <si>
    <t>10月8日，10点多盗刷本人银行里面的钱，转了三笔钱出去，我打电话给联动优势设拆他们，他们说我买车分期，他们晚上查了一下说不好意思，对不起，我们搞错了，说3天以内会退回去银行卡的，到现在还没有钱。</t>
  </si>
  <si>
    <t>360借条电话骚扰</t>
  </si>
  <si>
    <t>http://ts.21cn.com/tousu/show/id/1371414</t>
  </si>
  <si>
    <t>2019/10/18 13:38:03</t>
  </si>
  <si>
    <t>自从注册360借条之后就一直接到不同地点打来的360借条公司的骚扰电话。</t>
  </si>
  <si>
    <t>之前被曝光通讯录，挨个给亲朋好友打电话</t>
  </si>
  <si>
    <t>http://ts.21cn.com/tousu/show/id/1371411</t>
  </si>
  <si>
    <t>2019/10/18 13:37:48</t>
  </si>
  <si>
    <t>给所有通讯录打电话曝光，电话不能修改，银行卡不能修改，利息过高，其公司电话不能联系。</t>
  </si>
  <si>
    <t>乱给家人和通讯录打电话骚扰</t>
  </si>
  <si>
    <t>http://ts.21cn.com/tousu/show/id/1371410</t>
  </si>
  <si>
    <t>2019/10/18 13:37:11</t>
  </si>
  <si>
    <t>对他人的生活造成严重影响不要乱发他人的打电话催收。</t>
  </si>
  <si>
    <t>玖富万卡补差额各种理由拖延不退款</t>
  </si>
  <si>
    <t>http://ts.21cn.com/tousu/show/id/1371409</t>
  </si>
  <si>
    <t>2019/10/18 13:37:02</t>
  </si>
  <si>
    <t>本人于9月19日由于利息过高与玖富平台协商提前结清贷款，和平台沟通好提前结清并且补退差额，但必须先全部在玖富app上全部还清并说在3到5个工作日差额会返还到富友金账户，结果一直没有反应，后面致电玖富客服，客服说要10个工作日，现在10个工作日早就过了，到今天还没有得到任何有效解决，并且致电平台无数次还是让我等。</t>
  </si>
  <si>
    <t>小赢卡贷高风险中心</t>
  </si>
  <si>
    <t>http://ts.21cn.com/tousu/show/id/1371408</t>
  </si>
  <si>
    <t>2019/10/18 13:36:57</t>
  </si>
  <si>
    <t>小赢卡贷高风险中心，说要去家里进行催收，而且一直打电话。</t>
  </si>
  <si>
    <t>在花卡速借款多次，期限7天，1000元，到账750畅捷支付为其提供的放款</t>
  </si>
  <si>
    <t>http://ts.21cn.com/tousu/show/id/1371407</t>
  </si>
  <si>
    <t>2019/10/18 13:36:40</t>
  </si>
  <si>
    <t>投诉人龚先生投诉对象畅捷支付,花卡速购涉诉金额800元问题类型诉求类型投诉详情花卡速购借款多次，要求退还所有的砍头息，畅捷支付为其合作商户，有不可推卸的责任。</t>
  </si>
  <si>
    <t>逾期3天，平台拨打通讯录内非预留紧急联系人骚扰催收。</t>
  </si>
  <si>
    <t>http://ts.21cn.com/tousu/show/id/1371406</t>
  </si>
  <si>
    <t>2019/10/18 13:36:39</t>
  </si>
  <si>
    <t>还款日2019年10月15日未还款已逾期，2019年10月18日早上就有亲戚朋友打电话来告知我小象优品的催收人员打了电话给他们说我的贷未还，预留的紧急联系人的电话都没拨打就直接打亲戚的电话，我本人未同意授权小象优品拨打通讯录内非预留的紧急联系人电话。</t>
  </si>
  <si>
    <t>上海富友为高利贷平台违规放款</t>
  </si>
  <si>
    <t>http://ts.21cn.com/tousu/show/id/1371404</t>
  </si>
  <si>
    <t>2019/10/18 13:35:52</t>
  </si>
  <si>
    <t>上海富友支付为网络高利贷平台提供违规放款途径，高利贷平台收取了高额砍头息费用，要求富友支付处理，追回部分费用，减少本人经济损失。</t>
  </si>
  <si>
    <t>http://ts.21cn.com/tousu/show/id/1371405</t>
  </si>
  <si>
    <t>2019/10/18 13:35:51</t>
  </si>
  <si>
    <t>我于2018年12月5号在杭州义牛网络科技有限公司的51人品贷网络借贷平台借款，借款25000元，其中本金1971.22，利息250元，服务费2037.11元，后11期每月3号还款2508.33元，其中服务费都是287.11元，综合服务费加利息后远超国家法定24%年利率。</t>
  </si>
  <si>
    <t>上海翰银.汇潮支付.天下支付违规为博彩网站提供支付通道要求退款</t>
  </si>
  <si>
    <t>http://ts.21cn.com/tousu/show/id/1371403</t>
  </si>
  <si>
    <t>2019/10/18 13:34:54</t>
  </si>
  <si>
    <t>本人被诱导到一个彩票网站通过扫码充值入金5250元.本来以为支付方式均为正规有牌照公司一定是合法网站.后来发觉是外部非正规网站的购彩网站.通过中国人民银行，中国银联，和支付清算协会沟通得知，第三方支付业务应审核客户的相关信息，第三方支付业务公司不得向证券，期货，博彩等机构提供支付结算业务，作为有牌照的支付公司没有履行国家结算通道的义务，即产生了非法洗钱的嫌疑，金融机构客户身份识别和客户身份资料及交易记录保存管理办法，国发2011年38好文，和银发办的35号文，文件都明确提出国内任何交易公司都不能给T，第19</t>
  </si>
  <si>
    <t>爱疯回租id贷让绑定手机id</t>
  </si>
  <si>
    <t>http://ts.21cn.com/tousu/show/id/1371361</t>
  </si>
  <si>
    <t>2019/10/18 13:34:51</t>
  </si>
  <si>
    <t>投诉人朱女士投诉对象爱疯回租涉诉金额0元问题类型诉求类型投诉详情爱疯回租骗取我的手机信息，让我退出去我的id，登陆他们的id，以7天850为限借款850，然后我登陆完他们的id，他们就改了id密码，qq所谓的财务也没有转账850，现在平台也不让我咨询客服，qq咨询也不回复，id密码也不告诉我，让我退不了他们的id，我也用不了我自己的id。</t>
  </si>
  <si>
    <t>借款失败，不退款</t>
  </si>
  <si>
    <t>http://ts.21cn.com/tousu/show/id/1371402</t>
  </si>
  <si>
    <t>2019/10/18 13:34:23</t>
  </si>
  <si>
    <t>在助借通上通过他们预估的高额度，来骗取交会员费199元，通过他们介绍的借款APP，进行借款，全部被拒！当时交钱的时候，说全部被拒的话，可以退换会员费，提交了退款申请，也提交了被拒的图片，提交至今也有半个月了，也给他们客服打过电话，一直拖着不处理。</t>
  </si>
  <si>
    <t>闪银捆绑高额商品搭售，高额服务费</t>
  </si>
  <si>
    <t>http://ts.21cn.com/tousu/show/id/1371401</t>
  </si>
  <si>
    <t>2019/10/18 13:34:13</t>
  </si>
  <si>
    <t>搭售高额商品一件商品2次收费，高额服务费，恐吓催收。</t>
  </si>
  <si>
    <t>交通银行信用卡乱收费</t>
  </si>
  <si>
    <t>http://ts.21cn.com/tousu/show/id/1371400</t>
  </si>
  <si>
    <t>2019/10/18 13:34:10</t>
  </si>
  <si>
    <t>交通银行信用卡违规收取违约金和罚息，交通银行不予退还，信用卡额度20000，不到一年违约金达到10000，今天电话给我说没办法减免,服务态度差，2018年催收时强行不能减免，我当时生病，工作也辞掉了，没办法正常还款，期间一直陆陆续续还，违约金7-8个月达到了10000元，我卡的额度不过20000，在2018年12月还清所有欠款，打电话给交通银行，交通银行一直推托！一直不给我一个正面答复，今天电话给我说，没办法减免,服务态度差！。</t>
  </si>
  <si>
    <t>农行银行卡异常</t>
  </si>
  <si>
    <t>http://ts.21cn.com/tousu/show/id/1371399</t>
  </si>
  <si>
    <t>2019/10/18 13:34:02</t>
  </si>
  <si>
    <t>银行卡不能正常进行网银转账，现实没有开通此向服务。</t>
  </si>
  <si>
    <t>银行骚扰家人</t>
  </si>
  <si>
    <t>http://ts.21cn.com/tousu/show/id/1371398</t>
  </si>
  <si>
    <t>2019/10/18 13:33:34</t>
  </si>
  <si>
    <t>投诉人张女士投诉对象中信银行信用卡涉诉金额0元问题类型诉求类型投诉详情本人从未给银行留过父母公司电话，银行通过不正当手段拿到并且影响父母工作，差点导致父母被开除，电话里还跟我说没有骚扰家人，有电话录音为证。</t>
  </si>
  <si>
    <t>捷信公司乱扣款</t>
  </si>
  <si>
    <t>http://ts.21cn.com/tousu/show/id/1371397</t>
  </si>
  <si>
    <t>2019/10/18 13:33:19</t>
  </si>
  <si>
    <t>我的还款日是11.1号，你凭什么扣我卡里的钱。</t>
  </si>
  <si>
    <t>714高炮金银钱包</t>
  </si>
  <si>
    <t>http://ts.21cn.com/tousu/show/id/1371395</t>
  </si>
  <si>
    <t>2019/10/18 13:32:10</t>
  </si>
  <si>
    <t>在金银钱包借款2500元，实际到账1375元，支付通道为汇潮支付，借款期限为5天，利息为1125，这利息太夸张了，今天与来电客服协商，来电客服不肯减免，现账单即将逾期，本人无力偿还高利贷，现要求平台与我联系，减免利息，归还本金销帐。</t>
  </si>
  <si>
    <t>苏宁易购出售质量问题机器不解决</t>
  </si>
  <si>
    <t>http://ts.21cn.com/tousu/show/id/1371394</t>
  </si>
  <si>
    <t>2019/10/18 13:31:56</t>
  </si>
  <si>
    <t>售后客服敷衍看了消息不回复，要不然就是一个表情包就回复了，现在已经导致我6小时无法开展工作，家人打电话也给我打不通。</t>
  </si>
  <si>
    <t>爱又米高额利息要求退取多收的利息和平台服务费</t>
  </si>
  <si>
    <t>http://ts.21cn.com/tousu/show/id/1371330</t>
  </si>
  <si>
    <t>2019/10/18 13:31:36</t>
  </si>
  <si>
    <t>投诉人 程雅芳        投诉对象  爱又米        涉诉金额  20 000 元    问题类型    诉求类型投诉详情  本人一共在爱又米上先后借了20000 在今年的七月份结清所有欠款 发现一共换了将近60000 爱又米收取高额的平台服务费以及手续费 和高额利息 远远超过国家规定利息的百分之二十四 期间还骚扰家人 逾期收取的利息也很高 现在要求退还多收我的服务费跟利息 强力打压这种高利贷</t>
  </si>
  <si>
    <t>乱骚扰</t>
  </si>
  <si>
    <t>http://ts.21cn.com/tousu/show/id/1371392</t>
  </si>
  <si>
    <t>2019/10/18 13:30:47</t>
  </si>
  <si>
    <t>投诉人 徐女士        投诉对象  招联金融        涉诉金额  0 元    问题类型    诉求类型投诉详情  给本人单位电话，严重影响本人生活。望招联金融停止一切骚扰。给个合理解释</t>
  </si>
  <si>
    <t>不提供贷款合同</t>
  </si>
  <si>
    <t>http://ts.21cn.com/tousu/show/id/1371391</t>
  </si>
  <si>
    <t>2019/10/18 13:30:45</t>
  </si>
  <si>
    <t>投诉人 郭女士        投诉对象  人人聚财车贷        涉诉金额  44 000 元    问题类型    诉求类型投诉详情  车抵贷后，对方不提供合同</t>
  </si>
  <si>
    <t>遵义湘江投资公司延期交房，延期时间还未知</t>
  </si>
  <si>
    <t>http://ts.21cn.com/tousu/show/id/1371389</t>
  </si>
  <si>
    <t>2019/10/18 13:30:37</t>
  </si>
  <si>
    <t>2018年底买房子时说是现房，2019年4月30日交房。</t>
  </si>
  <si>
    <t>砍头息，高利贷。</t>
  </si>
  <si>
    <t>http://ts.21cn.com/tousu/show/id/1371388</t>
  </si>
  <si>
    <t>2019/10/18 13:30:25</t>
  </si>
  <si>
    <t>投诉人 李先生        投诉对象  宜信普惠        涉诉金额  80 000 元    问题类型    诉求类型投诉详情  实际到款八万，合同写的十三万多。前期服务费一万多还有保险。这就是砍头息高利贷啊！</t>
  </si>
  <si>
    <t>黑心佰仟金融放高利贷</t>
  </si>
  <si>
    <t>http://ts.21cn.com/tousu/show/id/1371387</t>
  </si>
  <si>
    <t>2019/10/18 13:29:11</t>
  </si>
  <si>
    <t>骚扰我朋友，恐吓我亲人，伪造文件，催收残暴。</t>
  </si>
  <si>
    <t>光大银行信用卡违约金</t>
  </si>
  <si>
    <t>http://ts.21cn.com/tousu/show/id/1371386</t>
  </si>
  <si>
    <t>2019/10/18 13:29:10</t>
  </si>
  <si>
    <t>去电与信用卡中心协商，已阐述并非认为导致的信用卡逾期，与2018年4月还清欠款，还款时银行没有告知可减免，去电客服，说查不到账单，种种理由不给退还产生的违约金。</t>
  </si>
  <si>
    <t>钱橙无忧未经允许私自扣款</t>
  </si>
  <si>
    <t>http://ts.21cn.com/tousu/show/id/1371385</t>
  </si>
  <si>
    <t>2019/10/18 13:29:02</t>
  </si>
  <si>
    <t>本人下载钱橙无忧之后在填写资料的过程中，未收到任何提醒和输入扣费密码的前提下，钱橙无忧竟然私自扣费，存在欺骗消费者的行为。</t>
  </si>
  <si>
    <t>暴力催收，高利贷，阴阳合同，虚假，误导宣传，强制购买众安保险</t>
  </si>
  <si>
    <t>http://ts.21cn.com/tousu/show/id/1371383</t>
  </si>
  <si>
    <t>2019/10/18 13:28:21</t>
  </si>
  <si>
    <t>投诉人周先生投诉对象小赢卡贷,众安保险涉诉金额12000元问题类型诉求类型投诉详情发现该平台在本人不知情的情况下强制捆绑购买了一分保险，并且之前一直有购买，由于本人最近最近发现，这期没有还款，就暴力催收，恐吓，人生威胁，还给我家人朋友联系侮辱1.本人是不知情的情况下被投保、连个保单都没看到，也不知道被保的内容，众安保险也没有通知我所购买的保险，只在合同里面看到有购买保险，这全完属于违背我意愿的保险，就是所谓的强制投保.2.国家明文规定贷款跟保险公司不得合作；3.国家法律规定投保人可随时退保；4.在未明确提醒</t>
  </si>
  <si>
    <t>51人品贷变项高利贷</t>
  </si>
  <si>
    <t>http://ts.21cn.com/tousu/show/id/1371384</t>
  </si>
  <si>
    <t>2019/10/18 13:28:18</t>
  </si>
  <si>
    <t>我于2018年12月5号在杭州也牛网络科技有限公司的51人品贷网络借贷平台借款，借款25000元，其中本金1971.22，利息250元，服务费2037.11元，后11期每月3号还款2508.33元，其中服务费都是287.11元，综合服务费加利息后远超国家法定24%年利率。</t>
  </si>
  <si>
    <t>软暴力，变相收费，不讲道理</t>
  </si>
  <si>
    <t>http://ts.21cn.com/tousu/show/id/1371382</t>
  </si>
  <si>
    <t>2019/10/18 13:28:03</t>
  </si>
  <si>
    <t>软暴力，电话骚扰，不能协商，态度强势，变相收费。</t>
  </si>
  <si>
    <t>http://ts.21cn.com/tousu/show/id/1371381</t>
  </si>
  <si>
    <t>2019/10/18 13:27:45</t>
  </si>
  <si>
    <t>投诉人张先生投诉对象微众银行涉诉金额30000元问题类型诉求类型投诉详情停止爆通讯录，实在受不了，真的会逼死来，因为家里遇到困难希望协商解决。</t>
  </si>
  <si>
    <t>上海瀚银科技为赌博平台提供赌资</t>
  </si>
  <si>
    <t>http://ts.21cn.com/tousu/show/id/1371380</t>
  </si>
  <si>
    <t>2019/10/18 13:27:34</t>
  </si>
  <si>
    <t>投诉人高先生投诉对象瀚银科技涉诉金额83000元问题类型诉求类型投诉详情上瀚瀚银科技为赌博平台提供赌资，和支付清算协会沟通得知第三方支付业务应审核客户的相关信息，第三方支付公司不得向证券、期货、博彩等机构提供支付结算业务，我之前从四月份，通过网页宣传看到有投资反利信息，就点进去看了，上面说通过充值金额可以得到反利，我先后充值共八万余元，后来我想把钱都提出来，结果网页把我账号封锁了，联系网站人员联系不到，后来通过央行和银联查询，我这些交易全都是通过上海瀚银科技这个第三方支付公司收的单，而且这个网站是非法赌博平</t>
  </si>
  <si>
    <t>京东白条暴力催收，到处寄挂号信</t>
  </si>
  <si>
    <t>http://ts.21cn.com/tousu/show/id/1371378</t>
  </si>
  <si>
    <t>2019/10/18 13:26:29</t>
  </si>
  <si>
    <t>一天几十个电话，办理骚扰，到处寄挂号信，破坏本人名誉，情节恶劣。</t>
  </si>
  <si>
    <t>网易云音乐商城购买耳机在保质期内出现问题</t>
  </si>
  <si>
    <t>http://ts.21cn.com/tousu/show/id/1370300</t>
  </si>
  <si>
    <t>2019/10/18 13:26:07</t>
  </si>
  <si>
    <t>投诉人李先生投诉对象网易云音乐商城涉诉金额199元问题类型诉求类型投诉详情19年2月从网易云商城购入JBLW30BT耳机，用了半年之后发现有“跑电”现象，又将就用了一段时间，现在变成了充不进去电，完全使用不了，找网易云音乐里面的客服也不理我，也不知道怎么处理这件事情，由于已经过了大半年的时间，当时的包装已经没有了，但是有交易记录，而且还在质保期内，希望可以解决我的这个事情，下面是跟淘宝客服的对话，都是网易的店，那么都应该用一样的政策，“365天内只换不修”，希望能给我换个新的。</t>
  </si>
  <si>
    <t>时光分期高利贷</t>
  </si>
  <si>
    <t>http://ts.21cn.com/tousu/show/id/1371377</t>
  </si>
  <si>
    <t>投诉人温女士投诉对象时光分期涉诉金额6000元问题类型诉求类型投诉详情本人在时光分期借款6000，分十二期还，每期还680，一共要还8160，严重超过国家标准，现已还11期，本金加利息早已还够，现协商销账！。</t>
  </si>
  <si>
    <t>360假冒诉讼，不经本人同意乱爆违规通讯录</t>
  </si>
  <si>
    <t>http://ts.21cn.com/tousu/show/id/1371375</t>
  </si>
  <si>
    <t>2019/10/18 13:26:03</t>
  </si>
  <si>
    <t>本人因前段时间个人工作丢失，另加出了一些情况导致资金紧张，暂时无力正常偿还债务，曾与之沟通过关于还款的问题，但他们不听解释，只要求还款，后因本人原手机号码丢失，补办期间为方便联系申请了新号码，可能导致360无法联系到我，但是本人一直都有还款意愿，从未想过不还款做老赖，他们不经本人同意私自爆我通讯录，发送无效诉讼文件威胁我及我的家人，给我的生活带来严重影响，要求其针对此事道歉，并与我沟通协商还款事宜，同时停止对其他人的骚扰！！。</t>
  </si>
  <si>
    <t>蚂蚁金服诋毁个人声誉</t>
  </si>
  <si>
    <t>http://ts.21cn.com/tousu/show/id/1371376</t>
  </si>
  <si>
    <t>2019/10/18 13:25:53</t>
  </si>
  <si>
    <t>投诉人张先生投诉对象蚂蚁金服,花呗,支付宝涉诉金额2000元问题类型诉求类型投诉详情蚂蚁金服，随意给朋友、同事打催款电话，诋毁影响个人声誉。</t>
  </si>
  <si>
    <t>金银钱包套路贷，砍头息</t>
  </si>
  <si>
    <t>http://ts.21cn.com/tousu/show/id/1371374</t>
  </si>
  <si>
    <t>2019/10/18 13:25:34</t>
  </si>
  <si>
    <t>我在金银钱包借款两千五，结果实际到账不到一千四，扣了我一千一百多的服务费，借款期限只有五天，到期必须还两千五。</t>
  </si>
  <si>
    <t>建设银行收取大违约金</t>
  </si>
  <si>
    <t>http://ts.21cn.com/tousu/show/id/1371373</t>
  </si>
  <si>
    <t>2019/10/18 13:25:20</t>
  </si>
  <si>
    <t>建设银行信用卡，当时使用每个月都收取违约金，目前是已还清，这个是建设银行的霸王条款吗，违约金也不明确，每个月收100多违约金，收了好几个月。</t>
  </si>
  <si>
    <t>畅捷支付与高利贷平台合作</t>
  </si>
  <si>
    <t>http://ts.21cn.com/tousu/show/id/1371370</t>
  </si>
  <si>
    <t>2019/10/18 13:24:04</t>
  </si>
  <si>
    <t>畅捷支付与网络高利贷平台进行合作坑害用户，为高利贷平台提供支付渠道来进行盈利，要求畅捷支付处理高利贷平台高额的砍头息费用，对本人进行赔偿，减少经济损失。</t>
  </si>
  <si>
    <t>刷卡金额一直不到账</t>
  </si>
  <si>
    <t>http://ts.21cn.com/tousu/show/id/1371369</t>
  </si>
  <si>
    <t>2019/10/18 13:23:34</t>
  </si>
  <si>
    <t>2019年10月17日10.53分客户在店里消费4765元，多次致电瑞银信公司请求处理该公司推脱就是不予处理。</t>
  </si>
  <si>
    <t>http://ts.21cn.com/tousu/show/id/1371371</t>
  </si>
  <si>
    <t>2019/10/18 13:22:36</t>
  </si>
  <si>
    <t>投诉人任女士投诉对象信用钱包涉诉金额8000元问题类型诉求类型投诉详情算了下利息太高了，希望把之前多收的利息退回，剩下的提前结清！。</t>
  </si>
  <si>
    <t>违规收取违约金，拖延时间忽悠我</t>
  </si>
  <si>
    <t>http://ts.21cn.com/tousu/show/id/1371368</t>
  </si>
  <si>
    <t>2019/10/18 13:21:57</t>
  </si>
  <si>
    <t>招商银行信用卡违反规定收取违约金，而且利用群发短对我的现实生活造成严重影响。</t>
  </si>
  <si>
    <t>不同意协商还款，利率超过国家红线</t>
  </si>
  <si>
    <t>http://ts.21cn.com/tousu/show/id/1371357</t>
  </si>
  <si>
    <t>2019/10/18 13:21:53</t>
  </si>
  <si>
    <t>二：本人此前一直按时还款，最近查询计算了后发现，界面标注日息万分之四，实际利率已经超过法律规定。</t>
  </si>
  <si>
    <t>建设银行违约金</t>
  </si>
  <si>
    <t>http://ts.21cn.com/tousu/show/id/1371367</t>
  </si>
  <si>
    <t>2019/10/18 13:19:39</t>
  </si>
  <si>
    <t>投诉人 王先生        投诉对象  建设银行信用卡        涉诉金额  3 000 元    问题类型    诉求类型投诉详情  要求退还产生的违约金，一直未回复。敷衍了事</t>
  </si>
  <si>
    <t>工商银行信用卡催收人员恐吓威胁</t>
  </si>
  <si>
    <t>http://ts.21cn.com/tousu/show/id/1371366</t>
  </si>
  <si>
    <t>2019/10/18 13:19:13</t>
  </si>
  <si>
    <t>该号码没有和我联系，直接打我母亲那里说我不接电话，限我三天内还钱，否则要起诉逮捕我，我母亲本来就是一个没有文化的旧时代老人，一听说要坐牢吓得不轻，血压升高。</t>
  </si>
  <si>
    <t>星驿付非法冻结资金</t>
  </si>
  <si>
    <t>http://ts.21cn.com/tousu/show/id/1371363</t>
  </si>
  <si>
    <t>2019/10/18 13:18:30</t>
  </si>
  <si>
    <t>第二天显示账户0元，我联系给我办台牌的业务员当时提供了资料，过了10天左右给我的回复是解冻不了，银联已经结过账的，现在资金就在他们公司冻结。</t>
  </si>
  <si>
    <t>当客get旗下的球鞋指数以各种理由冻结商家货款，想提现必须扣1个点提现费用</t>
  </si>
  <si>
    <t>http://ts.21cn.com/tousu/show/id/1371362</t>
  </si>
  <si>
    <t>2019/10/18 13:17:47</t>
  </si>
  <si>
    <t>本人分别于2019年10.9号晚上20.17至2019年10.12号早上10.55分分别在get旗下的交易平台球鞋指数app对我账号7笔订单提现，截止目前提现仍未到账，于10.14号突然留言说要扣除我一个点提现费用，就一句说我有套现嫌疑却不拿出证据，据了解，此平台以这种理由威胁不到账已经骗了很多人，希望各大网站予以公布，要求get当客官方给出解释以及解决问题。</t>
  </si>
  <si>
    <t>银盛支付公司Pos收款未到账强制挪用我们商户的钱，不同意无息分期，要求全款</t>
  </si>
  <si>
    <t>http://ts.21cn.com/tousu/show/id/1371360</t>
  </si>
  <si>
    <t>2019/10/18 13:17:19</t>
  </si>
  <si>
    <t>业务员说办个pos不收钱，然后这资料那资料，然后说激活得399，说一周退给我，然后我问客服说半年，这不是坑吗。</t>
  </si>
  <si>
    <t>高铁管家退票不退钱</t>
  </si>
  <si>
    <t>http://ts.21cn.com/tousu/show/id/1371337</t>
  </si>
  <si>
    <t>2019/10/18 13:17:11</t>
  </si>
  <si>
    <t>投诉人吴先生投诉对象高铁管家涉诉金额123元问题类型诉求类型投诉详情我先花了49买的黄金会员说是购票成功后可以返现，我买了18号下午的票但是并没有返现，我临时有事把票退了，因为是抢的票所以预先微信支付的92.5，只收到消息退票成功说是退到银联卡了，我用的微信预先支付的为什么会退到银联卡，我要求高铁管家退我49会员费+74的退票钱。</t>
  </si>
  <si>
    <t>http://ts.21cn.com/tousu/show/id/1371365</t>
  </si>
  <si>
    <t>2019/10/18 13:16:58</t>
  </si>
  <si>
    <t>投诉人张女士投诉对象任性分期涉诉金额249元问题类型诉求类型投诉详情未经过我同意就扣我银行卡里面的钱是讯联智付广州集鱼扣的。</t>
  </si>
  <si>
    <t>快闪卡贷与人保合作，以借款的名义捆绑销售保险，收取高额砍头息费用</t>
  </si>
  <si>
    <t>http://ts.21cn.com/tousu/show/id/1371364</t>
  </si>
  <si>
    <t>投诉人龚辉投诉对象快闪卡贷,小闪分期，中国人民保险集团，中国光大银行涉诉金额7000元问题类型诉求类型投诉详情本人在2019年4月19日在快闪卡贷现改名为小闪分期平台借款7000元，月还款1402.22元，分六期还完，本息合计8413.32元，然而放款时却发现只到账了5892.34元，余下的1107.66元被快闪卡贷强行购买了中国人保的两份保险业务，其中一份为“保福满屋”城市家庭组合保险，而另外一份保险为个人贷款保证保险，也就是所谓的“代偿”本人实在难以理解，借款时为何要捆绑销售保险业务，况且已经购买了个人</t>
  </si>
  <si>
    <t>千金鼎金银钱包浪花花汇潮支付支付宝非法为高利贷提供放款还款通道</t>
  </si>
  <si>
    <t>http://ts.21cn.com/tousu/show/id/1371359</t>
  </si>
  <si>
    <t>2019/10/18 13:16:56</t>
  </si>
  <si>
    <t>千金鼎,金银钱包,浪花花,汇潮支付,支付宝，汇潮支付和支付宝为非法高利贷提供放款还款通道。</t>
  </si>
  <si>
    <t>贷款前期</t>
  </si>
  <si>
    <t>http://ts.21cn.com/tousu/show/id/1371342</t>
  </si>
  <si>
    <t>投诉人刘先生投诉对象钱橙无忧涉诉金额249元问题类型诉求类型投诉详情直接从银行卡扣款。</t>
  </si>
  <si>
    <t>未借款好享花发信息打电话来催款</t>
  </si>
  <si>
    <t>http://ts.21cn.com/tousu/show/id/1371358</t>
  </si>
  <si>
    <t>2019/10/18 13:16:49</t>
  </si>
  <si>
    <t>投诉人灿锋先生投诉对象好享花涉诉金额3000元问题类型诉求类型投诉详情没有在该网贷平台借过款，今天打电话发信息过来催款，我没有借过款你这样催收对我的征信和精神造成了影响。</t>
  </si>
  <si>
    <t>钱站虚假合同借款1000合同借款写1630</t>
  </si>
  <si>
    <t>http://ts.21cn.com/tousu/show/id/1371356</t>
  </si>
  <si>
    <t>2019/10/18 13:16:39</t>
  </si>
  <si>
    <t>钱站实际借款1000元，三期实际应还1663，属违法合同高利贷，已经还款608.21元，要求按合法利率一次性结清余下借款。</t>
  </si>
  <si>
    <t>收费不合理</t>
  </si>
  <si>
    <t>http://ts.21cn.com/tousu/show/id/1371355</t>
  </si>
  <si>
    <t>2019/10/18 13:16:33</t>
  </si>
  <si>
    <t>平台乱收费，提前结清费用太高了，希望平台给于合理的还款金额！。</t>
  </si>
  <si>
    <t>北京捷越联合信息咨询有限公司泄露隐私，暴力催收</t>
  </si>
  <si>
    <t>http://ts.21cn.com/tousu/show/id/1371353</t>
  </si>
  <si>
    <t>2019/10/18 13:15:44</t>
  </si>
  <si>
    <t>北京捷越联合信息咨询有限公司，打着信用贷款的招牌，暗地里确是高利贷，我借款5500，利息2.19分，每月还款3500，分期24期，现已还22期，最近因突然失业，还款有压力，北京捷越的催收人员天天打电话辱骂威胁，现在甚至打我所有的通讯录，泄露我隐私，实在是可恶至极。</t>
  </si>
  <si>
    <t>浦发银行信用卡变卦</t>
  </si>
  <si>
    <t>http://ts.21cn.com/tousu/show/id/1371352</t>
  </si>
  <si>
    <t>2019/10/18 13:15:01</t>
  </si>
  <si>
    <t>之前我在聚投诉平台投诉浦发申请延长分期，10月14日就有客服联系说给我申请分期24个月，每期3650但是鉴于我现在的还款能力，目前只能还2000左右,所以最后客服给我说申请每个月2660还24个月，结果我今天打电话问浦发给我说只有申请3650的备注，上次客服明明跟我协商的是2660我想问下银行说的话到底算不算。</t>
  </si>
  <si>
    <t>快钱联合高利贷平台盈利</t>
  </si>
  <si>
    <t>http://ts.21cn.com/tousu/show/id/1371351</t>
  </si>
  <si>
    <t>2019/10/18 13:14:56</t>
  </si>
  <si>
    <t>快钱联合高利贷平台进行高额砍头息放款，作为网络高利贷平台的资金储备基地，相信被套路的人不止我一个，要求快钱支付联系高利贷平台处理砍，退回砍头息的费用。</t>
  </si>
  <si>
    <t>http://ts.21cn.com/tousu/show/id/1371350</t>
  </si>
  <si>
    <t>2019/10/18 13:14:14</t>
  </si>
  <si>
    <t>投诉人王女士投诉对象及贷涉诉金额3000元问题类型诉求类型投诉详情一遍协商还款，这边说了再凑，还群发通讯录信息，高利贷。</t>
  </si>
  <si>
    <t>民生银行说话不算话</t>
  </si>
  <si>
    <t>http://ts.21cn.com/tousu/show/id/1371349</t>
  </si>
  <si>
    <t>2019/10/18 13:13:20</t>
  </si>
  <si>
    <t>信用卡逾期，接到催收部打电话给我让我申请提前结清分期，减免一部分息费，本来额度是44000，给出未结清账单总的让我还45200，减免2000息费，承诺1到2小时开卡继续使用，但事情过去1天了，卡还是不能使用，我就想问不能开卡你让我做提前结清分期干嘛，跟他们通话我都有录音，希望能给我一个解决结果。</t>
  </si>
  <si>
    <t>http://ts.21cn.com/tousu/show/id/1371348</t>
  </si>
  <si>
    <t>2019/10/18 13:13:01</t>
  </si>
  <si>
    <t>借款22000，实际到账18128，36期，一共要还36221，逾期一天逾期费128。</t>
  </si>
  <si>
    <t>维信卡卡贷骚扰通讯录</t>
  </si>
  <si>
    <t>http://ts.21cn.com/tousu/show/id/1371346</t>
  </si>
  <si>
    <t>2019/10/18 13:12:01</t>
  </si>
  <si>
    <t>维信卡卡贷放款9100，12月每月还1013不算高利贷吗，而且放款时需要支付699会员费，现在催收群发信息到我的通讯录进行骚扰影响我生活工作，群发信息以其他不同的网贷名字发送，上传图片可见！多个通讯录朋友收到同样短信。</t>
  </si>
  <si>
    <t>苏宁易购金融读取个人通讯录、买卖公民信息，发短信和打电话骚扰我的亲朋好友</t>
  </si>
  <si>
    <t>http://ts.21cn.com/tousu/show/id/1371345</t>
  </si>
  <si>
    <t>2019/10/18 13:11:48</t>
  </si>
  <si>
    <t>我在苏宁金融消费有逾期情况，属于我本人的个人失误和责任，苏宁金融外包催收的却去发短信和打电话给我的亲朋好友，骚扰他们，有什么事请与我联系，不要骚扰我的亲朋好友。</t>
  </si>
  <si>
    <t>永安保险与网贷合作强制捆绑投保</t>
  </si>
  <si>
    <t>http://ts.21cn.com/tousu/show/id/1371344</t>
  </si>
  <si>
    <t>2019/10/18 13:11:37</t>
  </si>
  <si>
    <t>6月21日在豆豆钱申请了为期一年的10000借款，在本人不知情的情况下，永安于7月22日扣取费用899元，强制缴纳了普通意外伤害险，和客服各种沟通无果，说会给我退保，但让我提供结清证明，刚借款一万，分期一年，明知我不无法结清，却还是以此当借口，中国银保监会办公厅关于开展银行保险机构侵害消费者权益乱象整治工作的通知中，强调互联网上强制搭售保险涉嫌违规违法，这种行为也被列为整治对象。</t>
  </si>
  <si>
    <t>http://ts.21cn.com/tousu/show/id/1371343</t>
  </si>
  <si>
    <t>2019/10/18 13:11:13</t>
  </si>
  <si>
    <t>我在遵义湘江投资建设有限责任公司购买了该公司开发的房产，该楼盘位于遵义市湘江大道，2018年12月份签订了购买协议，该公司承诺于2019年4月30日之前交付钥匙并达到办理按揭的所有相关资料，该公司在约定日期内没有达到交付标准又延迟到2019年9月30日之前交付房屋，至今多次违约未交付房屋，经双方多次协商未果，又口头延迟至2019年12月30前交付，业主要房，退款未达成共识。</t>
  </si>
  <si>
    <t>砍头息阴阳合同</t>
  </si>
  <si>
    <t>http://ts.21cn.com/tousu/show/id/1371341</t>
  </si>
  <si>
    <t>2019/10/18 13:11:12</t>
  </si>
  <si>
    <t>一直投诉！没有来解决！逾期违约金一天100，谁家钱是大风刮来！明明你们的问题！不知改！还要欺负平民老百姓！。</t>
  </si>
  <si>
    <t>多米贷砍头息，实际年化超36%</t>
  </si>
  <si>
    <t>http://ts.21cn.com/tousu/show/id/1371340</t>
  </si>
  <si>
    <t>2019/10/18 13:10:55</t>
  </si>
  <si>
    <t>本人在多米贷上有一笔贷款，合同显示金额10000元，实际到账9000元，6个月还款总额达11050元，年化已经超过36%，要求返还砍头息1000元。</t>
  </si>
  <si>
    <t>平安银行雇佣黑社会威胁软暴力催收</t>
  </si>
  <si>
    <t>http://ts.21cn.com/tousu/show/id/1371339</t>
  </si>
  <si>
    <t>2019/10/18 13:10:25</t>
  </si>
  <si>
    <t>平安银行对我本人以及我的家人，同事，朋友进行打电话，发信息骚扰，严重影响同事，朋友以及单位正常工作，因本人心脏不好，做过心脏手术，身体一直不好，并不是不还，家里老人身体也不好，一个月就3000块钱工资，没有房产，车子，得养活年幼的孩子和老人，在外租房子住，现在已经欠了三个月房租了，我现在每天精神接近崩溃边缘，无心工作，无心照顾孩子，我拿什么偿还，我现在要求停止对我工作单位和同事，朋友的骚扰，让我正常工作，努力赚钱还账。</t>
  </si>
  <si>
    <t>网货平台利率超过规定，附加保险高收费</t>
  </si>
  <si>
    <t>http://ts.21cn.com/tousu/show/id/1371338</t>
  </si>
  <si>
    <t>2019/10/18 13:09:39</t>
  </si>
  <si>
    <t>总借款5000元分期两年，要还款8200多我想问下他们怎么计算的利率。</t>
  </si>
  <si>
    <t>闪银高额前期费用服务费</t>
  </si>
  <si>
    <t>http://ts.21cn.com/tousu/show/id/1371336</t>
  </si>
  <si>
    <t>2019/10/18 13:08:13</t>
  </si>
  <si>
    <t>投诉人 李先生        投诉对象  Wecash闪银        涉诉金额  10 000 元    问题类型    诉求类型投诉详情  闪银通过白条 担保 等收取高额服务费用作为砍头息</t>
  </si>
  <si>
    <t>快钱支付无故扣款为714高炮套路贷提供便利</t>
  </si>
  <si>
    <t>http://ts.21cn.com/tousu/show/id/1371335</t>
  </si>
  <si>
    <t>2019/10/18 13:07:59</t>
  </si>
  <si>
    <t>投诉人 赵先生        投诉对象  快钱支付,抖友钱包        涉诉金额  2 500 元    问题类型    诉求类型投诉详情  六月份无故扣款 然后投诉不理 还找人打电话给我威胁我让我撤销 说我是自愿扣款的 我可以提供一切 无缘无故扣款2500元 客服一直说处理然后又不处理 钱是从快钱支付扣走的 要求退款。</t>
  </si>
  <si>
    <t>http://ts.21cn.com/tousu/show/id/1371334</t>
  </si>
  <si>
    <t>2019/10/18 13:07:03</t>
  </si>
  <si>
    <t>投诉人 李先生        投诉对象  平安银行        涉诉金额  4 420 元    问题类型    诉求类型投诉详情  之前欠了平安银行信用卡6000元 之后每个月都在还钱 但是他们要求必须马上还清 现在本金剩余1890 利息2529.57 我都已经答应他们今天在6点之前把本金还上 但是他们依旧不依不饶 往我们公司不停的打骚扰电话 搞得公司没有办法正常工作 现在公司也把我开除了 我就想讨个说法 我自己的问题 跟公司有任何关系吗 他们不停的打骚扰电话</t>
  </si>
  <si>
    <t>高铁管家app会员费不知何时多交99元变会员的</t>
  </si>
  <si>
    <t>http://ts.21cn.com/tousu/show/id/1371333</t>
  </si>
  <si>
    <t>2019/10/18 13:06:59</t>
  </si>
  <si>
    <t>买票的时候付款都没有发现多自动勾选了会员费99元/年，拿了机票行程单发现，机票费和支付费用对不上，才发现自动勾选了会员，多付了99元会员费，曾多次使用此app，第一次遇到这样的情况！请高铁管家退会员费！。</t>
  </si>
  <si>
    <t>支付宝花呗被盗刷2900元</t>
  </si>
  <si>
    <t>http://ts.21cn.com/tousu/show/id/1371332</t>
  </si>
  <si>
    <t>2019/10/18 13:06:38</t>
  </si>
  <si>
    <t>今天打开支付宝花呗，发现花呗额度所剩不多，打开账单，发现在前几日的同一时间段里，有几十条消费记录，被盗刷走2900元，今天向支付宝提出理赔申请，申请结果失败，打电话给客服，只是让我等待结果。</t>
  </si>
  <si>
    <t>暴力催债及高利贷</t>
  </si>
  <si>
    <t>http://ts.21cn.com/tousu/show/id/1371331</t>
  </si>
  <si>
    <t>2019/10/18 13:06:20</t>
  </si>
  <si>
    <t>投诉人 谢先生        投诉对象  好易贷        涉诉金额  3 000 元    问题类型    诉求类型投诉详情  1、乱爆通讯录。2、侮辱、辱骂通讯录人员</t>
  </si>
  <si>
    <t>手机借钱app多宝分期高利贷</t>
  </si>
  <si>
    <t>http://ts.21cn.com/tousu/show/id/1371329</t>
  </si>
  <si>
    <t>2019/10/18 13:06:18</t>
  </si>
  <si>
    <t>手机借钱app里的多宝分期申请3100元，每期还1223.9元，两个月已还2448元，利息高达1800元，存在严重的高利贷行为，现在进行第三期还款，请调整到法定利率后给平台清账，然后进行销账处理，后续不得进行骚扰，放款方为上海富友支付服务有限公司。</t>
  </si>
  <si>
    <t>已取消自动续费百度网盘依然扣费</t>
  </si>
  <si>
    <t>http://ts.21cn.com/tousu/show/id/1371328</t>
  </si>
  <si>
    <t>2019/10/18 13:05:52</t>
  </si>
  <si>
    <t>19年8月前已在百度，支付宝，苹果多方关闭自动扣费后，依然被百度自动扣费，百度账号186******29各种找百度网盘反馈也没有人工处理，所谓在线回复都是长时间等待，且都如机器人般统一回复现需要直接与百度网盘连接直接人工处理。</t>
  </si>
  <si>
    <t>暴力催收，骚扰通讯录，高利贷</t>
  </si>
  <si>
    <t>http://ts.21cn.com/tousu/show/id/1371326</t>
  </si>
  <si>
    <t>2019/10/18 13:04:37</t>
  </si>
  <si>
    <t>借款12800app显示要还17000多发短信说要上门恐吓把家里老人都吓坏了。</t>
  </si>
  <si>
    <t>暴力催收泄漏个人隐私</t>
  </si>
  <si>
    <t>http://ts.21cn.com/tousu/show/id/1371327</t>
  </si>
  <si>
    <t>2019/10/18 13:04:27</t>
  </si>
  <si>
    <t>在我已接听他们催收电话并告之我的情况下，还到处播打我朋友、家人、单位等等电话并泄漏我欠款的隐私，还给我的一个朋友发什么视频，对我的名誉，生活，精神造成了严重的损害！现在还可能会造成我失去工作！。</t>
  </si>
  <si>
    <t>砍头息软暴力催收</t>
  </si>
  <si>
    <t>http://ts.21cn.com/tousu/show/id/1371318</t>
  </si>
  <si>
    <t>2019/10/18 13:04:17</t>
  </si>
  <si>
    <t>投诉人张女士投诉对象钱包生活涉诉金额20000元问题类型诉求类型投诉详情砍头息！软暴力催收，盗取个人信息暴通讯录好友。</t>
  </si>
  <si>
    <t>退运费</t>
  </si>
  <si>
    <t>http://ts.21cn.com/tousu/show/id/1371325</t>
  </si>
  <si>
    <t>2019/10/18 13:04:12</t>
  </si>
  <si>
    <t>九号退的单，10号商家收到货，货款已退，但是运费迟迟没有退，找商家，商家说找平台，平台客服又不理人，要求平台联系退运费。</t>
  </si>
  <si>
    <t>上海瀚银违规为境外博彩机构提供资金通道</t>
  </si>
  <si>
    <t>http://ts.21cn.com/tousu/show/id/1371324</t>
  </si>
  <si>
    <t>2019/10/18 13:03:25</t>
  </si>
  <si>
    <t>投诉人邓先生投诉对象瀚银科技涉诉金额91300元问题类型诉求类型投诉详情以充值送彩金的噱头至华亿娱乐平台充值入金，一共充值91300元，后来发现此平台为专业追杀本金平台，通过与中国人民银行和支付清算协会沟通得知第三方支付业务应审核客户的相关信息，第三方支付公司不得向证券、期货、博彩等机构提供支付结算业务，作为有牌照的支付公司没有履行国家相关法律法规要求，为违法违规的平台提供支付结算通道，即产生了洗钱的嫌疑，根据《中华人民共和国反洗钱法》和《金融机构反洗钱规定》，、《金融机构大额交易和可疑交易报告管理办法》，</t>
  </si>
  <si>
    <t>快闪卡贷扣砍头息</t>
  </si>
  <si>
    <t>http://ts.21cn.com/tousu/show/id/1371323</t>
  </si>
  <si>
    <t>2019/10/18 13:03:08</t>
  </si>
  <si>
    <t>本人在快闪卡贷平台借了15000元，实际到账大约12300多元，分6期还完，前面每期还款3009.01，截止目前，已还五期，以还够本金和国家规定的利息，但是最后一期还得还3008.99，算下来利息综合年利率已超过36%，协商退还砍头息未果，导致逾期，快闪卡贷多次电话来催收，现请求快闪卡贷官方减免逾期利息并退还砍头息，并按照规定的利息协商。</t>
  </si>
  <si>
    <t>http://ts.21cn.com/tousu/show/id/1371321</t>
  </si>
  <si>
    <t>2019/10/18 13:01:16</t>
  </si>
  <si>
    <t>投诉人 信先生        投诉对象  活力花        涉诉金额  1 600 元    问题类型    诉求类型投诉详情  未经过我本人允许 骚扰我家人朋友 还恐吓我家里人而且我我也没有不还款 我都说了我还有三天开工资了 催收说我恶意 拖欠 我说了你们也有利息 我都会照还 催收骂我 然后还打电话骂我家里人还有朋友</t>
  </si>
  <si>
    <t>洋钱罐轰炸通讯录没跟本人联系过</t>
  </si>
  <si>
    <t>http://ts.21cn.com/tousu/show/id/1371322</t>
  </si>
  <si>
    <t>2019/10/18 13:00:59</t>
  </si>
  <si>
    <t>洋钱罐借贷平台未与本人联系直接通知通讯录亲朋，且都不是软件预留紧急联系人，对生活造成了困扰，现要求对方公司停止骚扰并道歉。</t>
  </si>
  <si>
    <t>拍拍贷暴力催收，有意把人往绝路逼</t>
  </si>
  <si>
    <t>http://ts.21cn.com/tousu/show/id/1371283</t>
  </si>
  <si>
    <t>2019/10/18 13:00:38</t>
  </si>
  <si>
    <t>拍拍贷依旧在实施暴力催收，批图，辱骂，恐吓借款人及借款人的手机通讯录亲朋好友，真的是把人往死了逼，现在本人的一切生活与工作受到严重影响，好不容易找到一份工作想重新开始，结果天天往单位发催收邮件及打单位电话，搞的现在整个单位都用异样的眼光看我，我想问拍拍贷，把我整失业了对你们有什么好处，不还是还不上钱吗，真的是被拍拍贷搞得身败名裂，想死的心多有，希望有关部门能出来管管，现在国家正打黑除恶，他们这是顶风作案啊，无视国家法律，踩踏人权。</t>
  </si>
  <si>
    <t>宜信恶意催收打电话骚扰家人同事</t>
  </si>
  <si>
    <t>http://ts.21cn.com/tousu/show/id/1371320</t>
  </si>
  <si>
    <t>2019/10/18 13:00:31</t>
  </si>
  <si>
    <t>在宜信普惠贷款2万元.2年24期还款将近3万元，目前还差3期还款应该是3900，目前逾期中已经涨到5000元，最近家里遇到困难，宜信的人每天换不同城市的电话，打电话重伤我，还骚扰我的家人，求平台能给予解决。</t>
  </si>
  <si>
    <t>兴业银行信用卡逾期违约金高，申请减免罚息不行</t>
  </si>
  <si>
    <t>http://ts.21cn.com/tousu/show/id/1371319</t>
  </si>
  <si>
    <t>2019/10/18 13:00:22</t>
  </si>
  <si>
    <t>我微信绑定兴业银行信用卡自动还款，由于没有扣款，导致还款失败，导致逾期，产生了，很高的利息，后面全额还款了，还多还了很多利息，由于现在失业了，经济困难，，希望银行可以减免退还违约金，罚息。</t>
  </si>
  <si>
    <t>拍拍拍贷违法违规逼债行为对我造成重大损失</t>
  </si>
  <si>
    <t>http://ts.21cn.com/tousu/show/id/1371317</t>
  </si>
  <si>
    <t>2019/10/18 13:00:12</t>
  </si>
  <si>
    <t>全国唯一一个敢在全国扫黑除恶专项行动期间爆通讯录的网贷，其它银行和网贷均不敢涉及无关人员，最多也是联系亲人，全国网贷和银行中，拍拍贷每天骚扰干扰次数最多，而且一天到晚不停，寄虚假律师函到本人当地居委会，满满的恶意及威胁，为什么不寄给本人或到本人单位，而是寄往居委会呢，明显是软暴力逼债行为，拍拍贷违法违规以软暴力精神暴力逼债的行为让我造成严重损失，精神损失，身体损失，精神受到严重催残，身体生病中，现在在住院治疗，我所欠欠款已全部结清还清，拍拍贷对我造成的伤害，请赔偿。</t>
  </si>
  <si>
    <t>信用家暴力催收，骚扰威胁恐吓</t>
  </si>
  <si>
    <t>http://ts.21cn.com/tousu/show/id/1371316</t>
  </si>
  <si>
    <t>2019/10/18 13:00:01</t>
  </si>
  <si>
    <t>信用家暴力催收，不断的骚扰通讯录联系人，威胁，恐吓，严重影响到本人工作和生活，请停止催收，停止骚扰通讯录联系人。</t>
  </si>
  <si>
    <t>玖富万卡阴阳合同，高利贷</t>
  </si>
  <si>
    <t>http://ts.21cn.com/tousu/show/id/1371314</t>
  </si>
  <si>
    <t>2019/10/18 12:59:17</t>
  </si>
  <si>
    <t>本人在2018年十月分三次在玖富万卡借款36000元，分36期还清，至今已经还12期，总计21360元，账单显示还需要再还37448元，还款一年，利息都没有还清，利息已经严重超过国家法定利息，现在本人要求玖富万卡做出合理解释，同时协商还款，。</t>
  </si>
  <si>
    <t>维信卡卡贷暴力催收，威胁，砍头息，利率高</t>
  </si>
  <si>
    <t>http://ts.21cn.com/tousu/show/id/1371315</t>
  </si>
  <si>
    <t>2019/10/18 12:59:01</t>
  </si>
  <si>
    <t>维信卡卡贷催收客服发私人短信给个人威胁联系亲友，现要求对方停止骚扰，联系非紧急联系人属于侵犯个人信息的行为，未获得本人授权，另外，维信卡卡贷账单收取高额砍头息，合同金额显示5900，扣去砍头息399，实际到账5501，实际利率年化已超过36%，要求赔偿，返还砍头息。</t>
  </si>
  <si>
    <t>中信银行信用卡中心发信息骚扰朋友</t>
  </si>
  <si>
    <t>http://ts.21cn.com/tousu/show/id/1371313</t>
  </si>
  <si>
    <t>2019/10/18 12:58:39</t>
  </si>
  <si>
    <t>对朋友进行不断的骚扰，导致关系破裂，欠钱也不给我。</t>
  </si>
  <si>
    <t>http://ts.21cn.com/tousu/show/id/1371285</t>
  </si>
  <si>
    <t>2019/10/18 12:58:20</t>
  </si>
  <si>
    <t>投诉人翁女士投诉对象钱站涉诉金额1000元问题类型诉求类型投诉详情钱站阴阳合同借款1000元，合同标注1690元还电话短信威胁不还就暴力催收，爆通讯录这样的公司必须严打。</t>
  </si>
  <si>
    <t>超高费用现金贷</t>
  </si>
  <si>
    <t>http://ts.21cn.com/tousu/show/id/1371312</t>
  </si>
  <si>
    <t>2019/10/18 12:58:18</t>
  </si>
  <si>
    <t>借了2800一个多月要还8000多，而且还是他们的责任，之前八月份的都是自动扣款，9月份没扣，我手机没app，到昨天突然打电话说我没还，客服发了个链接下载一看就这样，每次还款前只有一条短信通知，我卡里有钱也就没管，他们也没个短信提前还款失败之类的，也没人打电话说没还款，借款是我不小心点错了的，9月10号打了两次热线让取消借款，结果还是没取消，到账的2800。</t>
  </si>
  <si>
    <t>还呗高利贷</t>
  </si>
  <si>
    <t>http://ts.21cn.com/tousu/show/id/1371309</t>
  </si>
  <si>
    <t>2019/10/18 12:56:47</t>
  </si>
  <si>
    <t>众安违规与还呗合作，提供放款资金，借款3000，每期等本等息还款553.79，共6期，还款利率36.88%，超出国家法律规定利率。</t>
  </si>
  <si>
    <t>平安银行暴击催收，骚扰及恐吓。</t>
  </si>
  <si>
    <t>http://ts.21cn.com/tousu/show/id/1371308</t>
  </si>
  <si>
    <t>2019/10/18 12:56:41</t>
  </si>
  <si>
    <t>平安银行催收部门，1.冒充北京人口普查人员向我户籍地派出所致电，非法调查我个人信息，及父母信息，并多次多号码骚扰，恐吓我通讯里亲戚朋友及同事，致使亲友因惊吓过度，已入院治疗，2.恶意曝光通讯录，冒充公检法，发送虚假开庭告知函，3.以与平安银行客服进行多次电话投诉反馈其催收行为，均未得到响应，因此事以严重影响到我的工作及生活，给我及亲友的名誉造成不了挽回的影响，我们是个法制的国家，我相信我们的国家也相信我们的法律，正直国家七十周年庆典时间，我希望得到公平对待。</t>
  </si>
  <si>
    <t>小红书文章关键词搜不到，几万篇辛辛苦苦的文章消失</t>
  </si>
  <si>
    <t>http://ts.21cn.com/tousu/show/id/1371307</t>
  </si>
  <si>
    <t>2019/10/18 12:56:35</t>
  </si>
  <si>
    <t>关键词为“尖锐湿疣”的文章，就想分享下经验，给需要的人一些帮助，忽然发现搜索关键词"尖锐湿疣"竟然搜不到任何文字了，没有任何经济关系，就是不想醒辛辛苦苦写的文章，消失不见。</t>
  </si>
  <si>
    <t>平安信用卡故意骚扰我的家人，爆通讯录</t>
  </si>
  <si>
    <t>http://ts.21cn.com/tousu/show/id/1371306</t>
  </si>
  <si>
    <t>2019/10/18 12:56:06</t>
  </si>
  <si>
    <t>过年前想还款还不了，上面显示没有还款，现在突然间到处骚扰我亲戚朋友，我的父母，到处发彩信说我信用卡逾期，我之前想还还不了，现在突然间说我逾期几个月，说逾期金额有四千多，现在请求聚投诉，帮忙跟信用卡中心商量一下，能不能分期还款，一下子拿四千多出来，我是真的没有，如果逾期了，我不是故意拖着不还，是生活真的遇到困难了，还要在家带两个孩子，，。</t>
  </si>
  <si>
    <t>拉卡拉支付无故扣押扫码款</t>
  </si>
  <si>
    <t>http://ts.21cn.com/tousu/show/id/1371304</t>
  </si>
  <si>
    <t>2019/10/18 12:55:46</t>
  </si>
  <si>
    <t>在店铺审核通过的情况下，客户扫码支付600元却无故不结算资金，直接关闭店铺，严重怀疑拉卡拉支付股份有限公司想黑掉这笔钱。</t>
  </si>
  <si>
    <t>纵容无良商家，遇事推卸</t>
  </si>
  <si>
    <t>http://ts.21cn.com/tousu/show/id/1371305</t>
  </si>
  <si>
    <t>2019/10/18 12:55:40</t>
  </si>
  <si>
    <t>买的超声刀，邮来是坏的，商家不回复，闲鱼客服不管自己协商。</t>
  </si>
  <si>
    <t>聚富分期未通过本人私自在银行卡扣款</t>
  </si>
  <si>
    <t>http://ts.21cn.com/tousu/show/id/1371303</t>
  </si>
  <si>
    <t>2019/10/18 12:55:35</t>
  </si>
  <si>
    <t>2019年9月初只是在聚富分期上进行借款，当时借款没有成功，也没有显示要进行299元的扣款，而且还打着购买评估报告的幌子，在13日早上8：50分从银行卡里被扣299元，给聚富分期客服打电话，一直没有打通过，在为借款成功，而且私自从本人银行卡里扣款，在国家严厉整顿网络借贷的大环境，希望平台能给我们借款人一个公平公正的公道，退还被扣的费用。</t>
  </si>
  <si>
    <t>投诉交通银行信用卡</t>
  </si>
  <si>
    <t>http://ts.21cn.com/tousu/show/id/1371302</t>
  </si>
  <si>
    <t>2019/10/18 12:55:20</t>
  </si>
  <si>
    <t>2017年交通银行代理律师与我家人联系，可以协商还款，作为不知情者去全额还款，银行未提出减免优惠，收取全额罚息及手续费！银行方面目前拒不承认也不承担责任，以及客户态度非常恶劣，存在歧视语气对待！。</t>
  </si>
  <si>
    <t>虚假宣传，诱导消费者</t>
  </si>
  <si>
    <t>http://ts.21cn.com/tousu/show/id/1371276</t>
  </si>
  <si>
    <t>2019/10/18 12:54:42</t>
  </si>
  <si>
    <t>投诉人 韩女士        投诉对象  点POS        涉诉金额  339 元    问题类型    诉求类型投诉详情  承诺不论多少钱都是0.38的利率 实际超过1千就是0.55的利率</t>
  </si>
  <si>
    <t>花转转樱桃小借恶意导致客户逾期收取逾期费用</t>
  </si>
  <si>
    <t>http://ts.21cn.com/tousu/show/id/1371300</t>
  </si>
  <si>
    <t>花转转樱桃小借，因9月18号开始平台原因，不能还款，期间通过多种方式联系客服，都无法联系上，借款2800.到账2800.28天还款，每7天一期，每期还款金额1022.46元，属于高利贷，平台造成逾期，每天逾期费用高达65元，已超出国家合规贷款利息范围，联系客服协商逾期费用全免，本金加300利息结清，客服均不处理，理由都是没有权限，抛气球式的不给处理问题，所以逾期费用一直在增加，‭，花转转下载链接在百度可以下载t.cn/AiuVZLWg客服电话:4008336200。</t>
  </si>
  <si>
    <t>快件丢失后多次联系无回复</t>
  </si>
  <si>
    <t>http://ts.21cn.com/tousu/show/id/1371299</t>
  </si>
  <si>
    <t>2019/10/18 12:53:35</t>
  </si>
  <si>
    <t>10月11日签收，当时与收货方联系过说可能第二天才会派送，到了12号下午还没有派送我就直接打了快递物流显示的网点电话，当时接电话的人就说帮我问一下派送员，期间还问了是什么东西多少价值的，沟通完毕后一直等待回复，等了两天没有收到任何回复，便给网点又打了几个电话，全部都没人接，然后打了百世快递的客服电话投诉网点并要求解决问题，官方客服说中午之前联系并给我答复，然后过了一会，网点的人员打电话来了，各种理由借口就是不正面给我答复，然后说继续帮我问，然后又等了一天还是没消息，又打了官方客服的电话，官方客服给出的答复还</t>
  </si>
  <si>
    <t>交易猫仲裁客服不理</t>
  </si>
  <si>
    <t>http://ts.21cn.com/tousu/show/id/1371298</t>
  </si>
  <si>
    <t>2019/10/18 12:53:00</t>
  </si>
  <si>
    <t>首先客服没有把密码给我，交易的账号我登录不上手机换绑问没有成功，仲裁客服处理太慢！我又联系不上卖家！。</t>
  </si>
  <si>
    <t>停止电话骚扰</t>
  </si>
  <si>
    <t>http://ts.21cn.com/tousu/show/id/1371296</t>
  </si>
  <si>
    <t>2019/10/18 12:52:22</t>
  </si>
  <si>
    <t>深海教育的课我一天没上，，当天办理完分期，回家后我觉得不对，就上网查，结果真是被强买强卖了，无事我就联系深海教育，解除合同，她们一直托我两个月，刚刚办理停止，咖啡这边还一直在催我，求解决，处理，。</t>
  </si>
  <si>
    <t>合同贷款金额与可使用金额不相符</t>
  </si>
  <si>
    <t>http://ts.21cn.com/tousu/show/id/1371196</t>
  </si>
  <si>
    <t>2019/10/18 12:52:18</t>
  </si>
  <si>
    <t>本人于2017年9月通过友信普惠贷款，贷款期限为36个月，合同金额为109,400，但实际可用金额为70,000，其余39,400为服务费，而每月还块金额为3540.31，总还款金额为127,451.16，本人之前还款记录一直良好，也承诺一定会准时处理2019/10月的费用，但由于本人经济状况出现了问题，所以今天致电友信客服询问是否可以将剩余的38,944.51再分期，以保证本人能够准时还款，但遭到友信客服的拒绝，如本人准时还完1019/10的费用，剩余的费用则全部为服务费，所以本人希望友信能够和本人协商一</t>
  </si>
  <si>
    <t>http://ts.21cn.com/tousu/show/id/1371295</t>
  </si>
  <si>
    <t>2019/10/18 12:52:15</t>
  </si>
  <si>
    <t>希望可以和现金巴士协商处理，将逾期费用做出减免我还1030，因为一天10元已超过国家法律规定利率。</t>
  </si>
  <si>
    <t>唯品会投诉专题</t>
  </si>
  <si>
    <t>http://ts.21cn.com/tousu/show/id/1371294</t>
  </si>
  <si>
    <t>2019/10/18 12:52:14</t>
  </si>
  <si>
    <t>无缘无故把我唯品花停用了，没有任何提醒的！。</t>
  </si>
  <si>
    <t>中国建设银行信用卡</t>
  </si>
  <si>
    <t>http://ts.21cn.com/tousu/show/id/1371293</t>
  </si>
  <si>
    <t>2019/10/18 12:51:50</t>
  </si>
  <si>
    <t>中国建设银行信用卡，借款加消费总10000，还款12000，没有按照国家规定信用卡规定。</t>
  </si>
  <si>
    <t>高息</t>
  </si>
  <si>
    <t>http://ts.21cn.com/tousu/show/id/1371292</t>
  </si>
  <si>
    <t>2019/10/18 12:51:25</t>
  </si>
  <si>
    <t>投诉过之后客服第一次打电话直接说一次结清可以减免，停了几天想想算了就打电话客服客服在工作的时间联系没听到联系了两次不理了，辗转几次反馈信息最后终于通话了解决方案说发链接让我添负债情况看情况减免就这个都现在屁都没收到。</t>
  </si>
  <si>
    <t>http://ts.21cn.com/tousu/show/id/1371291</t>
  </si>
  <si>
    <t>2019/10/18 12:50:10</t>
  </si>
  <si>
    <t>巧立名目违法收取我高额借款费用，本人于2019-08-17,2019-09-27在带上钱，综合利率超600%,通过法律援助得知贷上钱平台的贷款行为已严重违法，本人多次在贷上钱平台借款，前期本息的如数还清，借款两笔，4000元及3000元，平台以荐职小秘书的名义收取高额服务费1200元，750元，另加其它费用，综合利率超600%,通过法律援助得知，贷上钱平台的贷款行为已严重违法，本人多次在贷上钱平台借款，前期本息的如数还清，由于贷上钱收取高额违法本息，导致我损失巨大，造成一天逾期，也没说不还，贷上钱工作人员在</t>
  </si>
  <si>
    <t>终止合同,取消分期</t>
  </si>
  <si>
    <t>http://ts.21cn.com/tousu/show/id/1371290</t>
  </si>
  <si>
    <t>2019/10/18 12:49:58</t>
  </si>
  <si>
    <t>因为老师说12号以后政策就会改革，学费水涨船高，到时候那也不一定能够报的了，还要加英语数学科目，让我好好考虑现在就是报名的最好时机进行诱导,提升学历了收入也会改善等等各种好处，报名时,说资金不够,老师说有教育贷款进行诱导,问起学费为什么这么高时,忽悠说有各种视频,资料,培训直播课程,让我先交钱学费首付,分期还贷,首付3192分期12768。</t>
  </si>
  <si>
    <t>http://ts.21cn.com/tousu/show/id/1371289</t>
  </si>
  <si>
    <t>2019/10/18 12:49:26</t>
  </si>
  <si>
    <t>他们的客服招商电话一直没有人接，没人处理，好几个月一直没有人回应。</t>
  </si>
  <si>
    <t>友信金融借8万还13.4万高利贷</t>
  </si>
  <si>
    <t>http://ts.21cn.com/tousu/show/id/1371287</t>
  </si>
  <si>
    <t>2019/10/18 12:48:36</t>
  </si>
  <si>
    <t>投诉人 陈强        投诉对象  友信金融        涉诉金额  134 000 元    问题类型    诉求类型投诉详情  友信金融高利贷，无法无天。还有没有人管了</t>
  </si>
  <si>
    <t>要求360借条平台停止对紧急联系人以为的联系人进行骚扰</t>
  </si>
  <si>
    <t>http://ts.21cn.com/tousu/show/id/1371286</t>
  </si>
  <si>
    <t>2019/10/18 12:46:08</t>
  </si>
  <si>
    <t>这是我的小姨，今天一大早就给发信息说360天天打电话，但是她不是我设置的紧急联系人，我由于家庭破产现在暂时没有能力还款，只有等找到新工作挣了钱才有能力偿还。</t>
  </si>
  <si>
    <t>收取高利贷</t>
  </si>
  <si>
    <t>http://ts.21cn.com/tousu/show/id/1371284</t>
  </si>
  <si>
    <t>2019/10/18 12:45:59</t>
  </si>
  <si>
    <t>用了一年多收取高额利息，要求做出赔偿，以下只是其中几笔。</t>
  </si>
  <si>
    <t>嗨钱砍头息还款不消账资方持续催收</t>
  </si>
  <si>
    <t>http://ts.21cn.com/tousu/show/id/1371282</t>
  </si>
  <si>
    <t>2019/10/18 12:44:34</t>
  </si>
  <si>
    <t>7月16日嗨钱申请一笔4000贷款，由深圳光华普惠放款，到账后被秒扣800元费用，现在已经还清2期，最后一期到期后我还没有处理，但是这个砍头息费用我是不会再还的，希望笑脸金融与嗨钱跟我解释800元砍头息问题，前两期还款完成但是平台一直显示逾期，我还款不知道到底被谁扣掉了，我现在剩余最后一期未还款，希望平台解释砍头息问题，调整合理法律规定范围内的金额我将立即还款，否则这两期还款我将不再还了，并向公安机关及扫黑办报案。</t>
  </si>
  <si>
    <t>小花钱包群发短信侮辱骚扰家人</t>
  </si>
  <si>
    <t>http://ts.21cn.com/tousu/show/id/1371280</t>
  </si>
  <si>
    <t>2019/10/18 12:44:26</t>
  </si>
  <si>
    <t>投诉人 徐先生        投诉对象  小花钱包        涉诉金额  2 400 元    问题类型    诉求类型投诉详情  小花钱包催收恶劣 肆意辱骂家人 群发短信 不停骚扰 请平台给予正确处理</t>
  </si>
  <si>
    <t>暴力催收，骚扰联系人</t>
  </si>
  <si>
    <t>http://ts.21cn.com/tousu/show/id/1371281</t>
  </si>
  <si>
    <t>2019/10/18 12:44:20</t>
  </si>
  <si>
    <t>骚扰借款人家人，盗取通讯录的信息，短信轰炸，以借款的行为欺骗借款人亲朋。</t>
  </si>
  <si>
    <t>不正规的服务平台，提前结清乱收费</t>
  </si>
  <si>
    <t>http://ts.21cn.com/tousu/show/id/1371278</t>
  </si>
  <si>
    <t>2019/10/18 12:43:44</t>
  </si>
  <si>
    <t>利息过高，乱收手续费，提前结清利息乱收，希望平台给于调解谢谢！。</t>
  </si>
  <si>
    <t>本金借的当月已经还清，现在让我还两个月利息</t>
  </si>
  <si>
    <t>http://ts.21cn.com/tousu/show/id/1371277</t>
  </si>
  <si>
    <t>2019/10/18 12:43:43</t>
  </si>
  <si>
    <t>我在手机店买手机是分期付款，合作的贷款公司就是捷信，当时我朋友在那家店里，但我当时不知情，后来她跟我说手机店没有给我最低的分期，说利息很高，所以让我尽快还了，我借完没几天就还清了所有费用，但是他公司现在给我打电话让我还两个月利息加起来600多，现在已经扣了一个月，这个月还让我还，之前打过电话他公司说的是我还款时没有给他们打电话说要还全款，而且在还款时没有点捷信APP上的还全款选项，但是当时我还的时候他们这个APP上并没有这个选项，现在给他们打电话也没有解决这个问题，并且只让我还钱，还说我这个钱是借了12个月</t>
  </si>
  <si>
    <t>闪电借款超国家规定收费，暴力催收</t>
  </si>
  <si>
    <t>http://ts.21cn.com/tousu/show/id/1371275</t>
  </si>
  <si>
    <t>2019/10/18 12:43:32</t>
  </si>
  <si>
    <t>借款需要买黑卡，借400要买100块钱卡，借2000要买500块钱卡，到期还2100，还款日当天催款的人就来电话让中午处理不然就打联系人。</t>
  </si>
  <si>
    <t>暴击催收，电话轰炸，恐吓</t>
  </si>
  <si>
    <t>http://ts.21cn.com/tousu/show/id/1371273</t>
  </si>
  <si>
    <t>2019/10/18 12:42:59</t>
  </si>
  <si>
    <t>投诉人代文昌投诉对象捷信金融涉诉金额25000元问题类型诉求类型投诉详情天天打电话给我通讯录，一天一个，还电话恐吓，我爸都被吓住院了，暴击催收，对我生活造成了极大困扰，我又不是不还，希望有关部门处理一下。</t>
  </si>
  <si>
    <t>谩骂威胁</t>
  </si>
  <si>
    <t>http://ts.21cn.com/tousu/show/id/1371272</t>
  </si>
  <si>
    <t>2019/10/18 12:42:01</t>
  </si>
  <si>
    <t>投诉人万先生投诉对象马上消费金融涉诉金额2000元问题类型诉求类型投诉详情马上金融威胁恐吓家人，并且发短信冒充司法机关，导致家人很恐慌。</t>
  </si>
  <si>
    <t>催收人员威胁爆通讯录</t>
  </si>
  <si>
    <t>http://ts.21cn.com/tousu/show/id/1371271</t>
  </si>
  <si>
    <t>2019/10/18 12:41:58</t>
  </si>
  <si>
    <t>投诉人 张先生        投诉对象  催收家,振泰金融催收部,雄鹰催收公司        涉诉金额  3 000 元    问题类型    诉求类型投诉详情  威胁我要打爆通讯录。也不敢说是哪一家公司</t>
  </si>
  <si>
    <t>天天金钱恶意扣款288</t>
  </si>
  <si>
    <t>http://ts.21cn.com/tousu/show/id/1371270</t>
  </si>
  <si>
    <t>2019/10/18 12:41:17</t>
  </si>
  <si>
    <t>无故扣款，客服不让退钱，这种骗子平台怎么能上架，这是欺骗消费者！！！！。</t>
  </si>
  <si>
    <t>http://ts.21cn.com/tousu/show/id/1371268</t>
  </si>
  <si>
    <t>2019/10/18 12:40:45</t>
  </si>
  <si>
    <t>中银消费金融，在能联系到本人的前提下，暴通讯录，骚扰我同学！前段时间就给客服沟通过，说3到5个工作日给我回复，客服一直没回复！！现在又暴通讯录！。</t>
  </si>
  <si>
    <t>骚扰我的家人</t>
  </si>
  <si>
    <t>http://ts.21cn.com/tousu/show/id/1371267</t>
  </si>
  <si>
    <t>2019/10/18 12:40:27</t>
  </si>
  <si>
    <t>曝光我个人信息，到处打电话，利息还高，高利贷。</t>
  </si>
  <si>
    <t>投诉杭州市民卡公司</t>
  </si>
  <si>
    <t>http://ts.21cn.com/tousu/show/id/1371266</t>
  </si>
  <si>
    <t>2019/10/18 12:40:19</t>
  </si>
  <si>
    <t>在想有钱借款，现在到期还款，可是找不了平台了，平台也没有app，客服联系不上，看上面是杭州市民卡公司放的款，这个公司提供虚假消息，让我摊上高利贷。</t>
  </si>
  <si>
    <t>http://ts.21cn.com/tousu/show/id/1371265</t>
  </si>
  <si>
    <t>2019/10/18 12:38:47</t>
  </si>
  <si>
    <t>本月资金周转出现困难，希望马上消费金融安逸花与我协商下还款时间，所产生的逾期费用本人可以承担。</t>
  </si>
  <si>
    <t>短信群发骚扰朋友</t>
  </si>
  <si>
    <t>http://ts.21cn.com/tousu/show/id/1371264</t>
  </si>
  <si>
    <t>2019/10/18 12:38:40</t>
  </si>
  <si>
    <t>未经本人允许把个人资料交给第三方，轰炸通讯录，群发短信骚扰朋友。</t>
  </si>
  <si>
    <t>凡普金科高利贷</t>
  </si>
  <si>
    <t>http://ts.21cn.com/tousu/show/id/1371263</t>
  </si>
  <si>
    <t>2019/10/18 12:37:24</t>
  </si>
  <si>
    <t>凡普金科旗下钱站，借4000，3个月还，每个月还2380.55，严重超出国家规定利息，高达本金的百分之六十，你们客服尽然说合法，是谁给你们这么大勇气说自己合法，望国家彻查。</t>
  </si>
  <si>
    <t>http://ts.21cn.com/tousu/show/id/1371262</t>
  </si>
  <si>
    <t>2019/10/18 12:37:06</t>
  </si>
  <si>
    <t>马上金融涉及威胁恐吓谩骂，打电话骚扰，希望能够公布出来。</t>
  </si>
  <si>
    <t>广发银行第三方上门催收</t>
  </si>
  <si>
    <t>http://ts.21cn.com/tousu/show/id/1371261</t>
  </si>
  <si>
    <t>2019/10/18 12:36:40</t>
  </si>
  <si>
    <t>本人有一张广发信用卡逾期，第三方经常骚扰我的家人，我想直接和广发银行信用卡中心沟通，希望不要委托第三方。</t>
  </si>
  <si>
    <t>好分期整改合法利率</t>
  </si>
  <si>
    <t>http://ts.21cn.com/tousu/show/id/1371260</t>
  </si>
  <si>
    <t>2019/10/18 12:36:36</t>
  </si>
  <si>
    <t>本人于2019年七月分别在好分期贷款两笔,分别在5000.2800,按照他的合同来5000的年利率百分之12,2800的年利率百分之10.2,都是等额本息,分期十二个月，但是当我仔细看合同发现完全不对,合同上写的利率还款金额跟实际的都不一样,欺骗客户,阴阳合同,利息2700，超过了合法的百分之24，我进行投诉后对方强调合法，超过24但是未超过36，本人咨询律师法院，得出的结论对方并不合法，借贷合同超过百分之24年利率的，借款人有权提出减免，我诉求超过百分之24部分减免，重新修改我的后台分期账单，否则检举到北</t>
  </si>
  <si>
    <t>网贷逾期了</t>
  </si>
  <si>
    <t>http://ts.21cn.com/tousu/show/id/1371259</t>
  </si>
  <si>
    <t>2019/10/18 12:36:14</t>
  </si>
  <si>
    <t>逾期9天给我打电话了，我说月底还马上就挂电话根本不听你说的话，后来我给客服打电话说月底还那几天没收到骚扰电话了现在17天了我家里人收到骚扰电话恐吓。</t>
  </si>
  <si>
    <t>国庆战队组队活动奖励为什么没到账</t>
  </si>
  <si>
    <t>http://ts.21cn.com/tousu/show/id/1371258</t>
  </si>
  <si>
    <t>2019/10/18 12:36:07</t>
  </si>
  <si>
    <t>国庆战队活动，第一名队伍有作弊行为，我们是第二名，按理说应该取消他们成绩，奖励发给我们，现在我们有个队员的奖励补偿已经到账了，为什么我们其他4个人的补偿没到账，下面图片是我队伍里面第三名的奖励补偿，中午到账的，是不是要我们每个人都来投诉，才有补偿。</t>
  </si>
  <si>
    <t>中国银行账号被壹钱包无故扣款3笔600元</t>
  </si>
  <si>
    <t>http://ts.21cn.com/tousu/show/id/1371257</t>
  </si>
  <si>
    <t>2019/10/18 12:35:29</t>
  </si>
  <si>
    <t>不明真相被无故扣款三笔600元壹钱包里无转账和消费记录。</t>
  </si>
  <si>
    <t>钱站贷款隐藏利息，催收暴力</t>
  </si>
  <si>
    <t>http://ts.21cn.com/tousu/show/id/1371256</t>
  </si>
  <si>
    <t>2019/10/18 12:35:21</t>
  </si>
  <si>
    <t>借款2000元3个月还将近3000元，催收打电话协商，我要求还本金加正常利率全部归还，他跟我说，不行，不还就爆我通讯录。</t>
  </si>
  <si>
    <t>恐吓收租</t>
  </si>
  <si>
    <t>http://ts.21cn.com/tousu/show/id/1371255</t>
  </si>
  <si>
    <t>2019/10/18 12:34:49</t>
  </si>
  <si>
    <t>投诉人 韩先生        投诉对象  活力花        涉诉金额  4 500 元    问题类型    诉求类型投诉详情  本人在活力花借4500分三期 因资金周转不足逾期 暴力催租 威胁恐吓</t>
  </si>
  <si>
    <t>高利贷骚扰威胁</t>
  </si>
  <si>
    <t>http://ts.21cn.com/tousu/show/id/1371253</t>
  </si>
  <si>
    <t>2019/10/18 12:34:33</t>
  </si>
  <si>
    <t>现因家里出现经济危机，未能及时还款，信用前包私自读取我的通讯录，，而且不分时间段给我打电话，威胁说不还款就打给亲戚朋友，恐吓我。</t>
  </si>
  <si>
    <t>快贷高利息，恶意催收</t>
  </si>
  <si>
    <t>http://ts.21cn.com/tousu/show/id/1371252</t>
  </si>
  <si>
    <t>2019/10/18 12:34:09</t>
  </si>
  <si>
    <t>因工资延续发放，逾期一个上午，期间快贷平台一直电话骚扰，本人一直有接电话与客服协商还款时间，让客服给多一天时间，不肯协商，而且威胁不还上征信，利息借5500就要给9900利息，不符合国家利率，要求停止骚扰，协商。</t>
  </si>
  <si>
    <t>http://ts.21cn.com/tousu/show/id/1371251</t>
  </si>
  <si>
    <t>2019/10/18 12:33:56</t>
  </si>
  <si>
    <t>骚扰我亲戚朋友，给他们生活造成了影响，天天打电话辱骂，还给我盆友亲戚发我的照片，严重侵犯了我的肖像权。</t>
  </si>
  <si>
    <t>及贷暴力催收，对借款人的联系人进行辱骂</t>
  </si>
  <si>
    <t>http://ts.21cn.com/tousu/show/id/1371250</t>
  </si>
  <si>
    <t>2019/10/18 12:33:14</t>
  </si>
  <si>
    <t>由于本人目前经济状况出现问题，未能及时还款，经与及贷催收人员沟通未能达成延期还款协议。</t>
  </si>
  <si>
    <t>申请了账单分期一次性扣除了所有手续费用不合理</t>
  </si>
  <si>
    <t>http://ts.21cn.com/tousu/show/id/1371249</t>
  </si>
  <si>
    <t>2019/10/18 12:33:11</t>
  </si>
  <si>
    <t>七月份在工商银行app上申请了十来万的账单分期就马上扣掉了所有的分期手续费用，这样跟那些高利贷的网贷砍头息没什么两样了吧！。</t>
  </si>
  <si>
    <t>交通银行不按国家标准收费，拒绝退部分罚金滞纳金和利息</t>
  </si>
  <si>
    <t>http://ts.21cn.com/tousu/show/id/1371248</t>
  </si>
  <si>
    <t>2019/10/18 12:33:00</t>
  </si>
  <si>
    <t>投诉人徐健投诉对象交通银行涉诉金额1500元问题类型诉求类型投诉详情交通银行未按照国家标准收费罚息，现在不退多收取部分的违约金和滞纳金和利息，如果收到邮件还不解决，我将继续维权。</t>
  </si>
  <si>
    <t>中信银行信用卡遭集体投诉，三成系盗刷问题</t>
  </si>
  <si>
    <t>http://ts.21cn.com/tousu/show/id/1371247</t>
  </si>
  <si>
    <t>2019/10/18 12:31:56</t>
  </si>
  <si>
    <t>投诉人 王女士        投诉对象  中信银行信用卡        涉诉金额  9 000 元    问题类型    诉求类型投诉详情  第三方暴力催收。侮辱我的家人。骂人。恐吓威胁等。</t>
  </si>
  <si>
    <t>招联金融态度恶劣。暴力催收</t>
  </si>
  <si>
    <t>http://ts.21cn.com/tousu/show/id/1371246</t>
  </si>
  <si>
    <t>2019/10/18 12:31:53</t>
  </si>
  <si>
    <t>招联金融态度极其恶劣，暴力催收，泄露我的所有个人信息。</t>
  </si>
  <si>
    <t>http://ts.21cn.com/tousu/show/id/1371245</t>
  </si>
  <si>
    <t>2019/10/18 12:30:55</t>
  </si>
  <si>
    <t>我于8月28号晚上23点申请了退押金，平台承诺5-10个工作日退回到我的账号但是现在10月18号了，至今仍然未退回押金，也没有人联系我立刻出行账号：151******20希望帮忙追回我的血汗钱。</t>
  </si>
  <si>
    <t>来分期拒绝协商还款。高利贷。态度强硬</t>
  </si>
  <si>
    <t>http://ts.21cn.com/tousu/show/id/1371243</t>
  </si>
  <si>
    <t>2019/10/18 12:29:18</t>
  </si>
  <si>
    <t>投诉人桑女士投诉对象来分期涉诉金额15263元问题类型诉求类型投诉详情来分期高利贷，之前已经还款的所收入的各种费用我都可以接受。</t>
  </si>
  <si>
    <t>百川推客邀请新人不发放奖励</t>
  </si>
  <si>
    <t>http://ts.21cn.com/tousu/show/id/1371242</t>
  </si>
  <si>
    <t>2019/10/18 12:28:51</t>
  </si>
  <si>
    <t>该平台，邀请新人奖励，并没有发放直接审核不通过，可以查设备，查ip，原先金额327目前金额剩下3元。</t>
  </si>
  <si>
    <t>http://ts.21cn.com/tousu/show/id/1371240</t>
  </si>
  <si>
    <t>2019/10/18 12:28:06</t>
  </si>
  <si>
    <t>投诉人 蒋超        投诉对象  钱橙无忧        涉诉金额  168 元    问题类型    诉求类型投诉详情  骗人填写资料 地址 银行卡号 联系方式 然后收费168元</t>
  </si>
  <si>
    <t>高利贷套路贷</t>
  </si>
  <si>
    <t>http://ts.21cn.com/tousu/show/id/1371238</t>
  </si>
  <si>
    <t>2019/10/18 12:27:26</t>
  </si>
  <si>
    <t>本人于1018年10月25借款12800分24期还款，每月利息917.32，含服务费每期322多，严重超出标准，现在已经还了第10期，要求玖富整改利息。</t>
  </si>
  <si>
    <t>陌陌币退费</t>
  </si>
  <si>
    <t>http://ts.21cn.com/tousu/show/id/1371239</t>
  </si>
  <si>
    <t>2019/10/18 12:27:24</t>
  </si>
  <si>
    <t>多次询问客服解决问题，客服已规定为由，拒绝退款，，这简直是霸王条款，哪里有充值不能退款的，界面也没有提示不能退款，充值用户很容易出错。</t>
  </si>
  <si>
    <t>高息电话骚扰</t>
  </si>
  <si>
    <t>http://ts.21cn.com/tousu/show/id/1371237</t>
  </si>
  <si>
    <t>2019/10/18 12:27:23</t>
  </si>
  <si>
    <t>借钱前宣传的的低利息用利率表算的跟最后差别多一半，接完第二天本人级亲属收到360借款填坑诱导，这还没到还款日期呢天天不同号码给我打电话接了不说话。</t>
  </si>
  <si>
    <t>利息太高，高过高利贷，骚扰电话，不给协商</t>
  </si>
  <si>
    <t>http://ts.21cn.com/tousu/show/id/1371235</t>
  </si>
  <si>
    <t>2019/10/18 12:26:58</t>
  </si>
  <si>
    <t>利息太高，不合法，态度恶劣，协商还本金和法律规定的利息不同意，暴力催收。</t>
  </si>
  <si>
    <t>利息高，不协商还款，逾期直接爆通讯录</t>
  </si>
  <si>
    <t>http://ts.21cn.com/tousu/show/id/1371236</t>
  </si>
  <si>
    <t>2019/10/18 12:26:54</t>
  </si>
  <si>
    <t>上笔5000订单逾期后催收要求一小时内还清。</t>
  </si>
  <si>
    <t>捷信变相高息</t>
  </si>
  <si>
    <t>http://ts.21cn.com/tousu/show/id/1371195</t>
  </si>
  <si>
    <t>2019/10/18 12:26:51</t>
  </si>
  <si>
    <t>捷信金融当初电话推销我办理贷款，一切都在电话推销完成，本人现金贷一万元，现已经还了24期15984元，后捷信又扣除八百多，还了差不多16800了，协商还要求还款2500多元结清，说合法，确认合同就是同意，利用借款人法律意识薄弱，电话推销里说的利息特别低，提前还款后面的没有任何利息，让安心借款，是国家正规上牌的金融机构，本人也查阅法院判决书，法院驳回了变相的服务费，说明法律是不支持这种以服务费巧立名目的变相高息，捷信也赚了很多钱了，如果愿意结清也就算了，但是捷信得寸进尺，不停电话催收，还致电去户籍地上门了解，</t>
  </si>
  <si>
    <t>暴力催收乱发信息</t>
  </si>
  <si>
    <t>http://ts.21cn.com/tousu/show/id/1371233</t>
  </si>
  <si>
    <t>2019/10/18 12:26:32</t>
  </si>
  <si>
    <t>乱发信息，暴力催收，打电话威胁，没有商量的余地。</t>
  </si>
  <si>
    <t>捷信金融高利贷，恐吓爆通讯录发假律师函威胁</t>
  </si>
  <si>
    <t>http://ts.21cn.com/tousu/show/id/1371234</t>
  </si>
  <si>
    <t>2019/10/18 12:26:24</t>
  </si>
  <si>
    <t>2016年那时候因为年少无知外出打工，因分期买了个笔记本走的捷信分期，当时因为还款信用不错，接到捷信贷款电话说我可以有一万元现金贷服务，当时什么也没想就去借了，办业务的人问我分期多少时间，我说两年吧，但是合同出来以后发现上面是36期，他还说没事儿，也没多少钱，那时候我根本就不会算这个利率，后来因为逾期，就一直没还，一直到合同终止以后收到了他们发的假律师函说起诉什么的，发到了我们村委会，我们村的人都知道了，还爆通讯录，后来我一次性还了他们一万，这一万不是在app还的，是他们给了一个账号，我转账过去的，现在上面</t>
  </si>
  <si>
    <t>安逸花利息罚息不合理跟高利贷一样</t>
  </si>
  <si>
    <t>http://ts.21cn.com/tousu/show/id/1371232</t>
  </si>
  <si>
    <t>2019/10/18 12:25:36</t>
  </si>
  <si>
    <t>2018年在安逸花借款，一直都是正常还款，今年8月突然遇到困难无法正常还款了，然后就逾期，到现在两个月零几天了，他们的账单我一直看不懂，app显示的罚息算下来五百多，实际上10月16号发给我的短信罚息1129.80元，他们给出的解释是未还本金*日利率*1.5*逾期天数，问他们我的未还本金是按照总金额还是逾期的本金还是什么，他们又说不出来，我想着现在终于能凑到钱了，跟他们商量能不能减免罚息，他们的客服态度很不好强硬得很，说没得商量，前天还有一个人通过手机号加我微信的方式来威胁我要打我亲戚朋友电话。</t>
  </si>
  <si>
    <t>砍头身以保险模式</t>
  </si>
  <si>
    <t>http://ts.21cn.com/tousu/show/id/1371231</t>
  </si>
  <si>
    <t>2019/10/18 12:25:34</t>
  </si>
  <si>
    <t>借1300元分三期还第一期472元，第二期472元，等三期472元，实际到帐1192元，要求退款。</t>
  </si>
  <si>
    <t>http://ts.21cn.com/tousu/show/id/1371230</t>
  </si>
  <si>
    <t>2019/10/18 12:25:13</t>
  </si>
  <si>
    <t>本人通过大地时贷兰州甘南路服务部在光大银行贷款47000，但离职业务员明确表示从没有大地公司的工作人员向他索要过我的联系方式， 请问 在我正常还款的情况下 直接联系我的家人朋友 泄漏我个人隐私 散播我欠钱不还 人失联的虚假信息 合理 合法吗，19年1月，我更换了当时预留的手机号码，并第一时间告知大地时贷业务员，5月业务员离职，他没有和公司交接我新的联系方式，在我提前还款的情况下，大地时贷直接联系了我的母亲和朋友，并告知，我欠了他们公司的钱，现在人失联，大地公司又继续以拨打电话及发短信的方式告知我六十多岁，因</t>
  </si>
  <si>
    <t>招联金融威胁通讯录</t>
  </si>
  <si>
    <t>http://ts.21cn.com/tousu/show/id/1371229</t>
  </si>
  <si>
    <t>2019/10/18 12:25:05</t>
  </si>
  <si>
    <t>最近手头紧，公司拖欠工资，导致未能按时还款于招联金融app，这是我自己的问题！！但手机通讯录遭到你们的骚扰，还威胁通讯录下午必须还！如果你们确实不想要钱了可以继续爆，别跟我说什么征信的下场，不在乎！如果不想要钱了，继续爆～。</t>
  </si>
  <si>
    <t>退我1800元的砍头费</t>
  </si>
  <si>
    <t>http://ts.21cn.com/tousu/show/id/1371228</t>
  </si>
  <si>
    <t>2019/10/18 12:24:28</t>
  </si>
  <si>
    <t>中途逾期一次，款还清后，拒绝退我1800元的砍头费。</t>
  </si>
  <si>
    <t>遭遇支付宝暴力催收</t>
  </si>
  <si>
    <t>http://ts.21cn.com/tousu/show/id/1371227</t>
  </si>
  <si>
    <t>2019/10/18 12:24:06</t>
  </si>
  <si>
    <t>我在支付宝的借呗跟花呗欠了1万六千多，因为家里情况特殊，证明我不是不想还，最近遇到支付宝新催收，一个女的，想跟支付宝能说了算的沟通，这种垃圾脑残的催收。</t>
  </si>
  <si>
    <t>自由摩卡信用计划高利贷，威胁暴利催收</t>
  </si>
  <si>
    <t>http://ts.21cn.com/tousu/show/id/1371226</t>
  </si>
  <si>
    <t>2019/10/18 12:24:04</t>
  </si>
  <si>
    <t>自由摩卡借款，300买会员卡，然后350的备付金，借款2000，因无力偿还如此利息，协商分几次还款，已经答应了，还了1000后，客服扬言必须还清，否则打亲朋好友电话，上门催收。</t>
  </si>
  <si>
    <t>天天打电话</t>
  </si>
  <si>
    <t>http://ts.21cn.com/tousu/show/id/1371225</t>
  </si>
  <si>
    <t>2019/10/18 12:23:45</t>
  </si>
  <si>
    <t>投诉人 韩先生        投诉对象  现金借款        涉诉金额  3 000 元    问题类型    诉求类型投诉详情  本人在洋钱罐借3000分六期 因资金周转不足逾期 第一期本金加利息要还1363 逾期11天。利息229 要还1599元 末径过本人同意给通讯录的家人朋友打电话 暴力催租 利息过高</t>
  </si>
  <si>
    <t>投诉中腾信委托方鼎泰鑫暴力催收！中腾信高利贷！</t>
  </si>
  <si>
    <t>http://ts.21cn.com/tousu/show/id/1371224</t>
  </si>
  <si>
    <t>2019/10/18 12:23:38</t>
  </si>
  <si>
    <t>借中腾信70000！合同上面竟然是89000！阴阳合同！每期还2850！要还36期！超高利息！高利贷！已经还了28期78960！本金已还完！利息都付了8960！剩下的8期不想还了！高利贷！比国家规定的利率高出了许多！好恶意催收！电话轰炸！骚扰！。</t>
  </si>
  <si>
    <t>恒易贷套路贷、高利贷、恶性催收、爆通讯录、骚扰亲朋好友</t>
  </si>
  <si>
    <t>http://ts.21cn.com/tousu/show/id/1371223</t>
  </si>
  <si>
    <t>2019/10/18 12:23:21</t>
  </si>
  <si>
    <t>2019年8月在恒易贷APP上借款27500元，分36期偿还，实际到账22715元，总共要还45000元，恒易贷阴阳合同，比高利贷还黑，目前暂时还不起，恒易贷恶性催收爆我通讯录，骚扰我家人，希望相关部门严肃查处高利贷，套路贷，铲除社会毒瘤！。</t>
  </si>
  <si>
    <t>现金巴士高利贷</t>
  </si>
  <si>
    <t>http://ts.21cn.com/tousu/show/id/1371220</t>
  </si>
  <si>
    <t>2019/10/18 12:22:54</t>
  </si>
  <si>
    <t>现金巴士变相砍头息、借款要求买征信才能下款、逾期费用超级高、。</t>
  </si>
  <si>
    <t>投诉借东风平台</t>
  </si>
  <si>
    <t>http://ts.21cn.com/tousu/show/id/1371221</t>
  </si>
  <si>
    <t>2019/10/18 12:22:43</t>
  </si>
  <si>
    <t>在借东风平台申请的贷款，我申请取消后把钱付过之后，还要我还款。</t>
  </si>
  <si>
    <t>小花钱包暴力催收威胁恐吓</t>
  </si>
  <si>
    <t>http://ts.21cn.com/tousu/show/id/1371222</t>
  </si>
  <si>
    <t>2019/10/18 12:22:41</t>
  </si>
  <si>
    <t>小花钱包暴力催收，威胁当事人，骚扰亲朋好友，无视法律。</t>
  </si>
  <si>
    <t>分期通恶意收取会员费用</t>
  </si>
  <si>
    <t>http://ts.21cn.com/tousu/show/id/1371172</t>
  </si>
  <si>
    <t>2019/10/18 12:22:23</t>
  </si>
  <si>
    <t>缴纳249会员费用，恶意欺骗手段，我试了五个平台，都不通过，要求退还会员费，软件全网都找不到，只有在某平台推广下，能下载。</t>
  </si>
  <si>
    <t>众安保险捆绑网贷</t>
  </si>
  <si>
    <t>http://ts.21cn.com/tousu/show/id/1371218</t>
  </si>
  <si>
    <t>2019/10/18 12:22:12</t>
  </si>
  <si>
    <t>投诉人 李先生        投诉对象  众安保险,小赢卡贷        涉诉金额  6 600 元    问题类型    诉求类型投诉详情  众安保险捆绑小赢卡贷 属于违法行为 给众安客服打电话他们说退不了 必须要提前结清 我借款12个月是有合同的凭什么提前结清 希望平台退回所有保费 实在不行只有去保监会投诉了 保监会再不行我去找媒体曝光</t>
  </si>
  <si>
    <t>最近资金周转不开，商量延期几天，现金巴士不干</t>
  </si>
  <si>
    <t>http://ts.21cn.com/tousu/show/id/1371217</t>
  </si>
  <si>
    <t>2019/10/18 12:21:51</t>
  </si>
  <si>
    <t>只想申请延期几天，利息照付，请客服人员帮着联系一下，。</t>
  </si>
  <si>
    <t>http://ts.21cn.com/tousu/show/id/1371216</t>
  </si>
  <si>
    <t>2019/10/18 12:21:09</t>
  </si>
  <si>
    <t>投诉人 胡华先生        投诉对象  钱站        涉诉金额  1 200 000 元    问题类型    诉求类型投诉详情  还款记录 本金还完了 利息高的太离谱 帮忙减少利息</t>
  </si>
  <si>
    <t>58高额利息套路贷</t>
  </si>
  <si>
    <t>http://ts.21cn.com/tousu/show/id/1371215</t>
  </si>
  <si>
    <t>2019/10/18 12:20:21</t>
  </si>
  <si>
    <t>本金3000元，利息偷换概念为“服务费”、“分期费”，三期一共360元，已归还两期一共2240元，现诉求额外费用虚按照正规利率调整。</t>
  </si>
  <si>
    <t>投诉微博借钱高息，套路式贷款！使人不堪重负</t>
  </si>
  <si>
    <t>http://ts.21cn.com/tousu/show/id/1371214</t>
  </si>
  <si>
    <t>2019/10/18 12:20:16</t>
  </si>
  <si>
    <t>向微博借钱发起借款，主要是受首页面的万分之四的日息吸引，出于对微博公司的信任，按照微博借钱所提示进行借钱，然而最近偶然间在微博看到了微博借钱的套路，高息，震惊不已，又想起借款时候只有每期利息+本金，借款协议和合同一丁点看不到，误导性的操作让人觉得还是万分之四日息借到了款，现在我算了共20000元的本金，需要还27000元左右，年利率高达36%，这还让我怎么活！能这样误导人的么，希望相关部门可以介入调查，在网贷平台被严查的时候，银监会三令五申的时候，微博这么大的公司还玩套路贷！我之前还的那些利息都快赶上本金了</t>
  </si>
  <si>
    <t>又来上门威胁</t>
  </si>
  <si>
    <t>http://ts.21cn.com/tousu/show/id/1371213</t>
  </si>
  <si>
    <t>2019/10/18 12:20:11</t>
  </si>
  <si>
    <t>投诉人 王先生        投诉对象  拍拍贷        涉诉金额  0 元    问题类型    诉求类型投诉详情  这又来开始骚扰我，威胁我了。上门都不是威胁你说什么事威胁。冠冕堂皇的说不是，一次又一次，来威胁我。警察也不怕，什么都不怕。</t>
  </si>
  <si>
    <t>玖富万卡高利贷</t>
  </si>
  <si>
    <t>http://ts.21cn.com/tousu/show/id/1371212</t>
  </si>
  <si>
    <t>2019/10/18 12:20:03</t>
  </si>
  <si>
    <t>借了23100元，但是要还45000多，现在要求协商只还本金和法定利息。</t>
  </si>
  <si>
    <t>平台催收恶意骚扰辱骂威胁亲朋好友</t>
  </si>
  <si>
    <t>http://ts.21cn.com/tousu/show/id/1371211</t>
  </si>
  <si>
    <t>2019/10/18 12:19:51</t>
  </si>
  <si>
    <t>本人在小花钱包借款因资金周转不过来逾期两天，对方就恶意骚扰威胁我的亲朋好友，并对我的家人以及朋友产生了人身攻击以及人身威胁！。</t>
  </si>
  <si>
    <t>钱站吸血鬼高利贷阴阳合同</t>
  </si>
  <si>
    <t>http://ts.21cn.com/tousu/show/id/1371210</t>
  </si>
  <si>
    <t>2019/10/18 12:19:19</t>
  </si>
  <si>
    <t>2017年12月在钱站借了四万，当时年少不懂事，后来一算才知道四万分两年要还六万，利息太高了，而且到账四万，合同却显示四万三，现在已经还了22期，五万七千块钱，实在还不动了，剩下最后两期，申请协商还款，20号还款日，希望快速联系我。</t>
  </si>
  <si>
    <t>现金巴士砍头息逾期高利息</t>
  </si>
  <si>
    <t>http://ts.21cn.com/tousu/show/id/1371209</t>
  </si>
  <si>
    <t>2019/10/18 12:19:10</t>
  </si>
  <si>
    <t>现金巴士之前用也挺好，后面出现霸王条款需要先支付钱后面才让借款，算上来利息远远超出法律范围。</t>
  </si>
  <si>
    <t>服务费高变相高息</t>
  </si>
  <si>
    <t>http://ts.21cn.com/tousu/show/id/1371206</t>
  </si>
  <si>
    <t>2019/10/18 12:15:59</t>
  </si>
  <si>
    <t>借款17000元，每月还2081，已还三期申请结清，客服让我还了这期居然还让我还14600多元，客服说服务费高，问他什么服务费，他的解释就是服务包，我也不知道什么服务费比利息还高。</t>
  </si>
  <si>
    <t>平安普惠骚扰</t>
  </si>
  <si>
    <t>http://ts.21cn.com/tousu/show/id/1371205</t>
  </si>
  <si>
    <t>2019/10/18 12:15:26</t>
  </si>
  <si>
    <t>投诉人王先生投诉对象平安普惠涉诉金额30000元问题类型诉求类型投诉详情我在平安普惠app有一笔借款，每月还款日当天都正常还款，但是平安普惠在每月还款日前三天开始，每天打电话，发短信，加微信让我去还款，已经让我感觉不适，如果我逾期你可以催我，但我正常还款请不要提前几天就开始每天提醒我。</t>
  </si>
  <si>
    <t>借贷宝还款了不给消条</t>
  </si>
  <si>
    <t>http://ts.21cn.com/tousu/show/id/1371204</t>
  </si>
  <si>
    <t>2019/10/18 12:15:17</t>
  </si>
  <si>
    <t>借贷宝平台借款，经过协商后，分两次还款12500元，但是现在未能销账。</t>
  </si>
  <si>
    <t>并不知道什么借款</t>
  </si>
  <si>
    <t>http://ts.21cn.com/tousu/show/id/1371203</t>
  </si>
  <si>
    <t>2019/10/18 12:15:14</t>
  </si>
  <si>
    <t>今天接个电话说我说我借了2000让我支付宝转账问他我什么借的不知道。</t>
  </si>
  <si>
    <t>暴力催收，辱骂</t>
  </si>
  <si>
    <t>http://ts.21cn.com/tousu/show/id/1371202</t>
  </si>
  <si>
    <t>2019/10/18 12:15:02</t>
  </si>
  <si>
    <t>资金暂时出现困难，导致逾期，本人愿意还款，也和工作人员协商还款，但对单位电话进行骚扰，还打在其它部门，进行暴力催收，辱骂，不停的骚扰，还进行诽谤，无法正常工作。</t>
  </si>
  <si>
    <t>http://ts.21cn.com/tousu/show/id/1371201</t>
  </si>
  <si>
    <t>2019/10/18 12:14:23</t>
  </si>
  <si>
    <t>投诉人 孟女士        投诉对象  MsParis女神派        涉诉金额  990 元    问题类型    诉求类型投诉详情  当时购买了季卡 但是开始订购衣服后发现 款式都不喜欢，然后跟商家沟通 退季卡 1280 买的 没用几天 就要收违约金 奖金300 协商好要退990 结果从6月到现在10月 也不退费 忍无可忍 就寻求投诉渠道了</t>
  </si>
  <si>
    <t>美团钱袋子乱扣费</t>
  </si>
  <si>
    <t>http://ts.21cn.com/tousu/show/id/1371200</t>
  </si>
  <si>
    <t>2019/10/18 12:14:22</t>
  </si>
  <si>
    <t>当天没有用美团，无缘无故却美团通过绑定银行卡乱扣费！。</t>
  </si>
  <si>
    <t>小孩子无意充值，非本人授权操作</t>
  </si>
  <si>
    <t>http://ts.21cn.com/tousu/show/id/1371199</t>
  </si>
  <si>
    <t>2019/10/18 12:13:58</t>
  </si>
  <si>
    <t>小孩子玩手机进行充值消费，非本人授权，请求苹果商店退款，一直发邮件给该公司希望可以退款，但是对方一句不符合退款标准就把事情处理了，我希望可以通过聚投诉开进行处理，小额的自己申请处理了，大额的不肯退款。</t>
  </si>
  <si>
    <t>关于美约app乱扣费问题，免费试用后，自动续费会员一年298元</t>
  </si>
  <si>
    <t>http://ts.21cn.com/tousu/show/id/1371198</t>
  </si>
  <si>
    <t>2019/10/18 12:13:44</t>
  </si>
  <si>
    <t>前几天下载了美约app，玩了一会觉得没意思就卸载了，今天突然扣了银行卡298元。</t>
  </si>
  <si>
    <t>小花钱包暴力催收，骚扰通讯录好友</t>
  </si>
  <si>
    <t>http://ts.21cn.com/tousu/show/id/1371197</t>
  </si>
  <si>
    <t>2019/10/18 12:13:41</t>
  </si>
  <si>
    <t>投诉人刘女士投诉对象小花钱包涉诉金额4770元问题类型诉求类型投诉详情小花钱包暴力催收，跟客服协商，客服不予理会，未经同意暴通讯录，骚扰亲戚朋友，严重影响家人朋友正常生活。</t>
  </si>
  <si>
    <t>玖富万卡拖延扣款导致增加额外费用，利息隐形费用超过国家标准</t>
  </si>
  <si>
    <t>http://ts.21cn.com/tousu/show/id/1371166</t>
  </si>
  <si>
    <t>2019/10/18 12:13:35</t>
  </si>
  <si>
    <t>2019年9月28日致电玖富万卡客服协商剩余贷款总额欲提前结清剩余贷款，还款金额共计10580元，这个金额是由客服测算出来的，约定9月30日扣款，10月1日办理交通银行储蓄卡，存入10600致电客服扣款，并详细咨询是否存在其他费用或额外费用，客服回复确定没有，咨询什么时候能扣款完成，客服回复国庆节无法扣除，让我等待节后3个工作日，10月8号致电玖富万卡客服，客服回复已经在扣除中，随后收到玖富万卡扣款提示，共计3笔，随后致电客服询问为什么APP上显示还有15000多未扣除，客服回复金额算错了，一共还有8800</t>
  </si>
  <si>
    <t>腾诚投资坏我血汗钱</t>
  </si>
  <si>
    <t>http://ts.21cn.com/tousu/show/id/1252612</t>
  </si>
  <si>
    <t>2019/10/18 12:13:08</t>
  </si>
  <si>
    <t>投诉人杨女士投诉对象腾诚投资,内蒙古飞斯汽车租赁有限公司,沈阳富亚谦商贸有限公司涉诉金额99754元问题类型诉求类型投诉详情一个人加我微信，说是拉我进一个股票交流群，群里面就说有老师在直播间讲课，说现在股票行情不好，是在腾诚投资的这个平台做虚拟币是非常赚钱的，而且不懂的也有老师带，直播间就有很多人说真的非常赚钱的话，过了几天，我也相信了，他们帮我开户了，然后就一直跟着老师的指令做，他们说只有个跟着老师做才能赚钱，刚开始的确赚了一点，后面就不断充钱，我都钱都是充值到内蒙古飞斯汽车租赁有限公司和沈阳富亚谦商贸有</t>
  </si>
  <si>
    <t>宜信惠民高额砍头息</t>
  </si>
  <si>
    <t>http://ts.21cn.com/tousu/show/id/1371194</t>
  </si>
  <si>
    <t>2019/10/18 12:11:54</t>
  </si>
  <si>
    <t>借款50000万，诱使签定八万多元的合同，三万多元的砍头息合法吗，强制还款期限36个月，每月本息合计还款2757元，共计还款金额99252元，每月18日还款，一旦19日存款，会被无数电话要求补存违约金300多元才扣款，否则会被一直逾期，造成更高的违约会，如果19日，拒绝补存违约金，还会直接电话骚扰亲友，老百姓的血汗钱是天上掉下来的吗，就该任你宰割吗。</t>
  </si>
  <si>
    <t>汇潮支付为非法平台提供收赃款服务</t>
  </si>
  <si>
    <t>http://ts.21cn.com/tousu/show/id/1371193</t>
  </si>
  <si>
    <t>2019/10/18 12:11:51</t>
  </si>
  <si>
    <t>本人今年6月份上网被弹出网络兼职广告忽悠，介绍说跟着他们做可以每天盈利，结果后来才发现该投资平台为非法博彩平台，后来咨询了律师，人行和第三方支付协会，都说可以投诉这种非法提供支付通道的支付公司，能挽回一定的损失，现希望相关部门和贵投诉维权平台能彻查，还国家一个干净的支付环境，挽回我本人的一定损失，谢谢了。</t>
  </si>
  <si>
    <t>小嬴卡贷销账</t>
  </si>
  <si>
    <t>http://ts.21cn.com/tousu/show/id/1371192</t>
  </si>
  <si>
    <t>2019/10/18 12:11:41</t>
  </si>
  <si>
    <t>小嬴卡贷高利贷……去黑猫投诉不管用便威胁我，要还13599.76元，年利率35.99%，合同上写的是12.01%客服说是在35.99%。</t>
  </si>
  <si>
    <t>http://ts.21cn.com/tousu/show/id/1371191</t>
  </si>
  <si>
    <t>2019/10/18 12:11:24</t>
  </si>
  <si>
    <t>由于个人经济遇到困难，没有按时还交通银行的信用卡，交通银行暴力催收，乱打电话并且威胁还款，目前已经对我和家人的生活和精神造成严重的伤害和影响，请聚投诉领导给予处理。</t>
  </si>
  <si>
    <t>通过邮政工作人员办理拉卡拉导致个人信息被不法份子掌握</t>
  </si>
  <si>
    <t>http://ts.21cn.com/tousu/show/id/1371145</t>
  </si>
  <si>
    <t>2019/10/18 12:11:17</t>
  </si>
  <si>
    <t>本人通过邮政工作人员办理了拉卡拉收款业务，导致个人信息泄露，现在每天都接到三到五个自称拉卡拉客服的让我花钱办理业务，本人向拉卡拉客服反映过问题，客服只是让我不用理会，我感觉解决不了问题，假的客服每天都用各种理由引诱我，可能会导致我总有一天会上当，本人现在做小生意，不能不接陌生电话，现在，每天的假客服电话已经影响到我了！希望上述公司能给我个合理的解释，说没有泄露我的信息，那我的信息到底怎么泄露的。</t>
  </si>
  <si>
    <t>http://ts.21cn.com/tousu/show/id/1371190</t>
  </si>
  <si>
    <t>2019/10/18 12:11:07</t>
  </si>
  <si>
    <t>后来就问我为什么不还，我说了我的困难他们就嘲笑我；还诅咒我宝宝、因为我现在属于单亲妈妈实在没钱就想缓缓在还。</t>
  </si>
  <si>
    <t>http://ts.21cn.com/tousu/show/id/1371189</t>
  </si>
  <si>
    <t>2019/10/18 12:11:03</t>
  </si>
  <si>
    <t>本人于2019年3月10日向快贷钱伴app借款5000元，头两期还款1210.后10期每期437.95共12期。</t>
  </si>
  <si>
    <t>借款金额和到账金额不符，合同不符</t>
  </si>
  <si>
    <t>http://ts.21cn.com/tousu/show/id/1371188</t>
  </si>
  <si>
    <t>2019/10/18 12:11:01</t>
  </si>
  <si>
    <t>我16年17年用过两次钱站app，以前利息没有那么高，这次借9600元，到账5000元，请问那4600元去哪里了，合同上是9600元，分6期接近1700每期还款.借5000还接近10000了这样合法吗，还有凡普信同样借款还9900元到账6900元，还10000多，这样的合同为什么到账才有合同，想取消都取消不了…。</t>
  </si>
  <si>
    <t>虚假信息</t>
  </si>
  <si>
    <t>http://ts.21cn.com/tousu/show/id/1371187</t>
  </si>
  <si>
    <t>2019/10/18 12:10:42</t>
  </si>
  <si>
    <t>投诉人 冉洁        投诉对象  马上花        涉诉金额  3 000 元    问题类型    诉求类型投诉详情  发信息叫我处理我都没贷过莫名其妙的，，，</t>
  </si>
  <si>
    <t>遇到套路贷，跪求帮助</t>
  </si>
  <si>
    <t>http://ts.21cn.com/tousu/show/id/1371186</t>
  </si>
  <si>
    <t>2019/10/18 12:10:36</t>
  </si>
  <si>
    <t>想借款30000，然后输入提交后直接就显示审核成功，有3万额度可以提现。</t>
  </si>
  <si>
    <t>拍拍贷逾期一天罚息二十五</t>
  </si>
  <si>
    <t>http://ts.21cn.com/tousu/show/id/1371185</t>
  </si>
  <si>
    <t>2019/10/18 12:09:56</t>
  </si>
  <si>
    <t>投诉人 彭先生        投诉对象  拍拍贷        涉诉金额  1 000 元    问题类型    诉求类型投诉详情  逾期一天就二十五，太高了，没见过这么高的</t>
  </si>
  <si>
    <t>上海造艺技术不明情况下乱扣款</t>
  </si>
  <si>
    <t>http://ts.21cn.com/tousu/show/id/1371184</t>
  </si>
  <si>
    <t>2019/10/18 12:09:51</t>
  </si>
  <si>
    <t>注册上海造艺技术app百事普惠绑定手机号银行卡后，在未经允许同意的情况下扣了我银行卡里的钱，后投诉申请退款，但是退款并未到到账，该公司没有执行退款。</t>
  </si>
  <si>
    <t>一直打搔扰电话</t>
  </si>
  <si>
    <t>http://ts.21cn.com/tousu/show/id/1371183</t>
  </si>
  <si>
    <t>2019/10/18 12:09:28</t>
  </si>
  <si>
    <t>一直不停打搔扰电话，跟他们说我不认识他们说的人，希望以后不要再打搔扰电话。</t>
  </si>
  <si>
    <t>邮政储蓄银行信用卡在未说清楚具体扣除多少手续费的情况下扣除我1000手续费</t>
  </si>
  <si>
    <t>http://ts.21cn.com/tousu/show/id/1371181</t>
  </si>
  <si>
    <t>2019/10/18 12:08:57</t>
  </si>
  <si>
    <t>9月份，我因邮储银行信用卡想分期，于是我致电客服申请办理分期，最开始我想办理分6期9期，但是客服建议我办12期，然后告知我相关手续费率和程序，但是相关术语我也没听懂，稀里糊涂就同意了办理12期分期业务，然而在我本月还款的时候，邮储银行信用卡中心居然在事先没有告知我的情况下扣除我1000多元，我立即打客服电话问后，告知我是12期分期的手续费，如果我事先知道分期的手续费要一次扣除1000元！哪有银行是一次性这样扣除手续费的！我怎么都不会办理！于是我要求退款，撤销分期办理！然而银行客服人员以当时我同意分期办理录音</t>
  </si>
  <si>
    <t>今借到还款不消帐，致我故意逾期</t>
  </si>
  <si>
    <t>http://ts.21cn.com/tousu/show/id/1371180</t>
  </si>
  <si>
    <t>2019/10/18 12:08:46</t>
  </si>
  <si>
    <t>在今借到出借方借了3000元，实际到手2000元，七天还款3000，因为实在周转不开就接受了，到了还款那天我还清了本金2000加7天利息1000元，总计3000已还清，出借方不但不消帐，还向我索要500的消条费，我没有支付，最近需要资金周转，又到今借到寻求借款，很多人都因为这个逾期记录不给我借，我投诉平台也驳回，所有能给的证据我全部补充了，平台依然不肯消条，这大大影响了我的生意进度，请求帮助。</t>
  </si>
  <si>
    <t>立借高利贷，提前结清不减免</t>
  </si>
  <si>
    <t>http://ts.21cn.com/tousu/show/id/1371179</t>
  </si>
  <si>
    <t>2019/10/18 12:08:27</t>
  </si>
  <si>
    <t>2019年9月19日在立借APP借了10500元，6期要还17640，利息远远高出国家规定的标准，10月份准备提前结清，在10月10日致电立借客服要求提前结清并减免利息，客服回复2-3天答复我，但一直没有联系我，2、10月18日通过立借微信公众号小立助手无法下载立借APP，无法查下相关借款信息以及还款，如果导致逾期，责任要由立借承担。</t>
  </si>
  <si>
    <t>零花钱平台恶意扣我199元</t>
  </si>
  <si>
    <t>http://ts.21cn.com/tousu/show/id/1371182</t>
  </si>
  <si>
    <t>2019/10/18 12:08:23</t>
  </si>
  <si>
    <t>投诉人陈先生投诉对象零花钱涉诉金额199元问题类型诉求类型投诉详情“零花钱平台”上海全旗金融信息服务有限公司.，客服电话‭，34907910，本人10月7日通过其他平台推荐下载这个零花钱APP，利用填写申请必须绑定银行卡第三方扣款协议，利用申请必须勾选的虚假199元，从本人绑定银行卡私自扣取199元人民币所谓的VIP信用报告费，收到扣款信息后要求平台退款，电话不接，客服不回！。</t>
  </si>
  <si>
    <t>投诉平安银行信用卡</t>
  </si>
  <si>
    <t>http://ts.21cn.com/tousu/show/id/1371178</t>
  </si>
  <si>
    <t>2019/10/18 12:07:49</t>
  </si>
  <si>
    <t>我最近孩子住院忘记逾期了，今天早上收到第一条短信，然后又是催收人员发的信息，威胁我2个小时之内要不冻结卡，至始至终没有打电话告知，本人今天收到信息就提出理财，无奈现在还没有到账。</t>
  </si>
  <si>
    <t>百万钱包砍头息</t>
  </si>
  <si>
    <t>http://ts.21cn.com/tousu/show/id/1371177</t>
  </si>
  <si>
    <t>2019/10/18 12:07:48</t>
  </si>
  <si>
    <t>去年在闪银平台借款14000元，随后直接以收取服务费为由从借款额度扣除1000多元，现已还10期，但最近债务爆发，各种平台催收都蜂拥而至...真的无力偿还，希望平台可以给予协商的空间。</t>
  </si>
  <si>
    <t>宜信普惠打电话骚扰贷款，</t>
  </si>
  <si>
    <t>http://ts.21cn.com/tousu/show/id/1371176</t>
  </si>
  <si>
    <t>2019/10/18 12:07:44</t>
  </si>
  <si>
    <t>宜信普惠用机器人打电话骚扰贷款，像这种不要脸的公司，尽快铲除吧，他们自己都不看看聚投诉上的投诉吧，都不知道他们怎么活到现在的，没有贷款需求，还是打电话骚扰，他们还有很多95开头的骚扰电话，都被运营商标注成高频骚扰电话了。</t>
  </si>
  <si>
    <t>光大银行客户同一个问题两个客服两个回答</t>
  </si>
  <si>
    <t>http://ts.21cn.com/tousu/show/id/1371174</t>
  </si>
  <si>
    <t>2019/10/18 12:07:07</t>
  </si>
  <si>
    <t>投诉光大银行信用卡乱收费，收费不透明，要求退还罚息。</t>
  </si>
  <si>
    <t>大白猫平台高额利息</t>
  </si>
  <si>
    <t>http://ts.21cn.com/tousu/show/id/1371173</t>
  </si>
  <si>
    <t>2019/10/18 12:07:06</t>
  </si>
  <si>
    <t>投诉人马先生投诉对象大白猫涉诉金额1000元问题类型诉求类型投诉详情大白猫高利贷借款1000要还1523早已超出百分之36非法收取所谓的征信报告费，跟米米罐是一个公司的产品要求还请本金并消账可以收取合理的利息停止骚扰。</t>
  </si>
  <si>
    <t>威胁骚扰非紧急联系人</t>
  </si>
  <si>
    <t>http://ts.21cn.com/tousu/show/id/1371171</t>
  </si>
  <si>
    <t>2019/10/18 12:06:44</t>
  </si>
  <si>
    <t>本来是还款当天发工资的，但公司原因一直未发，所以逾期了两天，因为这两天公司在培训考试，所以不能第一时间接到电话或者短信，然后就打给了我的家人朋友，并且告知说是我留的他们的电话，还透露了我所留的其他联系人信息，并且刚才给我发我的身份证信息和我的照片说我要是什么时候不还款就要加大催收力度。</t>
  </si>
  <si>
    <t>你我贷频繁电话轰炸催收</t>
  </si>
  <si>
    <t>http://ts.21cn.com/tousu/show/id/1371170</t>
  </si>
  <si>
    <t>2019/10/18 12:06:09</t>
  </si>
  <si>
    <t>两年前的一个同事做的网贷，不知道为什么写的我的电话，我们只是做过一段时间同事，从公司离职后一直都没联系过，现在打他电话也是停机联系不上，而你我贷公司从上个月开始三天两头打电话骚扰我，让我转告杨博伟还钱，我们只是做过一段时间同事而已，关系又不熟，只是知道这个人，离职后谁还联系啊，我是做房地产销售的，经常性出去打广告，陌生电话肯定都会接防止客户联系不到我，而有时候正谈客户的时候他们一个电话打过来，心情瞬间都会很不好，跟客户都没心情谈了，因此还丢失好几组客户，搞的我现在生活、工作都受到了很大影响，因此进行投诉，希</t>
  </si>
  <si>
    <t>快闪卡贷不顾国家法律政策违法套路贷</t>
  </si>
  <si>
    <t>http://ts.21cn.com/tousu/show/id/1371169</t>
  </si>
  <si>
    <t>2019/10/18 12:06:06</t>
  </si>
  <si>
    <t>砍头息2000多，每个月还款3008，分6期，我已经还了5期，金额已经超过15000了，还有一期没还3008加上之前的2000多砍头息，就开始爆我的通讯录，对我和亲戚朋友们进行严重的骚扰，我要求立即停止对我的通信录轰炸，和对我个人征信进行撤销，如若不然。</t>
  </si>
  <si>
    <t>已经安协商方案还款，剩余的一直不给减免</t>
  </si>
  <si>
    <t>http://ts.21cn.com/tousu/show/id/1371168</t>
  </si>
  <si>
    <t>2019/10/18 12:05:50</t>
  </si>
  <si>
    <t>上次经过聚投诉和浦发信用卡协商还款，浦发银行给出了协商方案，我也同意了，我也按照浦发银行给出的协商还款的方案，我也执行还款，说的剩余的减免，但是这么长时间了一直不给我处理，多次打电话询问一直给我拖，这是啥意思，出尔反尔吗，我是诚心诚意协商还款，我也是按照协商方案把款还了，。</t>
  </si>
  <si>
    <t>苹果充值天龙八部荣耀版显示充值失败钱款却扣走了</t>
  </si>
  <si>
    <t>http://ts.21cn.com/tousu/show/id/1371167</t>
  </si>
  <si>
    <t>2019/10/18 12:05:46</t>
  </si>
  <si>
    <t>10月17日晚上用苹果手机充值天龙八部荣耀版，128元的充值失败，1280元宝没有到账，提示充值失败但是钱款扣走了，联系客服等待未果，加了QQ群也没人理，联系苹果客服说这单交易失败但是无法退款，让我等待，我现在只想把钱退回来，都没充值到账却扣钱，哪有这种道理的，请看下图片，最开始花了30元充值的300元宝是充值成功的，后面的128元1280元宝没到账，联系微信公众号客服不理我。</t>
  </si>
  <si>
    <t>小花钱包短信威胁</t>
  </si>
  <si>
    <t>http://ts.21cn.com/tousu/show/id/1371165</t>
  </si>
  <si>
    <t>2019/10/18 12:05:25</t>
  </si>
  <si>
    <t>和小花钱包协商还款，一直各种电话侮辱，短信威胁，不同意协商。</t>
  </si>
  <si>
    <t>围棋app在卸载后继续扣费</t>
  </si>
  <si>
    <t>http://ts.21cn.com/tousu/show/id/1371114</t>
  </si>
  <si>
    <t>2019/10/18 12:05:14</t>
  </si>
  <si>
    <t>本人丁镜之于2019年1月13日在苹果手机App上下载了，使用时间不超过一个月，然后该app每个月在我卸载该软件后继续从我银行卡扣除每个月60元会员费，再次向通过贵平台申请退款，希望聚投诉可以帮忙解决！。</t>
  </si>
  <si>
    <t>要求微博钱包暂停催收</t>
  </si>
  <si>
    <t>http://ts.21cn.com/tousu/show/id/1371163</t>
  </si>
  <si>
    <t>2019/10/18 12:04:59</t>
  </si>
  <si>
    <t>今天晚上发了工资就还了能不能不要一直烦骚扰电话一直打还要联系紧急联系人。</t>
  </si>
  <si>
    <t>恶意扣款600元</t>
  </si>
  <si>
    <t>http://ts.21cn.com/tousu/show/id/1371164</t>
  </si>
  <si>
    <t>2019/10/18 12:04:48</t>
  </si>
  <si>
    <t>上海造艺网络技术有限公司开发的聚富分期APP在9月18日及10月18俩次，共计597.5元并没用使用本APP的任何相关项目，也并没有通过平台借款请上海造艺网络科技有限公司于一天内退款共计597.5元。</t>
  </si>
  <si>
    <t>支付宝花呗——恶意催收</t>
  </si>
  <si>
    <t>http://ts.21cn.com/tousu/show/id/1371162</t>
  </si>
  <si>
    <t>2019/10/18 12:04:39</t>
  </si>
  <si>
    <t>在本人从未提供朋友联系方式的情况下，对联系人群发催收起诉短信，并且态度恶劣，多次投诉支付宝客服均未给出答复，询问其姓名以及工号拒绝告知，从逾期开始，多次威胁上门、辱骂、通讯录群发短信、半夜致电，若再次敷衍处理，所有证据将通过媒体曝光，以及投诉至银保监会。</t>
  </si>
  <si>
    <t>网贷借条</t>
  </si>
  <si>
    <t>http://ts.21cn.com/tousu/show/id/1371161</t>
  </si>
  <si>
    <t>2019/10/18 12:04:24</t>
  </si>
  <si>
    <t>1500块到手1000块，本人一直承诺还钱，而且还款态度积极，正在跟家人协商还钱，但是无忧借条平台一直言语辱骂催收，骚扰朋友跟我家人！。</t>
  </si>
  <si>
    <t>http://ts.21cn.com/tousu/show/id/1371160</t>
  </si>
  <si>
    <t>2019/10/18 12:03:59</t>
  </si>
  <si>
    <t>投诉人 朱女士        投诉对象  平安普惠        涉诉金额  23 217 元    问题类型    诉求类型投诉详情  平安普惠逾期后目前无法在软件上直接还款。</t>
  </si>
  <si>
    <t>http://ts.21cn.com/tousu/show/id/1371157</t>
  </si>
  <si>
    <t>2019/10/18 12:02:22</t>
  </si>
  <si>
    <t>我于6月10日在小象优品借款10000元到账10000元，分12期偿还，每期还款1133.33元，其中本金833.33元手续费高达300元，这个所谓的手续费就是他们的利息，其金额远远超过了国家的规定，期间有打电话跟客服协商减免手续费提前还款的事情，客服告诉我说不能减免，账单金额就是我要全额还款的金额，在国家明令禁止的情况下依然顶风作案收取高额利息，希望能够严厉查处。</t>
  </si>
  <si>
    <t>http://ts.21cn.com/tousu/show/id/1371108</t>
  </si>
  <si>
    <t>2019/10/18 12:02:17</t>
  </si>
  <si>
    <t>看来你们也是不打算把钱要回去，都不给人一点喘息的机会，那我就满足你们。</t>
  </si>
  <si>
    <t>马上金融套路贷</t>
  </si>
  <si>
    <t>http://ts.21cn.com/tousu/show/id/1371156</t>
  </si>
  <si>
    <t>2019/10/18 12:02:02</t>
  </si>
  <si>
    <t>马上金融借款20000万，分期24期，每期还款1244.95，以前正常还款，因本月15号个人有事当误还款，17号本意还款，却发现还款金额2589.90元，2天利息高达1245元。</t>
  </si>
  <si>
    <t>豹子贷扣了我299</t>
  </si>
  <si>
    <t>http://ts.21cn.com/tousu/show/id/1371155</t>
  </si>
  <si>
    <t>2019/10/18 12:01:28</t>
  </si>
  <si>
    <t>在豹子贷误导操作下，扣了我299的征信查询费，现在他们的app又无法打开，我想退款！。</t>
  </si>
  <si>
    <t>频道催收，各种无关费用收取，没有合理解释</t>
  </si>
  <si>
    <t>http://ts.21cn.com/tousu/show/id/1371154</t>
  </si>
  <si>
    <t>2019/10/18 12:01:11</t>
  </si>
  <si>
    <t>每期多了好多寿险计划服务费，和灵活服务费，打电话给客服说自己当时打钩了的，但是当时借款并没有明确指出，你们这是隐形的条款，如果我知道这些服务费，你们安逸花觉得我会签订吗，立即停止这些服务费的收取，并且退还以前还过得服务费用，因为这是你们额外加的费用，正常的本金和每月利息我会如期还款，如果这个不能处理，本人不在归还剩下金额，还有，别再一天几十个电话的打了，严重影响个人的生活工作，我每天不能一直等着你们的电话，我要上班赚钱，你们每天这么打，我哪有时间上班，拿什么还款，先处理我说的你们乱收入的费用问题，我就说每个</t>
  </si>
  <si>
    <t>玖富万卡，玖富小蓝卡收服务费，需还费用翻倍</t>
  </si>
  <si>
    <t>http://ts.21cn.com/tousu/show/id/1371153</t>
  </si>
  <si>
    <t>2019/10/18 12:00:58</t>
  </si>
  <si>
    <t>玖富小蓝卡逾期，已还清本期本金及利息，但是还有一笔服务费，跟本金是一样的价格，这个符合国家利息吗，如果符合我愿意偿还，如果不符合我不会还，今天我会致电玖富客服，请给我合理的解释，谢谢，玖富万卡也是同样的情况。</t>
  </si>
  <si>
    <t>钱包易贷暴力催收骚扰</t>
  </si>
  <si>
    <t>http://ts.21cn.com/tousu/show/id/1371152</t>
  </si>
  <si>
    <t>2019/10/18 12:00:54</t>
  </si>
  <si>
    <t>钱包易贷这平台什么回事，突然发条这样的信息过来，还不断电话骚扰联系人，你们借钱给当事人，不联系当事人，联系通讯录是什么回事，有你们这么处理事情的吗，跟黑社会高利贷有什么区别，还有别再对我进行骚扰了，不然继续各大平台投诉你们钱包易贷。</t>
  </si>
  <si>
    <t>快闪卡贷逾利息高得吓人，逾期利息更高。</t>
  </si>
  <si>
    <t>http://ts.21cn.com/tousu/show/id/1371150</t>
  </si>
  <si>
    <t>2019/10/18 12:00:34</t>
  </si>
  <si>
    <t>本人在快闪卡贷平台借了15000元，分6期还完，前面每期还款3009.01，截止目前，已还五期，以还够本金，但是最后一期还得还3008.99，算下来利息综合年利率已超过24%，但是最近由于资金不足，导致逾期，快闪卡贷有人来催收，我说减免利息，但对方不肯，现请求快闪卡贷官方减免逾期利息，并按照规定的利息协商还款。</t>
  </si>
  <si>
    <t>喜鹊快贷暴力催收</t>
  </si>
  <si>
    <t>http://ts.21cn.com/tousu/show/id/1371151</t>
  </si>
  <si>
    <t>因资金周转困难我在喜鹊快贷逾期13天，喜鹊快贷的客服在未经我同意之下在给我通讯录里的人打电话进行催收，对我做成很大的困扰，我希望喜鹊快贷的人员立即停止无理的催收，并作出道歉。</t>
  </si>
  <si>
    <t>暴力催收，官方消极作为</t>
  </si>
  <si>
    <t>http://ts.21cn.com/tousu/show/id/1371147</t>
  </si>
  <si>
    <t>2019/10/18 12:00:11</t>
  </si>
  <si>
    <t>暴力催收，恐吓威胁上门催收，官方消极推卸，没有实质性解决问题。</t>
  </si>
  <si>
    <t>现在在家生孩子不方便</t>
  </si>
  <si>
    <t>http://ts.21cn.com/tousu/show/id/1371149</t>
  </si>
  <si>
    <t>2019/10/18 12:00:05</t>
  </si>
  <si>
    <t>我因在家生孩子不便导致没有按时处理会及时联系沟通。</t>
  </si>
  <si>
    <t>超高利率未逾期威胁爆通讯录</t>
  </si>
  <si>
    <t>http://ts.21cn.com/tousu/show/id/1371148</t>
  </si>
  <si>
    <t>2019/10/18 12:00:04</t>
  </si>
  <si>
    <t>借了9000，总计要还15000多，明显超过国家规定，今天到期，我在坐车，承诺晚上5点前还，不同意威胁要爆我通讯录。</t>
  </si>
  <si>
    <t>平安普惠乱扣费</t>
  </si>
  <si>
    <t>http://ts.21cn.com/tousu/show/id/1371146</t>
  </si>
  <si>
    <t>已协商还款两千九百多以结清的情况下未告知客户15个工作日里不能往银行卡里存钱，联系客服不给。</t>
  </si>
  <si>
    <t>http://ts.21cn.com/tousu/show/id/1371144</t>
  </si>
  <si>
    <t>2019/10/18 11:59:31</t>
  </si>
  <si>
    <t>好易借,深圳市大地信通担保有限公司,通联支付，好易借app借款为高利贷：通过好易借app借款7000元，期限为360天，但是在前三个月就需要还清本金加利息8800多元，利率已远超国家规定利率，除945元利息外，另外还违规收取担保费630元、融资管理费945元，共计1575元。</t>
  </si>
  <si>
    <t>pos机刷卡20天没有到账，没有反馈</t>
  </si>
  <si>
    <t>http://ts.21cn.com/tousu/show/id/1371143</t>
  </si>
  <si>
    <t>2019/10/18 11:59:03</t>
  </si>
  <si>
    <t>9月28号客户在我门店刷卡2笔，一次1260元，一次600元，到10月18号还是没有到账，我给客服基本每天去一个电话，得到回复，等待区域代理商处理，请耐心等待，这一等就是20天，没有接待任何电话，客服每次都是这样的态度，请问，我们商家的权利在哪里可以维护，我小生意资金无法到位，我业务无法开展，请务必给我解决下！这样的公司不讲诚信，私扣客户营业款，谁来管一管。</t>
  </si>
  <si>
    <t>莫名其妙乱扣费</t>
  </si>
  <si>
    <t>http://ts.21cn.com/tousu/show/id/1371110</t>
  </si>
  <si>
    <t>2019/10/18 11:58:43</t>
  </si>
  <si>
    <t>投诉人富女士投诉对象任性分期涉诉金额198元问题类型诉求类型投诉详情今天莫名其妙银行卡被扣198元，让朋友帮忙找原因，终于找到是一个贷款平台，扣的所谓什么会员费，本人根本没用过他们任何服务何来会员费，现在贷款业务真是越来越乱，竟然还能私自扣费，太乱了！望有关部门严厉打击！。</t>
  </si>
  <si>
    <t>威胁骚扰第三方</t>
  </si>
  <si>
    <t>http://ts.21cn.com/tousu/show/id/1371142</t>
  </si>
  <si>
    <t>2019/10/18 11:58:42</t>
  </si>
  <si>
    <t>逾期几天就发信息骚扰第三方，还威胁说要联系村委，几百块钱我有说不还吗。</t>
  </si>
  <si>
    <t>http://ts.21cn.com/tousu/show/id/1371140</t>
  </si>
  <si>
    <t>2019/10/18 11:58:08</t>
  </si>
  <si>
    <t>现在对方一直在电话骚扰本人所在公司，并进行投诉，联系骚扰公司的人员称要全部还完才给取消，，现已经严重影响工作，面临开除。</t>
  </si>
  <si>
    <t>淘宝网大云电商欺诈消费者只收钱不办事</t>
  </si>
  <si>
    <t>http://ts.21cn.com/tousu/show/id/1371141</t>
  </si>
  <si>
    <t>2019/10/18 11:58:03</t>
  </si>
  <si>
    <t>淘宝网大云电商以欺骗手段诱导本人交款订单，协商10-15天店铺会有改变，但是已经21天，还未做出效果，店铺还有违规，不做实事，本人已发起退款，但是被她们几个人合伙连蒙再骗打电话给我说退款也退不了多少之类的话，要求我继续与他们合作，并且诱导撤销退款申请，但是他们从未与我签订合同，一点保障都没有，就是出现任何问题我都要付款给他们，我的本金也不会给我，诱导我退款之后，我现在已经没有办法再发起退款，但是大云电商依然没有按照承诺履行义务与职责，我只能投诉他们。</t>
  </si>
  <si>
    <t>http://ts.21cn.com/tousu/show/id/1371032</t>
  </si>
  <si>
    <t>2019/10/18 11:56:58</t>
  </si>
  <si>
    <t>2018年10月17日在你我贷申请了4500元借款，期限12期，到现在已经还了5666元;已经还了法律规定的本金及利息，现在还要我还一期。</t>
  </si>
  <si>
    <t>http://ts.21cn.com/tousu/show/id/1371139</t>
  </si>
  <si>
    <t>2019/10/18 11:56:27</t>
  </si>
  <si>
    <t>本人于2019-9-4在多宝分期平台的手机借款app中借5000元，每期还款1973.95元，由于当时着急用钱，没有注意，分四期每期15天，两个月分四期我共计要还7895.8元，利息完全超过国家规定的36，目前还了2期，，不打算姑息如此高利贷了，在APP商城也没有这个手机借款了，因为高利贷还款当天就有态度极其恶劣的催收打电话，说不还钱就通知家人朋友，爆通讯录，这是第二次投诉，还不解决就直接投诉到互联网金融举报信息平台。</t>
  </si>
  <si>
    <t>高利贷，阴阳合同，虚假，误导宣传</t>
  </si>
  <si>
    <t>http://ts.21cn.com/tousu/show/id/1371138</t>
  </si>
  <si>
    <t>2019/10/18 11:56:26</t>
  </si>
  <si>
    <t>一、本人于2019年5月19日在小赢贷款平台借了一笔款项，借款金额：22000元，分12期还款，最近我发现该平台在本人不知情的情况下强制捆绑购买了一分保险，并且之前一直有购买，由于本人最近清还所有欠款，才终于发现，1.本人是不知情的情况下被投保、连个保单都没看到，只在合同里面看到有购买保险，3.国家明文规定贷款跟保险公司不得合作；4.国家法律规定投保人可随时退保；5.在未明确提醒客户的前提下捆绑销售保险，如果不予以处理我将进一步反馈于各大媒体平台请求帮老百姓做主，二、本人查看借款合同时，发现被签订了阴阳合同</t>
  </si>
  <si>
    <t>恒昌骚扰前妻的公司电话</t>
  </si>
  <si>
    <t>http://ts.21cn.com/tousu/show/id/1371136</t>
  </si>
  <si>
    <t>2019/10/18 11:55:59</t>
  </si>
  <si>
    <t>恒昌暴力催收，要求提供工号，拒绝提供，并且态度恶劣，告知要去上门骚扰联系人，妻子，，并电话打到前妻公司里，已经严重骚扰到工作生活，投诉95713不处理。</t>
  </si>
  <si>
    <t>钱站高利贷，阴阳合同</t>
  </si>
  <si>
    <t>http://ts.21cn.com/tousu/show/id/1371137</t>
  </si>
  <si>
    <t>2019/10/18 11:55:50</t>
  </si>
  <si>
    <t>钱站，超级高利贷，阴阳合同，8月28日借款4000元，到账4000，分3期，每期还款2380.55，打电话要求提前1个月结清减免超出利息，客服态度强硬，拒绝受理，作为投诉量最大最多的网贷，为什么依然这么嚣张。</t>
  </si>
  <si>
    <t>骚扰家人，恶意群发虚假律师信</t>
  </si>
  <si>
    <t>http://ts.21cn.com/tousu/show/id/1371135</t>
  </si>
  <si>
    <t>2019/10/18 11:55:39</t>
  </si>
  <si>
    <t>我因为资金紧张没法还，还了6期后出现问题得，后来你们催收电话骚扰，我说这个是想说麻烦你们公司能提供你们催收人员电话和催收人员地址，我要起诉他，然后咱们来商讨这款具体细节，一天内搞了300多个境外电话给我，晚上直接炮轰我得紧急联系人人一小时100多个电话给紧急联系人，爆我通讯录那是正常得，几乎是就差打给我死去的爷爷了，你们不跟我商讨下，直接炮轰，发虚假律师信给我家人朋友，我不知你们以哪条法律规定来催收得，我肯定要还，也在努力赚钱，我已经给心理医生诊断为中度抑郁症和惊恐障碍，我说这个是想说，麻烦你们公司能提供你</t>
  </si>
  <si>
    <t>招商银行违规变更信用卡权益</t>
  </si>
  <si>
    <t>http://ts.21cn.com/tousu/show/id/1371134</t>
  </si>
  <si>
    <t>2019/10/18 11:55:35</t>
  </si>
  <si>
    <t>我不可能一下还清2万多元，您这是要逼死人呀！！欠款是我的错，但是并不代表您可以把我逼死！请停止这种语言方式。</t>
  </si>
  <si>
    <t>马上消费金融，暴力催收，恐吓</t>
  </si>
  <si>
    <t>http://ts.21cn.com/tousu/show/id/1371133</t>
  </si>
  <si>
    <t>2019/10/18 11:55:03</t>
  </si>
  <si>
    <t>马上消费金融，暴力催收，每天不同人说协商，结果完全没得协商，一个客服协商好了，另一个说法又不同，家里有困难实在不能马上还全款，逼得走投无路了，希望能给我一个合理的解释，还有能协商让我一点一点的还。</t>
  </si>
  <si>
    <t>招联金融，威胁，恐吓</t>
  </si>
  <si>
    <t>http://ts.21cn.com/tousu/show/id/1371132</t>
  </si>
  <si>
    <t>2019/10/18 11:54:37</t>
  </si>
  <si>
    <t>9天对我进行，短信，微信请求加好友进行微信恐吓，说什么几点结案，什么黑名单，这就是服务态度吗。</t>
  </si>
  <si>
    <t>美团金融暴力催收</t>
  </si>
  <si>
    <t>http://ts.21cn.com/tousu/show/id/1371130</t>
  </si>
  <si>
    <t>2019/10/18 11:54:20</t>
  </si>
  <si>
    <t>美团生活费逾期以后，催收人员频繁骚扰本人与本人父母，私自调查到本人现在上班公司，扬言要上公司调查，严重损害本人正常上班生活。</t>
  </si>
  <si>
    <t>贷上钱违法收取砍头息暴力催收违法套取用户信息</t>
  </si>
  <si>
    <t>http://ts.21cn.com/tousu/show/id/1371129</t>
  </si>
  <si>
    <t>2019/10/18 11:54:19</t>
  </si>
  <si>
    <t>高利贷频繁骚扰家人</t>
  </si>
  <si>
    <t>http://ts.21cn.com/tousu/show/id/1371128</t>
  </si>
  <si>
    <t>2019/10/18 11:54:08</t>
  </si>
  <si>
    <t>本人逾期米米罐频繁骚扰家人朋友，已造成生活困扰。</t>
  </si>
  <si>
    <t>停止暴力催收直接与银行联系</t>
  </si>
  <si>
    <t>http://ts.21cn.com/tousu/show/id/1371127</t>
  </si>
  <si>
    <t>2019/10/18 11:53:05</t>
  </si>
  <si>
    <t>我希望银行可以与我协商取消手续费及违约金罚金从新分期。</t>
  </si>
  <si>
    <t>无法偿还高利贷</t>
  </si>
  <si>
    <t>http://ts.21cn.com/tousu/show/id/1371126</t>
  </si>
  <si>
    <t>2019/10/18 11:52:58</t>
  </si>
  <si>
    <t>我在中腾信2016年11月借款10万，至少连本带息已还15万多，现在我老公下岗了，该还的本金我已还完，利息还了5万多。</t>
  </si>
  <si>
    <t>投诉哆啦宝（北京）科技有限公司，哆啦宝app扫码取消的订单不返款</t>
  </si>
  <si>
    <t>http://ts.21cn.com/tousu/show/id/1371125</t>
  </si>
  <si>
    <t>2019/10/18 11:52:57</t>
  </si>
  <si>
    <t>本人朋友在2019年09月10日在我的哆啦宝APP付款一笔8859元，还有另一个人付的一笔92元，正常是哆啦宝平台第二天返款的，到12号告诉给我办理哆啦宝的业务员，说我账号给风控，然后当天就取消了那笔8859的订单，订单哪里显示退款成功却没有到账的，然后是给我处理风控1个月才处理好风控，10月10号就给我返款了92元的那笔，8859的却没有退回来，联系业务员说会给我返款，却让我等通知，没有具体或大概时间，难道要我无期限的等吗，要求那笔扫码取消的订单给我尽快原支付返款就好。</t>
  </si>
  <si>
    <t>你我贷多扣管理费和贷后服务费</t>
  </si>
  <si>
    <t>http://ts.21cn.com/tousu/show/id/1371131</t>
  </si>
  <si>
    <t>2019/10/18 11:52:50</t>
  </si>
  <si>
    <t>投诉人曹女士投诉对象你我贷涉诉金额750元问题类型诉求类型投诉详情你我贷前面两次还款1191.44，收取了两次的管理费和服务费,什么意思。</t>
  </si>
  <si>
    <t>拼多多每天短信骚扰</t>
  </si>
  <si>
    <t>http://ts.21cn.com/tousu/show/id/1371123</t>
  </si>
  <si>
    <t>2019/10/18 11:52:33</t>
  </si>
  <si>
    <t>投诉人 韩先生        投诉对象  拼多多        涉诉金额  0 元    问题类型    诉求类型投诉详情  拼多多每天短信搔扰我的新号码，需停止侵权</t>
  </si>
  <si>
    <t>支付宝为什么会显示我在盈盈理财显示逾期，这对我造成了影响</t>
  </si>
  <si>
    <t>http://ts.21cn.com/tousu/show/id/1371122</t>
  </si>
  <si>
    <t>我没有欠钱我为什么会显示逾期需要通过平台还款，我就问问你们支付宝。</t>
  </si>
  <si>
    <t>粉红豹骚扰我通讯录好友</t>
  </si>
  <si>
    <t>http://ts.21cn.com/tousu/show/id/1371121</t>
  </si>
  <si>
    <t>2019/10/18 11:52:32</t>
  </si>
  <si>
    <t>投诉人贺信投诉对象粉红豹涉诉金额2000元问题类型诉求类型投诉详情粉红豹高利贷网贷平台，窃取我通讯录信息，辱骂威胁电话，群发骚扰信息。</t>
  </si>
  <si>
    <t>投诉我来贷以居加管理费强加算为利息</t>
  </si>
  <si>
    <t>http://ts.21cn.com/tousu/show/id/1371119</t>
  </si>
  <si>
    <t>2019/10/18 11:51:56</t>
  </si>
  <si>
    <t>今天咨询了客服，可客服总是模棱两可，回复不清楚，查看合同看到中间有个居加管理费，询问客服，客服就说是算在利息里，要支付的，而且借款之前，也询问过客服，客服的回答是，首次借款只收取60的审核费，不再收取其他费用，可我在这合同里和客户回答的里知道，根本不是这样，完全就是疯马牛不相及，而且刚签署合同是9.7日，截图了一个协议，并未收到当中说的合同里的利率中的利息，还有就是他们声称他们算的是一个月利率，实则是算整个的利率的话是一个年利率，按照国家的利率来算，这个是超出了36%的，而且我知道有一个新闻里出过该平台换马</t>
  </si>
  <si>
    <t>威胁人身攻击</t>
  </si>
  <si>
    <t>http://ts.21cn.com/tousu/show/id/1371118</t>
  </si>
  <si>
    <t>2019/10/18 11:51:55</t>
  </si>
  <si>
    <t>本人之前在微博借钱周转，后面因为家庭变故原因，目前无法还钱，现在被他们所谓的贷后管理人员“”威胁，请问微博平台，你们就如此放纵这些所谓贷后管理人员吗。</t>
  </si>
  <si>
    <t>快件丢失短少，客服不解决</t>
  </si>
  <si>
    <t>http://ts.21cn.com/tousu/show/id/1371120</t>
  </si>
  <si>
    <t>2019/10/18 11:51:53</t>
  </si>
  <si>
    <t>快件外包装破损，内件丢失短少，投诉后客服不解决问题。</t>
  </si>
  <si>
    <t>暴力催收，态度恶劣</t>
  </si>
  <si>
    <t>http://ts.21cn.com/tousu/show/id/1371117</t>
  </si>
  <si>
    <t>2019/10/18 11:51:51</t>
  </si>
  <si>
    <t>投诉人 蔡女士        投诉对象  好分期        涉诉金额  562 元    问题类型    诉求类型投诉详情  一直打电话威胁恐吓 说了下午还 非说我不想还 说要打电话给我家人朋友</t>
  </si>
  <si>
    <t>多次与兴业银行沟通，但第三方仍然威逼一次全额还款</t>
  </si>
  <si>
    <t>http://ts.21cn.com/tousu/show/id/1371116</t>
  </si>
  <si>
    <t>2019/10/18 11:51:32</t>
  </si>
  <si>
    <t>由于个人听信好友经商不当，以及公司未发工资等原因导致资金暂时出现困难，导致信用卡逾期，本人愿意还款，也经常主动联系兴业银行客服，但是兴业银行委托第三方无视个人困难情况，威逼个人一次全额还款，爆通讯录，恐惧亲戚好友等暴力催收，个人明确表示愿意协商还款，但是要求终止暴力催收，爆通讯录。</t>
  </si>
  <si>
    <t>闪电借款再三上门催收</t>
  </si>
  <si>
    <t>http://ts.21cn.com/tousu/show/id/1371115</t>
  </si>
  <si>
    <t>2019/10/18 11:51:10</t>
  </si>
  <si>
    <t>后来换了一个第三方催收公司上门要钱，在我家门上贴的欠款单来了4个人当时我害怕没回家，他们就走了，说不给还钱再次上门，这已经给我的生活带来很大的困扰了。</t>
  </si>
  <si>
    <t>卧龙钱包</t>
  </si>
  <si>
    <t>http://ts.21cn.com/tousu/show/id/1371113</t>
  </si>
  <si>
    <t>2019/10/18 11:50:48</t>
  </si>
  <si>
    <t>投诉人 张先生        投诉对象  汇潮支付        涉诉金额  2 000 元    问题类型    诉求类型投诉详情  汇潮支付为卧龙钱包提供高利贷服务。协商还本金处理。</t>
  </si>
  <si>
    <t>投诉北京市渊大教育科技限公司，要求退我学费</t>
  </si>
  <si>
    <t>http://ts.21cn.com/tousu/show/id/1371112</t>
  </si>
  <si>
    <t>2019/10/18 11:50:37</t>
  </si>
  <si>
    <t>本人在2019年在石家庄通过网上在北京渊大教育科技有限公司以报了一级消防工程师培训，由于本人学历是中专毕业不够报考学历，但是北京渊大教育科技有限公司的郭老师说可以通过代报的形式报名，但需要调整到离石家庄最近的省份考试，但本人也提出要求考试不去其他省份，随后在电话里和郭老师说明报考区域只限北京和山东，随后本人通过微信支付给北京渊大教育科技有限公代报费2000元，并在2018年8月10日再次通过微信支付给北京渊大教育科技有限公司培训费2400元，经本人在12315网站上举报后有北京渊大教育科技有限公司售后人员与</t>
  </si>
  <si>
    <t>http://ts.21cn.com/tousu/show/id/1371111</t>
  </si>
  <si>
    <t>2019/10/18 11:49:40</t>
  </si>
  <si>
    <t>在微贷网多米贷和联通易借贷的款，每月正常还，这个月资金链断裂，生活陷入困境，无法偿还，造成逾期，平台爆通讯录，亲戚朋友都知道，公司也无法上班，年底前还清，平台不允许。</t>
  </si>
  <si>
    <t>现金巴士威胁恐吓。无法协商，暴力催收。高利贷。砍头息</t>
  </si>
  <si>
    <t>http://ts.21cn.com/tousu/show/id/1371109</t>
  </si>
  <si>
    <t>2019/10/18 11:49:30</t>
  </si>
  <si>
    <t>投诉人 张超        投诉对象  现金巴士        涉诉金额  1 000 元    问题类型    诉求类型投诉详情  现金巴士收取砍头息。高利贷。高额的前期服务费。超出国家规定的罚息，违约金。并且恐吓骚扰本人，并且威胁爆通讯录</t>
  </si>
  <si>
    <t>平安普惠氧气袋</t>
  </si>
  <si>
    <t>http://ts.21cn.com/tousu/show/id/1371107</t>
  </si>
  <si>
    <t>2019/10/18 11:48:08</t>
  </si>
  <si>
    <t>4月1日，在平安普惠借款124000截止到2019年已经还26期金额156104左右，还有十期未还，由于家庭变故问题导致六月份逾期一个月，六月份普惠工作人员联系我，说可以进行减免，让我把逾期的部分先偿还上，当时也是想尽一切办法吧！想解决此事，还完我就一直等消息，可是等来的，确是三个月的逾期罚款和征信的不好，说已经代偿了，我对此非常不理解，而且我对我之前的盲目借款表示怀疑，我仔细算了一下利息，这也太高啦！吓我一身冷汗，现在他们追着我要债，弄得我身心疲惫，对生活都没有的希望，这不就是一个坑吗，挖坑让我跳，我不同</t>
  </si>
  <si>
    <t>好分期套路贷，高利贷、阴阳合同，暴力催收、爆通讯录，骚扰亲朋好友</t>
  </si>
  <si>
    <t>http://ts.21cn.com/tousu/show/id/1371106</t>
  </si>
  <si>
    <t>2019/10/18 11:47:59</t>
  </si>
  <si>
    <t>2019年7月27日在好分期APP上借款4500元分9期偿还，每期偿还631.40元，9期算下来一共要还5682.6元，现已还2期，现在暂时无偿还能力，好分期恶性催收，爆我通讯录，骚扰我亲朋好友，毁我名誉。</t>
  </si>
  <si>
    <t>http://ts.21cn.com/tousu/show/id/1371105</t>
  </si>
  <si>
    <t>2019/10/18 11:47:53</t>
  </si>
  <si>
    <t>投诉人李先生投诉对象聚福钱包涉诉金额299元问题类型诉求类型投诉详情聚福钱包恶意扣款，这个很多人都知道，希望能够得到解决，太坑了，本来都是没有钱才借款，这不是雪上加霜吗。</t>
  </si>
  <si>
    <t>浦发万用金浦发信用卡</t>
  </si>
  <si>
    <t>http://ts.21cn.com/tousu/show/id/1371104</t>
  </si>
  <si>
    <t>2019/10/18 11:47:48</t>
  </si>
  <si>
    <t>投诉人邢先生投诉对象浦发信用卡,浦发万用金涉诉金额110000元问题类型诉求类型投诉详情本人于2017年10月分12月分申请了浦发银行得万用金14万左右，分36期还，已经还了2年了，今年由于做点小生意赔钱了，加上朋友借我得钱至今要不回来，导致逾期了，现在浦发银行要我一次性还清所欠款本金109000左右，加上利息违约金共计119000多，这两天两个自称浦发银行得工作人员上我家来找到我父母，我将近70得父母让他们吓唬得很厉害，还去我们村委，对我照成很大影响，我现在跟人开货车跑运输每月也就4000得工资，逾期这俩</t>
  </si>
  <si>
    <t>马上消费金融高利贷借2万还28800</t>
  </si>
  <si>
    <t>http://ts.21cn.com/tousu/show/id/1371103</t>
  </si>
  <si>
    <t>2019/10/18 11:47:36</t>
  </si>
  <si>
    <t>借款人通过马上消费金融app申请了现金分期，2万分24期，每期需还款1200.95，本金2万，利息高达8820，超过《最高人民法院关于审理民间借贷案件适用法律若干问题的规定》的最高年利率24%。</t>
  </si>
  <si>
    <t>滴滴平台乱扣分</t>
  </si>
  <si>
    <t>http://ts.21cn.com/tousu/show/id/1371101</t>
  </si>
  <si>
    <t>2019/10/18 11:47:24</t>
  </si>
  <si>
    <t>投诉滴滴平台乱扣分严重影响我的收入.导致我生活费都成为困难。</t>
  </si>
  <si>
    <t>说好的退差价</t>
  </si>
  <si>
    <t>http://ts.21cn.com/tousu/show/id/1371102</t>
  </si>
  <si>
    <t>2019/10/18 11:47:22</t>
  </si>
  <si>
    <t>投诉人王先生投诉对象玖富,玖富万卡涉诉金额8000元问题类型诉求类型投诉详情说好的退差价都10天了还没退这是耍我吗。</t>
  </si>
  <si>
    <t>龙行管家虚假宣传误导办卡</t>
  </si>
  <si>
    <t>http://ts.21cn.com/tousu/show/id/1371100</t>
  </si>
  <si>
    <t>2019/10/18 11:47:12</t>
  </si>
  <si>
    <t>2017年第一次来上大学的时候，我在旁边排队，他们的人就和我爸聊了起来，原来也没做过飞机，爸爸又被他们说了觉得是对我好的，就办了，办完才发现是坑人的把戏，心塞。</t>
  </si>
  <si>
    <t>上海富友给套路贷提供支付渠道坑害百姓</t>
  </si>
  <si>
    <t>http://ts.21cn.com/tousu/show/id/1371099</t>
  </si>
  <si>
    <t>2019/10/18 11:46:26</t>
  </si>
  <si>
    <t>上海富友支付服务有限公司于18年至19年间与套路贷合作从本人账户扣款近5万元，本人因短期资金周转借网络小贷，不想被网络套路贷的高额砍头息所坑害而陷入以贷养贷的困境，从而生活更雪上加霜背上巨额债务，现国家严查套路贷，而上海富友作为支付服务渠道公司，不仅为套路贷提供支付服务，更参与了套路贷以谋取暴利，要求上海富友协助追讨并垫付本人巨额损失，本人也将进一步举报和走法律程序！。</t>
  </si>
  <si>
    <t>苏宁易购361度官方旗舰店售后服务质量差</t>
  </si>
  <si>
    <t>http://ts.21cn.com/tousu/show/id/1371098</t>
  </si>
  <si>
    <t>2019/10/18 11:46:11</t>
  </si>
  <si>
    <t>苏宁易购361度官方旗舰店买了两双鞋，尺码买大了，需要换货处理，商家要求我七天无理由，但是没有那个选项，我选择了错发漏发，商家拒绝我的换货申请，我又一次发起换货申请，填写理由是按照361客服给的写的，2019-10-17下午我就重新提交了换货申请，理由也是按照客服要求填写，但是直到2019--10-18号上午，换货申请到现在都没有审核通过，由于我购买的是两双鞋，两双鞋换的理由也是一样，但是迟迟给我另一双鞋换货申请不通过。</t>
  </si>
  <si>
    <t>捷信超利贷</t>
  </si>
  <si>
    <t>http://ts.21cn.com/tousu/show/id/1371097</t>
  </si>
  <si>
    <t>2019/10/18 11:44:56</t>
  </si>
  <si>
    <t>捷信贷款24000元整，有人收取8000元，然后还款需要还7万左右，利息超高，上门催收人员调查我孩子信息，我孩子才两三岁，涉嫌恐吓，。</t>
  </si>
  <si>
    <t>该死的国美易卡，之前就投诉了，一直没有回应</t>
  </si>
  <si>
    <t>http://ts.21cn.com/tousu/show/id/1371096</t>
  </si>
  <si>
    <t>2019/10/18 11:44:43</t>
  </si>
  <si>
    <t>国美易卡高额利息和催收费，投诉几次均为回复，客服不理会，态度恶劣。</t>
  </si>
  <si>
    <t>佰悦乐家又坑害消费者</t>
  </si>
  <si>
    <t>http://ts.21cn.com/tousu/show/id/1369383</t>
  </si>
  <si>
    <t>2019/10/18 11:44:39</t>
  </si>
  <si>
    <t>本人于2月份与百悦乐家房屋租赁公司签一份一年期订合同，两期押一付三共支付5720元，在第二次租期剩下两月时候，百悦乐家强行将房屋里面的人员搬离，承诺为我找新的住处，等到带我去所谓的新的住处看后，没有将钥匙给我，导致无处落脚，打电话一直处于失联状态，在向工商部门投诉之后，工商部门只是反映百悦乐家从龙潭SOMO搬走了并没有下文，自己查阅网上资料，发现百悦乐家确实臭名昭著，从图中可知上当受害的也不止我一人，并且该公司。</t>
  </si>
  <si>
    <t>快卡闪贷暴力催收，未经本人同意拨打通讯录号码</t>
  </si>
  <si>
    <t>http://ts.21cn.com/tousu/show/id/1371095</t>
  </si>
  <si>
    <t>2019/10/18 11:44:25</t>
  </si>
  <si>
    <t>每天拨打我亲戚朋友的电话，甚至语言很难听！对我正常生活带来很大麻烦。</t>
  </si>
  <si>
    <t>被暴力催收，语音恐吓。</t>
  </si>
  <si>
    <t>http://ts.21cn.com/tousu/show/id/1371094</t>
  </si>
  <si>
    <t>2019/10/18 11:44:13</t>
  </si>
  <si>
    <t>你我贷，我用两次了，以前从没逾期过，这两个月出了点事情，然后给我打电话说要上门要账，还说要联系我所有的联系人。</t>
  </si>
  <si>
    <t>辱骂骚扰</t>
  </si>
  <si>
    <t>http://ts.21cn.com/tousu/show/id/1371093</t>
  </si>
  <si>
    <t>2019/10/18 11:44:02</t>
  </si>
  <si>
    <t>在已经还款的情况下，每天打电话辱骂我，告诉我没有资格贷款，骂我全家。</t>
  </si>
  <si>
    <t>威胁，爆通迅录</t>
  </si>
  <si>
    <t>http://ts.21cn.com/tousu/show/id/1371092</t>
  </si>
  <si>
    <t>2019/10/18 11:44:01</t>
  </si>
  <si>
    <t>投诉人 张伟        投诉对象  小赢卡贷        涉诉金额  5 000 元    问题类型    诉求类型投诉详情  在小赢卡贷借5000元，愈期两天。受到威胁要爆通讯录！</t>
  </si>
  <si>
    <t>欺诈消费者侵犯消费者权益</t>
  </si>
  <si>
    <t>http://ts.21cn.com/tousu/show/id/1370572</t>
  </si>
  <si>
    <t>2019/10/18 11:43:58</t>
  </si>
  <si>
    <t>投诉人 李先生        投诉对象  国际豪川男鞋        涉诉金额  29 元    问题类型    诉求类型投诉详情  收到的物品与买的不一样 客服处理慢</t>
  </si>
  <si>
    <t>有钱花催收骚扰恐吓</t>
  </si>
  <si>
    <t>http://ts.21cn.com/tousu/show/id/1371090</t>
  </si>
  <si>
    <t>2019/10/18 11:43:48</t>
  </si>
  <si>
    <t>几乎无法无天得骚扰我家人，我还了6期还是7期了，也跟你们表达了这点，但你们一下子就爆我通讯录，虚假律师函群发家人朋友，骚扰我父亲一次又一次，欠钱我必须还，也在努力赚钱还，我有给心理医院鉴定为中度抑郁症和惊恐障碍，这是我问题，我知道你们不需管，但你们依靠哪条法律骚扰爆我通讯录得，你们还正规得网贷得呢，。</t>
  </si>
  <si>
    <t>投诉淘宝：俞兆林中老年官方旗舰店</t>
  </si>
  <si>
    <t>http://ts.21cn.com/tousu/show/id/1371089</t>
  </si>
  <si>
    <t>图5是和淘宝俞兆林中老年旗舰店客服最早的聊天记录，之前拍了一款第二天发货，隔天就收到了，但拿到实货和图片不符，因为是给老人家买的，就和客服沟通换一套，客服说退了重新拍其他款式，我在14号已付款，看两天都没发货和客服沟通，客服回复聚划算产品72小时内出货，直到今天第四天，仍然在揽货中，没有发出！和客服沟通，要求改顺丰立马发货，客服说补差价！首先我按照店家规则72小时，我等了，最后是店家食言，我这要求改顺丰立马出货，合情合理。</t>
  </si>
  <si>
    <t>中信暴力催收</t>
  </si>
  <si>
    <t>http://ts.21cn.com/tousu/show/id/1371088</t>
  </si>
  <si>
    <t>2019/10/18 11:43:45</t>
  </si>
  <si>
    <t>中信信用卡委托第三方催收，读取个人通讯录到处散播，辱骂通讯录对望。</t>
  </si>
  <si>
    <t>格力净水机WTE-PC8-4021虚假宣传高价卖给用户</t>
  </si>
  <si>
    <t>http://ts.21cn.com/tousu/show/id/1371085</t>
  </si>
  <si>
    <t>2019/10/18 11:43:32</t>
  </si>
  <si>
    <t>昨天2019年10月17号下午，老爸上街买东西，路过商场发现格力净水机工作人员宣传水质污染对人体的伤害，接着开始推销起型号WTE-PC8-4021的格力净水机，原价五千多，现在活动价3680元，数量有限，后面就买不到了等等忽悠手段，还有礼品相送，老爸看很多人围观讨论后加上这两天停水后自来水有漂白粉的原因，就定了一台，当场付了100元，回来后有工作人员把送的礼品一起带回了家里，到家后当场就付了1000元订金，第二天安装后再把尾款2580补齐即可，第二天18号上午，工作人员来了后，我看到机子型号，就问网上能不能</t>
  </si>
  <si>
    <t>你我贷违法查询信息</t>
  </si>
  <si>
    <t>http://ts.21cn.com/tousu/show/id/1371086</t>
  </si>
  <si>
    <t>2019/10/18 11:43:24</t>
  </si>
  <si>
    <t>违法查询社保个人信息，电话及信息骚扰公司和亲朋好友，使我被公司开除。</t>
  </si>
  <si>
    <t>蟹老弟无法还款</t>
  </si>
  <si>
    <t>http://ts.21cn.com/tousu/show/id/1371087</t>
  </si>
  <si>
    <t>2019/10/18 11:43:18</t>
  </si>
  <si>
    <t>今天是还款日，结果app无法打开，无法还款。</t>
  </si>
  <si>
    <t>交通银行区别对待</t>
  </si>
  <si>
    <t>http://ts.21cn.com/tousu/show/id/1371084</t>
  </si>
  <si>
    <t>2019/10/18 11:43:12</t>
  </si>
  <si>
    <t>本人与朋友同时因为工资拖欠的问题导致逾期3个月，在9月27日全额还款，银行对我朋友进行了减免违约金政策，而且我区别对待不给我减免违约金政策，我想知道为什么银行给我区别对待，银行要我提供我朋友的资料，我可以提供，但是我要求给我做出一个准确答复不要在我提供证据后不给我一个明确答复。</t>
  </si>
  <si>
    <t>白条分期私自扣我银行卡里199元钱，说是会员费</t>
  </si>
  <si>
    <t>http://ts.21cn.com/tousu/show/id/1371083</t>
  </si>
  <si>
    <t>2019/10/18 11:43:10</t>
  </si>
  <si>
    <t>我通过白条分期app，一步步注册，说是贷款额度5000，点确定就能下款，然后莫名其妙的就扣了249会员费，额度没有也没下款，还给你推荐一堆借款软件。</t>
  </si>
  <si>
    <t>快钱支付与714套路贷抱金猪勾结谋取坎头息</t>
  </si>
  <si>
    <t>http://ts.21cn.com/tousu/show/id/1371082</t>
  </si>
  <si>
    <t>2019/10/18 11:42:47</t>
  </si>
  <si>
    <t>两次投诉快钱支付与抱金猪平台勾结扣取坎头息，无人联系无人处理。</t>
  </si>
  <si>
    <t>侵犯我隐私</t>
  </si>
  <si>
    <t>http://ts.21cn.com/tousu/show/id/1371081</t>
  </si>
  <si>
    <t>2019/10/18 11:42:30</t>
  </si>
  <si>
    <t>投诉人 陈女士        投诉对象  捷信        涉诉金额  20 000 元    问题类型    诉求类型投诉详情  上面的利息费用有的根本看不懂。而且爆通讯录，骚扰家人朋友。都给他好说了，捷信还要那样做。</t>
  </si>
  <si>
    <t>交通银行恶意联系通讯录</t>
  </si>
  <si>
    <t>http://ts.21cn.com/tousu/show/id/1371080</t>
  </si>
  <si>
    <t>2019/10/18 11:42:22</t>
  </si>
  <si>
    <t>交通银行信用卡催收在能联系本人，并且协商好时间以后，转过头就联系了通讯录人员，并且持续骚扰通讯录联系人正常工作时间，对本人名誉造成严重影响！交通银行催收已经属于恶意催收，不顾协商后果，而且本人在能联系的情况下恶意爆通讯录。</t>
  </si>
  <si>
    <t>强制扣掉610保险费</t>
  </si>
  <si>
    <t>http://ts.21cn.com/tousu/show/id/1371079</t>
  </si>
  <si>
    <t>2019/10/18 11:41:56</t>
  </si>
  <si>
    <t>3000到账后卡里就只剩1200块钱！给客服打过电话不给我处理。</t>
  </si>
  <si>
    <t>http://ts.21cn.com/tousu/show/id/1371077</t>
  </si>
  <si>
    <t>2019/10/18 11:41:25</t>
  </si>
  <si>
    <t>360借条与2019年循环借款，一直按时还款，尊重平台的规则，但是现在实在没钱了，家里人也不管我，我借不到钱了，与360借条协商一次性还款，但是360借条要求一次性还款和按期还款的金额一样多，客服人员给我打电话态度非常差，几次差点惹火我，因为该平台利息服务费用太高了我还不上，当时借钱的合同根本没有看到一次性还款还要多收几千块钱，在和催收进行协商，态度不但恶劣，今早竟然收到恐吓短信！我是一直在要求想要还款，没想到竟然暴力催收，该平台如不道歉，今日内调整利率，我拒绝还款，保存所有证据，并接受你们的暴力催收，法律</t>
  </si>
  <si>
    <t>豆豆钱暴力催收</t>
  </si>
  <si>
    <t>http://ts.21cn.com/tousu/show/id/1371075</t>
  </si>
  <si>
    <t>2019/10/18 11:40:33</t>
  </si>
  <si>
    <t>暴力催收，还款问题，还款失败导致逾期100服务的，借款保险399。</t>
  </si>
  <si>
    <t>兑现承诺或者全额退款</t>
  </si>
  <si>
    <t>http://ts.21cn.com/tousu/show/id/1371076</t>
  </si>
  <si>
    <t>2019/10/18 11:40:27</t>
  </si>
  <si>
    <t>当时销售人员承诺一共是114节课，诱骗行为，实际只有74➕12，，只有销售没有办到并且找不到联系不到此人，打哒哒搜后投诉电话，他们只给出是员工个人行为和公司无关的推辞，大半年不给处理，只说补15节课，也不予退款，图3⃣️是销售对话承诺，图4⃣️获得13节课明细，图五系统的74节课，哒哒平台对自己销售管理有问题，销售虚假宣传给消费者造成困扰，平台还不积极解决问题，做出补偿反而态度差不愿意承担，希望相关部门严惩。</t>
  </si>
  <si>
    <t>U钱包暴力催收威胁辱骂本人于家人</t>
  </si>
  <si>
    <t>http://ts.21cn.com/tousu/show/id/1371074</t>
  </si>
  <si>
    <t>2019/10/18 11:40:19</t>
  </si>
  <si>
    <t>8月左右借的钱，后来逾期了，然后催收就很暴力，打电话到公司去，现在公司辞退我，我没了收入，然后我到平台上看不到我的借款合同，而且他们利息很高超过了国家规定的百分之24的利率，需要多还2000到3000多，然后催收还威胁我，打电话骚扰家里，家里和朋友现在精神状态不好。</t>
  </si>
  <si>
    <t>2019.10.17在同程艺龙买了票退不了</t>
  </si>
  <si>
    <t>http://ts.21cn.com/tousu/show/id/1371073</t>
  </si>
  <si>
    <t>2019/10/18 11:40:04</t>
  </si>
  <si>
    <t>投诉人 李先生        投诉对象  艺龙,58同城        涉诉金额  492 元    问题类型    诉求类型投诉详情  微信订的票，为什么就通过微信退不了？需要去车站。这样合理吗？如果是这样为什么订票没有提示？这不是霸王条款是什么</t>
  </si>
  <si>
    <t>天猫恶意损害消费者权益</t>
  </si>
  <si>
    <t>http://ts.21cn.com/tousu/show/id/1371072</t>
  </si>
  <si>
    <t>2019/10/18 11:38:46</t>
  </si>
  <si>
    <t>11号在天猫买了沐浴露，18号了仍未发货，联系天猫客服竟然说我账户交易有风险让我退款，问他什么风险让我去体检中心查，结果本人检查一切正常，天猫就是拒不发货，还恶意说是我帐户交易风险，却又说不出来原由，要求发货，赔偿及对天猫商家处罚。</t>
  </si>
  <si>
    <t>网贷平台恶意催收</t>
  </si>
  <si>
    <t>http://ts.21cn.com/tousu/show/id/1371070</t>
  </si>
  <si>
    <t>2019/10/18 11:38:31</t>
  </si>
  <si>
    <t>逾期第一天，未经本人允许，私自盗取通讯录，对通讯录联系人恶意骚扰，态度恶劣，造成严重影响。</t>
  </si>
  <si>
    <t>乱扣费会员智商费99元</t>
  </si>
  <si>
    <t>http://ts.21cn.com/tousu/show/id/1371069</t>
  </si>
  <si>
    <t>2019/10/18 11:38:26</t>
  </si>
  <si>
    <t>投诉人 丁先生        投诉对象  优享分期        涉诉金额  99 元    问题类型    诉求类型投诉详情  优享钱包 贷款中介 99元会员费一个月 各种套路贷 不给予退换会员费 我要求立刻退回我的99元</t>
  </si>
  <si>
    <t>http://ts.21cn.com/tousu/show/id/1371068</t>
  </si>
  <si>
    <t>2019/10/18 11:37:48</t>
  </si>
  <si>
    <t>暴力催收，逾期3天，已承诺下周还款，威胁恐吓家人及工司，造成家人无法正常生活，公司要开除。</t>
  </si>
  <si>
    <t>我来贷高利贷高额服务费</t>
  </si>
  <si>
    <t>http://ts.21cn.com/tousu/show/id/1371067</t>
  </si>
  <si>
    <t>2019/10/18 11:37:13</t>
  </si>
  <si>
    <t>本人于2019年3月18日在我来贷借款17000元，分12期还款，每月还款1900+，本月实在无法凑齐还款金额，希望贵司协商下月账单日二期一起还，第二笔希望协商下月结清，如果不能协商本人就无法再还款，家里人已经闹掰了我知道不还款会暴力催收，只要我通讯录被打我工作就会丢了，但是我如果联系人被打电话我无法再还一分钱，每天都是水深火热。</t>
  </si>
  <si>
    <t>招联金融使用软暴力进行恐吓家人</t>
  </si>
  <si>
    <t>http://ts.21cn.com/tousu/show/id/1371066</t>
  </si>
  <si>
    <t>2019/10/18 11:37:03</t>
  </si>
  <si>
    <t>本人于2016年接触招联金融借款，之前一直是按期还款，由于个人原因导致逾期一天还款后无法使用，下期账单到期后由于周转不开导致逾期逾期后招联金融开始轰炸导致本人失业！如今更是变本加厉在没有联系我本人的情况下直接群发短信给我的亲朋好友威胁恐吓并且冒充公检法部门发出警号和法院口吻的短信恐吓本人！难道整个的公司就可以无法无天了吗。</t>
  </si>
  <si>
    <t>聚福钱包乱扣我299</t>
  </si>
  <si>
    <t>http://ts.21cn.com/tousu/show/id/1371051</t>
  </si>
  <si>
    <t>2019/10/18 11:36:23</t>
  </si>
  <si>
    <t>投诉人李先生投诉对象聚福钱包涉诉金额299元问题类型诉求类型投诉详情突然从我卡里扣了299，要求你们把钱退给我，你们这是这种行为是什么，没有放款还扣钱，。</t>
  </si>
  <si>
    <t>维信卡卡贷高利贷恶意扣款</t>
  </si>
  <si>
    <t>http://ts.21cn.com/tousu/show/id/1371065</t>
  </si>
  <si>
    <t>2019/10/18 11:35:58</t>
  </si>
  <si>
    <t>本人于2019年2月20日在维信卡卡贷借款一笔由中金支付转账到账，卡卡贷平台存在高额利息贷、恶意扣款、恶意催收等不良现象本人无法忍受个人权益和隐私继续受到侵害，希望一次性提前结清剩余本金后卡卡贷开具结清证明。</t>
  </si>
  <si>
    <t>快闪卡贷砍头息高利息</t>
  </si>
  <si>
    <t>http://ts.21cn.com/tousu/show/id/1371064</t>
  </si>
  <si>
    <t>2019/10/18 11:35:47</t>
  </si>
  <si>
    <t>本人由于资金周转申请了快闪卡贷，申请12000到账10100，而且还是本人光大银行卡的互转，我从没有办理光大银行的卡，还款却是代理代扣，我现在怀疑光大和快闪卡贷合作放高利贷，目前已经还了本金9600多，协商24利息及本金无果，催收态度强硬。</t>
  </si>
  <si>
    <t>深圳市有信网络技术有限公司恶意循环扣费</t>
  </si>
  <si>
    <t>http://ts.21cn.com/tousu/show/id/1371063</t>
  </si>
  <si>
    <t>2019/10/18 11:35:39</t>
  </si>
  <si>
    <t>微信支付官方已经审核投诉成功，确定是商家恶意扣费，腾讯已经对商家微信支付功能限制，商家拒绝退款。</t>
  </si>
  <si>
    <t>没有还款提醒短信</t>
  </si>
  <si>
    <t>http://ts.21cn.com/tousu/show/id/1371061</t>
  </si>
  <si>
    <t>2019/10/18 11:34:55</t>
  </si>
  <si>
    <t>到期后没有还款提醒短信，逾期罚款太高，以前都有短信提醒的。</t>
  </si>
  <si>
    <t>云南寓小七长沙分公司，使用房东个人资料进行网络借贷</t>
  </si>
  <si>
    <t>http://ts.21cn.com/tousu/show/id/1370962</t>
  </si>
  <si>
    <t>2019/10/18 11:34:53</t>
  </si>
  <si>
    <t>已公司要放款为名骗取手机短信验证码在本人不知情的情况下，进行网络借贷，4万5千6百元涉案金额巨大，请长沙市，还不知情业主，云南寓小七湖南分公司已构成欺诈行为，这不仅仅是一个出租房屋的问题了，这已经牵扯到债务名誉，以及个人征信问题，请长沙有与云南寓小七湖南分公司合作的业主引起重视，现云南寓小七湖南分公司已改名深圳齐寓公司。</t>
  </si>
  <si>
    <t>网贷到手2500，已还1300，现在催收要求还2305。怎么解决</t>
  </si>
  <si>
    <t>http://ts.21cn.com/tousu/show/id/1371060</t>
  </si>
  <si>
    <t>2019/10/18 11:34:43</t>
  </si>
  <si>
    <t>有余粮到手大概2500左右，期间已还1300左右，还需还1200，现催收要求还款2305。</t>
  </si>
  <si>
    <t>http://ts.21cn.com/tousu/show/id/1371059</t>
  </si>
  <si>
    <t>没有验证码，直接进行扣款，乱收费，骗子公司。</t>
  </si>
  <si>
    <t>威胁恐吓态度恶劣</t>
  </si>
  <si>
    <t>http://ts.21cn.com/tousu/show/id/1371057</t>
  </si>
  <si>
    <t>2019/10/18 11:34:28</t>
  </si>
  <si>
    <t>本人之前遭遇被朋友欺诈，资金断裂逾期花呗！逾期时间是有点久但也一直和对方沟通！之前因为拿到一部分钱处理了银行各方面欠款！后与家人商量决定这个月月底处理花呗，今天支付宝第三方催收电话态度恶劣在我说了月底能彻底处理欠款，还瞎逼逼说处理不了怎么办，搞笑处理不了怎么办那你们走法律程序！反问我怎么办，你一个第三方催收有什么资格威胁我！还说我态度强硬在我已经说了月底处理你还态度恶劣，还说就是不给我到月底还款！那就走法律程序办事再骚扰威胁银监会投诉报警！一个大平台还用这种低素质的人做催收恶心。</t>
  </si>
  <si>
    <t>高利贷并且暴力催收，该如何解决</t>
  </si>
  <si>
    <t>http://ts.21cn.com/tousu/show/id/1371058</t>
  </si>
  <si>
    <t>2019/10/18 11:34:13</t>
  </si>
  <si>
    <t>与2019年8月16日钱伴借款9000元，在九月份已还款1734元，剩余应还7266元，因为该平台利息服务费用我还不上，当时借钱的合同根本没有看到一次性还款还要多收一千，在昨天与催收进行一天的协商，客服态度恶劣，昨天的通话记录已录音，催收发的微信聊天记录都在，今早收到恐吓短信！我是一直在要求想要还款，没想到竟然暴力催收，该平台如不道歉，今日内调整利率，我拒绝还款，保存所有证据，并接受你们的暴力催收，法律处理这个事情。</t>
  </si>
  <si>
    <t>被威胁被骚扰</t>
  </si>
  <si>
    <t>http://ts.21cn.com/tousu/show/id/1371056</t>
  </si>
  <si>
    <t>2019/10/18 11:34:07</t>
  </si>
  <si>
    <t>投诉人 于女士        投诉对象  你我贷        涉诉金额  5 000 元    问题类型    诉求类型投诉详情  现在这人暴力催收，打电话骚扰我爸妈。说我怀孕被甩了。天天骚扰，父母年纪大了，请不要这样</t>
  </si>
  <si>
    <t>苏宁任性付非法催收</t>
  </si>
  <si>
    <t>http://ts.21cn.com/tousu/show/id/1371053</t>
  </si>
  <si>
    <t>2019/10/18 11:33:56</t>
  </si>
  <si>
    <t>苏宁任性付催收部门违法暴力催收，态度恶劣！电话短信骂人，后面又打电话侮辱父母！信息截图，电话录音本人都有！苏宁催收都是这样催收的，178******31/137******72当事人电话，请核实！。</t>
  </si>
  <si>
    <t>骚扰家人，乱发虚假律师信</t>
  </si>
  <si>
    <t>http://ts.21cn.com/tousu/show/id/1371054</t>
  </si>
  <si>
    <t>2019/10/18 11:33:48</t>
  </si>
  <si>
    <t>发虚假律师信，还恶意骚扰我家人，不是紧急联系人，律师短信群发给各个亲戚，我是欠了多少钱，还是咋了，我之前一直按时还的吧，有个月我资金紧张还不了，一星期不到骚扰我得所有家人，我很无语，我之前解释了，你们缺这样做，我肯定不会那么容易还得，但一定还，这钱我借的就得还，只是催收有个度，现在又搞了什么律师短信群发家人朋友，我现在给搞得没法赚钱，还是你跟什么催收合作，麻烦给我催收人员得公司名，催收人员得工号，我要问下他们合法吗。</t>
  </si>
  <si>
    <t>乱打通讯录电话</t>
  </si>
  <si>
    <t>http://ts.21cn.com/tousu/show/id/1371052</t>
  </si>
  <si>
    <t>2019/10/18 11:33:36</t>
  </si>
  <si>
    <t>乱打通讯录里的联系人电话，还恐吓，要求马上道歉。</t>
  </si>
  <si>
    <t>http://ts.21cn.com/tousu/show/id/1371049</t>
  </si>
  <si>
    <t>2019/10/18 11:33:18</t>
  </si>
  <si>
    <t>投诉人 莫先生        投诉对象  万达贷        涉诉金额  5 000 元    问题类型    诉求类型投诉详情  电话恶意骚扰恶言恶语，爆通讯录。非法上门催收。</t>
  </si>
  <si>
    <t>阳光保险贷款软暴力催收威胁</t>
  </si>
  <si>
    <t>http://ts.21cn.com/tousu/show/id/1371050</t>
  </si>
  <si>
    <t>已经告知他们要求的今天下午三点无法凑到钱还款，并承诺本周三还款，还一再要求提供我孩子的名字说完核对孩子的信息，不让她上学，什么立马停水停电！沟通期间一直误导我承认有收入不还款，还说骗贷！我的贷款9月28号到期，非要说已经逾期两个月！到期当天仅有的200转给工作人员扣除了，期间没有凑到款，希望他们多给点时间却一直咄咄逼人，还拿孩子威胁！。</t>
  </si>
  <si>
    <t>魅族手机摄像头进灰，客服推脱责任</t>
  </si>
  <si>
    <t>http://ts.21cn.com/tousu/show/id/1371048</t>
  </si>
  <si>
    <t>2019/10/18 11:33:14</t>
  </si>
  <si>
    <t>手机买了十多天就摄像头进灰了，魅族说不是手机出厂的质量问题，这个手机没有问题它会进灰吗，现在我需要申请换货或者退货，你们一直让我去拆机维修，你们产品有问题让消费者来承担拆机损失吗，才买十几天就要拆机维修，连个道歉和补偿都没有，客服都是请的什么人。</t>
  </si>
  <si>
    <t>处处软件涉嫌引导诱惑消费者消费</t>
  </si>
  <si>
    <t>http://ts.21cn.com/tousu/show/id/1371047</t>
  </si>
  <si>
    <t>2019/10/18 11:33:02</t>
  </si>
  <si>
    <t>竟在此app上连续扣除本人支付宝金额两次99元。</t>
  </si>
  <si>
    <t>http://ts.21cn.com/tousu/show/id/1371046</t>
  </si>
  <si>
    <t>2019/10/18 11:32:22</t>
  </si>
  <si>
    <t>马上金融借款6000逸还款一半，现由于周转问题选择延期，选择好了之后发现状态任然是逾期沟通客户后客户说明延期后两月不是当期的，当时APP上并没有显示和说明，现在不停的打电话来骚扰恐吓家里人和朋友并且威胁上门，这是要将黑社会进行到底的节奏吗。</t>
  </si>
  <si>
    <t>YY信用暴力催收</t>
  </si>
  <si>
    <t>http://ts.21cn.com/tousu/show/id/1371045</t>
  </si>
  <si>
    <t>2019/10/18 11:31:57</t>
  </si>
  <si>
    <t>忘记还了1天就威胁我，态度太恶劣了，这种公司太垃圾了。</t>
  </si>
  <si>
    <t>微信交友</t>
  </si>
  <si>
    <t>http://ts.21cn.com/tousu/show/id/1370060</t>
  </si>
  <si>
    <t>2019/10/18 11:31:44</t>
  </si>
  <si>
    <t>以见面的理由骗钱，前后一起被骗1200多元说在江西省上饶市步行街途客中国酒店楼下见面，现在对方账号已被封号&amp;amp;nbsp;还有200元转账是24小时延时到账已到对方账号。</t>
  </si>
  <si>
    <t>http://ts.21cn.com/tousu/show/id/1371043</t>
  </si>
  <si>
    <t>2019/10/18 11:31:42</t>
  </si>
  <si>
    <t>在百度有钱花借款16500.已经还款9700.还需要还款17368.请问你们的利率是多高，严重超出国家法律法规！并且你们的第三方北京宜信暴力催收！态度恶劣！我已经报警处理！并且根据警方算得利率在41.7！严重超出国家的24！宜信暴力催收以及恐吓我都有录音为证！并且提交警方以及你们公司驻地金融管理局！我必须要一个合理的解释！。</t>
  </si>
  <si>
    <t>http://ts.21cn.com/tousu/show/id/1371044</t>
  </si>
  <si>
    <t>2019/10/18 11:31:34</t>
  </si>
  <si>
    <t>盗取用户个人隐私，骚扰通讯录无关人员逼迫借款人偿还高息贷款。</t>
  </si>
  <si>
    <t>月光侠分期app打不开不能还款</t>
  </si>
  <si>
    <t>http://ts.21cn.com/tousu/show/id/1371042</t>
  </si>
  <si>
    <t>2019/10/18 11:30:28</t>
  </si>
  <si>
    <t>9月在月光侠分期app上借款，到帐2600，未显示分期账单详情，如今快到还款日，app打不开无法主动还款，会导致逾期影响征信，麻烦处理，微信公众号只能联系在线客服，要求提供姓名手机和额度，告知需给公司对公帐号打款，只能一次性还款，总额为3013.6，无法核实真假。</t>
  </si>
  <si>
    <t>暴力催收，</t>
  </si>
  <si>
    <t>http://ts.21cn.com/tousu/show/id/1371041</t>
  </si>
  <si>
    <t>2019/10/18 11:30:26</t>
  </si>
  <si>
    <t>没给我本人打电话的情况下疯狂轰炸我通讯录，下班后得知催收还辱骂我家里人。</t>
  </si>
  <si>
    <t>北京月租宝科技有限公司退还套路贷砍头息</t>
  </si>
  <si>
    <t>http://ts.21cn.com/tousu/show/id/1371040</t>
  </si>
  <si>
    <t>2019/10/18 11:30:00</t>
  </si>
  <si>
    <t>北京月租宝科技有限公司利用其51短期贷等app违法经营套路贷，本人本就穷途末路，选择网络小贷，高额离谱的砍头息让我走上以贷养贷的不归路，倾家荡产生活困苦精神崩溃。</t>
  </si>
  <si>
    <t>小狮子趣花分期高利贷</t>
  </si>
  <si>
    <t>http://ts.21cn.com/tousu/show/id/1371039</t>
  </si>
  <si>
    <t>2019/10/18 11:29:52</t>
  </si>
  <si>
    <t>本人于10月13号在趣花分期提供的下载渠道中下载小狮子。</t>
  </si>
  <si>
    <t>及贷高利贷暴力催收辱骂通讯录电话</t>
  </si>
  <si>
    <t>http://ts.21cn.com/tousu/show/id/1371038</t>
  </si>
  <si>
    <t>2019/10/18 11:29:23</t>
  </si>
  <si>
    <t>及贷高利息百分之38，我已经按当地法院支持利息全部还清。</t>
  </si>
  <si>
    <t>滴滴服务分问题</t>
  </si>
  <si>
    <t>http://ts.21cn.com/tousu/show/id/1371036</t>
  </si>
  <si>
    <t>2019/10/18 11:29:01</t>
  </si>
  <si>
    <t>我的滴滴账号注册1000多天了，是在保定市注册的，口碑值是106分，我变更了地址，变更到北京市，第一天是80服务分，过了一天服务分就变成了50分，也没有接单，也没有差评，给滴滴客服打电话，滴滴客服表示不能处理，希望在这里能给我解决这个问题，我联系电话166******26。</t>
  </si>
  <si>
    <t>淘宝店铺购买了假的博朗耳温枪，卖家不予退货</t>
  </si>
  <si>
    <t>http://ts.21cn.com/tousu/show/id/1371037</t>
  </si>
  <si>
    <t>2019/10/18 11:29:00</t>
  </si>
  <si>
    <t>体温计与实际真实温度相差巨大，4/9/19下单的，当时收到货相信店家的销售量虽然有0点几度的温度差，但当时也没有在线，就确认收货了，过了一个月，有次女儿晚上发烧，测量温度相差巨大，发烧美林要求是38.5以上可以服用，但这款产品温度只有37度多，相差整整一度，给自己量温度只有35.7这样，开始怀疑产品的真假，联系商家，商家说超过7天无理由，不予处理，后来说让我寄回可以检查下，我寄回后过了很久联系他们，他们才发了一个新的给我，可是新的体温计跟之前是一样，依旧不准！我要求商家退货，并在评价中写出我这段真实情况，商</t>
  </si>
  <si>
    <t>麦子金服白领贷利率过高超过国家标准36%</t>
  </si>
  <si>
    <t>http://ts.21cn.com/tousu/show/id/1371035</t>
  </si>
  <si>
    <t>2019/10/18 11:28:47</t>
  </si>
  <si>
    <t>本人18年4月在麦子金服白领贷借款6万元，分期36期，目前已还18期，其中前七期每月需还3640.72，后29期每月需还2740.72，总需还款104945.04。</t>
  </si>
  <si>
    <t>http://ts.21cn.com/tousu/show/id/1371033</t>
  </si>
  <si>
    <t>2019/10/18 11:28:37</t>
  </si>
  <si>
    <t>借款时没有显示每月还款金额及还款计划表，跟他们客服拿借款协议，他们不仅不提供，说借款时有提示，但这笔放款当初是直接进账的，跟他们协商全部还款，他们要求我按APP全部归还，不允许提前结清，也就是38113.98元，实际到账32300分了六期，现在刚到第二期我协商提前还款需连本带利还38113.98，而且这个利息也是不符合法律法规，这种情况应该怎么解决。</t>
  </si>
  <si>
    <t>扣费不明</t>
  </si>
  <si>
    <t>http://ts.21cn.com/tousu/show/id/1371030</t>
  </si>
  <si>
    <t>2019/10/18 11:28:32</t>
  </si>
  <si>
    <t>本人收到宝付支付信息扣费89元，商户是唯品会，订单号，4532990686,本人没有消费,怎么会扣费呢。</t>
  </si>
  <si>
    <t>小花钱包爆力摧收</t>
  </si>
  <si>
    <t>http://ts.21cn.com/tousu/show/id/1371029</t>
  </si>
  <si>
    <t>2019/10/18 11:28:10</t>
  </si>
  <si>
    <t>投诉人 刘女士        投诉对象  小花钱包        涉诉金额  540 元    问题类型    诉求类型投诉详情  恐吓，人身攻击，要群发摧收信息，态度恶劣</t>
  </si>
  <si>
    <t>已经无力偿还，协商早日解决，停止骚扰</t>
  </si>
  <si>
    <t>http://ts.21cn.com/tousu/show/id/1371028</t>
  </si>
  <si>
    <t>2019/10/18 11:27:47</t>
  </si>
  <si>
    <t>之前我也说过我的问题，在这里我就不重复了，借贵公司4600，一年期，现在已经还9期大概4800多，本人现在实属没能力偿还了，本金早已经还清恳请贵公司谅解，请停止无休止的骚扰。</t>
  </si>
  <si>
    <t>高利贷，高额违约金</t>
  </si>
  <si>
    <t>http://ts.21cn.com/tousu/show/id/1371026</t>
  </si>
  <si>
    <t>2019/10/18 11:26:55</t>
  </si>
  <si>
    <t>因本人多方借贷，现家人到处借钱，想提前把网贷结清，但是高额的违约金实在接受不了，也没有能力接受，本人有强烈还款意愿，请减免高额违约金。</t>
  </si>
  <si>
    <t>腾讯VIP会员自动续费提前扣款不给停止</t>
  </si>
  <si>
    <t>http://ts.21cn.com/tousu/show/id/1371025</t>
  </si>
  <si>
    <t>2019/10/18 11:26:49</t>
  </si>
  <si>
    <t>腾讯视频VIP，微信关注公众号享受3天免费体验，当时提醒是说提前一天会发起扣费，当时是16日晚上六点后关注体验，我理解为18日晚上六点前发起停止续费即可，结果上午腾讯直接扣款，扣款时就第一时间联系腾讯要求退费，我不需腾讯视频VIP，腾讯表示提前扣款的就必须使用，不做退费，请各位后期注意腾讯视频的坑，一个客户一个月坑15元，1000万个客户一个月就赚飞了。</t>
  </si>
  <si>
    <t>欠债还钱天经地义拒绝暴力催收！爆通信录是违法的！</t>
  </si>
  <si>
    <t>http://ts.21cn.com/tousu/show/id/1371027</t>
  </si>
  <si>
    <t>2019/10/18 11:26:44</t>
  </si>
  <si>
    <t>招联金融,360借条,平安普惠,还呗,网商贷,有钱花，1、我以下所说仅仅是这么多个平台的第三方催收，可能与平台本身关系不大但也不是没有关系！欠债还钱天经地义，请不要骚扰我的父母亲戚朋友，我是独立民事行为人，债务是个人的事，坚决拒绝催收人员，通过外围施压催收，不要让他们找你身边人作为第三方去催收，我不存在诈欺行为，贷款时没有虚构事实，是经过正规审批办下来的，不存在欺诈行为！这样做在您的立场是好事，以为这样可以拿回钱然后您就顺理成章拿提成，但是这是针对老赖的行为，我不是老赖，老赖是要经过法院执行拒不履行才会成为</t>
  </si>
  <si>
    <t>美团</t>
  </si>
  <si>
    <t>http://ts.21cn.com/tousu/show/id/1371024</t>
  </si>
  <si>
    <t>2019/10/18 11:26:42</t>
  </si>
  <si>
    <t>因为预期欠款，对方打电话过来，告诉我不还款就怎样怎样，我因没发工资暂时还不上，要求协商一下，对方告诉我不协商，我问她是什么人员，她说我觉得她是什么就是什么，还威胁我，还说要给我的紧急联系人之外的人打电话，我问她是怎么知道我紧急联系人之外的号码的，她说不知道，不清楚，反正就是知道，非法窃取我通讯录好友，态度还非常恶劣，威胁恐吓，全部都用了，还是个女的，如果我家人朋友收到了威胁，那不好意思，你们告我吧，我等着，不仅这样，我还会要求赔偿，钱我会还，精神损失费可就不是我一个人的了，还告诉我她的工号是110。</t>
  </si>
  <si>
    <t>信用管家客服电话打不通</t>
  </si>
  <si>
    <t>http://ts.21cn.com/tousu/show/id/1371023</t>
  </si>
  <si>
    <t>2019/10/18 11:26:39</t>
  </si>
  <si>
    <t>投诉人马一北投诉对象信用管家涉诉金额7000元问题类型诉求类型投诉详情拨打信用管家客服无人接听，协商91买呗还款，要求信用管家回复协商还款。</t>
  </si>
  <si>
    <t>http://ts.21cn.com/tousu/show/id/1370953</t>
  </si>
  <si>
    <t>2019/10/18 11:26:32</t>
  </si>
  <si>
    <t>本人于2017年9月8日申请了捷信金融公司消费贷16000元，分期30个月，每月1036.3元，截止到2019年6月已归还19期费用本金加利息合计两万元，后面申请提前还款该公司表示需偿还一万元结清合同，这不是变相的套路高利贷吗，案件打包给第三方催收，对本人进行恐吓，骚扰家人，希望贵公司撤销征信问题，结清本人合同，后面实无力还款，前母亲发生重大烧伤，属低保户，生活不能自理，无固定收入，望相关执法部门调查捷信金融公司贷款是否合法，别让更多的贷款人受到伤害，给受害者公平公正的判决，要求捷信金融公司给出合理的解释！</t>
  </si>
  <si>
    <t>快捷通支付违规为高炮提供放款通道</t>
  </si>
  <si>
    <t>http://ts.21cn.com/tousu/show/id/1370854</t>
  </si>
  <si>
    <t>2019/10/18 11:26:24</t>
  </si>
  <si>
    <t>投诉人宋先生投诉对象快捷通支付,菜鸟有钱,想有钱涉诉金额9093元问题类型诉求类型投诉详情本人于8月份由于母亲心脏病住院资金周转不开所以通过链接下载了菜鸟有钱，，下款1275元，隔天就要还1593元，到期当天就有催收人员打来电话威胁不还款就爆通讯录，无奈本人只能续期318.75元，3天其实还是两天，由于多次续期资金实在周转不开，只能又通过链接下载了他们同系列的想有钱，，速赢分期，金胜分期，信任分期，金宝盆，都是到账1100隔天还1500，都是快捷通支付放的款，还款通道也是快捷通支付由于本人现在经济实在困难，</t>
  </si>
  <si>
    <t>工商银行暴力催收，辱骂持卡人</t>
  </si>
  <si>
    <t>http://ts.21cn.com/tousu/show/id/1371022</t>
  </si>
  <si>
    <t>2019/10/18 11:25:42</t>
  </si>
  <si>
    <t>10月初，我致电给工商银行客服，主动说明情况，逾期问题，工商银行的答复我也很满意，但是今天我接到了工商银行的电话，对方自称是工商银行哈尔滨信用卡中心的工作人员，当我问他工号的时候，突然就破口大骂，语气及其恶劣，骂的特别特别难听，我都有录音了！此行为已经违反了《宪法》第38条，公民人格尊严不受侵犯，禁止用任何方法对公民进行侮辱、诽谤、诬告陷害，我是欠钱，但我也没逃避，也在还款中，对方凭什么辱骂我。</t>
  </si>
  <si>
    <t>交易猫客服不理人</t>
  </si>
  <si>
    <t>http://ts.21cn.com/tousu/show/id/1371020</t>
  </si>
  <si>
    <t>2019/10/18 11:24:47</t>
  </si>
  <si>
    <t>在交易猫买了个网易手机账号，游戏一梦江湖，换绑24小时之后，我登上去之后发现没有角色，这是最近这几天我在交易猫上买的第二个登上去没有角色的网易手机账号了，这个账号600上一个账号700总金额1300了，申请仲裁客服一直不给回复不给处理，我随时有时间，可以随时登我手机账号验证，确实没角色，这已经不是第一次了，能不能快点给处理一下看看什么情况，我花这么多钱买的账号登上去没角色。</t>
  </si>
  <si>
    <t>尚德机构霸王条款，不退费</t>
  </si>
  <si>
    <t>http://ts.21cn.com/tousu/show/id/1371021</t>
  </si>
  <si>
    <t>2019/10/18 11:24:45</t>
  </si>
  <si>
    <t>没时间学习，申请售后退费，打电话告诉我不能退费，态度恶劣，霸王条款。</t>
  </si>
  <si>
    <t>http://ts.21cn.com/tousu/show/id/1371019</t>
  </si>
  <si>
    <t>2019/10/18 11:24:32</t>
  </si>
  <si>
    <t>投诉人 李先生        投诉对象  捷信金融        涉诉金额  32 000 元    问题类型    诉求类型投诉详情  我在捷信办理贷款32000元 分33期还 每月还1900 现在已经还了24期一共46000元 还需要还9期 我现在没有能力还了 也已经还够本金加国家规定利息了 捷信每天电话骚扰 爆我通讯录 态度很不好 希望国家和有关部门出面管理</t>
  </si>
  <si>
    <t>协商</t>
  </si>
  <si>
    <t>http://ts.21cn.com/tousu/show/id/1371018</t>
  </si>
  <si>
    <t>2019/10/18 11:24:19</t>
  </si>
  <si>
    <t>前期申请分12期，结果放款之后变成6期，借6000，还8219，前3期还款金额不合理,要求降低为12期平均金额,今天是还款日，未逾期，就开始给通讯录的联系人打电话，造成骚扰。</t>
  </si>
  <si>
    <t>http://ts.21cn.com/tousu/show/id/1371015</t>
  </si>
  <si>
    <t>2019/10/18 11:24:15</t>
  </si>
  <si>
    <t>申请多天没有结果，私自扣费购买个人风险自检评估报告。</t>
  </si>
  <si>
    <t>中信银行信用卡辱骂威胁家人还款</t>
  </si>
  <si>
    <t>http://ts.21cn.com/tousu/show/id/1371016</t>
  </si>
  <si>
    <t>2019/10/18 11:24:07</t>
  </si>
  <si>
    <t>中信银行信用卡第一方催收多次辱骂，骚扰父母，威胁恐吓他们还钱。</t>
  </si>
  <si>
    <t>华夏银行信用卡电话骚扰</t>
  </si>
  <si>
    <t>http://ts.21cn.com/tousu/show/id/1371014</t>
  </si>
  <si>
    <t>2019/10/18 11:23:39</t>
  </si>
  <si>
    <t>9月27日还款，我目前的工作，原计划是10号发工资处理欠款，但因公司方面原因，工资迟迟没发，华夏银行信用卡部连着十多天，一天多次并每次都是不同号码来电催我还款，我一直再说我尽快想办法处理欠款的，我非恶意欠款，但是华夏银行坚持每天三四个催收短信，两三次电话催收，对我的工作和生活造成了恶劣的影响，请有关部门介入调查，也请华夏银行有关部门停止对我的催收行为，我这边会尽快想办法处理欠款的。</t>
  </si>
  <si>
    <t>易办事无缘无故扣款</t>
  </si>
  <si>
    <t>http://ts.21cn.com/tousu/show/id/1371013</t>
  </si>
  <si>
    <t>2019/10/18 11:23:25</t>
  </si>
  <si>
    <t>投诉人薛先生投诉对象易办事涉诉金额25元问题类型诉求类型投诉详情早上起来发现银行卡有一笔扣款上了云闪付发现是易办事扣款。</t>
  </si>
  <si>
    <t>高利贷暴力催收恐吓威胁</t>
  </si>
  <si>
    <t>http://ts.21cn.com/tousu/show/id/1371012</t>
  </si>
  <si>
    <t>2019/10/18 11:22:52</t>
  </si>
  <si>
    <t>投诉人 赵明华女士        投诉对象  玖富万卡        涉诉金额  17 000 元    问题类型    诉求类型投诉详情  玖富万卡阴阳合同。暴力催收恐吓威胁借贷人。借9100要还17000典型的高利贷。伙同银行绑架征信。藐视法律。</t>
  </si>
  <si>
    <t>http://ts.21cn.com/tousu/show/id/1371011</t>
  </si>
  <si>
    <t>2019/10/18 11:22:45</t>
  </si>
  <si>
    <t>本人之前用过平安信用卡，23000的额度一下子降到3000。</t>
  </si>
  <si>
    <t>黄河农村商业银行不给开还款证明</t>
  </si>
  <si>
    <t>http://ts.21cn.com/tousu/show/id/1371008</t>
  </si>
  <si>
    <t>2019/10/18 11:21:59</t>
  </si>
  <si>
    <t>投诉人 胡先生        投诉对象  黄河农村商业银行        涉诉金额  1 400 元    问题类型    诉求类型投诉详情  一直拖延不给开还款证明，故意延迟，求解决</t>
  </si>
  <si>
    <t>贷上钱暴力催收态度恶劣严重影响我和家人朋友的正常生活</t>
  </si>
  <si>
    <t>http://ts.21cn.com/tousu/show/id/1371007</t>
  </si>
  <si>
    <t>2019/10/18 11:21:26</t>
  </si>
  <si>
    <t>投诉人 吕先生        投诉对象  贷上钱        涉诉金额  3 500 元    问题类型    诉求类型投诉详情  希望国家重视 严厉打击套路贷 害了多少人</t>
  </si>
  <si>
    <t>平安普惠骚扰联系人</t>
  </si>
  <si>
    <t>http://ts.21cn.com/tousu/show/id/1371005</t>
  </si>
  <si>
    <t>2019/10/18 11:20:25</t>
  </si>
  <si>
    <t>投诉人 冯女士        投诉对象  平安普惠        涉诉金额  1 550 元    问题类型    诉求类型投诉详情  凭什么通知我联系人。不能找我吗？天天骚扰联系人有意思吗？</t>
  </si>
  <si>
    <t>恶意催收，骚扰家人朋友</t>
  </si>
  <si>
    <t>http://ts.21cn.com/tousu/show/id/1371004</t>
  </si>
  <si>
    <t>2019/10/18 11:20:12</t>
  </si>
  <si>
    <t>每天都给我的亲戚朋友打电话骚扰，我岳父岳母都七八十岁了要是有个三长两短我就起诉你们。</t>
  </si>
  <si>
    <t>一期多次收款高息还贷</t>
  </si>
  <si>
    <t>http://ts.21cn.com/tousu/show/id/1371003</t>
  </si>
  <si>
    <t>2019/10/18 11:20:08</t>
  </si>
  <si>
    <t>投诉人何先生投诉对象马上消费金融涉诉金额2400元问题类型诉求类型投诉详情本人在无能力还款期间！之后在还款时间被马上消费金融公司.以各种理由收取高额利息！并且让本人一期多次还款本金与利息！！！实在是太坑了！！要求给予公平公正的答案！！。</t>
  </si>
  <si>
    <t>玖富万卡还是坚持它自己的想法，根本不理会我们的意见</t>
  </si>
  <si>
    <t>http://ts.21cn.com/tousu/show/id/1371001</t>
  </si>
  <si>
    <t>2019/10/18 11:18:39</t>
  </si>
  <si>
    <t>玖富根本不接受我提出的合理诉求，它说要还一部分，我还了两笔，有4000多块了，16600-4000.剩下来也就12000.一次性处理就好了，他们还是坚持他们自己的，根本不听们的合理方案。</t>
  </si>
  <si>
    <t>爱又米威胁恐吓</t>
  </si>
  <si>
    <t>http://ts.21cn.com/tousu/show/id/1371000</t>
  </si>
  <si>
    <t>2019/10/18 11:18:31</t>
  </si>
  <si>
    <t>借款两万，还三万，砍头息，如今还有这种高利贷机构猖狂。</t>
  </si>
  <si>
    <t>创客工具无缘无故放任商家给我打标</t>
  </si>
  <si>
    <t>http://ts.21cn.com/tousu/show/id/1370999</t>
  </si>
  <si>
    <t>2019/10/18 11:18:13</t>
  </si>
  <si>
    <t>并且询问创客工具相的客服、人家就说你骗了商家怎么样怎么样。</t>
  </si>
  <si>
    <t>http://ts.21cn.com/tousu/show/id/1370998</t>
  </si>
  <si>
    <t>2019/10/18 11:18:05</t>
  </si>
  <si>
    <t>网贷立借，我再其app上贷款6000元，然而他加了担保费与推荐费两项，严重违反国家相关借款规定。</t>
  </si>
  <si>
    <t>读秒超高利息</t>
  </si>
  <si>
    <t>http://ts.21cn.com/tousu/show/id/1370996</t>
  </si>
  <si>
    <t>2019/10/18 11:17:56</t>
  </si>
  <si>
    <t>借款30000元，一年利息达到10863.64。</t>
  </si>
  <si>
    <t>百事普惠恶意扣钱</t>
  </si>
  <si>
    <t>http://ts.21cn.com/tousu/show/id/1370997</t>
  </si>
  <si>
    <t>投诉人陈先生投诉对象百事普惠涉诉金额299元问题类型诉求类型投诉详情未用该平台产品。</t>
  </si>
  <si>
    <t>闪银至尊借款催收录音威胁联系人</t>
  </si>
  <si>
    <t>http://ts.21cn.com/tousu/show/id/1370995</t>
  </si>
  <si>
    <t>2019/10/18 11:17:45</t>
  </si>
  <si>
    <t>因为这个月资金周转问题未能及时还款，等到月底才有工资还款，催收打电话骚扰，要求录音并威胁联系通讯录与工作单位，还出言侮辱家人。</t>
  </si>
  <si>
    <t>小象优品</t>
  </si>
  <si>
    <t>http://ts.21cn.com/tousu/show/id/1370994</t>
  </si>
  <si>
    <t>2019/10/18 11:17:39</t>
  </si>
  <si>
    <t>每期都按时还款，本月出现一些问题，协商本月内结清，就电话威胁我！已经取证！如果该部门无法解决，我只能用死来解决！。</t>
  </si>
  <si>
    <t>白领贷扣服务费，变相砍头息，阴阳合同</t>
  </si>
  <si>
    <t>http://ts.21cn.com/tousu/show/id/1370993</t>
  </si>
  <si>
    <t>2019/10/18 11:17:38</t>
  </si>
  <si>
    <t>白领贷借六万到手四万八，三十六期还，每期还2260.67已还23期，一共已还51995元，等于已还清到手本金还多，现在还得还13期共将近3万，这什么利息，请给个合理答复，合理处理方法！！！！。</t>
  </si>
  <si>
    <t>新网银行和小米金融利罚息太高</t>
  </si>
  <si>
    <t>http://ts.21cn.com/tousu/show/id/1370992</t>
  </si>
  <si>
    <t>2019/10/18 11:17:34</t>
  </si>
  <si>
    <t>本人破产，欠的债务太多无法偿还，免除利罚息由亲戚朋友代还。</t>
  </si>
  <si>
    <t>提前还款高额违约金</t>
  </si>
  <si>
    <t>http://ts.21cn.com/tousu/show/id/1370991</t>
  </si>
  <si>
    <t>2019/10/18 11:17:15</t>
  </si>
  <si>
    <t>需提前还款，但是涉及高额违约金请求减免，客服态度不好，不予处理。</t>
  </si>
  <si>
    <t>http://ts.21cn.com/tousu/show/id/1370990</t>
  </si>
  <si>
    <t>2019/10/18 11:16:56</t>
  </si>
  <si>
    <t>玖富万卡，借款8000，要还10338.46多，真是个坑，每期都要费用分期，乱收费，目前工作丢失了，剩下2期不想还了，要求协商。</t>
  </si>
  <si>
    <t>马上金融安逸花退还不合理费用</t>
  </si>
  <si>
    <t>http://ts.21cn.com/tousu/show/id/1370989</t>
  </si>
  <si>
    <t>2019/10/18 11:16:21</t>
  </si>
  <si>
    <t>我2018年在马上金融安逸花借款3000，现在已经还清，但是还款金额不对，查看还款详情后发现多了灵活还款包费用和提前还款费用，这些在借款时并没有标注，我说不知情的，现在要求马上金融公司退还这部分不合理费用，希望以后马上金融公司对收费部分进行明确标注，这条信息本人已经投诉至国家信访局，希望马上金融公司重视。</t>
  </si>
  <si>
    <t>钱站催收恶意骚扰恐吓</t>
  </si>
  <si>
    <t>http://ts.21cn.com/tousu/show/id/1370988</t>
  </si>
  <si>
    <t>2019/10/18 11:16:17</t>
  </si>
  <si>
    <t>钱站的催收上次短信轰炸，这次直接短信威胁，我就闹不懂了，这才几天，催命啊天天的。</t>
  </si>
  <si>
    <t>米米罐变相收取超高利息，远超国家规定的年化率，要求协商还款金额，日期，提供结清证明，删除不良记录</t>
  </si>
  <si>
    <t>http://ts.21cn.com/tousu/show/id/1370986</t>
  </si>
  <si>
    <t>2019/10/18 11:15:41</t>
  </si>
  <si>
    <t>10月28日，米米罐平台APP显示10月27日为还款日，10月28日即已逾期1天，且本人申请2700元，到账2700元，但到期之后需还3739.84元，其中包括利息81元及征信报告费931元，该平台行为为变相收取超高利息，且年化率远超国家规定的36%的红线，本人在该平台贷款达15次，每次均有类似征信报告费等变相超高利息，现本人要求该平台与本人进行协商日期还款，提供结清证明，删除不良记录；。</t>
  </si>
  <si>
    <t>拼多多收取未知款项</t>
  </si>
  <si>
    <t>http://ts.21cn.com/tousu/show/id/1370987</t>
  </si>
  <si>
    <t>2019/10/18 11:15:30</t>
  </si>
  <si>
    <t>我家小孩向拼多多商家支付10000多元人民币，我拼多多平台也没有订单，也看不到买了什么东西！后来通过询问孩子得知他被网上的一个链接引入一个游戏平台，充值都是通过微信或支付宝支付到拼多多商户支付的，后来才知道是非法赌博平台，并对不能有效证明因客户原因导致的资金损失及时现行赔付，我挺信任拼多多的，对拼多多都是免密支付，谁想拼多多确成了违法者收钱的平台，望聚众领导为老百姓做主！。</t>
  </si>
  <si>
    <t>闪银违规收取服务费高利贷</t>
  </si>
  <si>
    <t>http://ts.21cn.com/tousu/show/id/1370985</t>
  </si>
  <si>
    <t>2019/10/18 11:15:17</t>
  </si>
  <si>
    <t>本人于2019年9月19在闪银至尊贷借款3230元，分三期还款每期1141.9元，9.22到期总还款要3090元现在本人因个人原因周转不开本月无法按时还款，至尊带和瞬瞬哼哼都存在砍头息，至尊还了99+355.3元，瞬瞬哼哼都是各提前还149元，到账后没几天就要还款不太懂是什么费用，但是我也都还了。</t>
  </si>
  <si>
    <t>爆力催收</t>
  </si>
  <si>
    <t>http://ts.21cn.com/tousu/show/id/1370983</t>
  </si>
  <si>
    <t>2019/10/18 11:14:47</t>
  </si>
  <si>
    <t>逾期我承认，不是你们快易花突然单方面终止合同，造成我资金压力，现已逾期，我也正在努力还款，你们每个电话我都有接，每天有钱也在尽快归还。</t>
  </si>
  <si>
    <t>浦发信用卡，扣款无扣款信息</t>
  </si>
  <si>
    <t>http://ts.21cn.com/tousu/show/id/1370984</t>
  </si>
  <si>
    <t>2019/10/18 11:14:42</t>
  </si>
  <si>
    <t>从今年的2月份开始每个月被扣35+20，而且无任何扣款信息，我要求有合理的解释，并且这笔费用干什么我都不知道。</t>
  </si>
  <si>
    <t>维信豆豆钱</t>
  </si>
  <si>
    <t>http://ts.21cn.com/tousu/show/id/1370982</t>
  </si>
  <si>
    <t>2019/10/18 11:14:39</t>
  </si>
  <si>
    <t>投诉人刘家先生投诉对象豆豆钱涉诉金额4000元问题类型诉求类型投诉详情维信豆豆钱暴利催收，侵犯我隐私，打爆我通讯录，侮辱我名誉，现已经影响到我的生活工作和家庭，我要求停止骚扰，并做出赔偿。</t>
  </si>
  <si>
    <t>注销如家酒店会员</t>
  </si>
  <si>
    <t>http://ts.21cn.com/tousu/show/id/1370979</t>
  </si>
  <si>
    <t>2019/10/18 11:14:11</t>
  </si>
  <si>
    <t>在如家酒店APP上咨询人工客服要求注销自己会员，客服8216态度差，明明是需要提交手持身份证照片才能注销还先问我身份信息，我就是因为你们如家酒店态度差才不想用，还客服都是这个服务态度差，请聚投诉平台给予曝光，维护我合法正当权益。</t>
  </si>
  <si>
    <t>被电信诈骗协商延期免息还款</t>
  </si>
  <si>
    <t>http://ts.21cn.com/tousu/show/id/1370978</t>
  </si>
  <si>
    <t>2019/10/18 11:14:09</t>
  </si>
  <si>
    <t>投诉人 叶女士        投诉对象  人人贷借款        涉诉金额  20 000 元    问题类型    诉求类型投诉详情  本人因为被电信诈骗 已经立案 目前还款困难 希望协商延期免息还款</t>
  </si>
  <si>
    <t>MerryU拒绝退款</t>
  </si>
  <si>
    <t>http://ts.21cn.com/tousu/show/id/1370980</t>
  </si>
  <si>
    <t>2019/10/18 11:14:07</t>
  </si>
  <si>
    <t>在2018年年，因觉得自己孤单所以在MerryU上交了定金两千多，2019年就付了剩余得款项，因为本人周末是比较忙，其他时候空余时间比较多，故让MerryU让其安排合适自己的时间，一开始他们不同意，后来说尽量争取，但是MerryU平台太小无法让我找到合适的，我的时间段无法跟MerryU配合。</t>
  </si>
  <si>
    <t>京东金融银行增仓活动奖励不符，涉嫌虚假宣传</t>
  </si>
  <si>
    <t>http://ts.21cn.com/tousu/show/id/1370981</t>
  </si>
  <si>
    <t>2019/10/18 11:14:06</t>
  </si>
  <si>
    <t>本人于2019/7/5日在京东金融银行+购买富多利产品4w，京东金融在2019年9月6日宣传银行增仓活动，我在活动日期截止前报名并增仓富多利5W，且至今未取回，根据活动规则应发放奖励38.8，但是京东金融只发18.8，联系在线客服反应问题且明确告知是9月增仓活动，客服仍推脱说5W是十月份买不在活动范围，接着说7月份购买也不在活动范围，客服明摆着不按活动规则进行解释，现投诉京东金融虚假宣传，要求道歉解释并赔偿损失。</t>
  </si>
  <si>
    <t>http://ts.21cn.com/tousu/show/id/1370977</t>
  </si>
  <si>
    <t>2019/10/18 11:14:04</t>
  </si>
  <si>
    <t>投诉人 吴女士        投诉对象  易宝支付        涉诉金额  99 元    问题类型    诉求类型投诉详情  恶意扣款 充值VIP 没经过允许 而且没有使用</t>
  </si>
  <si>
    <t>http://ts.21cn.com/tousu/show/id/1370976</t>
  </si>
  <si>
    <t>2019/10/18 11:13:50</t>
  </si>
  <si>
    <t>利息过高，有砍头息，要求协商不同意，态度强硬，一天就爆通讯录，提前结清，还收每期服务度。</t>
  </si>
  <si>
    <t>上海造艺科技乱扣费</t>
  </si>
  <si>
    <t>http://ts.21cn.com/tousu/show/id/1370975</t>
  </si>
  <si>
    <t>2019/10/18 11:13:47</t>
  </si>
  <si>
    <t>贷款未成功却扣款，强烈要求返还所扣金额，并道歉。</t>
  </si>
  <si>
    <t>捷信现金贷年利率超过24%，月利息3.1分</t>
  </si>
  <si>
    <t>http://ts.21cn.com/tousu/show/id/1370974</t>
  </si>
  <si>
    <t>2019/10/18 11:13:24</t>
  </si>
  <si>
    <t>本人于2017年7月在捷信借款17000元，分24期还款，每个月还款1241元，国家规定的利息年利率是不得超过24%，但捷信的年利率已经超过36%，远远超过国家要求，目前本人还剩2期没有处理，在国家利率允许范围内，该处理的已经处理完毕，现在还天天打电话催收，严重影响本人生活，现要求捷信立即停止骚扰，另外两期立即结案处理，并消除征信影响，超过国家年利率的部分金额退还本人。</t>
  </si>
  <si>
    <t>极速有钱高利贷</t>
  </si>
  <si>
    <t>http://ts.21cn.com/tousu/show/id/1370973</t>
  </si>
  <si>
    <t>2019/10/18 11:12:57</t>
  </si>
  <si>
    <t>投诉人 陈女士        投诉对象  极速有钱        涉诉金额  4 000 元    问题类型    诉求类型投诉详情  极速有钱借款4000，到账 2800。逾期340元一天，续期200一天。高利贷，我已经还完本金。希望该公司协商销账。扣款方快钱支付，</t>
  </si>
  <si>
    <t>强行扣保险</t>
  </si>
  <si>
    <t>http://ts.21cn.com/tousu/show/id/1370970</t>
  </si>
  <si>
    <t>2019/10/18 11:12:52</t>
  </si>
  <si>
    <t>我于2019年7月在豆豆钱借贷一笔钱，在同年同月豆豆钱在我银行卡里扣1199元，并发短信说扣的人身意外险，我觉得这笔款不合理，要求豆豆钱返还这笔钱！。</t>
  </si>
  <si>
    <t>砍头息，714高炮</t>
  </si>
  <si>
    <t>http://ts.21cn.com/tousu/show/id/1370972</t>
  </si>
  <si>
    <t>2019/10/18 11:12:42</t>
  </si>
  <si>
    <t>属于国家严打的714高炮，砍头息，在目前市场监管这么严格的情况下，它们还在顶风作案，希望有关部门处理，不然我也会向公安机关报案。</t>
  </si>
  <si>
    <t>国美易卡强行保留客户账户，不给注销</t>
  </si>
  <si>
    <t>http://ts.21cn.com/tousu/show/id/1370969</t>
  </si>
  <si>
    <t>2019/10/18 11:12:35</t>
  </si>
  <si>
    <t>国美易卡在贷款还清，没有再次使用的情况下，不予注销账户，强行保留客户账户不符合国家账户规定。</t>
  </si>
  <si>
    <t>注销账号联系不到客服</t>
  </si>
  <si>
    <t>http://ts.21cn.com/tousu/show/id/1370968</t>
  </si>
  <si>
    <t>2019/10/18 11:12:17</t>
  </si>
  <si>
    <t>投诉人 陆先生        投诉对象  联动云租车        涉诉金额  0 元    问题类型    诉求类型投诉详情  手机号停用，无法注销账号。联系不到人工客服。新手机号注册提示该证件已存在</t>
  </si>
  <si>
    <t>包商信用卡暴力催收</t>
  </si>
  <si>
    <t>http://ts.21cn.com/tousu/show/id/1370967</t>
  </si>
  <si>
    <t>2019/10/18 11:12:05</t>
  </si>
  <si>
    <t>态度太恶劣了，不停的打电话！一直打，严重影响我的生活，一分钟打5个！。</t>
  </si>
  <si>
    <t>闪掌柜违规收取砍头息</t>
  </si>
  <si>
    <t>http://ts.21cn.com/tousu/show/id/1370966</t>
  </si>
  <si>
    <t>2019/10/18 11:11:26</t>
  </si>
  <si>
    <t>3月23日至今，一共借款37次，每次借款平台方都要求支付担保费用，具体明细如下图，国家目前明令禁止贷款平台以任何方式向客户收取砍头息，你平台这种行为是不合法不合规，现本人诉求，退还所有收取的砍头息。</t>
  </si>
  <si>
    <t>注销账号和信息问题都无法解决</t>
  </si>
  <si>
    <t>http://ts.21cn.com/tousu/show/id/1370965</t>
  </si>
  <si>
    <t>2019/10/18 11:11:25</t>
  </si>
  <si>
    <t>本人使用智行APP多年，近期由于对软件进行更新，导致账号自动推出，原先绑定智行的手机号进行了销户，而智行APP登陆途径只有手机号＋验证码一种方式，现在导致原账号无法登陆，而原账号内绑定的12306用户信息没有办法进行删除，相关信息包括：之前的出行信息、原账号的会员/优惠券/积分，等都无法获取，拨打智行客服电话无法拨入人工客服，导致问题得不到任何解决，已经有很多用户投诉过相关问题，希望智行能重视相关后台建设，现希望①智行能将我原账号的以上相关信息迁移至现手机号账号内，让我在现账号内可同步查阅相关信息！这点很重</t>
  </si>
  <si>
    <t>人保财险联合玖富集团强制扣保险</t>
  </si>
  <si>
    <t>http://ts.21cn.com/tousu/show/id/1370964</t>
  </si>
  <si>
    <t>2019/10/18 11:11:19</t>
  </si>
  <si>
    <t>投诉没人处理，不明白保险为什么不能退，这是什么条款。</t>
  </si>
  <si>
    <t>还款了不销账</t>
  </si>
  <si>
    <t>http://ts.21cn.com/tousu/show/id/1370963</t>
  </si>
  <si>
    <t>2019/10/18 11:11:07</t>
  </si>
  <si>
    <t>我来贷，高额利息，逾期费用一天100，经协商还款，减去逾期费，然后我还款了，第二天催收人员又改口，又打电话来骚扰，还要补逾期费，出尔反尔，我会投入到银监会的。</t>
  </si>
  <si>
    <t>松紧贷高利贷砍头息</t>
  </si>
  <si>
    <t>http://ts.21cn.com/tousu/show/id/1370960</t>
  </si>
  <si>
    <t>2019/10/18 11:10:47</t>
  </si>
  <si>
    <t>本人在松紧贷平台借款22400，到账之后接着扣去了2400，每个月的偿还本金加利息与合同中明显不符！这个推荐服务费2400，请问给我推荐的什么，每个月还款还有一个服务费！现在还有最后一期未还，要求给我销账，用你们所谓的服务费给我抵消！要是敢爆我通讯录恐吓我，我将会报警处理！。</t>
  </si>
  <si>
    <t>美团生活费催款爆通讯录</t>
  </si>
  <si>
    <t>http://ts.21cn.com/tousu/show/id/1370961</t>
  </si>
  <si>
    <t>2019/10/18 11:10:46</t>
  </si>
  <si>
    <t>之前在美团生活费借了4000，美团催收打电话来，说好了那天晚上还，后来还一直爆通讯录，找到我公司的人电话一直骚扰他们，简直恶心至极。</t>
  </si>
  <si>
    <t>催收乱打电话</t>
  </si>
  <si>
    <t>http://ts.21cn.com/tousu/show/id/1370959</t>
  </si>
  <si>
    <t>2019/10/18 11:10:35</t>
  </si>
  <si>
    <t>而且这个问题已经跟招联金融的客服反应过四五遍了。</t>
  </si>
  <si>
    <t>拼多多商家商家导流量</t>
  </si>
  <si>
    <t>http://ts.21cn.com/tousu/show/id/1370957</t>
  </si>
  <si>
    <t>2019/10/18 11:10:12</t>
  </si>
  <si>
    <t>西部明珠会员卡虚假宣传诱导消费</t>
  </si>
  <si>
    <t>http://ts.21cn.com/tousu/show/id/1370956</t>
  </si>
  <si>
    <t>2019/10/18 11:09:09</t>
  </si>
  <si>
    <t>本人于2019年10月12号，过完安检在烟台蓬莱机场候机大厅遇到几个自称服务人员的人向我推销西部明珠会员卡，可以在别的平台查完价格再在他们这里预定！然后他们说的价格每个航班都会便宜70-300不等，交费1880还送1000机票劵，而且还可以在与西部明珠有协议的机场免费在休息厅休息，我觉得挺合适，就交了1880元办理了一张会员卡，但是我看协议上说的是只有烟台蓬莱机场与西部明珠公司有合作关系，本人在办理之后发现消费时与办卡人员说的并不相符，因时间仓促，再后来上网查询，全部都是关于西部明珠贵宾卡的欺诈信息，打电话</t>
  </si>
  <si>
    <t>和信贷恶意催收</t>
  </si>
  <si>
    <t>http://ts.21cn.com/tousu/show/id/1370955</t>
  </si>
  <si>
    <t>2019/10/18 11:09:05</t>
  </si>
  <si>
    <t>和信货雇佣黑社会恶意侮辱，谩骂本人及家人，语言极为下流。</t>
  </si>
  <si>
    <t>http://ts.21cn.com/tousu/show/id/1370954</t>
  </si>
  <si>
    <t>2019/10/18 11:08:45</t>
  </si>
  <si>
    <t>大早上就老打电话，打一个提醒也就算了，一天打几十个，我又没预期，说了还态度极差。</t>
  </si>
  <si>
    <t>华融消费无法还款导致逾期客服打不通</t>
  </si>
  <si>
    <t>http://ts.21cn.com/tousu/show/id/1370921</t>
  </si>
  <si>
    <t>2019/10/18 11:07:45</t>
  </si>
  <si>
    <t>投诉人王先生投诉对象华融消费金融涉诉金额4339元问题类型诉求类型投诉详情选不了开户行，导致无法还款，导致逾期。</t>
  </si>
  <si>
    <t>百万钱包协商</t>
  </si>
  <si>
    <t>http://ts.21cn.com/tousu/show/id/1370951</t>
  </si>
  <si>
    <t>2019/10/18 11:07:19</t>
  </si>
  <si>
    <t>8月17号申请了一比12000的借款，现在利息无力还清，想申请一次性提前还款，高额利息无力承担。</t>
  </si>
  <si>
    <t>钱站超高利息</t>
  </si>
  <si>
    <t>http://ts.21cn.com/tousu/show/id/1370935</t>
  </si>
  <si>
    <t>2019/10/18 11:07:00</t>
  </si>
  <si>
    <t>投诉人杨先生投诉对象钱站涉诉金额3369元问题类型诉求类型投诉详情我于2019年7月14日在钱站借款2000元，实际到账2000元整，当时没有提示我任何利息息相关的东西，只写低利息，当时系统自动将我欠款2000分成三期，每期还款1123元，一共还款3369元，三个月2000元借款利息居然达到1369元，我实在是无法接受，但我于10月14日已经将借款全部还清。</t>
  </si>
  <si>
    <t>好易贷app发放高利贷</t>
  </si>
  <si>
    <t>http://ts.21cn.com/tousu/show/id/1370950</t>
  </si>
  <si>
    <t>2019/10/18 11:06:58</t>
  </si>
  <si>
    <t>投诉人 徐先生        投诉对象  好易贷        涉诉金额  2 100 元    问题类型    诉求类型投诉详情  好易贷 发放高利贷 利息远超国家规定 无法承受！</t>
  </si>
  <si>
    <t>捷信金融真黑啊逼死人算了</t>
  </si>
  <si>
    <t>http://ts.21cn.com/tousu/show/id/1370949</t>
  </si>
  <si>
    <t>2019/10/18 11:06:50</t>
  </si>
  <si>
    <t>去年用捷信办分期业务，到快年底告诉我有一笔贷款7万，能把之前的还上还有5万的现金，着急用钱就贷了，至今一个月还2600还了14期，告诉我还有24期，着急用钱没有办法，办就办了，我最近这个月资金字周转不开逾期了，给我打电话我也解释了，没想到竟然告诉我要去我们老家说我骗钱不还，这么高的利息我也接受了，我也没说不还钱，晚个几天就要这样逼人吗。</t>
  </si>
  <si>
    <t>http://ts.21cn.com/tousu/show/id/1370948</t>
  </si>
  <si>
    <t>2019/10/18 11:06:36</t>
  </si>
  <si>
    <t>严重影响日常工作，要求恢复分期！祝他身体健康。</t>
  </si>
  <si>
    <t>淘宝客服包庇天猫，对延迟发货引起红包过期对消费者造成的损失不予处理</t>
  </si>
  <si>
    <t>http://ts.21cn.com/tousu/show/id/1370947</t>
  </si>
  <si>
    <t>2019/10/18 11:06:15</t>
  </si>
  <si>
    <t>9月30日下单，为孩子买书，商家一直拖到10月5日不发货，期间因为在外旅游，偶尔询问商家，商家也没有说无货，就说会催仓库发货，直到5日返家，详细询问，商家才说没有货，让我退货退款，此时我在别家下单已经来不及了，孩子国庆期间的作业没有完成，老师和孩子都在责怪我，这5天商家从未联系过我告知我无货，耽误我5天时间，一点抱歉的意思没有，一句退款啰就打发了，投诉至淘宝客服平台，客服说按淘宝规则，只能赔付订单金额的10%，最低5元，算是延迟发货的补偿金，而我在该订单中使用的5元红包，有效期只有3天，退款后已经过了有效期</t>
  </si>
  <si>
    <t>打不通客服电话沟通</t>
  </si>
  <si>
    <t>http://ts.21cn.com/tousu/show/id/1370827</t>
  </si>
  <si>
    <t>投诉人周女士投诉对象及贷涉诉金额15500元问题类型诉求类型投诉详情2019年5月19日于深圳万惠及贷app上借款15500元，每期偿还1610.51元，共12期，现已还4期，还需偿还12884.04元，由于本人工作辞职，无固定收入现申请协商将其延期或者再分期，恳请理解！。</t>
  </si>
  <si>
    <t>不符合报名条件，不退费</t>
  </si>
  <si>
    <t>http://ts.21cn.com/tousu/show/id/1370946</t>
  </si>
  <si>
    <t>2019/10/18 11:06:13</t>
  </si>
  <si>
    <t>18年12月，嗨学网通过头条推送广告，广告内容为：附件图片1，吸引我妻子填写信息，后嗨学网张老师通过填写l主动联系我妻子，像我妻子销售一级消防工程师考试课程，在得知我妻子工作单位及性质的条件下，仍然让我妻子以虚假手段报名，我得知后经平台举报，平台给予反馈说需要报名不成功后给予退费，今年9月16日在网上报名不成功后联系嗨学，仍然以各种条件不给退费。</t>
  </si>
  <si>
    <t>云闪付为违法赌博网站提供支付通道</t>
  </si>
  <si>
    <t>http://ts.21cn.com/tousu/show/id/1370944</t>
  </si>
  <si>
    <t>2019/10/18 11:06:01</t>
  </si>
  <si>
    <t>2019年9月初到9月底云闪付违规支持赌博平台搭建支付通道，造成本人资金损失，为了避免出现更多的受害者，本人恳请聚投诉平台进行干预，和支付清算协会沟通得知第三方支付业务应审核客户的关信息，第三方支付业务公司不得向证券，期货，博彩等机构提供支付结算业务，希望能退回损失金额通过中国人民银行，中国银联，和支付清算协会沟通得知，第三方支付业务应审核客户的关信息，第三方支付业务公司不得向证券，期货，博彩等机构提供支付结算业务，作为有牌照的支付公司没有履行国家结算通道的义务，即产生了非法洗钱的嫌疑，金融机构客户身份识别</t>
  </si>
  <si>
    <t>融360平台瑞丽随薪贷收取断头息，78元本金收取利息2314元暴力催收</t>
  </si>
  <si>
    <t>http://ts.21cn.com/tousu/show/id/1370945</t>
  </si>
  <si>
    <t>我在2018年6月20号在融360平台上推荐的瑞利随薪贷，申请了6500元贷款，还款期限为12个月，当时合同并没有写清利息会有这么多，我第一个月他们就让我必须固定还款2145元，第二个月让我固定还款2294.5元，第三个月让我固定还款2145元，仅仅贷款后这前三个月就已经让我还够本金6500了，剩下的9个月，每个月让我还266.5的利息，我有时候因为出差忘记还款，就一天逾期时间，就让我还416.5，多收150元高利！光9个月我就已经支付它们非法利息就要2515元，现在最后一期本金78元，我于2019年6月2</t>
  </si>
  <si>
    <t>网络赌博</t>
  </si>
  <si>
    <t>http://ts.21cn.com/tousu/show/id/1370896</t>
  </si>
  <si>
    <t>2019/10/18 11:05:29</t>
  </si>
  <si>
    <t>之前不小心进了666平台，然后有各种广告的诱惑，被骗进去，充了钱，一下子都没了。</t>
  </si>
  <si>
    <t>http://ts.21cn.com/tousu/show/id/1370942</t>
  </si>
  <si>
    <t>2019/10/18 11:05:17</t>
  </si>
  <si>
    <t>本人成功在牛人有品成功借款很多次，每次都会强制办会员砍头息，为期两期每一期是十五天，之前几期都是全额本金和利息还款，最后一期因为资金不够，逾期，每天还有高额逾期利息.期间还爆通讯录，已经收集资料准备报警。</t>
  </si>
  <si>
    <t>京东白条委托第三方催收，威胁恐吓，电话轰炸</t>
  </si>
  <si>
    <t>http://ts.21cn.com/tousu/show/id/1370943</t>
  </si>
  <si>
    <t>2019/10/18 11:05:11</t>
  </si>
  <si>
    <t>京东白条委托第三方催收公司，暴力催收，电话轮番轰炸本人及亲属，态度恶劣，威胁恐吓，人身安全受到严重威胁！被京东第三方催收公司已经骚扰到神经崩溃，已抑郁情绪，生无可恋投诉给95118京东金融客服，客服置之不理，任由这种暴力催收行为的肆意生长。</t>
  </si>
  <si>
    <t>阴阳合同、套路贷、违法违规暴力催收、侮辱人格，砍头息</t>
  </si>
  <si>
    <t>http://ts.21cn.com/tousu/show/id/1370941</t>
  </si>
  <si>
    <t>2019/10/18 11:05:03</t>
  </si>
  <si>
    <t>本人于2019年3月14日通过恒易贷APP申请借款，系统批核金额为9142.86元，合同金额为9142.86元，实际到账金额为8000元，此合同明显为阴阳合同；分12期等额本息还款，每期还款额为882.51元，合计应还款总额为10590.12元，按照国家央行的利率计算方式，综合年化率为55.25%，严重超出国家最高红线；催收在我还款没有逾期的前提下恶意骚扰，对我做人生攻击，威胁，对我的人格诋毁，我有通话录音为证，关于平台方恶意违规催收的问题在这之前我三次打恒昌官方95713投诉电话，但是问题依旧；此借款之前</t>
  </si>
  <si>
    <t>http://ts.21cn.com/tousu/show/id/1370939</t>
  </si>
  <si>
    <t>2019/10/18 11:04:45</t>
  </si>
  <si>
    <t>我来数科原名我来贷，因周转困难在上面借了款，分期12期，已经还了8期，但电话基本都接了，但第三天开始每天有超过三个电话以上不断骚扰，态度很恶劣，并且还骚扰联系人，并到处发短信影响本人名声，对本人工作生活名誉均造成恶劣影响，请立即停止骚扰！。</t>
  </si>
  <si>
    <t>朵朵金融理财到期不还本金</t>
  </si>
  <si>
    <t>http://ts.21cn.com/tousu/show/id/1370938</t>
  </si>
  <si>
    <t>2019/10/18 11:04:44</t>
  </si>
  <si>
    <t>朵朵金融理财到期不还本金提取现金确冻结资金，打不进客服电话。</t>
  </si>
  <si>
    <t>京东金融支持不合法砍头高利贷新橙优品，借一万，京东金融立马扣除我1500左右砍头等等</t>
  </si>
  <si>
    <t>http://ts.21cn.com/tousu/show/id/1370936</t>
  </si>
  <si>
    <t>2019/10/18 11:04:13</t>
  </si>
  <si>
    <t>投诉人单女士投诉对象京东金融,新橙优品,网银在线,联众网络科技，有限公司涉诉金额14000元问题类型诉求类型投诉详情2019年5月23日在新橙优品上借款10000元，实际到账8417.36元扣款方为京东金融，此款名为保险费，分了六期，还款金额共计为13837.2利息加砍头，多还了5419.84此利息已经高达64%远远超过了国家法定规定的最高贷款利息，京东金融如此正规的平台，怎么会配合这种违法贷款平台进行扣款，每个月扣除1700左右的贷款及600元的保险，此费用明显不合理，目前本人已经还了4期，共计金额922</t>
  </si>
  <si>
    <t>高利贷，有砍头息</t>
  </si>
  <si>
    <t>http://ts.21cn.com/tousu/show/id/1370937</t>
  </si>
  <si>
    <t>2019/10/18 11:04:03</t>
  </si>
  <si>
    <t>借款8200实际到账6232，不知道的情况下直接扣了，根本没有实际借款的金额到账。</t>
  </si>
  <si>
    <t>中汇支付刷卡未到账，客户无人接听</t>
  </si>
  <si>
    <t>http://ts.21cn.com/tousu/show/id/1370934</t>
  </si>
  <si>
    <t>2019/10/18 11:03:22</t>
  </si>
  <si>
    <t>下午4.16分刷卡998元，直今日还未到账，客户电话无人接听。</t>
  </si>
  <si>
    <t>我来贷威胁我</t>
  </si>
  <si>
    <t>http://ts.21cn.com/tousu/show/id/1370933</t>
  </si>
  <si>
    <t>2019/10/18 11:03:17</t>
  </si>
  <si>
    <t>我来贷之前借过一笔已经结清了，后来贷了一笔五千的，还的剩四期账单了，我已经多掏了这么多利息，所以要求减免剩下的钱，还有就是催收人员威胁说下午两点不还就会跟家人联系，你们这是暴力催收，威胁我，证据我都会留着，如果在联系到我的情况下还联系我的家人的话我会选择报警，之前因为网贷已经报警立案了，警察说再有这样的情况立刻跟他们反映，现在扫黑除恶这么严的情况下你们还这样暴力催收。</t>
  </si>
  <si>
    <t>http://ts.21cn.com/tousu/show/id/1370932</t>
  </si>
  <si>
    <t>2019/10/18 11:03:00</t>
  </si>
  <si>
    <t>他人借款，无下限骚扰联系人，严重影响生活，要求美团出具催收方资料，将走法律程序！！。</t>
  </si>
  <si>
    <t>尚诚消费金融频繁骚扰公司电话导致公司无法运营！</t>
  </si>
  <si>
    <t>http://ts.21cn.com/tousu/show/id/1370931</t>
  </si>
  <si>
    <t>2019/10/18 11:02:11</t>
  </si>
  <si>
    <t>我是债务人同事，该公司催收频繁骚扰公司前台电话导致公司无法运营！我们公司是帮政府单位做网站的，请立即停止这样的愚蠢行为并道歉！。</t>
  </si>
  <si>
    <t>希望可以协商解决，停止催收</t>
  </si>
  <si>
    <t>http://ts.21cn.com/tousu/show/id/1370930</t>
  </si>
  <si>
    <t>2019/10/18 11:02:05</t>
  </si>
  <si>
    <t>本人信用卡逾期的时候有接银行电话还主动回电沟通，但是客户态度恶劣，一定要本人马上还钱，本人也说明了当时的经济困难情况，暂时无力还款，希望分期，没有同意，后来电话一直打，本人需要赚钱还款，所以白天经常没有时间，没有接到后期银行的催收电话，浦发银行就发短信说已经失联，要上门催收，本人欠债还钱，天经地义，本人就算吃不起饭每个月都要还款一点点，就是想告诉银行本人有还款意原，只是暂时经济困难，无法全部还清，希望银行可以协商分期还款。</t>
  </si>
  <si>
    <t>购买黑卡，借不了款</t>
  </si>
  <si>
    <t>http://ts.21cn.com/tousu/show/id/1370929</t>
  </si>
  <si>
    <t>2019/10/18 11:01:59</t>
  </si>
  <si>
    <t>掌众金服的闪电借款购买了430元黑卡，提示额度抢完了，要求退款，非常缓慢。</t>
  </si>
  <si>
    <t>众安无良在未通知用户的情况下，购买保险，代偿</t>
  </si>
  <si>
    <t>http://ts.21cn.com/tousu/show/id/1370928</t>
  </si>
  <si>
    <t>2019/10/18 11:01:38</t>
  </si>
  <si>
    <t>1.本人从未在众安申请过保险2.众安直接在本人征信上代偿。</t>
  </si>
  <si>
    <t>贷款大师樱桃贷违法高利贷多次骚扰朋友</t>
  </si>
  <si>
    <t>http://ts.21cn.com/tousu/show/id/1370926</t>
  </si>
  <si>
    <t>2019/10/18 11:01:17</t>
  </si>
  <si>
    <t>投诉人 付先生        投诉对象  贷款大师（快贷宝）,樱桃贷        涉诉金额  1 600 元    问题类型    诉求类型投诉详情  非法高利贷，多次暴力催收。骚扰通讯录朋友，冒充人民法院发送文件。</t>
  </si>
  <si>
    <t>因本人哥哥患尿毒症，所以无法偿还玖富万卡高额利息，希望可以协商下还本金</t>
  </si>
  <si>
    <t>http://ts.21cn.com/tousu/show/id/1370927</t>
  </si>
  <si>
    <t>2019/10/18 11:01:16</t>
  </si>
  <si>
    <t>因本人哥哥患有尿毒症，当时实在没办法就想着借点钱用于治疗需要，本金借了一万八左右，其中一个3600的借款自己支付了1100的费用，现在家里为了给哥哥治病欠了外债好多钱，现在实在是还不了那么多钱，我并不是不想还，实属无奈，因为哥哥后期治疗还需要很多费用，所以想请贵公司可以减免利息。</t>
  </si>
  <si>
    <t>小当家登录不上无法还款</t>
  </si>
  <si>
    <t>http://ts.21cn.com/tousu/show/id/1370925</t>
  </si>
  <si>
    <t>2019/10/18 11:00:28</t>
  </si>
  <si>
    <t>小当家平台和还款链接都点不开，还款日也没有自动扣款，也没有客服联系我，导致我逾期，还会产生逾期费用。</t>
  </si>
  <si>
    <t>支付宝花呗罚息</t>
  </si>
  <si>
    <t>http://ts.21cn.com/tousu/show/id/1370923</t>
  </si>
  <si>
    <t>2019/10/18 11:00:27</t>
  </si>
  <si>
    <t>投诉人 成先生        投诉对象  支付宝        涉诉金额  10 231 元    问题类型    诉求类型投诉详情  因为自己原因没有及时还款 导致产生违约金 跟客服沟通 态度强硬 故请求贵司减免罚息 真的不是恶意还款</t>
  </si>
  <si>
    <t>招商闪电贷催收员工态度恶劣</t>
  </si>
  <si>
    <t>http://ts.21cn.com/tousu/show/id/1370922</t>
  </si>
  <si>
    <t>2019/10/18 11:00:23</t>
  </si>
  <si>
    <t>每天打电话骚扰我的同事，家人，打电话过来的态度极差。</t>
  </si>
  <si>
    <t>平安普惠i袋高额利息和服务费保险费。</t>
  </si>
  <si>
    <t>http://ts.21cn.com/tousu/show/id/1370840</t>
  </si>
  <si>
    <t>2019/10/18 11:00:02</t>
  </si>
  <si>
    <t>我在平安普惠借了两万多，每个月都按时还款，因为这个月家里出了事，确实还不上，让他宽限几天，就开始催收电话来了，我打开平安普惠APP查了查，每个月的服务费100多，加上还有什么保险费100多，我就很郁闷了，保险单都没有哪来的保险费，看了一下利息，算了算，我已经换了20000了，现在还有14000没有还我就搞不懂是怎么回事了。</t>
  </si>
  <si>
    <t>未借钱却催债</t>
  </si>
  <si>
    <t>http://ts.21cn.com/tousu/show/id/1370920</t>
  </si>
  <si>
    <t>2019/10/18 10:59:54</t>
  </si>
  <si>
    <t>没有借该平台的钱，收到催债信息要求做出解释。</t>
  </si>
  <si>
    <t>高炮套路贷</t>
  </si>
  <si>
    <t>http://ts.21cn.com/tousu/show/id/1370918</t>
  </si>
  <si>
    <t>2019/10/18 10:59:34</t>
  </si>
  <si>
    <t>接上个投诉，其他全部处理了，就喵下贷一直没有联系。</t>
  </si>
  <si>
    <t>http://ts.21cn.com/tousu/show/id/1370917</t>
  </si>
  <si>
    <t>2019/10/18 10:59:25</t>
  </si>
  <si>
    <t>续期已经超过本金了，我已经无力尝还，当初是生病才去极速贷借钱的，现在续期超过本金就锁机了，这是我唯一一个手机，现在手机都没钱买，请加他给密码给我开锁，并处罚。</t>
  </si>
  <si>
    <t>平台故障导致逾期，并非个人原因现要求减免逾期费用</t>
  </si>
  <si>
    <t>http://ts.21cn.com/tousu/show/id/1370919</t>
  </si>
  <si>
    <t>2019/10/18 10:59:22</t>
  </si>
  <si>
    <t>前两两期正常还款1533.6元，第三期到期时也已提交过还款申请，但到第四期还款日准备还款是却发现第三期居然没给扣款并且产生逾期费用400多，在这期间并未收到任何短信或电话，故此我便联系了平台客服没人回应，电话也打不通，因当心逾期费用不断增加想先还款是却无法还款，直到10月16日才有工作人员联系处理还款，但逾期费用已高达3700多，与工作人员说明这并非我个人原因造成的逾期费用只还剩下的1533.6元时，工作人员不听任何解释要求按他们给出的价格处理，但本人无法承担不属于我个人原因造成的费用，再次与之协商未果，故</t>
  </si>
  <si>
    <t>http://ts.21cn.com/tousu/show/id/1370916</t>
  </si>
  <si>
    <t>2019/10/18 10:58:42</t>
  </si>
  <si>
    <t>米粒钱柜6天利息就达到875元纯属高利贷，在9.23日强逼我写借今到借借条2500.-借2500实际到帐1725元，我在米粒钱柜都是线下付款4个875元，高利贷，砍头息，利用今借到弄虚作假，出借人一个59岁老人，也投诉今借到给黑社会，高利贷作为平台，马上给予消帐，不然上报扫黑办。</t>
  </si>
  <si>
    <t>信用管家小花呗高利贷</t>
  </si>
  <si>
    <t>http://ts.21cn.com/tousu/show/id/1370915</t>
  </si>
  <si>
    <t>2019/10/18 10:58:41</t>
  </si>
  <si>
    <t>8月26日，本人在信用管家平台看到小花呗贷款入口，受低息、分期诱惑，从信用管家平台申请了小花呗借款，根据《网络借贷信息中介机构业务活动管理暂行办法》中对「网络借贷信息中介机构」的定义为以互联网为主要渠道为借款人(即贷款人)与出借人实现直接借贷提供信息搜集、信息公布、资信评估、信息交互、借贷撮合等服务，借款总额2500元，实际到账1750元，砍头息高达750元，该笔借款还款共分为4期，每期7天，总还款时间为1个月，目前，本人已偿还2期合计2284元，剩余约288元还未偿还，已偿还金额超出实际借款金额534元，</t>
  </si>
  <si>
    <t>长安标致雪铁龙DS6前轴和后减震器多处漏油</t>
  </si>
  <si>
    <t>http://ts.21cn.com/tousu/show/id/1370913</t>
  </si>
  <si>
    <t>2019/10/18 10:58:01</t>
  </si>
  <si>
    <t>10月12日，由于感觉踩油门车身抖动送到4S店进行检测，结果发现多处漏油，需要更换的部件包括减震器、发动机下支架、右半轴等，4S店检测表明是由于零部件老化导致，且由于已经超过3年质保期，完全需要自费，本人感觉非常不合理，而且对于车子本身的质量表示怀疑，对于非人为或者自然因素造成的维修费，申请由厂商承担。</t>
  </si>
  <si>
    <t>砍口息，714高炮</t>
  </si>
  <si>
    <t>http://ts.21cn.com/tousu/show/id/1370912</t>
  </si>
  <si>
    <t>2019/10/18 10:57:53</t>
  </si>
  <si>
    <t>砍头息，高利贷，714高炮，借款2500，实际到账1500，属于国家严打的高利平台，希望有关部门处理一下。</t>
  </si>
  <si>
    <t>米米罐暴力催收，高额利息</t>
  </si>
  <si>
    <t>http://ts.21cn.com/tousu/show/id/1370910</t>
  </si>
  <si>
    <t>2019/10/18 10:57:49</t>
  </si>
  <si>
    <t>本人在米米罐借款2500，期限一个月，到期还款3800，其中有一千多是保险费，后逾期一个月，合计费用4290，平台存在高利息，存在催收骚扰家人的情况，现要求协助处理只还本金跟合法利息，谢谢。</t>
  </si>
  <si>
    <t>http://ts.21cn.com/tousu/show/id/1370909</t>
  </si>
  <si>
    <t>2019/10/18 10:57:45</t>
  </si>
  <si>
    <t>恶意催收，威胁，恐吓，没有还款能力，协商晚几天，遭恐吓。</t>
  </si>
  <si>
    <t>微粒贷恶意纵容催收人员骚扰本人所在公司电话</t>
  </si>
  <si>
    <t>http://ts.21cn.com/tousu/show/id/1370911</t>
  </si>
  <si>
    <t>2019/10/18 10:57:31</t>
  </si>
  <si>
    <t>本人联系方式未变更，且一直可以联系，现在对方一直在电话骚扰本人所在公司，而且没有联系我本人，我尝试联系骚扰公司的人员但并未接我电话，，后经前一催收人员处取得催收公司电话，打电话协商让其停止对本人所在公司的骚扰，但对方并未同意协商，扬言扔要继续骚扰，最后联系微粒贷客服，客服人员只是记录我所提供的骚扰人员电话号码，称会联系贷后管理部门反馈。</t>
  </si>
  <si>
    <t>携程购票扣除服务费</t>
  </si>
  <si>
    <t>http://ts.21cn.com/tousu/show/id/1370908</t>
  </si>
  <si>
    <t>2019/10/18 10:57:26</t>
  </si>
  <si>
    <t>我在订票不到60分钟内，我发现我的机票定错了，然后我联系携程的人给我处理改签，没达成我出发的机票，后来我退费，竟然为啥收取服务费。</t>
  </si>
  <si>
    <t>立刻出行退押金难，已经申请两个多月了还未到账。客服无人接听。</t>
  </si>
  <si>
    <t>http://ts.21cn.com/tousu/show/id/1370907</t>
  </si>
  <si>
    <t>2019/10/18 10:56:33</t>
  </si>
  <si>
    <t>我于19年8月4号在立刻出行平台缴纳499元押金，但无车可用就致电给客服，客服回复是车辆回场检修保养，于是我申请了退款，按照服务协议是5到10个工作日退回扣款账户，但是现在两个多月都过去了押金还没退回来，其中打过几次客服电话，第一次说过两天到账，等了一个星期没到，第二次说已经处理了银行有延后，又等了一个星期还是没到，后来再打客服电话就很难接通，就算接通了也是各种理由各种推脱，要么就是重复已经处理了银行有延后，现在我对这家公司彻底失去信心了，现要求立刻退还我的血汗钱！！！！！！！！不要再狡辩、不要再老懒了。</t>
  </si>
  <si>
    <t>百度有钱花恶意催收影响朋友家属工作生活</t>
  </si>
  <si>
    <t>http://ts.21cn.com/tousu/show/id/1370906</t>
  </si>
  <si>
    <t>投诉人 胡先生        投诉对象  有钱花        涉诉金额  50 000 元    问题类型    诉求类型投诉详情  一天十几个电话骚扰我朋友 对朋友的生活和工作造成影响 请平台严查</t>
  </si>
  <si>
    <t>海南圣云可网络有限公司恶意盗走我298.5元</t>
  </si>
  <si>
    <t>http://ts.21cn.com/tousu/show/id/1370905</t>
  </si>
  <si>
    <t>2019/10/18 10:56:20</t>
  </si>
  <si>
    <t>海南圣云可网络有限公司在未经本人同意下扣款298.5元。</t>
  </si>
  <si>
    <t>开三云匠网诱导缴费，过度成都，签订霸王条款</t>
  </si>
  <si>
    <t>http://ts.21cn.com/tousu/show/id/1370881</t>
  </si>
  <si>
    <t>2019/10/18 10:55:52</t>
  </si>
  <si>
    <t>开三云匠网联系我入驻他们平台，入驻费3240，在微信发布大量订单，过度承诺，误导我入住，但是平台基本无订单可做，在抢单大厅本人没有一次查看成功，现在这个服务也被取消，在需求大厅可联系顾客，但平均一天都没一个需求，而且消耗工分，消耗完毕还怎么联系雇主，大约两月后我申请退款，但客服继续忽悠会直接提供订单，这说明平台基本无订单，到目前为止一单也没有接到。</t>
  </si>
  <si>
    <t>捷信催收骚扰电话每天几十个</t>
  </si>
  <si>
    <t>http://ts.21cn.com/tousu/show/id/1370904</t>
  </si>
  <si>
    <t>2019/10/18 10:55:38</t>
  </si>
  <si>
    <t>每天无休止几十个骚扰电话，我们没有能力为不懂事的小孩买单。</t>
  </si>
  <si>
    <t>取消订单不退款</t>
  </si>
  <si>
    <t>http://ts.21cn.com/tousu/show/id/1370903</t>
  </si>
  <si>
    <t>2019/10/18 10:55:26</t>
  </si>
  <si>
    <t>还没到账，客服又告诉我同样的话，1-3个工作日。</t>
  </si>
  <si>
    <t>要求苹果按照三包法规定提供三包服务，五角场直营店为拒保、敷衍等行为道歉</t>
  </si>
  <si>
    <t>http://ts.21cn.com/tousu/show/id/1369622</t>
  </si>
  <si>
    <t>2019/10/18 10:54:49</t>
  </si>
  <si>
    <t>我是一个iPhone用户，我的iPhone型号是Xs，ID玄即失效，9月中屏幕黑屏，9月22日在五角场直营店送修，直营店核验无人为损坏同意保内维修，9月25日电话通知维修需付费约4500元，后面交涉中苹果出现了一系列言辞自相矛盾、违反手机三包法、无限拖延、欺骗消费者的问题。</t>
  </si>
  <si>
    <t>智行火车票app买完会员不能更换手机号，而且手机号下面的会员不能转到其他手机号</t>
  </si>
  <si>
    <t>http://ts.21cn.com/tousu/show/id/1370900</t>
  </si>
  <si>
    <t>2019/10/18 10:54:24</t>
  </si>
  <si>
    <t>买完会员以后，不能更换手机号，而且不能把我的会员转移到另一个手机号上，这是什么道理，这样并不合理，作为一个程序员，我从专业的角度来评价，一点也不合理！！！手机号无法登录，不能把里面的信息注销，会被其他人利用，而且我的会员好不容易攒到了黄金会员，现在没办法转移和进入使用，希望快速解决，技术上你们一定能够实现，更改一下数据库即可。</t>
  </si>
  <si>
    <t>钱站，套路借款人威胁</t>
  </si>
  <si>
    <t>http://ts.21cn.com/tousu/show/id/1370901</t>
  </si>
  <si>
    <t>2019/10/18 10:54:15</t>
  </si>
  <si>
    <t>高利贷，砍头息，未经本人同意爆通讯，本金已还完，要求出示结清证明，危害到了我家人的身体健看，父母已经住院，损害了我的名誉，生活，要求做出赔偿，客服多次协商和放屁没有区别，扭曲事实，高利贷已超出国家标准利率，这些违法行为，我以上报各个监管部门，法院，证据确凿，不管你们后台多硬，我会一直上告投诉举报，将你们绳之以法，并给我及家人受到的伤害作出赔偿，不是不报时候未到，你们的猖狂快到头了，各个部门我都以上报。</t>
  </si>
  <si>
    <t>拍拍贷骚扰通讯录联系人</t>
  </si>
  <si>
    <t>http://ts.21cn.com/tousu/show/id/1370897</t>
  </si>
  <si>
    <t>2019/10/18 10:53:59</t>
  </si>
  <si>
    <t>拍拍贷骚扰通讯录联系人，还冒充银行信用卡，无关紧要的人都骚扰。</t>
  </si>
  <si>
    <t>京东白条</t>
  </si>
  <si>
    <t>http://ts.21cn.com/tousu/show/id/1370898</t>
  </si>
  <si>
    <t>2019/10/18 10:53:51</t>
  </si>
  <si>
    <t>177******39，这个号码，一直恐吓我，威胁我，要安排人过来我家讨，简直就是黑社会行径。</t>
  </si>
  <si>
    <t>http://ts.21cn.com/tousu/show/id/1370861</t>
  </si>
  <si>
    <t>2019/10/18 10:52:55</t>
  </si>
  <si>
    <t>投诉人周先生投诉对象畅快贷,借贷宝涉诉金额500元问题类型诉求类型投诉详情头一天说可以下款下发1000额度实际到账500可以第二天还款结果又说信誉分不够继续让借1000到手500还1000借贷宝名字叫做袁金房电话不接严重属于违法行为若不处理国家法律何在所有通话皆有录音。</t>
  </si>
  <si>
    <t>招行信用卡收取高额利息以及滞纳金</t>
  </si>
  <si>
    <t>http://ts.21cn.com/tousu/show/id/1370895</t>
  </si>
  <si>
    <t>2019/10/18 10:52:38</t>
  </si>
  <si>
    <t>本人招行于2018年产生逾期，几个月的逾期利息，复利以及滞纳金高达13000多，期间招行所谓的资产部门就是催收部分，不断拨打公司，联系人，本人电话要求全额还款，拒绝任何协商利息，协商还款，按照央行2017年新规，持卡机构应于持卡人协商违约金，但招行是强制并且威胁还款。</t>
  </si>
  <si>
    <t>http://ts.21cn.com/tousu/show/id/1370894</t>
  </si>
  <si>
    <t>2019/10/18 10:52:15</t>
  </si>
  <si>
    <t>本人因为之前工作公司倒闭，不给我开支，所有收入暂停，之前与招联金融商量还款问题，我停止现在新找的工作，寻找日结工作分着还里，工作人员同意，今天招联给我打电话态度恶劣，还说我家里老人生病，说我去酒吧，还要爆我通讯录，说话极度不文明，之前同意我找日结，我现有工作停了，现在告诉我日结不行了，还威胁恐吓我，刚挂电话就给我发短信，发律师函，这已经符合暴力催收。</t>
  </si>
  <si>
    <t>714高炮，高利贷</t>
  </si>
  <si>
    <t>http://ts.21cn.com/tousu/show/id/1370893</t>
  </si>
  <si>
    <t>2019/10/18 10:52:13</t>
  </si>
  <si>
    <t>属于国家严打的高利贷，借款2700，实际到账1900，希望有关部门处理一下，我也跟它们协商还款。</t>
  </si>
  <si>
    <t>虫虫快借4天超利贷</t>
  </si>
  <si>
    <t>http://ts.21cn.com/tousu/show/id/1370892</t>
  </si>
  <si>
    <t>2019/10/18 10:51:58</t>
  </si>
  <si>
    <t>本人通过闪电借款，在虫虫快借平台借款1925元，4天需要还款3500元，由汇潮支付提供非法交易渠道。</t>
  </si>
  <si>
    <t>希望工商信用卡能给我时间周转还款</t>
  </si>
  <si>
    <t>http://ts.21cn.com/tousu/show/id/1370891</t>
  </si>
  <si>
    <t>2019/10/18 10:51:51</t>
  </si>
  <si>
    <t>今天突然接到律师事务所一个电话说要起诉我本人由于上半年投资创业失败，导致了资金断裂，信用卡暂时还不上，希望工商银行能给我一些时间处理，分期也行，希望工商银行别起诉我或者是给我一些适当的时间让我处理，创业失败，我现在情绪有点不太好。</t>
  </si>
  <si>
    <t>My钱包骚扰催收</t>
  </si>
  <si>
    <t>http://ts.21cn.com/tousu/show/id/1370889</t>
  </si>
  <si>
    <t>2019/10/18 10:51:12</t>
  </si>
  <si>
    <t>最近应资金周转出现了问题，就在My钱包上借了五千元，分三期还，一期要2724.24，二期要还2343.50，三期要还1090，利息那么高，第一期逾期了几天就开始到处打电话，打我亲戚朋友的电话，这样子以经很影响到我的生活了，我昨晚上刚刚想办法还了几百进去，今天又开始来催收，让我每天上班都上不好。</t>
  </si>
  <si>
    <t>http://ts.21cn.com/tousu/show/id/1370888</t>
  </si>
  <si>
    <t>2019/10/18 10:50:14</t>
  </si>
  <si>
    <t>投诉人 熊琪        投诉对象  你我贷        涉诉金额  5 400 元    问题类型    诉求类型投诉详情  暴力催收 伪装公检法 恐吓 骚扰我家人朋友 每天不停的打电话</t>
  </si>
  <si>
    <t>拇指下款恶意扣款</t>
  </si>
  <si>
    <t>http://ts.21cn.com/tousu/show/id/1370886</t>
  </si>
  <si>
    <t>2019/10/18 10:49:55</t>
  </si>
  <si>
    <t>拇指下款未经用户同意恶意扣款50元，投诉请求退款，请尽快处理，否则投诉至工商局。</t>
  </si>
  <si>
    <t>去哪儿旅行设置酒店不可取消霸王条款，严重违反消费者权益保护法第二十五条及第二十六条，要求退还预付款停止侵害者消费者权益。</t>
  </si>
  <si>
    <t>http://ts.21cn.com/tousu/show/id/1370885</t>
  </si>
  <si>
    <t>2019/10/18 10:49:48</t>
  </si>
  <si>
    <t>去哪儿,上海赫程国际旅行社有限公司,慕舍•贝格酒店公寓，2019年10月16号18点在去哪儿旅行APP上下单预订了10月17日—10月18号入住慕舍•贝格酒店公寓，由于公司临时决定出差行程取消，立即于当晚21点与去哪儿旅行平台及酒店电话沟通行程取消，希望可以取消预订的酒店，退还预付款，无奈去哪儿平台及酒店态度恶劣，坚决不予退还预付款，完全不愿与消费者协商解决，去哪儿网平台及酒店利用预付费形式严重侵害了消费者权益，设置不可取消霸王条款，严重违反了消费者权益保护法第二十五条经营者网络销售商品消费者有权七日内退货</t>
  </si>
  <si>
    <t>万达普惠暴力骚犹</t>
  </si>
  <si>
    <t>http://ts.21cn.com/tousu/show/id/1370887</t>
  </si>
  <si>
    <t>2019/10/18 10:49:38</t>
  </si>
  <si>
    <t>由于本人在万达普惠借了点钱，在还款日晚上8点去还款，系统提示我到了8点就不可以还款，到第二天去还就罚我一百多块钱，我觉得这个条款不合理，就一直打客服电话，客服电话也是没人接听，我觉得不服就想要个合理解释，一直跟他们沟通，从去年一直到今年，骚扰电话不断，还有打电话到通讯录亲戚朋友面前叫人帮我还款，不停骚犹通讯录好友和我，几乎让我在亲戚朋友面前抬不起头，我觉得我的人格受到了伤害，我只是要求平台告诉我，为什么还款日晚上8点就不能还款。</t>
  </si>
  <si>
    <t>http://ts.21cn.com/tousu/show/id/1370884</t>
  </si>
  <si>
    <t>2019/10/18 10:49:26</t>
  </si>
  <si>
    <t>本人于2019年10月18日在钱站平台申请借款人民币2000元，现还在放款中，但我发现借款合同金额却变成了2500元，分三期，账单，需还款总金额在3250元，利息及所谓的其他费用严重超过国家允许的36%，可谓超级高利贷！如此明目张胆的砍头息，阴阳合同，高利贷，国家都不管吗。</t>
  </si>
  <si>
    <t>请求招商银行信用卡协商还款</t>
  </si>
  <si>
    <t>http://ts.21cn.com/tousu/show/id/1370882</t>
  </si>
  <si>
    <t>2019/10/18 10:49:10</t>
  </si>
  <si>
    <t>本人由于这三个月的工资被老板拖欠还没得结清，所以导致上个月的信用卡账单跟E招贷账户逾期深感抱歉，但是我这个月实在是没有资金，所以想请求贵行能够给我些时间，之前每个月我都是该还的都是还上了，E招贷我也已经还了差不多两年了，就算偶尔有逾期我也是该还的滞纳金利息也都是给你们还上了，现在我也是实在是没办法还上，所以我想请求贵行能否给我延期到下个月。</t>
  </si>
  <si>
    <t>海钜信达天价服务费变相高利贷</t>
  </si>
  <si>
    <t>http://ts.21cn.com/tousu/show/id/1370883</t>
  </si>
  <si>
    <t>2019/10/18 10:48:57</t>
  </si>
  <si>
    <t>我要联名投诉海钜信达，放款金额40000元，到账后就扣掉了2000元。</t>
  </si>
  <si>
    <t>及贷黄金会员费</t>
  </si>
  <si>
    <t>http://ts.21cn.com/tousu/show/id/1370880</t>
  </si>
  <si>
    <t>2019/10/18 10:47:37</t>
  </si>
  <si>
    <t>及贷捆绑会员费，会员费根本没什么用，要求退款。</t>
  </si>
  <si>
    <t>要求协商延期</t>
  </si>
  <si>
    <t>http://ts.21cn.com/tousu/show/id/1370879</t>
  </si>
  <si>
    <t>2019/10/18 10:47:26</t>
  </si>
  <si>
    <t>就想延期一下，今天打电话跟客服说了，他说安排专人跟我确认，但刚刚来了一个电话，一直强调2个小时内还款不同意协商，不还就打家人跟通讯录，这是恐吓，我要求停止电话骚扰电话，协商延期。</t>
  </si>
  <si>
    <t>易美健网贷收取三方服务费</t>
  </si>
  <si>
    <t>http://ts.21cn.com/tousu/show/id/1370878</t>
  </si>
  <si>
    <t>2019/10/18 10:47:04</t>
  </si>
  <si>
    <t>易美健给我贷款有三方先服务套餐费，，其中包含保障计划专款和网贷信息技术服务费，而我并不知情。</t>
  </si>
  <si>
    <t>平安银行信用卡恶意催收，假冒国家公务人员催收，恐吓</t>
  </si>
  <si>
    <t>http://ts.21cn.com/tousu/show/id/1370876</t>
  </si>
  <si>
    <t>2019/10/18 10:45:48</t>
  </si>
  <si>
    <t>逾期90天，各种手段催收，假冒国家公务人员起诉我，给我安很多无证明罪名在我头上，。</t>
  </si>
  <si>
    <t>作为淘宝网购交易平台，应履行对商家约束，配合商家玩弄买家，关闭我的七天无理由退货</t>
  </si>
  <si>
    <t>http://ts.21cn.com/tousu/show/id/1370875</t>
  </si>
  <si>
    <t>2019/10/18 10:45:18</t>
  </si>
  <si>
    <t>1，作为网购交易平台，就应履行对商家约束，就应提高淘宝小二有关消费保障权益，而不是为自己公司利益，而不是配合商家玩弄买家，关闭我的七天无理由退货，还配合商家要求我开产品质量单，你们搞清楚没有，我是七天理由退货，什么叫七天无理由退货，你们都装不懂，，你们也是要帮商家卖产品，你们才有利益吗，2，你们口头说我的想法与说法是对的，但确实帮我不到，为什么呢，你们店大欺人吗，商家与你们交易平台，你们对消费者的权益与保障有没有对现你们的承诺，3，我在网上也找到了许多和我一样已拆封，但都因质量问题被要求开鉴定单，找到苏宁客</t>
  </si>
  <si>
    <t>http://ts.21cn.com/tousu/show/id/1370874</t>
  </si>
  <si>
    <t>2019/10/18 10:44:52</t>
  </si>
  <si>
    <t>，由于个人也将此事忘记，10月该公司的催收开始联系本人，催其还款，电话中不停说话，不让借款人有说明情况的机会，根本擦不上话，再和我通话期间还联系期他朋友报隐私，挂了电话又打，在挂断两次后，换用，的手机打过来，接通就漫骂，连家里祖宗十八代都骂遍了，最后换了个催收虽不骂人，但是态度也不好，现在要还钱先道歉，他们如果觉得合理合法那就走司法吧，。</t>
  </si>
  <si>
    <t>充值错误不允许推荐</t>
  </si>
  <si>
    <t>http://ts.21cn.com/tousu/show/id/1370873</t>
  </si>
  <si>
    <t>2019/10/18 10:44:36</t>
  </si>
  <si>
    <t>昨天晚上充值金额不小心多输了一个0然后自动付款了，想冲128充成了1280这边希望后台能够清空我的点券115200点点券并退回我1152元人命币。</t>
  </si>
  <si>
    <t>钱站高利贷阴阳合同拖时间不正面解决</t>
  </si>
  <si>
    <t>http://ts.21cn.com/tousu/show/id/1370872</t>
  </si>
  <si>
    <t>2019/10/18 10:44:30</t>
  </si>
  <si>
    <t>投诉了几次不给解决问题，客服跟我说他们扣990元不是砍头息，我借款3990到账3000元为什么还4500元，我到账3000元为什么退3119，不回复不处理就是拖着我。</t>
  </si>
  <si>
    <t>钱伴不同意延期还款</t>
  </si>
  <si>
    <t>http://ts.21cn.com/tousu/show/id/1370871</t>
  </si>
  <si>
    <t>2019/10/18 10:44:24</t>
  </si>
  <si>
    <t>本人这个月实在困难，还不了钱伴这一期，在appa上跟客服说了请求延期还款，客服不同意，还款日每天发短信来，听说钱伴还有很高的逾期费用不知道是不是真的，如果钱伴敢打我的通讯录，我立即报警。</t>
  </si>
  <si>
    <t>来分期高额利息，不能查看借款记录</t>
  </si>
  <si>
    <t>http://ts.21cn.com/tousu/show/id/1370869</t>
  </si>
  <si>
    <t>2019/10/18 10:44:17</t>
  </si>
  <si>
    <t>来分期霸王条款，简直就是现实生活中的高利贷，客服电话没人接，不能查看借款记录，本金越还越多。</t>
  </si>
  <si>
    <t>http://ts.21cn.com/tousu/show/id/1370868</t>
  </si>
  <si>
    <t>2019/10/18 10:44:08</t>
  </si>
  <si>
    <t>我借了2000要我还2660其中是什么购物金，。</t>
  </si>
  <si>
    <t>及贷阴阳合同高额利息砍头息</t>
  </si>
  <si>
    <t>http://ts.21cn.com/tousu/show/id/1370870</t>
  </si>
  <si>
    <t>2019/10/18 10:44:07</t>
  </si>
  <si>
    <t>2019.8.11日借款15000元，到账也是15000元，但是后来的合同显示是借了17175元，莫名其妙“被”开了个会员，每个月还款1765.15元，12期就要还21181.8元，借15000还237743.92是什么利率，70%的利率我不接受这个利息，已停止还款，等恢复到正常利率，我才会还款，拒绝黑网贷的砍头息，目前已联系银保监会，12315，客服不回复我我会继续一直投诉下去，如果平台能帮我联系到及贷以正常利率24%年化利率解决，我愿意正常继续还款，或者提前结清还款，不行就一直找平台找信访投诉下去。</t>
  </si>
  <si>
    <t>没带来权益，还不给退会员费</t>
  </si>
  <si>
    <t>http://ts.21cn.com/tousu/show/id/1370866</t>
  </si>
  <si>
    <t>2019/10/18 10:43:59</t>
  </si>
  <si>
    <t>之前说可以退款，开了会员之后，借款根本不成功，要求退款被拒，理由是用了一个报告查询，可那报告查询是系统弹出来的，。</t>
  </si>
  <si>
    <t>微粒贷没完没了找不同的催收公司骚扰</t>
  </si>
  <si>
    <t>http://ts.21cn.com/tousu/show/id/1370865</t>
  </si>
  <si>
    <t>2019/10/18 10:43:55</t>
  </si>
  <si>
    <t>各种威胁骚扰，我这里是医疗机构老年人重要单位。</t>
  </si>
  <si>
    <t>电话暴力催收</t>
  </si>
  <si>
    <t>http://ts.21cn.com/tousu/show/id/1370867</t>
  </si>
  <si>
    <t>2019/10/18 10:43:52</t>
  </si>
  <si>
    <t>一个电话都不给我本人打，联系了好多通讯录，打给客服，说给我打我不接，我通话详单都有。</t>
  </si>
  <si>
    <t>360借条随便打我通讯录电话</t>
  </si>
  <si>
    <t>http://ts.21cn.com/tousu/show/id/1370862</t>
  </si>
  <si>
    <t>2019/10/18 10:41:43</t>
  </si>
  <si>
    <t>360借条能联系上我还打我通讯录电话今天上午十点二十一分360借条刚刚联系完，十点三十二我朋友就给我打电话说360借条打电话我说欠他们钱好几个月，确实逾期十三天我是真有困难钱不会不还，我说过我一定会还钱，为什么还骚扰我身边的人！为什么能联系上我打我通讯录电话，随便联系我身边的人。</t>
  </si>
  <si>
    <t>捷信金融这到底算不算高利贷，如何解决</t>
  </si>
  <si>
    <t>http://ts.21cn.com/tousu/show/id/1370864</t>
  </si>
  <si>
    <t>2019/10/18 10:41:39</t>
  </si>
  <si>
    <t>两个贷款，一个贷款29000元，另外一个贷款60000元，第一个还了12期，每期873.92元，一共还了10487.04元，另外一个还了42825.51元，这就是名副其实的高利贷，高到吓死人，我也说了我会把逾期的还上，只是现在没钱，我也还了那么多钱了，不会跑这些，你可以让我还清，但是不可能一次性这么高，加了我40000元利息，还有理吗。</t>
  </si>
  <si>
    <t>贷上钱无视聚投诉协商继续暴力催收</t>
  </si>
  <si>
    <t>http://ts.21cn.com/tousu/show/id/1370863</t>
  </si>
  <si>
    <t>2019/10/18 10:41:32</t>
  </si>
  <si>
    <t>我在贷上钱APP上借款为期一周的5500元借款，审批额度5500元，最后发放到银行账户的只有4500元，却要求偿还5500元贷款，该公司人员称其中1000元没有发放到用户的银行账户，而是以贷款通过费的形式购买了游戏豆，再以游戏豆的形式发放到了用户的APP账户，也就是说，这1000元并没有转账到我的银行账户上，再让我自主选择购买游戏币，而是被该公司代币的形式作为贷款发放给了我，并要求我以现金形式还款，在此过程中，该公司涉嫌违法收取高额贷款通过费用，直接或间接为“虚拟货币”提供账户开立、登记、交易、清算、结算等</t>
  </si>
  <si>
    <t>马上消费金融恶意欺诈</t>
  </si>
  <si>
    <t>http://ts.21cn.com/tousu/show/id/1370860</t>
  </si>
  <si>
    <t>2019/10/18 10:41:15</t>
  </si>
  <si>
    <t>上个月马上消费金融答应说给我取消了灵活还款包，说第二天app可以看到，因为自己工作忙，就没去看，昨天自己去还钱，发现还是没变，要还395，打客服也打不进去，我就想问下你们客服这么骗消费者的吗。</t>
  </si>
  <si>
    <t>http://ts.21cn.com/tousu/show/id/1370859</t>
  </si>
  <si>
    <t>2019/10/18 10:39:49</t>
  </si>
  <si>
    <t>恶意扣除款项，借由信用评估扣除款项，评估报告完全没用，连我在哪个城市都分不清，年龄也不对，还谈什么评估，评估费用168元，银行卡里余额并不足以支付，并没有提示余额不足，反而扣除了相应费用，有点搞笑，要求退还已扣除费用。</t>
  </si>
  <si>
    <t>米米罐无视法律法规，变相收取高额征信报告费用</t>
  </si>
  <si>
    <t>http://ts.21cn.com/tousu/show/id/1370858</t>
  </si>
  <si>
    <t>2019/10/18 10:38:48</t>
  </si>
  <si>
    <t>米米罐,快捷通青岛路力软件科技有限公司,快捷通支付，再米米罐上借款2700，一个月后还款3700多，之前和工作人员协商，让我到期前再投诉减免本期保险金额，马上到期，要求米米罐协商。</t>
  </si>
  <si>
    <t>易鑫车贷未告知服务为，GPS安装费。提前还款违约金，高额砍头息。</t>
  </si>
  <si>
    <t>http://ts.21cn.com/tousu/show/id/1370857</t>
  </si>
  <si>
    <t>2019/10/18 10:38:27</t>
  </si>
  <si>
    <t>我爱人2018年9月12日在易鑫办理押证不押车贷款115000元，月供4198元。</t>
  </si>
  <si>
    <t>360借条暴力催收，恐吓我的家人</t>
  </si>
  <si>
    <t>http://ts.21cn.com/tousu/show/id/1370856</t>
  </si>
  <si>
    <t>2019/10/18 10:37:15</t>
  </si>
  <si>
    <t>因我个人原因造成逾期，360借条催收人员，未经允许恐吓我的家人和朋友，对我的生活造成极大困扰。</t>
  </si>
  <si>
    <t>淘宝卖家上线销售无任何专利的产品</t>
  </si>
  <si>
    <t>http://ts.21cn.com/tousu/show/id/1370855</t>
  </si>
  <si>
    <t>2019/10/18 10:37:12</t>
  </si>
  <si>
    <t>淘宝商家销售无任何专利的潜水产品，潜水是一项高风险项目，一旦产品出现质量问题风险很大很容易导致潜水人员伤亡。</t>
  </si>
  <si>
    <t>万达快易花</t>
  </si>
  <si>
    <t>http://ts.21cn.com/tousu/show/id/1370853</t>
  </si>
  <si>
    <t>2019/10/18 10:36:59</t>
  </si>
  <si>
    <t>投诉人 朱女士        投诉对象  快钱-快易花        涉诉金额  900 元    问题类型    诉求类型投诉详情  协商好分批还 现在开始威胁 高利息 手续费</t>
  </si>
  <si>
    <t>快贷宝（月光宝库）类似714现金贷，找商户客服沟通不给处理，借的4000元实际到账才3150元分成4期，收我利息和会员费</t>
  </si>
  <si>
    <t>http://ts.21cn.com/tousu/show/id/1370852</t>
  </si>
  <si>
    <t>2019/10/18 10:36:23</t>
  </si>
  <si>
    <t>卡号：62****************52019/7/30，走的宝付支付2019/8/16-1,158.75，走的畅捷支付2019/8/10-1,158.75。</t>
  </si>
  <si>
    <t>http://ts.21cn.com/tousu/show/id/1370851</t>
  </si>
  <si>
    <t>2019/10/18 10:35:39</t>
  </si>
  <si>
    <t>这就是一个坑，填写完信息就自动从我的银行卡扣款，在我不知情的情况下，还说我现在银行卡没那么多钱，叫我充钱进去，然后继续扣款，这什么时候才到头，叫退款不退就算了，还想继续要我的钱利用阴阳和同欺诈消费者！打电话给客服的话客服态度极差，一直拖延你就是想更欺骗更多消费者！种种行李过分。</t>
  </si>
  <si>
    <t>高利贷申请延期还款减免利息协商还款</t>
  </si>
  <si>
    <t>http://ts.21cn.com/tousu/show/id/1370850</t>
  </si>
  <si>
    <t>2019/10/18 10:35:29</t>
  </si>
  <si>
    <t>我在你们捷信金融借款1万7千元还了14期己经还了1万2千多了为什么现在还要我还1万5千多的钱，那就是说我l年多才还了不到两千你们捷信太黑了吧，你们捷信利息你们自己算一下利息1年就要1万你们这的利息也太高了，而且前两天有律师打电话说是你们请的律师还说要上门说要我再还1万5千多，不还的话要告我，还要限制我的出行和我孩子的学业，你们这是威胁我，你们要是把我的工作弄没有了到时候一分钱也收不到，还有我问了律师了，你们的利息己经超出了国家标准的利息我可以不用还这么多，最后我想要说的是我希望你们能再的给我一点时间我一定过</t>
  </si>
  <si>
    <t>砍头息，高利贷</t>
  </si>
  <si>
    <t>http://ts.21cn.com/tousu/show/id/1370849</t>
  </si>
  <si>
    <t>2019/10/18 10:34:59</t>
  </si>
  <si>
    <t>借3000，到账2800，要还3630，这不是高利贷，砍头息是什么，国家现在已经明文禁止砍头息和超过百分之24-36的利息是不被法律所保护的，今天到期，客服电话也打不进去，一直在忙线中，怎么协商还款。</t>
  </si>
  <si>
    <t>http://ts.21cn.com/tousu/show/id/1370848</t>
  </si>
  <si>
    <t>2019/10/18 10:34:39</t>
  </si>
  <si>
    <t>本人在淘集集电商平台2019年6月份开始上架产品售卖，目前淘集集要求签署他们的不平等新合同，淘集集合同写明，签了给百分20，签的慢给百分15.其他剩下的等上市再给，而且上市之前还不能退店，连商家的保证金都要挪用，那是我们商家的货款，是我们商家的血汗钱，难道不应该还给我们么，现如今法制社会，你们淘集集的行为，犹如强盗一样。</t>
  </si>
  <si>
    <t>已经还款，却显示未还款且进行催收</t>
  </si>
  <si>
    <t>http://ts.21cn.com/tousu/show/id/1370812</t>
  </si>
  <si>
    <t>2019/10/18 10:34:06</t>
  </si>
  <si>
    <t>投诉人黄女士投诉对象维信金科涉诉金额1523元问题类型诉求类型投诉详情扣款凭证如下图.却显示还款失败，被逾期了，客服也不处理。</t>
  </si>
  <si>
    <t>信用飞砍头息</t>
  </si>
  <si>
    <t>http://ts.21cn.com/tousu/show/id/1370847</t>
  </si>
  <si>
    <t>2019/10/18 10:34:01</t>
  </si>
  <si>
    <t>本人于7月20在信用飞借款3000元，当天扣除610，由宝付扣走，实际到账2390，然还款还是按3000元，利息过高。</t>
  </si>
  <si>
    <t>有用分期高额利息</t>
  </si>
  <si>
    <t>http://ts.21cn.com/tousu/show/id/1370845</t>
  </si>
  <si>
    <t>2019/10/18 10:33:34</t>
  </si>
  <si>
    <t>短信威胁，电话骚扰，对个人名声乱破坏！高额利息，无力偿还！打家人，和村里电话。</t>
  </si>
  <si>
    <t>拼多多商家发货虚拟签收虚拟物流不退款</t>
  </si>
  <si>
    <t>http://ts.21cn.com/tousu/show/id/1370846</t>
  </si>
  <si>
    <t>2019/10/18 10:33:30</t>
  </si>
  <si>
    <t>没有收到东西，申请退款商家拒绝，说要退回物品，都没有收到东西，退给他什么啊，要求商家退款。</t>
  </si>
  <si>
    <t>好易贷涉嫌高利贷</t>
  </si>
  <si>
    <t>http://ts.21cn.com/tousu/show/id/1370844</t>
  </si>
  <si>
    <t>2019/10/18 10:33:23</t>
  </si>
  <si>
    <t>投诉人 杨女士        投诉对象  好易贷        涉诉金额  4 000 元    问题类型    诉求类型投诉详情  好易贷平台，几天利息翻倍。延期几天利息翻倍。高利贷</t>
  </si>
  <si>
    <t>罗汉分期恶意收所谓得会员费</t>
  </si>
  <si>
    <t>http://ts.21cn.com/tousu/show/id/1370843</t>
  </si>
  <si>
    <t>2019/10/18 10:33:14</t>
  </si>
  <si>
    <t>罗汉分期申请借款最后直接先扣除198会员费，第一时间联系他们退款，告知只能退120..并威胁我去借第三方借款，才能退多点，我明确告诉他我不借款了，他们推荐得玖富借款等国家并没有承认，居然敢这么做，大庆市诗语铭科技有限公司就是他们得注册执照，他们同时开发APP并且用这个单位私自扣款，请帮忙转告其他部门，严重涉黑，尽快取缔。</t>
  </si>
  <si>
    <t>宜人贷砍头息，收取高额手续费，利息高</t>
  </si>
  <si>
    <t>http://ts.21cn.com/tousu/show/id/1370841</t>
  </si>
  <si>
    <t>2019/10/18 10:32:40</t>
  </si>
  <si>
    <t>我在宜人贷借52000，但是后来看到国家打击网贷，才仔细看合同，借52000，合同59000，其还有7000元手续费，还3年87000多元，利息高出国家规定正规利率！由于朋友借钱不还，导致我现在大面积逾期，没有能力还钱，正在打工，兼职，努力赚钱，努力上岸！恳请您不要骚扰家人，因为家人现在已经放弃我了，我接受上征信，慢慢还，不接受恶意催收，恶意催收家人！谢谢！。</t>
  </si>
  <si>
    <t>高利砍头息，请协商退换本金</t>
  </si>
  <si>
    <t>http://ts.21cn.com/tousu/show/id/1370842</t>
  </si>
  <si>
    <t>2019/10/18 10:32:19</t>
  </si>
  <si>
    <t>千秋万贷,诸葛借米,汇潮支付,随身花,花炏艻，平台下下载的诸葛借米和千秋万贷高额看头息，借款期限只有6天，诸葛借米借款到账1430，5天需要还款2207.92，利息高达780余元，千秋万贷借款到账1300,，5天后需要还款2007.2，这些高利APP都是由汇潮支付来放款，汇潮支付在国家高压打击高利贷，套路贷的政策下为这些喝人血的贷款APP提供支付，请聚投诉工作人员协助帮忙处理，退还他们的本金，销账，聚投诉有能力的情况联系国家执法部门严厉查处这些高利贷款APP和为他们提供支付的公司，以免更多的人受害。</t>
  </si>
  <si>
    <t>胡乱扣费</t>
  </si>
  <si>
    <t>http://ts.21cn.com/tousu/show/id/1370839</t>
  </si>
  <si>
    <t>2019/10/18 10:32:03</t>
  </si>
  <si>
    <t>在本人未知的情况下扣除本人银行卡的费用298.5胡乱扣费，虚假误导。</t>
  </si>
  <si>
    <t>玖富第三次投诉了，借15000还了20000。天天骚扰</t>
  </si>
  <si>
    <t>http://ts.21cn.com/tousu/show/id/1370837</t>
  </si>
  <si>
    <t>2019/10/18 10:31:37</t>
  </si>
  <si>
    <t>本人在玖富借款15000，截止上个月已经还款20000，之前一直要求协商结清，但是客服不予理会，造成逾期，一直电话骚扰，骚扰通讯录联系人。</t>
  </si>
  <si>
    <t>钱站高利贷砍头息阴阳合同</t>
  </si>
  <si>
    <t>http://ts.21cn.com/tousu/show/id/1370836</t>
  </si>
  <si>
    <t>2019/10/18 10:31:35</t>
  </si>
  <si>
    <t>但打开合同显示居然显示借款额是89600元。</t>
  </si>
  <si>
    <t>为自己消费权利申冤</t>
  </si>
  <si>
    <t>http://ts.21cn.com/tousu/show/id/1370833</t>
  </si>
  <si>
    <t>2019/10/18 10:30:52</t>
  </si>
  <si>
    <t>我在智行火车票网站预定一张杭州飞澳门的机票，已核实到退票不可退，但可退税可以退到251元，智行火车网退款只给退10元，一张澳门飞杭州退一张税费350元，智行火车网只退90元，再三核实情况后，智行火车票给出结果是就只能退这么多钱，让说出原因来，智行火车票表示，就只等退那么多，无法告知原因，本人请求贵平台给出合理性的为消费者声张正义，该网站乱用手段强制收费，给出合理安排为消费者维权，谢谢。</t>
  </si>
  <si>
    <t>中汇掌付通扫码收款两天未到账</t>
  </si>
  <si>
    <t>http://ts.21cn.com/tousu/show/id/1370834</t>
  </si>
  <si>
    <t>2019/10/18 10:30:50</t>
  </si>
  <si>
    <t>2019年10月16日晚上8点半到8点40分，两笔收款未到账。</t>
  </si>
  <si>
    <t>我来贷，我来数科</t>
  </si>
  <si>
    <t>http://ts.21cn.com/tousu/show/id/1370832</t>
  </si>
  <si>
    <t>2019/10/18 10:30:10</t>
  </si>
  <si>
    <t>我来贷还款，还到家破人亡，于网络广告从我来贷后改名我来数科，共借款37500元，利息总共14318.44元，其中有俩天逾期，俩天逾期费用为700元，共借款37500元，实还51818.44，年化率70.5%，名义年化率38.2%，先逾期俩天每天都会接到电话催收，威胁爆通讯录等，让事件升级等威胁的话语，逾期两天费用就高达200元。</t>
  </si>
  <si>
    <t>广发银行信用卡疯狂暴力催收，骚扰家人和通讯录好友，多次故意激怒朋友</t>
  </si>
  <si>
    <t>http://ts.21cn.com/tousu/show/id/1370831</t>
  </si>
  <si>
    <t>2019/10/18 10:29:27</t>
  </si>
  <si>
    <t>由于本人近期有一笔还款逾期，广发银行在未经本人允许，在上班时间多次疯狂骚扰家人和通讯录好友，导致我个人名誉严重受损，多次激怒朋友，好友和家人不能正常工作。</t>
  </si>
  <si>
    <t>投诉联通和银盈通两家第三方支付与非法公司合作</t>
  </si>
  <si>
    <t>http://ts.21cn.com/tousu/show/id/1370830</t>
  </si>
  <si>
    <t>2019/10/18 10:29:15</t>
  </si>
  <si>
    <t>联通支付和银盈通两家支付平台长期给深圳趣购公司提供非法支付通道，该公司主要涉案人员因为非法经营罪于八月底被深圳牛湖派出所抓获，我于8月28号在两家支付平台上共刷款43000元，款项全部进入两家平台，我申请退款，两家客服都以打入趣购公司为由拒绝退款，现举报两家支付平台长期参与非法经营，所求把我损失的钱原路返回。</t>
  </si>
  <si>
    <t>OFO小黄车余额退款一直无法联系上客服</t>
  </si>
  <si>
    <t>http://ts.21cn.com/tousu/show/id/1370829</t>
  </si>
  <si>
    <t>2019/10/18 10:29:04</t>
  </si>
  <si>
    <t>2018年7月15日在OFO小黄车APP上充值95元，2019年10月希望退回余额。</t>
  </si>
  <si>
    <t>新橙优品暴力催收，恐吓侮辱</t>
  </si>
  <si>
    <t>http://ts.21cn.com/tousu/show/id/1370828</t>
  </si>
  <si>
    <t>2019/10/18 10:28:42</t>
  </si>
  <si>
    <t>新橙优品外包催收人员，暴力催收威胁恐吓我，态度极其恶劣蛮横粗俗言语辱骂，电话138******11。</t>
  </si>
  <si>
    <t>网站推广服务没有履行合同，追究责任</t>
  </si>
  <si>
    <t>http://ts.21cn.com/tousu/show/id/1169289</t>
  </si>
  <si>
    <t>2019/10/18 10:28:32</t>
  </si>
  <si>
    <t>投诉人许耀华投诉对象北京中网联搜科技有限公司涉诉金额3200元问题类型诉求类型投诉详情2017年11月20日北京中网联搜科技有限公司网站推广服务承诺对网址WWW.XUYAOHUA.COM服务，收起6年，在2019年8月8号投诉后于2019年08月21日发来合同，今天的投诉还是网站的关停，上一次关停1个月左右，这次又关停了近1月，我要追究损失，作出保证：①本人在本帖及后续所发布的内容属实，经仔细自查确认，无违法违规情形，没有捏造事实，没有侵犯他人隐私权，没有诬陷诽谤他人，等等，；②本人保证今后不提出删帖要求；</t>
  </si>
  <si>
    <t>充话费不到账</t>
  </si>
  <si>
    <t>http://ts.21cn.com/tousu/show/id/1370825</t>
  </si>
  <si>
    <t>2019/10/18 10:28:28</t>
  </si>
  <si>
    <t>出的活动，我充值后话费不到账，打客服没人接。</t>
  </si>
  <si>
    <t>钱站收取高额利息</t>
  </si>
  <si>
    <t>http://ts.21cn.com/tousu/show/id/1370826</t>
  </si>
  <si>
    <t>2019/10/18 10:28:26</t>
  </si>
  <si>
    <t>钱站收取高额利息，之前投诉客服一直各种理由辩解，说他们的利息是合法的，附图，这样的利息是合法的。</t>
  </si>
  <si>
    <t>没有提示就扣了会员费</t>
  </si>
  <si>
    <t>http://ts.21cn.com/tousu/show/id/1370824</t>
  </si>
  <si>
    <t>2019/10/18 10:27:49</t>
  </si>
  <si>
    <t>投诉人费女士投诉对象淘豆分期涉诉金额299元问题类型诉求类型投诉详情没有任何提示，就显示是验证银行卡信息，然后就扣了会员费。</t>
  </si>
  <si>
    <t>平安普惠i贷恶意催收威胁家人到处都坏别人名声</t>
  </si>
  <si>
    <t>http://ts.21cn.com/tousu/show/id/1370823</t>
  </si>
  <si>
    <t>2019/10/18 10:26:52</t>
  </si>
  <si>
    <t>因为平安普惠下面一个i贷的业务，之前我也一直是按时还款，现在因为出事了没钱还，上个月已经催过，而且一天几十个电话发给我家里人和我所有通讯录的朋友，上个月我已经跟他们说过不要再骚扰家人，他们也承诺过，我是14到期，上个月也协商好23处理，我也确实还上了，但是这个月，我刚好因为手机欠费停机了，在当天没有接到他们电话，刚逾期一天，平安普惠i贷的催收就说我恶意拖欠，然后打我家里人和朋友的电话骚扰，而且还电话打到我们村长家里，让全村人知道，还说我欠3万，我总共在平台的额度就3万，然后现在还不让我登录账号，我已经还了一</t>
  </si>
  <si>
    <t>宜人贷未借款，超级多诱导借款电话</t>
  </si>
  <si>
    <t>http://ts.21cn.com/tousu/show/id/1370821</t>
  </si>
  <si>
    <t>2019/10/18 10:25:39</t>
  </si>
  <si>
    <t>宜人贷无数次打电话来叫我借款，多次明确拒绝他们了并叫他们不要打电话了，他们也不听，超级烦，超级恶心，以后再让我接到电话直接向各大投诉平台、相关金融部门、政府部门、甚至公司当地公安局举报其骚扰诱导借款电话和高利贷！以下是这两天的部分电话截图，全是宜人贷的，希望宜人贷不要装死看不见这个投诉！！！。</t>
  </si>
  <si>
    <t>小赢卡贷暴力催收，往公司打电话导致被公司开除</t>
  </si>
  <si>
    <t>http://ts.21cn.com/tousu/show/id/1370820</t>
  </si>
  <si>
    <t>2019/10/18 10:25:38</t>
  </si>
  <si>
    <t>国庆期间以及国庆后连续给我所在的公司打电话，态度非常恶劣，给公司的人说我是老赖，欠款不还，严重影响了我的日常，现在公司以把我开除。</t>
  </si>
  <si>
    <t>http://ts.21cn.com/tousu/show/id/1370822</t>
  </si>
  <si>
    <t>2019/10/18 10:25:35</t>
  </si>
  <si>
    <t>投诉速金服高额利率，借款1000，分三期还款，每期还款615，还款金额高达1800多元，都快翻倍了。</t>
  </si>
  <si>
    <t>http://ts.21cn.com/tousu/show/id/1370818</t>
  </si>
  <si>
    <t>2019/10/18 10:25:29</t>
  </si>
  <si>
    <t>中信银行信用卡没有联系我，直接往我父亲单位打电话，往我村委会打电话，上门也没有跟我通知，没有跟我进行通话，严重影响我的正常生活，我有录音。</t>
  </si>
  <si>
    <t>http://ts.21cn.com/tousu/show/id/1370817</t>
  </si>
  <si>
    <t>2019/10/18 10:25:28</t>
  </si>
  <si>
    <t>10月17日到期，18日早上9点的时候刚逾期一天，催收人员打电话过来态度相当恶劣，直接用质问的口气问我为什么逾期，我说我今天会处理掉，但是那边催收人员说10点之前不处理就会给我家里面人打电话，然后我跟催收吵起来，催收各种侮辱，人身攻击，口气强硬，在这之前你我贷催收人员已经多次联系过我家里人，给我的生活跟工作带来很大的影响，逾期所有欠款我已经处理完，但是这个事情不会就这么算了，国庆刚过，而且扫黑除恶正在进行，到底是什么让这些比黑社会还黑的人这么有底气，为什么在联系到我得情况下一次次给家里人打电话，我希望能得到</t>
  </si>
  <si>
    <t>合理协商不要一味恐吓威胁</t>
  </si>
  <si>
    <t>http://ts.21cn.com/tousu/show/id/1370819</t>
  </si>
  <si>
    <t>2019/10/18 10:25:22</t>
  </si>
  <si>
    <t>合理协商不要一味恐吓威胁，说好给时间周转，却一直微信骚扰威胁，恐吓。</t>
  </si>
  <si>
    <t>中信银行暴力催收</t>
  </si>
  <si>
    <t>http://ts.21cn.com/tousu/show/id/1370815</t>
  </si>
  <si>
    <t>2019/10/18 10:23:20</t>
  </si>
  <si>
    <t>中信银行外包催收人员态度恶劣，暴力催收，恐吓我，跟中信客服已经联系好了，还暴力催收，这属于黑社会行为，严惩催收人员。</t>
  </si>
  <si>
    <t>投诉苏宁拒绝履行承诺</t>
  </si>
  <si>
    <t>http://ts.21cn.com/tousu/show/id/1370814</t>
  </si>
  <si>
    <t>2019/10/18 10:21:30</t>
  </si>
  <si>
    <t>，然后你们给我发了最新的名单，最新拉取的如下图，上面的第二名就是我，然后你们客服居然一直拒绝退款，还拒绝2次了已经，拒不履行承诺。</t>
  </si>
  <si>
    <t>收费不放款！</t>
  </si>
  <si>
    <t>http://ts.21cn.com/tousu/show/id/1370813</t>
  </si>
  <si>
    <t>2019/10/18 10:21:17</t>
  </si>
  <si>
    <t>借款四千！买黑卡480就算了！还不能借，不是额度已抢完！就是放款失败！退卡费还要一到五天！请问一下，还款可以晚一到五天吗。</t>
  </si>
  <si>
    <t>洋钱罐现金借款一直打电话逼我，刚才有给我打了。我都录音了</t>
  </si>
  <si>
    <t>http://ts.21cn.com/tousu/show/id/1370811</t>
  </si>
  <si>
    <t>2019/10/18 10:20:45</t>
  </si>
  <si>
    <t>刚才我投诉了一条，结果没有收到回复，又打电话来催我，而且语气很不好，我们借钱的人不是不还，只是暂时手头紧，你们至于这样吗，谁都有难的时候，只是时间长短，我虽然有逾期，麻烦你们找一找那些借了不还的人，不要找我们软柿子捏，你们的每一次电话我都录音了，还叫我不要激动，你那种语气谁能不激动，要求洋钱罐现金借款必须给我道歉。</t>
  </si>
  <si>
    <t>拍拍贷收取高额利息</t>
  </si>
  <si>
    <t>http://ts.21cn.com/tousu/show/id/1370810</t>
  </si>
  <si>
    <t>2019/10/18 10:20:20</t>
  </si>
  <si>
    <t>拍拍贷收取高额利息，4900强制分18期，。</t>
  </si>
  <si>
    <t>好分期阴阳合同高利贷</t>
  </si>
  <si>
    <t>http://ts.21cn.com/tousu/show/id/1370809</t>
  </si>
  <si>
    <t>2019/10/18 10:20:15</t>
  </si>
  <si>
    <t>借款2700元，分九期利息高达702元，利率34.59超过国家规定的24%，与借款合同写的10%严重不符，且前几期扣款都比合同规定的要高一百多，要求提前结清调整利率。</t>
  </si>
  <si>
    <t>http://ts.21cn.com/tousu/show/id/1370808</t>
  </si>
  <si>
    <t>2019/10/18 10:20:12</t>
  </si>
  <si>
    <t>豆豆钱要我按照平台上的数据还钱44533.33，我已经还了两期4453.33第二期罚270左右的不算，我本息共计要还553499+1399=54898，10给维仕担保有限公司打款34700进行一次结清，豆豆钱工作人员打电话给我说必须要结42533.33元才给办结清手续，说10日内退款给我。</t>
  </si>
  <si>
    <t>变相收取保险费利息费</t>
  </si>
  <si>
    <t>http://ts.21cn.com/tousu/show/id/1370807</t>
  </si>
  <si>
    <t>2019/10/18 10:20:05</t>
  </si>
  <si>
    <t>一谈退款各种理由推辞拒绝，态度恶劣，没有相关人员联系。</t>
  </si>
  <si>
    <t>http://ts.21cn.com/tousu/show/id/1370806</t>
  </si>
  <si>
    <t>2019/10/18 10:19:23</t>
  </si>
  <si>
    <t>到现在我才发现其实我应还109248.12元，多次打电话给95713他们公司投诉，没有给我解决。</t>
  </si>
  <si>
    <t>立借今天是还款日，就开始给通讯录打电话</t>
  </si>
  <si>
    <t>http://ts.21cn.com/tousu/show/id/1370803</t>
  </si>
  <si>
    <t>2019/10/18 10:18:26</t>
  </si>
  <si>
    <t>前期申请分12期，结果放款之后变成6期，借7500，还12500，今天是还款日，未逾期，就开始给通讯录的联系人打电话，造成骚扰。</t>
  </si>
  <si>
    <t>我来贷平台高利息</t>
  </si>
  <si>
    <t>http://ts.21cn.com/tousu/show/id/1370805</t>
  </si>
  <si>
    <t>2019/10/18 10:18:24</t>
  </si>
  <si>
    <t>投诉人 文先生        投诉对象  我来贷        涉诉金额  5 000 元    问题类型    诉求类型投诉详情  我来贷利息超高，砍头息，唉真的是接受不了</t>
  </si>
  <si>
    <t>网约车驾驶员证，滴滴超过14个工作日不给审核验真通过</t>
  </si>
  <si>
    <t>http://ts.21cn.com/tousu/show/id/1370804</t>
  </si>
  <si>
    <t>2019/10/18 10:18:17</t>
  </si>
  <si>
    <t>10月18日，一直处于带上传状态，没有验真通过，现在我没有办法出车，租的车还要承担租金，滴滴公司需要给我一个合理的解释！！。</t>
  </si>
  <si>
    <t>http://ts.21cn.com/tousu/show/id/1370802</t>
  </si>
  <si>
    <t>2019/10/18 10:17:48</t>
  </si>
  <si>
    <t>因个人资金断链，导致了拍拍贷逾期，也一直在还款，想说协商给几天时间去还款，工作人员直接打电话来威胁恐吓爆通讯录打电话给亲戚朋友骚扰家人，你们就这样催收的吗，国家哪条法律允许你们这样做的，有事不能跟欠款人联系。</t>
  </si>
  <si>
    <t>office365家庭版试用结束后，自动扣费498元</t>
  </si>
  <si>
    <t>http://ts.21cn.com/tousu/show/id/1370800</t>
  </si>
  <si>
    <t>2019/10/18 10:17:45</t>
  </si>
  <si>
    <t>2019年7月31号在office365上免费试用家庭版一个月，office365默认绑定支付宝免密支付，试用结束后，在我不知情的情况下，9月1号office365自动从支付宝扣除我498年费，自动扣费一个月后，我看到蚂蚁花呗账单，就申请退款，office365拒绝我的退款申请，投诉原因：office365试用时要求必须绑定支付宝免密，否则无法试用；另外office365自动绑定定期账单，在用户不知情的情况下自动扣费，投诉平台有很多和我一样投诉office365的投诉者，痛恨商家绑定消费，不让用户自己选择购</t>
  </si>
  <si>
    <t>拍拍贷骚扰无关人员</t>
  </si>
  <si>
    <t>http://ts.21cn.com/tousu/show/id/1370801</t>
  </si>
  <si>
    <t>2019/10/18 10:17:42</t>
  </si>
  <si>
    <t>拍拍贷催收人员天天打电话骚扰公司座机，至今已持续10几天，现本人已离职，不在这家公司工作，请停止电话骚扰，该骚扰人员手机号130******92以及各种固话。</t>
  </si>
  <si>
    <t>my钱包高利贷威胁，高额利息</t>
  </si>
  <si>
    <t>http://ts.21cn.com/tousu/show/id/1370799</t>
  </si>
  <si>
    <t>2019/10/18 10:17:30</t>
  </si>
  <si>
    <t>my钱包高利贷，而且逾期一天收取高额利息！不还钱就暴力催收，威胁通讯录好友，麻烦有关部门严惩。</t>
  </si>
  <si>
    <t>http://ts.21cn.com/tousu/show/id/1370797</t>
  </si>
  <si>
    <t>2019/10/18 10:17:09</t>
  </si>
  <si>
    <t>昨天投诉过，闪电借款一名负责人跟我联系，欺骗我协商要求我撤销投诉，结果今天开始又开始骚扰本人生活以及前公司，之前公司一直打电话让我处理，。</t>
  </si>
  <si>
    <t>你我贷给大学生放款暴力催收高利贷</t>
  </si>
  <si>
    <t>http://ts.21cn.com/tousu/show/id/1370796</t>
  </si>
  <si>
    <t>2019/10/18 10:16:38</t>
  </si>
  <si>
    <t>本人以下所述均为事实本人是在校大学生，你我贷无视国家规定顶风给大学生放款，因为今天早上我在睡觉没有接到电话，立马爆我通讯录，对我个人生活造成的极大的影响，对我的学习学业造成了极大的影响，暴力催收，影响社会的稳定。</t>
  </si>
  <si>
    <t>交通银行窃取隐私</t>
  </si>
  <si>
    <t>http://ts.21cn.com/tousu/show/id/1370795</t>
  </si>
  <si>
    <t>2019/10/18 10:16:24</t>
  </si>
  <si>
    <t>投诉人 新先生        投诉对象  交通银行信用卡        涉诉金额  1 600 元    问题类型    诉求类型投诉详情  银行窃取个人隐私 私自曝光通讯录 骚扰亲朋好友 影响正常生活 简直厉害。</t>
  </si>
  <si>
    <t>富勤金融汽车抵押贷款砍头息</t>
  </si>
  <si>
    <t>http://ts.21cn.com/tousu/show/id/1370756</t>
  </si>
  <si>
    <t>2019/10/18 10:16:16</t>
  </si>
  <si>
    <t>投诉人司先生投诉对象富勤金融涉诉金额57200元问题类型诉求类型投诉详情昨天在富勤金融办理了汽车抵押贷款，当时签合同之前业务员说审批额度51480，合同金额是57200，GPS安装费1800，车辆抵押登记费用600，平台服务费100，流量费2745.6，服务费为1544&amp;nbsp;.4，并解释说如果未逾期按照51480来还款，如果产生逾期法院起诉会按照57200来还款，放款后通过富勤金融app查看发现还款是按照57200进行还款的，给客服打电话，客服说富勤金融是个第三方平台，5720是富勤金融收取的一个平台</t>
  </si>
  <si>
    <t>嗨包爆我通讯录，发短信威胁</t>
  </si>
  <si>
    <t>http://ts.21cn.com/tousu/show/id/1370794</t>
  </si>
  <si>
    <t>2019/10/18 10:15:36</t>
  </si>
  <si>
    <t>发短信威胁，希望平台能够相对的处理一下，感谢平台。</t>
  </si>
  <si>
    <t>黑心网贷，轻周转</t>
  </si>
  <si>
    <t>http://ts.21cn.com/tousu/show/id/1370792</t>
  </si>
  <si>
    <t>2019/10/18 10:15:35</t>
  </si>
  <si>
    <t>借款2500实力到账1750，协商无果，让走司法程序也不解决。</t>
  </si>
  <si>
    <t>黑心商家蜗牛移动下单买卡一个月不发货，公众号不回复，客服打不进去，</t>
  </si>
  <si>
    <t>http://ts.21cn.com/tousu/show/id/1370793</t>
  </si>
  <si>
    <t>2019/10/18 10:15:24</t>
  </si>
  <si>
    <t>本人在9月30号在蜗牛移动公众号购买手机卡一张，然再本月7号都没收到，我就联系蜗牛公众号，公众号发给我10040的客服电话让我联系，本人从7号联系到现在都没联系上客服，从始至终也没联系上，这是什么商家啊，对客户这么不负责任，一个月了没到货也不说联系一下，我在办理手机卡的时候填写个自己的身份信息，我现在严重怀疑蜗牛移动盗取个人信息，骗取客户财产，请求有关部门严查蜗牛移动，此商家的做法真的是令人发指，我愿意为以上说的话负责，为防止蜗牛移动继续骗人，希望有关部门和@聚投诉处理并严查，需要跟客户打电话记录和公众号沟</t>
  </si>
  <si>
    <t>http://ts.21cn.com/tousu/show/id/1370791</t>
  </si>
  <si>
    <t>2019/10/18 10:15:13</t>
  </si>
  <si>
    <t>叉叉IPA精灵,叉叉助手,广州游顺网络科技有限公司，从申请提交到现在过去了三个多月，还没开始退款事宜，当初说的20个工作日内的。</t>
  </si>
  <si>
    <t>及贷无缘无故买了个会员，不解决会员问题，一直给我算逾期费，打人工服务没有人</t>
  </si>
  <si>
    <t>http://ts.21cn.com/tousu/show/id/1370790</t>
  </si>
  <si>
    <t>2019/10/18 10:15:07</t>
  </si>
  <si>
    <t>没有人来协商，找不到客服解决问题，打电话就作息繁忙，会员一千多不减免还每天算我那么高的逾期费，称是及贷专员，聊天后就删了我，这到底是什么的协商人员。</t>
  </si>
  <si>
    <t>智行火车票误导人使用加速包</t>
  </si>
  <si>
    <t>http://ts.21cn.com/tousu/show/id/1370789</t>
  </si>
  <si>
    <t>2019/10/18 10:14:56</t>
  </si>
  <si>
    <t>购票时，使用加速包的按钮隐蔽，误导人使用加速包，额外消费。</t>
  </si>
  <si>
    <t>凡普金科旗下钱站app暴力催收</t>
  </si>
  <si>
    <t>http://ts.21cn.com/tousu/show/id/1370788</t>
  </si>
  <si>
    <t>2019/10/18 10:14:52</t>
  </si>
  <si>
    <t>投诉人 邢先生        投诉对象  钱站        涉诉金额  18 000 元    问题类型    诉求类型投诉详情  实际借款数和合同数不符合。收双份高服务费。分期总利息超高。请聚投诉领导审查，计算一下。</t>
  </si>
  <si>
    <t>钱掌柜暴力催收态度极其恶劣</t>
  </si>
  <si>
    <t>http://ts.21cn.com/tousu/show/id/1370787</t>
  </si>
  <si>
    <t>2019/10/18 10:14:42</t>
  </si>
  <si>
    <t>现金巴士暴力催收，态度恶略</t>
  </si>
  <si>
    <t>http://ts.21cn.com/tousu/show/id/1370785</t>
  </si>
  <si>
    <t>2019/10/18 10:14:29</t>
  </si>
  <si>
    <t>已经使用现金巴士两三年了，最近资金紧张不是恶意逾期，在明确和客服表达还款意愿后仍然被暴力威胁，要求下午五点之前必须还款，否则后果自负，客服根本不听人讲话。</t>
  </si>
  <si>
    <t>普惠分期乱扣款</t>
  </si>
  <si>
    <t>http://ts.21cn.com/tousu/show/id/1370786</t>
  </si>
  <si>
    <t>2019/10/18 10:14:24</t>
  </si>
  <si>
    <t>投诉人 孟先生        投诉对象  普惠分期        涉诉金额  299 元    问题类型    诉求类型投诉详情  下载App 填写完资料和绑定银行卡 直接扣款299 分两次扣的 一次100 一次199。界面没有任何提示说要扣款 我要求返还我的损失</t>
  </si>
  <si>
    <t>催收骚扰公司同事，朋友，家人</t>
  </si>
  <si>
    <t>http://ts.21cn.com/tousu/show/id/1370784</t>
  </si>
  <si>
    <t>2019/10/18 10:13:52</t>
  </si>
  <si>
    <t>百度金融有钱花公司恶意催收，骚扰我同事，朋友，家人。</t>
  </si>
  <si>
    <t>支付宝，群利花，高利贷</t>
  </si>
  <si>
    <t>http://ts.21cn.com/tousu/show/id/1370783</t>
  </si>
  <si>
    <t>2019/10/18 10:13:38</t>
  </si>
  <si>
    <t>群利花高利贷到账2000还款要还3240，严重的高利贷，今天到期催收态度恶劣恐吓威胁中午12点前不还款进一步催收，国家现严打高利贷，该平台还明目张胆，要求贵平台严厉打击，超额的高利息本人已承受不起，要求还本金销账，还有还款渠道是支付宝，支付宝竟然给高利贷提供资金渠道，望贵平台严管，客服电话在图片上，催收电话176******14，给客服打电话协商一直无人接通，。</t>
  </si>
  <si>
    <t>及贷收取抢额费</t>
  </si>
  <si>
    <t>http://ts.21cn.com/tousu/show/id/1370782</t>
  </si>
  <si>
    <t>2019/10/18 10:12:53</t>
  </si>
  <si>
    <t>及贷借30天，到账3000，还款3060，收取210抢额费，到账2800。</t>
  </si>
  <si>
    <t>捷信暴力倾向</t>
  </si>
  <si>
    <t>http://ts.21cn.com/tousu/show/id/1370780</t>
  </si>
  <si>
    <t>2019/10/18 10:11:59</t>
  </si>
  <si>
    <t>未经我同意私自爆我隐私，下乡冒司法乱调查我，毁我名声，依法赔偿费用，打电话威胁我，赶紧赔偿，156那个捷信的狗，除非他不来，来就行好吧，根据《民法通则》第120，条的规定：侵害隐私利益的民事责任方式，应包括停止侵害、消除影响、赔礼道歉和赔偿损失，侵害他人隐私，造成财产损失的，应按照全部赔偿原则，予以全部赔偿，精神抚慰金的赔偿数额，根据侵害人的主观过错程度，侵害的具体情节、后果和影响，侵害人的得利情况，侵害人的经济承受能力以及受诉法院当地的平均生活水平。</t>
  </si>
  <si>
    <t>情人花胡乱扣取费用</t>
  </si>
  <si>
    <t>http://ts.21cn.com/tousu/show/id/1370779</t>
  </si>
  <si>
    <t>2019/10/18 10:11:34</t>
  </si>
  <si>
    <t>于2019年10月16日晚23点49分，情人花盛通胡乱扣款，不能全额返还，请重视这个问题，不然报警处理，请及时跟进，全额退款。</t>
  </si>
  <si>
    <t>崔收态度恶劣</t>
  </si>
  <si>
    <t>http://ts.21cn.com/tousu/show/id/1370778</t>
  </si>
  <si>
    <t>2019/10/18 10:11:16</t>
  </si>
  <si>
    <t>今天早上我接一个电话是一个男的声音，叫我今天必须还进去，我好声好气的跟他说我要25号才能还进去，因为25号我老公才发工资，他就跟我吼，我都没说话，然后他直接把电话挂了，我有不是不还，我现在确实没钱，我有没上班，我刚生了小孩，现在都是我老公在上班，这就是崔收说话的态度吗。</t>
  </si>
  <si>
    <t>捷信金融套路收取放款前费用</t>
  </si>
  <si>
    <t>http://ts.21cn.com/tousu/show/id/1370758</t>
  </si>
  <si>
    <t>2019/10/18 10:10:55</t>
  </si>
  <si>
    <t>当我支付后又叫我再一次支付2400元的手续费，说放款时会一起退给你，又说我银行卡号信息错误，需支付6000的风险金才能放款，我又支付了6000元，后面说等72小时后放款，我等了72小时后也没有放款，再次连续客服一直也没有回应。</t>
  </si>
  <si>
    <t>还完款还进行催收</t>
  </si>
  <si>
    <t>http://ts.21cn.com/tousu/show/id/1370777</t>
  </si>
  <si>
    <t>2019/10/18 10:10:33</t>
  </si>
  <si>
    <t>已经还完款还进行催收，之前还有过暴力催收恐吓等手段。</t>
  </si>
  <si>
    <t>迅捷视频转换器转换不了格式</t>
  </si>
  <si>
    <t>http://ts.21cn.com/tousu/show/id/1370775</t>
  </si>
  <si>
    <t>2019/10/18 10:09:26</t>
  </si>
  <si>
    <t>已经开通终身会员依然转换不了视频格式，感觉是被欺骗了。</t>
  </si>
  <si>
    <t>互金公司霸道无比，无视法纪法规</t>
  </si>
  <si>
    <t>http://ts.21cn.com/tousu/show/id/1370774</t>
  </si>
  <si>
    <t>2019/10/18 10:09:19</t>
  </si>
  <si>
    <t>违规变相收取高额砍头息，协商还款退砍头息，现如今之前投诉未解决，今不予受理。</t>
  </si>
  <si>
    <t>魅族售后拖延，保内变保外收费</t>
  </si>
  <si>
    <t>http://ts.21cn.com/tousu/show/id/1370776</t>
  </si>
  <si>
    <t>2019/10/18 10:09:15</t>
  </si>
  <si>
    <t>9月6日在魅族官网渠道报修魅族16th手机故障：故障：自动关机,不识别手机卡,屏幕故障故障机SN：882QADTEPS6S2魅族售后承诺15个工作日解决9月30日，发现官网上维修订单状态从我送修手机后“待收件”，变为“审核”，10月12日收到送回手机，发现手机仍然存在不识别手机卡的故障，一同收到的“维修受理单”也显示售后维修仅仅维修了屏幕10月13日拨打客服电话，以“已经过保”为理由不予提供免费维修服务，并敷衍让我等待，承诺24小时内有回复10月14日拨打客服电话，以“已经过保”为理由不予提供免费维修服务，</t>
  </si>
  <si>
    <t>360借条提前还款高额付费用</t>
  </si>
  <si>
    <t>http://ts.21cn.com/tousu/show/id/1370772</t>
  </si>
  <si>
    <t>2019/10/18 10:09:14</t>
  </si>
  <si>
    <t>提前还款收取高额度费用，我的总额度是13689元，现在显示可用额度2305元。</t>
  </si>
  <si>
    <t>http://ts.21cn.com/tousu/show/id/1370770</t>
  </si>
  <si>
    <t>2019/10/18 10:09:04</t>
  </si>
  <si>
    <t>未经我本人同意，无缘无故给我扣费298.5元。</t>
  </si>
  <si>
    <t>多宝分期</t>
  </si>
  <si>
    <t>http://ts.21cn.com/tousu/show/id/1370773</t>
  </si>
  <si>
    <t>2019/10/18 10:09:03</t>
  </si>
  <si>
    <t>投诉人李生投诉对象多宝分期涉诉金额6000元问题类型诉求类型投诉详情手机借钱app里面的多宝分期收取超高额服务费，借款3800元两个月要还6000，15天一期每期1500共4期，提前结清没有任何减免！要求取消服务费！！！。</t>
  </si>
  <si>
    <t>催收人员说话态度不好并且不理解</t>
  </si>
  <si>
    <t>http://ts.21cn.com/tousu/show/id/1370769</t>
  </si>
  <si>
    <t>2019/10/18 10:08:49</t>
  </si>
  <si>
    <t>因为本人自身原因暂时无能力偿还欠款，但是逾期费用我自己承担，并且劳动监察局强制执行后将会马上把欠款还上，但是贵公司催收部门态度恶劣并且威胁我，说话阴阳怪气，我一再强调我会尽快把钱还上，但是他依旧不依不饶，所以我希望贵公司能给我一个解决的方案.。</t>
  </si>
  <si>
    <t>拍拍贷，暴力催收，辱骂，恶意骚扰</t>
  </si>
  <si>
    <t>http://ts.21cn.com/tousu/show/id/1370768</t>
  </si>
  <si>
    <t>2019/10/18 10:08:37</t>
  </si>
  <si>
    <t>本人没有在拍拍贷有任何借款，然后催收人员每天拨打本人电话，问我认不认识某人，我说不认识，催收人员一直在那里辱骂本人，对本人造成困扰，反馈到公司总部，他们说没有给我拨打过任何电话，你们拍拍贷真优秀，敢做不敢当，以为我是好欺负的吗，你们非法收集别人的信息，还爆通讯录，你们比高利贷都牛逼，你们真的是想关门大吉了吧，每天都骚扰你爸爸，你们头上是肿瘤吗。</t>
  </si>
  <si>
    <t>记得花高额砍头息高利贷</t>
  </si>
  <si>
    <t>http://ts.21cn.com/tousu/show/id/1370767</t>
  </si>
  <si>
    <t>2019/10/18 10:06:44</t>
  </si>
  <si>
    <t>2019年10月16日记得花app在未经本人确认的情况下通过汇潮支付给本人银行卡到账1300元，并且要求在10月21日归还2000元，其中发生700元砍头息，本人表示不认要求归还1300元并清账处理。</t>
  </si>
  <si>
    <t>京东活力花暴力催收！</t>
  </si>
  <si>
    <t>http://ts.21cn.com/tousu/show/id/1370766</t>
  </si>
  <si>
    <t>2019/10/18 10:06:43</t>
  </si>
  <si>
    <t>本人多次与客服协商无果，换来的却是电话轰炸，还爆通讯录，严重影响本人正常生活。</t>
  </si>
  <si>
    <t>钱站阴阳合同、高利贷</t>
  </si>
  <si>
    <t>http://ts.21cn.com/tousu/show/id/1370765</t>
  </si>
  <si>
    <t>2019/10/18 10:06:38</t>
  </si>
  <si>
    <t>本人于2019年9月2日在钱站平台借款人民币2000元，实际到账2000元，借款合同金额却变成了2660元，分三期，账单，需还款总金额在3576.18元，利息及所谓的其他费用共计1576.18元，可谓超级高利贷！如此明目张胆的砍头息，阴阳合同，高利贷，国家都不管吗，强烈要求平台调整借款利率，减免一切不合规费用！。</t>
  </si>
  <si>
    <t>天天发骚扰信息</t>
  </si>
  <si>
    <t>http://ts.21cn.com/tousu/show/id/1370764</t>
  </si>
  <si>
    <t>2019/10/18 10:06:12</t>
  </si>
  <si>
    <t>天天发骚扰信息给我！烦的不得了，以后不要再发了。</t>
  </si>
  <si>
    <t>高利贷阴阳合同</t>
  </si>
  <si>
    <t>http://ts.21cn.com/tousu/show/id/1370763</t>
  </si>
  <si>
    <t>2019/10/18 10:05:57</t>
  </si>
  <si>
    <t>高利贷，阴阳合同，借三千还四千八，每期还1685，现在已经还了两期，逾期费一天一百，要求结清，不要骚扰。</t>
  </si>
  <si>
    <t>马上消费金融群发短信，恶心催收</t>
  </si>
  <si>
    <t>http://ts.21cn.com/tousu/show/id/1370762</t>
  </si>
  <si>
    <t>2019/10/18 10:05:40</t>
  </si>
  <si>
    <t>马上消费金融的安逸花，暴力催收，打电话至工作单位，导致被公司停职，发信息给亲朋好友，导致与亲戚朋友关系紧张。</t>
  </si>
  <si>
    <t>暴力催收，骚扰通讯录联系人</t>
  </si>
  <si>
    <t>http://ts.21cn.com/tousu/show/id/1370760</t>
  </si>
  <si>
    <t>2019/10/18 10:05:26</t>
  </si>
  <si>
    <t>投诉人 朱先生        投诉对象  360借条        涉诉金额  3 575 元    问题类型    诉求类型投诉详情  因家人住院，暂出现还款困难。暴力催收骚扰联系人。</t>
  </si>
  <si>
    <t>广发信用卡高利贷好高额违约金和利息</t>
  </si>
  <si>
    <t>http://ts.21cn.com/tousu/show/id/1370761</t>
  </si>
  <si>
    <t>2019/10/18 10:05:24</t>
  </si>
  <si>
    <t>投诉人 陈先生        投诉对象  广发银行        涉诉金额  75 000 元    问题类型    诉求类型投诉详情  广发银行信用卡 本来信用卡额度就2万左右 后来有人打电话给我说开通财智金 总额度变成了6万多 后来因为工作原因 没能及时还款 导致逾期 现在就利息越滚越多 光利息就一万多了 而且银行方面拒绝出面协商分期 全部交给催收机构协商 必须全额还款 本人有意向还款 并不是恶意躲避</t>
  </si>
  <si>
    <t>享换机账单已还完，但是不撤销</t>
  </si>
  <si>
    <t>http://ts.21cn.com/tousu/show/id/1370759</t>
  </si>
  <si>
    <t>2019/10/18 10:05:22</t>
  </si>
  <si>
    <t>希望撤消我的账单，并且多扣我的钱麻烦退给我。</t>
  </si>
  <si>
    <t>http://ts.21cn.com/tousu/show/id/1370757</t>
  </si>
  <si>
    <t>2019/10/18 10:05:03</t>
  </si>
  <si>
    <t>10月17号到期未还款就直接进行爆通讯录，对通讯录好友进行辱骂，侮辱，并发短信进行恶意骚扰！。</t>
  </si>
  <si>
    <t>百度催收发送恐吓短信，联系我通讯录人员，大晚上打电话催收</t>
  </si>
  <si>
    <t>http://ts.21cn.com/tousu/show/id/1370755</t>
  </si>
  <si>
    <t>2019/10/18 10:04:55</t>
  </si>
  <si>
    <t>投诉人洪先生投诉对象有钱花涉诉金额6000元问题类型诉求类型投诉详情昨天接到百度金融电话说自己是百度的，要起诉我发送一些恐吓短信，联系我通讯里人员，大晚上还打电话，要我承担什么起诉费，律师费，执行费等等，说自己是百度的准备起诉了，之前已经按照要求还一期帮我做缓期几个月，现在又开始催我还一期，说话不算数，几千块没必要有困难现在，但是对方冒充百度公司，发送起诉短信，要求催收公司解决这个问题，录音，短信截图都有解决不了直接投诉到银监会，我要看看是不是百度要起诉我了。</t>
  </si>
  <si>
    <t>微粒贷催收骚扰接了电话故意说联系不到人</t>
  </si>
  <si>
    <t>http://ts.21cn.com/tousu/show/id/1370754</t>
  </si>
  <si>
    <t>2019/10/18 10:04:23</t>
  </si>
  <si>
    <t>我这笔欠款之前是因为被前夫偷偷拿去用了，然后导致我这笔钱亏空，因为夫妻共债现在被法院起诉连带责任，需要偿还的款项就有30万，前夫现在这里的贷款也没有钱打过来归还，我一个人带着两个孩子，没有工作能力，吃饭都成困难，我说最近这几天让我还，我根本就还不起没有能力，让我缓缓过段时间，然后客服刚接完电话联系到我了，我也反应了我这个情况，挂完电话后，催收人员又短信发来说联系未果，这不明摆着欺负人嘛，之前黑龙江的电话一个打来还对我辱骂，态度很不好，欠钱是很不对，但是我也是实在没钱还，之前一直都有在还，上个月也有再还，虽然</t>
  </si>
  <si>
    <t>钱站高利贷阴阳合同希望有关部门处理</t>
  </si>
  <si>
    <t>http://ts.21cn.com/tousu/show/id/1370752</t>
  </si>
  <si>
    <t>2019/10/18 10:04:05</t>
  </si>
  <si>
    <t>投诉人 朱先生        投诉对象  钱站,爱钱进,华夏银行        涉诉金额  1 960 元    问题类型    诉求类型投诉详情  钱站 借款1000元 合同金额显示1320元 到账1000元 还1900多元 希望有关部门处理</t>
  </si>
  <si>
    <t>分期乐违法乱纪</t>
  </si>
  <si>
    <t>http://ts.21cn.com/tousu/show/id/1370753</t>
  </si>
  <si>
    <t>2019/10/18 10:04:03</t>
  </si>
  <si>
    <t>分期乐违法违规，爆我隐私，骚扰其它人，半夜骚扰我，打电话威胁我，发信息威胁别人，请求赔偿未经我同意私自爆我隐私，是的，《民法通则》第120，条的规定：侵害隐私利益的民事责任方式，应包括停止侵害、消除影响、赔礼道歉和赔偿损失，侵害他人隐私，造成财产损失的，应按照全部赔偿原则，予以全部赔偿，精神抚慰金的赔偿数额，根据侵害人的主观过错程度，侵害的具体情节、后果和影响，侵害人的得利情况，侵害人的经济承受能力以及受诉法院当地的平均生活水平等因素，综合考虑予以酌定。</t>
  </si>
  <si>
    <t>信而富承诺的退款迟迟不到账</t>
  </si>
  <si>
    <t>http://ts.21cn.com/tousu/show/id/1370751</t>
  </si>
  <si>
    <t>2019/10/18 10:04:02</t>
  </si>
  <si>
    <t>本人于10.10接到客服来电，说可以退款最后一期同城导游卡，但是前提是需要结案并把截图发送给在线客服即可，后按要求操作，询问客服均未有实质性答复！只会一句请耐心等待！最后还来一句不排除顺延的可能~希望信而富赶紧处理退款！。</t>
  </si>
  <si>
    <t>钱包易贷暴力催收，逾期一天骚扰通讯录，收取高额利息</t>
  </si>
  <si>
    <t>http://ts.21cn.com/tousu/show/id/1370750</t>
  </si>
  <si>
    <t>2019/10/18 10:03:12</t>
  </si>
  <si>
    <t>钱包易贷，本来4700，分十二期还了8期，433，第9期的时候，14号还款日，15号下午骚扰通讯录，，现在第9期还了，后面三期申请提前还款，要还1226。</t>
  </si>
  <si>
    <t>http://ts.21cn.com/tousu/show/id/1370749</t>
  </si>
  <si>
    <t>2019/10/18 10:02:51</t>
  </si>
  <si>
    <t>利息手续费过高，不使用正确的收款方式，骚扰通讯录好友，侵犯隐私权名誉权，。</t>
  </si>
  <si>
    <t>骑驴游虚假宣传虚假销售</t>
  </si>
  <si>
    <t>http://ts.21cn.com/tousu/show/id/1370246</t>
  </si>
  <si>
    <t>2019/10/18 10:02:41</t>
  </si>
  <si>
    <t>我于10月17日晚9点57在骑驴游微信公众号以399元订购惠州富力养生谷五房豪华别墅套票1套，预约码，0213131574，提示我去登录预约网址https://www.qilvyoo.com/t/648238/21660/预约入住日期，广告宣传的是399元套房10月消费不追加消费金额的，订好房间一分钟后上去他的官网就发现10月份全部预约满额，11月份都是追加金额的，少则400多则1400，明显的虚假宣传引诱消费，并且不退款，有效期至2020年3月31日，还来我查了下这个公司，很多类似的投诉，聚投诉以前也有投</t>
  </si>
  <si>
    <t>闪银哼哼恶意打电话骚扰家人</t>
  </si>
  <si>
    <t>http://ts.21cn.com/tousu/show/id/1370747</t>
  </si>
  <si>
    <t>2019/10/18 10:02:34</t>
  </si>
  <si>
    <t>闪银哼哼我逾期了，催收给我打电话我一直积极沟通想办法还款，可是催收给我家人打电话进行骚扰，。</t>
  </si>
  <si>
    <t>闪银第三方催收态度恶劣，闪银贷款加收手续费</t>
  </si>
  <si>
    <t>http://ts.21cn.com/tousu/show/id/1370746</t>
  </si>
  <si>
    <t>2019/10/18 10:02:09</t>
  </si>
  <si>
    <t>闪银第三方催收态度恶劣，暴力，恐吓，威胁，骚扰家人！！！闪银贷款前需要购买增值服务卡才能放款！。</t>
  </si>
  <si>
    <t>办理了联通的合约套餐把欠了的话费交了，马上消费金融还是说我逾期一直发短信打电话</t>
  </si>
  <si>
    <t>http://ts.21cn.com/tousu/show/id/1370745</t>
  </si>
  <si>
    <t>2019/10/18 10:01:46</t>
  </si>
  <si>
    <t>本人8月1日在联通公司办理了298的合约话费套餐，第一个月话费交了，后面两个拿给我朋友用他就没有交费，欠了两个月的话费，前几天马上金融给我发短信打电话说我逾期，我当天下午就把话费全部交清了，后面还是每天打电话和发短信说我逾期要产生罚息，我打电话给联通公司，联通公司说交清了就没有问题了，然后今天打电话给马上金融客服又说没有我这个没有支付成功，要从我的银行卡里面代扣，要不然就是一直逾期，我说我交清了，马上金融客服说联通公司还没有把款项给他们，又叫我问联通公司，现在又一直打电话和发短信骚扰我，上课都不得安宁，需要</t>
  </si>
  <si>
    <t>交通信用卡处处逼人</t>
  </si>
  <si>
    <t>http://ts.21cn.com/tousu/show/id/1370744</t>
  </si>
  <si>
    <t>2019/10/18 10:01:14</t>
  </si>
  <si>
    <t>投诉人 杨帅军        投诉对象  交通信用卡        涉诉金额  12 500 元    问题类型    诉求类型投诉详情  本人因经济原因 导致交通信用卡逾期 并非恶意拖欠 想让交通信用卡中心给予还款时间 分期还款 最终客服都是 要求必须还款 要不然就要走法律程序 一次性结清 你们这是把人往绝路上逼 和那些高利贷有啥区别？</t>
  </si>
  <si>
    <t>http://ts.21cn.com/tousu/show/id/1370743</t>
  </si>
  <si>
    <t>2019/10/18 10:00:48</t>
  </si>
  <si>
    <t>实际到账金额和合同金额不符，利息偏高不能取消订单。</t>
  </si>
  <si>
    <t>小赢卡贷借款强制购买众安保险</t>
  </si>
  <si>
    <t>http://ts.21cn.com/tousu/show/id/1370742</t>
  </si>
  <si>
    <t>2019/10/18 10:00:25</t>
  </si>
  <si>
    <t>和2019年1月15日，小赢卡贷借贷20000元，强制购买众安保险，其本人没和众安保险签订任何协议，不知道保什么，保费多少，要求众安保险解释并退保！。</t>
  </si>
  <si>
    <t>马上消费的安逸花，正常还款却无法使用</t>
  </si>
  <si>
    <t>http://ts.21cn.com/tousu/show/id/1370741</t>
  </si>
  <si>
    <t>2019/10/18 09:59:40</t>
  </si>
  <si>
    <t>投诉人 李先生        投诉对象  马上消费金融        涉诉金额  3 500 元    问题类型    诉求类型投诉详情  八月以前都能正常使用，之后就不行了。都是以信用评分不足而无法借款</t>
  </si>
  <si>
    <t>兴业银行信用卡暴力催收</t>
  </si>
  <si>
    <t>http://ts.21cn.com/tousu/show/id/1370740</t>
  </si>
  <si>
    <t>2019/10/18 09:59:07</t>
  </si>
  <si>
    <t>本人因为个人及家庭原因，导致资金链断裂，造成信用卡逾期，但是近期已找到工作并积极与银行联系表示所欠款项与利息滞纳金违约金等都愿意赔付，但兴业银行信用卡中心不给任何机会坚持上门催收，对本人及家人造成严重影响，要求停止上门。</t>
  </si>
  <si>
    <t>闪管家暴力催收态度极其恶劣</t>
  </si>
  <si>
    <t>http://ts.21cn.com/tousu/show/id/1370739</t>
  </si>
  <si>
    <t>2019/10/18 09:58:51</t>
  </si>
  <si>
    <t>使用过几次闪管家借款，本月因工资周转问题闪管家逾期，催收打电话态度恶劣让两个小时内处理，不然后果自负，本人没有不还款的意愿，只是确实资金要晚几天才到，希望能宽限几天，前期品台就收取了借款手续费200，现在还有逾期费，还暴力催收，我会尽快还进去但是在威胁我就报警处理。</t>
  </si>
  <si>
    <t>小花钱包恶意催收不停止</t>
  </si>
  <si>
    <t>http://ts.21cn.com/tousu/show/id/1370737</t>
  </si>
  <si>
    <t>2019/10/18 09:58:00</t>
  </si>
  <si>
    <t>小花钱包依然使用恶意骚扰，群发信息的方式干扰借款人的正常生活。</t>
  </si>
  <si>
    <t>资金不明情况被转走</t>
  </si>
  <si>
    <t>http://ts.21cn.com/tousu/show/id/1370736</t>
  </si>
  <si>
    <t>2019/10/18 09:57:57</t>
  </si>
  <si>
    <t>投诉人 张文雪女士        投诉对象  腾讯,财付通        涉诉金额  40 元    问题类型    诉求类型投诉详情  好几次被腾讯财付通有不明扣款，非本人操作。想知道什么原因，款尽快退回</t>
  </si>
  <si>
    <t>钱站阴阳合同变相收取高额利息</t>
  </si>
  <si>
    <t>http://ts.21cn.com/tousu/show/id/1370735</t>
  </si>
  <si>
    <t>2019/10/18 09:57:37</t>
  </si>
  <si>
    <t>钱站阴阳合同变相收取高额利息，要求调整利率，并道歉赔偿。</t>
  </si>
  <si>
    <t>快贷暴力催收爆通讯录，</t>
  </si>
  <si>
    <t>http://ts.21cn.com/tousu/show/id/1370734</t>
  </si>
  <si>
    <t>2019/10/18 09:57:06</t>
  </si>
  <si>
    <t>每个月16号是还款日现在逾期了就一直打电话催，爆我通讯录，跟他们协商被拒绝。</t>
  </si>
  <si>
    <t>捷信公司乱崔帐打扰我正常生活秩序</t>
  </si>
  <si>
    <t>http://ts.21cn.com/tousu/show/id/1370733</t>
  </si>
  <si>
    <t>2019/10/18 09:57:01</t>
  </si>
  <si>
    <t>捿信公司天津022座机号早八点晚九点，每20分钟打一次我的电话，严重影响我的正常生活，我也不欠他们公司一分钱，不知道为什么这样打电话给我，还有重庆的023的座机不间断打，让们两家公司给我一个答复服，严重影响我个人正常生活，从十四号早上，骚扰到至今还是不断骚扰。</t>
  </si>
  <si>
    <t>京东白条委托第三方骚扰</t>
  </si>
  <si>
    <t>http://ts.21cn.com/tousu/show/id/1370731</t>
  </si>
  <si>
    <t>2019/10/18 09:56:42</t>
  </si>
  <si>
    <t>今天接到一个电话，自称是京东第三方委托方，说我九月份有一个92块钱没有还，明明早就还了，九月份账单早就结清了，用了京东那么多年了，你们京东那么大的公司，竟然把我信息给第三方公司。</t>
  </si>
  <si>
    <t>闪电借款购买黑卡借款失败</t>
  </si>
  <si>
    <t>http://ts.21cn.com/tousu/show/id/1370730</t>
  </si>
  <si>
    <t>借款时需要购买黑卡，购买时说能够借款成功，购买后借款失败，要求退回我的500元，跟我说明缘由！。</t>
  </si>
  <si>
    <t>欠款已结清，但我的损失，请马上消费金融负责</t>
  </si>
  <si>
    <t>http://ts.21cn.com/tousu/show/id/1370732</t>
  </si>
  <si>
    <t>2019/10/18 09:56:41</t>
  </si>
  <si>
    <t>让我造成严重损失，精神损失，身体损失，精神受到严重催残，身体生病中，现在在住院治疗，重庆市市长、副市长关于金融领域扫黑除恶工作会议：坚持风险出清机构清退毫不动摇，以机构退出为主要方向，能退尽退、应关尽关、分类施策、精准拆弹；严厉整治暴力滋扰催收活动，督促辖内网贷机构建立完善催收管理制度；坚决杜绝收取各类形式高额息费，督促辖内机构杜绝“套路贷”、“校园贷”、“现金贷”、非法高利放贷等非法经营活动；督促机构开展扫黑除恶专项排查，除自身业务是否存在涉黑涉恶线索外，还要自查导流、催收等第三方合作机构，全国唯一一个敢</t>
  </si>
  <si>
    <t>钱包易贷催收</t>
  </si>
  <si>
    <t>http://ts.21cn.com/tousu/show/id/1370729</t>
  </si>
  <si>
    <t>2019/10/18 09:56:27</t>
  </si>
  <si>
    <t>投诉人 李女士        投诉对象  钱包易贷        涉诉金额  900 元    问题类型    诉求类型投诉详情  钱包易贷 还没到还款日就委托第三方催收 严重影响我的生活和心情 希望给予一个合理的解释与说法</t>
  </si>
  <si>
    <t>申通快递恶意不配送</t>
  </si>
  <si>
    <t>http://ts.21cn.com/tousu/show/id/1370738</t>
  </si>
  <si>
    <t>2019/10/18 09:56:19</t>
  </si>
  <si>
    <t>投诉人黄先生投诉对象申通快递涉诉金额100元问题类型诉求类型投诉详情申通快递员郑某某，，自从今年8月份因为送给我的快递少件被卖家投诉而选择和卖家私了赔钱，后每次只要是我的快递，哪怕当天一大早就到了网点，当天从来没有配送过，距离网点一两公里的距离，每次至少都要两三天才会送，并且每次都是在申通的快递系统填写无法联系上我，然而事实上却是，10次有9次都是不联系我，电话不打，短信也没有发过来，大多数的时候都是我看到件已经到了网点好几天了，因为着急收货，主动联系的他，此人之前我也多次投诉过，不过申通客服都是包庇自己员</t>
  </si>
  <si>
    <t>上海昶昱黄金股份有限公司非法股权代持</t>
  </si>
  <si>
    <t>http://ts.21cn.com/tousu/show/id/1370728</t>
  </si>
  <si>
    <t>2019/10/18 09:55:59</t>
  </si>
  <si>
    <t>我于11月份偶然在网上听宽亿研究院股评互联网平台首席水镜老师讲课，先领着买股票，后来编造昶昱黄金即将到香港上市的噱头，诱导不明真相的我购买所谓昶昱黄金定增股权，钱于11月26日打到了昶昱黄金第三大股东俞天明，购买了俞天明所持昶昱黄金股份关于赴香港联交所IPO启动，即与昶昱黄金第一大股东、实际控制人、董事长为父子关系，的个人银行账户上，购买了俞天明所持昶昱黄金股份，且是通过股权代持形式，收到了股份认购委托协议及“关于赴香港联交所IPO启动”股东告知函，2019年10月份大概能在香港上市交易，经与证监会1238</t>
  </si>
  <si>
    <t>威胁，不给予商量余地</t>
  </si>
  <si>
    <t>http://ts.21cn.com/tousu/show/id/1370727</t>
  </si>
  <si>
    <t>2019/10/18 09:54:56</t>
  </si>
  <si>
    <t>请客服沟通，给予短时间内的处理空间，停止骚扰。</t>
  </si>
  <si>
    <t>拼多多第三方软件与宣传不符</t>
  </si>
  <si>
    <t>http://ts.21cn.com/tousu/show/id/1370726</t>
  </si>
  <si>
    <t>2019/10/18 09:54:49</t>
  </si>
  <si>
    <t>拼多多,拼多多第三方软件-易用飞车,杭州商擎科技有限公司。</t>
  </si>
  <si>
    <t>维信金科</t>
  </si>
  <si>
    <t>http://ts.21cn.com/tousu/show/id/1370725</t>
  </si>
  <si>
    <t>2019/10/18 09:54:42</t>
  </si>
  <si>
    <t>豆豆钱，还款日到了，从来没有电话提醒，信息都没有，逾期后就加收100元，逾期后就有电话通知了，逾期3天后，催收人员，疯狂打我通话记录电话，通讯录电话，跟维信金科客服，各个部门领导沟通，都处理不了。</t>
  </si>
  <si>
    <t>白领贷麦子金服暴力催收</t>
  </si>
  <si>
    <t>http://ts.21cn.com/tousu/show/id/1370724</t>
  </si>
  <si>
    <t>2019/10/18 09:54:32</t>
  </si>
  <si>
    <t>本人手机号畅通却在没有联系本人的情况下直接联系紧急联系人，对本人造成极大困扰。</t>
  </si>
  <si>
    <t>http://ts.21cn.com/tousu/show/id/1370723</t>
  </si>
  <si>
    <t>2019/10/18 09:53:35</t>
  </si>
  <si>
    <t>本人兄弟欠该机构钱，但是与本人已经很久没有联系，招联金融从去年就一直骚扰我，告知不要再给我打电话，甚至扬言要晚上十二点给我打电话。</t>
  </si>
  <si>
    <t>借款没到账就显示放款成功</t>
  </si>
  <si>
    <t>http://ts.21cn.com/tousu/show/id/1370722</t>
  </si>
  <si>
    <t>2019/10/18 09:53:17</t>
  </si>
  <si>
    <t>投诉人刘先生投诉对象贷上钱涉诉金额1500元问题类型诉求类型投诉详情钱到银行存管账户，没放款到我银行卡，客服电话打不通。</t>
  </si>
  <si>
    <t>玖富万卡高利贷，砍头息，阴阳合同</t>
  </si>
  <si>
    <t>http://ts.21cn.com/tousu/show/id/1370720</t>
  </si>
  <si>
    <t>2019/10/18 09:52:48</t>
  </si>
  <si>
    <t>该平台合同金额和实际到账金额不相符，本人借贷本金为30000元，期限为36期，软件上显示到账金额36600元，而合同金额却是52283.1。</t>
  </si>
  <si>
    <t>拍拍贷</t>
  </si>
  <si>
    <t>http://ts.21cn.com/tousu/show/id/1370719</t>
  </si>
  <si>
    <t>2019/10/18 09:52:46</t>
  </si>
  <si>
    <t>我借拍拍贷好久了，一直再还，最近家里出了问题，暂时现在还不上，平台多次给我的同事，家人，朋友打电话，这个是属于侵犯我个人隐私的，要求停止，而且我最近也看了很多关于拍拍贷的利息问题，太高了。</t>
  </si>
  <si>
    <t>现在的移动客服有什么用</t>
  </si>
  <si>
    <t>http://ts.21cn.com/tousu/show/id/1370717</t>
  </si>
  <si>
    <t>2019/10/18 09:52:09</t>
  </si>
  <si>
    <t>我正常使用手机卡，为什么封我两次短信，多次提出问题一直不给予解答，敷衍用户，现在的人工客服可真难打半个小时都打不通，不打投诉都没人接电话。</t>
  </si>
  <si>
    <t>减免超利，逾期费。</t>
  </si>
  <si>
    <t>http://ts.21cn.com/tousu/show/id/1370718</t>
  </si>
  <si>
    <t>2019/10/18 09:52:06</t>
  </si>
  <si>
    <t>这两天准备还款，发现逾期费不是一般的高604现在21天逾期费到了130多，早已超过国家法定利息，多次至电贵司说有客服联系处理。</t>
  </si>
  <si>
    <t>不给派订单。</t>
  </si>
  <si>
    <t>http://ts.21cn.com/tousu/show/id/1370716</t>
  </si>
  <si>
    <t>2019/10/18 09:51:46</t>
  </si>
  <si>
    <t>有的人十个小时可以跑一千块我不知道公司是如何拍单的。</t>
  </si>
  <si>
    <t>http://ts.21cn.com/tousu/show/id/1370715</t>
  </si>
  <si>
    <t>2019/10/18 09:51:35</t>
  </si>
  <si>
    <t>暴力催收，那我身份证跟个人信息威胁我，而且照片还是从我手机上盗取的，我都没发过这张照片。</t>
  </si>
  <si>
    <t>建设银行信用卡收取高额违约金</t>
  </si>
  <si>
    <t>http://ts.21cn.com/tousu/show/id/1370714</t>
  </si>
  <si>
    <t>本人于2015年-2016使用建设银行信用卡，中途最低还款，但是建设银行收取了我的全额违约金，要求退还部分违约金，以及退回逾期的对应违约金，信用卡之前不知道还款日，导致逾期，后面客服电话打来一次性还清，利息多了好几千，打银行客服26536工号电话申请退还违约金含含糊糊不给退。</t>
  </si>
  <si>
    <t>投诉万和利用客户答谢会套路销售净水器。</t>
  </si>
  <si>
    <t>http://ts.21cn.com/tousu/show/id/1370702</t>
  </si>
  <si>
    <t>2019/10/18 09:51:23</t>
  </si>
  <si>
    <t>10月17日白天，接到万和工作人员的电话和短信，通知老用户答谢会，于19:00去参加活动和领礼品，去了那后是万和的健康讲坐，以送礼品、抽奖等方式让我们留下；，期间不允许拍照，说是新产品防止同行竞争，禁止拍照，听他们“刘总”推销“上新产品，京东标价可查”6999的vro-s77h净水器，为答谢老用户，做口碑宣传，厂家给出优惠价3980元，还送了一堆赠品，“幸运”拿到名额的客户要帮忙宣传品牌，期间又是做水质实验，交了100元订金，后又说当天安装的话可免安装费，然后又支付宝扫码3880元全款付清,之后安装人员热心</t>
  </si>
  <si>
    <t>http://ts.21cn.com/tousu/show/id/1370713</t>
  </si>
  <si>
    <t>2019/10/18 09:51:02</t>
  </si>
  <si>
    <t>持续不停委托机构电话轰炸本人及身边人，已严重影响正常生活和工作。</t>
  </si>
  <si>
    <t>易鑫车贷黑心车贷</t>
  </si>
  <si>
    <t>http://ts.21cn.com/tousu/show/id/1370712</t>
  </si>
  <si>
    <t>2019/10/18 09:49:53</t>
  </si>
  <si>
    <t>投诉人 陆先生        投诉对象  易鑫车贷        涉诉金额  110 000 元    问题类型    诉求类型投诉详情  客户高书香在我们 店购买车辆 由易鑫车贷提供贷款服务 贷款通过， 期限36期， 车子提回两个多月 易鑫车贷始终未把车辆贷款 款项放到我们手里 客户通过平台投诉 易鑫车贷竟然 给客户提前结清 不顾我们车商死活 和损失！ 现要求易鑫车贷 做出解释 并对我们车商做出赔偿。十几万的车子 易鑫说推就推了 我们车商总么办</t>
  </si>
  <si>
    <t>民生银行暴力催收</t>
  </si>
  <si>
    <t>http://ts.21cn.com/tousu/show/id/1370711</t>
  </si>
  <si>
    <t>2019/10/18 09:49:03</t>
  </si>
  <si>
    <t>民生银行信用卡部门一直打骚扰电话，我有意愿还款，只是最近家里出现了问题，导致入不敷出，民生银行却一直催收，并且态度恶劣，短信威胁，欠债还钱，没有说不还，之前还款都正常，而且信誉很好，没有特殊原因，没人愿意逾期。</t>
  </si>
  <si>
    <t>百世普惠乱扣钱</t>
  </si>
  <si>
    <t>http://ts.21cn.com/tousu/show/id/1370710</t>
  </si>
  <si>
    <t>2019/10/18 09:48:32</t>
  </si>
  <si>
    <t>百世普惠乱扣款，希望不在扣款并退回所扣的50元！。</t>
  </si>
  <si>
    <t>http://ts.21cn.com/tousu/show/id/1370708</t>
  </si>
  <si>
    <t>2019/10/18 09:47:44</t>
  </si>
  <si>
    <t>我在时光分期上借了6000元，分了十二期，每期还的679.94元，我已经还的剩余三期了，利息实在太高了，本金我已经还够了，我现在想知道6000元按照国家的那个利息九个月是多少钱的利息，。</t>
  </si>
  <si>
    <t>趣花分期</t>
  </si>
  <si>
    <t>http://ts.21cn.com/tousu/show/id/1370709</t>
  </si>
  <si>
    <t>严重爆通讯录，严重骚扰通讯录里每一位朋友，群发信息告知本人欠款一事，冒充法务部，和法院。</t>
  </si>
  <si>
    <t>恶意骚扰，恐吓，曝光通讯录</t>
  </si>
  <si>
    <t>http://ts.21cn.com/tousu/show/id/1370707</t>
  </si>
  <si>
    <t>2019/10/18 09:46:19</t>
  </si>
  <si>
    <t>恶意骚扰，恐吓，骚扰通讯录，对本人及家属造成严重困扰。</t>
  </si>
  <si>
    <t>不处理客户问题，非法占用他人钱财，贪污挪用资金</t>
  </si>
  <si>
    <t>http://ts.21cn.com/tousu/show/id/1370706</t>
  </si>
  <si>
    <t>2019/10/18 09:46:15</t>
  </si>
  <si>
    <t>8.29号的货款没有到账，系统显示是结清的，事实上没有到账，打电话给商城说是在处理中，目前已经一个月20天了，还没有结清。</t>
  </si>
  <si>
    <t>拼多多商家拒开发票，拼多多平台不给解决</t>
  </si>
  <si>
    <t>http://ts.21cn.com/tousu/show/id/1370705</t>
  </si>
  <si>
    <t>2019/10/18 09:46:11</t>
  </si>
  <si>
    <t>本人在拼多多平台问拓官方旗舰店购买iWatch一台，现已快两周，商家未开发票，一再拖延，拼多多平台也未找到投诉入口。</t>
  </si>
  <si>
    <t>京东售后不理，没到货，一直不退款</t>
  </si>
  <si>
    <t>http://ts.21cn.com/tousu/show/id/1370704</t>
  </si>
  <si>
    <t>2019/10/18 09:45:30</t>
  </si>
  <si>
    <t>在9月24号上午下单成功，当时京东给的提示是9.27号前送达，但是卖家当时无法提供物流单号2.，网页及手机端都没有联系客服的渠道提交后都是直接跳转到三方客服，但是三方客服一直是敷衍的状态，不正面回答问题，不退款5. 现在已经超过规定的30天了，还没到，订单就这样结束了，不知道该怎么联系，10月2号问客服，因为马上要自动确认收货了，实际货物还不知道在哪，我也没收到，客服说的是收到货物后再联系退款4.，无法联系京东客服，正常工作时间，打电话30分钟没有接通。</t>
  </si>
  <si>
    <t>尚德机构退费销售虚假宣传，售后态度恶劣</t>
  </si>
  <si>
    <t>http://ts.21cn.com/tousu/show/id/1370701</t>
  </si>
  <si>
    <t>2019/10/18 09:45:14</t>
  </si>
  <si>
    <t>本人于2018年10月报名尚德机构行政管理黄金条款班他们前期销售对我承诺考包过，还有考不过退费，而且说每天学习10到15分钟，还有有考试的原题85分到95分，而且还一直告诉我是报名最后一天，而且学费也从百分百，到5.5折再到第三天的5折，我和他们售后反映问题，他们态度也是爱答不理，而且老师上课质量特别差，全是按ppt读，也不会回答问题，学历于承诺不一样，售前承诺老师说清华北大高材生，结果现实只是普通本科学历，销售还给我私开贷款，用着教育分期的名号，给我开通第三方贷款，这种教务老师还嚣张的说你尽管投诉，他不怕</t>
  </si>
  <si>
    <t>捷信催收威胁我，要对我进行人身攻击</t>
  </si>
  <si>
    <t>http://ts.21cn.com/tousu/show/id/1370703</t>
  </si>
  <si>
    <t>2019/10/18 09:45:13</t>
  </si>
  <si>
    <t>之前我与捷信一个自称为刘主任的，协商还款，他同意我按月还款，到今天突然通知我不能按月还款了，要走访调查我，并且把这件事，告诉我的亲朋好友，对于你们这样出尔反尔的行为，我接受不了，还是希望可以按月还款，协商解决一下，如果协商不成，我将会向法院起诉你们捷信，。</t>
  </si>
  <si>
    <t>拍拍贷称要联系亲戚朋友然后直接挂了</t>
  </si>
  <si>
    <t>http://ts.21cn.com/tousu/show/id/1370698</t>
  </si>
  <si>
    <t>2019/10/18 09:44:42</t>
  </si>
  <si>
    <t>130块钱你们就要打电话给亲戚朋友爆通讯录。</t>
  </si>
  <si>
    <t>安逸花暴力骚扰</t>
  </si>
  <si>
    <t>http://ts.21cn.com/tousu/show/id/1370695</t>
  </si>
  <si>
    <t>2019/10/18 09:43:37</t>
  </si>
  <si>
    <t>暴力骚扰，疯狂打同事电话已经影响到正常上班，未还款实际情况已经如实告知，并且已经处理了1000元整，仍是继续骚扰，疯狂催收，影响正常生活。</t>
  </si>
  <si>
    <t>http://ts.21cn.com/tousu/show/id/1370699</t>
  </si>
  <si>
    <t>2019/10/18 09:43:33</t>
  </si>
  <si>
    <t>投诉人赵先生投诉对象Wecash闪银涉诉金额1400元问题类型诉求类型投诉详情工作人员威胁我，让我等着，要爆通讯录，恐吓，骚扰。</t>
  </si>
  <si>
    <t>有用分期（有钱用）变相高利贷</t>
  </si>
  <si>
    <t>http://ts.21cn.com/tousu/show/id/1370697</t>
  </si>
  <si>
    <t>投诉人易先生投诉对象有钱用涉诉金额6000元问题类型诉求类型投诉详情本人于2019年6月份在融360平台申请借款有钱用到账6000元，分12期归还，总利息为2580元加罚息28.6共计2608.6元，远高于国家规定的利息上限，因此，本人要求有钱用调整利息，协商还款，否则本人将拒绝还款，并继续向上级金融主管部门投诉。</t>
  </si>
  <si>
    <t>易安保险拨打客服退保一直没人联系</t>
  </si>
  <si>
    <t>http://ts.21cn.com/tousu/show/id/1370696</t>
  </si>
  <si>
    <t>2019/10/18 09:43:24</t>
  </si>
  <si>
    <t>9月份就拨打易安保险的电话要进行退保，客服承诺3个工作日就会有人联系，结果一直没人联系，之后一共拨打过4次电话，客服人员一直说是3个工作日联系，结果到现在也没人联系，10月23号保单就要到期了，这是准备拖到这个时间么，希望尽快联系我，如果不联系那就去银监会进行投诉。</t>
  </si>
  <si>
    <t>打电话发短信威胁我家人</t>
  </si>
  <si>
    <t>http://ts.21cn.com/tousu/show/id/1370694</t>
  </si>
  <si>
    <t>2019/10/18 09:42:59</t>
  </si>
  <si>
    <t>发短信打电话威胁我家人.我已立案报警.停止威胁我家里人。</t>
  </si>
  <si>
    <t>http://ts.21cn.com/tousu/show/id/1370693</t>
  </si>
  <si>
    <t>2019/10/18 09:42:55</t>
  </si>
  <si>
    <t>你我贷催收恐吓，逾期1天跟你我贷催收协商，身体原因都没去上班，协商晚几天还款，你我贷催收告知今天中午11点不还款都通知所有亲戚朋友说欠款不还。</t>
  </si>
  <si>
    <t>钱伴暴力催收泄漏隐私</t>
  </si>
  <si>
    <t>http://ts.21cn.com/tousu/show/id/1370692</t>
  </si>
  <si>
    <t>2019/10/18 09:42:12</t>
  </si>
  <si>
    <t>投诉人陈伯偕投诉对象钱伴涉诉金额800元问题类型诉求类型投诉详情在昨天本来答应好还款的情况下也有告知在上班会晚一些，该名催收拼命轰炸本人号码，严重影响本人工作，现在已经被部门开除，还有催收是直接搜索本人手机号码添加微信的，是否我们的资料现在就去全部公开泄漏出来的，催收手里不是应该只有虚拟号码吗，昨天已经有一条投诉了，平台置之不理催收无所谓惧，今天我就再投诉这一天，平台如果还是无动于衷，我也只能继续在别的平台投诉并找媒体曝光跟向有关部门举报谢谢。</t>
  </si>
  <si>
    <t>并未欠钱，然后一直爆我通讯录，外加群发，还想上门，</t>
  </si>
  <si>
    <t>http://ts.21cn.com/tousu/show/id/1370691</t>
  </si>
  <si>
    <t>2019/10/18 09:41:50</t>
  </si>
  <si>
    <t>加了逾期费用，说我借了七天的，这个就是714，砍头息，现在就需要政府部门重视，现在说要直接上门，算不算恐吓呢，。</t>
  </si>
  <si>
    <t>指上旅行暴力催收</t>
  </si>
  <si>
    <t>http://ts.21cn.com/tousu/show/id/1370690</t>
  </si>
  <si>
    <t>2019/10/18 09:41:04</t>
  </si>
  <si>
    <t>威胁爆通讯录，威胁发彩信P图群发到亲友，希望重视。</t>
  </si>
  <si>
    <t>翼支付不当催收，软暴力催收</t>
  </si>
  <si>
    <t>http://ts.21cn.com/tousu/show/id/1370689</t>
  </si>
  <si>
    <t>2019/10/18 09:40:30</t>
  </si>
  <si>
    <t>本人2019年5月4日通过翼支付平台，办理甜橙分期6000元分期业务，10月份因为工资拖欠未能及时还款，已与客服说明，20号发工资处理欠款，在本人能联系上，的情况下给我通讯录好友打电话，已陆续有好几个好友向我问明情况，本人已经向翼支付平台反映过，客服说要我通讯录好友通话录音，没有录音他们没法受理投诉，现在已严重影响个人声誉，这是否已违反国家法律规定，希望处罚不当催收人员，并让催收本人道歉，赔偿本人名誉损失。</t>
  </si>
  <si>
    <t>众人帮包庇商家</t>
  </si>
  <si>
    <t>http://ts.21cn.com/tousu/show/id/1370664</t>
  </si>
  <si>
    <t>2019/10/18 09:40:11</t>
  </si>
  <si>
    <t>投诉人张先生投诉对象众人帮涉诉金额1600元问题类型诉求类型投诉详情众人帮商家：十月，此商家在微信对称是众人帮皇冠会员可以快速帮忙代推推广，然后拿了钱不办事，本人缴纳了1600元推广费，后来得知还有十几名用户也被骗取推广费，我这里有证据材料的金额最低已经达到3000元，一些还没提过的合集骗取金额达到万元以上，微微信失联，本人打过众人帮客服寻求帮助联系此用户，但是客服草草了事，不提供任何帮助，我有理由怀疑众人帮包庇商家，因为像这种皇冠会员可以给众人帮一个月带来十几万的流水，所以进行包庇，如果众人帮继续不理不睬</t>
  </si>
  <si>
    <t>大米花花高额的砍头息逾期费</t>
  </si>
  <si>
    <t>http://ts.21cn.com/tousu/show/id/1370688</t>
  </si>
  <si>
    <t>2019/10/18 09:39:47</t>
  </si>
  <si>
    <t>大米花花我是在qq上看到的连接.当时因为比较急着周转一下所以就点开了连接.但是在所有信息都填写好以后,就直接开始了申请.当时也急没在意.但是一到账吓了一跳,原来到账1560元,10月13号到账需要做10月17号划款需要还款2600元.这利息费用高的可怕.砍头息高的吓人.而且因为昨天我实在是没有周转资金,导致了一天的逾期,他们这个一天的逾期费也是搞得可怕.逾期一天多了130元.我现在也是资金周转不过来.所以我希望可以和平台沟通,可以协商本金销账再加上正常利率的利息.。</t>
  </si>
  <si>
    <t>高利贷恶意催收</t>
  </si>
  <si>
    <t>http://ts.21cn.com/tousu/show/id/1370686</t>
  </si>
  <si>
    <t>2019/10/18 09:39:43</t>
  </si>
  <si>
    <t>投诉人 林先生        投诉对象  360借条        涉诉金额  23 000 元    问题类型    诉求类型投诉详情  360借条高利息 恶意催收 电话恶意骚扰</t>
  </si>
  <si>
    <t>汇潮支付为714提供贷款支付</t>
  </si>
  <si>
    <t>http://ts.21cn.com/tousu/show/id/1370674</t>
  </si>
  <si>
    <t>2019/10/18 09:39:34</t>
  </si>
  <si>
    <t>投诉人张先生投诉对象卧龙钱包,一秒陛下,想你分期涉诉金额13200元问题类型诉求类型投诉详情本人因这几天资金困难，在趣花分期app里面借款，但是通过轻借页面进入了一系列的网贷。</t>
  </si>
  <si>
    <t>你我贷威胁发照片</t>
  </si>
  <si>
    <t>http://ts.21cn.com/tousu/show/id/1370687</t>
  </si>
  <si>
    <t>2019/10/18 09:39:33</t>
  </si>
  <si>
    <t>投诉人 黄建        投诉对象  你我贷        涉诉金额  4 000 元    问题类型    诉求类型投诉详情  不知道我发的朋友圈照片怎么被盗用了 很可恶</t>
  </si>
  <si>
    <t>跟男生见一面，不合适，要退款，却收我高达六千八的费用</t>
  </si>
  <si>
    <t>http://ts.21cn.com/tousu/show/id/1370685</t>
  </si>
  <si>
    <t>2019/10/18 09:39:15</t>
  </si>
  <si>
    <t>投诉人 吕女士        投诉对象  青岛市市南珍爱店        涉诉金额  6 800 元    问题类型    诉求类型投诉详情  不合理收费</t>
  </si>
  <si>
    <t>还没到还款日就开始打骚扰电话</t>
  </si>
  <si>
    <t>http://ts.21cn.com/tousu/show/id/1370684</t>
  </si>
  <si>
    <t>2019/10/18 09:39:11</t>
  </si>
  <si>
    <t>利息高就算了，还款日前一天就开始打骚扰电话，还款日更是一天几十个电话，有逾期过一分钟吗，本人一直都是按时还款，下次我还接到人工电话的话。</t>
  </si>
  <si>
    <t>投诉中国招商银行信用卡</t>
  </si>
  <si>
    <t>http://ts.21cn.com/tousu/show/id/1370682</t>
  </si>
  <si>
    <t>2019/10/18 09:38:37</t>
  </si>
  <si>
    <t>老是给我发短信骚扰我一个月几条短信要求给我赔偿精神损失。</t>
  </si>
  <si>
    <t>http://ts.21cn.com/tousu/show/id/1370683</t>
  </si>
  <si>
    <t>2019/10/18 09:38:32</t>
  </si>
  <si>
    <t>第三期时候逾期一天我说下午2点之前还上因为要问朋友借。</t>
  </si>
  <si>
    <t>御剑飞行高利息砍头息，强制放款，还款日不停骚扰，要求退还砍头息</t>
  </si>
  <si>
    <t>http://ts.21cn.com/tousu/show/id/1370662</t>
  </si>
  <si>
    <t>2019/10/18 09:38:16</t>
  </si>
  <si>
    <t>投诉人王先生投诉对象御剑飞行涉诉金额1400元问题类型诉求类型投诉详情本人在御剑飞行借款，然后显示审核中，但是我没有点借款，钱就打到账上了，到账2100五天还3500，还款日当天，不停以境外电话骚扰，对本人工作带来了麻烦，要求退还砍头息。</t>
  </si>
  <si>
    <t>天下信用给高炮平台变相收取砍头息费用</t>
  </si>
  <si>
    <t>http://ts.21cn.com/tousu/show/id/1370681</t>
  </si>
  <si>
    <t>2019/10/18 09:37:28</t>
  </si>
  <si>
    <t>查看扣款是到天下信用，为秒白条这种714高炮平台提供变相砍头息服务要求退费。</t>
  </si>
  <si>
    <t>网贷平台工作人员对贷款人威胁恐吓</t>
  </si>
  <si>
    <t>http://ts.21cn.com/tousu/show/id/1370679</t>
  </si>
  <si>
    <t>2019/10/18 09:37:13</t>
  </si>
  <si>
    <t>对贷款人多次威胁！恐吓！骚扰！给贷款人心里和生活上造成严重影响！。</t>
  </si>
  <si>
    <t>口袋有米高利贷</t>
  </si>
  <si>
    <t>http://ts.21cn.com/tousu/show/id/1370680</t>
  </si>
  <si>
    <t>2019/10/18 09:37:03</t>
  </si>
  <si>
    <t>提交资料后直接放款，没有经过个人同意，实际到账1020，需要还款1700元，期限不到7天。</t>
  </si>
  <si>
    <t>你我贷恶意催收，骚扰</t>
  </si>
  <si>
    <t>http://ts.21cn.com/tousu/show/id/1370678</t>
  </si>
  <si>
    <t>2019/10/18 09:36:52</t>
  </si>
  <si>
    <t>您好，本人因朋友借钱不还，导致大面积逾期，包括你我贷，我在你我贷已经结清一次，不是不还是现在没有还款能力，本人也在兼职，努力赚钱，慢慢还钱，我接受上征信，不接受长期恶意催收，恶意骚扰本人和家人，我借钱，我有义务还钱，有义务还法律规定内利率的款项，家人没有义务给我还钱！所以恳请您不要做超出自己范围的骚扰，如果继续。</t>
  </si>
  <si>
    <t>钱站和凡普信贷阴阳合同</t>
  </si>
  <si>
    <t>http://ts.21cn.com/tousu/show/id/1370677</t>
  </si>
  <si>
    <t>2019/10/18 09:36:19</t>
  </si>
  <si>
    <t>凡普信贷我借25000元，还3年我还18个月了，但是和同学写的是39000元！钱站和他是一家的我借1200还2100百多！。</t>
  </si>
  <si>
    <t>高利贷！714高炮！套路贷</t>
  </si>
  <si>
    <t>http://ts.21cn.com/tousu/show/id/1370676</t>
  </si>
  <si>
    <t>2019/10/18 09:35:16</t>
  </si>
  <si>
    <t>本人前几日在某平台上经推荐下载了群利花app，到账2千，5天到期后还款却要3240元，典型的高利贷，本人因资金短缺现在已经无力承担如此高额的利息费用，在国家如此强大的重压之下还能有漏网之鱼，天理何在，现在要求协商解决，如若不成将拿起法律武器来保护自己！已在派出所备案！。</t>
  </si>
  <si>
    <t>闪电微商坑消费者</t>
  </si>
  <si>
    <t>http://ts.21cn.com/tousu/show/id/1370309</t>
  </si>
  <si>
    <t>2019/10/18 09:35:02</t>
  </si>
  <si>
    <t>投诉人孙先生投诉对象七啸公司,闪电微商涉诉金额18元问题类型诉求类型投诉详情微信人太少，需要加人，就在百度上搜索了下，然后找到了闪电微商，承诺的是可以加附近的人，但是我加了差不多300人，但是没有没有一个人同意的，百度上的介绍就是坑人，我充值了18元，希望这个公司尽快退款，让公司给所有被坑消费者退款！必须道歉！！！。</t>
  </si>
  <si>
    <t>http://ts.21cn.com/tousu/show/id/1370675</t>
  </si>
  <si>
    <t>2019/10/18 09:34:53</t>
  </si>
  <si>
    <t>本人于2019年7月18日通过段短信链接下载了去花花平台，填好资料显示是3500总额度，提交之后下款只有2450元，三个月，分6期，前五期每期596.93，最后一期604，一共需要还3588.65，这不是典型的砍头息加高利贷，逾期费是每天50，本人已经还了五期，一共3023.86元。</t>
  </si>
  <si>
    <t>http://ts.21cn.com/tousu/show/id/1370672</t>
  </si>
  <si>
    <t>2019/10/18 09:34:17</t>
  </si>
  <si>
    <t>华农钱庄汇潮以后高利贷砍头息</t>
  </si>
  <si>
    <t>http://ts.21cn.com/tousu/show/id/1370673</t>
  </si>
  <si>
    <t>2019/10/18 09:34:08</t>
  </si>
  <si>
    <t>华农钱庄非法高利贷，宣传的时候写的30天，点进去申请额度就直接下款了，而且只有5天的的期限，也取消不了，合同2500，实际到账只有1375元，扣了1125元，简直吓人，希望能给个说法，要是对我进行骚扰，必追究责任，软件是通过哪咤闪电贷下载的，支付通道是汇潮支付。</t>
  </si>
  <si>
    <t>京东白条窃取个人信息</t>
  </si>
  <si>
    <t>http://ts.21cn.com/tousu/show/id/1370670</t>
  </si>
  <si>
    <t>2019/10/18 09:32:54</t>
  </si>
  <si>
    <t>京东白条窃取客户充值话费的手机号码信息！已经涉嫌违法犯罪！。</t>
  </si>
  <si>
    <t>闪银套路强制扣除500元服务费</t>
  </si>
  <si>
    <t>http://ts.21cn.com/tousu/show/id/1370671</t>
  </si>
  <si>
    <t>2019/10/18 09:32:34</t>
  </si>
  <si>
    <t>本人是新用户，在闪银借款5000，分3期还款，每期1766.18元，本金加利息一共5298.54元，当时收到借款5000元，放款后却提示三日内强制扣除500元新人担保服务费，在借款前并没有提示要扣这500服务费，提交借款申请成功后才提示三日内扣除500元的新人担保服务费，摆明了是套路，涉嫌高利贷及虚假宣传和头息行为，在线联系客服只收到系统机器人回复，明显是坑人，这明显是强制扣费，变相高利贷，我只要求撤销500元服务费，剩余借款我会按日还款，希望能找回自己的合法权益，保护自己的经济利益。</t>
  </si>
  <si>
    <t>高额利息，不符合规定</t>
  </si>
  <si>
    <t>http://ts.21cn.com/tousu/show/id/1370669</t>
  </si>
  <si>
    <t>2019/10/18 09:32:30</t>
  </si>
  <si>
    <t>高达7000的利息，还嚣张的说完全符合规定，还威胁本人，要打遍本人的通讯录好友，让他们去算一算。</t>
  </si>
  <si>
    <t>快贷钱伴恐吓催收</t>
  </si>
  <si>
    <t>http://ts.21cn.com/tousu/show/id/1370668</t>
  </si>
  <si>
    <t>2019/10/18 09:32:17</t>
  </si>
  <si>
    <t>平台借了钱，因为是当时是急需，所以没有看利息，后来发现利息有本金的一大半，今天打电话给我让我六个小时之内处理完，不然就要骚扰我的亲朋好友，生活受到严重影响，客服语气强硬没有商讨机会。</t>
  </si>
  <si>
    <t>永恒优享714高炮高利贷，快到期了还不了款，恶意收逾期费还</t>
  </si>
  <si>
    <t>http://ts.21cn.com/tousu/show/id/1370667</t>
  </si>
  <si>
    <t>2019/10/18 09:31:59</t>
  </si>
  <si>
    <t>永恒优享8天期限，到账650还款939，借了两笔利息高达578，明天到期了，居然还还不了款，联系客服说让转账到私人支付宝账号，银行卡还款还不了，不敢还，怕不销账，怀疑平台恶意让我们逾期，收取逾期费用，高利贷还要这样操作，太嚣张了。</t>
  </si>
  <si>
    <t>wecash闪银高利贷</t>
  </si>
  <si>
    <t>http://ts.21cn.com/tousu/show/id/1370666</t>
  </si>
  <si>
    <t>2019/10/18 09:31:54</t>
  </si>
  <si>
    <t>本人于2019年7月10日向wecash闪银借款1000元8月7日归还，由于第二个月工作不稳定，所以拖欠至现在，现在我还但是逾期利息已经达494元，所以我想通过聚投诉调节只还法律规定的那部分本金和利息。</t>
  </si>
  <si>
    <t>诱导签定霸王合同，服务与描述不符</t>
  </si>
  <si>
    <t>http://ts.21cn.com/tousu/show/id/1370665</t>
  </si>
  <si>
    <t>2019/10/18 09:31:16</t>
  </si>
  <si>
    <t>本人与世纪佳缘签定16800元婚恋服务合同，签约时诱导说多家门店女生资源共享，精准匹配，一对一服务，先交了5千多定金，后分6期付款，每期1960元，已付两期，现在发现休息的时候根本没有合适的人约见，实在急了随便叫人约见一下完成一次约见任务，心里落差很大，要求停止服务，停止分期，不同意，每月被迫交纳分期1960元，否则会产生利息，影响征信，无奈至极。</t>
  </si>
  <si>
    <t>移动流量扣费不提前通知</t>
  </si>
  <si>
    <t>http://ts.21cn.com/tousu/show/id/1370661</t>
  </si>
  <si>
    <t>2019/10/18 09:30:37</t>
  </si>
  <si>
    <t>投诉人宋坤宇投诉对象中国移动涉诉金额130元问题类型诉求类型投诉详情每次都是刚收到流量不足的短信准备关掉网络然后就是一连串的停机扣费短信根本没有给人时间这是移动的老毛病要求退还自己在采取措施的时间段扣取的费用。</t>
  </si>
  <si>
    <t>闪电借款骚扰暴力无法正常工作</t>
  </si>
  <si>
    <t>http://ts.21cn.com/tousu/show/id/1370660</t>
  </si>
  <si>
    <t>2019/10/18 09:30:30</t>
  </si>
  <si>
    <t>闪电借款，外包吹收，没法律责任，没用国家规定一天不过三个电话，不能骚扰朋友和亲人，爆通信讯，，都协商好过些日子还款，，每天还是不停的暴力催收，本人都无法工作。</t>
  </si>
  <si>
    <t>发送威胁短信</t>
  </si>
  <si>
    <t>http://ts.21cn.com/tousu/show/id/1370663</t>
  </si>
  <si>
    <t>2019/10/18 09:30:28</t>
  </si>
  <si>
    <t>发短信威胁我说要联系通讯录里的朋友家人同事！。</t>
  </si>
  <si>
    <t>砍头息高利贷套路贷暴力催收</t>
  </si>
  <si>
    <t>http://ts.21cn.com/tousu/show/id/1370659</t>
  </si>
  <si>
    <t>2019/10/18 09:30:25</t>
  </si>
  <si>
    <t>快闪卡贷砍头息高利问题不解决，现还更名为小闪分期，分明是套路贷的迹像，砍头的2000元一天一百元的利息天天信息骚扰，之前对本人暴力催收爆通讯，电话威胁和泄漏本人个人信息，现每天都会有不同号码多次骚扰，严重影响了本人的正常工作和生活，而且我的征信也因砍头息高利贷被弄的成不良影响，现对本人的声誉造成极坏的恶劣影响！现强烈要求停止一切骚扰并对本人已归还到账的八千元及利息进行贷款销账及恢复正常征信，并要求对本人造成的征信和声誉进行赔偿。</t>
  </si>
  <si>
    <t>青岛联信公司受美团公司上门催收</t>
  </si>
  <si>
    <t>http://ts.21cn.com/tousu/show/id/1370658</t>
  </si>
  <si>
    <t>2019/10/18 09:29:48</t>
  </si>
  <si>
    <t>青岛联信公司人员打电话，153******71-153******76-131******32让我一个小时凑够15000，还不上去家里上门取证，家里没人去老家公社，去单位取证，我现在工作都没了，让我一下子还那么多，我也没有故意拖欠，但现在实在是有困难，。</t>
  </si>
  <si>
    <t>芒果旺卡快乐通宝小额贷款有限公司</t>
  </si>
  <si>
    <t>http://ts.21cn.com/tousu/show/id/1370657</t>
  </si>
  <si>
    <t>2019/10/18 09:29:29</t>
  </si>
  <si>
    <t>由于本人身份证银行卡丢失，绑定的卡号已换，后还款日挂扣不了，每天就只收到短信，短信上也没有任何联系方式，手机搜索APP无法下载！16日接到电话说一app升级改不了卡号要求对公说金额是903块几！具体记不住！本人于昨日转账904今天早上接到催收电话说应还914！一没有任何地方可以查看金额！二由于你APP升级未告知不能下载导致我逾期三没有任何渠道可以查看我的任何资料！这个锅我不背！。</t>
  </si>
  <si>
    <t>龙分期还款不销账还登陆不上</t>
  </si>
  <si>
    <t>http://ts.21cn.com/tousu/show/id/1370656</t>
  </si>
  <si>
    <t>2019/10/18 09:28:47</t>
  </si>
  <si>
    <t>投诉人 周女士        投诉对象  龙分期,小树时代        涉诉金额  180 元    问题类型    诉求类型投诉详情  还完款不销账好多次了 现在账号也登陆不上 电话打过去停机客服也联系不上 要求尽快给我销账</t>
  </si>
  <si>
    <t>摇钱花协商一次性还清</t>
  </si>
  <si>
    <t>http://ts.21cn.com/tousu/show/id/1370655</t>
  </si>
  <si>
    <t>2019/10/18 09:28:38</t>
  </si>
  <si>
    <t>投诉人白女士投诉对象摇钱花,小赢卡贷涉诉金额8000元问题类型诉求类型投诉详情之前想协商一次性还清，客服电话打不通，今天逾期第一天立马就打电话说一个小时处理不上就给家人朋友打电话，对我心里造成了严重压力，我现在要求一次性全部处理，不然就投诉跟报警解决。</t>
  </si>
  <si>
    <t>来分期利息别那么高好不好？我也要生活</t>
  </si>
  <si>
    <t>http://ts.21cn.com/tousu/show/id/1370653</t>
  </si>
  <si>
    <t>2019/10/18 09:28:17</t>
  </si>
  <si>
    <t>本人在来分期借款两次，一次10000一次800都分了12期，但是到了最后家里人知道了，想帮我把剩余的都还了可是一还才知道这个提前还款还要收这么高的利息，实在不知道该怎么办，我是怎么都找不到他们的客服，只能到平台希望他们客服和我能及时联系问问其中，的原因！而且查看历史账单给我展示的都是没有是不是害怕我算其中的利息！望平台给予帮助，给我一个重新做人的机会。</t>
  </si>
  <si>
    <t>请求延期还款</t>
  </si>
  <si>
    <t>http://ts.21cn.com/tousu/show/id/1370654</t>
  </si>
  <si>
    <t>2019/10/18 09:28:16</t>
  </si>
  <si>
    <t>本人在闪银APP有一笔新至尊借款，共三期，现在剩下最后一期逾期4天了，在这里我想通过聚投诉平台向闪银催收客服申请一下延期了还款，或者在给我几天的时间，因为不是没有还款的意愿，本平台的其他逾期借款我以大部分解决处理！！谢谢！！。</t>
  </si>
  <si>
    <t>信用钱包高利贷，暴力催收</t>
  </si>
  <si>
    <t>http://ts.21cn.com/tousu/show/id/1370651</t>
  </si>
  <si>
    <t>2019/10/18 09:28:08</t>
  </si>
  <si>
    <t>去年1月份在信用钱包高利贷贷款10000元，第二天早上催收打来电话，态度强势，威胁恐吓，威胁我说，如果十点钟不还钱，直接联系父母亲人朋友同事，帮我去借钱，然后挂了电话没有半个小时，就联系到了我的父母，本人是违约，该承担的我承担，但你们这种催收，属于违法爆通讯录。</t>
  </si>
  <si>
    <t>宝付支付并且服务人员服务恶略</t>
  </si>
  <si>
    <t>http://ts.21cn.com/tousu/show/id/1370652</t>
  </si>
  <si>
    <t>2019/10/18 09:28:03</t>
  </si>
  <si>
    <t>宝付支付恶意扣费！并且服务人员态度恶略！要求他们做出赔偿！并且我并为用过他们平台！就算有贷款也都已还款。</t>
  </si>
  <si>
    <t>好分期高炮高利率</t>
  </si>
  <si>
    <t>http://ts.21cn.com/tousu/show/id/1370650</t>
  </si>
  <si>
    <t>2019/10/18 09:27:56</t>
  </si>
  <si>
    <t>本人今年8月10号借了2100，当月15号就还上了，可他们平台给我从卡上扣了2400多！这也就借用了5天不到，就莫名其妙多收了300多，如此高的利率，简单坑死人不偿命啊！！！！平台不给个说法，举报到底。</t>
  </si>
  <si>
    <t>聚富分期欺诈扣款</t>
  </si>
  <si>
    <t>http://ts.21cn.com/tousu/show/id/1370649</t>
  </si>
  <si>
    <t>2019/10/18 09:27:20</t>
  </si>
  <si>
    <t>我在聚富分期上面注册一个账号，发现是个中介平台，于是就卸载了，结果后面什么没操作，就扣除299元，我在网上搜了好多发现有上万人受骗了，现在银行卡里面钱在没有合同之下，没有自己手动操作直接可以扣钱了么，是什么让他们如此胆大。</t>
  </si>
  <si>
    <t>360手机换屏</t>
  </si>
  <si>
    <t>http://ts.21cn.com/tousu/show/id/1370648</t>
  </si>
  <si>
    <t>2019/10/18 09:24:27</t>
  </si>
  <si>
    <t>现在发回厂家维修又告知要400多元的维修费。</t>
  </si>
  <si>
    <t>立借平台高利贷太严重</t>
  </si>
  <si>
    <t>http://ts.21cn.com/tousu/show/id/1370645</t>
  </si>
  <si>
    <t>2019/10/18 09:24:24</t>
  </si>
  <si>
    <t>9月26号到账10500,分三期，三个月要还款14595,实在无能为力，严重超出国家法定利率。</t>
  </si>
  <si>
    <t>爆通讯录上门催收</t>
  </si>
  <si>
    <t>http://ts.21cn.com/tousu/show/id/1370646</t>
  </si>
  <si>
    <t>在捷信金融申请了一笔一万元资金本金早已经还完.利息一共要还一万四千多，因为本人现在正在处理款项.捷信爆通讯录，并组织催收人员上老家催收。</t>
  </si>
  <si>
    <t>解决问题</t>
  </si>
  <si>
    <t>http://ts.21cn.com/tousu/show/id/1370647</t>
  </si>
  <si>
    <t>2019/10/18 09:24:10</t>
  </si>
  <si>
    <t>有没有搞错啊，9点03分就叫我一个钟内还款，今天是还款日期直到今晚12点前也是在还款日内，1个小时后不还款是不是就爆联系人了。</t>
  </si>
  <si>
    <t>广发银行骚扰</t>
  </si>
  <si>
    <t>http://ts.21cn.com/tousu/show/id/1370643</t>
  </si>
  <si>
    <t>2019/10/18 09:24:00</t>
  </si>
  <si>
    <t>逾期几天，最低还款变成全额还款，还不停的打电话骚扰，态度恶劣，不愿意协商还款，和黑社会性质相同的催款方式，由于本人手机，没有接到电话，不停的打办公室电话，骚扰，对其他员工态度恶劣，造成本人工作受到严重影响，要求协商还款，停止骚扰，请贵平台转告。</t>
  </si>
  <si>
    <t>来分期暴力催收</t>
  </si>
  <si>
    <t>http://ts.21cn.com/tousu/show/id/1370644</t>
  </si>
  <si>
    <t>2019/10/18 09:23:43</t>
  </si>
  <si>
    <t>最近资金紧张，逾期6天，跟来分期催收协商周日还款，来分期催收不同意，说今天11点不还款就通知联系人。</t>
  </si>
  <si>
    <t>及时退还我资金</t>
  </si>
  <si>
    <t>http://ts.21cn.com/tousu/show/id/1370642</t>
  </si>
  <si>
    <t>2019/10/18 09:23:38</t>
  </si>
  <si>
    <t>资金不在了，我怀疑拉卡拉是否存在有能力保障我资金安全问题，是如何上市的，或者是挪用我私人资金去干什么，我都不清楚。</t>
  </si>
  <si>
    <t>闪银瞬瞬恐吓。威胁</t>
  </si>
  <si>
    <t>http://ts.21cn.com/tousu/show/id/1370641</t>
  </si>
  <si>
    <t>2019/10/18 09:23:35</t>
  </si>
  <si>
    <t>因债务众多闪银瞬瞬今天第八天开延期，大早上就打电话说九点必须处理。</t>
  </si>
  <si>
    <t>你我贷变相高利贷</t>
  </si>
  <si>
    <t>http://ts.21cn.com/tousu/show/id/1370639</t>
  </si>
  <si>
    <t>2019/10/18 09:22:45</t>
  </si>
  <si>
    <t>我在2019年5月28日在融360平台借到你我贷，共计13500元，分12期归还，至今已还4期，根据平台显示1年总利息为4852.68元，依据现行国家相关法律，远远超过年利率36%的上限，故要求你我贷平台作出利息调整，协商还款。</t>
  </si>
  <si>
    <t>借花钱添加银行卡后无提示扣款198元</t>
  </si>
  <si>
    <t>http://ts.21cn.com/tousu/show/id/1370638</t>
  </si>
  <si>
    <t>2019/10/18 09:22:25</t>
  </si>
  <si>
    <t>借花钱,成都安睿旺蜀网络科技有限公司,快捷通支付，本人在2019年10月17日通过中介软件下载了借花钱app，该平台在填写资料后，从申请借款界面添加银行卡，添加过程中没有任何提示扣款收费的提示，在添加银行卡后没有任何提示的情况下立即被扣款198元，希望聚投诉平台帮助一下。</t>
  </si>
  <si>
    <t>投诉京东白条的工作人员</t>
  </si>
  <si>
    <t>http://ts.21cn.com/tousu/show/id/1370637</t>
  </si>
  <si>
    <t>2019/10/18 09:21:29</t>
  </si>
  <si>
    <t>之前因为周转不开，用了下京东白条的钱，现在说的确有了困难，所以也有跟那边协商，延迟下还款，对方不同意，在电话里发火，说让我24小时之内处理进来不然就要怎样怎样。</t>
  </si>
  <si>
    <t>暴力催收、高利贷、恐吓、不择手段</t>
  </si>
  <si>
    <t>http://ts.21cn.com/tousu/show/id/1368541</t>
  </si>
  <si>
    <t>2019/10/18 09:21:06</t>
  </si>
  <si>
    <t>1、高利贷，融资外部人员的钱，然后放给我们，中间抽取利息，我明确表示停止一切骚扰，停止对借款人的侮辱性的催收，心理承受不起，很容易走歪路，2、恐吓，电话恐吓及威胁本人，今天不还款就联系通讯录及其他联系人，3、总借款18500，前3期还请共计10395.19元，还剩3期，需要还款10437.73元，我需多还232.92元，4、我明确表示，停止一切骚扰，停止对借款人的侮辱性的催收，心理承受不起，很容易走歪路。</t>
  </si>
  <si>
    <t>升学教育机构不给学员退款退费</t>
  </si>
  <si>
    <t>http://ts.21cn.com/tousu/show/id/1370634</t>
  </si>
  <si>
    <t>2019/10/18 09:19:52</t>
  </si>
  <si>
    <t>本人于今年2019年9月报名了升学教育，想着学习一下，提升学历，咨询的时候说有专人给安排课程什么的，听着觉得还可以，就报名了，可是，后来看的时候，没有任何人包括所谓的班主任来说，你应该怎么学，没有计划，没有材料，没有课程，所谓的课表真的是没用的，除了开学典礼我看了后，其他的都没有看过，后来，就不想学了，毕竟我刚进入工作，*只有一点点，每月除了还花呗还要还学贷，有点伤不起了，想要退学，结果不是不能退，可是条件简直可怕！！我一开始还没想明白，我还想着人家态度好，有希望，我这么做有点不道德，总的来说，如果要退学，</t>
  </si>
  <si>
    <t>佰锐分期</t>
  </si>
  <si>
    <t>http://ts.21cn.com/tousu/show/id/1370633</t>
  </si>
  <si>
    <t>2019/10/18 09:19:27</t>
  </si>
  <si>
    <t>投诉人 宋女士        投诉对象  佰锐分期        涉诉金额  1 100 元    问题类型    诉求类型投诉详情  15号申请的口子。因为显示利息400所以找客服取消借款。客服也没理睬我。17号早上看了一下显示待放款。下午的时候一看吧到账了。而且他们口子才俩天期限就要400。今天刚到账今天就要还.因为按借款日算。就相当于刚借出来就要到期还款。然后催收打电话要轰炸我的通讯录。我说协商还款。还本金。客服不予理睬反而变本加厉一说他们不管。现在我手机就被他</t>
  </si>
  <si>
    <t>唯品会买的东西刚买完就降价</t>
  </si>
  <si>
    <t>http://ts.21cn.com/tousu/show/id/1370632</t>
  </si>
  <si>
    <t>2019/10/18 09:19:17</t>
  </si>
  <si>
    <t>在唯品会上买的鞋子，刚买完就降价，商家还不补差价。</t>
  </si>
  <si>
    <t>农行app里的绿森商城下单后过期不发货</t>
  </si>
  <si>
    <t>http://ts.21cn.com/tousu/show/id/1370631</t>
  </si>
  <si>
    <t>2019/10/18 09:19:10</t>
  </si>
  <si>
    <t>我2019年9月26号在农行app里的绿森商城买的苹果11手机黑色128g的，显示货源充足，黑色10个工作日内发完，直到今天10月18号也没发货，刚开始打电话问客服说快发货了时间不确定，现在打客服也打不通了，一在拖延时间。</t>
  </si>
  <si>
    <t>洋钱罐借款平台逼死人，给我打通电话我说晚一天还款，还要爆我通讯录。</t>
  </si>
  <si>
    <t>http://ts.21cn.com/tousu/show/id/1370628</t>
  </si>
  <si>
    <t>2019/10/18 09:18:29</t>
  </si>
  <si>
    <t>我说过晚一点还款，又不是不还，他说就要爆我通讯录，让朋友都知道，我不是不换，确实要晚两天怎么了。</t>
  </si>
  <si>
    <t>放心借存在暴力催收</t>
  </si>
  <si>
    <t>http://ts.21cn.com/tousu/show/id/1370629</t>
  </si>
  <si>
    <t>2019/10/18 09:18:21</t>
  </si>
  <si>
    <t>今天，我放心借逾期了一天，就一天，逼我现在必须要还，我说23号，25号左右有钱还，放心借客服逼我说上征信，打我通讯录的电话，一定要12点之前还，不能协商，没有协商机会，这还要打我通讯录的电话，骚扰我家人，我没说不还，晚几天就这样搞，这不是暴力催收，国家说的暴力催收吗。</t>
  </si>
  <si>
    <t>一秒陛下汇潮支付超高砍头息</t>
  </si>
  <si>
    <t>http://ts.21cn.com/tousu/show/id/1370626</t>
  </si>
  <si>
    <t>2019/10/18 09:18:09</t>
  </si>
  <si>
    <t>投诉人 杨佳宁        投诉对象  一秒陛下,汇潮支付        涉诉金额  2 000 元    问题类型    诉求类型投诉详情  13日从一秒陛下借款2000 到账1300 结果只有5天 展期费用高达800元 汇潮支付为多个高炮平台服务 要求平台给予帮助</t>
  </si>
  <si>
    <t>捷信爆通讯录催收.高利贷.提前还款高额服务费</t>
  </si>
  <si>
    <t>http://ts.21cn.com/tousu/show/id/1370612</t>
  </si>
  <si>
    <t>2019/10/18 09:18:00</t>
  </si>
  <si>
    <t>投诉人璩先生投诉对象捷信金融涉诉金额6000元问题类型诉求类型投诉详情当初因为网络短信提醒办理了捷信金融.签订合同时候没说明多久.最后办理了24期被动付了高额服务费.到第6期准备提前还款发展这个提前还款套路太深.借6000加上服务费小500块钱.第五个月时候提前还款利息高达1000多元.现在连本金带利息已经还了10000多.最后三期因为遇到困难.临时换工作工资没周转过来导致没有还上说周转过来还上.催收不仅爆通讯录.恶意骚扰.非正常工作时间骚扰家人朋友.实在忍无可忍.请问你们挣取别人血汗钱时候怎么的不问问自己</t>
  </si>
  <si>
    <t>完美证件照专业版乱扣费</t>
  </si>
  <si>
    <t>http://ts.21cn.com/tousu/show/id/1370625</t>
  </si>
  <si>
    <t>2019/10/18 09:17:46</t>
  </si>
  <si>
    <t>完美证件照专业版app乱扣费，本人下载此app的时候也没有提示说要收费，在扣费时也没有经过本人确认是否需要开通，且此app里面没有任何客服联系，何处理的方法，更加没有投诉电话可查询。</t>
  </si>
  <si>
    <t>玖富万卡违法收取高额利息，典型套路贷、高利贷、阴阳合同，华夏银行和中国人保协助以上违法行为</t>
  </si>
  <si>
    <t>http://ts.21cn.com/tousu/show/id/1370624</t>
  </si>
  <si>
    <t>2019/10/18 09:16:33</t>
  </si>
  <si>
    <t>投诉人张女士投诉对象玖富,中国人民保险集团,华夏银行涉诉金额27336元问题类型诉求类型投诉详情2018年8月27日晚间18：47：19，玖富万卡使用华夏银行代付，12378保监会投诉专线明确表示保险公司伙同网贷平台捏造阴阳合同，强制搭售保险是违法行为，必须退款退保，支付通道向本人名下招商银行尾号3109借记卡发放人民币20180元，要求分12期偿还，偿还总金额高达人民币27,336.18元，然而玖富公司提供的贷款账单编号11****************3上却显示借款金额人民币20100，还款总金额人民</t>
  </si>
  <si>
    <t>省呗虚假宣传高利贷中原消费</t>
  </si>
  <si>
    <t>http://ts.21cn.com/tousu/show/id/1370623</t>
  </si>
  <si>
    <t>2019/10/18 09:16:11</t>
  </si>
  <si>
    <t>中原消费金融,省呗,马上消费金融,众网小贷,粤财信托，省呗借款里，借了几万元现在才发现利率高利贷中原消费金融利率34.8，并且省呗在app没升级之前并未显示借款利率！严重超过国家法定24利率，并且态度强硬，提前还款不减免利息要全额缴纳利息！我要求提前结清和减免利息。</t>
  </si>
  <si>
    <t>云缴费充值话费不到账，联系不到客服</t>
  </si>
  <si>
    <t>http://ts.21cn.com/tousu/show/id/1370622</t>
  </si>
  <si>
    <t>2019/10/18 09:15:59</t>
  </si>
  <si>
    <t>云缴费微信小程序新用户用红包充值19元可以到账30元话费，我充值了，话费没到账，打客服电话永远都是在忙，希望退款或者充值成功。</t>
  </si>
  <si>
    <t>我来贷联系本人的情况下不予协商，暴通讯录</t>
  </si>
  <si>
    <t>http://ts.21cn.com/tousu/show/id/1370621</t>
  </si>
  <si>
    <t>2019/10/18 09:15:54</t>
  </si>
  <si>
    <t>我来贷催收人员联系本人的情况下，不予本人协商，持续暴通讯录，骚扰无关人员。</t>
  </si>
  <si>
    <t>上海翰银为网路博彩平台的提供收款服务</t>
  </si>
  <si>
    <t>http://ts.21cn.com/tousu/show/id/1370620</t>
  </si>
  <si>
    <t>2019/10/18 09:14:15</t>
  </si>
  <si>
    <t>之后给了一个平台我，叫我往里面充值，接着按照他们的方式投注*，股票，体育，通过中国人民银行和支付清算协会沟通得知第三方支付业务应审核客户的相关信息，第三方支付公司不得向证券、期货、博彩等机构提供支付结算业务，我想把里面的本60000多和收益15000多提款出来的时候，余额就变成0.找客服和那个推广人，都不回复，平台的充值就是用的网银收单方就是上海翰银信息科技有限公司，上海翰银信息科技有限公司有不可推卸的责任，平台名称是金洋娱乐网址是www.xbao788.com，作为有牌照的支付公司没有履行国家相关法律法规</t>
  </si>
  <si>
    <t>捷信金融</t>
  </si>
  <si>
    <t>http://ts.21cn.com/tousu/show/id/1370618</t>
  </si>
  <si>
    <t>2019/10/18 09:13:45</t>
  </si>
  <si>
    <t>投诉人 初女士        投诉对象  捷信金融        涉诉金额  40 000 元    问题类型    诉求类型投诉详情  我在老家干农活 一直打电话 给我家人打电话 这几天干完活 我就处理欠款 一直打电话</t>
  </si>
  <si>
    <t>梁山仙域信息技术有限公司款扣款</t>
  </si>
  <si>
    <t>http://ts.21cn.com/tousu/show/id/1370617</t>
  </si>
  <si>
    <t>2019/10/18 09:13:22</t>
  </si>
  <si>
    <t>无缘无故被他们扣了288元钱要求立马退款都是血汗钱。</t>
  </si>
  <si>
    <t>财付通无故扣款</t>
  </si>
  <si>
    <t>http://ts.21cn.com/tousu/show/id/1370615</t>
  </si>
  <si>
    <t>2019/10/18 09:13:16</t>
  </si>
  <si>
    <t>有道词典会员资格早已过期，我早已关闭有道词典自动续费功能，但财付通依旧每月18号扣款8元给有道词典。</t>
  </si>
  <si>
    <t>http://ts.21cn.com/tousu/show/id/1370616</t>
  </si>
  <si>
    <t>2019/10/18 09:13:09</t>
  </si>
  <si>
    <t>申请借款发现是高利贷，现在还在审核中，客服联系不上，客服电话123123，是个没用的电话号码，利息太高不想借，要求取消订单。</t>
  </si>
  <si>
    <t>邮箱无法登陆</t>
  </si>
  <si>
    <t>http://ts.21cn.com/tousu/show/id/1370614</t>
  </si>
  <si>
    <t>2019/10/18 09:12:27</t>
  </si>
  <si>
    <t>投诉人覃先生投诉对象21CN涉诉金额0元问题类型诉求类型投诉详情qi******g@21cn.com无法登陆，请解决。</t>
  </si>
  <si>
    <t>高利贷黑手汇潮支付</t>
  </si>
  <si>
    <t>http://ts.21cn.com/tousu/show/id/1370611</t>
  </si>
  <si>
    <t>2019/10/18 09:12:05</t>
  </si>
  <si>
    <t>投诉人刘先生投诉对象汇潮支付,金鸡下蛋,威力贷,菜鸟有钱涉诉金额20000元问题类型诉求类型投诉详情汇潮支付多次为高利贷发放贷款，并且提供的公司人去楼空！不配合受害人调查！借款1400，五天还款2000！。</t>
  </si>
  <si>
    <t>投诉期待合伙人收取高额加速服务费</t>
  </si>
  <si>
    <t>http://ts.21cn.com/tousu/show/id/1370613</t>
  </si>
  <si>
    <t>2019/10/18 09:11:44</t>
  </si>
  <si>
    <t>投诉期待合伙人在本人不知情况下，本人借款5000元，违规收取750元的服务费，名义为加速服务费，实际上就是高利贷，砍头息，违反国家规定要求退款减免处理！。</t>
  </si>
  <si>
    <t>分期乐恶意诽谤</t>
  </si>
  <si>
    <t>http://ts.21cn.com/tousu/show/id/1370610</t>
  </si>
  <si>
    <t>2019/10/18 09:11:17</t>
  </si>
  <si>
    <t>在我每个电话都接友好协商的情况下，分期乐公然爆我公司还有联系人短信电话，说我金融诈骗，公然诽谤无视法律。</t>
  </si>
  <si>
    <t>百事普惠、造艺科技未经同意乱扣费</t>
  </si>
  <si>
    <t>http://ts.21cn.com/tousu/show/id/1370608</t>
  </si>
  <si>
    <t>2019/10/18 09:10:28</t>
  </si>
  <si>
    <t>2019年十月初注册，登录上去填写资料后，需要补充资料，然后就卸载了，到10月16日私自从银行卡扣了100元评估费，这令人发指，谁还敢在银行卡放钱，恶意扣费，要求退款！。</t>
  </si>
  <si>
    <t>钱站工作人员短信恐吓！</t>
  </si>
  <si>
    <t>http://ts.21cn.com/tousu/show/id/1370607</t>
  </si>
  <si>
    <t>2019/10/18 09:10:05</t>
  </si>
  <si>
    <t>发短信恐吓！说什么打扰家人，影响关系！提醒一句，猪肉通讯录，任何一人被骚扰，一分钱都别想要！可以按照法律正常流程走。</t>
  </si>
  <si>
    <t>应急贷高利贷</t>
  </si>
  <si>
    <t>http://ts.21cn.com/tousu/show/id/1370606</t>
  </si>
  <si>
    <t>2019/10/18 09:09:43</t>
  </si>
  <si>
    <t>本人于十月十二号再应急贷借款2800元，每日利息200元，再十七号被要求还款3987元，本人无力偿还，尝试和客服沟通希望减免部分利息费用，对方只给减免87元利息费，五天时间要求我支付1100元的利息，我通过平台偿还了本金2800元，微信转账支付利息费用600元，再三协商无果，2800元使用五天时间我已支付600元利息，希望对方销账。</t>
  </si>
  <si>
    <t>还款日当天暴力催收，爆通讯录</t>
  </si>
  <si>
    <t>http://ts.21cn.com/tousu/show/id/1370604</t>
  </si>
  <si>
    <t>2019/10/18 09:08:53</t>
  </si>
  <si>
    <t>来分期没有逾期，还款当天或者还款前一天，电话无限骚扰。</t>
  </si>
  <si>
    <t>工行信用卡高利违约金</t>
  </si>
  <si>
    <t>http://ts.21cn.com/tousu/show/id/1370603</t>
  </si>
  <si>
    <t>2019/10/18 09:08:46</t>
  </si>
  <si>
    <t>工商银行信用卡收取高额违约金，不给协商，对投诉也置之不理，忘有关部门加强监督。</t>
  </si>
  <si>
    <t>水莲金条恶意催收</t>
  </si>
  <si>
    <t>http://ts.21cn.com/tousu/show/id/1370602</t>
  </si>
  <si>
    <t>2019/10/18 09:08:26</t>
  </si>
  <si>
    <t>您好，我因朋友借钱不还，导致现在大面积逾期，其中也包括水莲金条，借了14000元，还了4期，现在没有还款能力了，我现在恳请您不要骚扰家人，因为家人没有义务给我还钱，我接受上征信，我接受法律规定内利率，如果继续骚扰家人，我报警处理！谢谢！。</t>
  </si>
  <si>
    <t>http://ts.21cn.com/tousu/show/id/1370601</t>
  </si>
  <si>
    <t>2019/10/18 09:06:59</t>
  </si>
  <si>
    <t>涉嫌高利贷套路贷，借款有前期费用，还强制买东西。</t>
  </si>
  <si>
    <t>提前还款手续费还要全额支付</t>
  </si>
  <si>
    <t>http://ts.21cn.com/tousu/show/id/1370600</t>
  </si>
  <si>
    <t>2019/10/18 09:06:39</t>
  </si>
  <si>
    <t>对玖富万卡提出提前全额还款，看到还款金额不对，提前还款服务费照样全额收取。</t>
  </si>
  <si>
    <t>成都安睿旺蜀网络科技恶意扣款</t>
  </si>
  <si>
    <t>http://ts.21cn.com/tousu/show/id/1370599</t>
  </si>
  <si>
    <t>2019/10/18 09:05:40</t>
  </si>
  <si>
    <t>无缘无故的被扣了198不知道是什么钱要求立马处理退款。</t>
  </si>
  <si>
    <t>蜜瓜钱包714高利贷</t>
  </si>
  <si>
    <t>http://ts.21cn.com/tousu/show/id/1370597</t>
  </si>
  <si>
    <t>2019/10/18 09:03:19</t>
  </si>
  <si>
    <t>我10月12号从蜜瓜钱包app借款2200，中途延期过一次又给770元！延长至21号！延期费用4天利息就是770元。</t>
  </si>
  <si>
    <t>让人本人无法生活</t>
  </si>
  <si>
    <t>http://ts.21cn.com/tousu/show/id/1370596</t>
  </si>
  <si>
    <t>2019/10/18 09:02:47</t>
  </si>
  <si>
    <t>招联金融爆我通讯录，而且打到我爱人那里，我想问一下，我们离婚了，你们不付责任吗。</t>
  </si>
  <si>
    <t>卡卡贷未到还款日期提前扣款，之前协商的款项未退还</t>
  </si>
  <si>
    <t>http://ts.21cn.com/tousu/show/id/1370595</t>
  </si>
  <si>
    <t>2019/10/18 09:02:38</t>
  </si>
  <si>
    <t>上次处理的退还3174元的款项还未到账，本月19号的还款日给我18号扣款，严重扰乱了我的资金计划，要求赔偿其未退还资金的利息。</t>
  </si>
  <si>
    <t>高利贷，714高炮，套路贷</t>
  </si>
  <si>
    <t>http://ts.21cn.com/tousu/show/id/1370594</t>
  </si>
  <si>
    <t>2019/10/18 09:02:20</t>
  </si>
  <si>
    <t>本人前几日在某平台上经推荐下载了群利花app，到账2千，5天到期后还款却要3240元，典型的高利贷，本人因资金短缺现在已经无力承担如此高额的利息费用，现在要求协商解决，如若不成将拿起法律武器来保护自己！已在派出所备案！。</t>
  </si>
  <si>
    <t>关于达飞云贷涉嫌高利贷、套路贷、暴力催收的投诉</t>
  </si>
  <si>
    <t>http://ts.21cn.com/tousu/show/id/1370591</t>
  </si>
  <si>
    <t>2019/10/18 09:01:51</t>
  </si>
  <si>
    <t>8月27日，总还款80351.71元，截止10月9日，还欠款64261.47元，达飞云贷收取的利息远高于国家规定的最高利息上线，第三、达飞云贷扣除借款额度的20%作为质保金，在贷款期间，质保金也会收取和本金一样的服务费和利息，第四、存在暴力催收，首先在你无力还款时，会将你诓骗到他们的办公地址，采用人盯人的方式逼你还款，我在2017年7月份碰到过一次，因为当时不懂没用报警处理，其次电话通知家人及上门暴力催收，2019年8月15日晚上8点多，三名达飞人员找到我父母家，要求我父母帮我还款，由于我当时没有在家，老人</t>
  </si>
  <si>
    <t>同程旅游萤火虫小贷变相收取砍头息</t>
  </si>
  <si>
    <t>http://ts.21cn.com/tousu/show/id/1370592</t>
  </si>
  <si>
    <t>2019/10/18 09:01:45</t>
  </si>
  <si>
    <t>同程旅游里的“提钱游”每次借款都需要强制购买“轻奢出行权益卡”，不购买则借款失败，属于国家禁止收入的砍头息，借款合计1次，本人要求退还不合法费用合计199元。</t>
  </si>
  <si>
    <t>猫选平台不给货款</t>
  </si>
  <si>
    <t>http://ts.21cn.com/tousu/show/id/1370590</t>
  </si>
  <si>
    <t>2019/10/18 09:01:02</t>
  </si>
  <si>
    <t>我是商家，发货后猫选平台不给结算货款，目前欠我货款接近15万元。</t>
  </si>
  <si>
    <t>714高炮平台</t>
  </si>
  <si>
    <t>http://ts.21cn.com/tousu/show/id/1370588</t>
  </si>
  <si>
    <t>2019/10/18 09:00:06</t>
  </si>
  <si>
    <t>10月14在花三千平台借款1000元，实际到账640元，6天后就要归还1000元，实属高利贷，汇潮支付提供支付通道，现本人经济困难，希望平台给予反馈协商还款。</t>
  </si>
  <si>
    <t>胖胖有米平台无视本人操作，自行下款收高额利息</t>
  </si>
  <si>
    <t>http://ts.21cn.com/tousu/show/id/1370587</t>
  </si>
  <si>
    <t>2019/10/18 08:59:27</t>
  </si>
  <si>
    <t>本人于10月17日下午17点左右通过app下载该产品，填写资料之后，发现该产品借款金额2500，到账金额1375，于是本人当时即删除该产品app，并未申请借款，在除该产品两个多小时之后，本人尾号1880的银行卡于19:02收到胖胖有米打来的款项1375元，该产品在本人未申请的情况下，自行下款，强制本人使用其产品，现无法联系到该产品客服，只知道打款人，姓名为戴致嫦，现本人请求将1375归还其公司，并消除订单！。</t>
  </si>
  <si>
    <t>民生银行信用卡高额滞纳金</t>
  </si>
  <si>
    <t>http://ts.21cn.com/tousu/show/id/1370586</t>
  </si>
  <si>
    <t>2019/10/18 08:58:28</t>
  </si>
  <si>
    <t>一直没有对我告知，我也是近期才知道的，本张信用卡额度5000元，但是高额的滞纳金比本金还高了2倍多，我联系了那边银行工作人员，说有回复的，也没人理我，我也想还掉，但是这个高额滞纳金，的确让我无力承担，也希望银行那边能够联系联系我，把问题处理掉。</t>
  </si>
  <si>
    <t>问题没有得到解决，将对瀚银科技继续投诉</t>
  </si>
  <si>
    <t>http://ts.21cn.com/tousu/show/id/1370585</t>
  </si>
  <si>
    <t>2019/10/18 08:57:56</t>
  </si>
  <si>
    <t>和商户协商好退款7000元，瀚银科技就是不给我退，商户也反馈上去了，把问题解决算了，但是瀚银科技就是不处理，跟商户说不用处理，还有王法，把法律当儿戏，不处理，不退款，我要投诉到底。</t>
  </si>
  <si>
    <t>瀚银科技违规提供支付渠道</t>
  </si>
  <si>
    <t>http://ts.21cn.com/tousu/show/id/1370584</t>
  </si>
  <si>
    <t>2019/10/18 08:57:52</t>
  </si>
  <si>
    <t>拍拍贷恶意催收骚扰家人</t>
  </si>
  <si>
    <t>http://ts.21cn.com/tousu/show/id/1370582</t>
  </si>
  <si>
    <t>2019/10/18 08:56:58</t>
  </si>
  <si>
    <t>您好，拍拍贷的客服！我因朋友借钱不还，导致资金不够，导致拍拍贷逾期！借了14000元，已经还了1万元了！但是我已经和拍拍贷客服说明情况，我培训学习不能接电话，但是拍拍贷三方催收给家人打电话进行催收，我也明确表示可以上征信，我接受法律规定的利率，我慢慢还，我欠的钱我自己还，和家人没有关系！所以请您停止对家人的催收，如果您要继续，我只能报警处理！谢谢！。</t>
  </si>
  <si>
    <t>暴力催收短信轰炸公司领导</t>
  </si>
  <si>
    <t>http://ts.21cn.com/tousu/show/id/1370581</t>
  </si>
  <si>
    <t>2019/10/18 08:56:21</t>
  </si>
  <si>
    <t>本人于2018年在万达贷的借款因个人原因导致逾期，万达贷债券转让给青岛北极资产管理有限公司后，该公司人员就各种短信和电话骚扰身边的朋友同事和老板，以至于现在被辞退之后还在联系之前的公司领导。</t>
  </si>
  <si>
    <t>享骑电单车押金不退</t>
  </si>
  <si>
    <t>http://ts.21cn.com/tousu/show/id/1370580</t>
  </si>
  <si>
    <t>2019/10/18 08:55:08</t>
  </si>
  <si>
    <t>注册的享骑电单车，公司人都跑了，押金退不了了怎么办。</t>
  </si>
  <si>
    <t>http://ts.21cn.com/tousu/show/id/1370579</t>
  </si>
  <si>
    <t>2019/10/18 08:53:20</t>
  </si>
  <si>
    <t>宜人贷、钱站高利息，暴力催收，骚扰威胁亲朋好友。</t>
  </si>
  <si>
    <t>支付宝催收不断骚扰</t>
  </si>
  <si>
    <t>http://ts.21cn.com/tousu/show/id/1370578</t>
  </si>
  <si>
    <t>2019/10/18 08:52:29</t>
  </si>
  <si>
    <t>由于本人经营生意失败，负债累累，支付宝十一期间打来电话催收，我说了发了工资就先还支付宝，催收人员不同意，我说那我没办法，就起诉吧，反正我现在名下没财产，她说让我等着，要派警察上门抓我，这几天又给我打电话，上班时间没法接电话，工作要丢了怎么还你们钱，你们要不起诉，要不就等我发工资，跟别人有什么关系，她们能替我还钱吗。</t>
  </si>
  <si>
    <t>信用帮和渡小贷高利贷非法砍头息</t>
  </si>
  <si>
    <t>http://ts.21cn.com/tousu/show/id/1370576</t>
  </si>
  <si>
    <t>2019/10/18 08:51:26</t>
  </si>
  <si>
    <t>经过企查查针对渡小贷APP页面显示上海汇始金融信息服务有限公司查询结果为渡小贷和信用帮APP都是此公司的产品，2019.05.30通过信用帮APP中信用帮和渡小贷借款2000元，其中一个是实际到账仅为1600元，每期7天共四期一共需还款2100多元，另外一个是交前期费用400元，借款到账1600元，每期7天共四期一共需还款2100多元，现在要求其公司退还我不合理的砍头息，否则我将继续投诉至12315和扫黑办。</t>
  </si>
  <si>
    <t>广东移动霸王条款、问题反馈不处理</t>
  </si>
  <si>
    <t>http://ts.21cn.com/tousu/show/id/1370577</t>
  </si>
  <si>
    <t>2019/10/18 08:51:20</t>
  </si>
  <si>
    <t>上个月定的宽带，说每个月20块50M，实际使用只有4-8M；因为网速太慢无法满足上网，要求解除绑定，我家里人重新办理了100M的，也是移动的，现在已经办理好了，我这边申请取消，告知取消不了，并且不是每个月20元，是每个月30元；反馈相关部门处理，12号反馈的，到现在18号还没有任何的处理结果，明确告知我48小时短信回复，96小时人工电话回复，现在严重超期，多次电话咨询只是回复我在登记不好意思，在登记。</t>
  </si>
  <si>
    <t>兴业银行骚扰正常生活，要求协商处理</t>
  </si>
  <si>
    <t>http://ts.21cn.com/tousu/show/id/1370575</t>
  </si>
  <si>
    <t>2019/10/18 08:49:54</t>
  </si>
  <si>
    <t>进近9时许接到自称某律师事务所的律师所说询问家中有人否，疑似威胁语气，我母亲惶惶不可终日一晚上不得安宁，我想问你兴业银行是什么居心，我有还款记录而且金额可查，我于2019.10.18早8.30拨打兴业银行信用卡客服电话要求与银行人员协商还款这是我现在的诉求。</t>
  </si>
  <si>
    <t>http://ts.21cn.com/tousu/show/id/1370574</t>
  </si>
  <si>
    <t>2019/10/18 08:48:43</t>
  </si>
  <si>
    <t>去年10月份在小赢卡贷上借了两笔钱，分别金额为20000，16000，到后期还完才发现利息远远高于很合同利息，多出了很多服务费，现要求小赢卡贷退还我多出利息的部分。</t>
  </si>
  <si>
    <t>个人征信不良消除</t>
  </si>
  <si>
    <t>http://ts.21cn.com/tousu/show/id/1370573</t>
  </si>
  <si>
    <t>2019/10/18 08:48:40</t>
  </si>
  <si>
    <t>本人2017年7月14日在广东南粤银行办理贷款合同共18期于2019年1月合同到期最后一期也还完了可是本人征信上显示本人于2019年7月17日才还完贷款而且还显示逾期7个月逾期金额4002前几天本人去银行查了还是在逾期广东南粤银行一直以他们修改过为理由不处理，修改过了本人征信上为什么还显示逾期，而且本人合同是2019年1月到期最后一笔钱就还完了为什么写2019年7月，本人因为这个到现在房贷一直拖着，已经影响我的生活了。</t>
  </si>
  <si>
    <t>钱站高利贷，阴阳合同，软暴力催收</t>
  </si>
  <si>
    <t>http://ts.21cn.com/tousu/show/id/1370567</t>
  </si>
  <si>
    <t>2019/10/18 08:48:39</t>
  </si>
  <si>
    <t>投诉人黄女士投诉对象钱站,凡普金科涉诉金额3000元问题类型诉求类型投诉详情本人在钱站借款2000元，实际到账也只有两千，当时确认借款前并没有显示合同出来，等确认了到账了一看合同，才发现合同写着本人借款2600，这明显的阴阳合同，分三个月还，每个月还1055元，三个月要还3165元，也就是除了还本金外还要还他1165元利息，请问这难道是国家要求的利息不超过年利率%36吗，逾期当天马上一边打电话骚扰我联系人一边发短信威胁我，还说我不还就爆我通讯录，其实早就爆通讯录了，相信已经有非常多的人都投诉这个钱站搞阴阳合</t>
  </si>
  <si>
    <t>http://ts.21cn.com/tousu/show/id/1370571</t>
  </si>
  <si>
    <t>2019/10/18 08:48:19</t>
  </si>
  <si>
    <t>闪电借款今天逾期第二天，都是系统电话，没有人工，由于工资公司拖欠，要下周一发，所以请求协商还款，到周一。</t>
  </si>
  <si>
    <t>月光侠贷款分期收取高额砍头息，并电话骚扰，要求其立即停止电话骚扰</t>
  </si>
  <si>
    <t>http://ts.21cn.com/tousu/show/id/1370570</t>
  </si>
  <si>
    <t>2019/10/18 08:48:04</t>
  </si>
  <si>
    <t>于2019年7月在月光侠贷款分期借款3300元，实际到账只有2100多元，分三期，每期还款1100多元，已经偿还两期，共计2200多元，超过了实际到账金额，要求月光侠贷款分期立即停止对本人及通讯录的电话骚扰，并进行销账。</t>
  </si>
  <si>
    <t>马上金融盗取用户通讯录</t>
  </si>
  <si>
    <t>http://ts.21cn.com/tousu/show/id/1370569</t>
  </si>
  <si>
    <t>2019/10/18 08:47:35</t>
  </si>
  <si>
    <t>马上金融盗取用户信息，联系借款人通讯录好友，。</t>
  </si>
  <si>
    <t>马上金融</t>
  </si>
  <si>
    <t>http://ts.21cn.com/tousu/show/id/1370568</t>
  </si>
  <si>
    <t>2019/10/18 08:46:54</t>
  </si>
  <si>
    <t>每天不停的催收，利息高的吓人，凭借一张身份证就可以贷款，贷了之后自己发现不对，然后不停的骚扰自己填写的联系人，请平台核实。</t>
  </si>
  <si>
    <t>http://ts.21cn.com/tousu/show/id/1370566</t>
  </si>
  <si>
    <t>2019/10/18 08:43:11</t>
  </si>
  <si>
    <t>在及贷在借款借款1.2W元，实际到账1.05W不到，但是实际还款是14460！！！合同的标注年利率确实百分之9不到。</t>
  </si>
  <si>
    <t>小米金融利息罚息超高</t>
  </si>
  <si>
    <t>http://ts.21cn.com/tousu/show/id/1370565</t>
  </si>
  <si>
    <t>2019/10/18 08:40:39</t>
  </si>
  <si>
    <t>利息罚息太高，自己没有能力还款，希望减免利罚息，由亲戚朋友帮忙还。</t>
  </si>
  <si>
    <t>未经告知【快闪卡贷】骚扰联系人，变相收费</t>
  </si>
  <si>
    <t>http://ts.21cn.com/tousu/show/id/1370563</t>
  </si>
  <si>
    <t>2019/10/18 08:38:33</t>
  </si>
  <si>
    <t>10月14日是第5期还款日，因在山区徒步2天，当天没注意还款，第二天看到未扣款短信找到信号好地方手动操作了还款，事实一直到当天下午联系人被骚扰前后都尝试过点扣款但其系统无法扣款，，没在意没扣成功，骚扰电话未接听到，其工作人员在逾期仅几小时后，不知道怎么获取我通讯录联系人信息，给我老婆，打电话说我欠款未还，对我生意和名誉造成了极大损失，当天下午在屡次尝试未扣款成功后，对方催收人员矢口否认曾骚扰我通讯录，并通过加我微信我把款项转给了对方，上网查看了下挺多人投诉才知道借款时候已经被强制扣除了1776，现本人要求：</t>
  </si>
  <si>
    <t>海南移动霸王条款</t>
  </si>
  <si>
    <t>http://ts.21cn.com/tousu/show/id/1370562</t>
  </si>
  <si>
    <t>2019/10/18 08:38:19</t>
  </si>
  <si>
    <t>投诉人何智夫投诉对象海南移动涉诉金额288元问题类型诉求类型投诉详情198******82号码已经用了两个月出现了4次短信无缘无故发送不出去，联系移动客服对方说我发送了广告类短信，我就纳闷，我从来不发这种短信，都是发给家人朋友普通聊天信息，客服说无法帮我复通，让我等一周后留意，我非常的愤怒，移动单方面无证据前提下关闭用户短信功能，严重侵犯了我的使用权，已经打算曝光媒体反映，有必要会考虑把移动告上法院，希望工信部协助严查海南移动是否存在严重违规现象和霸王条款。</t>
  </si>
  <si>
    <t>退款长期不到账</t>
  </si>
  <si>
    <t>http://ts.21cn.com/tousu/show/id/1370561</t>
  </si>
  <si>
    <t>2019/10/18 08:37:10</t>
  </si>
  <si>
    <t>一个交易失败的订单，显示退款中已经好几天了一直不处理。</t>
  </si>
  <si>
    <t>瀚银为违法平台提供支付通道</t>
  </si>
  <si>
    <t>http://ts.21cn.com/tousu/show/id/1370560</t>
  </si>
  <si>
    <t>2019/10/18 08:37:08</t>
  </si>
  <si>
    <t>今年4月份到9月份被网络兼职忽悠，说是跟着他们做可以每天盈利，结果后来才发现该投资平台为非法博彩平台，后来咨询了律师，人行和第三方支付协会，都说可以投诉这种非法提供支付通道的支付公司，能挽回一定的损失，现希望相关部门和贵投诉维权平台能彻查，还国家一个干净的支付环境，挽回我本人的一定损失，谢谢了，以下是部分消费截图，如有需要，可以全部上传提供！涉拆单号也是一部分，需要可以全部上传。</t>
  </si>
  <si>
    <t>广发银行信用卡催收人员恐吓家人</t>
  </si>
  <si>
    <t>http://ts.21cn.com/tousu/show/id/1370559</t>
  </si>
  <si>
    <t>2019/10/18 08:35:18</t>
  </si>
  <si>
    <t>投诉人 张先生        投诉对象  广发银行信用卡        涉诉金额  5 000 元    问题类型    诉求类型投诉详情  催收人员恐吓家人朋友 每天打骚扰电话 严重影响了他们生活工作</t>
  </si>
  <si>
    <t>杭州银行违规收取滞纳金和利息</t>
  </si>
  <si>
    <t>http://ts.21cn.com/tousu/show/id/1370557</t>
  </si>
  <si>
    <t>2019/10/18 08:31:39</t>
  </si>
  <si>
    <t>本人因做生意失败，充2015年11月至2016年12月一直再还最低还款，以贷养贷，利息越滚越多，生活压力越来越大，一直没有工作，但是欠杭州银行信用卡50000，最后真的无力偿还，但是杭州银行暴力催收，家人没有办法只能借钱还信用卡，现在欠债越来越多。</t>
  </si>
  <si>
    <t>恢复京东金融账号问题</t>
  </si>
  <si>
    <t>http://ts.21cn.com/tousu/show/id/1370556</t>
  </si>
  <si>
    <t>2019/10/18 08:30:50</t>
  </si>
  <si>
    <t>也一直相信京东和京东金融给我带来的优惠和方便，所以我在京东金融里投资了我几乎所有的资金，就是希望可以在平常购物，日常付款的时候可以享受到应有的优惠，看着别人一毛钱不投资都可以享受随机减满减优惠，我啥都没有，希望京东金融官方恢复我的京东金融付款的优惠通道。</t>
  </si>
  <si>
    <t>无法主动还款，客服不处理，多收逾期费用</t>
  </si>
  <si>
    <t>http://ts.21cn.com/tousu/show/id/1370073</t>
  </si>
  <si>
    <t>2019/10/18 08:29:09</t>
  </si>
  <si>
    <t>投诉人陈先生投诉对象玖富涉诉金额1222元问题类型诉求类型投诉详情连续几天主动还款失败，还款银行卡有钱，总是无法还进去，多次致电客服重新换卡几次也还不了，造成连续几天逾期费用。</t>
  </si>
  <si>
    <t>活力花暴力催收，恐吓我家人朋友</t>
  </si>
  <si>
    <t>http://ts.21cn.com/tousu/show/id/1370555</t>
  </si>
  <si>
    <t>2019/10/18 08:27:29</t>
  </si>
  <si>
    <t>活力花雇佣，黑.社会，恐黑我亲朋好友，还说要来杀我全家，，我家人已经去派，出，所，报，案了，找记者曝光你们这群黑，社，会活力花利息高，砍头息，还要多重收费，保险费，过期费用每天除利息多加十多元，本金近3080元，三个月利息长到3600暴利催收辱骂，骚扰家人朋友母亲，无法协商，希望贵平台给于帮助，我有录音已经报案。</t>
  </si>
  <si>
    <t>语音APP诱导充钱砸蛋赔死人</t>
  </si>
  <si>
    <t>http://ts.21cn.com/tousu/show/id/1370554</t>
  </si>
  <si>
    <t>2019/10/18 08:27:25</t>
  </si>
  <si>
    <t>充值砸蛋砸出礼物可以套现，赌博性高，后台操控，一天流水高达百万，经常出活动欺漫消费者砸蛋，然后后台操控，拒绝处理，请问谁来赔偿，据说有个因为砸蛋跳楼的，然后出了一个公告，但是一样还是可以砸蛋套现，继续骗人。</t>
  </si>
  <si>
    <t>协融借还不了款</t>
  </si>
  <si>
    <t>http://ts.21cn.com/tousu/show/id/1370553</t>
  </si>
  <si>
    <t>2019/10/18 08:26:54</t>
  </si>
  <si>
    <t>我在协融借上借了2000，一个月要还2600多还有点击还款一直还款失败。</t>
  </si>
  <si>
    <t>平安银行信用卡催收人员恐吓家人</t>
  </si>
  <si>
    <t>http://ts.21cn.com/tousu/show/id/1370552</t>
  </si>
  <si>
    <t>2019/10/18 08:26:42</t>
  </si>
  <si>
    <t>投诉人 张先生        投诉对象  平安银行信用卡        涉诉金额  7 000 元    问题类型    诉求类型投诉详情  平安银行信用卡催收人员每天不停的恐吓家人 骚扰家人 严重的影响了生活和工作</t>
  </si>
  <si>
    <t>请求协商还款时间</t>
  </si>
  <si>
    <t>http://ts.21cn.com/tousu/show/id/1370551</t>
  </si>
  <si>
    <t>2019/10/18 08:24:36</t>
  </si>
  <si>
    <t>本月无法最低还款了并没有提前通知我，我也没提前留钱准备还款，希望分期乐能与我协商一下还款时间，宽限几天，我保证一定会还上该笔账单。</t>
  </si>
  <si>
    <t>出行唯选vip卡涉嫌虚假宣传</t>
  </si>
  <si>
    <t>http://ts.21cn.com/tousu/show/id/1370548</t>
  </si>
  <si>
    <t>2019/10/18 08:22:49</t>
  </si>
  <si>
    <t>兰州中川机场出行唯选工作人员，穿的工作制服，主动帮助我进行自助机取票，然后宣传他们的卡，交1998赠送1000，然后宣传他们的卡的各种优惠服务，包括安检VIP通道，机场休息室等，我在办理前再三跟推销工作人员确认这1998能否购买能用来机票，工作人员现场告诉我可以用来购买机票，由于着急赶飞机，没仔细看协议说明，后来买机票发现这些充值的1998的钱只能用来支付机建费，不能用能支付机票钱，与现场供工作人员宣传不符，这种模糊实施诱导消费不能接受，请进行协调解决一下，谢谢！。</t>
  </si>
  <si>
    <t>退还多余手续费</t>
  </si>
  <si>
    <t>http://ts.21cn.com/tousu/show/id/1370547</t>
  </si>
  <si>
    <t>2019/10/18 08:22:14</t>
  </si>
  <si>
    <t>要求退还多余退票费用，泰国航空不是廉价航空，我有核实航空公司退票费用为310元人民币也就是印度当地货币3100卢币，此票价为3297，退票手续费为1720元，高达52%的退费手续费，要求退还多收的退票手续费，同时我已经反应给了北京12315，投诉了北京趣拿信息技术有限公司和腾轩旅游集团有限公司。</t>
  </si>
  <si>
    <t>邮资高而超时</t>
  </si>
  <si>
    <t>http://ts.21cn.com/tousu/show/id/1370546</t>
  </si>
  <si>
    <t>2019/10/18 08:20:47</t>
  </si>
  <si>
    <t>投诉人 施先生        投诉对象  顺丰快递        涉诉金额  120 元    问题类型    诉求类型投诉详情  以法律规定，邮件超时应以服务费五倍赔偿</t>
  </si>
  <si>
    <t>爱又米app有高额砍头息和超高利息</t>
  </si>
  <si>
    <t>http://ts.21cn.com/tousu/show/id/1370545</t>
  </si>
  <si>
    <t>2019/10/18 08:19:51</t>
  </si>
  <si>
    <t>借款平台存在高额砍头费和超过国家标准的利息，希望严查这种坑人骗人的平台。</t>
  </si>
  <si>
    <t>立马进钱呆呆苞（广州瑞利信息咨询有限公司）高利贷并恶意延期收取超高逾期费用、暴力催收！</t>
  </si>
  <si>
    <t>http://ts.21cn.com/tousu/show/id/1370544</t>
  </si>
  <si>
    <t>2019/10/18 08:18:41</t>
  </si>
  <si>
    <t>立马进钱呆呆苞产品，高利息、高砍头费，恶意延期拖逾期费、催收暴力恐吓威胁！2019年9月4日借款金额2800元，一月分4期归还，再未明确告知的情况下，借款后却显示每期归还却高达1022.4，总共归还4089.6，一月利息高达1289.6，通过畅捷支付放款，对方母公司名称广州瑞利信息咨询有限公司，畅捷支付合作放款，对方客服电话：‭400-8113-109 催收电话：‭(020) 6234 2803，9月12日归还第一期后，且在9月18日归还上另外一笔账单最后一期时app无法还款，按照下方提供的第三方支付宝账号</t>
  </si>
  <si>
    <t>希望可以协商分期还款，不要苦苦相逼</t>
  </si>
  <si>
    <t>http://ts.21cn.com/tousu/show/id/1370543</t>
  </si>
  <si>
    <t>2019/10/18 08:18:06</t>
  </si>
  <si>
    <t>投诉人杨女士投诉对象及贷涉诉金额6800元问题类型诉求类型投诉详情本人现在暂时经济困难，也一直在努力赚钱还款，好不容易找到工作，希望不要打扰我的工作，让我好好工作，然后就是希望可以协商分期还款，这样我工作就每月都可以还，希望可以减免费用，直至还清欠款！。</t>
  </si>
  <si>
    <t>处处APP有欺诈扣费嫌疑</t>
  </si>
  <si>
    <t>http://ts.21cn.com/tousu/show/id/1370533</t>
  </si>
  <si>
    <t>2019/10/18 08:14:47</t>
  </si>
  <si>
    <t>投诉人潘先生投诉对象处处,北京友缘在线网络科技股份有限公司涉诉金额99元问题类型诉求类型投诉详情在看QQ广告下载了app处处，然后出现一堆浮云的推荐信息和主动找我联系得陌生人，怀疑都是处处软件虚构出来引诱用户的，然后回复就得开通VIP,同时诱导用户开通了一个零元的体验vip开通了还是没有任何作用，这个操作完全诱导用户免密支付宝，然后发现仍然无法回复，跟他们说的vip不一样，结果悄悄的VIP还是扣费99元，一共欺骗我99元人民币，直接从支付宝就扣走了，完全是欺诈消费者行为，希望聚投诉平台帮我讨个说法，以免更多</t>
  </si>
  <si>
    <t>铜钱罐放高利贷</t>
  </si>
  <si>
    <t>http://ts.21cn.com/tousu/show/id/1370542</t>
  </si>
  <si>
    <t>2019/10/18 08:14:33</t>
  </si>
  <si>
    <t>投诉人董先生投诉对象铜钱罐涉诉金额2000元问题类型诉求类型投诉详情借款3080元，到账1980，每星期还了1096.48元，因为App被我删了，具体还款多少也记不清楚，但是线下销账就还了4次，每次1096.48，还有App还的，已经远远超过本金！还一直催收。</t>
  </si>
  <si>
    <t>高炮暴力催收，发短信侮辱。</t>
  </si>
  <si>
    <t>http://ts.21cn.com/tousu/show/id/1370541</t>
  </si>
  <si>
    <t>2019/10/18 08:12:45</t>
  </si>
  <si>
    <t>花闪云高利贷，砍头息，打骚扰电话，给亲戚朋友发侮辱短信。</t>
  </si>
  <si>
    <t>暴力催收威胁胁迫</t>
  </si>
  <si>
    <t>http://ts.21cn.com/tousu/show/id/1370540</t>
  </si>
  <si>
    <t>2019/10/18 08:12:39</t>
  </si>
  <si>
    <t>未经本人同意进行所谓的上门调查，家中有两个八十几岁的爷爷奶奶，当夜被送进医院急救，上门时本人不在家，对爷爷奶奶进行言语刺激，扬言上法院，后本人拨打改催收电话，该催收矢口否认说了上法院这样的话，公司客服也否认，我爷爷奶奶活了八十几岁了，不可能胡编乱造，并且进行言语侮辱，态度极其恶劣。</t>
  </si>
  <si>
    <t>我来数科（我来贷）高利贷！！！</t>
  </si>
  <si>
    <t>http://ts.21cn.com/tousu/show/id/1370539</t>
  </si>
  <si>
    <t>2019/10/18 08:11:38</t>
  </si>
  <si>
    <t>投诉人李女士投诉对象我来数科涉诉金额20000元问题类型诉求类型投诉详情从18年开始在我来数科申请了三笔贷款，有一笔已经快还完，因为合同里写的年利率是24%，但是后来才发现他们年利率高达36%，有一笔居然高达60%，纯属高利贷，我要按照合同里24%计算，多余的费用请退还给我！！！我会继续像有关金融部门反映。</t>
  </si>
  <si>
    <t>交易猫卖家不发货不理人不退钱</t>
  </si>
  <si>
    <t>http://ts.21cn.com/tousu/show/id/1370538</t>
  </si>
  <si>
    <t>2019/10/18 08:11:34</t>
  </si>
  <si>
    <t>投诉人 陈先生        投诉对象  交易猫店铺,一见倾心的小店铺        涉诉金额  170 元    问题类型    诉求类型投诉详情  10.17下的单 给卖家发消息显示已读 不回复不发货暗涨原商品价格 不打算退款或发货！！！</t>
  </si>
  <si>
    <t>彩票店主欺瞒消费者，获取钱财，耍无赖不还钱</t>
  </si>
  <si>
    <t>http://ts.21cn.com/tousu/show/id/1331657</t>
  </si>
  <si>
    <t>2019/10/18 08:11:04</t>
  </si>
  <si>
    <t>投诉人陈先生投诉对象中国体育彩票涉诉金额5000元问题类型诉求类型投诉详情体育彩票店主欺瞒消费者，获取5000元不还，并且耍无赖，打当地体彩电话，当地负责人直接告诉店主是我打电话咨询问题，导致店主给我打来电话，态度恶劣，态度恶劣，不还钱。</t>
  </si>
  <si>
    <t>浦发银行违规收取费用</t>
  </si>
  <si>
    <t>http://ts.21cn.com/tousu/show/id/1370537</t>
  </si>
  <si>
    <t>2019/10/18 08:10:25</t>
  </si>
  <si>
    <t>本人因做生意失败，充2014年至今一直再还最低还款，以贷养贷，利息越滚越多，生活压力越来越大，一直没有工作，欠浦发银行信用卡10024.15，一直打电话给浦发银行工作人员做协商退款，希望银行能给我一个好的解决方案，。</t>
  </si>
  <si>
    <t>暴力催收，电话骚扰通讯录好友</t>
  </si>
  <si>
    <t>http://ts.21cn.com/tousu/show/id/1149606</t>
  </si>
  <si>
    <t>2019/10/18 08:08:13</t>
  </si>
  <si>
    <t>投诉人何先生投诉对象马上消费金融涉诉金额4450元问题类型诉求类型投诉详情电话骚扰通讯录好友，暴力催收，对本人生活工作构成严重影响。</t>
  </si>
  <si>
    <t>多宝借钱涉嫌高利贷</t>
  </si>
  <si>
    <t>http://ts.21cn.com/tousu/show/id/1370536</t>
  </si>
  <si>
    <t>2019/10/18 08:07:48</t>
  </si>
  <si>
    <t>借3700，还两个月，半个月一还，总还款金额为5843涉嫌高利贷，昨天还款日在我资金不充裕的情况下拒绝延迟还款协商且威胁我要给通讯录打电话，语气特别恶劣，我等扣款成功的话现在已经还完了本金加上500多的利息，也就是还了三期，希望后面的高利可以不还了。</t>
  </si>
  <si>
    <t>万惠及贷你们这样骚扰通讯录、如果这事不给个交代、不道歉休想老子一分钱还！你态度这么恶劣</t>
  </si>
  <si>
    <t>http://ts.21cn.com/tousu/show/id/1370535</t>
  </si>
  <si>
    <t>2019/10/18 08:06:00</t>
  </si>
  <si>
    <t>万惠及贷你们这样骚扰通讯录、如果这事不给个交代、不道歉休想老子一分钱还！你态度这么恶劣。</t>
  </si>
  <si>
    <t>腾讯大王卡宣传充50返50，被要求充50元后并没有收到返还话费</t>
  </si>
  <si>
    <t>http://ts.21cn.com/tousu/show/id/1370534</t>
  </si>
  <si>
    <t>2019/10/18 08:01:12</t>
  </si>
  <si>
    <t>我在办手机卡的时候，看到10月14日中午发出的宣传写的是首充50元返50元，于是在15日办了卡，当时来送卡的工作人员要求我充50元，也说了首充返50元这个活动，而我在充了50元之后，并没有收到返的钱，之后联系客服，客服说这个活动已经在10月14日零点取消，然而宣传消息是在10月14日中午发出的，我在办卡时所有的宣传都是有首冲50元返50元这个活动，并没有活动已经取消的消息，联通公司存在虚假宣传的情况，我来投诉要求返还这50元。</t>
  </si>
  <si>
    <t>希望可以协商还款，不要苦苦相逼。</t>
  </si>
  <si>
    <t>http://ts.21cn.com/tousu/show/id/1370532</t>
  </si>
  <si>
    <t>2019/10/18 08:00:01</t>
  </si>
  <si>
    <t>本人信用卡逾期的时候一直接银行电话，说明了本人当时的经济困难情况，暂时无力还款，希望分期，没有同意，后来电话一直打，本人需要赚钱还款，所以白天经常没有时间，没有接到后期银行的催收电话，浦发银行就发短信说已经失联，要上门催收，本人欠债还钱，天经地义，本人就算吃不起饭每个月都要还款一点点，就是想告诉银行本人有还款意原，只是暂时经济困难，无法全部还清，希望银行可以协商分期还款。</t>
  </si>
  <si>
    <t>耐克假鞋</t>
  </si>
  <si>
    <t>http://ts.21cn.com/tousu/show/id/1370531</t>
  </si>
  <si>
    <t>2019/10/18 07:58:16</t>
  </si>
  <si>
    <t>NIKE耐克,天猫：nike官方旗舰店,天猫：JORDAN官方旗舰店，通过微信上看到卖耐克鞋子的，然后买了一双，到货后发现鞋子和垃圾一样，根本无法穿，和卖家的宣传图片完全不一样存在严重的质量问题，和客服联系之后退货，客服说邮费要自理，完全一个骗子，宣传页上说明除质量问题外，个人原因邮费自理，他们打着耐克的旗号毁耐克品牌，没有天理，目无王法，下面图片中的电话号码是骗子客服，二维码是卖家的，希望给出合理解释。</t>
  </si>
  <si>
    <t>聚福分期私自扣钱</t>
  </si>
  <si>
    <t>http://ts.21cn.com/tousu/show/id/1370527</t>
  </si>
  <si>
    <t>2019/10/18 07:57:22</t>
  </si>
  <si>
    <t>投诉人游先生投诉对象聚福分期涉诉金额298元问题类型诉求类型投诉详情没有经过本人同意，也没有输入密码，私自扣银行卡里的钱，。</t>
  </si>
  <si>
    <t>钱站高利贷阴阳合同，软暴力催收</t>
  </si>
  <si>
    <t>http://ts.21cn.com/tousu/show/id/1370530</t>
  </si>
  <si>
    <t>2019/10/18 07:57:07</t>
  </si>
  <si>
    <t>从2017年开始在钱站app陆续申请了七笔贷款，金额到达100000，本金已经还完，后来发现存在所谓的服务费，砍头息，年利率甚至已经超过36%，月利率超过2%，跟客服沟通还合理利息，但是客服不同意，催收人员开始软暴力威胁，甚至还引诱我套路贷，以贷养贷，从别的贷款软件贷款来还给他们，这些我都有录音证据，一直以来我都积极沟通，但是他们在没我的允许下，确拨打紧急联系人，甚至我的朋友，非法手段获取通讯录信息！！！可恶至极！！！我要求给我道歉，只还24%的合理利息！！。</t>
  </si>
  <si>
    <t>恒昌公司协商还款期间暴力催收</t>
  </si>
  <si>
    <t>http://ts.21cn.com/tousu/show/id/1370528</t>
  </si>
  <si>
    <t>2019/10/18 07:50:04</t>
  </si>
  <si>
    <t>本人2017年5月在恒昌公司借款，当时合同金额90857元，36期每期还款3028元到期需要还109000元，但是到手金额只有65000，截止到目前我已经还款25期75000元，单位领导找我谈话同事询问事情，对我工作和生活造成很大影响，因为种种原因难以归还剩余贷款，在跟恒昌公司协商还款，按照国家规定，催收人员不得向债务人外的其他人员透露债务人负债、逾期、违约等个人信息，法律法规另行规定的情形除外，恒昌公司在这期间无数次拨打单位几个座机和联系人电话进行骚扰，并拨打单位领导电话，单位领导找我谈话，同事询问事情，</t>
  </si>
  <si>
    <t>农业银行莫名扣款</t>
  </si>
  <si>
    <t>http://ts.21cn.com/tousu/show/id/1370526</t>
  </si>
  <si>
    <t>2019/10/18 07:48:18</t>
  </si>
  <si>
    <t>投诉人 王先生        投诉对象  百付宝        涉诉金额  236 元    问题类型    诉求类型投诉详情  今天早上莫名其妙的就被(特约)百度服务扣款。无法查询扣款去向。还请给与退回</t>
  </si>
  <si>
    <t>凡普信贷一如既往的催收</t>
  </si>
  <si>
    <t>http://ts.21cn.com/tousu/show/id/1370525</t>
  </si>
  <si>
    <t>2019/10/18 07:47:39</t>
  </si>
  <si>
    <t>凡普信贷对我和我的家人进行全面骚扰催收，并无底线泄露我个人信息，更视聚投诉如无物，可恨！。</t>
  </si>
  <si>
    <t>捆绑保险加高额罚息同时暴力催收</t>
  </si>
  <si>
    <t>http://ts.21cn.com/tousu/show/id/1370523</t>
  </si>
  <si>
    <t>2019/10/18 07:46:43</t>
  </si>
  <si>
    <t>快闪卡贷捆绑保险，实际到账金额少了一千左右，开始是按时还款的，后面因为遇到变故还款困难，可是他们不仅利息高，罚息也高的离谱，让人无法接受，其中七月份已经扣了我近五百的罚息，九月份实在没办法还，到现在逾期不到一个月罚息已经高至还款金额的三分之二，因为协商不通，催收部门态度恶劣，还爆了通讯录，家里老人还有朋友都受到严重骚扰，我要求维权，给我道歉，我已经几近抑郁，昨天跟客服联系还款事宜也没回应，我要求退还保险费用减免高额罚息，生活已经困难，别再难为我了。</t>
  </si>
  <si>
    <t>360借条暴力催收，恐吓家属，导致工作丢失</t>
  </si>
  <si>
    <t>http://ts.21cn.com/tousu/show/id/1370522</t>
  </si>
  <si>
    <t>2019/10/18 07:45:30</t>
  </si>
  <si>
    <t>360借条未经个人同意情况下催收亲属公司同事领导，导致工作丢失。</t>
  </si>
  <si>
    <t>卡卡贷变相砍头息</t>
  </si>
  <si>
    <t>http://ts.21cn.com/tousu/show/id/1370521</t>
  </si>
  <si>
    <t>2019/10/18 07:43:56</t>
  </si>
  <si>
    <t>现在都已结清但是最开始是使用的时候不选择这个会员费进行不了借款说白了就是变项砍头息我跟卡卡贷客服沟通过多次他们态度强硬，竟然还这么理直气壮我现在就希望把499返给我。</t>
  </si>
  <si>
    <t>钱伴优享恶意催收</t>
  </si>
  <si>
    <t>http://ts.21cn.com/tousu/show/id/1370520</t>
  </si>
  <si>
    <t>2019/10/18 07:43:28</t>
  </si>
  <si>
    <t>您好，本人因朋友借20万不还，虽有小本买卖，但不足以维持诺大的窟窿，故开始网贷之路，以贷养贷害死人啊！在钱伴上借6000元，每月1180元，已还4期，现在确实是没有还款能力，没有办法，已经找到兼职，在努力赚钱！经常学习培训，不能随时接电话，在逾期3天的情况下，催收拨打老人的电话，致使老人受到惊吓！我现在恳请钱伴的三方催收机构，停止恶意催收，我接受逾期，接受征信，接受法律规定正常利率，所以我活该欠钱，但是家人没有必要跟着我受惊吓！如果您再给家里人打电话催收，我必将拿起法律武器保护自己，报警处理，谢谢！。</t>
  </si>
  <si>
    <t>信用钱包违法高利贷隐藏合同</t>
  </si>
  <si>
    <t>http://ts.21cn.com/tousu/show/id/1370519</t>
  </si>
  <si>
    <t>2019/10/18 07:41:29</t>
  </si>
  <si>
    <t>北京众信利民信息技术有限公司旗下信用钱包品牌，本人于2018年12月23日在该品牌借款12000元，分12期每期还款1360元，其年利率高达60.96%，实属高利代款，本人在期间要求查看借款合同，其公司工作人员一直推脱，根据《最高人民法院关于审理民间借贷案件适用法律若干问题的规定》第二十六条：借贷双方约定的利率未超过年利率24%，出借人请求借款人按照约定的利率支付利息的，人民法院应予支持，借款人请求出借人返还已支付的超过年利率36%部分的利息的，人民法院应予支持，本人在该平台完成借款4笔2018年2月1借款</t>
  </si>
  <si>
    <t>带上钱严重骚扰我的家人</t>
  </si>
  <si>
    <t>http://ts.21cn.com/tousu/show/id/1370518</t>
  </si>
  <si>
    <t>2019/10/18 07:40:02</t>
  </si>
  <si>
    <t>一个月要我一千！我协商一个月还一半！下个月还一半！他们不同意！说不行不还就接着打电话。</t>
  </si>
  <si>
    <t>借2800还6000，暴力催收，爆通讯录</t>
  </si>
  <si>
    <t>http://ts.21cn.com/tousu/show/id/1370517</t>
  </si>
  <si>
    <t>2019/10/18 07:37:46</t>
  </si>
  <si>
    <t>投诉人 陈先生        投诉对象  钱老哥（心意转）        涉诉金额  6 000 元    问题类型    诉求类型投诉详情  借2800，逾期了20天，让还6100元。</t>
  </si>
  <si>
    <t>http://ts.21cn.com/tousu/show/id/1370516</t>
  </si>
  <si>
    <t>2019/10/18 07:37:41</t>
  </si>
  <si>
    <t>2018年10份在网络上看见升学教育，就去报了名，报名老师刚开始很热情，介绍我报了国开和汉语言文学专业，一共是16888，后来说什么优惠什么的，首付付了1388，加上报名费240，剩下12492元，用有钱花，分期付款一共十二期，学习开始，也有很多问题，报考什么的，也没有人介绍，好像是骗人交钱，之后就爱理不理，问怎么报考，也没有人理，就叫我自己打电话问，问怎么退学费也没人说，拿了钱什么都不是说了，我现在只想退回我的学费。</t>
  </si>
  <si>
    <t>快卡闪贷小闪分期</t>
  </si>
  <si>
    <t>http://ts.21cn.com/tousu/show/id/1370515</t>
  </si>
  <si>
    <t>2019/10/18 07:32:05</t>
  </si>
  <si>
    <t>本人已还5期，还了13765，已经超过本金965，借款时候并未说过这2200是什么费用，现在第六期账单日到了，联系不到客服，希望做协商销账处理。</t>
  </si>
  <si>
    <t>马上金融高利贷</t>
  </si>
  <si>
    <t>http://ts.21cn.com/tousu/show/id/1370514</t>
  </si>
  <si>
    <t>2019/10/18 07:32:02</t>
  </si>
  <si>
    <t>高利贷，24期年利率高达36%，远超国家规定利率。</t>
  </si>
  <si>
    <t>到账金额差价</t>
  </si>
  <si>
    <t>http://ts.21cn.com/tousu/show/id/1370513</t>
  </si>
  <si>
    <t>2019/10/18 07:31:41</t>
  </si>
  <si>
    <t>畅捷支付给高利贷平台提供便捷通道，属于违法违规，畅捷私自放款到账金额误差共3笔:2018年11月06日到1200元，2018年11月16日到1200元，2018年11月20日到1200，每笔实际到账1600元，请求退款补偿我的损失。</t>
  </si>
  <si>
    <t>京东金融帐号被限制</t>
  </si>
  <si>
    <t>http://ts.21cn.com/tousu/show/id/1370512</t>
  </si>
  <si>
    <t>2019/10/18 07:27:32</t>
  </si>
  <si>
    <t>帐号曾被京东金融限制后来投诉解除了，之后一直小心翼翼地使用，既没有登录其它手机也没有在自己手机登录它人帐号，更没有其它违规行为，都是正常的参加活动，但是即便如此昨天，还是被京东金融限制了帐号，不能种树，领取大富翁活动金币，领取线下支付券，组团优惠券以及领取其它活动奖励，！京东金融既然冠以金融头衔，根本就无权随意处理客户的金融账户！京东金融方的所作所为简直不可理喻，不要推脱是系统自动做出的限制，即便事实如此，那系统的规则毫无疑问需要完善，被限制的图片如下，投诉要求很简单，恢复帐号的正常使用，我陈述的事实已经很</t>
  </si>
  <si>
    <t>暴力催收，爆通信录</t>
  </si>
  <si>
    <t>http://ts.21cn.com/tousu/show/id/1370511</t>
  </si>
  <si>
    <t>2019/10/18 07:26:28</t>
  </si>
  <si>
    <t>欠不到1000天天骚扰亲戚朋友，我有钱慢慢还也不行。</t>
  </si>
  <si>
    <t>我下载了一个videoleap剪视频软件，打开看了看没什么用，就卸载了，第二天直接从我账户扣了288，直接免密支付！</t>
  </si>
  <si>
    <t>http://ts.21cn.com/tousu/show/id/1370510</t>
  </si>
  <si>
    <t>2019/10/18 07:22:49</t>
  </si>
  <si>
    <t>投诉人王雪投诉对象Videoleap涉诉金额288元问题类型诉求类型投诉详情没有经过我的支付第二天就直接扣费了，我只是下载了一下，看了看没什么用就卸载了，第二天直接扣费，我都不知道怎么回事！。</t>
  </si>
  <si>
    <t>停止骚扰无关人员！！！</t>
  </si>
  <si>
    <t>http://ts.21cn.com/tousu/show/id/1370509</t>
  </si>
  <si>
    <t>2019/10/18 07:22:03</t>
  </si>
  <si>
    <t>浦发银行应立即停止无关人员的骚扰，停止对个人人际关系的大规模骚扰！！！。</t>
  </si>
  <si>
    <t>口袋有米私自放款高利贷</t>
  </si>
  <si>
    <t>http://ts.21cn.com/tousu/show/id/1370508</t>
  </si>
  <si>
    <t>2019/10/18 07:20:55</t>
  </si>
  <si>
    <t>投诉人 李女士        投诉对象  口袋有米        涉诉金额  1 700 元    问题类型    诉求类型投诉详情  本人只是填写资料 就私自放款 也没有看到期限 也没有看到利息 放款到账才有 五天一期利息高达680 这属于高利贷中的高利贷 而且我只是填资料他就私自放款</t>
  </si>
  <si>
    <t>本人在应用宝下载了附近蜜聊，因为免费三天会员，在支付宝开通了免密支付后，直接扣了2笔99元。</t>
  </si>
  <si>
    <t>http://ts.21cn.com/tousu/show/id/1370507</t>
  </si>
  <si>
    <t>2019/10/18 07:20:13</t>
  </si>
  <si>
    <t>本人在应用宝下载了附近蜜聊，因为3天的免费会员，所以在支付宝开通了免密支付被扣了2笔99元的订单。</t>
  </si>
  <si>
    <t>读秒钱包违规收取高额服务费</t>
  </si>
  <si>
    <t>http://ts.21cn.com/tousu/show/id/1370506</t>
  </si>
  <si>
    <t>2019/10/18 07:19:49</t>
  </si>
  <si>
    <t>投诉人谭女士投诉对象读秒钱包涉诉金额32335元问题类型诉求类型投诉详情由于去年2018年5月急用钱，在读秒钱包借款两万，分期24期，每月应还1347.32,已还17期，共计人民币23004.68,因为无力承担每月的还款额，向家人坦白，在家人帮助下准备提前还款，发现如果提前还款还需支付9431.35,严重超出国家法定利率，我也承担不了这么高额的费用，希望读秒钱包能够来跟我协商共同处理，谢谢！。</t>
  </si>
  <si>
    <t>你我贷电话骚扰轰炸</t>
  </si>
  <si>
    <t>http://ts.21cn.com/tousu/show/id/1370505</t>
  </si>
  <si>
    <t>2019/10/18 07:18:47</t>
  </si>
  <si>
    <t>本人于2018年11月15日在你我贷借款4500分期12月现已还10月的总还金额5200应这月家里有事拿不出钱，你我贷电话轰炸！。</t>
  </si>
  <si>
    <t>安家趣花app引导充值会员之后审核失败</t>
  </si>
  <si>
    <t>http://ts.21cn.com/tousu/show/id/1370504</t>
  </si>
  <si>
    <t>2019/10/18 07:18:42</t>
  </si>
  <si>
    <t>以会员的形式让你开通，这样才能审核成功，实际上开了怎么就不会通过，纯属诱骗，黑软件。</t>
  </si>
  <si>
    <t>今借到</t>
  </si>
  <si>
    <t>http://ts.21cn.com/tousu/show/id/1370503</t>
  </si>
  <si>
    <t>2019/10/18 07:18:13</t>
  </si>
  <si>
    <t>投诉人龚先生投诉对象陈伦涉诉金额1500元问题类型诉求类型投诉详情本人在今借到平台向陈伦借款1500元期限5天到账900砍头息600，在还款当天未到期的情况下对我暴力催收恐吓及骚扰亲朋好友通讯录，此人违法发放高利贷。</t>
  </si>
  <si>
    <t>淘宝虚假提示</t>
  </si>
  <si>
    <t>http://ts.21cn.com/tousu/show/id/1370502</t>
  </si>
  <si>
    <t>2019/10/18 07:15:03</t>
  </si>
  <si>
    <t>投诉人 罗先生        投诉对象  淘宝网        涉诉金额  15 元    问题类型    诉求类型投诉详情  淘宝网使用红包购买商品 显示 同一时间下单人数过多。不能购买。不适用优惠券就不会显示下单人数过多。 虚假提示，误导消费者。”</t>
  </si>
  <si>
    <t>三天无理由退房退款，退款周期太长要20天</t>
  </si>
  <si>
    <t>http://ts.21cn.com/tousu/show/id/1370501</t>
  </si>
  <si>
    <t>2019/10/18 07:11:01</t>
  </si>
  <si>
    <t>工作人员态度恶劣拖延时间不让我退房后来说同意退房但查了之后还没退房问他们多久退款说要20天，三天可以理解20天明显感觉是在拖延时间不退房退款说好的入住前三天无理由退房退款现在只请求他们能尽早退款我一个打工的等着这点钱用呢，f g h n k h h j j k ko j j j j j n c c c c g b n n n n j j h g c c c cv b b n n n n n n n n n n n n nv v v b b n m k k k j j n n b hv b b b b b b</t>
  </si>
  <si>
    <t>乾广分期高利贷</t>
  </si>
  <si>
    <t>http://ts.21cn.com/tousu/show/id/1370500</t>
  </si>
  <si>
    <t>2019/10/18 06:56:55</t>
  </si>
  <si>
    <t>乾广分期高利贷3天利息300元，快捷通支付公司为其提供支付，已经续期过一次3天300元现在无力偿还希望跟商家协商本金销账。</t>
  </si>
  <si>
    <t>悦程出行办卡人员导诱开卡</t>
  </si>
  <si>
    <t>http://ts.21cn.com/tousu/show/id/1370414</t>
  </si>
  <si>
    <t>2019/10/18 06:49:38</t>
  </si>
  <si>
    <t>投诉人刘先生投诉对象铁航程商旅涉诉金额1988元问题类型诉求类型投诉详情9-08-17&amp;nbsp;16:59:49，昨天在大理机场有身着空姐服装样式的销售人员推荐我办卡，充值1980元赠送1000元，说预订机票是全网最低价，充值到卡上的钱可以用来直接购买机票也包括赠送的一千元，其间我也询问过，销售人员确切说可以，然后在销售人员的诱骗下就开了卡，开好卡我准备查询，销售人员又告诉我每天办卡的人很多，要到了下午下班后在后台上开通会员权限才能使用，回来后晚上我准备订机票出行，结果不能用里面的钱直接预订，询问客服人员</t>
  </si>
  <si>
    <t>微信支付随意冻结个人财产不给提现</t>
  </si>
  <si>
    <t>http://ts.21cn.com/tousu/show/id/1367940</t>
  </si>
  <si>
    <t>2019/10/18 06:48:34</t>
  </si>
  <si>
    <t>首先感谢腾讯公司微信官方旗下产品绐我们生活带来的便利，在此对你们表示感谢，本人商户号:1523617071，商户名称:南浔练市秋云食品配送部，合法营业执照，食品流通许可证都有，而微信支付的你们呢，你们是怎么做的，你有什么权利冻结我的勤劳所得，有什么权利冻结我的财产，在此感谢聚投给我们这些手无寸铁的老百姓一个说理的地方，谢谢你们。</t>
  </si>
  <si>
    <t>http://ts.21cn.com/tousu/show/id/1370498</t>
  </si>
  <si>
    <t>2019/10/18 06:43:56</t>
  </si>
  <si>
    <t>当时有事借了4万，理由不说了，用钱借了，着急稀里糊涂写了36期！本想后来用一阵还上，一看提前还款，我总共要还8万多，一半的一半，这不是高利贷是什么！我现在已经还了三万多了，不赖账！我可以适当给利息！但是太多了这个！我申请提前还款！减免利息又让我还4万！太坑了！。</t>
  </si>
  <si>
    <t>http://ts.21cn.com/tousu/show/id/1370496</t>
  </si>
  <si>
    <t>2019/10/18 06:43:04</t>
  </si>
  <si>
    <t>投诉人谭女士投诉对象爱白条涉诉金额2500元问题类型诉求类型投诉详情在爱白条上借款2500元分三期还第一期和第二期还1400百多第三期还900多，这利率高的离谱，而且我是9月29号申请的，想取消取消不了，当天没到账是10月9号才到账的，然而还款日却是9月29号，这太坑人，本人希望爱白条能合理解决这个问题，调整利率。</t>
  </si>
  <si>
    <t>无理由扣款</t>
  </si>
  <si>
    <t>http://ts.21cn.com/tousu/show/id/1370497</t>
  </si>
  <si>
    <t>2019/10/18 06:42:53</t>
  </si>
  <si>
    <t>本人从来没有和宝付支付公司有过任何联系和接触，在不告知的情况下，无理由直接从本人银行卡扣款，这种行为非常恐怖。</t>
  </si>
  <si>
    <t>51信用卡管家违规收取高额利息砍头息</t>
  </si>
  <si>
    <t>http://ts.21cn.com/tousu/show/id/1370495</t>
  </si>
  <si>
    <t>2019/10/18 06:39:31</t>
  </si>
  <si>
    <t>之前不小心借了51旗下的两款贷款产品，均有不同程度的违法违规乱收费用的问题，嫌要求将多收费用退回，沟通请在中午或者5点的下班时间联系我尽快处理否则将手里证据进一步曝光媒体。</t>
  </si>
  <si>
    <t>高利息阴阳合同</t>
  </si>
  <si>
    <t>http://ts.21cn.com/tousu/show/id/1370494</t>
  </si>
  <si>
    <t>2019/10/18 06:38:09</t>
  </si>
  <si>
    <t>投诉人 完女士        投诉对象  钱站        涉诉金额  5 000 元    问题类型    诉求类型投诉详情  因为家里出事了。资金跟不上。从钱站借了5000 ，分6期。每期还1553元。还了6期。压力有点大了。 查了一下合同。上面借款写的是9000。还有收取其他利息。现在结清还要6121元。这利息都已经违法了。下面有图有合同</t>
  </si>
  <si>
    <t>处处APP涉嫌欺诈扣费</t>
  </si>
  <si>
    <t>http://ts.21cn.com/tousu/show/id/1370493</t>
  </si>
  <si>
    <t>2019/10/18 06:31:11</t>
  </si>
  <si>
    <t>浏览器看新闻时下载了APP处处，打开出现一推堆存信息和主动找我联系陌生人，怀疑是处处虚构出来引诱用户的，同时诱导用户开通一个零元的体验Ⅴip，这个完全诱导用户免费密支付宝，然后发现仍然无法回复，跟他们说Vip不一样，同时弹出一堆窗口和语音申请退款，这个时候用户关闭按钮时，结果悄悄扣费99元，这是诱导用户开通支付宝免密支付，直接末经用户同意，也没有任何提示下自功扣费99元。</t>
  </si>
  <si>
    <t>前年借了51人品贷逾期了去年主动找他们还款跟催收商量好了还3500还了还要继续叫我还</t>
  </si>
  <si>
    <t>http://ts.21cn.com/tousu/show/id/1370492</t>
  </si>
  <si>
    <t>2019/10/18 06:24:13</t>
  </si>
  <si>
    <t>投诉人 曾先生        投诉对象  51人品        涉诉金额  8 000 元    问题类型    诉求类型投诉详情  前年借了8000 分6每期还1500多 还了3期 后面逾期了好久 去年主动联系还款 跟催收商量好了还3500本金销户早上还了 下午给我打电话说没减免下来 还要还一千本金才能结清 我没同意 就把我还的3500给我把逾期费 利息什么的全扣了 现在还经常骚扰我 家人 给我通讯录打电话说别人欠我钱 我找他们去要钱得 还威胁要上门</t>
  </si>
  <si>
    <t>宜人贷暴力催收</t>
  </si>
  <si>
    <t>http://ts.21cn.com/tousu/show/id/1370491</t>
  </si>
  <si>
    <t>2019/10/18 06:20:41</t>
  </si>
  <si>
    <t>宜人贷高利贷黑社会本质，不敢走法律程序，用下三滥手段暴力催收，让人不耻！。</t>
  </si>
  <si>
    <t>http://ts.21cn.com/tousu/show/id/1370488</t>
  </si>
  <si>
    <t>2019/10/18 06:15:57</t>
  </si>
  <si>
    <t>本人将继续向相关监管机构、司法部门反映相关问题，本人于2017年10月25日与友信普惠签订借款协议，在整个签署协议过程中友信工作人员一直没有太多提及费用，利率等事项，且没有提供纸质合同，阴阳合同这点，友信在本平台已经多次被投诉，这里不属于本次纠纷的重点，本人一直按时还款，因为时隔两年，直到2019年8月才发现其友信普惠app上显示的借款金额为192500元，但是实际借款金额仅为127000元，也就是一次性砍头息收取了65500元，如此高昂的砍头费用，友信员工在整个合同签署过程中只字未提，任何人被收取如此高昂</t>
  </si>
  <si>
    <t>http://ts.21cn.com/tousu/show/id/1370490</t>
  </si>
  <si>
    <t>2019/10/18 06:15:28</t>
  </si>
  <si>
    <t>当时用的苹果手机点了免费试用三天，然后直接扣了298花呗。</t>
  </si>
  <si>
    <t>因故未能按时还款，本人未失联，招联金融威胁联系紧急联系人</t>
  </si>
  <si>
    <t>http://ts.21cn.com/tousu/show/id/1370487</t>
  </si>
  <si>
    <t>2019/10/18 06:06:26</t>
  </si>
  <si>
    <t>因家中突发变故，致使无法按时还款，已多次向招联金融解释，本人绝非恶意拖欠，罚息及征信问题按规定执行，但昨天突然接到自称招联金融工作人员电话声称昨天18:30如不结清欠款，将联系我的朋友，我欠的钱我又不是不认账，我也未失联，请问招联金融有什么权利骚扰我的朋友。</t>
  </si>
  <si>
    <t>http://ts.21cn.com/tousu/show/id/1370486</t>
  </si>
  <si>
    <t>2019/10/18 05:57:23</t>
  </si>
  <si>
    <t>多方便恶意扣款，无意中点到就取消不了，形成强制性借款，借2000三个月总共要2477.41，算不算高利贷。</t>
  </si>
  <si>
    <t>http://ts.21cn.com/tousu/show/id/1370485</t>
  </si>
  <si>
    <t>2019/10/18 05:55:09</t>
  </si>
  <si>
    <t>没过一个月销售打电话来要我在拿两万根本没跟我说有4000的手续费总共三万用金，过年第一次逾期没钱交第二个月就叫我交12000，2019年4月到5月间我去南宁浦发总部协商他们就是让我一次交完。</t>
  </si>
  <si>
    <t>淘宝网菱木全自动洗衣机假冒伪劣产品</t>
  </si>
  <si>
    <t>http://ts.21cn.com/tousu/show/id/1370484</t>
  </si>
  <si>
    <t>2019/10/18 05:53:37</t>
  </si>
  <si>
    <t>在淘宝网菱木全自动洗衣机买的长洪全自动洗衣机。</t>
  </si>
  <si>
    <t>万和电气虚假宣传误导销售</t>
  </si>
  <si>
    <t>http://ts.21cn.com/tousu/show/id/1370483</t>
  </si>
  <si>
    <t>2019/10/18 05:39:58</t>
  </si>
  <si>
    <t>我是万和的一位老用户，2019年10月17号一个自称是万和工作人员数次给我打电话，并以短信通知万和26周年庆典老用户感恩答谢会，让我晚上前去一家本地酒店，到酒店后会场里有接近百余人，一开始是万和的健康讲坐，宣讲净水的好处，然后开始以交100元定金锁定购买资格，推销“官网标价”6999的某型号净水器，，只限10个名额，期间又是做水质实验又搬出央视健康节目，我一听名额这么少急急忙忙手机支付了100元订金，后又说当天付完全款加送扬子空气净化器，又用支付宝刷3580元全款付清，完后万和的工作人员叫了一辆车免费送货到</t>
  </si>
  <si>
    <t>长沙黄花机场畅行商务虚假兜售VIP卡</t>
  </si>
  <si>
    <t>http://ts.21cn.com/tousu/show/id/1358693</t>
  </si>
  <si>
    <t>2019/10/18 05:36:45</t>
  </si>
  <si>
    <t>投诉人赵先生投诉对象畅行联盟商务涉诉金额1500元问题类型诉求类型投诉详情今年3月11日在长沙黄花机场大厅等待值机,被一穿制服的，忽悠，办理了一张1500元的VIP会员卡，说是额外赠送1000元，告诉我打她们官网订票是全网最底价格，而且便宜两三百要，还可以进VIP厅，我反复问她是否可以购买机票她也明确表示了这两千五是可以直接购机票的，之后到六月底和十月初打了卡片上面的贵宾订票电话，却告诉优惠二三十元而且是分次抵扣不可以直接购买机票，更可恶的是在我查了另一app网站价格比他们给的价格便宜还，我当时很生气告诉他</t>
  </si>
  <si>
    <t>即分期、广东南粤银行恶意逾期已结清贷款并导致个人征信不良记录</t>
  </si>
  <si>
    <t>http://ts.21cn.com/tousu/show/id/1370482</t>
  </si>
  <si>
    <t>2019/10/18 05:14:38</t>
  </si>
  <si>
    <t>1月21日，及2017年8月19日，在深圳希诺美容诊所通过即分期向广东南粤银行借款两笔，分别为人民币25600元，，两笔款项均分期24期，并如约每月还款，25600元的借款本息共还31879.13元，10000元借款本息共还12450.83元，不得不说利息高的吓人，但本人最后一笔款项也在2019年8月还清，然2019年初支付宝花呗就被停止，10月申请信用卡也被拒，疑惑之下查询个人征信后发现两笔贷款均显示，两笔贷款各有5千余元未结清，逾期13个月，逾期金额也各有5千余元，加上已还清的款项如今涉案金额近7万元，</t>
  </si>
  <si>
    <t>大力水手,快钱支付</t>
  </si>
  <si>
    <t>http://ts.21cn.com/tousu/show/id/1370481</t>
  </si>
  <si>
    <t>2019/10/18 05:14:27</t>
  </si>
  <si>
    <t>投诉人 郭先生        投诉对象  群发短信，辱骂家人！        涉诉金额  3 500 元    问题类型    诉求类型投诉详情  利息早就超过本金了！高利贷？国家都不允许的，还群发我通讯录？</t>
  </si>
  <si>
    <t>有缘在线强行扣费</t>
  </si>
  <si>
    <t>http://ts.21cn.com/tousu/show/id/1370480</t>
  </si>
  <si>
    <t>2019/10/18 05:11:24</t>
  </si>
  <si>
    <t>在QQ上看到的一个交友APP，下载了之后有个0元体验3天，点进去之后连续两次扣费共计198元，强烈要求退款。</t>
  </si>
  <si>
    <t>浦发利息太高 吓死人</t>
  </si>
  <si>
    <t>http://ts.21cn.com/tousu/show/id/1370479</t>
  </si>
  <si>
    <t>2019/10/18 04:57:58</t>
  </si>
  <si>
    <t xml:space="preserve">投诉人 王先生        投诉对象  浦发万用金        涉诉金额  17 800 元    问题类型    诉求类型投诉详情  我开始跟浦发要了信用卡6000块 万用金10000块每个月都是2700还 没过两个月他们销售又打电话叫我要两万 急用钱就要了 交了两个月 过年的时候逾期了 第二个月要我交12000多 第三个月交26000多 5月份去南宁浦发总部协商 就是要一次交完钱 44000多 莫名多出4000块说是借万用金的手续费 而且说之前交的钱都是利息 </t>
  </si>
  <si>
    <t>合理协商</t>
  </si>
  <si>
    <t>http://ts.21cn.com/tousu/show/id/1370478</t>
  </si>
  <si>
    <t>2019/10/18 04:57:38</t>
  </si>
  <si>
    <t>投诉人安女士投诉对象兴业银行信用卡涉诉金额39800元问题类型诉求类型投诉详情我兴业银行信用卡逾期1年半，本金2万8，2018年10月的时候，总共3万1，当时我10月26就还了第一期，但到了11月5号左右，我再联系兴业银行，确定下期还款时间时，对方直接告知我必须全额还清，那3000不是协商分期后第一期的金额，随后导致我怎么还款都要求还全额，不知怎么还款，到今天中午兴业法务部拿着房屋预估，到我父母家里，告知我父母我兴业银行当时抵押房屋办理的信用卡，又告知我父亲，限我周六中午12点之前去还入2万元，我中午还跟他</t>
  </si>
  <si>
    <t>逆战无尽塔防71关不出怪浪费时间</t>
  </si>
  <si>
    <t>http://ts.21cn.com/tousu/show/id/1370477</t>
  </si>
  <si>
    <t>2019/10/18 04:55:33</t>
  </si>
  <si>
    <t>辛辛苦苦几个小时打到71关不出怪了，白白打了这么多个小时有什么意思呢，官方也没有说明只能打到71关，欺骗玩家，玩了7年的老玩家我真的很不能理解之前在官方充钱玩游戏，最后封我号。</t>
  </si>
  <si>
    <t>豹子贷无故扣钱不需要还要扣</t>
  </si>
  <si>
    <t>http://ts.21cn.com/tousu/show/id/1370476</t>
  </si>
  <si>
    <t>2019/10/18 04:37:44</t>
  </si>
  <si>
    <t>豹子贷,上海造艺网络科技,造艺网络科技,银码头。</t>
  </si>
  <si>
    <t>帮助网赌平台洗黑钱</t>
  </si>
  <si>
    <t>http://ts.21cn.com/tousu/show/id/1370475</t>
  </si>
  <si>
    <t>2019/10/18 04:32:39</t>
  </si>
  <si>
    <t>利用别人的信任，帮助博彩平台网赌充值洗黑钱。</t>
  </si>
  <si>
    <t>拼多多帮人一起忽悠我</t>
  </si>
  <si>
    <t>http://ts.21cn.com/tousu/show/id/1370474</t>
  </si>
  <si>
    <t>2019/10/18 04:18:03</t>
  </si>
  <si>
    <t>投诉人 周迪        投诉对象  拼多多        涉诉金额  12 000 元    问题类型    诉求类型投诉详情  不发份子以网站诱惑 高回报诱惑本人刷单 不发货 付款后人跑了 拼多多不管 联系不上</t>
  </si>
  <si>
    <t>大手钱包砍头息</t>
  </si>
  <si>
    <t>http://ts.21cn.com/tousu/show/id/1370473</t>
  </si>
  <si>
    <t>2019/10/18 04:15:47</t>
  </si>
  <si>
    <t>借了几次，每次借款1500元，他实际放款900元，到时还是还1500元，到期时，app上不能主动还款，等逾期的时候就能手动还款，才可以还款，逾期费用一天103元，就是故意让借款人逾期才能还款，收取高额逾期费用。</t>
  </si>
  <si>
    <t>爆通讯录威胁恐吓</t>
  </si>
  <si>
    <t>http://ts.21cn.com/tousu/show/id/1370472</t>
  </si>
  <si>
    <t>2019/10/18 04:12:29</t>
  </si>
  <si>
    <t>2017年10月接到捷信金融客服打电话，说办理消费分期，利息7.8厘，可以分期36个月，不收取其他费用，我贷了75000元，我还了18期，在app上看到我剩余本金还要还九万多，最可气的是，没有告知我的情况下，强行买了保险和什么灵活还款包，费用和利息每个月都超出本金的一半以上，这样的高额利息我已经承担不起，天天电话骚扰我和我的家人，我要求停止这样的行为，并协商处理方案要求捷信客服人员在电话里辱骂，威胁我和我的家人的行为，要求做出严肃处理，并公开进行道歉和精神补偿展。</t>
  </si>
  <si>
    <t>凡普信贷公司砍头息，套路贷，暴力催收</t>
  </si>
  <si>
    <t>http://ts.21cn.com/tousu/show/id/1370471</t>
  </si>
  <si>
    <t>2019/10/18 04:03:40</t>
  </si>
  <si>
    <t>本人于2018年6月30日经信贷员介绍到凡普信贷公司河池门店办理信用贷款，贷款到帐金额166422元，不到几秒立马被扣掉46422元，实到帐12万，而合同还款金额是166422元，分36期，每期还款5471.67，现在才明白这是赤裸裸的砍头息，其实在审核签约这笔贷款前，该公司的业务员都非常清楚我家里的真实经济情况，我们家的固定收入是两人稳定的工资，其他收入是有风险和亳无保障的，也明明知道我爱人早在八九个月之前在凡普已经贷了7万块，分36期，每期还款3仟多，可他们在审核过程中没有把控好贷后风险，也没有好好评估</t>
  </si>
  <si>
    <t>被绑架扣款</t>
  </si>
  <si>
    <t>http://ts.21cn.com/tousu/show/id/1370470</t>
  </si>
  <si>
    <t>2019/10/18 04:02:58</t>
  </si>
  <si>
    <t>打开手机银行看到被扣款了，我用过支付宝网商贷这些不过都已经还了，我不明白这个是哪个扣的款，查不到任何记录，我怀疑信息被盗用盗刷了我银行卡要求收款方给出解释，而且上面还写的什么还款，我根本就没有欠啊，17号也没有任何一个还款日啊。</t>
  </si>
  <si>
    <t>拍拍贷高利贷，暴力催收导致我2次丢工作</t>
  </si>
  <si>
    <t>http://ts.21cn.com/tousu/show/id/1370469</t>
  </si>
  <si>
    <t>2019/10/18 04:01:03</t>
  </si>
  <si>
    <t>本人和拍拍贷的合同：本人于2018年11月9日在拍拍贷借款25000元，还款共12期，从2018年12月开始，每月09日还款2511.2元，共需还款30134.4，其中大部分是服务费，当时借款时并未告知，等借完还第一次期才知晓，按照银行利率轻松超过40%，若有逾期，有逾期费，现状：本着借钱要还的原则，本人已还10期，攻击人民币25609.09元，其中拍拍贷有过债权转让，并未提前告知，在这个过程中，本人因为拍拍贷的暴力违规催收，丢过一次工作，导致我没了收入来源，本人也是咬牙马上重新找了份工作，没有中断还款，即</t>
  </si>
  <si>
    <t>交易猫买家收到货后，发起恶意仲裁，交易猫客服同谋买家一起欺诈</t>
  </si>
  <si>
    <t>http://ts.21cn.com/tousu/show/id/1370464</t>
  </si>
  <si>
    <t>2019/10/18 03:57:31</t>
  </si>
  <si>
    <t>投诉人李明昊投诉对象交易猫涉诉金额948元问题类型诉求类型投诉详情交易猫买家收到货后，发起恶意仲裁，买家拿到号不到24小时就恶意仲裁，仲裁理由客服问题，客服问题我来买单，后期客服要求我继续配合买家更换手机号码我继续配合更换24小时更换成功后我就可以收到款项，我等待24小时钱一毛没收到，联系客服客服告诉我继续等待，开始客服说只要帐号没有安全隐患就会结束，我帐号邮箱密保邮箱手机号也更换成买家了，客服现在和买家一天留言一句话根本不带处理，我可能被欺诈了，买家和交易猫客服同谋一起欺诈，客服联系不到，买家拿着帐号逍遥</t>
  </si>
  <si>
    <t>我在易秒分期借款快到还款期app打不开了找不到下载地址</t>
  </si>
  <si>
    <t>http://ts.21cn.com/tousu/show/id/1370468</t>
  </si>
  <si>
    <t>2019/10/18 03:56:44</t>
  </si>
  <si>
    <t>易秒分期平台app下载不到，还款将近逾期了谁负责。</t>
  </si>
  <si>
    <t>暴力催收打骚扰电话</t>
  </si>
  <si>
    <t>http://ts.21cn.com/tousu/show/id/1370467</t>
  </si>
  <si>
    <t>2019/10/18 03:55:37</t>
  </si>
  <si>
    <t>还有4000未还，跟平台协商近3个月资金出现问题希望延期还款，我已表明态度会处理不会恶意拖欠，但招联金融开始暴力催收天天骚扰我的通讯录好友，甚至往之前的公司打电话一天打20多个给我的生活和工作带来很大困扰，用网络电话不断骚扰，希望招联金融尽快处理，我可以协商处理余下欠款，负责我就会走法律程序。</t>
  </si>
  <si>
    <t>闪银威胁</t>
  </si>
  <si>
    <t>http://ts.21cn.com/tousu/show/id/1370466</t>
  </si>
  <si>
    <t>2019/10/18 03:48:48</t>
  </si>
  <si>
    <t>使用闪银几年已久，每次砍头息，买会员，一个月1000利息几百块，之前都一直稳定还款，现在因利息太高多次协商未果，借助贵平台能和闪银官方联系不要恶意催收。</t>
  </si>
  <si>
    <t>易宝支付违规为714套路贷公司提供结算通道，获取暴利违纪违法</t>
  </si>
  <si>
    <t>http://ts.21cn.com/tousu/show/id/1370465</t>
  </si>
  <si>
    <t>2019/10/18 03:35:17</t>
  </si>
  <si>
    <t>易宝支付违规为套路贷公司瑞安市众盈网络科技有限公司提供结算通道，获取暴利，现要求承担连带责任退回砍头息600元。</t>
  </si>
  <si>
    <t>闪电借款暴力催收联系无关人员恐吓威胁</t>
  </si>
  <si>
    <t>http://ts.21cn.com/tousu/show/id/1370463</t>
  </si>
  <si>
    <t>2019/10/18 03:31:37</t>
  </si>
  <si>
    <t>闪电借款通过买卡转售收取高额费用，逾期费3天两百多，并且骚扰本人亲朋好友。</t>
  </si>
  <si>
    <t>久富万卡涉嫌高利贷</t>
  </si>
  <si>
    <t>http://ts.21cn.com/tousu/show/id/1370462</t>
  </si>
  <si>
    <t>2019/10/18 03:30:20</t>
  </si>
  <si>
    <t>本人于今年七月份在久富万卡上借了24800元钱，上面显示保费7480，实借32280，合同上全额32280，但我拿到手的只有24800元，分12期还，每期应还2810.97，我算了下年化收益率高于36%，现在我打开平台久富万卡，未显示我的借还款信息，请问，此笔借款我还需要还吗，又或者此平台违规持作，故意想让我愈期，来收取更多的愈期费用。</t>
  </si>
  <si>
    <t>好易借</t>
  </si>
  <si>
    <t>http://ts.21cn.com/tousu/show/id/1370460</t>
  </si>
  <si>
    <t>2019/10/18 03:27:57</t>
  </si>
  <si>
    <t>借款9000，前三期就要还11000多，套路贷，见图片，我已还了12000左右，要求销账！。</t>
  </si>
  <si>
    <t>借贷宝乱象</t>
  </si>
  <si>
    <t>http://ts.21cn.com/tousu/show/id/1370450</t>
  </si>
  <si>
    <t>2019/10/18 03:21:43</t>
  </si>
  <si>
    <t>投诉人刘女士投诉对象借贷宝涉诉金额1000元问题类型诉求类型投诉详情昨天10月17号，在借贷宝突然有人评论我为我提供放款服务，然后我添加了，后面资料包括联系人电话自己的身份证，手持身份证，都给他了，他让我打条，我打了，还付了3元手续费，打了1000的借条说到手给我700，一打玩，对方突然跟我说恭喜你中奖了，给300块钱给他，他才销条子，这是诈片，估计不是我一个人投诉他，借贷宝应该查一下，要为我们负责，不是单单收取服务费，更不能是帮凶，我听我朋友们说借贷宝不管这些，只会让你自己去协商，协商难道让我去给他300</t>
  </si>
  <si>
    <t>http://ts.21cn.com/tousu/show/id/1370458</t>
  </si>
  <si>
    <t>2019/10/18 03:17:14</t>
  </si>
  <si>
    <t>玖富万卡高利贷，是个坑，套路贷，把利息费用变相改成服务费，年利率高达百分之三十六。</t>
  </si>
  <si>
    <t>58安选保证金违法扣除</t>
  </si>
  <si>
    <t>http://ts.21cn.com/tousu/show/id/1370452</t>
  </si>
  <si>
    <t>2019/10/18 03:15:14</t>
  </si>
  <si>
    <t>投诉人孙先生投诉对象58同城涉诉金额600元问题类型诉求类型投诉详情58以虚假房源为理由扣除了全部的安选保证金交易然后我上传文件就是不予通过，房东人在国外的过完圣诞节才回来难道要等到圣诞节吗。</t>
  </si>
  <si>
    <t>http://ts.21cn.com/tousu/show/id/1370457</t>
  </si>
  <si>
    <t>2019/10/18 03:15:08</t>
  </si>
  <si>
    <t>本人于2049年9月在你我贷借款15000。</t>
  </si>
  <si>
    <t>机场人员误导购买悦诚出行卡</t>
  </si>
  <si>
    <t>http://ts.21cn.com/tousu/show/id/1370455</t>
  </si>
  <si>
    <t>2019/10/18 03:06:25</t>
  </si>
  <si>
    <t>机场人员以误导方式忽悠我充值悦程出行卡，说用卡订票可以直接抵扣，结果显示的是只抵扣五十元机建费，剩余的消费都需要另外支付。</t>
  </si>
  <si>
    <t>平台没有平台资质</t>
  </si>
  <si>
    <t>http://ts.21cn.com/tousu/show/id/1370454</t>
  </si>
  <si>
    <t>2019/10/18 03:06:03</t>
  </si>
  <si>
    <t>从银行卡里扣除我298.5元没有让我输入密码。</t>
  </si>
  <si>
    <t>新生支付有限公司违规提供支付通道</t>
  </si>
  <si>
    <t>http://ts.21cn.com/tousu/show/id/1370453</t>
  </si>
  <si>
    <t>2019/10/18 03:04:18</t>
  </si>
  <si>
    <t>被人引诱到一个网站充值入金，后来发现是境外非法游戏平台，并非正规的购彩网站，通过中国人民银行和支付清算协会沟通得知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希望聚投诉工作人员能够联系，要求第三方支付机构退回被扣款项，本人多次拨打新生支付客服反馈，但是却一直无法转接人工，感谢聚投诉，</t>
  </si>
  <si>
    <t>贷上钱是高利贷，收取第三方费用变相砍头息</t>
  </si>
  <si>
    <t>http://ts.21cn.com/tousu/show/id/1370451</t>
  </si>
  <si>
    <t>2019/10/18 03:02:47</t>
  </si>
  <si>
    <t>你好，本人赖勇军9月24号在你们贷上钱平台申请了2笔贷款，分别是2000元和2500元的贷款2笔贷款里面你们平台怎么都另外收取了一共1000元的第三费用，当时我申请贷款的时候怎么没有明确告知给借款人，后来我在10月17号还一笔2000元贷款的时候才知道你们多扣除了我500元，请你们把多扣除的500元退还给我，否则我会采取法律途径维护自己的权益！我现在还欠你们一笔2500元的贷款，10月24号才到期还款，到期还款的时候我只会尝还国家规定的借贷利率的本金加利息归还，如果还要我多付那个第三方的500费用，我不再处</t>
  </si>
  <si>
    <t>今日头条抖音存在泄漏公民信息侵犯知识产权</t>
  </si>
  <si>
    <t>http://ts.21cn.com/tousu/show/id/1370443</t>
  </si>
  <si>
    <t>2019/10/18 02:55:44</t>
  </si>
  <si>
    <t>今日头条旗下平台抖音用户存在大量泄漏公民信息，侵犯知识产权，侵犯肖像权，复制，盗版，播放，通过网络传播，非法出版。</t>
  </si>
  <si>
    <t>太平洋保险公司套路</t>
  </si>
  <si>
    <t>http://ts.21cn.com/tousu/show/id/1370449</t>
  </si>
  <si>
    <t>2019/10/18 02:52:13</t>
  </si>
  <si>
    <t>15万贷款银行短信是4700但是太保让我从6700误导消费者每月2100保费被套路。</t>
  </si>
  <si>
    <t>小树时代不退还保证金</t>
  </si>
  <si>
    <t>http://ts.21cn.com/tousu/show/id/1370448</t>
  </si>
  <si>
    <t>2019/10/18 02:52:12</t>
  </si>
  <si>
    <t>查封app，下架，对法人进行财产限制措施，对用户退款。</t>
  </si>
  <si>
    <t>http://ts.21cn.com/tousu/show/id/1370447</t>
  </si>
  <si>
    <t>2019/10/18 02:50:54</t>
  </si>
  <si>
    <t>恶性催收，高利贷，砍头息，催收人员说话恶劣。</t>
  </si>
  <si>
    <t>易宝支付目无法纪，与714高炮合作提供砍头息结算通道，非法获取暴利</t>
  </si>
  <si>
    <t>http://ts.21cn.com/tousu/show/id/1370446</t>
  </si>
  <si>
    <t>2019/10/18 02:46:08</t>
  </si>
  <si>
    <t>我实名举报易宝支付目无法纪与国家严厉打击的714套路贷公司狼狈为奸，提供榨取老百姓血汗钱的清结算通道获取暴利，害的无数家庭像我一样因为套路贷家破人亡，我要求易宝支付按相关规定先行赔付非法扣取我的砍头息7510元，另外一些没有记录的流水忽略不计，花钱买教训，如不处理将同步去公司当地信访局上访，并投诉举报到一切能为老百姓做主的机构和平台，针对此家商户共涉及两个银行卡，根据银行流水整理的相关转账流水分别附截图如下，恳请聚投诉平台给讨回公道，老百姓感激不尽！。</t>
  </si>
  <si>
    <t>http://ts.21cn.com/tousu/show/id/1370445</t>
  </si>
  <si>
    <t>2019/10/18 02:45:45</t>
  </si>
  <si>
    <t>下架APP，退回扣款，查封法人帐户，一查到底。</t>
  </si>
  <si>
    <t>平安口袋商城的sony标明是可以七天无理由退货，退货时却被告知只要拆封包装就不能退</t>
  </si>
  <si>
    <t>http://ts.21cn.com/tousu/show/id/1370441</t>
  </si>
  <si>
    <t>2019/10/18 02:37:18</t>
  </si>
  <si>
    <t>耳机，产品页面明确显示支持七天无理由退换货，本人仅拆封试听，音质感觉不好，然后包装全都完好，但是客服却已拆封了为理由，不给退货，说拆封了就不能享受七天无理由退换货了，退货的信息一直不处理。</t>
  </si>
  <si>
    <t>现控达人恶意逾期</t>
  </si>
  <si>
    <t>http://ts.21cn.com/tousu/show/id/1370440</t>
  </si>
  <si>
    <t>2019/10/18 02:32:16</t>
  </si>
  <si>
    <t>本人通过现控达人，在里面的微豆荚借款2800元及2100元借款期限是32天，每8天一期，2800每期还款1022.4元，总共要还款4089.6元，导致现在逾期，还不了每天还要付那么高的利息，银行卡也未还款成功，并且一直联系不上客服，客服电话4008336200，app反馈也没人回，支付通道为北京畅捷通支付技术有限公司，为高利贷提供违规支付途径，现希望聚投诉联系商家协助处理，畅捷支付联系平台处理。</t>
  </si>
  <si>
    <t>http://ts.21cn.com/tousu/show/id/1370439</t>
  </si>
  <si>
    <t>2019/10/18 02:25:32</t>
  </si>
  <si>
    <t>说是开通免密送三天会员，会员没送还自动扣了198元钱。</t>
  </si>
  <si>
    <t>http://ts.21cn.com/tousu/show/id/1370438</t>
  </si>
  <si>
    <t>2019/10/18 02:25:31</t>
  </si>
  <si>
    <t>本人没有不想还款的意思，他们工作人员打了好几次电话一开始我接了，现在实在还不起，我也解释过了，近期在找工作，发了工资立马还。</t>
  </si>
  <si>
    <t>抖音侵犯知识产权泄漏公民信息</t>
  </si>
  <si>
    <t>http://ts.21cn.com/tousu/show/id/1370437</t>
  </si>
  <si>
    <t>2019/10/18 02:16:26</t>
  </si>
  <si>
    <t>抖音大量用户未取得相关著作权，对其他知识进行抄袭，批量复制，批量销售，并倒流第三方平台，大量泄漏公民信息。</t>
  </si>
  <si>
    <t>拍拍贷高利贷行为</t>
  </si>
  <si>
    <t>http://ts.21cn.com/tousu/show/id/1370436</t>
  </si>
  <si>
    <t>2019/10/18 02:14:31</t>
  </si>
  <si>
    <t>利息太高，明明只有900多块钱未还款！然后逾期了一段时间，后来协商未果！利息越来越高！本人愿意按国家合法利息支付！他们不同意，。</t>
  </si>
  <si>
    <t>高额利息</t>
  </si>
  <si>
    <t>http://ts.21cn.com/tousu/show/id/1370435</t>
  </si>
  <si>
    <t>2019/10/18 02:10:49</t>
  </si>
  <si>
    <t>投诉人 秦先生        投诉对象  龙虾分期        涉诉金额  3 600 元    问题类型    诉求类型投诉详情  龙虾分期app 收取砍头息，超出国家规定借款利率</t>
  </si>
  <si>
    <t>http://ts.21cn.com/tousu/show/id/1370434</t>
  </si>
  <si>
    <t>2019/10/18 02:09:51</t>
  </si>
  <si>
    <t>1000元三个月要收我5百多的利息，逾期一天多出一百多块钱，还有恐吓短信。</t>
  </si>
  <si>
    <t>http://ts.21cn.com/tousu/show/id/1370433</t>
  </si>
  <si>
    <t>2019/10/18 01:59:50</t>
  </si>
  <si>
    <t>根据等额本息的计算方式，1000块钱每月要还1004.62.，，计算年利率大概是61%远远超过了国家规定范围。</t>
  </si>
  <si>
    <t>提前还款收取全部利息</t>
  </si>
  <si>
    <t>http://ts.21cn.com/tousu/show/id/1370432</t>
  </si>
  <si>
    <t>2019/10/18 01:58:37</t>
  </si>
  <si>
    <t>本人15日在平台上不知情操作分期12期借款14500，随后立即询问平台客服要求取消订单立即还款，却被告知需要同时还12期全部利息2800余元，在当天借款款，当天要求立即还款的情况下，要求还12期全部利息是高利贷行为，存在以下情况虚假广告欺诈用户广告30天免息误导用户平台首页误导用户按日计息借款时无提醒不能提前还款否则还全息强制分期还款，借款合同自动勾选无提示。</t>
  </si>
  <si>
    <t>玖富万卡取消放款</t>
  </si>
  <si>
    <t>http://ts.21cn.com/tousu/show/id/1370431</t>
  </si>
  <si>
    <t>2019/10/18 01:58:34</t>
  </si>
  <si>
    <t>不小心点进去，后悔没看到利息太高，只求取消贷款，本人无业游民，还不起高额贷款。</t>
  </si>
  <si>
    <t>在正常还款期内结清了贷款，征信上却出现了担保代偿</t>
  </si>
  <si>
    <t>http://ts.21cn.com/tousu/show/id/1370430</t>
  </si>
  <si>
    <t>2019/10/18 01:54:09</t>
  </si>
  <si>
    <t>本人在2019年4月份在在正常还款期内在拍拍贷上提前结清了一笔贷款，但是拍拍贷却在我的征信上出现了“盛京银行”的担保代偿，因为这个担保代偿，导致本人在换工作的时候出现了无法正常入职的情况，本人现在已经失业2个月有余，期间一直和拍拍贷进行沟通，要求其在人行征信系统上将本人的担保代偿取消，但是一直未见行动，只是客服给我打电话说让我要一直等到征信刷新，本人从4月份等到了10月份，中间的6个月这个代偿一直跟着我，同时本人现在有买二套房的需求，但是因为这个担保代偿，导致本人无法在银行进行按揭贷款，我不能因为拍拍贷的工</t>
  </si>
  <si>
    <t>http://ts.21cn.com/tousu/show/id/1370429</t>
  </si>
  <si>
    <t>2019/10/18 01:52:54</t>
  </si>
  <si>
    <t>我岳父岳母都70多岁了要是有个三长两短我就起诉你们。</t>
  </si>
  <si>
    <t>maka诱导用户消费，被扣一年会员费328元</t>
  </si>
  <si>
    <t>http://ts.21cn.com/tousu/show/id/1370427</t>
  </si>
  <si>
    <t>2019/10/18 01:50:19</t>
  </si>
  <si>
    <t>本人试用mala三天免费会员，试用期后再未通知情况下再微信被扣除328元网上搜查相关信息后发现很多人都被maka诱导消费，涉嫌恶意欺诈消费者，请处理。</t>
  </si>
  <si>
    <t>钱站修改合同金额</t>
  </si>
  <si>
    <t>http://ts.21cn.com/tousu/show/id/1370426</t>
  </si>
  <si>
    <t>2019/10/18 01:49:21</t>
  </si>
  <si>
    <t>借款成功后查看合同显示实际借款1250元，那250元并未到达本人名下银行卡，且高额服务费，第一期还款并不是还本金，而是服务费和利息270多元。</t>
  </si>
  <si>
    <t>超利贷，假合同，</t>
  </si>
  <si>
    <t>http://ts.21cn.com/tousu/show/id/1370425</t>
  </si>
  <si>
    <t>2019/10/18 01:43:39</t>
  </si>
  <si>
    <t>投诉人 杜先生        投诉对象  贷上钱        涉诉金额  4 000 元    问题类型    诉求类型投诉详情  借4000,3个月还5442.36 超利贷，年利息超200%</t>
  </si>
  <si>
    <t>96小时还不给到账</t>
  </si>
  <si>
    <t>http://ts.21cn.com/tousu/show/id/1370423</t>
  </si>
  <si>
    <t>2019/10/18 01:41:09</t>
  </si>
  <si>
    <t>都几天了还不到账，等的花都快要没有了??客服也不行老显示在排队。</t>
  </si>
  <si>
    <t>http://ts.21cn.com/tousu/show/id/1370422</t>
  </si>
  <si>
    <t>2019/10/18 01:41:02</t>
  </si>
  <si>
    <t>借3000元，分3期，每期要还款1960元。</t>
  </si>
  <si>
    <t>关于自考学生不能退学费的问题！！</t>
  </si>
  <si>
    <t>http://ts.21cn.com/tousu/show/id/1370420</t>
  </si>
  <si>
    <t>2019/10/18 01:37:05</t>
  </si>
  <si>
    <t>我在今年4月份报考了师大教育自考专科的幼师专业，但是我自己由于工作太忙，没有时间上课，所以找班主任询问是否可以退学费，班主任各种推脱，就是不给退！！！但是我了解到的教育机构，按照国家法律法规规定是可以申请没有上课的部分可以申请退还剩余学费的！！但是客服不回复我，招生的人消失不在联系不了，实在没办法来这里投诉申请退学费，希望能有人帮我处理这件事，十分感谢！！！。</t>
  </si>
  <si>
    <t>电话恐吓辱骂</t>
  </si>
  <si>
    <t>http://ts.21cn.com/tousu/show/id/1370419</t>
  </si>
  <si>
    <t>2019/10/18 01:35:37</t>
  </si>
  <si>
    <t>投诉人 蔡先生        投诉对象  贷上钱,贷上钱包        涉诉金额  6 300 元    问题类型    诉求类型投诉详情  电话侮辱恐吓，暴力催收。赤裸裸的高利贷平台，骚扰人正常生活 态度极其恶劣</t>
  </si>
  <si>
    <t>美团客服人员恐吓及套路贷</t>
  </si>
  <si>
    <t>http://ts.21cn.com/tousu/show/id/1370418</t>
  </si>
  <si>
    <t>2019/10/18 01:34:52</t>
  </si>
  <si>
    <t>因本人还款逾期跟客服沟通宽限些时间，期间已经还了一部分款项进去，但美团从逾期第一日开始就骚扰家人和通讯录里的朋友，还多次电话短信威胁，在电话中让我把把本期的金额还进去后再重新把帐号上的额度提取出来，套路贷不成功后开始态度恶劣恐吓说上门处理，多次打给通讯录的朋友，辱骂他们让他们来帮我处理逾期的款项。</t>
  </si>
  <si>
    <t>信用飞砍头息高利贷</t>
  </si>
  <si>
    <t>http://ts.21cn.com/tousu/show/id/1370416</t>
  </si>
  <si>
    <t>2019/10/18 01:27:19</t>
  </si>
  <si>
    <t>由于资金周转需要，我于2019.7.24日在信用飞app平台上申请借款6000元，已经按时还款两期，我在查账单的时候，发现信用飞在下款后，又通过宝付支付立刻扣款1080元，对于这1080元相关借款协议中没有任何体现，属于砍头息，那我实际借款金额应为4920元，相应的息费服务费应该是按照4920元收取，我要求信用飞平台对于这1080元扣除费用给我一个解释，并且给合理的利息，我将立刻结清借款账单，信用飞也请立刻帮我销账。</t>
  </si>
  <si>
    <t>借花钱，成都安睿旺蜀网络科技有限公司恶意扣费</t>
  </si>
  <si>
    <t>http://ts.21cn.com/tousu/show/id/1370415</t>
  </si>
  <si>
    <t>2019/10/18 01:25:38</t>
  </si>
  <si>
    <t>在借花钱平台申请借款后绑定银行卡直接被扣费，没有审核提示就被扣费，属于欺诈非法。</t>
  </si>
  <si>
    <t>转转集体投诉专题</t>
  </si>
  <si>
    <t>http://ts.21cn.com/tousu/show/id/1370413</t>
  </si>
  <si>
    <t>2019/10/18 01:20:59</t>
  </si>
  <si>
    <t>投诉人 转转        投诉对象  转转        涉诉金额  2 218 元    问题类型    诉求类型投诉详情  转转平台 不作为 对消费者投诉不理 投诉无门！</t>
  </si>
  <si>
    <t>高利贷阴阳合同砍头息</t>
  </si>
  <si>
    <t>http://ts.21cn.com/tousu/show/id/1370412</t>
  </si>
  <si>
    <t>2019/10/18 01:20:21</t>
  </si>
  <si>
    <t>借款8000元钱，砍头息，算了我本金8744，我只收到8000.等额本息36%计算8000我每月要还1476.78.现在每月要还1624.85.，利息高了一倍，差不多是72%，借款合同金额居然是8744，年利息还写4.8%。</t>
  </si>
  <si>
    <t>广东永恒优享网络科技有限公司非法放贷</t>
  </si>
  <si>
    <t>http://ts.21cn.com/tousu/show/id/1370411</t>
  </si>
  <si>
    <t>2019/10/18 01:20:11</t>
  </si>
  <si>
    <t>广东永恒优享网络科技有限公司非法放贷，现要求退还一半非法砍头息1700元，除了聚投诉，我已在12363，互联网金融平台投诉，现在准备材料已挂号信寄送到广东当地银监局。</t>
  </si>
  <si>
    <t>豆豆钱扣保险费，利息高的吓人</t>
  </si>
  <si>
    <t>http://ts.21cn.com/tousu/show/id/1370410</t>
  </si>
  <si>
    <t>2019/10/18 01:19:23</t>
  </si>
  <si>
    <t>15号借了豆豆钱14300扣了我1000的保险费借了12个月要还19104.8元，到账13300这样的利息是不是太高了，还扣我1000的保险费，希望聚投诉帮忙把保险费要回来。</t>
  </si>
  <si>
    <t>暴力催收，语言侮辱</t>
  </si>
  <si>
    <t>http://ts.21cn.com/tousu/show/id/1370409</t>
  </si>
  <si>
    <t>2019/10/18 01:19:20</t>
  </si>
  <si>
    <t>在还款的同时本人的亲朋好友被支付宝蚂蚁借呗的工作人员数次的骚扰，一天几十个电话，而且对方一开口就骂人，态度极其恶劣，这些电话来自全国各地，而且它可以打出来但是我们打不进去，我曾经像支付宝客服反应过这个事情叫他们联系本人177******11这个电话号码，结果支付宝一次没有联系过我，反而骚扰本人的亲朋好友在通过支付宝客服投诉过后支付宝方面来电通过协商支付宝表面答应我以后不会在联系本人亲朋好友了，会直接与本人联系，态度极其嚣张，我想说难道他支付宝有钱就可以无法无天藐视国家法律法规嘛，难道一个投诉平台只是一个摆设</t>
  </si>
  <si>
    <t>http://ts.21cn.com/tousu/show/id/1370408</t>
  </si>
  <si>
    <t>2019/10/18 01:10:50</t>
  </si>
  <si>
    <t>一开始跟我说能借到13万，但协议上却写着贷款金额是187500元，实际到账13万，请问为何还36个月下来金额却变了21万多，现在还了27期总额我已经还了163828.44元，现在结清还要还个5万4，道理何在，我要求协商，停止继续还款，合同终止结束，对方还不理会，我这样做，友信你有亏吗，不合理收取高额的服务费和咨询费用，我要维权，现在我不是借了没有还钱，已经咨询过律师，我是可以不用继续还下去的，我需要合理的解决方法。</t>
  </si>
  <si>
    <t>http://ts.21cn.com/tousu/show/id/1370407</t>
  </si>
  <si>
    <t>2019/10/18 01:09:52</t>
  </si>
  <si>
    <t>10月17日，本人在医院血透过程中，该行以下工作人员仍不停打电话让还款，平均每个电话都打了10个以上，而且还打了我的三位家属电话，158******75，该人员告知是兴业银行委托准备上门催收的人员。</t>
  </si>
  <si>
    <t>中腾信暴力催收，本人要求协商还款事宜</t>
  </si>
  <si>
    <t>http://ts.21cn.com/tousu/show/id/1370406</t>
  </si>
  <si>
    <t>2019/10/18 01:09:22</t>
  </si>
  <si>
    <t>本人于2017年10月于中腾信申请了一笔贷款75000元，每期供款为3052.77，供款期为36个月，已正常供款23个月，总已供款金额为70213元，由于本人家中上月出现了突发情况，今个月未能正常供款，而本人现在家庭状况非常糟糕，已无力再按该计划进行供款，本人有意愿进行还款，但该供款金额确实未能再承担，现要求停止群发欠款信息到通讯录，要求协商还款事宜和调整供款金额及调整费用事宜。</t>
  </si>
  <si>
    <t>豆豆钱违法操作还款</t>
  </si>
  <si>
    <t>http://ts.21cn.com/tousu/show/id/1370405</t>
  </si>
  <si>
    <t>2019/10/18 01:06:10</t>
  </si>
  <si>
    <t>在豆豆钱上借了五千块钱，收砍头息也就算了，到最后一期还款的时候，直接把账单显示为0，根本还不了款，打客服电话也接不通，也没有人主动联系，这是打算把我算在逾期还款然后多收我逾期的钱吗。</t>
  </si>
  <si>
    <t>国美电器借答谢会推销净水器虚假宣传</t>
  </si>
  <si>
    <t>http://ts.21cn.com/tousu/show/id/1370404</t>
  </si>
  <si>
    <t>2019/10/18 01:05:58</t>
  </si>
  <si>
    <t>1.通过集会进行夸大虚假宣传：打电话告知我们去国美领取奖品，去了成净水器和净化器推销会，宣传中夸大产品性能，说别家产品每年需要更换一次滤芯，他家产品4年更换一次，经查实一般合格净水器最多1-2年就要更换净化器，2.声称未经上市的产品来提前销售：让顾客帮忙做宣传便宜销售，称是新产品刚刚上市，其实是老产品，市值2000元左右，3.销售质次价高的产品：商家声称原价5999元，现价只要3999元，以最低价格帮忙做促销，同时赠送新飞负离子空气净化器，经查实同类型产品该价格已属偏贵，产品质量也无法证明优于知名品牌产品，</t>
  </si>
  <si>
    <t>http://ts.21cn.com/tousu/show/id/1370403</t>
  </si>
  <si>
    <t>2019/10/18 01:05:47</t>
  </si>
  <si>
    <t>本人被厦门机场登机口穿制服人员虚假宣传，误导消费，要求退款，。</t>
  </si>
  <si>
    <t>微信冻结我的个人财产不给</t>
  </si>
  <si>
    <t>http://ts.21cn.com/tousu/show/id/1370402</t>
  </si>
  <si>
    <t>2019/10/18 01:04:28</t>
  </si>
  <si>
    <t>我老公的朋友说别人欠他的钱，他的微信限额了，让我帮他接一下，帮了他钱也给他了，第二天我自己的微信号被永久冻结了，里面我自己的钱花不了，提不出来，打客服多次，来回让我等三天，一点都没解决到问题，你腾讯可以限制我使用app但是你不能冻结我的个人财产吧，请聚投诉帮我讨回。</t>
  </si>
  <si>
    <t>http://ts.21cn.com/tousu/show/id/1370401</t>
  </si>
  <si>
    <t>2019/10/18 01:04:01</t>
  </si>
  <si>
    <t>网络赌博，输赢金额巨大，有些人一天输20几万，赢了平台不给提现。</t>
  </si>
  <si>
    <t>http://ts.21cn.com/tousu/show/id/1370400</t>
  </si>
  <si>
    <t>2019/10/18 01:01:40</t>
  </si>
  <si>
    <t>2019年9月17号向约单APP充值名为诚意金1500元人民币，后联系客服，声称要30天后才能退还，2019年10月18日查看金额已经转向APP内部钱包，并且少了225元人民币，剩余的钱还不能提现出来，请有关部门予以重视，解决，谢谢。</t>
  </si>
  <si>
    <t>和捷信协商好了几号还进去客服同意了结果第二天捷信找人来了三个去我家里要钱家里有老人老人被气到病了</t>
  </si>
  <si>
    <t>http://ts.21cn.com/tousu/show/id/1370399</t>
  </si>
  <si>
    <t>2019/10/18 01:01:06</t>
  </si>
  <si>
    <t>本人打捷信客服协商延期还款这个月工资拖延了客服也同意协商说好了几号还进去，结果第二天就来了三个人说捷信的去我家里要钱找我父母家里老人老了气的病了。</t>
  </si>
  <si>
    <t>拍拍贷恶意骚扰，冒充公检法</t>
  </si>
  <si>
    <t>http://ts.21cn.com/tousu/show/id/1370398</t>
  </si>
  <si>
    <t>2019/10/18 00:59:30</t>
  </si>
  <si>
    <t>拍拍贷高利贷，暴力催收，恶意骚扰，冒充公检法群发信息给亲朋戚友！~请作出处罚与道歉。</t>
  </si>
  <si>
    <t>无缘无故扣除了我银行卡288元，然后就联系不上了</t>
  </si>
  <si>
    <t>http://ts.21cn.com/tousu/show/id/1370397</t>
  </si>
  <si>
    <t>2019/10/18 00:57:38</t>
  </si>
  <si>
    <t>下载了天天金钱，本来想应急没办法才申请的结果无缘无故扣了银行卡里的钱，连密码都不需要直接扣了，简直太可怕了，申请页面写的很明确是添加收款银行卡，结果我添加完成就扣了我288块钱，页面上并没有任何说明会扣款，咨询客服让我申请五个app才给退款，按照客服要求做了，客服说1-2个工作日回复，结果就联系不上了，客服要求申请的五个平台还都是高利贷，这种app就应该被下架。</t>
  </si>
  <si>
    <t>本人在智购博网交易了一个游戏账号，钱被冻结了客服告诉我我要继续充钱才能提现</t>
  </si>
  <si>
    <t>http://ts.21cn.com/tousu/show/id/1370395</t>
  </si>
  <si>
    <t>2019/10/18 00:52:09</t>
  </si>
  <si>
    <t>本人昨天在智购博网交易了一个游戏账号，号卖了资金被平台冻结，说我资料不对，后来联系客服客服说我要继续充1000才能全部退给我。</t>
  </si>
  <si>
    <t>http://ts.21cn.com/tousu/show/id/1370394</t>
  </si>
  <si>
    <t>2019/10/18 00:51:55</t>
  </si>
  <si>
    <t>帮助不良商家获取不当利益，客服不处理，各种推诿。</t>
  </si>
  <si>
    <t>诱导网贷，不退费</t>
  </si>
  <si>
    <t>http://ts.21cn.com/tousu/show/id/1370393</t>
  </si>
  <si>
    <t>2019/10/18 00:51:37</t>
  </si>
  <si>
    <t>我弟被昆明达内时代科技有限公司电话营销，诱导网贷19600元作为培训费，网贷合同由达内提供，费用未经过他的账户，直接扣除，只有网债，没有任何付款凭证，要求退款。</t>
  </si>
  <si>
    <t>http://ts.21cn.com/tousu/show/id/1370392</t>
  </si>
  <si>
    <t>2019/10/18 00:50:40</t>
  </si>
  <si>
    <t>转转平台，商品描述与验机报告严重不符，诱导买家点击确认发货，发现事情不对，马上联系平台客服，结果客服各种拖拉，说给反馈，给上报，怀疑是内外勾结欺骗消费者，网上此种半道已经很多了，希望引起有关部门重视。</t>
  </si>
  <si>
    <t>你我贷暴力催收，侵犯个人隐私，</t>
  </si>
  <si>
    <t>http://ts.21cn.com/tousu/show/id/1370391</t>
  </si>
  <si>
    <t>2019/10/18 00:45:58</t>
  </si>
  <si>
    <t>本人于2019年4月6日在你我贷借款9500元分12期，每期还款886元，希望贵平台能主持公道对该黑恶势力所做所为曝光，还款时提示前三期还款时提示每月要还1646元，现已还了6期，第6期给客服去电表示想全额还款，客服说先把当期账单处理后才能申请，处理完后就没人理会了，导致第7期逾期逾期，客服人员还是一直诱导处理逾期部分，拒绝提前结清，现已还7600元，结清还要在还5500元，今天协商无果后由下属宏安财务催收公司人员暴力催收，恶意盗取个人信息，家人照片，对亲属恶意中伤！半夜130******26这个号码打电话</t>
  </si>
  <si>
    <t>淘手游申诉换绑，恶意不通过客服不解决</t>
  </si>
  <si>
    <t>http://ts.21cn.com/tousu/show/id/1370390</t>
  </si>
  <si>
    <t>2019/10/18 00:45:57</t>
  </si>
  <si>
    <t>常在地全部正确，一直不予通过说我身份证不清楚。</t>
  </si>
  <si>
    <t>扣了2次钱</t>
  </si>
  <si>
    <t>http://ts.21cn.com/tousu/show/id/1370389</t>
  </si>
  <si>
    <t>2019/10/18 00:45:18</t>
  </si>
  <si>
    <t>投诉人 吴先生        投诉对象  小象租赁        涉诉金额  190 元    问题类型    诉求类型投诉详情  已经打电话说不需要了 还给我寄货 而且还扣了我2次钱</t>
  </si>
  <si>
    <t>http://ts.21cn.com/tousu/show/id/1370388</t>
  </si>
  <si>
    <t>2019/10/18 00:43:37</t>
  </si>
  <si>
    <t>还款当日十一点多进入钱站，自动还款，没显示，还不了，导致逾期，钱站发了一天通知短信，找了两次客服，说明情况，客服那边登记，说会让工作人员联系我，已经把账单金额还进去，过十二点，逾期费又涨利息。</t>
  </si>
  <si>
    <t>即有分期违法高利贷，本人在此维权，已收集证据</t>
  </si>
  <si>
    <t>http://ts.21cn.com/tousu/show/id/1370387</t>
  </si>
  <si>
    <t>2019/10/18 00:42:46</t>
  </si>
  <si>
    <t>即有分期之前投诉好几次都无效，本人于今天开始维权，本人于2017年5月10日在即有分期豪有钱申请了一笔借款，合同写明借款14300，借款咨询费1300，实际到账13000，当时分30期，一期868，现已还26期共22568元，30期按国家规定年利率24%算起共需偿还18752.97元，因本人已还清国家规定利息，但还是遭到即有分期的暴力催收，骚扰本人亲朋好友，甚至打电话到户籍所在地村委会进行骚扰，甚至有催收冒充公检法，通话近半小时全程录音，客服完全解决不了问题，现本人强烈要求即有分期销账，停止对无关人员及村委</t>
  </si>
  <si>
    <t>么么钱包威胁恐吓，还说要上门</t>
  </si>
  <si>
    <t>http://ts.21cn.com/tousu/show/id/1370385</t>
  </si>
  <si>
    <t>2019/10/18 00:42:30</t>
  </si>
  <si>
    <t>原之前在培训机构报名，对方有跟么么钱包合作，可后面对方机构收了钱后跑路了，么么钱包的工作人员就每天不停的威胁，恐吓，轰炸通讯录，群发信息，已经严重侵犯个人隐私，之前也有跟么么钱包工作人员协商过，还后就没有了，可还是不停的威胁恐吓，今天还群发信息说让我去派出所，不然就要上门，从几千块现在却成了2万，而且还说联系了自己是律师事务所，把事情说清楚后会上上报到么么钱包的主管，关掉电话不到3分钟时间，所谓么么钱包的主管就电话打来了，不觉得很骗人吗，难道律师事务所和所谓的工作人员是同一起的，现在要求么么钱包停止一切做法</t>
  </si>
  <si>
    <t>小花钱包暴力催收，高利息，砍头息</t>
  </si>
  <si>
    <t>http://ts.21cn.com/tousu/show/id/1370386</t>
  </si>
  <si>
    <t>2019/10/18 00:42:23</t>
  </si>
  <si>
    <t>本人于小花钱包有40000的信用额度，已使用35400元，多笔贷款，但实际每笔贷款金额与实际到账金额均不符的，属于阴阳合同，多笔贷款一直都正常供款的，但由于家中上月发生突发情况，本月未能正常还款，而家中情况现时非常糟糕，已经无力再按该高利息计划还款，现要求协商还款事宜，停止群发欠款信息到通讯录联络人，本人是有意愿还款的，但现在供款金额过大和费用过高，确实未有能力再按该金额供款，要求调整费用不能超过国家规定的费率，调整还款金额。</t>
  </si>
  <si>
    <t>约单不能退回诚意金</t>
  </si>
  <si>
    <t>http://ts.21cn.com/tousu/show/id/1370384</t>
  </si>
  <si>
    <t>2019/10/18 00:41:27</t>
  </si>
  <si>
    <t>投诉人 李先生        投诉对象  约单        涉诉金额  150 元    问题类型    诉求类型投诉详情  约单先付诚意金 付完没有人接单 等了一个月退回诚意金发现不能退回到银行卡 还扣除几十块服务费 希望平台退回所有诚意金</t>
  </si>
  <si>
    <t>小赢卡贷勾结众安保险收取变相砍头息，高利贷、招联金融为其提供支付平台</t>
  </si>
  <si>
    <t>http://ts.21cn.com/tousu/show/id/1370383</t>
  </si>
  <si>
    <t>2019/10/18 00:40:56</t>
  </si>
  <si>
    <t>投诉人刘先生投诉对象小赢卡贷,深圳市赢众通金融信息服务有限责任公司,招联金融,众安保险涉诉金额35000元问题类型诉求类型投诉详情一、本人于2018.11.10在小赢贷款平台借了2笔款项，借款金额：分别是15000元与20000元，各分12期还款，还在即将还完的时候我发现该平台在本人不知情的情况下强制捆绑购买了2份众安保险分别是700元与525元，1.本人是不知情的情况下被投保、连个保单都没看到，也不知道被保的内容，众安保险也没有通知我所购买的保险，只在合同里面看到有购买保险，这全完属于违背我意愿的保险，就</t>
  </si>
  <si>
    <t>要求清退我所有的货款</t>
  </si>
  <si>
    <t>http://ts.21cn.com/tousu/show/id/1370382</t>
  </si>
  <si>
    <t>2019/10/18 00:40:04</t>
  </si>
  <si>
    <t>投诉人 王女士        投诉对象  北极光货源网        涉诉金额  3 316 元    问题类型    诉求类型投诉详情  这是我在该平台订单转账记录，以此图为证！</t>
  </si>
  <si>
    <t>闪电借款暴力催收，骚扰，恐吓！</t>
  </si>
  <si>
    <t>http://ts.21cn.com/tousu/show/id/1370381</t>
  </si>
  <si>
    <t>2019/10/18 00:39:04</t>
  </si>
  <si>
    <t>一年前急用钱在闪电借款借了一笔钱，后来家里有情况实在还不起逾期了，于是对我和我的家人就开始了电话骚扰，侮辱，谩骂，对我的生活工作都有极大的影响！迫使我换了工作，现在快一年了，竟然找到了我现在公司的电话！不停的骚扰，本金5000，还没一年利息都3000！一下午一直不停的给公司打电话！扬言就是要让我丢掉工作，让我丢掉工作对你们有什么好处吗，多少人都是被你们套路贷逼的走上绝路，若不是急用钱谁愿意用你们这些套路贷！利息那么高，国家还不清理吗，已经把我和家人威胁侮辱谩骂的不成样子，换做是你们，你们愿意就这样低头吗，我</t>
  </si>
  <si>
    <t>没在工行办过信用卡恶意骚扰恐吓</t>
  </si>
  <si>
    <t>http://ts.21cn.com/tousu/show/id/1370380</t>
  </si>
  <si>
    <t>2019/10/18 00:38:42</t>
  </si>
  <si>
    <t>本人未在工行办过信用卡不断有骚扰恐吓信息轰炸。</t>
  </si>
  <si>
    <t>钱橙无未经同意自私扣费</t>
  </si>
  <si>
    <t>http://ts.21cn.com/tousu/show/id/1370379</t>
  </si>
  <si>
    <t>2019/10/18 00:38:35</t>
  </si>
  <si>
    <t>2019年10月16日我在钱橙无忧注册账号时，在未经我同意的情况下自私两次乱扣本人银行卡余额，导致本人房贷扣费失败，造成征信逾期，严重影响本人的信用，现投诉钱橙无线退还服务费用和赔偿本人损失，并做出道歉！。</t>
  </si>
  <si>
    <t>苏宁帐号被冻结多年无法解冻</t>
  </si>
  <si>
    <t>http://ts.21cn.com/tousu/show/id/1370378</t>
  </si>
  <si>
    <t>2019/10/18 00:37:58</t>
  </si>
  <si>
    <t>几年前第一次使用苏宁易购，支付的时候发现实名认证是一个不认识的人，马上打电话给苏宁冻结帐号，之后就无法解冻了，慢慢也就忘记了，几年后的今天，机缘巧合想起这个事情，又打了个电话，告诉我无法解冻，我很震惊，希望能解决。</t>
  </si>
  <si>
    <t>投诉乐家易付违规违法给博彩平台提供充值通道我撤诉不退钱给我</t>
  </si>
  <si>
    <t>http://ts.21cn.com/tousu/show/id/1370374</t>
  </si>
  <si>
    <t>2019/10/18 00:36:20</t>
  </si>
  <si>
    <t>乐家易付对应商户找人威胁&amp;nbsp;恐吓我要求撤诉&amp;nbsp;后面经过协商答应我撤诉之后退回我一半资金&amp;nbsp;&amp;nbsp;但是撤诉后商户找各种理由不退还资金。</t>
  </si>
  <si>
    <t>江苏苏宁易购电子商务有限公司</t>
  </si>
  <si>
    <t>http://ts.21cn.com/tousu/show/id/1370357</t>
  </si>
  <si>
    <t>2019/10/18 00:36:02</t>
  </si>
  <si>
    <t>骗子给了一个二维码让支付，当时看页面显示只让支付一分钱，我支付后却显示本人于2019年10月15日通过支付宝给江苏苏宁易购电子商务有限公司打了7676元，后来发现上当后，联系苏宁易购电子商务有限公司客服人员，告知客服人员我的钱被骗了，建议把我的订单冻结，不给对方发货，并提供了相关证明，客服人员推三阻四，相互推诿，明知道我在受骗的情况下，继续发货，对我反映的问题不处理，态度极差，我和本地公安部门人员与2019年三月十六日先后打给苏宁易购客服人员告知我已被骗，但苏宁易购无动于衷，苏宁易购与非法平台合作，打着苏宁</t>
  </si>
  <si>
    <t>京东摩卡思旗舰店购买的防水电视，写明的是七天无理由退货，在收到货七天内要求退货不给退</t>
  </si>
  <si>
    <t>http://ts.21cn.com/tousu/show/id/1370372</t>
  </si>
  <si>
    <t>2019/10/18 00:34:19</t>
  </si>
  <si>
    <t>在京东摩卡思旗舰店购买了一款19寸的防水电视，准备安装与卫生间，因为之前卫生间墙面留了安装的位置，10月10号收到货后，现场比对，发现无法安装，11号联系客服说明了无法安装，16号申请退货，之后摩卡思致电过来，找各种理由说不可退，本身商品页面写明的七天无理由退货，我从收到货开始计算，申请退货是在七天之内，打京东客服电话，让我按照操作发出申请，处理结果就是被第三方关闭，第三方摩卡思给出的理由是客户安装问题，我根本就安装不进去才表示退货，况且，就算我能安装，按照七天无理由退货规则，也应该可以。</t>
  </si>
  <si>
    <t>软暴力催收恐吓担保费不合理</t>
  </si>
  <si>
    <t>http://ts.21cn.com/tousu/show/id/1370377</t>
  </si>
  <si>
    <t>2019/10/18 00:34:03</t>
  </si>
  <si>
    <t>本人通过大地时贷兰州甘南路服务部在光大银行贷款47000，但离职业务员明确表示从没有大地公司的工作人员向他索要过我的新联系方式， 请问 在我正常还款的情况下 直接联系我的家人朋友 泄漏我个人隐私 散播我欠钱不还 人失联的虚假信息 合理 合法吗，19年1月，我更换了当时预留的手机号码，并第一时间告知大地时贷业务员，5月业务员离职，没有和公司交接我新的联系方式，在我提前还款的情况下，大地时贷直接联系了我的母亲和朋友，并告知，我欠了他们公司的钱，现在人失联，大地公司又继续以拨打电话及发短信的方式告知我六十多岁，因</t>
  </si>
  <si>
    <t>交易猫购买账号被找回</t>
  </si>
  <si>
    <t>http://ts.21cn.com/tousu/show/id/1370362</t>
  </si>
  <si>
    <t>2019/10/18 00:32:05</t>
  </si>
  <si>
    <t>投诉人周豪军投诉对象交易猫涉诉金额690元问题类型诉求类型投诉详情我于15号晚购买了一个王者荣耀账号价格690元，16号晚上登不上去，密保手机密码什么的都被改了！我申请仲裁之后仲裁客服还偏向卖家，我9月份购买了一个账号被找回我都没来投诉，现在又被找回一个，我已经忍无可忍了！！！。</t>
  </si>
  <si>
    <t>米多点高利息，砍头息</t>
  </si>
  <si>
    <t>http://ts.21cn.com/tousu/show/id/1370376</t>
  </si>
  <si>
    <t>2019/10/18 00:31:16</t>
  </si>
  <si>
    <t>本人于2019年9月1日于米多点申请贷款2000元，但实际到账金额为1500元，供款期为1个月，但由于本人确实出现经济困难，未能于10月1日正常还款，造成逾期，现在想还款，但现在需还款金额已高达2439元，本人有心还款，但确实没有足够的资金进行归还，现要求协商还款事宜，调整还款金额和调整未能超过国家规定的费用标准。</t>
  </si>
  <si>
    <t>温州中信信用卡中心骚扰</t>
  </si>
  <si>
    <t>http://ts.21cn.com/tousu/show/id/1370375</t>
  </si>
  <si>
    <t>2019/10/18 00:31:05</t>
  </si>
  <si>
    <t>投诉人朱先生投诉对象温州中信信用卡中心,中信银行信用卡涉诉金额260000元问题类型诉求类型投诉详情本人由于生意失败，无力偿还信用卡，协商不成，温州中信信用卡中心，多次骚扰我爸妈店里，还扬言要弄丢我工作，态度很是嚣张，欺负弱势群体，也上我单位骚扰，请停止这种骚扰，以后我只会报警跟反告。</t>
  </si>
  <si>
    <t>未及时通知还款时间限制导致有逾期记录</t>
  </si>
  <si>
    <t>http://ts.21cn.com/tousu/show/id/1370373</t>
  </si>
  <si>
    <t>2019/10/18 00:29:59</t>
  </si>
  <si>
    <t>由于不提前做好当天还款限时的信息通知，工作晚上11点下班回来后充值还款，才发现有时间限制，导致出现逾期，要求给出合理解释和撤销记录和逾期产生的费用，本人无恶意拖欠还款行为，而且下班回来后有充值记录。</t>
  </si>
  <si>
    <t>苏宁易购电子商务有限公司</t>
  </si>
  <si>
    <t>http://ts.21cn.com/tousu/show/id/1370371</t>
  </si>
  <si>
    <t>2019/10/18 00:27:48</t>
  </si>
  <si>
    <t>江苏苏宁易购电子商务有限公司涉嫌洗钱，客服态度蛮横无理，以让你报警为由拖延时间，耍无赖，我本人被诈骗7676元，钱已经汇到苏宁易购电子商务有限公司，可他们拒不认账，背地里拖延时间与非法平台结入清算，建议聚投诉主持公道。</t>
  </si>
  <si>
    <t>http://ts.21cn.com/tousu/show/id/1370370</t>
  </si>
  <si>
    <t>2019/10/18 00:27:06</t>
  </si>
  <si>
    <t>叉叉IPA精灵,叉叉助手,广州游顺网络科技有限公司，2018年5月15日在叉叉ipa精灵官网上通过支付宝购买了叉叉ipa精灵年卡,用了两个月出现掉签,应用闪退问题,安装官网公告加群天下问卷调退款,本人于2019年7月21日填写的退款问卷到今天2019年10月17日,无人受理也没有客服给解释原因,中间我尝试联系QQ客服,客服根本不予理会，这是叉叉IPA精灵自己的问题，不应该顾客买单，现申请全额退款.本次申请为集体投诉我相信肯定有很多相通遭遇的用户,因为今天看叉叉的QQ群都加爆了,48个群这中间有3000人群,</t>
  </si>
  <si>
    <t>http://ts.21cn.com/tousu/show/id/1370367</t>
  </si>
  <si>
    <t>2019/10/18 00:23:23</t>
  </si>
  <si>
    <t>压根就没有提现入口，骗子公司，说一个月以后可以退回诚意金，退了之后结果没有提现入口白白等了一个月。</t>
  </si>
  <si>
    <t>玖富万卡高利息</t>
  </si>
  <si>
    <t>http://ts.21cn.com/tousu/show/id/1370366</t>
  </si>
  <si>
    <t>2019/10/18 00:22:50</t>
  </si>
  <si>
    <t>本人于2019年6月3日于玖富万卡申请50000元贷款，实际到账50000万元，分24期供款，每期供款金额为3580.6元，如正常供款24期，总供款金额为85394元，总费用高达35934元，属于高利息，本人已正常供款3个月，但由于家中上个月出现突发事件，今个月未能正常还款，而本人家中情况非常糟糕，现要求协商还款事宜，要求调整费用至合理标准，并调整供款金额。</t>
  </si>
  <si>
    <t>永恒优享小饭票非法砍头息高利贷</t>
  </si>
  <si>
    <t>http://ts.21cn.com/tousu/show/id/1370365</t>
  </si>
  <si>
    <t>2019/10/18 00:19:45</t>
  </si>
  <si>
    <t>永恒优享和小饭票同一个系列，现在在微信公众号上依然在非法放贷，现要求退还1700元砍头息，支付宝宝微信你们换个号我投诉举报一个，一定投诉到底。</t>
  </si>
  <si>
    <t>明目张胆高利贷</t>
  </si>
  <si>
    <t>http://ts.21cn.com/tousu/show/id/1370364</t>
  </si>
  <si>
    <t>2019/10/18 00:19:15</t>
  </si>
  <si>
    <t>各种套路，各种增值服务，月息达到了恐怖的地步，扫黑除恶这么大环境下，还敢这么明目张胆，是不是有后台。</t>
  </si>
  <si>
    <t>http://ts.21cn.com/tousu/show/id/1370363</t>
  </si>
  <si>
    <t>2019/10/18 00:17:16</t>
  </si>
  <si>
    <t>玖富万卡平台擅自改写借款合同，而且收取高额利息及高额服务费，在未通知借款人的情况下，制造虚假合同，总借款金额15800元，分期24期，每月还款1132.31元，合计需还款27175.44元，，借款后不仅需要偿还本金及正常利息，还需支付服务费以及服务费还需要利息，以各种方式变相收取高额费用，欺骗借款人，使用分期等额本息方式进行还款，每月偿还本金，利息，服务费，以及服务费利息，实际偿还总利息超过国家规定标准年利率。</t>
  </si>
  <si>
    <t>瓜子二手车车况不符不退意向金</t>
  </si>
  <si>
    <t>http://ts.21cn.com/tousu/show/id/1370361</t>
  </si>
  <si>
    <t>2019/10/18 00:15:53</t>
  </si>
  <si>
    <t>9月26日，原告在瓜子二手车APP相中瑕疵为1处，价格为64500元的重庆全国购-丰田牌威驰FS轿车一台，在交流过程中对其追问你确定不要，全额意向金退给你，在交流过程中对其追问我们不强买强卖，你不要我就退给你，；当日并有重庆瓜子员工主动联系我，并告知要求原告需要锁定车源，其销售一直提醒我好车容易被别人提前购买，督促我签全国购意向金合同，和销售洽谈敲定好价格在瓜子金融可以以首付3成的方式购车，当原告在2019年9月26日意向金支付后至2019年9月27日，被告将车辆瑕疵信息更改为4处，因此，原告认为没有必要再</t>
  </si>
  <si>
    <t>浦发聘请社会人员上门催收</t>
  </si>
  <si>
    <t>http://ts.21cn.com/tousu/show/id/1370360</t>
  </si>
  <si>
    <t>2019/10/18 00:15:17</t>
  </si>
  <si>
    <t>本人申请了浦发银行的信用卡相关贷款，后因生意投资失败导致个人经济来源大幅减少，近几个月有自称是浦发银行委派的某催收服务公司人员，频繁上门催债，恐吓我不还款就要叫派出所来抓人，且跟踪本人，硬闯民宅，言语粗暴吓到了家里老人和小孩，家里老人被催债的社会人员吓得休克，家里小孩被吓得不敢走出家门去学校上课，也对我家邻居造成了骚扰，催债人员已经严重影响了我和家人以及邻居的正常生活和工作，请浦发做出合理的解释和解决方案，本人也一直在努力筹钱还款，现本人从事民间艺术品制作，平均每月收入大概2500元，恳请贵行给我停息，安排</t>
  </si>
  <si>
    <t>无法还款</t>
  </si>
  <si>
    <t>http://ts.21cn.com/tousu/show/id/1370359</t>
  </si>
  <si>
    <t>2019/10/18 00:14:53</t>
  </si>
  <si>
    <t>已经到还款日，不扣款，又进不去还款链接，恶意让我逾期我不负责任，要是爆通讯录我有的是证据，不是我不还，不知道是不是倒闭给抓了，很多人都说无法还款。</t>
  </si>
  <si>
    <t>同程旅游提钱游拒不退款！！！</t>
  </si>
  <si>
    <t>http://ts.21cn.com/tousu/show/id/1370358</t>
  </si>
  <si>
    <t>2019/10/18 00:14:51</t>
  </si>
  <si>
    <t>要求对未激活的权益卡退款，我要求我购买的6次权益卡，共计金额894元进行退款，客服对我百般推诿，拒不退款！。</t>
  </si>
  <si>
    <t>小闪分期，原快闪卡贷高利贷</t>
  </si>
  <si>
    <t>http://ts.21cn.com/tousu/show/id/1370356</t>
  </si>
  <si>
    <t>2019/10/18 00:08:58</t>
  </si>
  <si>
    <t>本人于2019年7月12日于快闪卡贷，现更名为小闪分期，贷款20000元，到账20000元后立刻扣除1960元费用，即实际到账金额为18040元，每期供款4021.38元，供款期为6个月，如正常供款6个月，总供款金额为24128元，总费用高达6088元，每月费用高达5.6%，属于高利息，本人已正常供款2个月，但由于上个月家中有突发情况，今个月未正常还款，现要求协商还款事宜和要求调整还款金额及收费事宜。</t>
  </si>
  <si>
    <t>钱站高利贷，砍头息，阴阳合同，服务差</t>
  </si>
  <si>
    <t>http://ts.21cn.com/tousu/show/id/1370355</t>
  </si>
  <si>
    <t>2019/10/18 00:08:34</t>
  </si>
  <si>
    <t>实际到账2000元，合同额却写了2800元，变现套路贷，阴阳合同高额砍头息。</t>
  </si>
  <si>
    <t>招商银行信用卡恐吓，暴力催收</t>
  </si>
  <si>
    <t>http://ts.21cn.com/tousu/show/id/1370354</t>
  </si>
  <si>
    <t>2019/10/18 00:08:09</t>
  </si>
  <si>
    <t>投诉人 李鑫        投诉对象  招商银行信用卡        涉诉金额  32 000 元    问题类型    诉求类型投诉详情  招商银行信用卡客服态度很差，恐吓，不协商</t>
  </si>
  <si>
    <t>http://ts.21cn.com/tousu/show/id/1370353</t>
  </si>
  <si>
    <t>2019/10/18 00:07:33</t>
  </si>
  <si>
    <t>9月12日，9月27日，10月12日，以每期2398.80元还款3期，合计还款总金额7196.4元，按照还3期计算，年利率已达110%远超国家规定，属于超级高利贷，故选择举报该平台，要求其撤销我的第四期还款，并做结清证明！。</t>
  </si>
  <si>
    <t>骚扰联系人，以及联系人公司</t>
  </si>
  <si>
    <t>http://ts.21cn.com/tousu/show/id/1370352</t>
  </si>
  <si>
    <t>2019/10/18 00:06:30</t>
  </si>
  <si>
    <t>平繁的骚扰联系人手机，公司座机，以及公司领导电话，以及恐吓，黑涩会性质暴利催收，短信电话轰炸，导致工作无法正常进行。</t>
  </si>
  <si>
    <t>http://ts.21cn.com/tousu/show/id/1370351</t>
  </si>
  <si>
    <t>2019/10/18 00:06:15</t>
  </si>
  <si>
    <t>催收对我的家庭，工作，朋友造成了很大的困扰。</t>
  </si>
  <si>
    <t>北京雅酷时空信息交换技术有限公司还我血汗钱</t>
  </si>
  <si>
    <t>http://ts.21cn.com/tousu/show/id/1370350</t>
  </si>
  <si>
    <t>2019/10/18 00:05:45</t>
  </si>
  <si>
    <t>北京雅酷为网络黑彩平台提供第不正归渠道服务，希望有关部门调查。</t>
  </si>
  <si>
    <t>樊登读书会重复充值</t>
  </si>
  <si>
    <t>http://ts.21cn.com/tousu/show/id/1370349</t>
  </si>
  <si>
    <t>2019/10/18 00:05:05</t>
  </si>
  <si>
    <t>樊登读书会重复充值，要求退还未消费部分遭拒。</t>
  </si>
  <si>
    <t>拍拍贷不给协商延期，晚上打电话骚扰家人</t>
  </si>
  <si>
    <t>http://ts.21cn.com/tousu/show/id/1370348</t>
  </si>
  <si>
    <t>2019/10/18 00:04:45</t>
  </si>
  <si>
    <t>拍拍贷客服催收，不能协商延期，爆通讯录电话，晚上还打电话骚扰家人。</t>
  </si>
  <si>
    <t>玖富万卡高额利息并且在协商还款中显示逾期</t>
  </si>
  <si>
    <t>http://ts.21cn.com/tousu/show/id/1370347</t>
  </si>
  <si>
    <t>2019/10/18 00:04:02</t>
  </si>
  <si>
    <t>我在玖富万卡共计借款三笔，分别为20000,3000,18100，共计金额41100,都是分24期归还，分别没期还1383.33,1069.11,207.5元，现都已归还19期，归还金额共计为46288.09元，打电话提前还款算出来还需归还11000元，并且前后一天算出来的金额完全不一样，让我不能接受，我也是无力还款迫于压力向家人坦白，借钱给我还款，希望万卡能给我一个合理的数据让我提前还款并且抹平我的征信，谢谢！。</t>
  </si>
  <si>
    <t>网贷要我开会员，开了借款还失败</t>
  </si>
  <si>
    <t>http://ts.21cn.com/tousu/show/id/1370344</t>
  </si>
  <si>
    <t>2019/10/18 00:03:18</t>
  </si>
  <si>
    <t>信而富借款，我是在2017-12-18号开的会员，要开会员才能借款，时间是一年，但是2018年九月份没到就不能借款了，当时没想这么多，现在想起来这就是骗我们的钱啊，开了会员不下款，而且网贷也不能搞什么开会员变相收费吧，我要求他退会费给我。</t>
  </si>
  <si>
    <t>活力花保险砍头息</t>
  </si>
  <si>
    <t>http://ts.21cn.com/tousu/show/id/1370346</t>
  </si>
  <si>
    <t>2019/10/18 00:02:02</t>
  </si>
  <si>
    <t>但是3笔借款都强制捆绑保险，金额541.2，而且我算了一下活力花的利息加服务费年利率刚刚在35.99%，如果再购买保险就超过了国家规定的界限。</t>
  </si>
  <si>
    <t>月光侠分期阴阳合同，实际到账金额和合同金额差很多高额砍头息</t>
  </si>
  <si>
    <t>http://ts.21cn.com/tousu/show/id/1370345</t>
  </si>
  <si>
    <t>2019/10/18 00:00:31</t>
  </si>
  <si>
    <t>是这样的，我实际到账2800元，合同额却写了3724元，每个月还1390多，利息太不合法不合规了，变相砍头息。</t>
  </si>
  <si>
    <t>http://ts.21cn.com/tousu/show/id/1370343</t>
  </si>
  <si>
    <t>2019/10/17 23:58:20</t>
  </si>
  <si>
    <t>借款2000元分3期还，每期还986总共要还差不多3000，这利息远远超过国家规定的24％了，希望钱站给个合理的解决方案。</t>
  </si>
  <si>
    <t>退还收取费用</t>
  </si>
  <si>
    <t>http://ts.21cn.com/tousu/show/id/1370341</t>
  </si>
  <si>
    <t>2019/10/17 23:57:54</t>
  </si>
  <si>
    <t>投诉人 王先生        投诉对象  江湖救急        涉诉金额  100 元    问题类型    诉求类型投诉详情  骗取9元信息费。要求退还我之前总共申请的100元。骗钱还不下款的垃圾</t>
  </si>
  <si>
    <t>快捷通支付，给乾广分期提供通道放超高利贷</t>
  </si>
  <si>
    <t>http://ts.21cn.com/tousu/show/id/1370342</t>
  </si>
  <si>
    <t>2019/10/17 23:57:36</t>
  </si>
  <si>
    <t>快捷通支付公司给超高利贷提供支付通道，借款1275两天要还1593，两天的利息就要300块钱，利息太高了。</t>
  </si>
  <si>
    <t>携程虚假宣传砍价</t>
  </si>
  <si>
    <t>http://ts.21cn.com/tousu/show/id/1370340</t>
  </si>
  <si>
    <t>2019/10/17 23:56:16</t>
  </si>
  <si>
    <t>携程推出微信小程序砍价活动，开始是可以正常助力，到了后面五票成功的时候所有账号助力都失败，找了那么多朋友就差五票无法成功，前功尽弃，请携程给一个解释。</t>
  </si>
  <si>
    <t>玖富万卡才是超高额利息</t>
  </si>
  <si>
    <t>http://ts.21cn.com/tousu/show/id/1370339</t>
  </si>
  <si>
    <t>2019/10/17 23:56:15</t>
  </si>
  <si>
    <t>借款16200，要还28000多，真是个坑，每期都要费用分期，乱收费，不想还了，要求协商还本金。</t>
  </si>
  <si>
    <t>淘宝小二错误处罚，导致店铺受影响损失严重且无人为错误行为道歉</t>
  </si>
  <si>
    <t>http://ts.21cn.com/tousu/show/id/1370268</t>
  </si>
  <si>
    <t>2019/10/17 23:55:04</t>
  </si>
  <si>
    <t>以上涉诉单号为处罚错误的违规编号，撤销处罚后已经查询不到，本店于9月20日下午被淘宝系统通知一款宝贝为一次性二类医疗器械，做出扣12分，屏蔽7天店铺的处罚，首先宝贝在详情页有描述是可以反复使用的，不是一次性产品，再来我们也在处罚后的第一时间联系了淘宝客服提交产品备案表申诉，但是由于刚好第二天就是中秋小长假，客服说没有人处理，要等3天后上班才有人处理，于是我们等到了3天后，多次主动联系淘宝小二在第5天才撤销了处罚，但是依然搜索不到我们店铺，再次联系淘宝小二，第六天可以搜索到了，但是店铺依然没有正常，一直到7天</t>
  </si>
  <si>
    <t>滴滴平台乱扣司机辛苦钱</t>
  </si>
  <si>
    <t>http://ts.21cn.com/tousu/show/id/1370338</t>
  </si>
  <si>
    <t>2019/10/17 23:54:39</t>
  </si>
  <si>
    <t>第二次申诉写的详情专员看都不看，上一分钟申诉提交，下一分就发短信息说申诉失败，每次打电话给客服，客服都说48小时有专员打电话回复我，这个订单乘客去的地方在大规模修路，只有走高速，上车也很乘客说清楚了走高速吧，这边走国道修路。</t>
  </si>
  <si>
    <t>宝付为违规平台提供支付服务</t>
  </si>
  <si>
    <t>http://ts.21cn.com/tousu/show/id/1370337</t>
  </si>
  <si>
    <t>2019/10/17 23:54:24</t>
  </si>
  <si>
    <t>本人因为家里原因，而在网上借款，但是到账金额与还款金额不一致，都是砍头息，他们扣款的时候都是通过宝付支付平台扣取，给宝付反应了却都说跟商户没有合作了，跟他们没关系了，宝付平台这样是要跟这些收取砍头息的平台同流合污吗，要求宝付有责任退还砍头息，本人因资金困难才遇上套路贷，本就生活困苦，却要背负巨额债务，再加上暴力催收，精神状态极近崩溃，先要求宝付退回多扣出的费用。</t>
  </si>
  <si>
    <t>首汽约车归还司机的血汗钱</t>
  </si>
  <si>
    <t>http://ts.21cn.com/tousu/show/id/1370335</t>
  </si>
  <si>
    <t>2019/10/17 23:53:46</t>
  </si>
  <si>
    <t>希望首汽约车遵守承诺归还司机的血汗钱申诉两个月多了就是一直在敷衍：一直在加急就是没有结果：首汽收钱拿提成的时候一分也不能少但司机的血汗钱却迟迟推脱不给垫付天理公平公正何在，几个月的一单也没有垫付。</t>
  </si>
  <si>
    <t>有用分期砍头息套路贷</t>
  </si>
  <si>
    <t>http://ts.21cn.com/tousu/show/id/1370334</t>
  </si>
  <si>
    <t>2019/10/17 23:53:07</t>
  </si>
  <si>
    <t>2019年9月20日有用分期到账23000多元，紧接着账户划走5000多，实际到账17000元，实为变相砍头息，分12期还款，每期还2200多，还款总额为26000多，利率超过国家规定，高的离谱。</t>
  </si>
  <si>
    <t>美的公司客户答谢会使用虚假宣传的手段，误导消费者，要求退货退款！！！</t>
  </si>
  <si>
    <t>http://ts.21cn.com/tousu/show/id/1370332</t>
  </si>
  <si>
    <t>2019/10/17 23:51:37</t>
  </si>
  <si>
    <t>2019年10月17号下午收到美的集团的邀请电话说有个新老客户答谢会，礼品赠送，没想到这是个产品销售会，重点销售美的净水机，销售人员口若悬河将中国的水和空气说的一文不值，播放空气和水污染与肺癌肝癌膀胱癌的发生率密切联系的视频，然后是做实验，净水器的过滤水，市售纯净水和自来水，通电后自来水变浑浊，还测了啥记不清，说值越小越好，自来水有两三百，还说停水了家里的洗菜水，洗脚水，甚至臭水沟的水通过净化都能喝，还有漂白水的测试，然后说此款还未上市只用于推广，放了官网的同款售价6998元，现场买减2500还送空气净化器</t>
  </si>
  <si>
    <t>商品降价对方客服发语音骂人</t>
  </si>
  <si>
    <t>http://ts.21cn.com/tousu/show/id/1370331</t>
  </si>
  <si>
    <t>2019/10/17 23:51:27</t>
  </si>
  <si>
    <t>客服态度嚣张，发语音骂人侮辱，商品刚收到货就降价对方还一副无良商家的嘴脸，外包装与事物也不符合。</t>
  </si>
  <si>
    <t>保单和砍头息费用</t>
  </si>
  <si>
    <t>http://ts.21cn.com/tousu/show/id/1370330</t>
  </si>
  <si>
    <t>2019/10/17 23:49:45</t>
  </si>
  <si>
    <t>投诉人 温先生        投诉对象  维信卡卡        涉诉金额  1 248 元    问题类型    诉求类型投诉详情  保单证明还有砍头息费用 逾期一天就要收起100的逾期费用</t>
  </si>
  <si>
    <t>交易猫仲裁客服</t>
  </si>
  <si>
    <t>http://ts.21cn.com/tousu/show/id/1370329</t>
  </si>
  <si>
    <t>2019/10/17 23:48:34</t>
  </si>
  <si>
    <t>仲裁客服处理问题，本来我要求退款120元就可以了，仲裁客服给出回复“是否同意卖家退还差价100元，如不同意将仲裁交易成功”，这样的回复我只好同意，但后面又回复将差价降到80元，游戏账号内的资源根本与订单标题不一致，相差太大，资源全是一级的，根本不值那么多，请交易猫仲裁客服给出合理解释及尽快处理退款差价120元。</t>
  </si>
  <si>
    <t>有货app一直不跟进鉴定</t>
  </si>
  <si>
    <t>http://ts.21cn.com/tousu/show/id/1370328</t>
  </si>
  <si>
    <t>2019/10/17 23:48:19</t>
  </si>
  <si>
    <t>卖家在12号就已经发至有货官方进行鉴定，到现在为止一直处于平台鉴定状态，客服无法联系。</t>
  </si>
  <si>
    <t>巢客遇家房屋租介公司欺诈消费者</t>
  </si>
  <si>
    <t>http://ts.21cn.com/tousu/show/id/1370327</t>
  </si>
  <si>
    <t>2019/10/17 23:48:14</t>
  </si>
  <si>
    <t>9月30号签合同本以为是跟房东本人签，结果是跟一个叫巢客遇家的托管公司签合同，10月14号才入住进房，入住过程中发现厕所水里过小导致无法冲厕所给这家公司管家反馈后这家公司表示签合同七天后不负责要自费修理，一个新房才入住硬件设施就有问题还不是自然老化损坏让我自费，这家公司做法让人无法理解，第二天煤气灶左侧无法打燃，再次反馈后这家公司依旧一样回复，这样解决方式让人觉得可笑至极，不知道成都这家中介公司是怎么运作的，希望有关部门能够具体查查。</t>
  </si>
  <si>
    <t>收取砍头息</t>
  </si>
  <si>
    <t>http://ts.21cn.com/tousu/show/id/1370326</t>
  </si>
  <si>
    <t>2019/10/17 23:48:12</t>
  </si>
  <si>
    <t>借款1800到账1260，扣掉的钱说是保险费。</t>
  </si>
  <si>
    <t>钱站高利贷，阴阳合同，砍头息</t>
  </si>
  <si>
    <t>http://ts.21cn.com/tousu/show/id/1370323</t>
  </si>
  <si>
    <t>2019/10/17 23:46:09</t>
  </si>
  <si>
    <t>我在钱站上借款24000元，合同上却写着借款31680元，这明显属于阴阳合同，高利贷跟虚假合同，我在聚投诉平台进行投诉，钱站还回复我说他们是在国家规定年利率36%以内，我想请问，作为监管部门难道没有任何措施来保护我们这些消费者吗。</t>
  </si>
  <si>
    <t>手机无限重起</t>
  </si>
  <si>
    <t>http://ts.21cn.com/tousu/show/id/1370321</t>
  </si>
  <si>
    <t>2019/10/17 23:45:26</t>
  </si>
  <si>
    <t>本来我是oppo老用户也挺喜欢这款手机，我现在用oppor9spuls这款手机之前有几次突然死机重起没在意，但这次突然无限重起对我们消费者是多么大的困扰，希望贵公司尽快解决，不要辜负我们对oppo这款手机的信赖。</t>
  </si>
  <si>
    <t>小鹿伊人情感导师虚假宣传，没有达到商家诺的效果，退款遭拒</t>
  </si>
  <si>
    <t>http://ts.21cn.com/tousu/show/id/1368471</t>
  </si>
  <si>
    <t>2019/10/17 23:44:45</t>
  </si>
  <si>
    <t>小鹿情感,伊人情感,虚假宣传,拖延时间,说过的话不承认，都是我追着他问然后没有给我回信息，后来跟我说发大水了他家也被淹了在抢救东西，我就问15天过去了为什么没有你说的效果，他就急了他说有没有效果他说了算，你现在就可以退款，各种刺激我，他说你放心好了，肯定帮你处理问题，最经典的一句话就是，我会帮你正常处理的，你处理啥了，我不一直追着你问信息都不回，慢慢的也不联系我了都是我主动找他，说实话没有任何效果，还好意思让我去给他好评，中间也不联系我了，然后我就问为什么不回信息，他说他生病了，阑尾炎还是胃病啊在医院打针了</t>
  </si>
  <si>
    <t>http://ts.21cn.com/tousu/show/id/1370319</t>
  </si>
  <si>
    <t>2019/10/17 23:44:32</t>
  </si>
  <si>
    <t>投诉人 孟先生        投诉对象  广东小树互联网投资发展有限公司        涉诉金额  1 000 元    问题类型    诉求类型投诉详情  一直涨利息，电话也打不通，还了款也不清帐</t>
  </si>
  <si>
    <t>银联为小黑鲨平台提供高利贷发放渠道，小黑鲨暴力催收，威胁骚扰</t>
  </si>
  <si>
    <t>http://ts.21cn.com/tousu/show/id/1370320</t>
  </si>
  <si>
    <t>2019/10/17 23:44:28</t>
  </si>
  <si>
    <t>小黑鲨,银联电子支付,广州银联网络支付,中国银联,银联，借款4000，一个月需要还5200，收取高额服务费，利息，银联还为他们提供支付渠道发放贷款，多次在上班时间催收，导致本人工作生活无法正常进行，其中10.3号还差点出车祸，本人也多次跟催收协商，表明有钱马上还，也将身上走有的先还，但是因家里发生事情，暂时无法还钱，也跟他们解释，完全不听，打爆通讯录骚扰亲戚朋友说帮我筹钱，说不用经过我同意，银联居然为这种高利贷公司发放贷款，该公司注册为温州敏驿科技有限公司，注册地为虚假注册，本人多次信访到温州本地，注册地只</t>
  </si>
  <si>
    <t>拍拍贷违法爆通讯录威胁恐吓家里老人以至于老人生病住院</t>
  </si>
  <si>
    <t>http://ts.21cn.com/tousu/show/id/1370318</t>
  </si>
  <si>
    <t>2019/10/17 23:43:05</t>
  </si>
  <si>
    <t>我在拍拍贷借款14600分9期还款，已还14852元，本金已还完，因为最近工资一直拖欠，实在无力偿还，想要求协商利息是否可以按照24%还款，拍拍贷工作人员不同意协商，态度很强硬，还威胁第三方上门催收，在本人未同意的情况下爆本人通讯录，骚扰80多岁老人，威胁恐吓老人，以至于外婆高血压心脏病，先病情严重，拍拍贷是否对这次医药费用给予承担，若承担，本人愿一次性还款。</t>
  </si>
  <si>
    <t>平安银行卡套路导致用卡人权利受到侵害</t>
  </si>
  <si>
    <t>http://ts.21cn.com/tousu/show/id/1370316</t>
  </si>
  <si>
    <t>2019/10/17 23:42:47</t>
  </si>
  <si>
    <t>平安银行信用卡在本人不知情情况下，且无任何通知，包括短信，电话，微信平台，情况下将本人还款金额4820元无故销账，并从总额度内消除，导致本人在当日内无法进行消费，在公共场合内收到精神损失及财产损失，后联系人工客服，全程录音，客户回复说并没有冻结卡片，卡片额度半年内也没有进行调整，随后要求客服给与合理的解释，但是依然无法解决，至此，平安银行未作出任何回应，本人认为此行为已经严重侵犯了个人的用卡权利，同时强行剥夺了用户的权利，属于霸王条款，且无任何正当理由及信息告知，因此希望通过聚投诉平台能够监督平安银行的此类</t>
  </si>
  <si>
    <t>江苏巨灵神网络科技有限公司还钱。垃圾软件</t>
  </si>
  <si>
    <t>http://ts.21cn.com/tousu/show/id/1370317</t>
  </si>
  <si>
    <t>2019/10/17 23:42:45</t>
  </si>
  <si>
    <t>江苏巨灵神网络科技有限公司,https://www.ip12345.，买软件的时候，说的好，付钱之后，网页都打不开，要打开一个网页都要等很久，这样的垃圾东西根本用不了。</t>
  </si>
  <si>
    <t>发现精彩</t>
  </si>
  <si>
    <t>http://ts.21cn.com/tousu/show/id/1370315</t>
  </si>
  <si>
    <t>2019/10/17 23:40:27</t>
  </si>
  <si>
    <t>投诉人吕静投诉对象发现精彩,广发银行信用卡涉诉金额12000元问题类型诉求类型投诉详情本来说每个月还1060的，现在怎么要我还1080。</t>
  </si>
  <si>
    <t>点点恶意催收爆打电话和发短信影响工作</t>
  </si>
  <si>
    <t>http://ts.21cn.com/tousu/show/id/1370313</t>
  </si>
  <si>
    <t>2019/10/17 23:37:46</t>
  </si>
  <si>
    <t>133******85此号码给我打电话，我在开会，我拒接电话后补发信息“在开会，稍后回复”，接着又打，我又挂了，又回复“我在开会”但是对方接着打过来，我接起电话跟他说我在开会，但是对方不顾一切连续打了20多个骚扰电话，对我的整场会议和工作造成严重影响，望平台帮处理，谢谢。</t>
  </si>
  <si>
    <t>省呗暴力催收，冒充公检法恐吓</t>
  </si>
  <si>
    <t>http://ts.21cn.com/tousu/show/id/1370312</t>
  </si>
  <si>
    <t>2019/10/17 23:35:38</t>
  </si>
  <si>
    <t>省呗借了.一万，还了五千多，这次逾期实属无奈，也跟那边解释了，也说了这几个月会处理好这个事情，那边态度恶劣，不愿接受，多次对本人和亲戚朋友进行骚扰，恐吓，盗取用户信息，给亲朋好友发骚扰信息和恐吓信息，严重干扰到我家人和朋友的日常生活。</t>
  </si>
  <si>
    <t>还呗暴力催收</t>
  </si>
  <si>
    <t>http://ts.21cn.com/tousu/show/id/1370310</t>
  </si>
  <si>
    <t>2019/10/17 23:33:51</t>
  </si>
  <si>
    <t>投诉人 张女士        投诉对象  还呗        涉诉金额  2 181 元    问题类型    诉求类型投诉详情  还呗借了很多次了 之前都如期还款从未逾期 最近资金周转出现问题 还被取消了额度 所以导致暂时还不上款 每天骚扰我 与平台协商也遭到拒绝 之前一直信用良好 不是不想还只是真的出了事情 待周转过来一定如数归还 希望平台能予以协商 停止骚扰</t>
  </si>
  <si>
    <t>特约百度服务半夜无缘无故扣款</t>
  </si>
  <si>
    <t>http://ts.21cn.com/tousu/show/id/1370308</t>
  </si>
  <si>
    <t>2019/10/17 23:33:09</t>
  </si>
  <si>
    <t>投诉人 杨先生        投诉对象  (特约)百度服务，中国银行        涉诉金额  166 元    问题类型    诉求类型投诉详情  10月16日号半夜11点23分中国银行被(特约)百度服务无缘无故扣款了166元 ，不知道什么情况 什么原因！</t>
  </si>
  <si>
    <t>无顾盗刷银行卡</t>
  </si>
  <si>
    <t>http://ts.21cn.com/tousu/show/id/1370307</t>
  </si>
  <si>
    <t>2019/10/17 23:31:53</t>
  </si>
  <si>
    <t>这是第二次投诉萨姆尔盗刷，第一次投诉无果，没联系也没收到退款8月30日账单显示无故扣款连着几天分批次盗刷金额一共299，望平台尽快联系萨姆尔给与解决，已经快一个月的时间都没有解决此事，在不解决只能报警处理此事来维护自己的合法权益了。</t>
  </si>
  <si>
    <t>无辜骚扰，谩骂</t>
  </si>
  <si>
    <t>http://ts.21cn.com/tousu/show/id/1370306</t>
  </si>
  <si>
    <t>2019/10/17 23:30:56</t>
  </si>
  <si>
    <t>本人没有逾期，以前原单位同事欠他们款，找不到人，就来骚扰我，我根本不认识那个人，因为只是同一家单位，而且还是我离职后刚进入公司的人，我已经解释很清楚，可是每个礼拜交通银行催收部不同人来询问我，语气不友好，2019年10月17日一个话务员对我谩骂，我向交通信用卡投诉，客服意思叫我在等催收部电话，让我去询问欠款人信息，问到这个信息在告诉他们才能处理我的事情，我想不明白，他们的错误要我来花费精力，去帮他们解决，如果这次还不解决，我要向法院提起诉讼，。</t>
  </si>
  <si>
    <t>http://ts.21cn.com/tousu/show/id/1370305</t>
  </si>
  <si>
    <t>2019/10/17 23:29:44</t>
  </si>
  <si>
    <t>被机构虚假夸大宣传，隐瞒真实情况！诱导购买所谓不过包退班。</t>
  </si>
  <si>
    <t>迅捷视频转换器充会员后不能用不退费</t>
  </si>
  <si>
    <t>http://ts.21cn.com/tousu/show/id/1370304</t>
  </si>
  <si>
    <t>2019/10/17 23:28:16</t>
  </si>
  <si>
    <t>欺骗消费者权益，要求全额退款，希望能够处理一下！。</t>
  </si>
  <si>
    <t>被催收折腾的妻离子散工作也快没了</t>
  </si>
  <si>
    <t>http://ts.21cn.com/tousu/show/id/1370302</t>
  </si>
  <si>
    <t>2019/10/17 23:27:44</t>
  </si>
  <si>
    <t>因本人投资失败，资金严重紧张可以说连一盒烟都抽不起，开始打电话我还会接，但内容都是规定我几点之前必须，没有协商余地，然后自己换了个手机号避免再次骚扰，那段期间想过轻生，妻离子散，真的很难受，修整几个月后，想找个工作慢慢把自己欠下的还了，现在又开始骚扰我朋友，还威胁恐吓要给我现在的单位，当地公安机关图社保局工商局协助调查我，工作眼瞅着又要没了，欠钱是不对，谁有钱会想着去碰你们这种网贷，你们无非就是要还钱，工作丢了，你们要我拿什么给你们。</t>
  </si>
  <si>
    <t>http://ts.21cn.com/tousu/show/id/1370301</t>
  </si>
  <si>
    <t>2019/10/17 23:27:11</t>
  </si>
  <si>
    <t>天天用私人号码打给我，骚扰紧急联系人，也爆光我通讯录，我是逾期了，我没有说不还，我只是暂时没有钱还，是要逼一个重度抑郁症的人去自杀才满意吗。</t>
  </si>
  <si>
    <t>我来贷还款当天超过九点不能还款</t>
  </si>
  <si>
    <t>http://ts.21cn.com/tousu/show/id/1370299</t>
  </si>
  <si>
    <t>2019/10/17 23:23:53</t>
  </si>
  <si>
    <t>卡里有钱，主动还款，但是过了晚上九点居然不能还款，如果造成逾期和不当后果，我会追究法律责任。</t>
  </si>
  <si>
    <t>你我贷收取高额平台服务费，贷后费</t>
  </si>
  <si>
    <t>http://ts.21cn.com/tousu/show/id/1370298</t>
  </si>
  <si>
    <t>2019/10/17 23:23:37</t>
  </si>
  <si>
    <t>在你我贷借了7000块，1年要2500多的利息，第一第二期要还1668，本息618，还要收取平台服务费315，贷后服务费735，我才借了半个月，我想还它7000本金，我不借了，太黑了。</t>
  </si>
  <si>
    <t>滴滴平台，对快车司机不公平，限制升级，派单不公平</t>
  </si>
  <si>
    <t>http://ts.21cn.com/tousu/show/id/1370297</t>
  </si>
  <si>
    <t>2019/10/17 23:22:37</t>
  </si>
  <si>
    <t>滴滴平台对于快车双证司机不公平，派单不公平，订单热区不给单子，经常一个小时给一单，或者两三个小时不给单，虚假广告，欺骗司机，每次客服都敷衍了事，问题得不到解决，而且打过电话以后，订单也越来越少，是不是意味着滴滴平台对于投诉的司机打击报复，不能升级优享，双证司机还不如无证或者单证司机的流水高，这让我们怎么活，希望聚投诉平台能够给予关注，希望我们司机的利益能够得到保障。</t>
  </si>
  <si>
    <t>遵义湘投公司卖房到期按揭不了也不退款</t>
  </si>
  <si>
    <t>http://ts.21cn.com/tousu/show/id/1370296</t>
  </si>
  <si>
    <t>2019/10/17 23:21:38</t>
  </si>
  <si>
    <t>5月30日，后又延期至6月30日并一直延期直到现在，期间说因无土地使用证无法交房，后又说房屋质检不合格，找其退款也一再推脱，导致现在不能交房也不愿退款，希望相关部门重视！。</t>
  </si>
  <si>
    <t>世纪云天退卡</t>
  </si>
  <si>
    <t>http://ts.21cn.com/tousu/show/id/1370295</t>
  </si>
  <si>
    <t>2019/10/17 23:21:21</t>
  </si>
  <si>
    <t>2017年在石家庄机场，办理的世纪云天商务贵宾卡，交费1580元，承诺可通过24小时电话购买低价机票，目前，24小时热线400058105。</t>
  </si>
  <si>
    <t>华尔街英语霸王条款，拖延退款并要扣除不合理费用</t>
  </si>
  <si>
    <t>http://ts.21cn.com/tousu/show/id/1370293</t>
  </si>
  <si>
    <t>2019/10/17 23:21:08</t>
  </si>
  <si>
    <t>1.由于想要在以后的工作中用到英语，朋友把我的微信推荐给了华尔街英语的cc，因为当时已经跟我说了大概的价格，由于本人刚刚毕业，没有多少积蓄，并没有打算报班，但是这名cc三番五次在微信上约我去门店聊，在这名cc的再三催促下，实在是难以拒绝，就抱着了解一下的心态去了，去了之后cc开始跟我谈天说地，一步一步引导我购买他们的课程，当时想以回家跟父母商量为由，赶紧走掉，没想到cc让我当场给父母打电话，我以父母工作中不方便接电话给拒绝了，cc又让我给父母发微信，总之是无所不用其极，到最后在cc的巧言令色下同意交钱，在签</t>
  </si>
  <si>
    <t>http://ts.21cn.com/tousu/show/id/1370292</t>
  </si>
  <si>
    <t>2019/10/17 23:19:41</t>
  </si>
  <si>
    <t>本人于16日由于资金周转问题选择了钱橙无忧平台，填写一堆质料后，进入借贷阶段一直卡在第一阶段！16日下午才发现银行卡里无故扣除了我249元，我从没在钱橙无忧申请阶段中输入过我银行卡密码！而且扣款途中没有任何支付密码提示！。</t>
  </si>
  <si>
    <t>超高利息，恶意增加利息，暴力催收，</t>
  </si>
  <si>
    <t>http://ts.21cn.com/tousu/show/id/1370290</t>
  </si>
  <si>
    <t>2019/10/17 23:18:20</t>
  </si>
  <si>
    <t>恶意加收利息，暴力催收，导致亲人病危，严重影响生活，。</t>
  </si>
  <si>
    <t>汇潮支付为高利贷套路贷提供平台害死人</t>
  </si>
  <si>
    <t>http://ts.21cn.com/tousu/show/id/1370287</t>
  </si>
  <si>
    <t>2019/10/17 23:16:13</t>
  </si>
  <si>
    <t>投诉人 孙女士        投诉对象  小狮子,汇潮支付        涉诉金额  2 200 元    问题类型    诉求类型投诉详情  借款2200 到帐1430 只有6天时间 你们怎么不去抢 无力偿还了 希望协商还款</t>
  </si>
  <si>
    <t>违反国家规定，推荐违法高利贷</t>
  </si>
  <si>
    <t>http://ts.21cn.com/tousu/show/id/1370286</t>
  </si>
  <si>
    <t>2019/10/17 23:15:49</t>
  </si>
  <si>
    <t>里面有个爱花花，全部都是高利贷，要求解除与高利贷的合作，公开作出解释，7天之内未作出公开解释，我将依法提交给相关部门，作出裁决！。</t>
  </si>
  <si>
    <t>不断骚扰通讯录里的联系人</t>
  </si>
  <si>
    <t>http://ts.21cn.com/tousu/show/id/1370285</t>
  </si>
  <si>
    <t>2019/10/17 23:15:35</t>
  </si>
  <si>
    <t>多次不停地骚扰通讯录里的联系人，造成多人困扰，扰乱别人生活。</t>
  </si>
  <si>
    <t>招联金融盗用个人信息乱打电话给我亲朋好友</t>
  </si>
  <si>
    <t>http://ts.21cn.com/tousu/show/id/1370284</t>
  </si>
  <si>
    <t>2019/10/17 23:15:25</t>
  </si>
  <si>
    <t>招联好期待威胁恐吓，暴力催收，爆通讯录侵犯公民权利，招联金融暴力催收.恶意骚扰亲朋友好友.说好的协商还本金.现在出尔反尔.伪造文件.，我已经报警了，我一个星期去一回公安局留下证据。</t>
  </si>
  <si>
    <t>这么高的利息他们竟然告诉我是合理合法的</t>
  </si>
  <si>
    <t>http://ts.21cn.com/tousu/show/id/1370283</t>
  </si>
  <si>
    <t>2019/10/17 23:14:09</t>
  </si>
  <si>
    <t>本人因为在2017年底的时候经济出现了点问题就向捷信借了17000元钱，那公司的员工跟我说利息不高只比银行高一点点，还说什么到时候还有一个保险说到时实在无力偿还后面的就免了，呵…结果我这傻子入坑了，本来申请分一年还清，结果合同上分36期，当时就不想用了想提前还，结果他们和我说必须用3个月后还要提前一个月申请才能还款，和他们反应说多扣的钱算在内了，不然还不只13492元，我就想说就一年多一点借我17000我就要28000这不是高利贷是什么，我只是希望国家能管管捷信公司，希望少一点底层的老百姓被骗被坑，少一点家</t>
  </si>
  <si>
    <t>读秒钱包借款6000，实际还款6900系统显示还有3000多没还清？</t>
  </si>
  <si>
    <t>http://ts.21cn.com/tousu/show/id/1370281</t>
  </si>
  <si>
    <t>2019/10/17 23:13:53</t>
  </si>
  <si>
    <t>投诉人崔女士投诉对象读秒钱包涉诉金额6000元问题类型诉求类型投诉详情在读秒借款6000实际还款6900，系统显示还差3000。</t>
  </si>
  <si>
    <t>雷神NN加速器加速无效果客服推诿无法解决需要退款</t>
  </si>
  <si>
    <t>http://ts.21cn.com/tousu/show/id/1370282</t>
  </si>
  <si>
    <t>2019/10/17 23:13:45</t>
  </si>
  <si>
    <t>该加速器加速无效果，找客服咨询其所提供方法一直无效，后来让加一个售后的群，然而这个群三天都没有通过我的加群申请，现在我希望能让他们退款。</t>
  </si>
  <si>
    <t>拉卡拉收款宝一直不结算到账，撤销交易也不行，退原卡也不行，恶意扣留客户资金</t>
  </si>
  <si>
    <t>http://ts.21cn.com/tousu/show/id/1370279</t>
  </si>
  <si>
    <t>2019/10/17 23:10:37</t>
  </si>
  <si>
    <t>投诉人林先生投诉对象拉卡拉支付涉诉金额738元问题类型诉求类型投诉详情拉卡拉收款宝刷卡说我异常，我联系客服了确认没有异常，要是有异常资金你们退回原卡，有什么权利扣留客户资金。</t>
  </si>
  <si>
    <t>捷信消费金融有限公司收取高额服务费</t>
  </si>
  <si>
    <t>http://ts.21cn.com/tousu/show/id/1370269</t>
  </si>
  <si>
    <t>2019/10/17 23:10:21</t>
  </si>
  <si>
    <t>我于2016年6月在捷信消费金融有限公司贷款38000元，分60期偿还，每期1513.47,已偿还38期，共计57511.8,当时业务员并未告知提前还款会要收服务费以及具体利率，后面我才发现不对劲并且已无力偿还，本月我也多次打电话协商还款，客服告知提前还款还需偿还19000元，我就需要有关部门帮我算下，38000元的本金最后连本带息需偿还90808,这是超出正常利率的多少倍，每天的电话催款对我的生活产生了很大的影响，让我倍感压力，我也产生了消极的想法，望有关部门还救救我！。</t>
  </si>
  <si>
    <t>付错款拒不退款，要求退款</t>
  </si>
  <si>
    <t>http://ts.21cn.com/tousu/show/id/1370277</t>
  </si>
  <si>
    <t>2019/10/17 23:09:58</t>
  </si>
  <si>
    <t>扫错二维码，付错款，本不是大事，想让收款商家退款，但商家说账号丢失、没空等，拒不退款，账号是可以找回，10分钟就解决，商家后来就不回复了。</t>
  </si>
  <si>
    <t>玖富万卡擅自改写合同，变相收费，高利贷，谁来监管？</t>
  </si>
  <si>
    <t>http://ts.21cn.com/tousu/show/id/1370244</t>
  </si>
  <si>
    <t>2019/10/17 23:09:36</t>
  </si>
  <si>
    <t>在玖富万卡借款11200万，设有阴阳合同，变相收费，利息要8100，这不是高利贷。</t>
  </si>
  <si>
    <t>展鸿科技联合第三方支付平台发放高利贷</t>
  </si>
  <si>
    <t>http://ts.21cn.com/tousu/show/id/1370275</t>
  </si>
  <si>
    <t>2019/10/17 23:08:35</t>
  </si>
  <si>
    <t>展鸿科技,菜鸟有钱,金鸡下蛋,金贝备,春天支农，app金鸡下蛋现更名为金贝备，app菜鸟有钱现更乾广分期，吵架那晚通过它们短信推荐，下载了该软件，金鸡下蛋借款过程中显示借款到账了2000元，实际到账1400元，6天利息600元，没有明确的告知的情况下，到账1400元，菜鸟有钱app借款到3天，申请的算一天，第三天早上就开始说催收，用的都是海外号网络电话，语气非常差，三句话开始就问候家人威胁要爆通讯录！跟别人的电话里说了什么，说我母亲正在医院动手术就等这个钱救命！催收自己没有母亲吗，请严肃认真处理这种高利贷公</t>
  </si>
  <si>
    <t>现金贷欺诈</t>
  </si>
  <si>
    <t>http://ts.21cn.com/tousu/show/id/1370274</t>
  </si>
  <si>
    <t>2019/10/17 23:08:05</t>
  </si>
  <si>
    <t>，当时想取消借款，平台不给取消现在只想把本金7500还了。</t>
  </si>
  <si>
    <t>请求太颜科技有限公司退回服务费</t>
  </si>
  <si>
    <t>http://ts.21cn.com/tousu/show/id/1370253</t>
  </si>
  <si>
    <t>2019/10/17 23:07:22</t>
  </si>
  <si>
    <t>本人在胖虎花app上申请借款，在7月22号和28号分别支付78元和99元的服务费，共计176元，银行记录显示交易场所为太颜科技有限公司收取，同时付款服务费页面上显示申请不成功可退服务费，扣款时无任何协议，一点击付款按钮，强行扣款，联系胖虎花app客服人员竟告知无法退款，是太颜科技有限公司收取的，退款找该公司，你们说这不是欺诈吗！！！！到目前为止，两个月时间，我所支付的两笔176服务费一直未收到，请求太颜科技有限公司退回我的服务费，同时下架产品做出处罚。</t>
  </si>
  <si>
    <t>投诉鼎泰鑫催收公司骚扰</t>
  </si>
  <si>
    <t>http://ts.21cn.com/tousu/show/id/1370273</t>
  </si>
  <si>
    <t>中腾信借贷的第三方催收公司--鼎泰鑫，还没有逾期就不断电话和短信骚扰，一定要还款日期的当天中午处理债务，我都是在还款当天下午六点还款，还没有逾期，但是鼎泰鑫这家催收公司已经开始根据通讯录一个个去联系协助还款。</t>
  </si>
  <si>
    <t>分期乐电话恐吓家人</t>
  </si>
  <si>
    <t>http://ts.21cn.com/tousu/show/id/1370272</t>
  </si>
  <si>
    <t>2019/10/17 23:06:58</t>
  </si>
  <si>
    <t>投诉人 马先生        投诉对象  分期乐        涉诉金额  8 200 元    问题类型    诉求类型投诉详情  天天电话骚扰，短信威胁。电话打到家人这里，说要上门。恐吓</t>
  </si>
  <si>
    <t>58同城监管不严</t>
  </si>
  <si>
    <t>http://ts.21cn.com/tousu/show/id/1370270</t>
  </si>
  <si>
    <t>2019/10/17 23:04:07</t>
  </si>
  <si>
    <t>本人7月在58同城找工作，因为出于谨慎态度选择58安心投企业面试工作，但是遇上黑心中介，因为平台对于企业的审核力度太差了，各种假的公司企业都没有经过核查，如果不是58安心投本人不会被黑中介骗，请58负起一个企业的责任，不是一昧的收钱不办事，现在58百分之99都是虚假信息，另外投诉乐诚人力资源有限公司。</t>
  </si>
  <si>
    <t>停止暴力催收</t>
  </si>
  <si>
    <t>http://ts.21cn.com/tousu/show/id/1370271</t>
  </si>
  <si>
    <t>2019/10/17 23:04:05</t>
  </si>
  <si>
    <t>2017年11月的时候在钱站借款3万元，一直正常还款，每月还1900多，截止到现在还有14000多没有还，利息已高处国家规定，后来让参加他们的老友计划，每月还841块钱，因资金出现问题，上月逾期的时候打我通讯录，给朋友发信息，这月钱站今天逾期第三天，从今天早上开始，一直到晚上7.40分，一直在不停打电话催收，还不停的威胁，和客服反馈没有一点作用，有录音。</t>
  </si>
  <si>
    <t>游戏充值</t>
  </si>
  <si>
    <t>http://ts.21cn.com/tousu/show/id/1370265</t>
  </si>
  <si>
    <t>2019/10/17 23:01:40</t>
  </si>
  <si>
    <t>在游戏平台上消费，无法提现需要多次充值，已经开通过他们所说的安全证书，还是需要再次交费，我不交他还是那是我的问题，导致无法退款。</t>
  </si>
  <si>
    <t>广东信汇电子商务有限公司为博彩平台提供收款服务</t>
  </si>
  <si>
    <t>http://ts.21cn.com/tousu/show/id/1370264</t>
  </si>
  <si>
    <t>2019/10/17 23:01:22</t>
  </si>
  <si>
    <t>714高利贷砍头息，恶意辱骂亲朋好友利息和本金翻倍</t>
  </si>
  <si>
    <t>http://ts.21cn.com/tousu/show/id/1370263</t>
  </si>
  <si>
    <t>2019/10/17 23:00:47</t>
  </si>
  <si>
    <t>利息本金翻倍，辱骂亲朋好友，爆通讯录，影响个人生活。</t>
  </si>
  <si>
    <t>侮辱家人谩骂威胁骚扰家人</t>
  </si>
  <si>
    <t>http://ts.21cn.com/tousu/show/id/1370262</t>
  </si>
  <si>
    <t>2019/10/17 23:00:38</t>
  </si>
  <si>
    <t>投诉人汪开投诉对象大力水手,快钱支付涉诉金额1650元问题类型诉求类型投诉详情谩骂侮辱我的家人，对我的生活造成了严重影响，p图群发通讯录，严重侵犯了我的隐私权和肖像权。</t>
  </si>
  <si>
    <t>阴阳合同，高利贷，砍头息</t>
  </si>
  <si>
    <t>http://ts.21cn.com/tousu/show/id/1370260</t>
  </si>
  <si>
    <t>2019/10/17 23:00:27</t>
  </si>
  <si>
    <t>①我在钱站上借款7000元，合同上却写着借款九千多元，实际到账也才7000元，这明显属于阴阳合同，高利贷跟虚假合同，我在聚投诉平台进行投诉，钱站还回复我说他们是在国家规定年利率36%以内，我想请问，作为监管部门难道没有任何措施来保护我们这些消费者吗。</t>
  </si>
  <si>
    <t>投诉敏付支付违规违法为境外博彩平台提供充值通道</t>
  </si>
  <si>
    <t>http://ts.21cn.com/tousu/show/id/1370261</t>
  </si>
  <si>
    <t>2019/10/17 23:00:20</t>
  </si>
  <si>
    <t>有支付牌照的支付公司为违法赌博网站提供第三方支付平台。</t>
  </si>
  <si>
    <t>不退款，不作为，客服不说话</t>
  </si>
  <si>
    <t>http://ts.21cn.com/tousu/show/id/1370257</t>
  </si>
  <si>
    <t>2019/10/17 22:58:06</t>
  </si>
  <si>
    <t>出险之后，保险第二天打钱，确认到账，期间打了无数电话，联动云都说钱没有到账，在本月14号，在我强烈要求下，终于查到8号下午四点保险到账，但是迟迟不处理，并且还扣除我282元维修费，这笔维修费用，是上一个车主应该承担的，结果让我承担，然后，保险到账时间和状态一直修改，15号改到16号，。</t>
  </si>
  <si>
    <t>同程旅游提钱游购买权益卡后不下款</t>
  </si>
  <si>
    <t>http://ts.21cn.com/tousu/show/id/1370255</t>
  </si>
  <si>
    <t>2019/10/17 22:56:28</t>
  </si>
  <si>
    <t>同程旅游提钱游借款软件因评分低，需要购买权益卡，费用199，购买后依然不下款。</t>
  </si>
  <si>
    <t>etc注销不了</t>
  </si>
  <si>
    <t>http://ts.21cn.com/tousu/show/id/1370258</t>
  </si>
  <si>
    <t>2019/10/17 22:55:56</t>
  </si>
  <si>
    <t>投诉人陈先生投诉对象速通卡涉诉金额50元问题类型诉求类型投诉详情我从8月份在微信的etc助手那个公众号里面申请的etc过了几天就发过来了，拿到手我就激活了半天也没激活成功，第二天我又激活没成功，我就打算注销速通卡，前前后后给他们公司打电话打了不下10次人工，而且每次都需要等待半个小时左右才接通，接通了却只会说我们帮你记录加急给你处理，一直这样都没处理，我又给315打投诉电话，这下好了他们公司主动给我打电话说给我注销，结果又等了一个月左右，我问他们，他们说已经处理掉了，但是我现在到银行重新申请却申请不了，说我</t>
  </si>
  <si>
    <t>714恶意催收，辱骂亲朋好友，</t>
  </si>
  <si>
    <t>http://ts.21cn.com/tousu/show/id/1370252</t>
  </si>
  <si>
    <t>2019/10/17 22:55:17</t>
  </si>
  <si>
    <t>恶意增加额外利息，到期当天直接爆通讯录辱骂亲朋好友，。</t>
  </si>
  <si>
    <t>还款无法办理</t>
  </si>
  <si>
    <t>http://ts.21cn.com/tousu/show/id/1370254</t>
  </si>
  <si>
    <t>2019/10/17 22:55:16</t>
  </si>
  <si>
    <t>我是在深圳肤康皮肤病医院看病，要15288元的医疗费用，那么造成的任何后果 本人绝不承认、绝不承担，如果还进一步造 成本人社会信誉的任何损失，本人还将会行 使必要的法律权利，追究对方当事人责任， 要求恢复原状，赔礼道歉，赔偿损失，我当时没有钱医院就和我说可以分期付款.是医院安排人过来帮我办理的，现在还有3397.31未还款到期日本应是2019.11.31但是小乔优选app现在自动改为了2019.10.17还款，的大部分软件功能，还同时暂停了app内还款，的渠道，还提前了还款时间导致个人无法通过app及时偿还</t>
  </si>
  <si>
    <t>投诉微信公众号AstroPayShop线下非法高息借贷</t>
  </si>
  <si>
    <t>http://ts.21cn.com/tousu/show/id/1370250</t>
  </si>
  <si>
    <t>2019/10/17 22:52:01</t>
  </si>
  <si>
    <t>微信搜AstroPayShop这个平台实际上就是一个高利息套路贷，看上去像充值卡，实际上是线下借贷，借款时限1个月，然后催收人员会不断打电话过来，通过短信发二维码过来让借款人扫码还钱，这个平台很聪明，扣费的公司经常换，而且分笔扣钱，希望相关部门能够彻查，依法取缔不良公众号和非法借贷平台！。</t>
  </si>
  <si>
    <t>http://ts.21cn.com/tousu/show/id/1370251</t>
  </si>
  <si>
    <t>2019/10/17 22:51:47</t>
  </si>
  <si>
    <t>你好聚投诉，本人于2017年9月6号，在捷信贷了55000分45期，每期还款2408.4元，他们当地的捷信人员给我打电话说能给我减免一部分还要再还40000左右，我听了他的话以后又还了14000元，我已还16期一共38534.4元，我算了一下一共还完45期要还108378元，我从2019年2月开始没有再还钱，过了一段时间，他们当地的捷信人员给我打电话说，能给我减免一部分还要再还40000左右，我听了他的话以后又还了14000元，我刚问捷信客服，他们说还欠42136，我表示不能接受。</t>
  </si>
  <si>
    <t>自动扣款，之后才发现</t>
  </si>
  <si>
    <t>http://ts.21cn.com/tousu/show/id/1370242</t>
  </si>
  <si>
    <t>2019/10/17 22:51:42</t>
  </si>
  <si>
    <t>在一个贷款APP上注册申请借款要99元审核费用，收完99元还有199元VIP助贷服务，自动卡里扣钱，扣完贷款过不过都跟他们没关系！而且他们公司没有有任何联系方式！。</t>
  </si>
  <si>
    <t>退还部分砍头息</t>
  </si>
  <si>
    <t>http://ts.21cn.com/tousu/show/id/1370249</t>
  </si>
  <si>
    <t>2019/10/17 22:49:29</t>
  </si>
  <si>
    <t>石头管家,金钱保,合利宝,广东省悦点科技有限公司，广东省悦点科技有限公司提供扣款通道为高利贷提供非法支付扣款通道.本人要求退还部分砍头息，贷款两次总4625，一个月分4次还，砍头息高达1300元，哈蜜分期现改名石头管家贷款4次总贷10025元一个月分四次还，砍头息高达2500多，合利宝支付提供放款通道，广东省悦点科技有限公司提供扣款通道，为高利贷提供非法支付扣款通道.本人要求退还部分砍头息，不进一步处理我将去中国清算支付协会举报违规违法行为。</t>
  </si>
  <si>
    <t>未应同意打电话到居委会</t>
  </si>
  <si>
    <t>http://ts.21cn.com/tousu/show/id/1370243</t>
  </si>
  <si>
    <t>2019/10/17 22:46:39</t>
  </si>
  <si>
    <t>投诉人 卢女士        投诉对象  京东金融        涉诉金额  8 000 元    问题类型    诉求类型投诉详情  未经同意打电话到村委会，严重影响个人生活</t>
  </si>
  <si>
    <t>友信普惠高额收取服务费和违约金并泄露个人隐私</t>
  </si>
  <si>
    <t>http://ts.21cn.com/tousu/show/id/1370240</t>
  </si>
  <si>
    <t>2019/10/17 22:42:44</t>
  </si>
  <si>
    <t>我在友信普惠金融有限公司借款两笔，分别为8万和六万，都是分36期，第一笔8万每月还款4087.22，已还34期，金额共计138965.4,第二笔6万，已还24期，共计73551.8，由于友信APP打不开并且因为该公司利息畸高，我已无力偿还，逾期一天，逾期费用分别为412.81和324.86元，继续逾期下去费用会更高，并且催收电话已打到我联系人，严重影响到我家人的生活，老公要与我离婚，我也产生了轻生的念头，经查，该机构已超出营业范围，望有关部门能够铲除这个社会毒瘤，谢谢！。</t>
  </si>
  <si>
    <t>借贷宝无故收费，不给予销条</t>
  </si>
  <si>
    <t>http://ts.21cn.com/tousu/show/id/1370239</t>
  </si>
  <si>
    <t>2019/10/17 22:41:52</t>
  </si>
  <si>
    <t>本人在借贷宝打借条，已经收取19元的打条费，后来因为个人原因与出借人逾期了，跟出借人协商好如何还款，可是销账的时候借贷宝平台却要收本金的5%的贷后服务费，美名其曰是贷后服务费，其实就是暴力催收费用，逾期费用，一个打借条的平台，与出借人逾期凭什么要给你逾期费，暴力催收没有要你们精神损失费就算了，你还要收我费用，出借人已经同意销条，借贷宝平台还要收费，本人是不会接受此费用的，如果在这里举报无果，我会向公安局举报，向互联网金融平台提起申诉。</t>
  </si>
  <si>
    <t>钱站砍头息</t>
  </si>
  <si>
    <t>http://ts.21cn.com/tousu/show/id/1370238</t>
  </si>
  <si>
    <t>2019/10/17 22:41:31</t>
  </si>
  <si>
    <t>投诉人 王先生        投诉对象  钱站        涉诉金额  250 元    问题类型    诉求类型投诉详情  砍头息，借款2500到账两千。三个月要还两千六百多。</t>
  </si>
  <si>
    <t>美柚APP用假粉诈取广告费</t>
  </si>
  <si>
    <t>http://ts.21cn.com/tousu/show/id/1370233</t>
  </si>
  <si>
    <t>2019/10/17 22:41:07</t>
  </si>
  <si>
    <t>投诉人林女士投诉对象美柚app涉诉金额4000元问题类型诉求类型投诉详情10月10号我找美柚平台给我的产品做推广，美柚承诺我加一个粉丝大概会消费70-130左右，我充了4000块钱给美柚，然后开始打广告，广告效果很不理想，4000块钱一共只加了7个粉丝，其中最后俩天打广告我发现有4个都是美柚平台叫自己人加的，既然美柚不能做到承诺也就算了，可以尽早退款给我，但是美柚美柚，最后俩天还继续叫人假装粉丝加我来骗取广告费，后面还把责任推给同行的代理商，说是同行的代理商刷我的广告，为的是想做我的生意，那为何同行的代理商</t>
  </si>
  <si>
    <t>万卡易贷会员费</t>
  </si>
  <si>
    <t>http://ts.21cn.com/tousu/show/id/1369550</t>
  </si>
  <si>
    <t>2019/10/17 22:40:00</t>
  </si>
  <si>
    <t>投诉人李先生投诉对象万卡易贷涉诉金额99元问题类型诉求类型投诉详情网页设置虚假，玩文字游戏，诱导扣钱，申请退款。</t>
  </si>
  <si>
    <t>高炮714平台</t>
  </si>
  <si>
    <t>http://ts.21cn.com/tousu/show/id/1370221</t>
  </si>
  <si>
    <t>2019/10/17 22:39:37</t>
  </si>
  <si>
    <t>手机借钱app里的多宝分期申请4000，每期还1599.25，两个月总共还6397，利息高达2397，存在严重的高利贷行为，现在进行第三期还款，请调整到法定利率后给平台清账，然后进行销账处理，后续不得进行骚扰，放款方为上海富友支付服务有限公司。</t>
  </si>
  <si>
    <t>拍拍贷套路我</t>
  </si>
  <si>
    <t>http://ts.21cn.com/tousu/show/id/1370235</t>
  </si>
  <si>
    <t>2019/10/17 22:39:34</t>
  </si>
  <si>
    <t>本人用拍拍贷一直以来从未逾期过，作为拍拍贷老客户，上个月把拍拍贷全部提前还清后，不让贷了，刚好需要资金周转。</t>
  </si>
  <si>
    <t>网贷变相收取砍头手续费</t>
  </si>
  <si>
    <t>http://ts.21cn.com/tousu/show/id/1370236</t>
  </si>
  <si>
    <t>2019/10/17 22:39:32</t>
  </si>
  <si>
    <t>需要缴纳1300元会员费、才能借款6800元、期限50天、需要还款7135元。</t>
  </si>
  <si>
    <t>马上金融催收骚扰家人</t>
  </si>
  <si>
    <t>http://ts.21cn.com/tousu/show/id/1370232</t>
  </si>
  <si>
    <t>2019/10/17 22:38:09</t>
  </si>
  <si>
    <t>说上门催收，不给就不停打电话，打通信录里的电话。</t>
  </si>
  <si>
    <t>小花钱包暴力催收，无视法律</t>
  </si>
  <si>
    <t>http://ts.21cn.com/tousu/show/id/1370231</t>
  </si>
  <si>
    <t>2019/10/17 22:36:24</t>
  </si>
  <si>
    <t>花钱包平台，不是正规公司，没有客服电话，只有催收人员，本人因资金周转不开，逾期四天，并且出言侮辱，恐吓，扬言让本人身边亲朋好友街坊邻居都知道，未经本人允许，私自爆了本人通讯录，群发短信给通讯录里的亲朋好友，语言低俗，刻意纂改真实性，小花平台自称是风控平台的客服，阴阳合同，下款金额和合同上的金额不一致！。</t>
  </si>
  <si>
    <t>恐吓，利息过高爆力</t>
  </si>
  <si>
    <t>http://ts.21cn.com/tousu/show/id/1370229</t>
  </si>
  <si>
    <t>2019/10/17 22:35:27</t>
  </si>
  <si>
    <t>去年借的该平台，最近压力大，经常爆力催收，骚扰身边人。</t>
  </si>
  <si>
    <t>瀚银科技违法提供支付通道</t>
  </si>
  <si>
    <t>http://ts.21cn.com/tousu/show/id/1370228</t>
  </si>
  <si>
    <t>2019/10/17 22:31:49</t>
  </si>
  <si>
    <t>投诉人 李先生        投诉对象  瀚银科技        涉诉金额  80 000 元    问题类型    诉求类型投诉详情  上海瀚银公司自己做了一些什么自己不承认 还弄一下乱七八糟的 拖着我们 希望能把钱退给我</t>
  </si>
  <si>
    <t>立借高利贷不守诚信</t>
  </si>
  <si>
    <t>http://ts.21cn.com/tousu/show/id/1370227</t>
  </si>
  <si>
    <t>2019/10/17 22:30:59</t>
  </si>
  <si>
    <t>本人于2019年10月16日在此投诉立借高利贷，阴阳合同问题，当日已经协商提前还款，双方接受，并于下午5点左右和立借客服确认款项之后打入对方指定账号，但是今天晚上10点左右，立借通过通联支付将我第二期款项继续扣除，这是赤裸裸的抢钱行为，请受诉方立即调查，另外请受诉方处理客诉的1006客服与处理协商的8045客服与我联系，另外这件事如果在18日没有得到完全处理，本人会将此事在新浪微博以及网易新闻曝光，并提请深圳银监会与广东省消费者协会介入。</t>
  </si>
  <si>
    <t>卡牛瑞贷扣前期，高利贷</t>
  </si>
  <si>
    <t>http://ts.21cn.com/tousu/show/id/1370225</t>
  </si>
  <si>
    <t>2019/10/17 22:30:31</t>
  </si>
  <si>
    <t>卡牛瑞贷贷款14500元，到账后私自扣除2900元，等于借款14500元，私自砍头2900元，实际到手只有11600元，而12个月要还17472.35元，严重收砍头息及高利贷行为！要求退还咨询服务费2900元！。</t>
  </si>
  <si>
    <t>网商贷骚扰</t>
  </si>
  <si>
    <t>http://ts.21cn.com/tousu/show/id/1370220</t>
  </si>
  <si>
    <t>2019/10/17 22:28:36</t>
  </si>
  <si>
    <t>投诉人黄长浩投诉对象网商贷涉诉金额37000元问题类型诉求类型投诉详情网商贷的催收员阴阳怪气本人欠款还有本金31500利息6300左右本人每月都有还款进去打电话都有接听因为在支付宝总共欠款10几万元工资有限每月也有还2000左右给网商贷！天天打电话骚扰还打给老婆娘家人电话都是0216198后四位会变化。</t>
  </si>
  <si>
    <t>武汉友信惠普暴力催收变相索取超高利息</t>
  </si>
  <si>
    <t>http://ts.21cn.com/tousu/show/id/1370219</t>
  </si>
  <si>
    <t>2019/10/17 22:27:06</t>
  </si>
  <si>
    <t>本人在2018年8月份在友信惠普借款十万元，当时业务员说利息很低可以提前还款，提前还款没有任何费用，合同金额是十四万九，到账十万，每个月还4779需要还36期共还十七万多！本人还到13期以后还款共计7万元和业务员协商提前还款结果业务员说还要还九万和违约金！面对高额利息我现在实在没有能力还款了！，面对暴力催收威胁恐吓对我的心理造成了严重的伤害！望得到有关领导的重视，另外我跟他们协商未果，在还木有逾期的情况下拨打我的全有联系人，诽谤我恶意逾期，欠款金额10万，因家中小孩不能受刺激，我暂时没有跟他们起冲突将我手上</t>
  </si>
  <si>
    <t>出行唯选欺诈销售</t>
  </si>
  <si>
    <t>http://ts.21cn.com/tousu/show/id/1370218</t>
  </si>
  <si>
    <t>2019/10/17 22:26:16</t>
  </si>
  <si>
    <t>投诉人庄先生投诉对象出行唯选涉诉金额1998元问题类型诉求类型投诉详情兰州机场出行唯选工作人员，现场宣传充值1998返还1000，这些钱都可以用来买机票用而且通过出行唯选订购机票要比其他渠道购买便宜很多，然而并没有，首先是买机票的时候存的钱每次只减少50元的机建费，其次机票并不便宜，由于工作人员在兰州机场，个人认为机场比较靠谱，应该不会存在类似虚假宣传的情况，且后期联系销售就避开话题希望通过强大的聚投诉能够让商家退回款项。</t>
  </si>
  <si>
    <t>齐鲁交通ETC卡不给注销</t>
  </si>
  <si>
    <t>http://ts.21cn.com/tousu/show/id/1370217</t>
  </si>
  <si>
    <t>2019/10/17 22:26:11</t>
  </si>
  <si>
    <t>我是一名大车司机，经常往南方跑，所以一直在使用徽通卡，可是由于我的卡消磁了，现在需要补办，可是安徽徽通卡客服告诉我你的车名下有一张齐鲁交通高速卡，没法办理，然后给了我一个市里的客服电话，我打过去对方告诉查我不到信息，无名办理的，预留电话也是假的13800000,也无法注销，把这种情况给上报一下，可是今天给我的回复是这种情况不少，一会半会解决不了，这事真是叫人太无语啦！齐鲁交通常人看来也得算是大集团吧！现在看来也太垃圾了，你们下放的乱七八糟的办理网店点，给瞎办，你们不给解决注销谁给解决啊！有遇到同样困扰问题的</t>
  </si>
  <si>
    <t>壹心分期高利贷砍头息</t>
  </si>
  <si>
    <t>http://ts.21cn.com/tousu/show/id/1370216</t>
  </si>
  <si>
    <t>2019/10/17 22:25:44</t>
  </si>
  <si>
    <t>在平台借款1700，实际到账却只有1350，莫名扣除砍头息450元，一个月之内还要还清，高利贷砍头息，现在笨人债务爆发无力偿还，要求减免利息，本金偿还。</t>
  </si>
  <si>
    <t>航盟忽悠游客办理1980元会员卡的退款投诉</t>
  </si>
  <si>
    <t>http://ts.21cn.com/tousu/show/id/1370214</t>
  </si>
  <si>
    <t>2019/10/17 22:23:00</t>
  </si>
  <si>
    <t>要求退款，平台的票价比别的平台都高，抵扣的费用也不是销售介绍得那样的标准，纯属欺诈。</t>
  </si>
  <si>
    <t>http://ts.21cn.com/tousu/show/id/1370213</t>
  </si>
  <si>
    <t>2019/10/17 22:22:23</t>
  </si>
  <si>
    <t>投诉人 刘先生        投诉对象  拍拍贷        涉诉金额  800 元    问题类型    诉求类型投诉详情  骚扰家人朋友，造成朋友日常通话受阻。无法正常通话</t>
  </si>
  <si>
    <t>西安市线下门店MarryU洗脑和诱导消费</t>
  </si>
  <si>
    <t>http://ts.21cn.com/tousu/show/id/1370211</t>
  </si>
  <si>
    <t>2019/10/17 22:18:58</t>
  </si>
  <si>
    <t>.支付方式：支付宝刷POS机六.退款原因及事情经过：本人曾在哪Marry，U网络平台注册了信息，之后有个女士自称婚恋老师很热心加我微信和打电话跟我联系开始通过一些闲聊获取我的信任，很热心的要帮我介绍对象，后来多次邀请我说有个想让我到门店详谈，说有个男生特别适合我，心里也是抱着去看看的态度在19年10月6日去到门店，常悦荣老师的接待了我，见了我就又聊起了自己婚姻的不幸遭遇，声泪俱下的博取我的同情，后来又来了个江老师给我聊，最后又来了个自称西北大学心理学硕士的店长和我聊了几个小时之久，用各种心理学知识分析我的问</t>
  </si>
  <si>
    <t>维信卡卡贷乱收费</t>
  </si>
  <si>
    <t>http://ts.21cn.com/tousu/show/id/1370203</t>
  </si>
  <si>
    <t>2019/10/17 22:17:13</t>
  </si>
  <si>
    <t>投诉人熊女士投诉对象维信卡卡贷涉诉金额1200元问题类型诉求类型投诉详情维信卡卡贷利息达到2分9，还要收什么风险评估费，既然已经收取了这么高的利息，为什么还要加收1200的风险评估费，不合理，这是乱收费欺骗消费者，属于高利贷了。</t>
  </si>
  <si>
    <t>爱用商城高额砍头息！</t>
  </si>
  <si>
    <t>http://ts.21cn.com/tousu/show/id/1370210</t>
  </si>
  <si>
    <t>2019/10/17 22:16:37</t>
  </si>
  <si>
    <t>本人在爱用商城的爱用钱包申请一笔3999的借款，10.5后到账后只有2799.30！3个月要还4358.91，现在想跟爱用商城放款还达成合理本金➕利息消账，希望聚投诉能转答。</t>
  </si>
  <si>
    <t>敲诈，暴力恐吓</t>
  </si>
  <si>
    <t>http://ts.21cn.com/tousu/show/id/1370209</t>
  </si>
  <si>
    <t>2019/10/17 22:15:43</t>
  </si>
  <si>
    <t>拍拍贷工作人员，向我索要8000上门费用，扬言要把我的事情弄得全村人知道，告知家里老人身体不好，让其有什么事情可以来找我，工作人员还一直要去我家，我家老人作为第三者，他们无义务帮我归还。</t>
  </si>
  <si>
    <t>在侠侣网购买了寿司团购券未使用不让退款</t>
  </si>
  <si>
    <t>http://ts.21cn.com/tousu/show/id/1370207</t>
  </si>
  <si>
    <t>2019/10/17 22:14:47</t>
  </si>
  <si>
    <t>我在9.17在侠侣网购买了一份J先生寿司团购订单，等我10.16去消费的时候店里告诉我过期我就去找侠侣网客服，侠侣网客服告诉我过期了只能10.10之前使用，做为消费者买的时候就想近期有时间就去消费没想那么多，所以我也就没想使用团购优惠，要求客服处理退款，客服说不能退款，就一直告诉我过期了，好，过期了我也认了我原价去消费，那订单为什么不能给我退款，订单里只备注了过期作废，并没有注明过期不能退款，而且平台也未起到提醒作用，多次跟平台客服沟通无果，对于他们这种霸王条款我不能接受，过期了这个钱就要送他们平台吗。</t>
  </si>
  <si>
    <t>拼多多，拼多多商家为非法网站提供收款，虚假发货</t>
  </si>
  <si>
    <t>http://ts.21cn.com/tousu/show/id/1370200</t>
  </si>
  <si>
    <t>投诉人黄先生投诉对象拼多多,拼多多商家店铺名称：王茂二哥的店铺,商家电话：15135971171涉诉金额2395元问题类型诉求类型投诉详情拼多多商家非法为诱导欺诈钓鱼网站非法提供收款，非法网站通过手机短信以发红包为由诱导消费者，充值通道微信支付链接支付给拼多多平台，联系过拼多多客服，客服说因为是代付的方式虽然是通过我的微信账户支付的，但不是我的拼多多账户下的订单，不予退款，还只会一昧的说等专员处理！我做为付款方，拼多多客服包庇商家拒绝提供商家信息！请聚投诉领导维权，不要让非法份子再欺诈老百姓！。</t>
  </si>
  <si>
    <t>嘀嗒专员客服颠倒黑白是非随意处罚</t>
  </si>
  <si>
    <t>http://ts.21cn.com/tousu/show/id/1370206</t>
  </si>
  <si>
    <t>2019/10/17 22:14:43</t>
  </si>
  <si>
    <t>投诉人 眭先生        投诉对象  嘀嗒        涉诉金额  10 000 元    问题类型    诉求类型投诉详情  嘀嗒专员在处理投诉案件时，只听去片面之意 根据自己的错觉判断 黑白不分的情况下随意处罚账户禁封账号 处事马虎 做事随心所欲 一点责任心没有 还说就是自己说了算 这样的公司管理这么懒散？</t>
  </si>
  <si>
    <t>http://ts.21cn.com/tousu/show/id/1370205</t>
  </si>
  <si>
    <t>2019/10/17 22:14:27</t>
  </si>
  <si>
    <t>投诉人 隋女士        投诉对象  拍拍贷        涉诉金额  1 000 元    问题类型    诉求类型投诉详情  拍拍贷非法给我通讯录联系人打骚扰电话轰炸 暴力催收 造成了很恶劣的影响</t>
  </si>
  <si>
    <t>来这分期是套路贷、高利贷</t>
  </si>
  <si>
    <t>http://ts.21cn.com/tousu/show/id/1370202</t>
  </si>
  <si>
    <t>2019/10/17 22:12:49</t>
  </si>
  <si>
    <t>本人于2019年9月19日在来这分期APP上共借款2000元，但是还款要分四期，每期822元，当时因为家中急需用钱没有还款，等到现在有一定的经济能力可以还清借款，但是发现逾期费用每天增加50元，这远远超过了国家规定的利息，所以现在请求只还款本金2000元。</t>
  </si>
  <si>
    <t>http://ts.21cn.com/tousu/show/id/1370199</t>
  </si>
  <si>
    <t>2019/10/17 22:08:45</t>
  </si>
  <si>
    <t>豹子贷,上海造艺网络科技,造艺网络科技,银码头，最近差钱，本想着借点钱，没想到还被扣钱了，钱也没有了，现在APP一直进不去，要求退款！。</t>
  </si>
  <si>
    <t>速金服</t>
  </si>
  <si>
    <t>http://ts.21cn.com/tousu/show/id/1370198</t>
  </si>
  <si>
    <t>2019/10/17 22:08:41</t>
  </si>
  <si>
    <t>只借款1000元，合同改成1330，还款分期改成分3期还款，借1000元总共要还1786，严重欺炸行为，严重高利贷行为，望严查。</t>
  </si>
  <si>
    <t>高利贷高利息</t>
  </si>
  <si>
    <t>http://ts.21cn.com/tousu/show/id/1370197</t>
  </si>
  <si>
    <t>2019/10/17 22:08:34</t>
  </si>
  <si>
    <t>投诉人 肖女士        投诉对象  国美易卡        涉诉金额  633 元    问题类型    诉求类型投诉详情  因家中出了点事情没有及时还款 在还款的时候利息太高了 不在国家合理范围之内 每次都是按时还款 要求贵平台调整利息</t>
  </si>
  <si>
    <t>宜人贷涉嫌非法收取服务费，非法从事互联网放贷业务</t>
  </si>
  <si>
    <t>http://ts.21cn.com/tousu/show/id/1370196</t>
  </si>
  <si>
    <t>2019/10/17 22:08:32</t>
  </si>
  <si>
    <t>我与宜人贷公司签订借款协议和服务协议，宜人贷未按合同规定出示出借人信息，因此宜人贷涉嫌非法收取居间服务费，非法从事互联网放贷业务。</t>
  </si>
  <si>
    <t>逾期一天来就打电话过来催还款。每天打一次，三天不还就爆通讯录打给亲友，造成了很大影响，实在是经济困难没有还钱还会恶意骚扰</t>
  </si>
  <si>
    <t>http://ts.21cn.com/tousu/show/id/1370195</t>
  </si>
  <si>
    <t>2019/10/17 22:07:20</t>
  </si>
  <si>
    <t>利息高的吓死人，借6000，48期每期还305元总共就要还12万多，我已经把本金都还进去了，利息也还了很多进去，但是现在资金周转不过来，我希望退换我2万的利息。</t>
  </si>
  <si>
    <t>萌推虚假宣传</t>
  </si>
  <si>
    <t>http://ts.21cn.com/tousu/show/id/1370193</t>
  </si>
  <si>
    <t>2019/10/17 22:07:09</t>
  </si>
  <si>
    <t>虚假宣传，所谓全额返为返推币，每单只能用30%，需要多花很多钱！。</t>
  </si>
  <si>
    <t>立借高利贷</t>
  </si>
  <si>
    <t>http://ts.21cn.com/tousu/show/id/1370194</t>
  </si>
  <si>
    <t>2019/10/17 22:07:00</t>
  </si>
  <si>
    <t>立即借了6500，逾期了，自动扣款2000，现在竟然还要求归还9800。</t>
  </si>
  <si>
    <t>易支付恶意扣款</t>
  </si>
  <si>
    <t>http://ts.21cn.com/tousu/show/id/1370191</t>
  </si>
  <si>
    <t>2019/10/17 22:06:28</t>
  </si>
  <si>
    <t>银行客服说是支付宝，支付宝认真的查询后否定了，后支付宝告诉我是易付宝扣款，易付宝客服让我联系重庆的一家公司。</t>
  </si>
  <si>
    <t>有钱花满易贷协商无果</t>
  </si>
  <si>
    <t>http://ts.21cn.com/tousu/show/id/1370172</t>
  </si>
  <si>
    <t>2019/10/17 22:06:25</t>
  </si>
  <si>
    <t>投诉人彭女士投诉对象重庆度小满小额贷款有限公司,有钱花涉诉金额7326元问题类型诉求类型投诉详情在微博等联系有钱花客服无回复，爸爸之前脑梗生病导致负债累累，弟弟妹妹还有三个还在读书需要资助学费生活费，学费还是先借的，由于遇到诈P，导致经济十分困难，家里母亲是家庭主妇无任何收入来源，整个家陷入前所未有的灰暗之中，所有的支出仅靠我那几千块钱工资，难以支撑巨大的债务支出，申请协商延期免息还款，不要对我进行催收！！要是催收导致我工作丢了，还款能力也会丧失掉，我也希望能尽快还上，我已提交被诈P立案告知书，贫困证明等材</t>
  </si>
  <si>
    <t>浦发违约金过高</t>
  </si>
  <si>
    <t>http://ts.21cn.com/tousu/show/id/1370190</t>
  </si>
  <si>
    <t>2019/10/17 22:06:15</t>
  </si>
  <si>
    <t>投诉人李先生投诉对象浦发银行涉诉金额6000元问题类型诉求类型投诉详情收过高的违约金，而且最后一个月我已经还了，可是系统没有及时更新，收多我一个月的违约金及利息，银监会已经说明违约金可以退还。</t>
  </si>
  <si>
    <t>哈罗助力车随意撤销停车点导致扣费</t>
  </si>
  <si>
    <t>http://ts.21cn.com/tousu/show/id/1370189</t>
  </si>
  <si>
    <t>2019/10/17 22:04:48</t>
  </si>
  <si>
    <t>今天早上河东万达那片停车点一夜之间都不见了，导致我无法正常还车，产生了调度费，我认为不是我的责任，因为我一搜索整大片区域都没有停车点了，主要是这么大批量的撤销停车点，是不是应该给我们用户提前通知一下。</t>
  </si>
  <si>
    <t>钱站爱钱进利息高的离谱</t>
  </si>
  <si>
    <t>http://ts.21cn.com/tousu/show/id/1370188</t>
  </si>
  <si>
    <t>2019/10/17 22:03:58</t>
  </si>
  <si>
    <t>钱站爱钱进借款20003个月要还3000多每期还块1056.69，请马上跟本人商家利息高这样下去本人只还2期，爱咋咋地。</t>
  </si>
  <si>
    <t>被网贷催收骚扰！恐吓！</t>
  </si>
  <si>
    <t>http://ts.21cn.com/tousu/show/id/1370185</t>
  </si>
  <si>
    <t>2019/10/17 22:03:15</t>
  </si>
  <si>
    <t>投诉人曹女士投诉对象你我贷涉诉金额17300元问题类型诉求类型投诉详情被你我贷平台严重骚扰！侮辱！恐吓！现在严重影响了我的生活状态！。</t>
  </si>
  <si>
    <t>360借条虚假宣传</t>
  </si>
  <si>
    <t>http://ts.21cn.com/tousu/show/id/1370184</t>
  </si>
  <si>
    <t>2019/10/17 22:03:07</t>
  </si>
  <si>
    <t>本人15日在360借条平台上意外操作被强制分期12期借款9000，随后想要在17号进行还款，却被告知需要同时还12期全部利息1000余元，再过了两天时间，要求立即还款的情况下，要求还12期全部利息是高利贷行为，强制分期还款，借款合同自动勾选无提示，进行举报，在广告中欺骗消费者，虚假宣传。</t>
  </si>
  <si>
    <t>贷款利率超过国家标准百分之二十四</t>
  </si>
  <si>
    <t>http://ts.21cn.com/tousu/show/id/1370186</t>
  </si>
  <si>
    <t>2019/10/17 22:03:04</t>
  </si>
  <si>
    <t>本人在app借款5000元，实则在贷款软件标明借款7000元，综合年利率达到百分之二十五以上。</t>
  </si>
  <si>
    <t>淘宝网商家卖假货</t>
  </si>
  <si>
    <t>http://ts.21cn.com/tousu/show/id/1370187</t>
  </si>
  <si>
    <t>商家出售商品与我在实体店试过的不符，颜色比正品浅，鞋头比正版小，还有股塑料味道。</t>
  </si>
  <si>
    <t>上海富友帮高利贷做支付渠道</t>
  </si>
  <si>
    <t>http://ts.21cn.com/tousu/show/id/1370183</t>
  </si>
  <si>
    <t>2019/10/17 22:02:30</t>
  </si>
  <si>
    <t>信用白条和最近警方在查处的极速钱包做非法砍头息14天1000收150布丁小贷多笔2000收取砍头2500收取砍头。</t>
  </si>
  <si>
    <t>升学教育说退款但是拖着下个月，贷款也不停</t>
  </si>
  <si>
    <t>http://ts.21cn.com/tousu/show/id/1370182</t>
  </si>
  <si>
    <t>2019/10/17 22:02:08</t>
  </si>
  <si>
    <t>投诉人赖女士投诉对象升学教育涉诉金额14420元问题类型诉求类型投诉详情符合他们说的特殊情况退款，但是还是不愿意退，贷款也不愿意停，先让你把这个月的贷款还了，然后给拖到下个月，。</t>
  </si>
  <si>
    <t>众安保险在投保人不知情的情况下与第三方平台合作进行保单投保</t>
  </si>
  <si>
    <t>http://ts.21cn.com/tousu/show/id/1370180</t>
  </si>
  <si>
    <t>2019/10/17 22:01:10</t>
  </si>
  <si>
    <t>众安保险与翼支付平台，在本人毫不知情的情况下购买了《个人贷款保证保险》，根据保险法第十一条投保人和保险人订立保险合同，应当遵循公平互利、协商一致、自愿订立的原则，不得损害社会公共利益，除法律、行政法规规定必须保险的以外，保险公司和其他单位不得强制他人订立保险合同，第十三条投保人提出保险要求，经保险人同意承保，并就合同的条款达成协议，保险合同成立，保险人应当及时向投保人签发保险单或者其他保险凭证，并在保险单或者其他保险凭证中载明当事人双方约定的合同内容，对保险合同中免除保险人责任的条款，保险人在订立合同时应当</t>
  </si>
  <si>
    <t>达内过分坑人，还我血汗钱</t>
  </si>
  <si>
    <t>http://ts.21cn.com/tousu/show/id/1370174</t>
  </si>
  <si>
    <t>2019/10/17 22:00:51</t>
  </si>
  <si>
    <t>投诉人蒋先生投诉对象达内涉诉金额17800元问题类型诉求类型投诉详情我们大学和达内是校企合作，达内承诺毕业后工作的事情他们承担，后来就不管了，收取了大量的培训费，后来还用毕业的事情威胁我们必须交培训费，说如果不交，以后出了什么问题别来找我们。</t>
  </si>
  <si>
    <t>虚增借款金额，虚假合同</t>
  </si>
  <si>
    <t>http://ts.21cn.com/tousu/show/id/1370178</t>
  </si>
  <si>
    <t>2019/10/17 21:59:52</t>
  </si>
  <si>
    <t>3月4日，我因资金周转困难，经驻泉州的宜人货业务员极力推荐，按业务员要求提供身份证及公积金银行卡，全程由一个微信名叫A夏高帅，微信号shuai23871,手机号187******22的宜人贷业务员在其手机办理贷款115000元，每月还款5712.94元，3月4日当天，我银行卡收到115000元，此业务员收了我9500元的手续费，贷款全程并未告知需收取服务费和提前还款需收取违约金的重要事项，也未给我看合同，8月份电话95183，告知需用电脑才有电子合同，宜人贷App没有合同，我从App办理借款，合同不让我们阅</t>
  </si>
  <si>
    <t>http://ts.21cn.com/tousu/show/id/1370177</t>
  </si>
  <si>
    <t>2019/10/17 21:59:47</t>
  </si>
  <si>
    <t>投诉人 蔡女士女士        投诉对象  每日优鲜        涉诉金额  100 000 元    问题类型    诉求类型投诉详情  本人多次与在线客服联系 说会专员回访 9号活动通知下线 就进线联系每日给消费者一个解释 17号至今没有任何回应摇钱树之问题</t>
  </si>
  <si>
    <t>网络贷款</t>
  </si>
  <si>
    <t>http://ts.21cn.com/tousu/show/id/1370176</t>
  </si>
  <si>
    <t>2019/10/17 21:59:36</t>
  </si>
  <si>
    <t>投诉人陈女士投诉对象贷上钱涉诉金额6000元问题类型诉求类型投诉详情网络贷款，贷上钱平台，我在他平台借款2000元，为期30天，30天需要还款2560，借款四千元，为期90天每个月应还1680，总共需要还款5040，就在这次我想让他提供我在他平台贷款多少次，他们不给提供，也不愿意告知我总共贷款多少次，我需要他们提供出来，然后返回我一部分利息。</t>
  </si>
  <si>
    <t>无限流量限速后定向流量也限速</t>
  </si>
  <si>
    <t>http://ts.21cn.com/tousu/show/id/1370175</t>
  </si>
  <si>
    <t>2019/10/17 21:59:02</t>
  </si>
  <si>
    <t>移动限速流量10G，定向流量30G，定向还没用完，限速流量10G后，定向也被限速，完全用不了了！不一个套餐，凭啥给限速了。</t>
  </si>
  <si>
    <t>平台误导，谁来承担损失</t>
  </si>
  <si>
    <t>http://ts.21cn.com/tousu/show/id/1370173</t>
  </si>
  <si>
    <t>2019/10/17 21:58:33</t>
  </si>
  <si>
    <t>1.朋友有急事借款，因为我是小米的忠实用户，就推荐了自己在用的小米贷款，结果发给朋友后，朋友下载显示的页面不一样，没有小米自己的功能，反而有一个精选产品，就进去贷款了，放贷的时候发现被坑了，利息比较高，另外提前还款需缴纳一年全部利息，还是等期等息还款，借款的时候页面怎么没说明，跑到客服页面里才有说明，出于信任小米才选择推荐给朋友的，现在这种情况怎么解决，我现在只要求立刻还给那个平台数来我科两万，小米贷款自己的平台不显示功能，推荐其他平台产品，我也是醉了，如果是朋友没额度，为啥没有显示说明，现在造成这种情况，</t>
  </si>
  <si>
    <t>要求招商银行信用卡取消违约金和循环利息</t>
  </si>
  <si>
    <t>http://ts.21cn.com/tousu/show/id/1370171</t>
  </si>
  <si>
    <t>2019/10/17 21:58:04</t>
  </si>
  <si>
    <t>本人使用用招商信用卡有几年了，从来没有出现过逾期的情况，我的信用卡有开通自动还款功能！这次10.2还款日18.30左右还款账户入账金额足够信用卡还款，但是招行那边没有扣款也没有收到任何短信通知我自动扣款失败！那段时间工作比较忙加上是自动还款就没在意，6号我收到招行信用卡中心发来的逾期短信才知道没有还款，联系客服，客服说属于晚还款没事，14号看到我下个月的账单才发现多出来一个违约金和循环利息，为什么我2号还款日的18.30分还款账户有钱招行不扣款也不发短信提醒一下呢，客服也一个劲的说我确实违约了，事实是我18</t>
  </si>
  <si>
    <t>不退款</t>
  </si>
  <si>
    <t>http://ts.21cn.com/tousu/show/id/1370169</t>
  </si>
  <si>
    <t>2019/10/17 21:57:53</t>
  </si>
  <si>
    <t>升学教育平台老师说好的不上课可以退款，让我交了首付，交完了首付又要办理分期贷款业务，现在我不想考了，打电话不接发微信不回，请受理。</t>
  </si>
  <si>
    <t>卧龙钱包暴力催收，使用呼死你软件！</t>
  </si>
  <si>
    <t>http://ts.21cn.com/tousu/show/id/1370167</t>
  </si>
  <si>
    <t>2019/10/17 21:56:08</t>
  </si>
  <si>
    <t>用呼死你软件呼我，对我工作和生活造成严重干扰！714高炮，砍头息，建议下架该产品！。</t>
  </si>
  <si>
    <t>http://ts.21cn.com/tousu/show/id/1370166</t>
  </si>
  <si>
    <t>2019/10/17 21:55:55</t>
  </si>
  <si>
    <t>1.八月份报名的本科行政管理，第一节课直播参与了十几分钟，教学质量很差，差了，想退费，但是老师打电话过来说不可以退，只能冻结课程，我很明确的跟她说我要退，他没同意，后来我就将这事放下了，3.我找到他们的经理说要退，他说联系了班主任会处理的，业务老师说一是24小时退全额，2是按照协议上超过24小时就根据课时扣除25%的费用，4..在这期间我都没去上课，也没有产生课时，5.我跟他们经理协商，多次指出退费理由以及他们的缺点，但是他一直给我饶，说我理由不充分，6.重申下理由：教学视频质量有问题，教育局可以承认这一个</t>
  </si>
  <si>
    <t>捷信</t>
  </si>
  <si>
    <t>http://ts.21cn.com/tousu/show/id/1370165</t>
  </si>
  <si>
    <t>2019/10/17 21:55:28</t>
  </si>
  <si>
    <t>捷信金融借款24000元，到现在还款22000多元，还让还15000元，逾期20天，因家里出现点状况，我已无力偿还，之前在此平台投诉过，打电话过来协商未成功，今天打电话说我恶意拖欠！！而且态度强硬！！希望平台给解决下。</t>
  </si>
  <si>
    <t>宣传与实际完全不符，老师极不负责任</t>
  </si>
  <si>
    <t>http://ts.21cn.com/tousu/show/id/1370164</t>
  </si>
  <si>
    <t>2019/10/17 21:55:26</t>
  </si>
  <si>
    <t>本人于今年年初报名奇华网校参加消防知识学习，当时在网上了解到该校，宣传该校通过率极高，老师特别负责任，学员通过率这么高全是老师的原因，而且他们家有个叫白金书，说是里面包含了90%的考点，考试内容基本都要在这本书里，开课后学了一段时间发现老师完全照书本朗读，几乎不加解释，没有基础的根本听不懂，而且朗读水平极差，照书读也读不顺，反复读错，重读，读的内容白金书上又没有，一节课50多分钟的内容全部需要手写记录，大大影响了上课的进度，没办法只好和负责的班主任老师沟通，但班主任老师根本不负责任，要么不回复，要么好久才回</t>
  </si>
  <si>
    <t>给朋友付了钱，要求退款</t>
  </si>
  <si>
    <t>http://ts.21cn.com/tousu/show/id/1370163</t>
  </si>
  <si>
    <t>2019/10/17 21:54:28</t>
  </si>
  <si>
    <t>投诉人 姜女士        投诉对象  拼多多        涉诉金额  2 000 元    问题类型    诉求类型投诉详情  店铺解决不了。只能请求平台给我们协商解决一下。</t>
  </si>
  <si>
    <t>要求退还所谓的担保费</t>
  </si>
  <si>
    <t>http://ts.21cn.com/tousu/show/id/1370161</t>
  </si>
  <si>
    <t>2019/10/17 21:53:21</t>
  </si>
  <si>
    <t>在及贷借款4笔，还清3笔，每次都被扣除了担保费，这个费用是不合法的，咨询过律师！及贷的年利率也高过了国家的标准百分之24.现在要求及贷退还我4次借款的担保费，这种欺诈行为实属可恶。</t>
  </si>
  <si>
    <t>汇聚支付为套路贷平台提供支付通道</t>
  </si>
  <si>
    <t>http://ts.21cn.com/tousu/show/id/1370162</t>
  </si>
  <si>
    <t>2019/10/17 21:53:05</t>
  </si>
  <si>
    <t>投诉人郭先生投诉对象汇聚支付,闪电白卡,融易卖杭州科技有限公司涉诉金额4620元问题类型诉求类型投诉详情本人多次在闪电白卡借款，每次3300元扣除砍头息660元到账只有2640元，七天后还款3300元，七天利息高达百分之二十多，每次都是通过汇聚支付将660元转到融易卖杭州科技有限公司账户，闪电白卡就是该公司经营的套路贷平台，与该公司有关的还有杭州数道科技的借钱白卡和萌虎白卡，现在要求汇聚支付和融易卖公司退还本人4620元非法砍头息，否则将升级举报！。</t>
  </si>
  <si>
    <t>http://ts.21cn.com/tousu/show/id/1370160</t>
  </si>
  <si>
    <t>2019/10/17 21:52:58</t>
  </si>
  <si>
    <t>在合同里添加条款私自扣款扣了我两笔我的钱这么好拿吗。</t>
  </si>
  <si>
    <t>http://ts.21cn.com/tousu/show/id/1370159</t>
  </si>
  <si>
    <t>2019/10/17 21:52:56</t>
  </si>
  <si>
    <t>投诉人 费先生        投诉对象  玖富万卡,玖富        涉诉金额  2 210 元    问题类型    诉求类型投诉详情  玖富万卡涉嫌高利贷，阴阳合同，强制性保险</t>
  </si>
  <si>
    <t>要求退费</t>
  </si>
  <si>
    <t>http://ts.21cn.com/tousu/show/id/1370158</t>
  </si>
  <si>
    <t>2019/10/17 21:52:39</t>
  </si>
  <si>
    <t>9月16日看电视，我手机上看的那个就看不了，上面有二维码，还有0.99/1个月，想着就看三四天，就直接扫码了，这个月，就来了扣费信息！我吓一跳，没订这个月的咋扣30元钱了，加了他们平台，问了就是不正面回答！没办法只能求助你们了！拜托！！！。</t>
  </si>
  <si>
    <t>苏宁消费金融骚扰严重</t>
  </si>
  <si>
    <t>http://ts.21cn.com/tousu/show/id/1370156</t>
  </si>
  <si>
    <t>2019/10/17 21:51:45</t>
  </si>
  <si>
    <t>此手机号已经换人使用，每天收到他们几十条短信！打他们客服反应了情况，解决不了，还是恶意发，真想骂他们。</t>
  </si>
  <si>
    <t>中信信用卡乱扣费隐藏性扣费</t>
  </si>
  <si>
    <t>http://ts.21cn.com/tousu/show/id/1370155</t>
  </si>
  <si>
    <t>2019/10/17 21:51:28</t>
  </si>
  <si>
    <t>9.23没有88消费记录,强行扣款，此事太无耻，希望通过平台能得到解决，。</t>
  </si>
  <si>
    <t>马上金融安逸花偷偷扣款</t>
  </si>
  <si>
    <t>http://ts.21cn.com/tousu/show/id/1370154</t>
  </si>
  <si>
    <t>2019/10/17 21:50:14</t>
  </si>
  <si>
    <t>看账单发现扣除的有保险金和20元的灵活还款包，灵活还款包可以延期但为什么用不成，还款日客服催收一问三不知，就知道一句话不还款通知家人朋友，这是要干什么。</t>
  </si>
  <si>
    <t>高利贷公司借款已经还清，继续诱导借款。</t>
  </si>
  <si>
    <t>http://ts.21cn.com/tousu/show/id/996910</t>
  </si>
  <si>
    <t>2019/10/17 21:48:50</t>
  </si>
  <si>
    <t>投诉人翟依哲投诉对象融360涉诉金额0元问题类型诉求类型投诉详情1.我来贷3万借款已经还清，让注销账户不给注销，只注销账户资料欺骗我，2.融360高炮今年借款7-8笔714高炮借款，在4月份全部结清，为远离高炮平台联系客服注销，只给注销账户资料不给注销账户，继续诱导再次借款，客服服务态度差，ps：我已经被现金贷害惨了，既然我都已经结清了，为什么不给注销，诱导我继续借款产生恶性循环，我会继续升级投诉银监会直到我的问题重视和解决。</t>
  </si>
  <si>
    <t>洋钱罐借钱高利贷</t>
  </si>
  <si>
    <t>http://ts.21cn.com/tousu/show/id/1370153</t>
  </si>
  <si>
    <t>2019/10/17 21:47:45</t>
  </si>
  <si>
    <t>洋钱罐借钱高利贷，借款10000元需还13600元，国家的保护的年利息率是24%，而国家的红线是36%，洋钱罐仍旧是规避这个问题，一直声称自己是合法合规的需还13600元！。</t>
  </si>
  <si>
    <t>马上金融雇佣社会人员进行威胁恐吓</t>
  </si>
  <si>
    <t>http://ts.21cn.com/tousu/show/id/1370152</t>
  </si>
  <si>
    <t>2019/10/17 21:47:21</t>
  </si>
  <si>
    <t>投诉人 马先生        投诉对象  马上消费金融        涉诉金额  3 000 元    问题类型    诉求类型投诉详情  打电话过来，很不礼貌的说是催收，要见面谈。问以什么身份来谈的。直接开始骂人。之后挂断电话威胁到家里去恐吓家里人。然后说上门</t>
  </si>
  <si>
    <t>费用问题</t>
  </si>
  <si>
    <t>http://ts.21cn.com/tousu/show/id/1370117</t>
  </si>
  <si>
    <t>2019/10/17 21:46:40</t>
  </si>
  <si>
    <t>现在要求他们给维修，重视一下我和乘客的安全问题。</t>
  </si>
  <si>
    <t>宜人贷未按照协商金额更新还款APP</t>
  </si>
  <si>
    <t>http://ts.21cn.com/tousu/show/id/1370151</t>
  </si>
  <si>
    <t>2019/10/17 21:46:26</t>
  </si>
  <si>
    <t>有宜人贷工作人员联系，与其协商在本月20号归还本金，眼看协商还款日将近，但通过还款APP查询，还款金额一直无变动，在此期间还有此平台的工作人员一直让我撤销投诉，烦请此平台按照协商约定，尽快更新还款金额，以便我能按时还款！！！！。</t>
  </si>
  <si>
    <t>唯品会A2二段假奶粉</t>
  </si>
  <si>
    <t>http://ts.21cn.com/tousu/show/id/1370150</t>
  </si>
  <si>
    <t>2019/10/17 21:46:17</t>
  </si>
  <si>
    <t>在唯品会购买了三罐A2二段奶粉，从打开这三天，吃了三天都在吐，一给他吃奶粉他就拼命哭，饿很了，勉强吃一点，表现出恶心，奶粉和清水差不多，口感很清淡，没有奶味，要求退货退款。</t>
  </si>
  <si>
    <t>交通银行信用卡非法催收</t>
  </si>
  <si>
    <t>http://ts.21cn.com/tousu/show/id/1370149</t>
  </si>
  <si>
    <t>2019/10/17 21:44:11</t>
  </si>
  <si>
    <t>最近因债务危机，前几年被朋友以借钱手段骗了我60多万，现在逾期二十天，交通银行信用卡就请催收，一天打我十几个电话，严重影响了我正常给学生上课，这个催收言语卑劣、采用挖苦讽刺，并扬言要催我年近八十的父亲。</t>
  </si>
  <si>
    <t>友信普惠高利贷，高违约金，阴阳合同</t>
  </si>
  <si>
    <t>http://ts.21cn.com/tousu/show/id/1370101</t>
  </si>
  <si>
    <t>2019/10/17 21:43:59</t>
  </si>
  <si>
    <t>投诉人林巧萍投诉对象友信涉诉金额79000元问题类型诉求类型投诉详情16年底在友信普惠线下门店贷款，合同金额113900元，实际贷款金额到手79000元，分36期，每月还款金额3685.94元，已还款21期，已还款金额77404.74元，因为被套路贷，陷入多头贷，出现资金链断缺，无力还款这么大金额，多次跟对方协商减免利息，对方均态度强硬，要我按合同来，不能申请减免，提前结清也要我还50000多，对我来说实在无力偿还，我是想还款，可是他们的这个高利息，我实在还不起。</t>
  </si>
  <si>
    <t>去哪儿称病退材料不过关，推责给航空公司，航空公司表示从未收到任何材料，害病退人拄拐多次去医院开证明。</t>
  </si>
  <si>
    <t>http://ts.21cn.com/tousu/show/id/1370119</t>
  </si>
  <si>
    <t>2019/10/17 21:43:37</t>
  </si>
  <si>
    <t>本人在去哪儿网买了两张长沙往返大阪的机票，去哪儿网也就是被诉方北京嘉信浩远信息技术有限公司，出行前我先生因脚踝骨折，无法按原计划出行，我也取消行程在家陪他治疗，联系去哪儿网客服，说明此情况，客服说我先生可申请病退退还全款,我退票的话需支付399元，本人在网页上写明先生骨折，我也退票，我的机票在扣除399元后退已到账，去哪儿要求我提供先生的病历本、医生签字、并盖医院公章，客服说没有，本人按要求带着受伤的先生去医院开具证明后提交至客服，客服回复说吉祥航空说材料不行，我再次询问有无证明模板，接到客服电话说吉祥航空</t>
  </si>
  <si>
    <t>网贷平台胡乱扣费</t>
  </si>
  <si>
    <t>http://ts.21cn.com/tousu/show/id/1370147</t>
  </si>
  <si>
    <t>2019/10/17 21:43:09</t>
  </si>
  <si>
    <t>而且成为会员后网贷平台一样没有通过率提升，还把自己的本钱搭进去了，这里有扣款截图，再说了，本人也不知道会开通会员，订单号也没有就自动扣款了。</t>
  </si>
  <si>
    <t>及贷违反法律法规收取担保费</t>
  </si>
  <si>
    <t>http://ts.21cn.com/tousu/show/id/1370145</t>
  </si>
  <si>
    <t>2019/10/17 21:42:36</t>
  </si>
  <si>
    <t>在不知情的情况下找所谓的担保人收取额外的担保费，属于欺诈行为。</t>
  </si>
  <si>
    <t>拇指游玩欺诈区别对待玩家</t>
  </si>
  <si>
    <t>http://ts.21cn.com/tousu/show/id/1370122</t>
  </si>
  <si>
    <t>2019/10/17 21:40:58</t>
  </si>
  <si>
    <t>投诉人马先生投诉对象深圳市拇指游玩科技有限公司涉诉金额800元问题类型诉求类型投诉详情深圳市拇指游玩科技有限公司代理的游戏，，本人与一个月前在此游戏的M978区注册账号并在游戏页面误导充值800元左右，拇指游玩于10月17日进行大面积合服，将本服于其他实力强大悬殊的服务器合在一起，本服玩家无法继续玩，我与客服沟通给些道具补偿，客服态度冷淡，车轱辘话一遍又一遍反正就是合也合了没办法，本人觉得拇指游玩涉嫌欺诈低级新玩家为高级老玩家提供游戏乐趣，和客服沟通未果，现希望借助聚投诉向此公司进行投诉。</t>
  </si>
  <si>
    <t>小花钱包贷款有砍头息</t>
  </si>
  <si>
    <t>http://ts.21cn.com/tousu/show/id/1370143</t>
  </si>
  <si>
    <t>2019/10/17 21:40:12</t>
  </si>
  <si>
    <t>投诉人 罗先生        投诉对象  小花钱包        涉诉金额  1 000 元    问题类型    诉求类型投诉详情  本来贷款的1000元 今天登陆软件怎么会是1103 而且每个月还200多</t>
  </si>
  <si>
    <t>微信扫码进群被盗刷支付600</t>
  </si>
  <si>
    <t>http://ts.21cn.com/tousu/show/id/1370142</t>
  </si>
  <si>
    <t>2019/10/17 21:40:03</t>
  </si>
  <si>
    <t>投诉人 张先生        投诉对象  凯福大酒店,商户朱雪莲        涉诉金额  600 元    问题类型    诉求类型投诉详情  有个陌生人加我 然后说扫码进群 自己一时好奇 就扫码进群了 被扣了600元</t>
  </si>
  <si>
    <t>京东金融催收恐吓威胁</t>
  </si>
  <si>
    <t>http://ts.21cn.com/tousu/show/id/1370141</t>
  </si>
  <si>
    <t>2019/10/17 21:39:43</t>
  </si>
  <si>
    <t>投诉人 王女士        投诉对象  京东金融        涉诉金额  2 300 元    问题类型    诉求类型投诉详情  晚上九点多打电话骚扰、发短信威胁恐吓上门</t>
  </si>
  <si>
    <t>违规交费，不安装合同执行</t>
  </si>
  <si>
    <t>http://ts.21cn.com/tousu/show/id/1370140</t>
  </si>
  <si>
    <t>2019/10/17 21:39:33</t>
  </si>
  <si>
    <t>滴滴公司骗司机安装桔视记录仪就可以获取深夜服务卡，599块钱安装了，深夜服务卡遥遥无期，完全就是骗局，我希望要么给深夜服务卡，要么给我拆了退钱，安装这个就是为了深夜服务卡，结果装了还是不给开通考试端口，客服一直要等，就是个骗局。</t>
  </si>
  <si>
    <t>招联金融伪造文书并撤诉后未处理</t>
  </si>
  <si>
    <t>http://ts.21cn.com/tousu/show/id/1370139</t>
  </si>
  <si>
    <t>2019/10/17 21:39:00</t>
  </si>
  <si>
    <t>招联金融伪造文书并撤诉后未处理，经常制造虚假的短信律师函恐吓催收，朋友因为投资失败资金断裂还不起钱，短信已经常发到我手机上面，显示欠款人的身份证号码什么的，被立案处理，已经起诉，要到法院开庭之内的。</t>
  </si>
  <si>
    <t>转转退我保证金</t>
  </si>
  <si>
    <t>http://ts.21cn.com/tousu/show/id/1370137</t>
  </si>
  <si>
    <t>2019/10/17 21:37:56</t>
  </si>
  <si>
    <t>您好，本人2019年10月15号在转转上拍下来的手机，型号是苹果iphone，拍卖会场保证金100元，最后我要准备付款后发现拍卖后无法退回保证金，但我想支付时发现无法支付，平台造成我的损失，消费无法交易，保证金也没有退回，经过几次三番聊聊沟通客服，也一样无法退回保证金，转转退回保证金100元~转转退回保证金100元，，转转退回保证金100元，，，。</t>
  </si>
  <si>
    <t>http://ts.21cn.com/tousu/show/id/1370136</t>
  </si>
  <si>
    <t>2019/10/17 21:37:29</t>
  </si>
  <si>
    <t>总额度9000，一次借了4000一次借了5000服务费高的吓人，借之前没有提示服务费。</t>
  </si>
  <si>
    <t>趣惠买8天高炮贷款砍头息，联动优势为高炮贷款提供服务</t>
  </si>
  <si>
    <t>http://ts.21cn.com/tousu/show/id/1370021</t>
  </si>
  <si>
    <t>2019/10/17 21:36:30</t>
  </si>
  <si>
    <t>10月4日，借款1050元，实际到账735元，周期八天，已还清，第二次9月30日借款1250元，实际到账875，周期八天，惠趣买不符合国家规定放贷，砍头息套路贷，要求平台严惩惠趣买套路贷平台，对未还款金额进行销账，本人要求本金销账，多一分不还，请逾期前联系处理，如逾期前不联系处理产生逾期费本人不承担，若暴力催收爆通讯录将保留证据并报警处理！。</t>
  </si>
  <si>
    <t>滴滴平台坑害司机</t>
  </si>
  <si>
    <t>http://ts.21cn.com/tousu/show/id/1370132</t>
  </si>
  <si>
    <t>2019/10/17 21:35:59</t>
  </si>
  <si>
    <t>双证司机每天出门十几个小时两百多，平均每天都是二十块左右一小时！怎么生存，车贷，保险，加油，吃饭！都不够！更别说赚钱了！！！！。</t>
  </si>
  <si>
    <t>网贷需要验证信用卡之后被盗刷</t>
  </si>
  <si>
    <t>http://ts.21cn.com/tousu/show/id/1370130</t>
  </si>
  <si>
    <t>2019/10/17 21:35:49</t>
  </si>
  <si>
    <t>申请网贷被盗刷信用卡，现在没办法联系到任何客服，也找不到原因，不知道如何解决，现在就希望把盗刷信用卡的钱给退回来，希望相关部门重视问题，对涉案部门做出处罚！。</t>
  </si>
  <si>
    <t>阴阳合同，高利贷</t>
  </si>
  <si>
    <t>http://ts.21cn.com/tousu/show/id/1370129</t>
  </si>
  <si>
    <t>2019/10/17 21:35:47</t>
  </si>
  <si>
    <t>本人在周周花花app借款2600,实际到账只有2000块，分一个月四期还款，还款的前一天周周花花就暴力催收，爆通讯录，群发侮辱性p图给亲朋好友，完全没有把法律法规放在眼里，宝付支付公司助纣为虐，帮高利贷充当保护伞和铺路者，本人将于十月十八日携带身份证前往派出所实名举报周周花花和宝付支付。</t>
  </si>
  <si>
    <t>富友支付，小富商城为714高炮小鱼儿提供支付通道</t>
  </si>
  <si>
    <t>http://ts.21cn.com/tousu/show/id/1370131</t>
  </si>
  <si>
    <t>2019/10/17 21:35:30</t>
  </si>
  <si>
    <t>本人2019年8月31日借款2000元，实际到账1400元，9月6日还款2000元，要求退砍头息。</t>
  </si>
  <si>
    <t>乱扣钱</t>
  </si>
  <si>
    <t>http://ts.21cn.com/tousu/show/id/1370128</t>
  </si>
  <si>
    <t>2019/10/17 21:35:14</t>
  </si>
  <si>
    <t>投诉人 钟灵基        投诉对象  百事普惠        涉诉金额  298 元    问题类型    诉求类型投诉详情  乱扣钱，强烈要求投诉，强烈维权，要求返还</t>
  </si>
  <si>
    <t>上海翰银为赌博输平台收单，请求瀚银为我退款挽回经济损失</t>
  </si>
  <si>
    <t>http://ts.21cn.com/tousu/show/id/1370123</t>
  </si>
  <si>
    <t>2019/10/17 21:34:09</t>
  </si>
  <si>
    <t>投诉人 王先生        投诉对象  瀚银科技        涉诉金额  15 000 元    问题类型    诉求类型投诉详情  上海瀚银为赌博网站提供服务，要求退还费用</t>
  </si>
  <si>
    <t>维信金科私自泄露信息</t>
  </si>
  <si>
    <t>http://ts.21cn.com/tousu/show/id/1370125</t>
  </si>
  <si>
    <t>2019/10/17 21:34:06</t>
  </si>
  <si>
    <t>维信金科不守信用，私自泄露个人信息，造成严重影响。</t>
  </si>
  <si>
    <t>钱站变相高利贷借3千还5千5</t>
  </si>
  <si>
    <t>http://ts.21cn.com/tousu/show/id/1370121</t>
  </si>
  <si>
    <t>2019/10/17 21:33:26</t>
  </si>
  <si>
    <t>之前的加上现在的一共7千，要求协商还清本金后销账。</t>
  </si>
  <si>
    <t>智行火车票霸王条款</t>
  </si>
  <si>
    <t>http://ts.21cn.com/tousu/show/id/1370107</t>
  </si>
  <si>
    <t>2019/10/17 21:33:21</t>
  </si>
  <si>
    <t>投诉人杨女士投诉对象智行火车票涉诉金额2202元问题类型诉求类型投诉详情①买机票之前显示还剩下三张票，买机票的很多天一直显示还有三张票，真的明目张胆的误导消费者，②非特价机票不退税不退票，真是名副其实的霸王条款！要求按照山东航空的退票规则退款！③人工服务一到关键时刻就回复当前咨询的人数较多，消费者不是傻子，关键时刻把握得真好！。</t>
  </si>
  <si>
    <t>微粒贷无理取消分期</t>
  </si>
  <si>
    <t>http://ts.21cn.com/tousu/show/id/1370120</t>
  </si>
  <si>
    <t>2019/10/17 21:32:50</t>
  </si>
  <si>
    <t>由于家人癌症需要医疗，所以目前周转不到位，影响到微粒贷还款！微粒贷打电话去本人单位催收。</t>
  </si>
  <si>
    <t>及货私自捆绑保险费</t>
  </si>
  <si>
    <t>http://ts.21cn.com/tousu/show/id/1370118</t>
  </si>
  <si>
    <t>2019/10/17 21:32:10</t>
  </si>
  <si>
    <t>朋友在及贷申请借款，结果捆绑永安保险致电客服，客服说要全额还清才能退款，行为恶劣。</t>
  </si>
  <si>
    <t>及贷强制扣除VIP费用，不给就不下款</t>
  </si>
  <si>
    <t>http://ts.21cn.com/tousu/show/id/1370115</t>
  </si>
  <si>
    <t>2019/10/17 21:30:26</t>
  </si>
  <si>
    <t>结果这次，1700元借款50天，到款1530元还款1785，强制扣除了vip费用170元，说不付这笔钱是不会下款的，这相当于收了年利率123%，远远超过国家24%的年利率！！！！现要求将补齐实际到款1700元，将继续按照1785元还款，或就按照1530元实际实际到款金额还款1605元。</t>
  </si>
  <si>
    <t>拼多多平台不公平处理售后，擅自退款，纵容不良买家，让商家承担不应该的责任</t>
  </si>
  <si>
    <t>http://ts.21cn.com/tousu/show/id/1370114</t>
  </si>
  <si>
    <t>2019/10/17 21:30:13</t>
  </si>
  <si>
    <t>定单号191012-1*************4是在我店卖出的一顶小孩帽子，由买家本人签收，当时是完好无损的，，以质量问题为由要求退货并多次投诉到拼多多平台，因已下水清洗影响第二次销售，我们拒绝了退货申请，该买家申请平台介入纠纷，在证据明显人为情况下平台可能为息事宁人，判决直接退款给买家，钱不多，但是这种处理行为助长了不良买家贪小便宜的思想，我们商家老老实实在拼多多上薄利甚至有时候亏本经营，最起码不能把这种损失强制给商家吧。</t>
  </si>
  <si>
    <t>霸王条款欺诈中小业主</t>
  </si>
  <si>
    <t>http://ts.21cn.com/tousu/show/id/1370111</t>
  </si>
  <si>
    <t>2019/10/17 21:29:54</t>
  </si>
  <si>
    <t>合同签订后，公司单方面取消合同条款，不提供应有的服务，业主申诉无人解决，工作人员相互推诿，让业主不能正常经营。</t>
  </si>
  <si>
    <t>客服服务态度恶劣</t>
  </si>
  <si>
    <t>http://ts.21cn.com/tousu/show/id/1370112</t>
  </si>
  <si>
    <t>2019/10/17 21:29:38</t>
  </si>
  <si>
    <t>在与客服解决沟通的过程中客服态度恶劣，不正面回答客户问题，甚至口口声声说我们是骗贷，现要求道歉。</t>
  </si>
  <si>
    <t>苏通卡ETC多次重复收费</t>
  </si>
  <si>
    <t>http://ts.21cn.com/tousu/show/id/1370110</t>
  </si>
  <si>
    <t>2019/10/17 21:29:16</t>
  </si>
  <si>
    <t>本人今年办理苏通卡ETC后没走几次高速，但是连续三次出现重复扣款的现象，客服电话打通后说账单第二天上传，第二天再打客服电话就始终打不通，昨天我就没上高速，但是今天又收到银行的扣款提醒，14号我就走了一次高速，居然扣我2次钱，这不坑人么！现在要求立刻回电说明情况，退货退钱！。</t>
  </si>
  <si>
    <t>http://ts.21cn.com/tousu/show/id/1370109</t>
  </si>
  <si>
    <t>2019/10/17 21:28:40</t>
  </si>
  <si>
    <t>退款慢退款慢退款慢退款慢退款慢退款慢退款慢。</t>
  </si>
  <si>
    <t>http://ts.21cn.com/tousu/show/id/1370108</t>
  </si>
  <si>
    <t>2019/10/17 21:28:17</t>
  </si>
  <si>
    <t>投诉人宋先生投诉对象金银钱包涉诉金额2500元问题类型诉求类型投诉详情我在金银钱包借款两千五，结果实际到账不到一千四，扣了我一千一百多的服务费，借款期限只有五天，到期必须还两千五，。</t>
  </si>
  <si>
    <t>暴力催收，态度极其恶劣，骚扰</t>
  </si>
  <si>
    <t>http://ts.21cn.com/tousu/show/id/1370106</t>
  </si>
  <si>
    <t>2019/10/17 21:27:30</t>
  </si>
  <si>
    <t>来电告知作为紧急联系人的去通知欠款人还款，却态度极度恶劣，并言语威胁要拨打作为联系人的通讯录，多次大声呼质我的名字，威胁天天打电话骚扰我。</t>
  </si>
  <si>
    <t>马上金融锁定账号，逾期一天就开始短信骚扰</t>
  </si>
  <si>
    <t>http://ts.21cn.com/tousu/show/id/1370104</t>
  </si>
  <si>
    <t>2019/10/17 21:27:13</t>
  </si>
  <si>
    <t>投诉人黄先生投诉对象马上消费金融涉诉金额2000元问题类型诉求类型投诉详情每月按时还款，从未愈期，在未任何通知的情况下单方违反合同锁定账户，因上述原因本期未按时还款，愈期一天开始电话短信骚扰并威胁爆通讯录。</t>
  </si>
  <si>
    <t>亚博网络赌博平台还一直百度搜索做推广</t>
  </si>
  <si>
    <t>http://ts.21cn.com/tousu/show/id/1370103</t>
  </si>
  <si>
    <t>2019/10/17 21:25:49</t>
  </si>
  <si>
    <t>亚博网络赌博平台还一直百度搜索做推广，已经向百度投诉过很多次了，都没有解决，害了更多人家破人亡，我已经向网警和网信办举报了。</t>
  </si>
  <si>
    <t>马上金融阴阳协议，直接扣款</t>
  </si>
  <si>
    <t>http://ts.21cn.com/tousu/show/id/1370100</t>
  </si>
  <si>
    <t>2019/10/17 21:24:08</t>
  </si>
  <si>
    <t>马上金融app阴阳协议隐藏扣款选项诱导消费，望贵平台解决下问题。</t>
  </si>
  <si>
    <t>银盛通pos机业务员在我不知情况下扣我300押金而且拒绝退费已发布</t>
  </si>
  <si>
    <t>http://ts.21cn.com/tousu/show/id/1370099</t>
  </si>
  <si>
    <t>2019/10/17 21:23:01</t>
  </si>
  <si>
    <t>一个推销人员走到我的店里，让我办POS机，费率非常低，至于说多低，不清楚，反正一直强调是免费的，恳求我帮忙办一个，出于好心我办了，然后又恳求我刷一笔298的激活金，说6个月内会退还，现在半年多了，也没有退还，反而是说没有刷够128万！我就想笑，这个机子刷1万要60多手续费，至于要我刷128万！。</t>
  </si>
  <si>
    <t>江湖救急违规擅自收取所谓征信费，已经违反金融管理条例</t>
  </si>
  <si>
    <t>http://ts.21cn.com/tousu/show/id/1370097</t>
  </si>
  <si>
    <t>2019/10/17 21:22:26</t>
  </si>
  <si>
    <t>投诉人高全超投诉对象江湖救急涉诉金额90元问题类型诉求类型投诉详情江湖救急平台自称网贷平台，但实际上只为骗取用户所谓信用自查费，我从去年至今一共借款9次，合计付信用自查费90元，每次的报告详情都一样显示信用毫无问题，但无一次能成功借款，且每月都会有平台短信提示可以借款，现发起投诉，要求江湖救急平台给出说法下架app并退还信用自查费用，本人还会到你们所在单位12345，金融协会进行投诉。</t>
  </si>
  <si>
    <t>升学教育</t>
  </si>
  <si>
    <t>http://ts.21cn.com/tousu/show/id/1370095</t>
  </si>
  <si>
    <t>2019/10/17 21:22:19</t>
  </si>
  <si>
    <t>过年在百度咨询自考点进去之后一直打电话骚扰我诱导我五月开始交首付贷款一起7591，但是我及时发现了这个机构有问题当天缴费24小时就提出退款没给通过目前退款成功扣了我25%手续费一共1870我不服凭什么垃圾机构的几句话忽悠我中途退坑一直都不搭理人高冷的死没交钱把你当祖宗哄着一提退费就把你当孙子还威胁删我微信你能把我咋地诱导我不用还贷不会影响什么不想退款。</t>
  </si>
  <si>
    <t>花转转樱桃小贷逾期太高</t>
  </si>
  <si>
    <t>http://ts.21cn.com/tousu/show/id/1370098</t>
  </si>
  <si>
    <t>2019/10/17 21:22:13</t>
  </si>
  <si>
    <t>另外一笔3100元以还1期1078.还剩3期3000多一点，利息高就不说了，平台天天无法还款，造成逾期30多天，逾期加本金7000多。</t>
  </si>
  <si>
    <t>跑路，不给提现，一直延迟</t>
  </si>
  <si>
    <t>http://ts.21cn.com/tousu/show/id/1370096</t>
  </si>
  <si>
    <t>2019/10/17 21:22:08</t>
  </si>
  <si>
    <t>QQ：2811485305，695175693，开战酒鬼QQ群：599154340高充值，提现一直延迟，不到账，一直拖。</t>
  </si>
  <si>
    <t>聚富分期未通过本人私自在银行卡里扣款</t>
  </si>
  <si>
    <t>http://ts.21cn.com/tousu/show/id/1370048</t>
  </si>
  <si>
    <t>2019/10/17 21:21:45</t>
  </si>
  <si>
    <t>2019年9月底我在聚富分期上进行借款，当时手机页面上没显示要进行299元的扣款，没过几天发现银行卡里被扣了299元，通过多方渠道了解到是聚富分期扣了款，今天给聚富分期客服打电话，一开始打了好几通电话，好几个客服跟我说没有我的注册信息，那请问没有我的信息我是怎么登入app的，没有我的信息又是怎么对我银行卡里的钱进行扣款的，这摆明了就是想推卸责任，当我说要向工商局以及各类平台投诉的时候又跟我说查到了我的信息，说让我进行我的身份证正反面，手持身份证进行打印给寄过去，怎么，在国家严厉整顿网络借贷的大环境下希望平台</t>
  </si>
  <si>
    <t>及货乱收金融服务费</t>
  </si>
  <si>
    <t>http://ts.21cn.com/tousu/show/id/1370094</t>
  </si>
  <si>
    <t>2019/10/17 21:21:44</t>
  </si>
  <si>
    <t>胡乱收费找客服回复态度比较急燥，问题一直不解决天天打骚扰电话。</t>
  </si>
  <si>
    <t>及贷平台综合年利率高达36％</t>
  </si>
  <si>
    <t>http://ts.21cn.com/tousu/show/id/1370092</t>
  </si>
  <si>
    <t>2019/10/17 21:21:23</t>
  </si>
  <si>
    <t>综合年化利率达到36%私自没有经过同意联系通讯录，威胁，如果不处理，承担一切后果，态度及其恶劣。</t>
  </si>
  <si>
    <t>蓝店公司提现不到账，大面积商户提现不到账</t>
  </si>
  <si>
    <t>http://ts.21cn.com/tousu/show/id/1370091</t>
  </si>
  <si>
    <t>2019/10/17 21:20:40</t>
  </si>
  <si>
    <t>说好的每个月提现，结果就提了一次就提不出来了，五月份提现的到现在也没动静了。</t>
  </si>
  <si>
    <t>网贷催收和还款问题</t>
  </si>
  <si>
    <t>http://ts.21cn.com/tousu/show/id/1370089</t>
  </si>
  <si>
    <t>2019/10/17 21:19:40</t>
  </si>
  <si>
    <t>平台出借方在可以联系我本人而且我已经定下对方最晚还款期限，并且在没有联系预留联系人就开始拨打通讯录，并要求通讯录里的人还钱，给我的生活造成不良影响，而且还款方式极度异常，12000元第一期还50%，我请求维护我的合法权益，并消除对我个人的不良影响！。</t>
  </si>
  <si>
    <t>恐吓暴力透露私人信息</t>
  </si>
  <si>
    <t>http://ts.21cn.com/tousu/show/id/1370088</t>
  </si>
  <si>
    <t>2019/10/17 21:18:57</t>
  </si>
  <si>
    <t>恐吓，骚扰家人，导致我父亲吓的住院，要求360立刻停止骚扰，赔偿道歉，盗用私人信息，工作丢掉，要求做出解释。</t>
  </si>
  <si>
    <t>浪花花，714高炮+高利贷+砍头息</t>
  </si>
  <si>
    <t>http://ts.21cn.com/tousu/show/id/1370087</t>
  </si>
  <si>
    <t>2019/10/17 21:18:33</t>
  </si>
  <si>
    <t>，通过钱站下载推荐app雪中送炭，然后再由雪中送炭推荐下载花炏艻，在花炏艻遭遇6天一期的714高炮、违法高利贷app浪花花，在浪花花借款1600元，6天后还款，但实际到账1040元，遭遇非法砍头息560元，浪花花app无任何相关企业资质或者相关信心的介绍，官方客服就是一个QQ号二维码截图，并且还款方式是通过支付宝的渠道还款，支付宝平台为714高炮+高利贷+砍头息公司提供还款渠道，希望调查情况，然后浪花花app必须调整利息，最高接受国家规定合法利息，协商还款。</t>
  </si>
  <si>
    <t>恐吓威胁年迈父母，让其帮忙还款</t>
  </si>
  <si>
    <t>http://ts.21cn.com/tousu/show/id/1370086</t>
  </si>
  <si>
    <t>2019/10/17 21:18:12</t>
  </si>
  <si>
    <t>欠钱是不对的，谁愿意家无宁日，亲朋好友一直被打扰呢，之前条件好的时候，你们向我推荐了什么招商信诺保险直接从我信用卡扣钱，每月678元的扣，一年也不少钱，这也就算了，大慨交了一万五左右，后来交不上了，退保了，退了六千多一点，也直接还卡里了，谁都有难处的事侯，我并没有说不还钱，我发誓钱我一定会还你们，只要你们不把我逼死，还有一丝气息，这个钱我一定会还，天天给我还威胁短信，要起诉我，联系当地派出所上门，家人前天还收到了招商的起诉函，电话打到邻居家说让还钱，不还钱就联系当地的社会人上门要钱，人死不能复生，钱财两空，</t>
  </si>
  <si>
    <t>招联金融经常打电话工作单位，打给老板，让名誉扫地</t>
  </si>
  <si>
    <t>http://ts.21cn.com/tousu/show/id/1370083</t>
  </si>
  <si>
    <t>2019/10/17 21:17:48</t>
  </si>
  <si>
    <t>之前在招联金融借款9800块钱，当时认为利息还算可以不高，分期12个月，算下来总共也只要还一万多点，但是后来因为投资失败，就还不起了，逾期以后天天电话轰炸，一天十几个电话打进来真的是烦，还爆通讯录，给亲朋好友打电话态度恶劣，后来逼不得已只有换了手机号码，再后来不知道是客服的电话还是外包催收公司的，天天打给工作单位，本人是做销售行业卖车的，车行老板是我姐夫，还打给他说我欠钱什么的，又不是没还款意愿，只要有就还进去了，你们这样搞就能把钱还你们了。</t>
  </si>
  <si>
    <t>违约，超过承诺时间放款</t>
  </si>
  <si>
    <t>http://ts.21cn.com/tousu/show/id/1370085</t>
  </si>
  <si>
    <t>2019/10/17 21:17:46</t>
  </si>
  <si>
    <t>app写的清清楚楚，两个工作日放款，十月八号申请的，到现在九个工作日了，上市公司的公信力在哪，承诺的两个工作日到账在哪，如果还不到账，我要联名买会员的去上海银监会举报维信金科。</t>
  </si>
  <si>
    <t>还我孩子学费钱</t>
  </si>
  <si>
    <t>http://ts.21cn.com/tousu/show/id/1370080</t>
  </si>
  <si>
    <t>2019/10/17 21:16:23</t>
  </si>
  <si>
    <t>今天收到一条信息，说我信用卡逾期了，已经锁死了，让我重新找一个有钱的卡绑定一下，当时我着急也没看信息显示号码，就按照他说的操作了，他说卡里要有5000块钱，这样银行才能给我把卡解锁，他说卡里的钱不会没，就是先转到别的卡上了，两个小时以后，钱就会自动返回来的，我就按照他说的操作，先后共转了两笔钱，第一次3000，第二次2000，之后再联系，对方就不接电话了，我就知道是被骗了，去派出所报案了，但警察说让我忘了这个事儿，钱肯定找不回来，就当自己买一个教训了，如果我有钱，可能也不会那么着急上火了，我打工一个月才赚1</t>
  </si>
  <si>
    <t>遵义湘江投资公司卖房不按时交房</t>
  </si>
  <si>
    <t>http://ts.21cn.com/tousu/show/id/1370079</t>
  </si>
  <si>
    <t>2019/10/17 21:16:20</t>
  </si>
  <si>
    <t>投诉人黎先生投诉对象遵义湘江投资公司涉诉金额120000元问题类型诉求类型投诉详情本人今年5月份在舟水桥组团湘江投资公司买的房子首付款于五月初交给房产商并告知六月三十号交房后迟迟不交房而且也没用网签更没有通知办理按揭。</t>
  </si>
  <si>
    <t>好易借套路贷暴力催收</t>
  </si>
  <si>
    <t>http://ts.21cn.com/tousu/show/id/1370081</t>
  </si>
  <si>
    <t>2019/10/17 21:16:12</t>
  </si>
  <si>
    <t>投诉人 张先生        投诉对象  好易借        涉诉金额  0 元    问题类型    诉求类型投诉详情  好易借超利贷 借6000还了8000多 现在还来催收 骚扰家人</t>
  </si>
  <si>
    <t>放款一个月不到账取消不了</t>
  </si>
  <si>
    <t>http://ts.21cn.com/tousu/show/id/1370078</t>
  </si>
  <si>
    <t>2019/10/17 21:15:57</t>
  </si>
  <si>
    <t>放款一个月还未到账，打客服电话一直在反馈，都反馈半个月了没有消息，又不能取消！强烈要求作出赔偿。</t>
  </si>
  <si>
    <t>维信金融旗下安家趣花app引导充值会员之后审核失败</t>
  </si>
  <si>
    <t>http://ts.21cn.com/tousu/show/id/1370077</t>
  </si>
  <si>
    <t>2019/10/17 21:15:14</t>
  </si>
  <si>
    <t>维信金融旗下安家趣花app引导充值会员之后审核失败，存在欺诈行为，要求退回会员费用即可，虽然钱不多但是情节恶劣。</t>
  </si>
  <si>
    <t>http://ts.21cn.com/tousu/show/id/1370076</t>
  </si>
  <si>
    <t>2019/10/17 21:14:24</t>
  </si>
  <si>
    <t>“本来是想在拇指下款借点钱过度一下，拇指下款利用绝大多数用户都不会去看服务条款的心理耍小聪明，让你莫名其妙的就开了个会员，还是赊账开，等你银行卡里有钱了就自动扣款扣走了，违背了用户本身的意愿，能下款到又算了，拇指下款还不下款扣你钱，使本来就经济紧张的人雪上加霜，简直是害群之马”。</t>
  </si>
  <si>
    <t>建设银行信用卡无故冻结卡片</t>
  </si>
  <si>
    <t>http://ts.21cn.com/tousu/show/id/1370074</t>
  </si>
  <si>
    <t>2019/10/17 21:14:11</t>
  </si>
  <si>
    <t>本人有建设银行信用卡再用，10月16号莫名其妙给冻结了，因本人正处于待业状态，暂时无法再支付每月最低还款额度，最低要早还3到4千，要求建设银行信用卡中心友好协商，恢复信用卡使用，允许办理分期。</t>
  </si>
  <si>
    <t>维信金科放款给学生</t>
  </si>
  <si>
    <t>http://ts.21cn.com/tousu/show/id/1370075</t>
  </si>
  <si>
    <t>2019/10/17 21:14:02</t>
  </si>
  <si>
    <t>本人弟弟在校大学生期间，平台多次向其提供贷款，我不懂一个没有工作的人凭什么让他借钱学信网既查不到毕业信息也未缴纳社保，一定要把这样的平台曝光。</t>
  </si>
  <si>
    <t>哆咪黑卡充会员后就是一中介不下款</t>
  </si>
  <si>
    <t>http://ts.21cn.com/tousu/show/id/1370065</t>
  </si>
  <si>
    <t>2019/10/17 21:11:15</t>
  </si>
  <si>
    <t>投诉人万女士投诉对象哆咪黑卡涉诉金额199元问题类型诉求类型投诉详情骗充会员，结果就是一中介，充了会就推介几个贷款还是中介不下款，联系不上客户，要求退会员费。</t>
  </si>
  <si>
    <t>招联金融假合同</t>
  </si>
  <si>
    <t>http://ts.21cn.com/tousu/show/id/1370072</t>
  </si>
  <si>
    <t>2019/10/17 21:11:12</t>
  </si>
  <si>
    <t>贷款3000元，分3期还每期1540元，可是贷款合同上面显示的是放款4350元。</t>
  </si>
  <si>
    <t>还款app登不上，不让还款强制逾期</t>
  </si>
  <si>
    <t>http://ts.21cn.com/tousu/show/id/1370070</t>
  </si>
  <si>
    <t>2019/10/17 21:10:38</t>
  </si>
  <si>
    <t>一直登录不上app，不让还款，强制让我逾期，也联系不上客服。</t>
  </si>
  <si>
    <t>拼多多平台商家骂消费者</t>
  </si>
  <si>
    <t>http://ts.21cn.com/tousu/show/id/1370051</t>
  </si>
  <si>
    <t>2019/10/17 21:09:28</t>
  </si>
  <si>
    <t>投诉人高先生投诉对象拼多多涉诉金额8元问题类型诉求类型投诉详情本人于2019年10月11日在拼多多上购买了一件商品，后商品有质量问题，卖家不负责运费，本人投诉到拼多多，拼多多支持了我的运费诉求，可恶的是拼多多卖家居然公然侮辱，辱骂消费者。</t>
  </si>
  <si>
    <t>支付宝的钱转错了</t>
  </si>
  <si>
    <t>http://ts.21cn.com/tousu/show/id/1370068</t>
  </si>
  <si>
    <t>2019/10/17 21:08:09</t>
  </si>
  <si>
    <t>支付宝转账把钱转错了账户，添加对方好友，没有同意，希望吧钱转回来。</t>
  </si>
  <si>
    <t>上海电信欺诈客户</t>
  </si>
  <si>
    <t>http://ts.21cn.com/tousu/show/id/1370066</t>
  </si>
  <si>
    <t>2019/10/17 21:07:38</t>
  </si>
  <si>
    <t>本人在10月15日于微信鱼卡助手用本人身份证照片花费20元申请名下第一张电信卡，于17日到达，激活，激活提交本人6秒验证视频，后期激活不成功，客服强调我去营业厅激活，我上班晚上9点下班，无暇去营业厅，要求客服人工复审我所提交实名材料，客服不愿，提供解决方法去营业厅，所说也皆有录音为证，要求电信道歉，并解释相关套餐扣费。</t>
  </si>
  <si>
    <t>如期分期扣取我钱高利宝付为其支付渠道</t>
  </si>
  <si>
    <t>http://ts.21cn.com/tousu/show/id/1370064</t>
  </si>
  <si>
    <t>2019/10/17 21:07:28</t>
  </si>
  <si>
    <t>如期分期莫名其妙扣我砍头息的钱我已经查明资金去向是如期分期扣的也属于高炮平台本人而且在他们这里没办理过业务，要求退还费用。</t>
  </si>
  <si>
    <t>网贷公司外包催收人员骚扰通讯录联系人</t>
  </si>
  <si>
    <t>http://ts.21cn.com/tousu/show/id/1370063</t>
  </si>
  <si>
    <t>2019/10/17 21:07:08</t>
  </si>
  <si>
    <t>,立借,现金借款,Wecash闪银,中邮消费金融,你我贷,钱站，近期朋友顾客接二连三跟我说接到电话，有的直接让朋友还钱，有的跟朋友说我把她写成了紧急联系人，朋友跟我点名说了其中有点点贷款公司，其他的说不知道是哪个平台，在这里我想对以下网贷公司说明一下情况，首先我不是恶意拖欠不打算还款，是因为2019年5月份我婆婆查出宫颈癌，确诊之后我6月份生孩子，我是在8月份开始出现逾期状况，因为我生完孩子之后家里就开始对我婆婆进行治疗，家里的钱除了孩子的必要开销都拿去给婆婆看病，所以造成了逾期现象，我名下有一个房产，13</t>
  </si>
  <si>
    <t>对无关人员进行恶意骚扰</t>
  </si>
  <si>
    <t>http://ts.21cn.com/tousu/show/id/1370062</t>
  </si>
  <si>
    <t>2019/10/17 21:07:07</t>
  </si>
  <si>
    <t>打电话，发短信骚扰无关人员，谩骂侮辱，客服态度极差！，经常因为客服态度问题骂起来。</t>
  </si>
  <si>
    <t>钱站阴阳合同，变相高息，威胁恐吓，公然无视法律</t>
  </si>
  <si>
    <t>http://ts.21cn.com/tousu/show/id/1370061</t>
  </si>
  <si>
    <t>2019/10/17 21:07:04</t>
  </si>
  <si>
    <t>本人于2019年9月16日借款4000元，现金于17日早晨到账，之后查看合同，合同上现金变成5320元，美名其曰是服务费等等，每月归还2400多元，分3期，具体见图片视频。</t>
  </si>
  <si>
    <t>无故扣款，退款难</t>
  </si>
  <si>
    <t>http://ts.21cn.com/tousu/show/id/1370059</t>
  </si>
  <si>
    <t>2019/10/17 21:06:56</t>
  </si>
  <si>
    <t>投诉人 沈先生        投诉对象  聚福钱包        涉诉金额  299 元    问题类型    诉求类型投诉详情  恶意扣款299，拒不退款。，现要求退款299元。 已经快一个半月了，一点音讯也没有</t>
  </si>
  <si>
    <t>佰仟金融客户恶意p图，骚扰本人以及本人家人</t>
  </si>
  <si>
    <t>http://ts.21cn.com/tousu/show/id/1370023</t>
  </si>
  <si>
    <t>2019/10/17 21:06:42</t>
  </si>
  <si>
    <t>本人与2018年九月左右被佰仟金融暴力催收，后迫于无奈已经将欠款金额通过佰仟催收告知的对公账号于招商银行柜台汇款还完，之后一直没有人员骚扰，后今天又有自称为佰仟金融催收人员发送虚假暴力催收短信发送给我并且发送到我家人手机当中，其中我已经和佰仟金融客服电话联系过，客服人员称三天之类给我答复查看我的还款情况，在没有结果的情况下不经过本人同意直接发送暴力催收短信，我希望佰仟公司给我一个解释，这个钱是不是还不完了，你们的催收人员凭什么对我进行暴力催收。</t>
  </si>
  <si>
    <t>浦发银行信用卡</t>
  </si>
  <si>
    <t>http://ts.21cn.com/tousu/show/id/1370057</t>
  </si>
  <si>
    <t>2019/10/17 21:06:33</t>
  </si>
  <si>
    <t>投诉人 赵女士        投诉对象  浦发信用卡        涉诉金额  2 640 元    问题类型    诉求类型投诉详情  这个月家里有事情 所以协商晚还款几天 由于本人换手机号 以前的手机号不用了 怕联系不到我的所以通过平台协商一下</t>
  </si>
  <si>
    <t>买的蟹券，无法兑换</t>
  </si>
  <si>
    <t>http://ts.21cn.com/tousu/show/id/1370055</t>
  </si>
  <si>
    <t>2019/10/17 21:05:54</t>
  </si>
  <si>
    <t>在9月11日在河南馋嘴虎食品有限公司淘宝平台购买蟹券一张，在10月初申请提货，到现在为止已经过了两个礼拜了，一直不发货而且线上联系商家没有任何回复。</t>
  </si>
  <si>
    <t>马上金融高利贷借一天就100多利息提前结清还要100手续费合法吗？</t>
  </si>
  <si>
    <t>http://ts.21cn.com/tousu/show/id/1370054</t>
  </si>
  <si>
    <t>2019/10/17 21:05:25</t>
  </si>
  <si>
    <t>马上金融高利贷借一天就100多利息提前结清还要100手续费合法吗。</t>
  </si>
  <si>
    <t>马上金融拒绝给销户</t>
  </si>
  <si>
    <t>http://ts.21cn.com/tousu/show/id/1370052</t>
  </si>
  <si>
    <t>2019/10/17 21:04:32</t>
  </si>
  <si>
    <t>在马上金融的借款结清后希望把账户彻底注销清除我的记录和解绑银行卡，打客服电话客服说无法注销账户。</t>
  </si>
  <si>
    <t>玖富万卡催收</t>
  </si>
  <si>
    <t>http://ts.21cn.com/tousu/show/id/1370053</t>
  </si>
  <si>
    <t>2019/10/17 21:04:22</t>
  </si>
  <si>
    <t>玖富催收恶语相向，一天打6，7个电话，逾期确实是有困难，问工号说没有说姓杨，一会说我的回答让他不爽，一会要卖我老公车，这什么啊，恐吓诽谤吗。</t>
  </si>
  <si>
    <t>微信零钱被冻结一直没给我解冻</t>
  </si>
  <si>
    <t>http://ts.21cn.com/tousu/show/id/1370050</t>
  </si>
  <si>
    <t>2019/10/17 21:02:45</t>
  </si>
  <si>
    <t>我是商家，我叫李其晶，微信是公司专门用来收款帐号，微信除了作为公司收款以外，我本人还和几位朋友合伙经营各种植物卖买，也是用这个帐户用于收款记帐的，跟我几位朋友买树苗回来在快手平台边直播边销售树苗，树苗名称叫，罗汉松，在我们把树苗卖出去收的钱也在这个帐户里面，申请把里面的钱提取出来，。</t>
  </si>
  <si>
    <t>新浪分期爆通讯录高利贷</t>
  </si>
  <si>
    <t>http://ts.21cn.com/tousu/show/id/1370049</t>
  </si>
  <si>
    <t>2019/10/17 21:02:37</t>
  </si>
  <si>
    <t>本人在新浪分期颜值卡专属特权申请了10000额度，分6期每期还款1966.67.变相高利贷，本人已还一期，最近换了工作资金周转困难第二期逾期了！逾期第二天工作人员未经本人允许通过非法手段爆我通讯录，还不承认！你联系我紧急联系人我无话可说，败我名誉不算什么，挨个打电话骚扰无关人员真卑鄙，通过恶劣，卑鄙的手段达到自己的利益！每天电话7.8.个我都和客服说的很明白月底还，客服非说我没钱还不起，恶意拖欠！同样都是打工的不要卖了良心赚钱，谁都有困难的时候，对本人已经造成了严重影响，要求改善服务，调整利息，产品下架处理</t>
  </si>
  <si>
    <t>注册成功后就强制收费</t>
  </si>
  <si>
    <t>http://ts.21cn.com/tousu/show/id/1370045</t>
  </si>
  <si>
    <t>2019/10/17 21:01:26</t>
  </si>
  <si>
    <t>帮闺蜜投诉及货，注册进去什么都没做，只绑定张银行卡就直接被收取200多块的费用。</t>
  </si>
  <si>
    <t>http://ts.21cn.com/tousu/show/id/1370040</t>
  </si>
  <si>
    <t>2019/10/17 21:01:13</t>
  </si>
  <si>
    <t>投诉人王先生投诉对象钱站涉诉金额2000元问题类型诉求类型投诉详情借款就是2000但是放款后合同上直接变成2660还款金额加起来3600多动不动发垃圾短信希望部门整治一下打电话就是那边客服还很强势。</t>
  </si>
  <si>
    <t>南粤银行即分期恶意导致我征信逾期</t>
  </si>
  <si>
    <t>http://ts.21cn.com/tousu/show/id/1370044</t>
  </si>
  <si>
    <t>2019/10/17 21:00:45</t>
  </si>
  <si>
    <t>因为最近要办理贷款，银行一直秒拒，自己去中央人民银行打了一份征信，说我逾期3个月以上，但是我的贷款已结清，每个月也是按时还款，我不要踢皮球一样两个平台都给我弄来弄去，我希望银行给我出示一份证明，去消掉我的逾期，不是我的原因。</t>
  </si>
  <si>
    <t>及贷平台套路学堂会员费</t>
  </si>
  <si>
    <t>http://ts.21cn.com/tousu/show/id/1370043</t>
  </si>
  <si>
    <t>2019/10/17 20:59:46</t>
  </si>
  <si>
    <t>朋友在2019年9月28日在及贷APP中的申请了一笔10800元的借款，在办理借款申请的后，发现其在下方标注了一款为学堂会员的内容，并且并非他本人意愿可以决定是否购买此项服务内容，在借款成功后强行增加1566元，其强行增加的费用行为并非本人的真实意愿，要求借款方退还以钱学堂会员费为由而增加的1566元。</t>
  </si>
  <si>
    <t>http://ts.21cn.com/tousu/show/id/1370042</t>
  </si>
  <si>
    <t>2019/10/17 20:58:40</t>
  </si>
  <si>
    <t>我说我不想学了，想要退学，为什么就不能给我退。</t>
  </si>
  <si>
    <t>招联金融风控漏洞，陌生借款人填写我的手机号码当做紧急联系人，被骚扰</t>
  </si>
  <si>
    <t>http://ts.21cn.com/tousu/show/id/1370041</t>
  </si>
  <si>
    <t>2019/10/17 20:57:14</t>
  </si>
  <si>
    <t>招联金融风控漏洞，陌生借款人填写我的手机号码当做紧急联系人，被骚扰，一天几十个电话，关键不关我一毛钱的事。</t>
  </si>
  <si>
    <t>维信金科向学生贷款，性情恶劣</t>
  </si>
  <si>
    <t>http://ts.21cn.com/tousu/show/id/1370037</t>
  </si>
  <si>
    <t>2019/10/17 20:55:11</t>
  </si>
  <si>
    <t>本人弟弟在校大学生期间，平台多次向其提供贷款，我不懂一个没有工作的人凭什么让他借钱学信网既查不到毕业信息也未缴纳社保，一定要把这样的平台曝光，这样子去害学生真的是可耻，学生有还款能力吗。</t>
  </si>
  <si>
    <t>短信骚扰问题</t>
  </si>
  <si>
    <t>http://ts.21cn.com/tousu/show/id/1370038</t>
  </si>
  <si>
    <t>我不是欠款人，但是天天发短信打电话说我是欠款人，这属于软暴力骚扰，要求停止。</t>
  </si>
  <si>
    <t>蜂鸟众包平台恶意扣骑手血汗钱</t>
  </si>
  <si>
    <t>http://ts.21cn.com/tousu/show/id/1370034</t>
  </si>
  <si>
    <t>2019/10/17 20:54:03</t>
  </si>
  <si>
    <t>10月16日，我在蜂鸟众包平台上交了99元保证金，并且在上面接单送外卖，其中有一个订单是从深圳市龙华新区福大师烧鹅店送到南山区大磡二村162号的单，当时系统显示派送路程为6.7公里，我觉得是我的派送能力范围内，便接了单，在派送过程中，系统6.7公里的路程是需要通过羊台山山路的，当我已走大约3公里的路程时，山路口便有保安设岗挡截，告知此路不通，在保安大哥的指引下，我需要走另一条路，导航结果吓一跳，竟然有18公里之远，远远超出了我的派送能力范围，我随即打电话给蜂鸟众包客服求助，她让我与客户沟通，想办法让客户自己</t>
  </si>
  <si>
    <t>爱又米里面的抱米花多米贷收取高额变相高利评估费</t>
  </si>
  <si>
    <t>http://ts.21cn.com/tousu/show/id/1370033</t>
  </si>
  <si>
    <t>2019/10/17 20:54:01</t>
  </si>
  <si>
    <t>爱又米里面的抱米花多米贷收取高额变相高利评估费，借款3000分三期每期还1060，每月利息60.还要收取450变相套路风险评估费！已还了前两期，最后一期要求扣除服务费销账！。</t>
  </si>
  <si>
    <t>利息超级高</t>
  </si>
  <si>
    <t>http://ts.21cn.com/tousu/show/id/1370030</t>
  </si>
  <si>
    <t>2019/10/17 20:53:41</t>
  </si>
  <si>
    <t>我在你我贷平台贷了15000他们让我还20300我说太高了我不用了，他们说下款了撤销不了，我说你＋一千左右利息我全款还他们不行，一直不解决，这次刚刚过还款日电话都打爆了！。</t>
  </si>
  <si>
    <t>不给开结清证明，来回推脱。</t>
  </si>
  <si>
    <t>http://ts.21cn.com/tousu/show/id/1370032</t>
  </si>
  <si>
    <t>2019/10/17 20:53:39</t>
  </si>
  <si>
    <t>找客服开结清证明到今天还没有给解决，每次客服都是让等待。</t>
  </si>
  <si>
    <t>网贷高利息及暴力催收</t>
  </si>
  <si>
    <t>http://ts.21cn.com/tousu/show/id/1370029</t>
  </si>
  <si>
    <t>2019/10/17 20:53:32</t>
  </si>
  <si>
    <t>恒鑫财富电子借款15000，下款10000，已还本金10000以及赤鑫电子借条5300元，下款2800元，已还本金2800元，一开始协商好归还本金，结果本金归还之后变本加厉，不消条且继续要求高额利息，吉吉钱包，一只都是4500额度下款3000，砍头息且只有7天。</t>
  </si>
  <si>
    <t>财付通为违法高利贷快贷违规提供支付渠道</t>
  </si>
  <si>
    <t>http://ts.21cn.com/tousu/show/id/1370027</t>
  </si>
  <si>
    <t>2019/10/17 20:53:18</t>
  </si>
  <si>
    <t>半年前曾有过激行为，当地派出所和居委会可以证明，因负债较多，和各平台陆续协商，希望可以在还够本金尽力保证24%的利息最高不超过36%的利息来结清，在整理借款平台清单过程中，发现快贷平台利息远高于36%，家人要求退还！而在核对银行账单和微信账单中发现，财付通为违法高利贷快贷违规提供支付渠道，公然凌驾于国家法律之上，不把银监会等相关国家主管机构放在眼里，要求一并追责！关于快贷借款具体情况如下：第一笔：2017年5月11日本金3000，已还款3660.63，按最高红线36%计算，只需还3181.77，，要求退还4</t>
  </si>
  <si>
    <t>http://ts.21cn.com/tousu/show/id/1370026</t>
  </si>
  <si>
    <t>2019/10/17 20:53:11</t>
  </si>
  <si>
    <t>暴力催收，原与催收协商好还款日期及方式，并已归还部分欠款，对方答应不再催收，自行处理还款日期，隔天后继续骚扰，发送短信拨打电话给通讯录的亲人朋友，表明还款意愿仍不肯协商。</t>
  </si>
  <si>
    <t>款已还清，捷信不给我寄结清证明，不给注销个人信息</t>
  </si>
  <si>
    <t>http://ts.21cn.com/tousu/show/id/1370031</t>
  </si>
  <si>
    <t>2019/10/17 20:52:15</t>
  </si>
  <si>
    <t>投诉人董女士投诉对象捷信金融涉诉金额0元问题类型诉求类型投诉详情捷信高利贷，通过骚扰电话一天20到30个电话，暴力催收，无视国家法律，发本人照片进行恐吓，冒充律师专员等手段逼本人还款，人生受到了威胁，本人去了派出所报案，捷信所谓的当地工作人员也一同到派出所，说可以做减免，减免下来我还清所有款，捷信工作人员说可以给我寄结清证明，还当民警面前说可以，可是到现在还没有收到捷信金融寄过来的结清证明，今天打电话给客服让捷信把我的个人信息注销，一个客服说要保留客户资料到5年，另一个客服说无法注销，还说是国家规定要留客户</t>
  </si>
  <si>
    <t>年化利息35.998%.</t>
  </si>
  <si>
    <t>http://ts.21cn.com/tousu/show/id/1370024</t>
  </si>
  <si>
    <t>2019/10/17 20:51:52</t>
  </si>
  <si>
    <t>投诉人钱雅婷投诉对象招联金融涉诉金额10000元问题类型诉求类型投诉详情本人1个月前在及贷办理了一笔10000的网贷，已经还了3期，现在想提前还款，但是没有办法一次性提前还，只能一期一期还，除了本金还要收取其他费用且提前还款的综合利率超出国家规定的36%，这非常不合理。</t>
  </si>
  <si>
    <t>电话骚扰，暴力催收，恐吓，</t>
  </si>
  <si>
    <t>http://ts.21cn.com/tousu/show/id/1370022</t>
  </si>
  <si>
    <t>2019/10/17 20:51:49</t>
  </si>
  <si>
    <t>这个人天天打电话骚扰我，我说过最近没有钱，有钱我会近快还，今天加我微信说要爆我通讯录，说要把我搞烂，这个平台也太嚣张了。</t>
  </si>
  <si>
    <t>刷了poss机九千，俩天没到账，给客服打电话不接</t>
  </si>
  <si>
    <t>http://ts.21cn.com/tousu/show/id/1370035</t>
  </si>
  <si>
    <t>2019/10/17 20:50:44</t>
  </si>
  <si>
    <t>投诉人王先生投诉对象中汇支付涉诉金额9000元问题类型诉求类型投诉详情一直都没到账，而且支付九千的银行客服说钱转到什么足浴。</t>
  </si>
  <si>
    <t>中信暴力催收无良银行</t>
  </si>
  <si>
    <t>http://ts.21cn.com/tousu/show/id/1370020</t>
  </si>
  <si>
    <t>2019/10/17 20:50:34</t>
  </si>
  <si>
    <t>投诉详情保存中信银行信用卡本人额度3万整，去年中信给我开的备用金贷款，本人贷款44000，利息一年四千，最后几个月因经济问题无能力偿还，中信没经我同意，强行把备用金划入信用卡了一期，中信不给协商，天天打电话要起诉我，催收人员上门骚扰我家人，跑我家人工作单位，各种恐吓，本人实在凑不够钱，最后催收人员骗我先还34980，把信用卡减免掉，本人凑够还了，现在又要各种手续刁难，还要我一起还完才能减免，我实在走投无路，中信各种恐吓说我信用卡诈骗罪，人家其他银行都同意协商分期还款，中信霸王条款，非要一次性偿还，跑我父母姐</t>
  </si>
  <si>
    <t>商品质量问题要买家承担责任</t>
  </si>
  <si>
    <t>http://ts.21cn.com/tousu/show/id/1370019</t>
  </si>
  <si>
    <t>2019/10/17 20:49:13</t>
  </si>
  <si>
    <t>去修鞋，修完鞋子寄过来还没有4天就开胶，我要退款，商家不愿意，他的质量有问题叫我去承担责任，淘宝客服也是眼瞎，这么明显的做工问题，还驳回我的售后申请。</t>
  </si>
  <si>
    <t>卡牛瑞贷忘记还款，没有还款通知，逾期一天被曝通讯录！</t>
  </si>
  <si>
    <t>http://ts.21cn.com/tousu/show/id/1370018</t>
  </si>
  <si>
    <t>2019/10/17 20:48:56</t>
  </si>
  <si>
    <t>8月16号在卡牛瑞贷借款4500，分6期还款，每期还款金额830.60。</t>
  </si>
  <si>
    <t>及贷贷款利息超过国家标准</t>
  </si>
  <si>
    <t>http://ts.21cn.com/tousu/show/id/1370016</t>
  </si>
  <si>
    <t>2019/10/17 20:47:55</t>
  </si>
  <si>
    <t>利息太高，高利贷，，踩法律红线有关部门尽早处理一下。</t>
  </si>
  <si>
    <t>招联金融恐吓</t>
  </si>
  <si>
    <t>http://ts.21cn.com/tousu/show/id/1370015</t>
  </si>
  <si>
    <t>2019/10/17 20:47:42</t>
  </si>
  <si>
    <t>发恐吓信息，电话骚扰不停歇，没有商量余地，态度极其强硬，导致不敢接电话。</t>
  </si>
  <si>
    <t>九霄仙途手游未实名认证便可以玩</t>
  </si>
  <si>
    <t>http://ts.21cn.com/tousu/show/id/1369517</t>
  </si>
  <si>
    <t>2019/10/17 20:46:51</t>
  </si>
  <si>
    <t>,9665平台收款涉诉金额5924元问题类型诉求类型投诉详情该游戏平台旗下手游，，违反了网络安全法，不经过实名认证也可以进行游戏，致使孩子拿放在家中的手机充值了5924元的游戏币，希望有关部门能依法调查！尽快给个说法。</t>
  </si>
  <si>
    <t>在消费者不清楚了解状况下，未说明消费利息未说明这是贷款。未开发票利息明显更高。</t>
  </si>
  <si>
    <t>http://ts.21cn.com/tousu/show/id/1370013</t>
  </si>
  <si>
    <t>2019/10/17 20:45:04</t>
  </si>
  <si>
    <t>第二消费者本人不知这是贷款，第三未说明贷款利息。</t>
  </si>
  <si>
    <t>马上金融而已扣款上征信，要求撤销</t>
  </si>
  <si>
    <t>http://ts.21cn.com/tousu/show/id/1370012</t>
  </si>
  <si>
    <t>2019/10/17 20:44:52</t>
  </si>
  <si>
    <t>之前就投诉过一次，没收到过电话，过了好久，说是已经解决了，多次恶意就是自身问题，银行卡扣款失败算是怎么回事，还说要上征信，也没有个客服电话，要求撤回征信上报，给出合理解释！。</t>
  </si>
  <si>
    <t>爆通讯录骂人群发短信破坏名誉</t>
  </si>
  <si>
    <t>http://ts.21cn.com/tousu/show/id/1370011</t>
  </si>
  <si>
    <t>2019/10/17 20:44:26</t>
  </si>
  <si>
    <t>投诉人王鑫投诉对象马上消费金融涉诉金额7000元问题类型诉求类型投诉详情强烈要求停止一切违法行为停止侮辱长辈谩骂亲戚朋友。</t>
  </si>
  <si>
    <t>http://ts.21cn.com/tousu/show/id/1370009</t>
  </si>
  <si>
    <t>2019/10/17 20:44:15</t>
  </si>
  <si>
    <t>投诉人 刘小明        投诉对象  美团暴力催收        涉诉金额  6 000 元    问题类型    诉求类型投诉详情  美团授权第三方暴力催收，亲朋好友无一幸免</t>
  </si>
  <si>
    <t>光大银行催收人员短信冒充公检法</t>
  </si>
  <si>
    <t>http://ts.21cn.com/tousu/show/id/1370010</t>
  </si>
  <si>
    <t>2019/10/17 20:44:12</t>
  </si>
  <si>
    <t>投诉人 毛先生        投诉对象  光大银行        涉诉金额  9 000 元    问题类型    诉求类型投诉详情  光大银行信用卡 催收人员冒充公检法 发问题短信给我 诽谤我拒不还款 态度恶劣 盗刷信用卡 我想问问。这是谁给你们的权利。恐吓我要带当地派出所上门催收 威胁我处以2-20万罚金 要坐牢 严重威胁我的安全 ，我要求光大银行给我个解释 。 欠债还钱天经地义 我是一名网贷的受害者 前期的钱全被网贷吸走了 这是银行的钱 我肯定会还上 只是现在实</t>
  </si>
  <si>
    <t>同银行协商还款，银行不要打太极</t>
  </si>
  <si>
    <t>http://ts.21cn.com/tousu/show/id/1370008</t>
  </si>
  <si>
    <t>2019/10/17 20:43:51</t>
  </si>
  <si>
    <t>协商处理，拒绝暴力催收，本来以前是分了3年的期，现在违约要全还，找银行协商打太极不给回话。</t>
  </si>
  <si>
    <t>美团猫眼忽悠人</t>
  </si>
  <si>
    <t>http://ts.21cn.com/tousu/show/id/1370007</t>
  </si>
  <si>
    <t>2019/10/17 20:43:37</t>
  </si>
  <si>
    <t>猫眼电影国庆节期间邀请人无法提现至今已经半个月了，简直就是个流氓软件，能用什么方法治治他们，让这样的老鼠屎从此绝迹。</t>
  </si>
  <si>
    <t>暴力上门催收</t>
  </si>
  <si>
    <t>http://ts.21cn.com/tousu/show/id/1370005</t>
  </si>
  <si>
    <t>2019/10/17 20:43:17</t>
  </si>
  <si>
    <t>投诉人王鑫投诉对象及货涉诉金额2700元问题类型诉求类型投诉详情电话里威胁说要上门，只要钱不要命，你们怎么这么不要脸，无视国家法规吗。</t>
  </si>
  <si>
    <t>OfO小黄车押金退款排队半年退不了</t>
  </si>
  <si>
    <t>http://ts.21cn.com/tousu/show/id/1370004</t>
  </si>
  <si>
    <t>2019/10/17 20:42:23</t>
  </si>
  <si>
    <t>OFO小黄车退押金退不了，排队排了半年多前面还有一千多万名，什么时候能给退回来，押金99元加3元余额，。</t>
  </si>
  <si>
    <t>京东白条提前还款仍需支付手续费</t>
  </si>
  <si>
    <t>http://ts.21cn.com/tousu/show/id/1370001</t>
  </si>
  <si>
    <t>2019/10/17 20:42:01</t>
  </si>
  <si>
    <t>京东白条霸王条款，分期提前还款仍需支付剩余手续费，要求提前结清，减免剩余七百块钱手续费。</t>
  </si>
  <si>
    <t>京东逾期催收</t>
  </si>
  <si>
    <t>http://ts.21cn.com/tousu/show/id/1370000</t>
  </si>
  <si>
    <t>2019/10/17 20:41:33</t>
  </si>
  <si>
    <t>本人是水电工，一个月前，干活不小心坠落受伤，住院，家里的钱都交住院费了，京东逾期51天，接到电话，说必须一次性还清，协商分期还款也不行，说不一次还款就走法律程序。</t>
  </si>
  <si>
    <t>利息太高，电话暴力恐吓</t>
  </si>
  <si>
    <t>http://ts.21cn.com/tousu/show/id/1369999</t>
  </si>
  <si>
    <t>2019/10/17 20:40:47</t>
  </si>
  <si>
    <t>贷了1500，加上利息一共2000左右的还款，还外加了200块的服务费。</t>
  </si>
  <si>
    <t>招商欺诈消费者</t>
  </si>
  <si>
    <t>http://ts.21cn.com/tousu/show/id/1369998</t>
  </si>
  <si>
    <t>2019/10/17 20:39:52</t>
  </si>
  <si>
    <t>招商app上的掌上商城购买了产品，付款成功后，发现信息填写错误，而且忘记使用优惠劵，马上操作取消订单退款，商家取消发货，拒绝退款，要我退货才退款，下单不到一分钟，货都没发出来，现在还让我退货才退款，招商平台客服维护商家，拖延时间说是5天处理问题。</t>
  </si>
  <si>
    <t>招联金融我都不知道欠款人在哪里，已告知对方，每天还是接到几十个骚扰电话</t>
  </si>
  <si>
    <t>http://ts.21cn.com/tousu/show/id/1369997</t>
  </si>
  <si>
    <t>2019/10/17 20:39:30</t>
  </si>
  <si>
    <t>我都找不到这个邱雨和，已经多次和电话客服说了，可现在每天都仍然能接到几十个不同号码不同地域打过来的电话，我想说这关我什么事，为什么一直打我电话，说对方写的我是紧急联系人，为什么他借款的时候你不来电话确认我是他什么人，现在他不还钱就来轰炸我，给我生活带来很大的骚扰和影响，请马上停止骚扰。</t>
  </si>
  <si>
    <t>爱用商城暴力催收，还骂人，借了一千到手750，250的会员费，砍头息。</t>
  </si>
  <si>
    <t>http://ts.21cn.com/tousu/show/id/1369996</t>
  </si>
  <si>
    <t>2019/10/17 20:39:16</t>
  </si>
  <si>
    <t>维信卡卡贷高利率</t>
  </si>
  <si>
    <t>http://ts.21cn.com/tousu/show/id/1369993</t>
  </si>
  <si>
    <t>2019/10/17 20:37:35</t>
  </si>
  <si>
    <t>维信卡卡贷利率太高，还有提现的保险费也是很多，没到还款时间就各种打电话催收。</t>
  </si>
  <si>
    <t>未逾期银行卡直接扣款</t>
  </si>
  <si>
    <t>http://ts.21cn.com/tousu/show/id/1369995</t>
  </si>
  <si>
    <t>2019/10/17 20:37:27</t>
  </si>
  <si>
    <t>投诉人金先生投诉对象现金巴士涉诉金额1000元问题类型诉求类型投诉详情未逾期私自银行卡扣款，高利贷，至少收了我3000以上砍头息。</t>
  </si>
  <si>
    <t>及货阴阳合同</t>
  </si>
  <si>
    <t>http://ts.21cn.com/tousu/show/id/1369992</t>
  </si>
  <si>
    <t>2019/10/17 20:37:18</t>
  </si>
  <si>
    <t>投诉人张伟投诉对象及货涉诉金额2400元问题类型诉求类型投诉详情及货业务人员私下改动合同，变相的把服务费转化成利息赚取高额利息钱。</t>
  </si>
  <si>
    <t>在毕节飞雄机场被误导办卡</t>
  </si>
  <si>
    <t>http://ts.21cn.com/tousu/show/id/1369990</t>
  </si>
  <si>
    <t>2019/10/17 20:36:49</t>
  </si>
  <si>
    <t>在机场办理卡时，工作人员说办卡可以享受机票优惠和全额抵扣机票费用工作人说保证可以全额抵扣，回来发现只可以抵扣机建费，等欺骗消费者。</t>
  </si>
  <si>
    <t>信用卡逾期银行拒绝协商还款</t>
  </si>
  <si>
    <t>http://ts.21cn.com/tousu/show/id/1369988</t>
  </si>
  <si>
    <t>2019/10/17 20:36:10</t>
  </si>
  <si>
    <t>本人在2019年8月4日工作失业2019年9月22日失业中。</t>
  </si>
  <si>
    <t>闪电借款要求宽限几天</t>
  </si>
  <si>
    <t>http://ts.21cn.com/tousu/show/id/1369989</t>
  </si>
  <si>
    <t>本人目前实在无力偿还，要求宽限几天，25号左右，现在闪电借款电话狂轰乱炸，。</t>
  </si>
  <si>
    <t>及贷平台放款时候直接扣除所谓的保费，欺诈行为</t>
  </si>
  <si>
    <t>http://ts.21cn.com/tousu/show/id/1369986</t>
  </si>
  <si>
    <t>2019/10/17 20:36:06</t>
  </si>
  <si>
    <t>超过法律规定的利息，逾期一天后，催收打电话过来态度极度恶劣，言语辱骂，骚扰亲戚，说了12点前还进去，但是却打电话到亲属那边威胁，在可以联系到本人的情况下，恐吓，行为态度恶劣。</t>
  </si>
  <si>
    <t>http://ts.21cn.com/tousu/show/id/1369987</t>
  </si>
  <si>
    <t>2019/10/17 20:35:48</t>
  </si>
  <si>
    <t>投诉人 马小锋        投诉对象  拍拍贷        涉诉金额  3 000 元    问题类型    诉求类型投诉详情  暴力催收，白天晚上不停电话骚扰亲友。态度恶劣</t>
  </si>
  <si>
    <t>畅快车贷高利贷，拒绝协商爆通讯录</t>
  </si>
  <si>
    <t>http://ts.21cn.com/tousu/show/id/1369985</t>
  </si>
  <si>
    <t>2019/10/17 20:35:14</t>
  </si>
  <si>
    <t>因为工资晚发了几天，导致还款不及时，打通讯录过来威胁要起诉我，拒绝协商，我都解释了工资发了立马还，24期我都还了20期了，不可能剩余4期不还，希望本期可以协商下。</t>
  </si>
  <si>
    <t>微信支付冻结我私人财产</t>
  </si>
  <si>
    <t>http://ts.21cn.com/tousu/show/id/1369984</t>
  </si>
  <si>
    <t>2019/10/17 20:34:58</t>
  </si>
  <si>
    <t>投诉人柯水荣投诉对象微信支付涉诉金额36000元问题类型诉求类型投诉详情请求平台解决微信内资金问题！只有国家才能冻结自己的资金！。</t>
  </si>
  <si>
    <t>投诉网贷百度有钱花误导性虚假宣传</t>
  </si>
  <si>
    <t>http://ts.21cn.com/tousu/show/id/1369982</t>
  </si>
  <si>
    <t>2019/10/17 20:33:27</t>
  </si>
  <si>
    <t>9月18日前，百度有钱花做的广告推广都是月费率低至1.00%，无需手续费，还我一个公道要求百度有钱花按月费率1.00%收取利息，取消不合理费用并赔偿之前已经缴纳的不合理费用，减免因费用分歧产生的逾期费用等，在还款了几个月后发现实际还款时月费率却不止1.00%，更是有一笔分期手续费，我跟百度有钱花95055多次沟通不认可这样的费用，他们迟迟不给答复，反而在9月19日，20日两天的时间就把所有广告内容改了，烦请相关部门予以调查，还我一个公道，要求百度有钱花按月费率1.00%收取利息，取消不合理费用并赔偿之前已经</t>
  </si>
  <si>
    <t>龙分期暴力催收</t>
  </si>
  <si>
    <t>http://ts.21cn.com/tousu/show/id/1369981</t>
  </si>
  <si>
    <t>2019/10/17 20:33:23</t>
  </si>
  <si>
    <t>本人于2018年在龙分期借款2000元，到账只有1560，这个是事先我不知道的，也就是所谓的砍头息，2019年9月，我一直在联系客服和他们公司，协商还本金销账，起初客服和工作人员不断的欺骗我，说去协商，14号加我qq，也一直没有协商，导致我9月逾期，10月17日催收人员不停的骚扰本人和我联系人，对我语言上的侮辱，对我的生活造成了很大的困扰，我承认还本金跟国家规定的24%的利息，本金我也只收到1560加24%的利息210，现在我账单本金只剩下220没有还，但是他们账单上还有700多，这是很明显的高利贷，希望小</t>
  </si>
  <si>
    <t>尚德机构霸王条款，退费困难</t>
  </si>
  <si>
    <t>http://ts.21cn.com/tousu/show/id/1369979</t>
  </si>
  <si>
    <t>2019/10/17 20:32:56</t>
  </si>
  <si>
    <t>投诉人 刘先生        投诉对象  尚德机构        涉诉金额  13 440 元    问题类型    诉求类型投诉详情  开始是说可以退费，考试时间快。现在找他们就是不了退，报明我又不清楚这些。诱导消费，培训贷，虚假宣传，霸王条款</t>
  </si>
  <si>
    <t>投诉了还是没有用仍然还在威胁、骚扰无关人员及泄露个人信息</t>
  </si>
  <si>
    <t>http://ts.21cn.com/tousu/show/id/1369978</t>
  </si>
  <si>
    <t>2019/10/17 20:32:53</t>
  </si>
  <si>
    <t>上午投诉过了，还是没有改善反而更加猖狂，言语威胁及泄露个人信息侵犯了隐私权，骚扰无关人员，仍然持续暴力催收中。</t>
  </si>
  <si>
    <t>招行信用卡高利违约金</t>
  </si>
  <si>
    <t>http://ts.21cn.com/tousu/show/id/1369977</t>
  </si>
  <si>
    <t>2019/10/17 20:32:39</t>
  </si>
  <si>
    <t>招商银行信用卡逾期骚扰家人，收取高额违约金，不给协商退款。</t>
  </si>
  <si>
    <t>高额利息超过规定</t>
  </si>
  <si>
    <t>http://ts.21cn.com/tousu/show/id/1369976</t>
  </si>
  <si>
    <t>2019/10/17 20:31:40</t>
  </si>
  <si>
    <t>朋友在捷信金融借款20000元.分12期还款.每期还款金额3千多元.目前已还8期.还款金额总数已超出了本金.严重属于高利贷行为。</t>
  </si>
  <si>
    <t>http://ts.21cn.com/tousu/show/id/1369975</t>
  </si>
  <si>
    <t>2019/10/17 20:31:37</t>
  </si>
  <si>
    <t>一点商量余地都没有他们现在一直在打我亲戚朋友家人的电话号码。</t>
  </si>
  <si>
    <t>闪银暴力催款</t>
  </si>
  <si>
    <t>http://ts.21cn.com/tousu/show/id/1369974</t>
  </si>
  <si>
    <t>2019/10/17 20:31:26</t>
  </si>
  <si>
    <t>我在闪银借款1100，砍头利息199，说是担保费，因这几天资金紧张，没有按时还款，就一直打电话骚扰家人，朋友，还威胁家人，朋友，要求贵平台严肃处理该平台，做出赔礼道歉，停止催收。</t>
  </si>
  <si>
    <t>影响到生活与工作，暴力催收</t>
  </si>
  <si>
    <t>http://ts.21cn.com/tousu/show/id/1369936</t>
  </si>
  <si>
    <t>2019/10/17 20:30:52</t>
  </si>
  <si>
    <t>投诉人蒲生章投诉对象平安普惠涉诉金额12000元问题类型诉求类型投诉详情催收货款人员，通过给我家人及朋友打电话，已经严重影响到我的生活与工作及家庭！。</t>
  </si>
  <si>
    <t>微信支付被冻结，里边资金不能取现</t>
  </si>
  <si>
    <t>http://ts.21cn.com/tousu/show/id/1369973</t>
  </si>
  <si>
    <t>2019/10/17 20:29:59</t>
  </si>
  <si>
    <t>微信支付被冻结，我想把里边资金提取出来，客服一直拖着说交给后台处理，申诉了好几次，每次结果都是一样，然后再打客服，客服的回复都是一样的，还是让继续申诉，如果我里边的钱提不出来，资金是不是就归腾讯所有，客服说还是归我所有，但是我不能取现，跟归腾讯所有，这有什么区别呢，请求聚投诉帮忙处理问题，把里边资金提取出来，万分感谢！。</t>
  </si>
  <si>
    <t>马上金融暴力催收，群发短信，威胁，</t>
  </si>
  <si>
    <t>http://ts.21cn.com/tousu/show/id/1369971</t>
  </si>
  <si>
    <t>2019/10/17 20:29:15</t>
  </si>
  <si>
    <t>块钱就是一肚子火，逾期两天没有接到他们催款电话，回复过去就是人工客服，而且极有可能没有结果！不然也不会这么多莫名其妙的来电。</t>
  </si>
  <si>
    <t>拼多多现金助力活动</t>
  </si>
  <si>
    <t>http://ts.21cn.com/tousu/show/id/1369969</t>
  </si>
  <si>
    <t>2019/10/17 20:27:16</t>
  </si>
  <si>
    <t>拼多多涉嫌隐瞒活动规则，欺诈用户，活动里说的通过不正当手段作弊才会发放优惠券，而客服那又是一套说辞，拼死拼过助力了200元钱，却只给了四张优惠券，要求拼多多整改活动，写明活动规则，赔偿损失。</t>
  </si>
  <si>
    <t>年华利率超过36%</t>
  </si>
  <si>
    <t>http://ts.21cn.com/tousu/show/id/1369967</t>
  </si>
  <si>
    <t>2019/10/17 20:26:16</t>
  </si>
  <si>
    <t>借款8000，一年加起来要还接近11000，超过国家规定的年利率，这么高的年利率，都是高利贷了，就这么垃圾的产品还上征信，逾期一天就电话轰炸，到处骚扰。</t>
  </si>
  <si>
    <t>下载多点分期，提示验证银行卡，扣了299元</t>
  </si>
  <si>
    <t>http://ts.21cn.com/tousu/show/id/1369966</t>
  </si>
  <si>
    <t>2019/10/17 20:26:13</t>
  </si>
  <si>
    <t>在微信闪电借款公众号里推荐的多点分期，注册好了提示验证银行卡，发给我个验证码，没有任何提示扣钱的，填上验证码提示购买成功，银行卡扣了299元。</t>
  </si>
  <si>
    <t>招商银行信用卡直接划扣我的工资和救命钱</t>
  </si>
  <si>
    <t>http://ts.21cn.com/tousu/show/id/1369964</t>
  </si>
  <si>
    <t>2019/10/17 20:24:49</t>
  </si>
  <si>
    <t>直接把我的储蓄卡里面的钱强行划扣走，没有经过我的任何同意，导致我给我爸买药的救命钱都没有，刚发的工资直接被划扣。</t>
  </si>
  <si>
    <t>卡卡贷黑心平台要求退还扣款失败违约金</t>
  </si>
  <si>
    <t>http://ts.21cn.com/tousu/show/id/1369963</t>
  </si>
  <si>
    <t>2019/10/17 20:23:45</t>
  </si>
  <si>
    <t>16号还款日当天没有任何条短信或电话通知我还款日到了，17号就私自扣钱了。</t>
  </si>
  <si>
    <t>佰仟金融伪造律师函群发短信</t>
  </si>
  <si>
    <t>http://ts.21cn.com/tousu/show/id/1369962</t>
  </si>
  <si>
    <t>2019/10/17 20:23:09</t>
  </si>
  <si>
    <t>佰仟金融伪造律师函一直群发短信，没完没了，本金已经还完，还要一直让还，隔几天就群发短信，p照片。</t>
  </si>
  <si>
    <t>榕树贷款恒易贷强制逾期并且便宜划扣利息不给解决</t>
  </si>
  <si>
    <t>http://ts.21cn.com/tousu/show/id/1369960</t>
  </si>
  <si>
    <t>2019/10/17 20:22:37</t>
  </si>
  <si>
    <t>在原帖下面评论回复不了，所以重新开贴继续投诉到底，榕树贷款给的回复是答非所问恒易贷榕树版中本身要求的是下午五点钟之前银行卡必须有钱正常划扣，我可以提供银行流水证明我卡里余额是充足的，至于你们为什么划扣失败是你们的问题，如果你说我卡有问题，那为什么一天之内我三次联系你们主动还款都没有回复，我从来没有说过榕树贷款关于催收的问题，榕树贷款给的回复是答非所问，恒易贷榕树版中本身要求的是下午五点钟之前银行卡必须有钱正常划扣，我可以提供银行流水证明我卡里余额是充足的，至于你们为什么划扣失败是你们的问题，如果你说我卡有问</t>
  </si>
  <si>
    <t>经过处理以后迟迟不退款</t>
  </si>
  <si>
    <t>http://ts.21cn.com/tousu/show/id/1369958</t>
  </si>
  <si>
    <t>2019/10/17 20:21:59</t>
  </si>
  <si>
    <t>恶意扣款后，客服口头上说到处理解决，但一直不解决问题完全没有一点信誉度。</t>
  </si>
  <si>
    <t>不让提前还款</t>
  </si>
  <si>
    <t>http://ts.21cn.com/tousu/show/id/1369957</t>
  </si>
  <si>
    <t>2019/10/17 20:21:30</t>
  </si>
  <si>
    <t>我要求提前还款但是捷信金融说要提前预约3个月后才可以一次性还余款，当初我贷款的时候对方说贷款满3个月后就可以随时还余款，我已经还了7期贷款，现在却要预约，态度恶劣。</t>
  </si>
  <si>
    <t>360借条以侵犯个人隐私胁迫还款</t>
  </si>
  <si>
    <t>http://ts.21cn.com/tousu/show/id/1369956</t>
  </si>
  <si>
    <t>2019/10/17 20:21:04</t>
  </si>
  <si>
    <t>本人于2019年8月逾期该平台5-8天就遭到了该平台的电话轰炸，催收员态度十分恶劣，总是以侵犯他人隐私胁迫还款，逾期3天就罚息5.33%，由于本人被该平台催收拨打通讯录，造成失业，无力还款，录音为由，好实施犯罪活动，态度很差，声音很大感受到自己受到了威胁。</t>
  </si>
  <si>
    <t>套路欺诈收取费</t>
  </si>
  <si>
    <t>http://ts.21cn.com/tousu/show/id/1369954</t>
  </si>
  <si>
    <t>2019/10/17 20:20:27</t>
  </si>
  <si>
    <t>，登陆及货APP，在填写资料并不知情下，平台私自收取费用，询问客服，客服人员一直态度模糊，并明确提出不怕投诉。</t>
  </si>
  <si>
    <t>及贷收取高额息费</t>
  </si>
  <si>
    <t>http://ts.21cn.com/tousu/show/id/1369955</t>
  </si>
  <si>
    <t>2019/10/17 20:20:19</t>
  </si>
  <si>
    <t>借款金额6000元，合同金额6876元，在不知情情况下，支付了保费876元，合同利率4.8%，合同里提及管理费495元，应还款7500多元，但按照app账单需要还款8112元，将保险费算在本金里，综合利率刚好36%，平台以此为依据要求还款，今天与客服沟通，其也没有给出答复，不想造成逾期，支持系统自动扣款，但是要求降低利率，钱还没赚够。</t>
  </si>
  <si>
    <t>转转恶意扣取卖家保证金</t>
  </si>
  <si>
    <t>http://ts.21cn.com/tousu/show/id/1369953</t>
  </si>
  <si>
    <t>2019/10/17 20:20:08</t>
  </si>
  <si>
    <t>我不想卖了，取消订单，没有任何提示，直接扣除了我的保证金，我交保证金是为了转转验机，你现在把保证金给我扣了。</t>
  </si>
  <si>
    <t>http://ts.21cn.com/tousu/show/id/1369952</t>
  </si>
  <si>
    <t>2019/10/17 20:19:45</t>
  </si>
  <si>
    <t>平台公告说，乘客拒付款，我们司机不用担心，7天平台自动垫付，可我的已经2个月多了，找人工客户申请了5次，说会处理，加盟司机APP还有垫付申请功能，可我们专职的还没有。</t>
  </si>
  <si>
    <t>民生银行信用卡暴击催收</t>
  </si>
  <si>
    <t>http://ts.21cn.com/tousu/show/id/1369951</t>
  </si>
  <si>
    <t>2019/10/17 20:19:35</t>
  </si>
  <si>
    <t>恐吓，天天打我公司前台电话骚扰我公司的人，而且让我无法安心工作，恐吓我说委托外访专员和联合派出所上门调查并且把欠款通知书张贴社区或者村委公告栏。</t>
  </si>
  <si>
    <t>移动营业厅关闭业务数次无果</t>
  </si>
  <si>
    <t>http://ts.21cn.com/tousu/show/id/1369949</t>
  </si>
  <si>
    <t>2019/10/17 20:18:55</t>
  </si>
  <si>
    <t>投诉人秦女士投诉对象江苏移动,中国移动涉诉金额124元问题类型诉求类型投诉详情1我的手机有两个子号码，一个不用了，去不同的营业厅关过好多次了，都说给我关掉了，时至今日，还在扣费，每月10元，扣了将近一年2之前送的流量加速包，让我用完就关，上个月关了一次，这个月居然还有，上个礼拜又在绿地世纪城移动营业厅关闭这个流量包了，刚移动发短信，说我的手机扣了24块钱加速包的钱了，居然还没有关上，3我从未开通过短信呼，我最近发现我的手机被开通了短信呼。</t>
  </si>
  <si>
    <t>玖富万卡黑社会</t>
  </si>
  <si>
    <t>http://ts.21cn.com/tousu/show/id/1369947</t>
  </si>
  <si>
    <t>2019/10/17 20:17:43</t>
  </si>
  <si>
    <t>万卡平台擅自改写借款合同和还款账单，收取高额利息及高额服务费！玖富万卡合同违规，强制使用服务套餐，变相收取服务费，金额协商一次比一次高！中国人民保险财产贵司也是，在我不知情的情况进行保险捆绑销售，这样大型的保险公司居然和高利贷网贷沆瀣一气，欺诈消费者，你们视国家法律何在！当的起中国人民这几个字吗，平安银行，我希望贵行希望你们能调查清楚，不能助纣为虐，助长社会负能量！就拿一笔我借款本金3300合同上写着合同分期费用447.25但是实际全部是3,975.36我想多出这么多是什么费用！。</t>
  </si>
  <si>
    <t>交通银行上门</t>
  </si>
  <si>
    <t>http://ts.21cn.com/tousu/show/id/1369946</t>
  </si>
  <si>
    <t>2019/10/17 20:17:05</t>
  </si>
  <si>
    <t>投诉人 张女士        投诉对象  交通银行信用卡上门催收        涉诉金额  12 189 元    问题类型    诉求类型投诉详情  交通银行太可恨了。居然找来，我一有工资我就还了。几百块我也是还了。还威胁恐吓。我又没有故意拖欠。这样恶意骚扰和黑社会有什么区别？还打电话骚扰家人，这样侵犯隐私权。有良心吗？</t>
  </si>
  <si>
    <t>马上金融公司套取个人信息</t>
  </si>
  <si>
    <t>http://ts.21cn.com/tousu/show/id/1369945</t>
  </si>
  <si>
    <t>2019/10/17 20:16:45</t>
  </si>
  <si>
    <t>马上金融催收员来套路通讯录信息，而且通话过程中一直在套个人信息，什么问题都问，还要去核实找通讯录里面的人来核实，借款人到底有没有找朋友借钱，并且还恶意骚扰通讯录好友，以叫他们通知更改信息为由，一直骚扰。</t>
  </si>
  <si>
    <t>闪银高额利息贷款平台微信公众号是闪银奇异群发短信，已经打扰到我的正常生活</t>
  </si>
  <si>
    <t>http://ts.21cn.com/tousu/show/id/1369944</t>
  </si>
  <si>
    <t>2019/10/17 20:15:51</t>
  </si>
  <si>
    <t>投诉人 白女士        投诉对象  闪银贷        涉诉金额  3 900 元    问题类型    诉求类型投诉详情  当时贷款的时候，本人一直按时还款。中间本人出了点事情。谁知道今天就收到朋友和亲戚的短信恐吓。冒充公检法，已经发到我的上司手机里了 ，已经严重打扰我的生活和工作。然而今天我说还本金，他们不同意，说随便吧。我希望官方给我一个合理的解释。</t>
  </si>
  <si>
    <t>富友支付为海南易联普惠的屌丝分期，元宝分期，悦分期，享分期等平台提供违规扣款</t>
  </si>
  <si>
    <t>http://ts.21cn.com/tousu/show/id/1369943</t>
  </si>
  <si>
    <t>2019/10/17 20:15:26</t>
  </si>
  <si>
    <t>本人在屌丝分期，元宝分期，悦分期等平台借2700元合同期限5天，实际到账1857元，砍头息843元，多次借贷，这些平台都是海南易联普惠互联网小额贷款有限公，其中富友支付为这些违规平台提供放款，扣款，诉求退回多扣的息费，不然追究到底，维权。</t>
  </si>
  <si>
    <t>闪银旗下平台哼哼</t>
  </si>
  <si>
    <t>http://ts.21cn.com/tousu/show/id/1369942</t>
  </si>
  <si>
    <t>2019/10/17 20:15:25</t>
  </si>
  <si>
    <t>本人于2019年9月12在贵平台闪银旗下哼哼贷款2600，期限一个月，到期还款日2678，贵平台起初给出额度2600，需要到商城购买一些产品激活额度，白条支付一共是152，但是到页面一刷新显示未还清两笔，那不是一共要支付304，加上到期还款2678，总共支付2982，市场价几块钱的东西商城价格几十块，麻烦给出解释，我问的话，他牛头不对马嘴，一个劲的各种恐吓的话，请贵平台给个合理的说法，我也会为我上面所说的话负责。</t>
  </si>
  <si>
    <t>京东金融污蔑我本人并将我本人信息透露给第三方催债公司对我本人造成恶劣影响</t>
  </si>
  <si>
    <t>http://ts.21cn.com/tousu/show/id/1369940</t>
  </si>
  <si>
    <t>2019/10/17 20:15:00</t>
  </si>
  <si>
    <t>京东商城,京东金融,江苏润融企业管理咨询服务有限公司，一个月之前我已经投诉过了并联系京东解决此问题，在事情并没有搞清楚的时候随意将我的个人信息透露给第三方不正规公司，京东商城将我信息透露给第三方公司持续骚扰我本人。</t>
  </si>
  <si>
    <t>侮辱诽谤人格侮辱</t>
  </si>
  <si>
    <t>http://ts.21cn.com/tousu/show/id/1369941</t>
  </si>
  <si>
    <t>2019/10/17 20:14:54</t>
  </si>
  <si>
    <t>手上现在没有钱，多次来电，协商有钱就还，无不还意向！今收到侮辱诽谤人格短信。</t>
  </si>
  <si>
    <t>没贷款，要我还钱，严重骚扰</t>
  </si>
  <si>
    <t>http://ts.21cn.com/tousu/show/id/1369939</t>
  </si>
  <si>
    <t>2019/10/17 20:13:43</t>
  </si>
  <si>
    <t>没有借款，拿假借条，说我贷款，叫我私下结账不成功，严重骚扰，暴力催收电话。</t>
  </si>
  <si>
    <t>未经本人同意强行扣除我卡里的钱</t>
  </si>
  <si>
    <t>http://ts.21cn.com/tousu/show/id/1369938</t>
  </si>
  <si>
    <t>2019/10/17 20:13:23</t>
  </si>
  <si>
    <t>新生支付有限公司—海南圣云可网络科技有限公司于十月十七号在我个人不知情的情况扣除我卡里的298.5元，显示是消费，可这个时间点我还在上班根本没空去消费，网络上我也没接触过这个公司，可就莫名其妙多了这一笔消费，我很确定自己银行卡没丢信息也没泄露，我不知道该怎么联系他们，可在我不知情的情况下无故刷走我银行卡的资金我觉得必须严惩，而且我上网查了这个公司也不是第一次这样了。</t>
  </si>
  <si>
    <t>及贷侵犯个人隐私</t>
  </si>
  <si>
    <t>http://ts.21cn.com/tousu/show/id/1369935</t>
  </si>
  <si>
    <t>2019/10/17 20:11:04</t>
  </si>
  <si>
    <t>私自爆通讯录侵犯个人隐私，损害了个人名声，造成了严重的影响。</t>
  </si>
  <si>
    <t>要求信服金融退还</t>
  </si>
  <si>
    <t>http://ts.21cn.com/tousu/show/id/1369861</t>
  </si>
  <si>
    <t>2019/10/17 20:10:57</t>
  </si>
  <si>
    <t>一个月钱因个人需要一比钱周转，找了网上贷款平台，开始要先给手续费，好来说我信息填写有误，造成冻结有要钱解冻，还是不能拨款下来，感觉被欺诈，报警了没有结果，特此投诉。</t>
  </si>
  <si>
    <t>拍拍贷恶意骚扰本人家人朋友</t>
  </si>
  <si>
    <t>http://ts.21cn.com/tousu/show/id/1369934</t>
  </si>
  <si>
    <t>2019/10/17 20:10:25</t>
  </si>
  <si>
    <t>拍拍贷多次骚扰本人家人及朋友，催收还恐吓家人半夜都会轰炸，已经给家人朋友带来极大的生活困扰，我希望拍拍贷能够立即停止这种骚扰行为。</t>
  </si>
  <si>
    <t>宜人贷砍头息严重，利率设置过高</t>
  </si>
  <si>
    <t>http://ts.21cn.com/tousu/show/id/1369930</t>
  </si>
  <si>
    <t>2019/10/17 20:09:13</t>
  </si>
  <si>
    <t>宜人贷忽悠人借款，一开始只是要求我上交资料看看能否通过，然后就直接放款，如果以实际到账金额等额本息计算还款，年利率超过40%接近50%，严重违反《最高人民法院关于审理民间借贷案件适用法律若干问题的规定》，该平台曾在催收时读取通讯录，多次拨打本人亲朋好友的电话，严重干扰生活与工作，综上所述，投诉该平台，要求其重新拟定还款利率，禁止其暴力催收的行为。</t>
  </si>
  <si>
    <t>不给协商，爆通讯录</t>
  </si>
  <si>
    <t>http://ts.21cn.com/tousu/show/id/1369933</t>
  </si>
  <si>
    <t>2019/10/17 20:09:11</t>
  </si>
  <si>
    <t>不给协商解决提前结清，一天30个电话的打，爆通讯录。</t>
  </si>
  <si>
    <t>http://ts.21cn.com/tousu/show/id/1369932</t>
  </si>
  <si>
    <t>2019/10/17 20:09:10</t>
  </si>
  <si>
    <t>投诉人 宋静静        投诉对象  佰锐分期        涉诉金额  1 100 元    问题类型    诉求类型投诉详情  15号申请的口子。因为显示利息400所以找客服取消借款。客服也没理睬我。17号早上看了一下显示待放款。下午的时候一看吧到账了。而且他们口子才俩天期限就要400。今天刚到账今天就要还.因为按借款日算。就相当于刚借出来就要到期还款。然后催收打电话要轰炸我的通讯录。我说协商还款。还本金。客服不予理睬反而变本加厉一说他们不管。现在我手机就被他</t>
  </si>
  <si>
    <t>通联支付第三方平台蓄意扣款</t>
  </si>
  <si>
    <t>http://ts.21cn.com/tousu/show/id/1369931</t>
  </si>
  <si>
    <t>2019/10/17 20:09:04</t>
  </si>
  <si>
    <t>通联支付第三方平台在十月九日蓄意扣款199元，都没有得到解决现在希望能通过聚投诉能够追回我的被扣款，并且赔偿我的精神损失费。</t>
  </si>
  <si>
    <t>借款平台打不开导致无法还款</t>
  </si>
  <si>
    <t>http://ts.21cn.com/tousu/show/id/1369927</t>
  </si>
  <si>
    <t>2019/10/17 20:07:33</t>
  </si>
  <si>
    <t>我在分期鸭App借款了3000元，分四期还款，每期还款1233，明天就去最后一期还款日了，可是App进不去，最后一期十月十八号到期，App打不开，也联系不上工作人和客服，如果预期我不承担任何法律责任，我也不会向App以外的任何人还款，希望分期鸭App马上恢复。</t>
  </si>
  <si>
    <t>维信金科威胁恐吓</t>
  </si>
  <si>
    <t>http://ts.21cn.com/tousu/show/id/1369924</t>
  </si>
  <si>
    <t>2019/10/17 20:05:49</t>
  </si>
  <si>
    <t>我朋友借款后还不起高额利息，他们就雇佣了当地的黑社会催收打电话进行恐吓。</t>
  </si>
  <si>
    <t>喜鹊快贷阴阳合同高利息，要求重新协商还款</t>
  </si>
  <si>
    <t>http://ts.21cn.com/tousu/show/id/1369925</t>
  </si>
  <si>
    <t>2019/10/17 20:05:48</t>
  </si>
  <si>
    <t>本人于2019年6月17日从喜鹊快贷贷款18000元整，实际到账18000元分期12个月还清，可分期下来的月供是每月还2020.52元，一年还完的金额是24246.24元，在查看借款合同时发现，合同上显示借款金额为23166元，明显于借款实际到账金额不符！今天打电话给客服协商，客服态度恶劣不予协商处理，喜鹊快利息远超国家法律规定的36%，公然蔑视国家法律法规，同时也超出了我还款承受范围，现要求喜鹊快贷协商还款，按照国家法律规定合法利率内重新计算还款，如再不肯协商还款，本人将不再履行还款义务，并报警处理！。</t>
  </si>
  <si>
    <t>钱站阴阳合同，高利贷</t>
  </si>
  <si>
    <t>http://ts.21cn.com/tousu/show/id/1369922</t>
  </si>
  <si>
    <t>2019/10/17 20:04:56</t>
  </si>
  <si>
    <t>2019年7月13号借款2000元，7月16号到账，实际到账2000元，合同显示金额2640元，每期还款936块多，年华利率高达161%，阴阳合同，高利贷，其中第二期未到还款日钱站方就各种电话骚扰，短信，微信骚扰，对本人的工作生活造成严重影响，现希望钱站可以停止骚扰，协商降低利率还款！。</t>
  </si>
  <si>
    <t>拖欠工资联系不上</t>
  </si>
  <si>
    <t>http://ts.21cn.com/tousu/show/id/1369921</t>
  </si>
  <si>
    <t>2019/10/17 20:04:43</t>
  </si>
  <si>
    <t>投诉人 聂爱龙        投诉对象  上海同运瑞柏运输有限公司        涉诉金额  5 000 元    问题类型    诉求类型投诉详情  我们几个人干了活的钱没给还联系不上负责人</t>
  </si>
  <si>
    <t>投诉闪银暴力催收</t>
  </si>
  <si>
    <t>http://ts.21cn.com/tousu/show/id/1369920</t>
  </si>
  <si>
    <t>2019/10/17 20:04:08</t>
  </si>
  <si>
    <t>投诉闪银里面的哼哼贷和瞬瞬借款，借1000砍头息199，至尊贷在客户不知情情况下捆绑销售商品，最恶劣的是遇到催收客服暴力催收，各种语言威胁和侮辱，让对本人心理造成极大伤害！要求闪银合理解释！并减免不合理费用！催收客服道歉！。</t>
  </si>
  <si>
    <t>移动未经我允许开通业务</t>
  </si>
  <si>
    <t>http://ts.21cn.com/tousu/show/id/1369919</t>
  </si>
  <si>
    <t>2019/10/17 20:03:59</t>
  </si>
  <si>
    <t>温州移动在未征求用户同意的情况下为我开通了GPRS行业应用100元新产品业务，在我发现手机多了这么个业务后打10086人工询问表示该业务为集团业务由单位开通，是赠送2个G的流量，前三月免费，之后如果没退订每月收一百元费用，于是我打10086投诉，要求查明是什么人开通的，后经调查是移动公司陆姓部门经理开通的，说是在经某公司同意为员工成批量开通的，且该业务时间到了会自动取消，同为10086人工服务前后回答矛盾，我有理由怀疑移动涉嫌欺骗，再则本人未曾是该公司员工，就算是该公司员工也有知情权，你移动能在消费者一无所</t>
  </si>
  <si>
    <t>兴业银行风控暴力催收</t>
  </si>
  <si>
    <t>http://ts.21cn.com/tousu/show/id/1369917</t>
  </si>
  <si>
    <t>2019/10/17 20:03:37</t>
  </si>
  <si>
    <t>兴业银行打电话开口就骂我家人，因工作原因电话转接在我对象手机上，给打电话态度极差，是最近家里出事暂时拿不出，二话不说问我还不起为什么借.借的时候能还起，意外是临时出的，大银行的态度就这样，钱我肯定还，不用天天骚扰恐吓我和我的家人.。</t>
  </si>
  <si>
    <t>招联金融乱扣费</t>
  </si>
  <si>
    <t>http://ts.21cn.com/tousu/show/id/1369916</t>
  </si>
  <si>
    <t>2019/10/17 20:02:54</t>
  </si>
  <si>
    <t>在无通知情况下扣款了200块，客服说只要注册认证就同意扣款了。</t>
  </si>
  <si>
    <t>读秒合同欺诈，高利贷</t>
  </si>
  <si>
    <t>http://ts.21cn.com/tousu/show/id/1369913</t>
  </si>
  <si>
    <t>2019/10/17 20:02:05</t>
  </si>
  <si>
    <t>1、读秒钱包app借款45000元，砍头息2843.15元，已还47957元，提示还要再还一万七千多才能结清2、逾期一期后因经济问题申请重做分期计划结果下来变成了申请贷款！3、现平台提示有两笔欠款，其中一笔7992.52元的借款未到账，加起来一共要处理73856.15元4、现收到恐吓短信捏造虚假信息冒充公检法。</t>
  </si>
  <si>
    <t>电话骚扰以还完本金714</t>
  </si>
  <si>
    <t>http://ts.21cn.com/tousu/show/id/1369914</t>
  </si>
  <si>
    <t>2019/10/17 20:01:48</t>
  </si>
  <si>
    <t>投诉人 毛先生        投诉对象  应急款（急有钱）        涉诉金额  1 400 元    问题类型    诉求类型投诉详情  还要叫我还600的利息 这个是714那种当时不知道</t>
  </si>
  <si>
    <t>为网赌提供充值服务</t>
  </si>
  <si>
    <t>http://ts.21cn.com/tousu/show/id/1369911</t>
  </si>
  <si>
    <t>2019/10/17 20:01:29</t>
  </si>
  <si>
    <t>拼多多纵容网络赌博，涉嫌为网络赌博提供充值服务。</t>
  </si>
  <si>
    <t>http://ts.21cn.com/tousu/show/id/1369912</t>
  </si>
  <si>
    <t>2019/10/17 20:01:24</t>
  </si>
  <si>
    <t>最近资金链跟不上了导致信用卡第一期账单逾期了一个多月，天天7，今天发了半个月工资2300我就全还了还有个E分期1700没有处理说叫我5点前必须处理要么就打我通讯录，我一直都是抱着积极的还款态度有多少我就先还多少，后面还不肯协商直接威胁说要走司法途径直接就打我爱人电话，国家都规定了一天不允许超过几次，搞得上班都没法好好上。</t>
  </si>
  <si>
    <t>淘宝佳泽加油卡专营店充值出到账</t>
  </si>
  <si>
    <t>http://ts.21cn.com/tousu/show/id/1369910</t>
  </si>
  <si>
    <t>2019/10/17 20:01:17</t>
  </si>
  <si>
    <t>在天猫佳泽加油卡专营店充值了500元中国石化加油卡，但是并没有到账，问客服说是我上次充值他们给我充多了500所以这次就私自扣下我的款，并没有任何的提前通知，商家自己的操作失误导致的结果，也不会打个电话来通知一声，直接就等着充值第二次就扣，这个钱我可以不要，但是这种不顾消费者感受的行为让我很恼火，希望能给予处罚。</t>
  </si>
  <si>
    <t>人人花乱扣费</t>
  </si>
  <si>
    <t>http://ts.21cn.com/tousu/show/id/1369909</t>
  </si>
  <si>
    <t>2019/10/17 20:01:16</t>
  </si>
  <si>
    <t>没有提供真实情况，不告知本人情况，私自扣款。</t>
  </si>
  <si>
    <t>http://ts.21cn.com/tousu/show/id/1369908</t>
  </si>
  <si>
    <t>2019/10/17 20:01:12</t>
  </si>
  <si>
    <t>代理的嘉联支付立刷商户版pos机分润被恶意拖欠</t>
  </si>
  <si>
    <t>http://ts.21cn.com/tousu/show/id/1369906</t>
  </si>
  <si>
    <t>2019/10/17 20:00:28</t>
  </si>
  <si>
    <t>今年初在广东嘉联支付公司代理立刷商户版pos机，被其工作人员指定在温州代理商吕建都处签合同并全款提货，并把合同传给嘉联支付备案，原合同约定分润日结，嘉联支付规定满五百元分润可提现，并承诺监督上级代理及时发放分润款，后来我将立刷商户版pos机全部开通，可里从9月底至今陆续提现6笔分润，一直未到帐，反复向上级代理吕建都反映，一直拒接电话，拒不发放，后向嘉联支付反映多次，都没有用，希望嘉联支付能诚信经营，履行承诺，尽快督促上级代理吕建都还钱。</t>
  </si>
  <si>
    <t>立借平台高利贷，两个月要还三期</t>
  </si>
  <si>
    <t>http://ts.21cn.com/tousu/show/id/1369905</t>
  </si>
  <si>
    <t>2019/10/17 19:59:58</t>
  </si>
  <si>
    <t>本人在立借平台借了6500元分12期要还8840元，两个月就要还三期本金加利息8千多，利息要一千多不是高利贷是什么，这种还款方式我都是第一次见的利息超出国家规定，要求平台调整还款日期调整利率还款要平均数还，协商不成不会还下面期数一分钱。</t>
  </si>
  <si>
    <t>拼多多不退款</t>
  </si>
  <si>
    <t>http://ts.21cn.com/tousu/show/id/1369903</t>
  </si>
  <si>
    <t>2019/10/17 19:59:35</t>
  </si>
  <si>
    <t>一个游戏平台叫去充值先充了不到帐又叫充值最后直接给号封了进不去了。</t>
  </si>
  <si>
    <t>招商信用卡分期</t>
  </si>
  <si>
    <t>http://ts.21cn.com/tousu/show/id/1369902</t>
  </si>
  <si>
    <t>2019/10/17 19:59:03</t>
  </si>
  <si>
    <t>本人用了招商信用卡几年，之前一直都有按时还款，可是在今年的5月份左右，因本人有些情况导致逾期了，我自己也知道逾期对自己不好，因此一直想跟招商银行的客服协商还款，我自己本来想协商的是把账单重新分期，然后每个月来还，可是招商银行一直不肯，还转交给第三方来催收，一直骚扰我通讯录里的联系人，还发来了，他们还一直问家里人情况，都不知道他们想干什么，是不是还准备骚扰威胁我家人，我父母本来身体就不好，如果他们有什么事，银行能负得了责任吗，现在我在这里再次想跟招商信用卡中心协商，把账单重新分期，然后我每个月按时来还。</t>
  </si>
  <si>
    <t>51talk老师当时承诺随时退费现在不给退了孩子高低不学了也听不懂</t>
  </si>
  <si>
    <t>http://ts.21cn.com/tousu/show/id/1369901</t>
  </si>
  <si>
    <t>2019/10/17 19:58:50</t>
  </si>
  <si>
    <t>当时老师天天来电话叫买课，一天好几遍，我家孩子学什么都没耐心，我也不敢买这么多，老师说不想学了随时可以退费，我就买了，心想反正能退费，现在孩子也听不懂，很有抵触心理，为了完成每月的15节课的任务，每次都要挨一顿打才上课，孩子天天哭着不上叫退课，但是订单管理部的说过了退费期不给退，当时联系的老师也是电话里这样承诺的，我是相信老师相信这个大公司能随时退课才花一万多买的课，现在孩子不上了，还请给我退课。</t>
  </si>
  <si>
    <t>玖富万卡发送虚假仲裁</t>
  </si>
  <si>
    <t>http://ts.21cn.com/tousu/show/id/1369899</t>
  </si>
  <si>
    <t>2019/10/17 19:58:30</t>
  </si>
  <si>
    <t>除此之外，还涉及:阴阳合同，暴力催收，擅自捆绑搭售保险，虚构地址，高利贷，坎头息等等。</t>
  </si>
  <si>
    <t>讯联智付－鲸伟科技旗下洋钱包app未经同意乱扣钱</t>
  </si>
  <si>
    <t>http://ts.21cn.com/tousu/show/id/1369898</t>
  </si>
  <si>
    <t>2019/10/17 19:58:29</t>
  </si>
  <si>
    <t>本人于10月9日下载了讯联智付－鲸伟科技旗下的洋钱包app，本来是想借点钱，没想到这是一个第三方中介软件，而且还要299元推荐服务费，于是就把软件卸载了，当时绑定的银行卡里没有钱，10月15日我往银行卡里转了些钱，10月16日凌晨五点多卡里被无故扣除两笔钱，一笔是100元，一笔150元，一共被扣了250元，希望能把钱退还给我，并且删除我在app上填写的个人资料，解绑银行卡。</t>
  </si>
  <si>
    <t>http://ts.21cn.com/tousu/show/id/1369900</t>
  </si>
  <si>
    <t>2019/10/17 19:58:26</t>
  </si>
  <si>
    <t>胖胖有米高利贷，借2500到帐1300，五天，还款日不停打骚扰电话，恐吓，谩骂，侮辱，请帮助协商销帐。</t>
  </si>
  <si>
    <t>http://ts.21cn.com/tousu/show/id/1369897</t>
  </si>
  <si>
    <t>2019/10/17 19:57:42</t>
  </si>
  <si>
    <t>爱学贷平台委托第三方催收公司采用恶意骚扰群发侮辱短信进行催收，同时还冒充公检法机关人员恐吓我父母，催收人员致电公司称要不还款要不就开除我，父母因此大病。</t>
  </si>
  <si>
    <t>有用分期恐吓暴力催收</t>
  </si>
  <si>
    <t>http://ts.21cn.com/tousu/show/id/1369896</t>
  </si>
  <si>
    <t>2019/10/17 19:57:21</t>
  </si>
  <si>
    <t>今天晚上七点多对我进行恐吓，对我的亲朋好友进行骚扰恐吓，借款金额和合同上写的不一样，之前的都还清了，利息不知道还了多少，到账还有砍头息，利息还的比本金还要多。</t>
  </si>
  <si>
    <t>http://ts.21cn.com/tousu/show/id/1369894</t>
  </si>
  <si>
    <t>2019/10/17 19:57:11</t>
  </si>
  <si>
    <t>希望瀚银能依照国家有关法律规定为我追回欠款。</t>
  </si>
  <si>
    <t>http://ts.21cn.com/tousu/show/id/1369893</t>
  </si>
  <si>
    <t>2019/10/17 19:57:09</t>
  </si>
  <si>
    <t>本人用闪银己有多年，一共还清137笔借款，从无逾期，按时还款，至今实在无力还款，只剩最后一期清求销帐，这几年砍头息的钱远远超过一万元了，请求销帐。</t>
  </si>
  <si>
    <t>http://ts.21cn.com/tousu/show/id/1369891</t>
  </si>
  <si>
    <t>2019/10/17 19:55:49</t>
  </si>
  <si>
    <t>恶意催收，盗取私人信息，骚扰电话不断，雇请人员打电话辱骂。</t>
  </si>
  <si>
    <t>用了人不给钱</t>
  </si>
  <si>
    <t>http://ts.21cn.com/tousu/show/id/1369889</t>
  </si>
  <si>
    <t>2019/10/17 19:55:35</t>
  </si>
  <si>
    <t>投诉人 如孜先生        投诉对象  五金店        涉诉金额  500 元    问题类型    诉求类型投诉详情  我在这家店，上班，上了六天 ，谁是我干的不行，赶我走，不给钱，</t>
  </si>
  <si>
    <t>金银钱包超利贷</t>
  </si>
  <si>
    <t>http://ts.21cn.com/tousu/show/id/1369888</t>
  </si>
  <si>
    <t>2019/10/17 19:55:32</t>
  </si>
  <si>
    <t>投诉人袁女士投诉对象金银钱包涉诉金额2500元问题类型诉求类型投诉详情申请时看的是30天，结果下款变成5天，2500利息5天就要1125元，一直以为是30天，今天看见短信说明天还款，一看详情是5天的。</t>
  </si>
  <si>
    <t>语言侮辱轰炸骚扰通讯录</t>
  </si>
  <si>
    <t>http://ts.21cn.com/tousu/show/id/1369887</t>
  </si>
  <si>
    <t>2019/10/17 19:55:17</t>
  </si>
  <si>
    <t>每次我都跟催收说了，我不是18号发工资就是19号发工资，每次都答应，现在最后一期直接轰炸侮辱，要我还钱是不可能的了，对我家人造成的伤害不可弥补，导致现在关系破裂。</t>
  </si>
  <si>
    <t>萌推App萌推商城蓝色妖姬时装店退货已收到不退款</t>
  </si>
  <si>
    <t>http://ts.21cn.com/tousu/show/id/1369886</t>
  </si>
  <si>
    <t>2019/10/17 19:55:07</t>
  </si>
  <si>
    <t>在萌推商城蓝色妖姬时装店购买衣服，到货后不满意选择了退货退款售后服务，根据商城给出地址，并未给予任何的答复与反馈，本人决定萌推商户与萌推商城都存在欺瞒顾客嫌疑，收到衣服，不予答复，强烈要求萌推给予退款并且给予萌推相应处罚。</t>
  </si>
  <si>
    <t>拍拍贷恶意窃取通讯录资料</t>
  </si>
  <si>
    <t>http://ts.21cn.com/tousu/show/id/1369883</t>
  </si>
  <si>
    <t>2019/10/17 19:51:39</t>
  </si>
  <si>
    <t>借款12000，砍头息2000，恶意窃取通讯录电话号码，反复骚扰。</t>
  </si>
  <si>
    <t>爆通讯录，威胁恐吓</t>
  </si>
  <si>
    <t>http://ts.21cn.com/tousu/show/id/1369882</t>
  </si>
  <si>
    <t>2019/10/17 19:51:14</t>
  </si>
  <si>
    <t>爆通讯，威胁恐吓，骚扰，变买客户资料的手段催收，给我的生活和工作造成了很大的问题，请聚投诉平台安排人员尽快处理。</t>
  </si>
  <si>
    <t>集体举报百度有钱花协助广州核芯教育科技有限公司联合诱导培训贷事件</t>
  </si>
  <si>
    <t>http://ts.21cn.com/tousu/show/id/1369880</t>
  </si>
  <si>
    <t>2019/10/17 19:51:03</t>
  </si>
  <si>
    <t>广州核芯教育科技有限公司,广州森特电子科技有限公司,广州莱德科技有限公司,广州贝勒智能科技有限公司,广州瑞众科技有限公司，百度有钱花，自称百度有钱花工作人员给我打电话我问电话为什么是手机号码对方回答：是工作号居然用私人手机号这么晚给我打电话，有意思嘛，我不管你们每次为什么每次早晚不停的催命打电话到底是工作，还是别的什么！！我有资金我会还的，我不会学那种无赖不还，请不要没日没夜的给我打电话了，我谢谢您给您全体员工鞠躬??谢过。</t>
  </si>
  <si>
    <t>上海瀚银与违法商家合作</t>
  </si>
  <si>
    <t>http://ts.21cn.com/tousu/show/id/1369879</t>
  </si>
  <si>
    <t>2019/10/17 19:50:56</t>
  </si>
  <si>
    <t>本人从8月24号正式投诉了商家，直到瀚银外包人员打电话给我，前面说退我三万，我没接受，毕竟太少了，今天说只退我8500！我想请问，你们刚开始没冻结商家吗，为什么两个多月了，你们现在说商家不做了，之前不说?之前为什么不处理！预约上门你们也不给！为什么只要我提供资料！商家那边我一概不知，现在给我处理成这样！你们为违法商家在那合作，非法盈利，还包庇商家！如果再不处理好，我即将带上记者还有投诉人民银行清算等等，只要你们有一天牌照，我都会找集体投诉你们，诉讼你们！麻烦聚投诉通知瀚银！！。</t>
  </si>
  <si>
    <t>信而富莫名从我农行卡里扣去408.86</t>
  </si>
  <si>
    <t>http://ts.21cn.com/tousu/show/id/1369878</t>
  </si>
  <si>
    <t>2019/10/17 19:49:39</t>
  </si>
  <si>
    <t>10月17日，我名下开户行在杭州的农业银行卡被“上海信而富企业管理有限公司”莫名口扣款408.76元，工行95599客服和开户行答复说我与该公司在2019年1月15日签订了快捷支付协议，经客服协助查询，确实在我名下银行卡上有一项与有关的快捷支付协议（中金支付说是代扣协议），但我本人对此不知情，并立即主动解除了该协议，然后，我立即通过网络途径查询 ，发现该公司被大量群众举报，客服无奈答复说是在借款协议上衍生出来的，经多方咨询，工行95599客服和开户行答复说，我与该公司在2019年1月15日签订了快捷支付协议</t>
  </si>
  <si>
    <t>客服0195</t>
  </si>
  <si>
    <t>http://ts.21cn.com/tousu/show/id/1369877</t>
  </si>
  <si>
    <t>2019/10/17 19:49:20</t>
  </si>
  <si>
    <t>10月17日，距离9月26日反馈已经十四天了！说的十五个工作日，什么员工，真的是，我自己算，要客服有什么用，解决干嘛的。</t>
  </si>
  <si>
    <t>立马进钱呆呆苞高利贷,收取超高逾期费用。协商无果，电话催收</t>
  </si>
  <si>
    <t>http://ts.21cn.com/tousu/show/id/1369876</t>
  </si>
  <si>
    <t>2019/10/17 19:49:16</t>
  </si>
  <si>
    <t>立马进钱呆呆苞收取高额利息，借2800，32天需要还4089.6元，通过催收电话：‭。</t>
  </si>
  <si>
    <t>捷信高利贷，冒充国家律师</t>
  </si>
  <si>
    <t>http://ts.21cn.com/tousu/show/id/1369875</t>
  </si>
  <si>
    <t>2019/10/17 19:48:11</t>
  </si>
  <si>
    <t>我之前分期付款在捷信买了一个手机，等我分期付款付完了以后，捷信客服天天叫我贷款，然后我贷了3000元，因利息太高，没钱还，捷信骚扰我朋友，败坏我名声，请给我一个说法！。</t>
  </si>
  <si>
    <t>银生宝为商户提供违规充值通道</t>
  </si>
  <si>
    <t>http://ts.21cn.com/tousu/show/id/1369120</t>
  </si>
  <si>
    <t>2019/10/17 19:47:52</t>
  </si>
  <si>
    <t>本人今年6月和8月被人带去做网络兼职赚钱后发现该平台涉嫌博彩违法，通过入金发现支付通道为银生宝，希望聚投诉帮忙转达银生宝，并让银生宝协助我与商户取得联系做退款处理！共计金额28198元！。</t>
  </si>
  <si>
    <t>投诉拼多多偏向卖家，</t>
  </si>
  <si>
    <t>http://ts.21cn.com/tousu/show/id/1369872</t>
  </si>
  <si>
    <t>2019/10/17 19:46:51</t>
  </si>
  <si>
    <t>要的36/37女款跟42/43男款的，卖家发错货，而且我留着另一双男款鞋码也不是我要的也用不着，她收到货后再给我退钱！想问平台谁给她这么嚣张的气焰，平台规则竟然全向着卖家，怪不得卖家会这么理直气壮，这不是15块钱的事，是我花了钱，还受了气！。</t>
  </si>
  <si>
    <t>闪信分期存在变相砍头息</t>
  </si>
  <si>
    <t>http://ts.21cn.com/tousu/show/id/1369871</t>
  </si>
  <si>
    <t>2019/10/17 19:46:11</t>
  </si>
  <si>
    <t>闪信分期存在变相砍头息行为，先后大概三次使用闪信分期一直以为购物金可以使用，但是产品限制问题没有我需要商品希望贵公司退还购物金4780元。</t>
  </si>
  <si>
    <t>http://ts.21cn.com/tousu/show/id/1369867</t>
  </si>
  <si>
    <t>2019/10/17 19:43:30</t>
  </si>
  <si>
    <t>额度六百，但是前期需要三百块钱，实际到六百，。</t>
  </si>
  <si>
    <t>http://ts.21cn.com/tousu/show/id/1369868</t>
  </si>
  <si>
    <t>2019/10/17 19:43:13</t>
  </si>
  <si>
    <t>我在闪银借了3000一个月，让我强制绑定了很多服务，不算本金只是绑定的服务加上利息一个月300多。</t>
  </si>
  <si>
    <t>及贷软暴力催收</t>
  </si>
  <si>
    <t>http://ts.21cn.com/tousu/show/id/1369866</t>
  </si>
  <si>
    <t>2019/10/17 19:42:58</t>
  </si>
  <si>
    <t>投诉人 余先生        投诉对象  及贷        涉诉金额  2 000 元    问题类型    诉求类型投诉详情  及贷委托第三方对我恶意催收。通过微信添加。要我发共享位置.其催收人员在语音你恐吓我。要拿着合同上门催收。在联系的到本人情况。强行对我父母进行催收。严重影响到父母本人正常的生活。每次打过来的电话都输虚拟号码。回电过去就是空号。在微信语音里面。说要爆我通讯录</t>
  </si>
  <si>
    <t>中国电信翼支付暴力催收</t>
  </si>
  <si>
    <t>http://ts.21cn.com/tousu/show/id/1369864</t>
  </si>
  <si>
    <t>2019/10/17 19:42:29</t>
  </si>
  <si>
    <t>本人在翼支付上面借款，本期1100未能按时还款逾期4天，与客服联系承诺3天内还清，客服承诺同意，但第二天催收人员在为经本人同意的情况下开始暴力催收，骚扰朋友，同事，对本人名誉造成严重的影响，对本人工作也产生严重后果，严重影响了本人的正常生活工作。</t>
  </si>
  <si>
    <t>共享汽车押金退不了</t>
  </si>
  <si>
    <t>http://ts.21cn.com/tousu/show/id/1369863</t>
  </si>
  <si>
    <t>2019/10/17 19:41:50</t>
  </si>
  <si>
    <t>上次申请退款1个多月，没啥反应，现在第二次申请，客服电话打不通。</t>
  </si>
  <si>
    <t>高顿财经不断打电话</t>
  </si>
  <si>
    <t>http://ts.21cn.com/tousu/show/id/1369869</t>
  </si>
  <si>
    <t>2019/10/17 19:41:45</t>
  </si>
  <si>
    <t>投诉人孟先生投诉对象高顿教育涉诉金额0元问题类型诉求类型投诉详情好几年前曾经在高顿财经注册过账号关注注会的问题，后来每隔一段时间就给我打电话问我报名注会的问题，不胜其扰，已经持续至少三年了，要求高顿财经彻底删除我的电话信息，并且不在给我打电话。</t>
  </si>
  <si>
    <t>http://ts.21cn.com/tousu/show/id/1369860</t>
  </si>
  <si>
    <t>2019/10/17 19:40:33</t>
  </si>
  <si>
    <t>借一千块钱分三期还每期要还款670，相当于要还比本金还多。</t>
  </si>
  <si>
    <t>快贷平台骚扰了电话轰炸</t>
  </si>
  <si>
    <t>http://ts.21cn.com/tousu/show/id/1369859</t>
  </si>
  <si>
    <t>2019/10/17 19:40:19</t>
  </si>
  <si>
    <t>投诉人 孔先生        投诉对象  快贷（信喜）        涉诉金额  3 000 元    问题类型    诉求类型投诉详情  每天10多个电话起步包括父母亲朋友好友 请你们停止骚扰</t>
  </si>
  <si>
    <t>花转转暴力催收骚扰</t>
  </si>
  <si>
    <t>http://ts.21cn.com/tousu/show/id/1369858</t>
  </si>
  <si>
    <t>2019/10/17 19:39:44</t>
  </si>
  <si>
    <t>本人受到瑞利随薪贷公司旗下花转转的骚扰，几乎每天都有打进来，而且朋友那边收到了骚扰，你们公司还款还不进去导致逾期，就一直骚扰我和我家人朋友，作销账处理，要不就把之前的砍头息退还给我，本人掌握所有证据和截图，我可以一笔一笔跟你们算，再骚扰本人及本人家人朋友，我不仅报警，而且会继续往上投诉，直到解决为止！。</t>
  </si>
  <si>
    <t>美团团购不成功，退款迟迟不到账</t>
  </si>
  <si>
    <t>http://ts.21cn.com/tousu/show/id/1369857</t>
  </si>
  <si>
    <t>2019/10/17 19:39:16</t>
  </si>
  <si>
    <t>：40在美团app发起了一个1元拼烤年糕的拼团，24小时后未拼团成功，显示2019.11.15上午11:50余额退款，但是直至今日10.17仍未到账，显示到账却真实未到账！找客服，也没给出合理解释。</t>
  </si>
  <si>
    <t>马上消费金融爆通讯录违法</t>
  </si>
  <si>
    <t>http://ts.21cn.com/tousu/show/id/1369856</t>
  </si>
  <si>
    <t>2019/10/17 19:38:20</t>
  </si>
  <si>
    <t>今天说了发工资就还款....打电话催收....在没有和我说的情况下给我弟弟家人打电话...我想问问你们怎么知道我通讯录电话的....而且你们非法扒取我的信息资料....电话名单....严重影响我生活、给我一个合理的解释、现在国家严令禁止网贷平台骚扰除借款人以外的人员，催收员不得频繁致电骚扰债务人及其他人员，更不得向债务人以外的人员透露债务人负债、逾期、违约等个人信息、如果你们催收爆了我通讯录，那么我是要像其他受害者一样，站起来维权。</t>
  </si>
  <si>
    <t>利息展期费</t>
  </si>
  <si>
    <t>http://ts.21cn.com/tousu/show/id/1369855</t>
  </si>
  <si>
    <t>2019/10/17 19:37:43</t>
  </si>
  <si>
    <t>投诉人牛先生投诉对象禾禾旅游涉诉金额3000元问题类型诉求类型投诉详情展期一期七天，费用高的离谱，还天天打电话骚扰，要求必须退还所有展期费用。</t>
  </si>
  <si>
    <t>高炮平台</t>
  </si>
  <si>
    <t>http://ts.21cn.com/tousu/show/id/1369854</t>
  </si>
  <si>
    <t>2019/10/17 19:37:17</t>
  </si>
  <si>
    <t>投诉人赵先生投诉对象嗨包涉诉金额6000元问题类型诉求类型投诉详情暴力催收➕骚扰辱骂、不正常的催收、平头是变相操作加砍头利息。</t>
  </si>
  <si>
    <t>恢复支付宝转账功能</t>
  </si>
  <si>
    <t>http://ts.21cn.com/tousu/show/id/1369853</t>
  </si>
  <si>
    <t>2019/10/17 19:36:52</t>
  </si>
  <si>
    <t>支付宝收款码恶意举报，客服处理不当，要求立刻恢复转账功能！。</t>
  </si>
  <si>
    <t>中国移动态度差</t>
  </si>
  <si>
    <t>http://ts.21cn.com/tousu/show/id/1369852</t>
  </si>
  <si>
    <t>2019/10/17 19:35:56</t>
  </si>
  <si>
    <t>8月份第一次办理和多号短信发不出去了跟客服反馈多次直到今天一直未有回复无奈只能注销，我对中国移动收费不给用并且处理态度很不满意！要求中国移动给出解决并且赔偿。</t>
  </si>
  <si>
    <t>拍拍贷利息过高，本人想协商还款</t>
  </si>
  <si>
    <t>http://ts.21cn.com/tousu/show/id/1369850</t>
  </si>
  <si>
    <t>2019/10/17 19:33:51</t>
  </si>
  <si>
    <t>本人拍拍贷借了5400，已经还了六期，还有六期没还，现在本人想与拍拍贷那边协商还款，如有意向联系我此事，请于星期六下午四点以后联系，不然不方便接听电话。</t>
  </si>
  <si>
    <t>暴力催收暴通讯录威胁等手段</t>
  </si>
  <si>
    <t>http://ts.21cn.com/tousu/show/id/1369848</t>
  </si>
  <si>
    <t>2019/10/17 19:32:20</t>
  </si>
  <si>
    <t>本人工伤至今还没完全康复，确实经济困难，也主动多次与他们沟通，可他们天天威胁暴通讯录等，一次比一次可怕，今天把信封都寄到朋友家了，还带了几个人，黑社会性质，恳请严厉打击这些暴力威胁催收手段。</t>
  </si>
  <si>
    <t>在本人不知道的情况下乱扣我的钱</t>
  </si>
  <si>
    <t>http://ts.21cn.com/tousu/show/id/1369846</t>
  </si>
  <si>
    <t>2019/10/17 19:32:09</t>
  </si>
  <si>
    <t>在我本人不知道的情况下半夜乱给我民生银行卡里的钱扣了。</t>
  </si>
  <si>
    <t>oppor9splus大规模无限重启，请OPPO能够免费更换主板</t>
  </si>
  <si>
    <t>http://ts.21cn.com/tousu/show/id/1369847</t>
  </si>
  <si>
    <t>2019/10/17 19:32:03</t>
  </si>
  <si>
    <t>就开始出现无限重启的问题，后来在网上多番查询发现，全国大部分该型号手机都出现了这种情况，我后来到本地OPPO的官方售后网点咨询，经过官方人员鉴定，他们说是主板坏了，需要花900左右的现金进行更换，后来我再次通过多方渠道查询，发现并未个案，确认有大批消费者都出现和我类似的情形，大家都说是主板本身的问题，我试图通过oppo官方客服电话进行解决，但被告知要么花钱更换主板，要么参加折旧买新机，因为过了保修期，作为消费者，鉴于该事件为大规模事件，并非我个人原因损坏，请OPPO公司能够为我免费更换手机主板，同时今后能够</t>
  </si>
  <si>
    <t>威胁给我所有亲戚朋友打骚扰电话</t>
  </si>
  <si>
    <t>http://ts.21cn.com/tousu/show/id/1369845</t>
  </si>
  <si>
    <t>2019/10/17 19:31:23</t>
  </si>
  <si>
    <t>因个人原因暂时无法偿还贷款，拍拍贷威胁要打我所有亲戚朋友的电话进行骚扰。</t>
  </si>
  <si>
    <t>信诚消费入金是什么，为什么无故扣了我的钱？</t>
  </si>
  <si>
    <t>http://ts.21cn.com/tousu/show/id/1369844</t>
  </si>
  <si>
    <t>2019/10/17 19:30:32</t>
  </si>
  <si>
    <t>2019年10月17日18时47分银行卡无故收到跨行代收支出992.78元，可我并没有什么支出，查询明细只能查到信诚消费入金，从没有与信诚有任何业务。</t>
  </si>
  <si>
    <t>随手记网贷公司恶意催收</t>
  </si>
  <si>
    <t>http://ts.21cn.com/tousu/show/id/1369843</t>
  </si>
  <si>
    <t>2019/10/17 19:27:34</t>
  </si>
  <si>
    <t>随手记，一直骚扰我朋友和家人，因为我出了事情，暂时还不钱，他们就一直骚扰，给我朋友和家人造成了严重的困扰，也让我在亲戚哦，朋友面前信誉和名誉尽失，他把后路都给我断完了，我们怎么可能借到钱来还，别人巴不得离我远点，希望对随手记平台，不要在骚扰我家人和朋友，我有钱肯定第一时间还上，谁想欠帐，不是出事。</t>
  </si>
  <si>
    <t>恶性吃贷</t>
  </si>
  <si>
    <t>http://ts.21cn.com/tousu/show/id/1369842</t>
  </si>
  <si>
    <t>2019/10/17 19:27:33</t>
  </si>
  <si>
    <t>投诉人 雷先生        投诉对象  拍拍贷        涉诉金额  8 000 元    问题类型    诉求类型投诉详情  威胁去上班的地方找老板。让我不能正常上班</t>
  </si>
  <si>
    <t>http://ts.21cn.com/tousu/show/id/1369841</t>
  </si>
  <si>
    <t>2019/10/17 19:27:06</t>
  </si>
  <si>
    <t>这个公司绑定苹果手机id2000到手1400，6天时间续期一天要120，而且暴力催收威胁恐吓。</t>
  </si>
  <si>
    <t>360借条提前还款，就算只借一天，仍需偿还全部利息。</t>
  </si>
  <si>
    <t>http://ts.21cn.com/tousu/show/id/1369840</t>
  </si>
  <si>
    <t>2019/10/17 19:26:52</t>
  </si>
  <si>
    <t>本人因虚假电话误导下，使用360借条借12个月贷款：35000元，后察觉情况不对，挂断电话并打算当日还清贷款时，发现即便当日还款仍需偿还全部利息，此要求如同高利贷，对本人造成严重困扰，希望商家取消此行为，按市场正常利率收取利息。</t>
  </si>
  <si>
    <t>http://ts.21cn.com/tousu/show/id/1369839</t>
  </si>
  <si>
    <t>2019/10/17 19:26:43</t>
  </si>
  <si>
    <t>投诉人 李先生        投诉对象  南京玉恒商业管理有限公司        涉诉金额  20 000 元    问题类型    诉求类型投诉详情  租房房租被中介骗。现在房东要求搬家。好无奈啊、没天理了。</t>
  </si>
  <si>
    <t>骚扰恐吓</t>
  </si>
  <si>
    <t>http://ts.21cn.com/tousu/show/id/1369837</t>
  </si>
  <si>
    <t>2019/10/17 19:26:12</t>
  </si>
  <si>
    <t>投诉人盛女士投诉对象京东金融涉诉金额11000元问题类型诉求类型投诉详情因为一些经济问题逾期，跟京东客服协商过，但是还是一次次的打电话骚扰恐吓。</t>
  </si>
  <si>
    <t>美团点评恶意盗刷</t>
  </si>
  <si>
    <t>http://ts.21cn.com/tousu/show/id/1369835</t>
  </si>
  <si>
    <t>2019/10/17 19:25:58</t>
  </si>
  <si>
    <t>投诉人雷选红投诉对象美团点评涉诉金额3200元问题类型诉求类型投诉详情本人郑重承诺这件事情属实我第一次被扣了1200就是莫名其妙给我扣了第一次不知道以为是自己弄了什么被扣的想想算了算自己倒霉可是这次刚存的两千块钱一顿饭都没吃完就刷的一干二净全部都是整数刷出，有图有真相这次的两千块钱全部是美团点评第一次扣是八月份扣了一千二截图不在了现在这个截图是今天的。</t>
  </si>
  <si>
    <t>要求追回钱,还我钱,找出欺诈者移交警方,归还盗刷金额,退还盗刷金额，其中涉诉金额299元。</t>
  </si>
  <si>
    <t>http://ts.21cn.com/tousu/show/id/1369836</t>
  </si>
  <si>
    <t>2019/10/17 19:25:53</t>
  </si>
  <si>
    <t>投诉人 陆先生        投诉对象  新生海南圣云可网络科技有限公司        涉诉金额  299 元    问题类型    诉求类型投诉详情  在10月15日我登陆过一些贷款平台 但是我也没点收费项目 现在无缘无故扣我卡里的钱 并且也没任何提示 这是恶意扣费 我也没输入我的银行卡密码 并且没申请任何项目 请求尽快解决。贷款平台：拇指下款</t>
  </si>
  <si>
    <t>招商银行不能协商分期还款，打电话到工作单位，还准备到工作单位催收</t>
  </si>
  <si>
    <t>http://ts.21cn.com/tousu/show/id/1369833</t>
  </si>
  <si>
    <t>2019/10/17 19:24:59</t>
  </si>
  <si>
    <t>招商银行信用卡中心，因本人资金近期出现问题，招商银行已联系父母，父母多次协商分期还款无效，现信用卡中心联系到当地工作人员，用私人号码拨打现所工作单位前台座机，后本人用手机回拨，那边表示是检查部门，并要求明天上工作单位调查，对本人造成很大影响，本人想协商给出相应时间筹集资金，如银行外聘当地催收部门上门进行催收，那会产生很大影响，如因此造成公司影响，个人影响，工作没有了，，那更没有资金来源可以还清信用卡，本人也是积极配合，如真的上门催收，本人心理无法承担，或或产生轻生的念头。</t>
  </si>
  <si>
    <t>遵义湘江投资公司卖房不交房</t>
  </si>
  <si>
    <t>http://ts.21cn.com/tousu/show/id/1366403</t>
  </si>
  <si>
    <t>2019/10/17 19:24:55</t>
  </si>
  <si>
    <t>投诉人赵先生投诉对象遵义湘江投资建设有限责任公司,遵义道桥建设，有限公司涉诉金额20000000元问题类型诉求类型投诉详情我们是一群平常的老百姓，每天早出晚归！经过多年的努力以及打拼，有些存了首付，有些存了全款，然后大家都选择了遵义湘江投资建设有限责任公司开发的“舟水桥组团”！高高兴兴的交钱签合同买现房！有付首付的，有付全款的，整个合同签下来该公司均没有提供五证两书！该公司说2019年4月30日交房！可是拖到了5月30日，他们又说要6月30日交房！一直这么拖到9月份，但是该公司领导居然使用威胁，恐吓，欺骗等</t>
  </si>
  <si>
    <t>http://ts.21cn.com/tousu/show/id/1369834</t>
  </si>
  <si>
    <t>2019/10/17 19:24:40</t>
  </si>
  <si>
    <t>投诉人 马先生        投诉对象  河北幸福消费金融        涉诉金额  50 000 元    问题类型    诉求类型投诉详情  内部人员收取高额费用，至今没有结果。河北幸福花消费金融不给结果</t>
  </si>
  <si>
    <t>http://ts.21cn.com/tousu/show/id/1369832</t>
  </si>
  <si>
    <t>2019/10/17 19:24:09</t>
  </si>
  <si>
    <t>投诉人高先生投诉对象易行商旅涉诉金额1500元问题类型诉求类型投诉详情2019年一月22日在山东临沂沭埠岭机场候机大厅被，10月17日再次买票客服人员说只能抵消25，卡里还有我的1400元希望有关部分帮助维权。</t>
  </si>
  <si>
    <t>超高利贷</t>
  </si>
  <si>
    <t>http://ts.21cn.com/tousu/show/id/1369627</t>
  </si>
  <si>
    <t>2019/10/17 19:23:50</t>
  </si>
  <si>
    <t>投诉人贺先生投诉对象立马进钱涉诉金额2800元问题类型诉求类型投诉详情本人在立马进钱的呆呆胞，办理借款2800元，总贷款时间为32天，分四期还款，每期时间为8天，每期还款金额为1022.4元，已经还款前三期，还款金额总计3178元，第三期还款日当天因为app原因无法还款，400的客服电话也无法打通，最后通过页面提示的支付宝转账还款，还款成功后，在app提交还款反馈，后来一直没有客服人员联系我给我销账，然后不停的产生逾期费用，到第四期还款10月2日app完全无法打开，同样400电话无法打通，造成无法还款一直逾</t>
  </si>
  <si>
    <t>退我1800的咨询费</t>
  </si>
  <si>
    <t>http://ts.21cn.com/tousu/show/id/1369831</t>
  </si>
  <si>
    <t>2019/10/17 19:23:49</t>
  </si>
  <si>
    <t>贷款还清，中途逾期一次，不退我1800的咨询费。</t>
  </si>
  <si>
    <t>人人花乱扣费，客服骂人</t>
  </si>
  <si>
    <t>http://ts.21cn.com/tousu/show/id/1369830</t>
  </si>
  <si>
    <t>2019/10/17 19:23:35</t>
  </si>
  <si>
    <t>人人花我注册了以后在我不知情的情况下扣了我288元，要求道歉和赔偿！强烈要求骂人的那个人本身道歉！。</t>
  </si>
  <si>
    <t>碧桂园看房押金2万不退款</t>
  </si>
  <si>
    <t>http://ts.21cn.com/tousu/show/id/1369829</t>
  </si>
  <si>
    <t>2019/10/17 19:23:20</t>
  </si>
  <si>
    <t>刚开始我去看房子看的不错想定下来，他们就让我先交20000定金，说是可以退但是几天了都没有退，希望平台能帮我追回来钱，。</t>
  </si>
  <si>
    <t>http://ts.21cn.com/tousu/show/id/1369828</t>
  </si>
  <si>
    <t>2019/10/17 19:23:05</t>
  </si>
  <si>
    <t>我在闪电借款借了2100元钱，10月16号到期，17号逾期一天，我给客服说2天处理，17号晚上催收就给我家人打电话要钱，，，请你不要在骚扰我家人，太可恶了。</t>
  </si>
  <si>
    <t>虫虫快借收取高额砍头息</t>
  </si>
  <si>
    <t>http://ts.21cn.com/tousu/show/id/1369826</t>
  </si>
  <si>
    <t>2019/10/17 19:22:31</t>
  </si>
  <si>
    <t>借款3500收取1575高额砍头息，借款时间只有5天，续期同样要收取1575元续期费用，涉嫌超利贷。</t>
  </si>
  <si>
    <t>恶意扣除服务费</t>
  </si>
  <si>
    <t>http://ts.21cn.com/tousu/show/id/1369825</t>
  </si>
  <si>
    <t>2019/10/17 19:21:49</t>
  </si>
  <si>
    <t>本人下载跃吉科技旗下的拇指下款，结果还没申请到借款反而扣除了我自己的299元，说是服务费，我想问下做什么服务了就扣服务费，第一天扣除50，第二天我把软件都卸载了结果又扣除了248.5，这明显就是恶意圈钱，希望有关部门严肃处理！退还我所有的费用。</t>
  </si>
  <si>
    <t>招联好期待骚扰公司导致失业</t>
  </si>
  <si>
    <t>http://ts.21cn.com/tousu/show/id/1369824</t>
  </si>
  <si>
    <t>2019/10/17 19:20:20</t>
  </si>
  <si>
    <t>知道欠款违约不好，本人跟招联好期待第三方委托公司在沟通还款事宜，然后就不停打公司座机，查我社保，直接暴击催收人事部。</t>
  </si>
  <si>
    <t>绿森商城退款超时不退</t>
  </si>
  <si>
    <t>http://ts.21cn.com/tousu/show/id/1369722</t>
  </si>
  <si>
    <t>2019/10/17 19:19:47</t>
  </si>
  <si>
    <t>10月17日，已经超时，退款期间打电话询问说还要等几天，具体问到底多久根本不说明，每个客服都说加急处理，根本没用，还请绿森商城立即退款给我。</t>
  </si>
  <si>
    <t>催收员态度极其差！</t>
  </si>
  <si>
    <t>http://ts.21cn.com/tousu/show/id/1369823</t>
  </si>
  <si>
    <t>2019/10/17 19:19:35</t>
  </si>
  <si>
    <t>每次给我打电话我因为手机静音没有接到给他发消息也不回，服务态度极差一点都不听我说话管自己在那里叨叨，还有冒充司法的要对我提起诉讼！。</t>
  </si>
  <si>
    <t>玖富万卡对公还款已结清，不给销账</t>
  </si>
  <si>
    <t>http://ts.21cn.com/tousu/show/id/1369822</t>
  </si>
  <si>
    <t>2019/10/17 19:18:55</t>
  </si>
  <si>
    <t>投诉人胡先生投诉对象玖富涉诉金额6778元问题类型诉求类型投诉详情本人于9月27号在平台借款一笔5000元资金，放款后看到利息过高要求退还，跟平台协商人员约定，于10月7号将资金对公还款到玖富公司账户，目前已经过了10天，APP上还未销账！客服录音截图都有，玖富不作为，存在欺骗用户钱财，恶意逾期等行为，目前将要造成逾期，打客服电话一直是说处理中，加急也没有效果，玖富就是这样忽悠老百姓血汗钱的。</t>
  </si>
  <si>
    <t>我的快递上午就到转运中心了，到现在都没有分配网点</t>
  </si>
  <si>
    <t>http://ts.21cn.com/tousu/show/id/1369820</t>
  </si>
  <si>
    <t>2019/10/17 19:18:11</t>
  </si>
  <si>
    <t>快递上午转运中心就收入了，到现在都没有出转运中心，圆通的效率太低，我要求其必须在明天给我进行配送！不然投诉到邮政管理局与新闻媒体。</t>
  </si>
  <si>
    <t>交通银行恶意骚扰</t>
  </si>
  <si>
    <t>http://ts.21cn.com/tousu/show/id/1369821</t>
  </si>
  <si>
    <t>2019/10/17 19:18:05</t>
  </si>
  <si>
    <t>投诉人夏女士投诉对象交通银行信用卡涉诉金额49000元问题类型诉求类型投诉详情白天打，晚上打，还款慢了点，但是一直在还。</t>
  </si>
  <si>
    <t>http://ts.21cn.com/tousu/show/id/1369818</t>
  </si>
  <si>
    <t>2019/10/17 19:16:20</t>
  </si>
  <si>
    <t>你们本事大来爆通讯录，打一个电话一分钱都没有，以后每天十个投诉，咱就看看。</t>
  </si>
  <si>
    <t>快闪卡贷高利贷</t>
  </si>
  <si>
    <t>http://ts.21cn.com/tousu/show/id/1369817</t>
  </si>
  <si>
    <t>2019/10/17 19:13:34</t>
  </si>
  <si>
    <t>我在快闪卡贷的借款逾期了，后来和他们工作人员协商还款200就销账，结果没销账，反而一直从银行卡扣款，请问这种现象没人管吗，还允许他的存在坑害消费者吗。</t>
  </si>
  <si>
    <t>你我贷太黑了</t>
  </si>
  <si>
    <t>http://ts.21cn.com/tousu/show/id/1369815</t>
  </si>
  <si>
    <t>2019/10/17 19:13:01</t>
  </si>
  <si>
    <t>七月19号借的7500，前面还了两期，两期都是1787元，共3500多，我要求一次性还清，他还要我还6300多，费用太高了，。</t>
  </si>
  <si>
    <t>结清金额不提供对公账户导致结清不了</t>
  </si>
  <si>
    <t>http://ts.21cn.com/tousu/show/id/1369814</t>
  </si>
  <si>
    <t>2019/10/17 19:12:00</t>
  </si>
  <si>
    <t>你好，我今天与中腾信沟通了结清金额，我但是对方没办法提供对公账户让我直接转账结清金额，让我在公众号上操作，但是我反馈过很多次显示还款金额不能高于当期还款金额，客服一直说可以操作，导致我现在结清不了，打电话给客服客服下班了，请对方给到合理账号提供结清服务，谢谢。</t>
  </si>
  <si>
    <t>协商还款后继续威胁</t>
  </si>
  <si>
    <t>http://ts.21cn.com/tousu/show/id/1369813</t>
  </si>
  <si>
    <t>2019/10/17 19:11:18</t>
  </si>
  <si>
    <t>及贷工作人员跟我联系，说安排他们领导跟我对接，可以谈一次性还清减免利息，之后按照他们要求的金额还清后，他们又说钱不够，要求继续给钱，不断发信息骚扰我身边的朋友，影响我以及我朋友生活。</t>
  </si>
  <si>
    <t>变相高利贷，借了三万五要还七万</t>
  </si>
  <si>
    <t>http://ts.21cn.com/tousu/show/id/1369812</t>
  </si>
  <si>
    <t>2019/10/17 19:11:10</t>
  </si>
  <si>
    <t>借了三万五，己经还了四万多，还要去还二万多，利息高达三万多。</t>
  </si>
  <si>
    <t>典型714高炮，强制绑定购买游戏会员，变相砍头息，严重违法放贷</t>
  </si>
  <si>
    <t>http://ts.21cn.com/tousu/show/id/1369811</t>
  </si>
  <si>
    <t>2019/10/17 19:10:26</t>
  </si>
  <si>
    <t>小米金融暴力催收</t>
  </si>
  <si>
    <t>http://ts.21cn.com/tousu/show/id/1369810</t>
  </si>
  <si>
    <t>2019/10/17 19:10:05</t>
  </si>
  <si>
    <t>小米金融暴力催收，骚扰家人朋友，之前暴力催收还没解决，希望严惩。</t>
  </si>
  <si>
    <t>美团金融贷款逾期涨息不合理</t>
  </si>
  <si>
    <t>http://ts.21cn.com/tousu/show/id/1369809</t>
  </si>
  <si>
    <t>2019/10/17 19:09:59</t>
  </si>
  <si>
    <t>因本人创业失败，多家平台贷款及银行贷款逾期，短期无力偿还债务，今收到信息涨息，年利率在36以内合法，但仅三个月就涨息三分之一，如果仍然短期无法归还，是否还会在一万五的前提下在涨息三分之一。</t>
  </si>
  <si>
    <t>支付宝运费险显示理赔成功，没收到钱</t>
  </si>
  <si>
    <t>http://ts.21cn.com/tousu/show/id/1369807</t>
  </si>
  <si>
    <t>2019/10/17 19:09:44</t>
  </si>
  <si>
    <t>支付宝,淘宝网,中国人寿财险上海分公司,菜鸟网络，我在淘宝买了东西，遇到退货，有运费险，我这边先在线支付了，说是系统自动退款，显示退款成功，但我查了一下支付宝没有收到这笔退款，然后我致电支付宝官方，客服也说没有收到，就一直给我踢皮球，客服说确定我没有收到这次退款之后，说是给我转接有关部门处理，没人接电话，我在线等转接客服等了一个多小时，最后客服那边挂断电话了，马云退休之后，新上任的那哥们就这么处理问题吗，我一直是支付宝的忠实粉丝，坐等亲自给我来电解决道歉赔偿，还有我要求彻底帮我查一下我这几年的退款订单，这一</t>
  </si>
  <si>
    <t>http://ts.21cn.com/tousu/show/id/1369799</t>
  </si>
  <si>
    <t>2019/10/17 19:08:34</t>
  </si>
  <si>
    <t>本人15日在平台上不知情操作被强制分期12期借款14500，随后立即询问平台客服要求取消订单立即还款，却被告知需要同时还12期全部利息2800余元，当天借款当天要求立即还款的情况下，要求还12期全部利息是高利贷行为，借款过程中存在以下情况虚假广告欺诈用户360借条广告30天免息误导用户平台首页误导用户按日计息借款时无提醒不能提前还款否则还全息强制分期还款，借款合同自动勾选无提示。</t>
  </si>
  <si>
    <t>360</t>
  </si>
  <si>
    <t>http://ts.21cn.com/tousu/show/id/1369806</t>
  </si>
  <si>
    <t>2019/10/17 19:07:58</t>
  </si>
  <si>
    <t>360微零花暴力催收，骚扰通讯录，对第三方亲属，朋友，邻居电话骚扰，造成极其恶劣的影响，名誉受到严重的损害，精神受到打击抑郁，请求有关部门领导彻查此事，如不能得到合理明确的解决答复，媒体曝光，个别亲属邻居也以受到严重骚扰，没有合理的答复我将用法律武器为自己维权，我将一诉到底让360微零花付出应有的代价。</t>
  </si>
  <si>
    <t>盗取个人信息，恐吓，骚扰，软暴力</t>
  </si>
  <si>
    <t>http://ts.21cn.com/tousu/show/id/1369804</t>
  </si>
  <si>
    <t>2019/10/17 19:06:42</t>
  </si>
  <si>
    <t>我因个人做小生意失败，生二胎及工作变动长时间没有收入等原因，现在负债45万左右，目前欠微粒贷大概5500元左右，最长一期账单已经逾期57天，2019年10月17日下午16：00左右，微粒贷公司非法盗取我个人信息，获取我最新工作的公司电话，交给催收机构给催收人员，催收人员打电话到公司对我的同事透露我的债务情况，叫我同事通知我接电话对我进行恐吓，还不让我挂电话，我已经说了我的情况了，我说我现在在上班，改个时间打过来，不行，我挂了电话，他们又打过来说要我父母及老婆电话通知他们协助还款，严重影响了我的生活和工作，请</t>
  </si>
  <si>
    <t>要求解决糯米白条订单</t>
  </si>
  <si>
    <t>http://ts.21cn.com/tousu/show/id/1081683</t>
  </si>
  <si>
    <t>2019/10/17 19:04:55</t>
  </si>
  <si>
    <t>投诉人王先生投诉对象Wecash闪银涉诉金额1000元问题类型诉求类型投诉详情本人已经还清闪银app所有借款，不会再去触碰，现要求平台解决这个通过购买东西才能借款的白条。</t>
  </si>
  <si>
    <t>拍拍贷催收人员好牛气</t>
  </si>
  <si>
    <t>http://ts.21cn.com/tousu/show/id/1369803</t>
  </si>
  <si>
    <t>2019/10/17 19:04:12</t>
  </si>
  <si>
    <t>投诉人 皮先生        投诉对象  拍拍贷        涉诉金额  991 元    问题类型    诉求类型投诉详情  025-69071826的拍拍贷催收人员 今天打了四个电话 威胁 恐吓 都要求在某某时间段还款 不然 则联系手机通讯录亲朋好友 只录了一个电话的录音 还有三个电话录间没有录到</t>
  </si>
  <si>
    <t>http://ts.21cn.com/tousu/show/id/1369800</t>
  </si>
  <si>
    <t>2019/10/17 19:02:48</t>
  </si>
  <si>
    <t>投诉人张先生投诉对象你我贷涉诉金额3000元问题类型诉求类型投诉详情在你我贷借款3000元一年利息1000多，远超国家规定的24％年利率，要求减免利率本金已经还完，合同注明的年利率是12%，借贷前并没有告知各种费用，已在银监会监管备案。</t>
  </si>
  <si>
    <t>http://ts.21cn.com/tousu/show/id/1369801</t>
  </si>
  <si>
    <t>2019/10/17 19:02:43</t>
  </si>
  <si>
    <t>无故扣取费用！在本人不知情的情况下扣去我银行卡内237.12。</t>
  </si>
  <si>
    <t>提前三天开始骚扰！没逾期开始恐吓辱骂！高利息</t>
  </si>
  <si>
    <t>http://ts.21cn.com/tousu/show/id/1369798</t>
  </si>
  <si>
    <t>2019/10/17 19:02:29</t>
  </si>
  <si>
    <t>但恒易每月的22号23开始催收要求提前入账因为前几个月资金周转正常我每月提前入账，他说还款日期是24号25号是账单日态度非常恶劣要求下午必须入账说完挂了，我进去看了借款协议清清楚楚写的每月25日17:00之前入账，难道恒易跟714没啥区别了吗?我的实际到账金额是26000元分36期还每期1390元这样算来年利率超过了36％，希望有关部门出来管管这些踩着法律的红线的平台。</t>
  </si>
  <si>
    <t>白领贷！校园贷起家！！</t>
  </si>
  <si>
    <t>http://ts.21cn.com/tousu/show/id/1369795</t>
  </si>
  <si>
    <t>2019/10/17 19:01:39</t>
  </si>
  <si>
    <t>本人说的都是事实！！名校贷到白领贷！！我误入歧途直到现在才发现自己是被套路了！！，每个月是0.99利率！！这些年我到底多付了多少钱！！决定从现在开始不还款请协商！联系过客服。</t>
  </si>
  <si>
    <t>支付宝莫名其妙永久性封我收款功能</t>
  </si>
  <si>
    <t>http://ts.21cn.com/tousu/show/id/1369794</t>
  </si>
  <si>
    <t>2019/10/17 19:01:22</t>
  </si>
  <si>
    <t>打客服说我有违规操作，问具体怎么违规了，就说系统自动检测结果他们也不知道，只是收了一笔经常有转账往来的同学的款，并不是不认识的的人第一次转账。</t>
  </si>
  <si>
    <t>厚钱包变相收取砍头息</t>
  </si>
  <si>
    <t>http://ts.21cn.com/tousu/show/id/1369792</t>
  </si>
  <si>
    <t>2019/10/17 19:00:55</t>
  </si>
  <si>
    <t>本人厚钱包申请20000元人民币贷款，实际到账13000元.厚钱包变相收取砍头息6230元。</t>
  </si>
  <si>
    <t>友信给父母打电话说话很重</t>
  </si>
  <si>
    <t>http://ts.21cn.com/tousu/show/id/1369791</t>
  </si>
  <si>
    <t>2019/10/17 19:00:34</t>
  </si>
  <si>
    <t>友信和父母联系说借款的事情，还说联系不上本人，但是那边打电话我一直都有接听，都有在好好沟通问题，父母听到这个事情本来身体就不好着急了，父母岁数也大了70了，这样出现问题怎么解决”电话是01063367909。</t>
  </si>
  <si>
    <t>捷信高利贷，电话骚扰。</t>
  </si>
  <si>
    <t>http://ts.21cn.com/tousu/show/id/1369789</t>
  </si>
  <si>
    <t>2019/10/17 18:59:15</t>
  </si>
  <si>
    <t>投诉人 孙先生        投诉对象  捷信金融        涉诉金额  10 000 元    问题类型    诉求类型投诉详情  借了一万，还了一万了。现在也想继续还，但是没钱还了。希望平台梦尽快处理。</t>
  </si>
  <si>
    <t>今日头条，头条小店不让关店，保证金和货款无法退还。</t>
  </si>
  <si>
    <t>http://ts.21cn.com/tousu/show/id/1369788</t>
  </si>
  <si>
    <t>投诉人宋先生投诉对象今日头条,值点商城涉诉金额2198元问题类型诉求类型投诉详情本人在今日头条旗下，头条小店，注册店铺，由于没有订单，所以大概今年8月份申请关店，目的退回保证金和剩余货款，但是今日头条设置很多关店障碍，现在进行到关店第三个步骤，头条小店显示货款结算状态：未结清，原因不明，我里面的余额也不能提现，网页提示，请联系客服邮箱，，我就郁闷了，联系客服不是人工，而是发邮件，对此，邮件我发了，但是未能得到任何工作人员联系本人协助关店，目前在头条小店的保证金有2000元，货款是198.04元，一共头条小店</t>
  </si>
  <si>
    <t>信用钱包高利贷</t>
  </si>
  <si>
    <t>http://ts.21cn.com/tousu/show/id/1369787</t>
  </si>
  <si>
    <t>2019/10/17 18:58:48</t>
  </si>
  <si>
    <t>信用钱包借款8000每期还款1128.88元，一共需要还九期，剩下的几期因为家里的事情，我要一次性还清，让她们调整利率不同意，态度生硬，尖酸刻薄，还说她们是符合国家标准的，我要调整利率一次性还清，不要在说你是符合国家标准的，该我还的一分不少，不该还的一分也不会多还，谁的钱也不是大风刮来的，黑心客服，。</t>
  </si>
  <si>
    <t>凤金普惠高利贷砍头息骚扰</t>
  </si>
  <si>
    <t>http://ts.21cn.com/tousu/show/id/1369786</t>
  </si>
  <si>
    <t>2019/10/17 18:58:34</t>
  </si>
  <si>
    <t>签订合同贷款10万，当天就扣除5000点位费，借款到手91900元，目前还了8期4377*8=35016元，一共要还36期，要求我还16万元，未到还款日，就骚扰电话群发短信给我的家人朋友。</t>
  </si>
  <si>
    <t>http://ts.21cn.com/tousu/show/id/1369783</t>
  </si>
  <si>
    <t>2019/10/17 18:56:55</t>
  </si>
  <si>
    <t>我让你打所有人电话试试，把你毛病，敢打一个电话，一分钱都不还，我是吓大的，随便打。</t>
  </si>
  <si>
    <t>你我贷，砍头息，年化率过24%</t>
  </si>
  <si>
    <t>http://ts.21cn.com/tousu/show/id/1369533</t>
  </si>
  <si>
    <t>2019/10/17 18:56:19</t>
  </si>
  <si>
    <t>投诉人陈先生投诉对象你我贷涉诉金额16300元问题类型诉求类型投诉详情我17年年底再你我贷平台借款18900到账16300到账后我才知道有砍头息，我还了3期一共还款了不到一共还5000多了，现在还要我还16500左右，这年利率都到50%了我已经在协商还款了！催收的把我的家庭成员信息还有工作到位都调查，还电话通知所有单位，还在用这样底下的手段，有什么问题可以问我和我沟通，我现在已经在想解决问题，和还款的意愿了，我不知道他们是什么意思，希望有关部门介入解决一下！有问题可以找我！。</t>
  </si>
  <si>
    <t>http://ts.21cn.com/tousu/show/id/1369277</t>
  </si>
  <si>
    <t>2019/10/17 18:55:32</t>
  </si>
  <si>
    <t>投诉人 叶洪辉先生        投诉对象  瀚银科技        涉诉金额  34 000 元    问题类型    诉求类型投诉详情  翰银科技还我血汗钱，赶紧为我挽回经济损失</t>
  </si>
  <si>
    <t>误导消费无缘无故扣费</t>
  </si>
  <si>
    <t>http://ts.21cn.com/tousu/show/id/1369780</t>
  </si>
  <si>
    <t>2019/10/17 18:55:13</t>
  </si>
  <si>
    <t>无缘无故扣银行卡里的钱，且不允许解绑银行卡，有再次扣费的嫌疑。</t>
  </si>
  <si>
    <t>拍拍贷暴力催收，恐吓家人孩子</t>
  </si>
  <si>
    <t>http://ts.21cn.com/tousu/show/id/1369779</t>
  </si>
  <si>
    <t>2019/10/17 18:55:11</t>
  </si>
  <si>
    <t>本人在拍拍贷借款48000元整，分18个月还款，需还62821.8元整，本人抱着借钱还钱的准则每期按时还款，于2019年10月6号还款日逾期，本人因资金不足，提前和拍拍贷客服联系，说明真实处境困难，需逾期，意愿是肯定会还，可是拍拍贷方面却暴力催收，恐吓家人朋友，威胁本人小孩，欠债还钱是天经地义，但是人总有困难的时候，逾期是我的不对，但是拍拍贷方面暴力催收威胁家人小孩，严重影响我的正常生活，窃取我手机信息，反复骚扰我的亲朋友好友，我需要一个合理的解释，为什么盗取我手机信息。</t>
  </si>
  <si>
    <t>银盛通支付公司黑商家</t>
  </si>
  <si>
    <t>http://ts.21cn.com/tousu/show/id/1369778</t>
  </si>
  <si>
    <t>2019/10/17 18:54:58</t>
  </si>
  <si>
    <t>银盛通支付公司黑商家，银盛通支付公司跟代理商一起欺负客户，今年3月份接到电话说自己是银盛通支付公司的业务员向我推销了一台银盛通的刷卡机，说费率是0.55的大机子，说需要押金298，刷满88万退押金，我就答应买了一台，直到前几个月有朋友问我费率多少，我说0.55，我朋友说你看一下张了，我说不会看，我朋友就教我看了，一下爽眼了0.6，这不是坑人吗，什么都没说说涨就涨，我就找代理商问，代理说不知道，第二我又找代理，代理说在问公司等统一回复，过了半月还没有反应，我又找了代理，结果代理也没回复，又过去了半个月，我才找</t>
  </si>
  <si>
    <t>高利贷，高额手续费，借款两千分三个月还，一个月要还一千一百多</t>
  </si>
  <si>
    <t>http://ts.21cn.com/tousu/show/id/1369777</t>
  </si>
  <si>
    <t>2019/10/17 18:54:15</t>
  </si>
  <si>
    <t>因资金周转不开，在钱站APP借款两千，合同上却是借款两千六，实际收到两千，每月还要还款一千一百多，这样三个月就要还款高达三千三百多。</t>
  </si>
  <si>
    <t>支付宝蚂蚁金服限制我账户收款功能</t>
  </si>
  <si>
    <t>http://ts.21cn.com/tousu/show/id/1369764</t>
  </si>
  <si>
    <t>2019/10/17 18:53:49</t>
  </si>
  <si>
    <t>支付宝蚂蚁金服无故限制我账户正常收款功能，导致账户没办法正常收款，严重影响经营，客服电话也打不进去，就提示说违规，哪条违规也不说清楚，就限制我账户正常使用，而且没办法联系客服，请求聚投诉帮忙，谢谢。</t>
  </si>
  <si>
    <t>投诉上海得仕和瀚银为非法博彩机构提供支付通道</t>
  </si>
  <si>
    <t>http://ts.21cn.com/tousu/show/id/1369776</t>
  </si>
  <si>
    <t>2019/10/17 18:53:24</t>
  </si>
  <si>
    <t>本人于2019年5月27日被短信忽悠加了网上的博彩平台，期间在网络平台被人引诱欺骗进行博彩，后发现是违法博彩平台照成本人损失钱财，现在投诉两个支付方为非法博彩平台提供支付通道。</t>
  </si>
  <si>
    <t>没逾期打电话威胁</t>
  </si>
  <si>
    <t>http://ts.21cn.com/tousu/show/id/1369775</t>
  </si>
  <si>
    <t>2019/10/17 18:52:27</t>
  </si>
  <si>
    <t>还款日一大日就打电话来恐吓，一天几十个电话来，钱存入去不给扣款。</t>
  </si>
  <si>
    <t>信而富退会员费迟迟不到账</t>
  </si>
  <si>
    <t>http://ts.21cn.com/tousu/show/id/1369772</t>
  </si>
  <si>
    <t>2019/10/17 18:51:13</t>
  </si>
  <si>
    <t>2019-10-17早上七点四十八分从我银行卡莫名扣去408.76！。</t>
  </si>
  <si>
    <t>快闪卡贷（小闪分期）</t>
  </si>
  <si>
    <t>http://ts.21cn.com/tousu/show/id/1369773</t>
  </si>
  <si>
    <t>2019/10/17 18:51:10</t>
  </si>
  <si>
    <t>贷款app，以购买保险的方式砍头息，收取高于国家标准的利息费用，借款5000元，到账只有4510元，半年6期需还6400余元，严重超出国家规定利率。</t>
  </si>
  <si>
    <t>希望捷信金融能宽限几天。</t>
  </si>
  <si>
    <t>http://ts.21cn.com/tousu/show/id/1369770</t>
  </si>
  <si>
    <t>2019/10/17 18:50:44</t>
  </si>
  <si>
    <t>投诉人谢先生投诉对象捷信金融涉诉金额2400元问题类型诉求类型投诉详情望捷信金融能在宽限几天时间，一直在凑钱，，家里出现情况，一时半会那不出那么多钱，在努力的筹钱着。</t>
  </si>
  <si>
    <t>招商银行收取高额费用</t>
  </si>
  <si>
    <t>http://ts.21cn.com/tousu/show/id/1369769</t>
  </si>
  <si>
    <t>2019/10/17 18:50:01</t>
  </si>
  <si>
    <t>区别对待客户，本人咨询过律师，之前招商银行收取了高额的逾期滞纳金和利息！复利是！我请求银行减免之前我结清的部分费用！我请求了招商银行信用卡客服，客服给我上报了，今天客服回电话态度恶劣，蛮横！感觉客户有没有无所谓的样子！紧紧通过4分钟，直接给我挂断电话！。</t>
  </si>
  <si>
    <t>人人贷冒充公安部门催收，骚扰影响正常生活</t>
  </si>
  <si>
    <t>http://ts.21cn.com/tousu/show/id/1366968</t>
  </si>
  <si>
    <t>2019/10/17 18:49:23</t>
  </si>
  <si>
    <t>投诉人郑先生投诉对象人人贷涉诉金额23000元问题类型诉求类型投诉详情贷款23000元，分12期还款，总还款金额36896元，利息高达5%，不间断电话骚扰要求还款，本人几次主动要求按国家规定合法利率进行协商，分期还款，一直未得到明确回复，连续两天用各种电话骚扰，影响到本人正常工作！而且冒充公安部门打电话到我单位！。</t>
  </si>
  <si>
    <t>即有分期超高利息</t>
  </si>
  <si>
    <t>http://ts.21cn.com/tousu/show/id/1369768</t>
  </si>
  <si>
    <t>2019/10/17 18:48:53</t>
  </si>
  <si>
    <t>2018年即有分期给我打电话说可以给我用一万多，利息很低，当时在做生意听他们说利息很低也就用了，下款了之后才知道12100到账才9000有2100是一个购物抵用卷，之前完全没说，我也就不说啥了，以为这两千多是利息，我现在还了18个月了已经还了15516了，借了本金才12100而且到账才9000，我拒绝还其他的，我希望平台可以联系他们，给予一个合理的解释！谢谢，上面有他们催收的电话。</t>
  </si>
  <si>
    <t>你我贷，</t>
  </si>
  <si>
    <t>http://ts.21cn.com/tousu/show/id/1369767</t>
  </si>
  <si>
    <t>2019/10/17 18:48:34</t>
  </si>
  <si>
    <t>投诉人崇先生投诉对象你我贷涉诉金额10000元问题类型诉求类型投诉详情你我贷，变相的收取利息，还巧立明目的改成平台服务费，贷后管理费，你服务我什么了，你管什么了，要求立刻调整利息。</t>
  </si>
  <si>
    <t>指上旅行，厉害厉害</t>
  </si>
  <si>
    <t>正面</t>
  </si>
  <si>
    <t>http://ts.21cn.com/tousu/show/id/1369766</t>
  </si>
  <si>
    <t>2019/10/17 18:48:29</t>
  </si>
  <si>
    <t>客服服务态度非常不错，借款时，不到30分钟回访电话，耐心讲解，指点进套方法，询问多次借款2800元实际到账多少，也是不厌其烦的回答，而且解释的特别详细：签约借完就知道了，下款的速度也是非常优秀，不到10分钟2100元进账，还款周期也是非常照顾借款人的需求，给了4个周期那么多，且每个周期有7天那么长的时间，加一起可是28天，28天才多还700，真是良心，才高于法定利率20倍不到，业界良心，但怪自己还款无力，我还没缓过神，第一期就到期了，催收如期致电，十一期间艰苦奋战在平凡的工作岗位上，辛苦了，知道我还款无力，</t>
  </si>
  <si>
    <t>钱战阴阳合同，电话骚扰家人</t>
  </si>
  <si>
    <t>http://ts.21cn.com/tousu/show/id/1369762</t>
  </si>
  <si>
    <t>2019/10/17 18:46:44</t>
  </si>
  <si>
    <t>我当时在平台借的钱合同显示七万七，实际到帐七万，我于这个月跟平台协商减免政策但是跟实际银行利息差别还是很大，结果是协商未果他开始爆我通讯录，希望贵平台给予帮助，我以下提供的照片信息是以前保存下来的，现在app上是逾期状态看不了。</t>
  </si>
  <si>
    <t>招商银行骚扰家里人</t>
  </si>
  <si>
    <t>http://ts.21cn.com/tousu/show/id/1369761</t>
  </si>
  <si>
    <t>2019/10/17 18:46:23</t>
  </si>
  <si>
    <t>打电话骚扰我的家人，并且恐吓，让我生活受到了影响。</t>
  </si>
  <si>
    <t>暴力崔收</t>
  </si>
  <si>
    <t>http://ts.21cn.com/tousu/show/id/1369759</t>
  </si>
  <si>
    <t>2019/10/17 18:45:56</t>
  </si>
  <si>
    <t>，导致外卖过来收不到钱，现在已经对公司同事造成严重影响，以及影响个人声誉，现在要求道歉协商还款，已经对骚扰过的同事领导赔礼道歉，掌众金服这样已经属于恶意骚扰侵犯个人隐私。</t>
  </si>
  <si>
    <t>http://ts.21cn.com/tousu/show/id/1369758</t>
  </si>
  <si>
    <t>2019/10/17 18:44:08</t>
  </si>
  <si>
    <t>美团分期，从无逾期，本期有困难，暂时无法还上，并非不还！美团催收盗取信息，非法暴力催收，威胁恐吓，骚扰通讯录联系人！。</t>
  </si>
  <si>
    <t>鸿飞担保扣款900</t>
  </si>
  <si>
    <t>http://ts.21cn.com/tousu/show/id/1369757</t>
  </si>
  <si>
    <t>2019/10/17 18:43:54</t>
  </si>
  <si>
    <t>投诉人 王先生        投诉对象  中金支付        涉诉金额  900 元    问题类型    诉求类型投诉详情  卡里自动扣款900元。如下图所示。请平台处理帮忙，让退款900元。</t>
  </si>
  <si>
    <t>万达快易花非法催收，要求此后账单提前还款（只还本金）</t>
  </si>
  <si>
    <t>http://ts.21cn.com/tousu/show/id/1369756</t>
  </si>
  <si>
    <t>2019/10/17 18:43:47</t>
  </si>
  <si>
    <t>本人从快钱钱包开始接触万达快易花的贷款，前后使用了两年多的时间，从没有发生过逾期，2019年10月11号有一笔400多的账单逾期三天，还没到还款日就不断接到快易花方面的机器人语音提醒，逾期第一天开始不断接到万达快易花公司的座机手机等电话，本人暂时周转不开，但还款态度和意愿都很好，允定了两天内一定处理，但万达的催收人员变本加厉，一天打几十上百个电话，态度恶劣，在能联系到本人的情况下不断威胁要爆我通讯录联系人，电话不接也不行，导致本人根本无法正常工作，鉴于万达快易花这样恶劣的态度，本人再三思量，万达的款不敢再用</t>
  </si>
  <si>
    <t>玖富砍头息！协商无果</t>
  </si>
  <si>
    <t>http://ts.21cn.com/tousu/show/id/1369754</t>
  </si>
  <si>
    <t>2019/10/17 18:43:13</t>
  </si>
  <si>
    <t>本人所说皆为实话！！2018年2月借款27400，分了24期，签约的时候并未看到保险费用！所谓保险就是保障出借人的利益！！，总价是37392，我自己的利益都无法保证！为什么要保证出借人，客服一会说是保险一会说是服务费我也是醉了！我不知道我每个月按哪个来还款！！合约上年利率可我是按月还款！！那我每个月还多少，这个间接是砍头息！！请协商解决这个事情！！还要让我再还款5400多。</t>
  </si>
  <si>
    <t>仙豆手游不作为，描述不符</t>
  </si>
  <si>
    <t>http://ts.21cn.com/tousu/show/id/1369753</t>
  </si>
  <si>
    <t>2019/10/17 18:42:42</t>
  </si>
  <si>
    <t>游戏没存在诱导消费的问题特别多下面我一一列出，一:关于充值奖励问题，三天充值5000元奖励10级绝版宝石，用于镶嵌装备，活动天天都有，本人为了这些石头不短充值，现在背包内多出17块所谓的绝版宝石，用不上，二:关于宠物5星装备，按照活动价估算一个折合人民币120块，背包内多了29个，活动无限重复，没有明确告知使用情况，不短的购买参加活动，只能是白花钱，到现在还在背包内，无法合理安排！这仍然是欺诈和虚假诱导，三:关于装备升阶问题，没有明确说明，400块升级装备没有200块升级的战力高，并且消费一万得到的装备竟然</t>
  </si>
  <si>
    <t>还呗提前结清借款，收取全部利息</t>
  </si>
  <si>
    <t>http://ts.21cn.com/tousu/show/id/1369750</t>
  </si>
  <si>
    <t>2019/10/17 18:41:35</t>
  </si>
  <si>
    <t>投诉人 王女士        投诉对象  还呗        涉诉金额  20 000 元    问题类型    诉求类型投诉详情  协商提前结清全部欠款，仍然收取全部利息。客服不与协商</t>
  </si>
  <si>
    <t>微信收款商业版提现功能冻结</t>
  </si>
  <si>
    <t>http://ts.21cn.com/tousu/show/id/1369640</t>
  </si>
  <si>
    <t>2019/10/17 18:40:52</t>
  </si>
  <si>
    <t>您好很希望您能够帮助我，我们是一家小型公司，所从事的项目是和广州华多科技有限公司软件的合作，通俗一点就是yy软件我们在yy频道中运营有偿陪玩业务，也就是消费者微信支付一定的费用之后，我们的工作人员陪消费者聊天、打游戏唱歌，10月2日冻结我微信的商户提现功能申诉无效，拨打人工客服电话转接音乐听了16分钟，我们不求微信给我们什么解释之求可以解冻我们的提现功能，如果需要上传相关信息我肯定会尽全力配合，我们的商户号是，，下面的照片我会上传我们的工商执照，冻结照片，yy频道ID截图、电话通讯录，公司法人身份证，我们公</t>
  </si>
  <si>
    <t>鞋盒破损，顺丰赔付不到位</t>
  </si>
  <si>
    <t>http://ts.21cn.com/tousu/show/id/1369749</t>
  </si>
  <si>
    <t>2019/10/17 18:40:34</t>
  </si>
  <si>
    <t>10.6从顺丰寄了两双鞋并保价1500.特别叮嘱快递员鞋盒千万不能破损要包装好，但最后两双鞋盒都因快递员打包不正当造成不同程度破损，收件方收到后第二天又给我退了回来，顺丰方已经承认是他们的原因造成的，但是后续赔付说一个鞋盒只赔付20元，也就是两双40.我来回的运费已经84块钱了，何况我还保价了1500.顺丰方说就算我投诉一双鞋盒只最高只能赔付50.先不说运费已经快一百了，那么我这鞋盒肯定是修复不了了，只能折价二手出售，本来我的鞋子就是全新的，按照全新出售，结果被人退回来了，这中间的损失呢。</t>
  </si>
  <si>
    <t>立刻出行无法退还押金499元</t>
  </si>
  <si>
    <t>http://ts.21cn.com/tousu/show/id/1369747</t>
  </si>
  <si>
    <t>2019/10/17 18:40:15</t>
  </si>
  <si>
    <t>投诉人 梁女士        投诉对象  立刻出行        涉诉金额  499 元    问题类型    诉求类型投诉详情  无法用车 余额不退 押金不退 欺诈消费者</t>
  </si>
  <si>
    <t>客服不处理晋中市新橙优品迟迟不处理问题</t>
  </si>
  <si>
    <t>http://ts.21cn.com/tousu/show/id/1369748</t>
  </si>
  <si>
    <t>2019/10/17 18:40:14</t>
  </si>
  <si>
    <t>投诉人 皮先生        投诉对象  新橙优品        涉诉金额  20 000 元    问题类型    诉求类型投诉详情  9月份新橙客服联系说帮我处理问题 现在都十月份了 马上十一月份了 就没有下文了</t>
  </si>
  <si>
    <t>快贷宝，花无极砍头息高利贷</t>
  </si>
  <si>
    <t>http://ts.21cn.com/tousu/show/id/1369746</t>
  </si>
  <si>
    <t>2019/10/17 18:39:52</t>
  </si>
  <si>
    <t>停止对家人的骚扰，停止对通迅录群发短信，打电话，他们删除了我的通迅录好多人的电话，定位我手机位置。</t>
  </si>
  <si>
    <t>高利贷，暴力催收</t>
  </si>
  <si>
    <t>http://ts.21cn.com/tousu/show/id/1369745</t>
  </si>
  <si>
    <t>2019/10/17 18:39:37</t>
  </si>
  <si>
    <t>为米米罐提供渠道高利贷，借4100到手2700，1400的利息费用，变相说说征信报告费，我还是一名学生，真的压力大活不下去了，米米罐客服还说不能减免，正规收费，属于。</t>
  </si>
  <si>
    <t>暴力催收，恶意拨打骚扰第三方电话</t>
  </si>
  <si>
    <t>http://ts.21cn.com/tousu/show/id/1369744</t>
  </si>
  <si>
    <t>2019/10/17 18:38:44</t>
  </si>
  <si>
    <t>暴力催收，恶意拨打三方电话，严重影响工作，朋友要求个说法，我也只能离职，钱我肯定会还，给我点时间，没说不还，害我离职那我就更还不起了！。</t>
  </si>
  <si>
    <t>闪银奇异砍头息威胁恐吓，侵犯隐私，</t>
  </si>
  <si>
    <t>http://ts.21cn.com/tousu/show/id/1369743</t>
  </si>
  <si>
    <t>2019/10/17 18:38:30</t>
  </si>
  <si>
    <t>闪银奇异每次通过购买凭证或购买实物产品，变相收取砍头息，每次借款1400元30天周期，砍头利息240元左右！还款需要1470元！请问这240元是否合规，并且APP侵犯个人隐私，盗取个人通话记录，通话详单！催收人员恐吓本人通话记录，联系人！现要求闪银退还本人付出的所有砍头息，以及对本人联系人进行道歉！。</t>
  </si>
  <si>
    <t>哈尔滨太平机场空铁领航虚假宣传，误导他人办卡，无售后！！！</t>
  </si>
  <si>
    <t>http://ts.21cn.com/tousu/show/id/1369698</t>
  </si>
  <si>
    <t>2019/10/17 18:38:29</t>
  </si>
  <si>
    <t>本人于2019年1月9日于哈尔滨太平机场坐飞机前往重庆，在取票的路上，以为服务人员询问我是否需要帮忙取票，我说是的，在服务人员的带领下帮我完成了取票并推销我一张空铁领航的会员卡，向卡内充1699元即可享受3000元的价格，过于相信她，让我受骗办了这张卡，当我走到候机室的时候我在网上查了下这家公司的卡，发现自己可能被骗，所以给那位售卡人员打电话说要求退卡，她说要和经理联系，退款时间是三个月后，碍于飞机即将起飞我就又一次相信了她的话，两个月后空铁公司发来短信，说给我办卡的服务人员辞职，留下客服电话和经理电话，可</t>
  </si>
  <si>
    <t>http://ts.21cn.com/tousu/show/id/1369742</t>
  </si>
  <si>
    <t>2019/10/17 18:37:59</t>
  </si>
  <si>
    <t>闪银暴力催收，上个星期投诉了不是协商说下个星期还款吗，结果今天直接打电话给我爸了。</t>
  </si>
  <si>
    <t>不明真相被网贷拒绝退学退款</t>
  </si>
  <si>
    <t>http://ts.21cn.com/tousu/show/id/1369740</t>
  </si>
  <si>
    <t>2019/10/17 18:37:39</t>
  </si>
  <si>
    <t>投诉人 易女士        投诉对象  明世教育        涉诉金额  21 600 元    问题类型    诉求类型投诉详情  去年和我朋友了解到这个培训机构 当时说可以分期 后来才知道被网贷了 不久后申请退学被拒绝 而且有同样遭遇的同学也要求退款 被告知必须把贷款还完再商量 我们前段时间终于把贷款还完了 但是联系的老师以时间超出一个月拒绝了退学 一个人的学费是10800元 刚毕业一下子拿不出这么多钱 等钱终于还完了却说时间太久不予退学退款 我太难了</t>
  </si>
  <si>
    <t>上海翰银科技为赌博平台收单，请求瀚银为我退款挽回经济损失</t>
  </si>
  <si>
    <t>http://ts.21cn.com/tousu/show/id/1368477</t>
  </si>
  <si>
    <t>2019/10/17 18:37:36</t>
  </si>
  <si>
    <t>本人于2019年5月份通过手机上网，无意中被一个手机投资赚取收益的弹出窗口诱导进入了一个非法网络兼职平台，声称按计划购买彩票赚取佣金，事后才得知为网络非法博彩平台，和支付清算协会沟通得知第三方支付业务应审核客户的相关信息，第三方支付公司不得向证券、期货、博彩等机构提供支付结算业务，由于平台充值渠道看起来合法，包含银行转帐以及云闪付，快捷支付，本人经验不足，在此情况下被诱导在网站开始充值投资，在陆续中受到诱导，金额达到8万元，我认为上海瀚银信息科技在此案为非法投资平台提供赃款收取，有不可推卸的责任，根据中国人</t>
  </si>
  <si>
    <t>玖富万卡高利息网贷</t>
  </si>
  <si>
    <t>http://ts.21cn.com/tousu/show/id/1369738</t>
  </si>
  <si>
    <t>2019/10/17 18:36:33</t>
  </si>
  <si>
    <t>本人于8月12号要缴医药费，急需用钱，用玖富万卡APP借款8000元人民币整，实际放款8000元整，这几天在慢慢还账，仔细看了下账单，8000元的借款分12期，每期还款802.89，现在一共要还款9634.68元，这多出来的1634.68元，咨询客服，客服说是保险费，那这一千多的高价保险不就是高利贷，我希望有人能给我解决一下，谢谢。</t>
  </si>
  <si>
    <t>万家乐儿童盾EA400营销虚假宣传</t>
  </si>
  <si>
    <t>http://ts.21cn.com/tousu/show/id/1369707</t>
  </si>
  <si>
    <t>2019/10/17 18:36:06</t>
  </si>
  <si>
    <t>10月17日下午，连续三个电话告知我作为国美会员可以去活动现场参加万家乐35周年庆活动，，下班后本着房子刚装修好需要顺便逛一逛家电商场的想法就去了，结果就是长发2个半小时的活动，活动期间，万家乐公司利用其老客户对其品牌建立的高度信任，TDS测量水质，以及电解水实验，请出自称市场销售总监，向老客户传播一些关于食品、空气、环境、水等污染和安全的理念，该市场销售总监现场展示一个不知名空气净化器，鼓吹万家乐EA400净水器是第三代热水器有各种功能，播放环境污染、饮水污染、儿童健康有种以偏概全的误导感，在答谢会现场，</t>
  </si>
  <si>
    <t>51侵犯我隐私权</t>
  </si>
  <si>
    <t>http://ts.21cn.com/tousu/show/id/1369737</t>
  </si>
  <si>
    <t>2019/10/17 18:34:46</t>
  </si>
  <si>
    <t>51人品贷电话短信骚扰我家人朋友，发短信给我朋友泄露我个人借款隐私权依法追究51催收人员的责任以及赔偿道歉。</t>
  </si>
  <si>
    <t>建设银行信用卡逾期被爆通讯录</t>
  </si>
  <si>
    <t>http://ts.21cn.com/tousu/show/id/1369736</t>
  </si>
  <si>
    <t>2019/10/17 18:34:44</t>
  </si>
  <si>
    <t>未经本人同意拨打紧急联系人以外的亲友，给本人造成很大困扰。</t>
  </si>
  <si>
    <t>短信骚扰通讯录</t>
  </si>
  <si>
    <t>http://ts.21cn.com/tousu/show/id/1369735</t>
  </si>
  <si>
    <t>2019/10/17 18:34:17</t>
  </si>
  <si>
    <t>骚扰通讯录亲朋好友，短信骚扰通讯录亲朋好友。</t>
  </si>
  <si>
    <t>http://ts.21cn.com/tousu/show/id/1369732</t>
  </si>
  <si>
    <t>2019/10/17 18:32:57</t>
  </si>
  <si>
    <t>寄律师函到亲戚朋友处，不马上做出解释本人不但不会还款还追究法律责任。</t>
  </si>
  <si>
    <t>语言辱骂暴力收款</t>
  </si>
  <si>
    <t>http://ts.21cn.com/tousu/show/id/1369734</t>
  </si>
  <si>
    <t>2019/10/17 18:32:55</t>
  </si>
  <si>
    <t>在电话里骂我暴力收款，态度非常差恐吓，我要一个解释，还有最前爆我通讯录的。</t>
  </si>
  <si>
    <t>http://ts.21cn.com/tousu/show/id/1369733</t>
  </si>
  <si>
    <t>2019/10/17 18:32:52</t>
  </si>
  <si>
    <t>太过分了，我在医院，一直给我同事打电话，我工作没了，拿什么还钱。</t>
  </si>
  <si>
    <t>杭州51人品客服不处理</t>
  </si>
  <si>
    <t>http://ts.21cn.com/tousu/show/id/1369731</t>
  </si>
  <si>
    <t>2019/10/17 18:32:51</t>
  </si>
  <si>
    <t>9月24号逾期一天，9月25号51人品催收人员暴力催收。</t>
  </si>
  <si>
    <t>光大银行石家庄委托方态度恶劣骚扰无关人员</t>
  </si>
  <si>
    <t>http://ts.21cn.com/tousu/show/id/1369729</t>
  </si>
  <si>
    <t>2019/10/17 18:31:52</t>
  </si>
  <si>
    <t>投诉人景女士投诉对象光大银行涉诉金额20000元问题类型诉求类型投诉详情本人因遇到困难，到年底方能归还光大信用卡欠款，期间光大银行催收人员恶意骚扰单位及他人，后来转到石家庄的外包催收人员，031166106711的催收人员态度恶劣，一个年轻人辱骂上了年纪的女性，为了催收提成无所不用其极，最气人的是在不联系本人的情况下直接骚扰联系人，与其理论还恶语伤人，而在今天157******81这个人自称是石家庄催收的分支机构，还说什么到家里和单位调查取证，我想问问，一个第三方催收有什么权利谈调查取证，希望尽快解决，直接</t>
  </si>
  <si>
    <t>平安普惠乱发信息</t>
  </si>
  <si>
    <t>http://ts.21cn.com/tousu/show/id/1369727</t>
  </si>
  <si>
    <t>2019/10/17 18:31:00</t>
  </si>
  <si>
    <t>平安普惠7000没还，今天打电话和他们工作人员协商不了，现在平安普惠拿上传的两张照片到处乱发，发照片爆我通讯录，造成很严重影响，钱不是不还，是现在真没钱，我是真的想还，今天打平安普惠客服协商还款想分期还，对方不同意，希望有关部门能帮我取理一下，希望别在涨各种手续费利息费我是非常愿意还他们的钱，只是现在真没那多。</t>
  </si>
  <si>
    <t>恢复正常</t>
  </si>
  <si>
    <t>http://ts.21cn.com/tousu/show/id/1369726</t>
  </si>
  <si>
    <t>2019/10/17 18:30:47</t>
  </si>
  <si>
    <t>本来逾期过两次就几天的，有额度用不了我就没怎么理了，突然收到信息说可以用，现在想用也用不了，到底什么意思。</t>
  </si>
  <si>
    <t>套路贷高利贷暴力催收</t>
  </si>
  <si>
    <t>http://ts.21cn.com/tousu/show/id/1369724</t>
  </si>
  <si>
    <t>2019/10/17 18:29:01</t>
  </si>
  <si>
    <t>到账金额35000砍头息9176.87总还款额48580.22要求去掉砍头息协商合法利率不超过年利率24%。</t>
  </si>
  <si>
    <t>你我贷高利贷暴力催收，恐吓威胁</t>
  </si>
  <si>
    <t>http://ts.21cn.com/tousu/show/id/1369723</t>
  </si>
  <si>
    <t>2019/10/17 18:28:19</t>
  </si>
  <si>
    <t>本人在2019年9月4日在你我贷上借款5900元，借款前并未明示有服务费，下款后，前两期各1405元代购服务费，9月因住院，资金周转不开，主动给平台打电话要求协商延期还款并一次性结清，现在给我通讯录打电话威胁我要上门，要让我丢工作，你们打来的电话没有一个可以回拨过去的！请你给我一个合理的解释。</t>
  </si>
  <si>
    <t>银盛通pos机业务员在我不知情况下扣我300押金而且拒绝退费</t>
  </si>
  <si>
    <t>http://ts.21cn.com/tousu/show/id/1369721</t>
  </si>
  <si>
    <t>2019/10/17 18:25:54</t>
  </si>
  <si>
    <t>本人在2019.9.9在银盛支付业务员办了一台默认费率0.58的POS机，激活机子的时候才知道需要298元的激活费用才能用，然后他承诺说1万以下费率是0.38，然后先开通激活后才能回头申请调节成0.55费率，在后来打电话不接，微信拉黑，银盛支付4008816160电话打不通，当场查询了是有支付牌照的公司，所以才相信，没想到还是被骗。</t>
  </si>
  <si>
    <t>高利贷，威胁恐吓，暴力催收</t>
  </si>
  <si>
    <t>http://ts.21cn.com/tousu/show/id/1369720</t>
  </si>
  <si>
    <t>2019/10/17 18:25:30</t>
  </si>
  <si>
    <t>本人借款本金14800元，现已还款15000多元，利息及本金已经够了，多次与你我贷平台协商处理，必须要还款18000多元，不然不与销账，贷款利率已经超过国家标准24%了，你我贷不停催收，给本人生活造成严重影响，并通过网站平台获取本人账号密码，通过聚投诉已经投诉过两次，还是不见改善反而变本加厉。</t>
  </si>
  <si>
    <t>举报套路贷恶意催收</t>
  </si>
  <si>
    <t>http://ts.21cn.com/tousu/show/id/1369719</t>
  </si>
  <si>
    <t>2019/10/17 18:25:01</t>
  </si>
  <si>
    <t>投诉人 章幸        投诉对象  好分期（北京微财科技有限公司）        涉诉金额  2 000 元    问题类型    诉求类型投诉详情  本人借款后 发现平台不允许复借 属套路贷 利息超过24% 捞完一笔就走 本人发现后不予还款 而后该平台一天三四十个骚扰电话催收 言语态度极其恶劣 对我本人以及通讯录 进行辱骂 每天都是如此 由此我不想还款 这样的催收这样的利息高 恐吓平台 为什么还能存在市场上去残害其他人 恳请聚投诉能够处理</t>
  </si>
  <si>
    <t>信用管家神马借协商减免逾期费</t>
  </si>
  <si>
    <t>http://ts.21cn.com/tousu/show/id/1369718</t>
  </si>
  <si>
    <t>2019/10/17 18:24:44</t>
  </si>
  <si>
    <t>信用管家神马借1500本金还不进去，导致逾期30天，现在有逾期费，今天才联系上人，现在想协商归还本金，减免逾期费。</t>
  </si>
  <si>
    <t>http://ts.21cn.com/tousu/show/id/1369657</t>
  </si>
  <si>
    <t>2019/10/17 18:24:07</t>
  </si>
  <si>
    <t>由于公司破产负债累累，中信银行信用卡逾期，三张卡，已经积极结清一张卡片，也在积极偿还剩余逾期金额，由于变故使用手机号变更，没有及时跟银行沟通，中信银行诽谤我恶意透支，冒充当地公安局经侦科打电话恐吓，打电话过去协商还款，中信银行客服无人接听，第三方公司自称刘主任不给协商，现在要求直接和中信银行协商还款，分期还款。</t>
  </si>
  <si>
    <t>强制消费者进行网上借贷，且很多网贷利息大于24%</t>
  </si>
  <si>
    <t>http://ts.21cn.com/tousu/show/id/1369716</t>
  </si>
  <si>
    <t>2019/10/17 18:22:56</t>
  </si>
  <si>
    <t>投诉人 岳先生        投诉对象  助贷宝        涉诉金额  200 元    问题类型    诉求类型投诉详情  强制消费者进行高利息的借贷行为，违规协议</t>
  </si>
  <si>
    <t>http://ts.21cn.com/tousu/show/id/1369715</t>
  </si>
  <si>
    <t>2019/10/17 18:22:38</t>
  </si>
  <si>
    <t>投诉人 李先生        投诉对象  美团金融        涉诉金额  920 元    问题类型    诉求类型投诉详情  因本人个人原因 未恶意拖欠 逾期 接到美团金融催收人员的的电话 对本人进行侮辱 骂我三十几岁的人几百块钱没有 现在穷的乱咬人 本人已录音 要求协商还款 道歉</t>
  </si>
  <si>
    <t>骚扰家里面人</t>
  </si>
  <si>
    <t>http://ts.21cn.com/tousu/show/id/1369714</t>
  </si>
  <si>
    <t>2019/10/17 18:22:03</t>
  </si>
  <si>
    <t>投诉人 王延兵        投诉对象  来分期        涉诉金额  179 元    问题类型    诉求类型投诉详情  真不是不还钱 我现在真没有有了肯定直接给了</t>
  </si>
  <si>
    <t>中信银行</t>
  </si>
  <si>
    <t>http://ts.21cn.com/tousu/show/id/1367690</t>
  </si>
  <si>
    <t>2019/10/17 18:21:53</t>
  </si>
  <si>
    <t>投诉人王女士投诉对象中信银行涉诉金额5000元问题类型诉求类型投诉详情本人已电话联系客服，客服至今未回复，本行属于剥夺客户正常使用权利，给本人生活造成极大影响，请尽快与我联系解决。</t>
  </si>
  <si>
    <t>额度不符</t>
  </si>
  <si>
    <t>http://ts.21cn.com/tousu/show/id/1369713</t>
  </si>
  <si>
    <t>2019/10/17 18:21:44</t>
  </si>
  <si>
    <t>原始借款金额为8000，实际平台到账为70000，因本人不需要70000，且利息过高，超过本人还款承受范围，与平台客服电话联系撤销此次贷款，平台不给予撤销，不接受处理，强制让本人接受70000的贷款。</t>
  </si>
  <si>
    <t>招联金融催收真的厉害</t>
  </si>
  <si>
    <t>http://ts.21cn.com/tousu/show/id/1369712</t>
  </si>
  <si>
    <t>2019/10/17 18:21:22</t>
  </si>
  <si>
    <t>投诉人 钟先生        投诉对象  招联金融        涉诉金额  2 700 元    问题类型    诉求类型投诉详情  本人爸爸刚刚去世不久 也跟招联催收说了很清楚 我暂时处理不上 全部钱给了老爸治疗病情 也把所有钱给我爸爸治疗 人也没了 还钱需要时间 而不是一时三刻就可以处理 每天电话骚扰 施加精神压力 哪怕你们告我 还是一样 协商处理 催收上门我也不怕 反正什么都没了 不怕发生别的事情</t>
  </si>
  <si>
    <t>暴力催收骚扰</t>
  </si>
  <si>
    <t>http://ts.21cn.com/tousu/show/id/1369711</t>
  </si>
  <si>
    <t>2019/10/17 18:21:02</t>
  </si>
  <si>
    <t>去年申请了一张农业银行信用卡，当时额度1.2万元，2019年10月16日至17日还款25900元，根据还款账单提示还款日期为2019年10月22日在这期间，逾期三个月光利息多达2800多利息也非常高，我会运用自己的法律武器来维护我的权益保护欠款我会处理。</t>
  </si>
  <si>
    <t>宜人贷一天换3个不同催收过来骚扰</t>
  </si>
  <si>
    <t>http://ts.21cn.com/tousu/show/id/1369710</t>
  </si>
  <si>
    <t>2019/10/17 18:21:00</t>
  </si>
  <si>
    <t>宜人贷一天换3个催收骚扰，在这样骚扰下去，我工作我只能关机。</t>
  </si>
  <si>
    <t>http://ts.21cn.com/tousu/show/id/1344950</t>
  </si>
  <si>
    <t>2019/10/17 18:20:28</t>
  </si>
  <si>
    <t>投诉人王女士投诉对象平安普惠涉诉金额37461元问题类型诉求类型投诉详情借款人在借款时并未告知有保险费及服务费，只告知利息多少每月还款金额，等结清后才发现每月还款除去利息外还有高额服务费及保险费，客服联系告知每月还款金额都白纸黑字签字，但其实并未告知还款金额中包括服务费及保险费。</t>
  </si>
  <si>
    <t>暴击催收上门找我，我被吓到了</t>
  </si>
  <si>
    <t>http://ts.21cn.com/tousu/show/id/1369708</t>
  </si>
  <si>
    <t>2019/10/17 18:19:50</t>
  </si>
  <si>
    <t>黑社会是催收，爆通讯录，安排8/9个人开车来上门找我，我被这样的举动吓到了，我还是把钱还了，断我胳膊腿的怎么办啊，176******51这个号使用的黑社会份子，真是厉害啊！。</t>
  </si>
  <si>
    <t>及贷高利贷！暴力催收，不停骚扰亲戚朋友，威胁辱骂本人</t>
  </si>
  <si>
    <t>http://ts.21cn.com/tousu/show/id/1369705</t>
  </si>
  <si>
    <t>2019/10/17 18:18:10</t>
  </si>
  <si>
    <t>立马给我道歉，停止对我亲人朋友的骚扰，结清本金销账。</t>
  </si>
  <si>
    <t>冒充律所乱发违规函件</t>
  </si>
  <si>
    <t>http://ts.21cn.com/tousu/show/id/1369704</t>
  </si>
  <si>
    <t>2019/10/17 18:17:27</t>
  </si>
  <si>
    <t>自称拍拍贷公司委托的金成律师事务所，随意给我手机发送伪造律师函件、诉讼涵、一审公告，已经明确表示不认识函件上的欠款人，依旧不知悔改继续发送相关信息，还威胁是不是电话号码不想用了，污言秽语，问他这个是谁发的，居然说是拍拍贷后台发的，这样污蔑你们拍拍贷公司不管一下。</t>
  </si>
  <si>
    <t>铜小发催收频繁骚扰恐吓</t>
  </si>
  <si>
    <t>http://ts.21cn.com/tousu/show/id/1369703</t>
  </si>
  <si>
    <t>2019/10/17 18:17:14</t>
  </si>
  <si>
    <t>一天打17个电话，在明确表示稍后会处理，当前有事情在忙，在开会，依然恶语相向，不停骚扰，并隐约表明态度恶劣是因为暂未还款，并表示让借款人摆正态度，且言语中透露找工作单位，找通讯录电话等，并隐约表明，态度恶劣是因为暂未还款，并表示让借款人摆正态度，事实上从接第一个电话开始，借款人就未透露任何暂不还款的意思，在催收员反复提及工作单位工作内容亲戚朋友通讯录好友等信息后，借款人询问是否是在恐吓，催收电话打了多少个等等，催收人员态度依然恶劣。</t>
  </si>
  <si>
    <t>私自爆通讯录</t>
  </si>
  <si>
    <t>http://ts.21cn.com/tousu/show/id/1369702</t>
  </si>
  <si>
    <t>为什么要联系我通讯录的人，现在严重的影响了我的生活，而且我已经跟催收员说的很清楚了，催收员态度恶劣，完全不给解释的时间就挂断电话。</t>
  </si>
  <si>
    <t>苏宁易购质量问题不准退货</t>
  </si>
  <si>
    <t>http://ts.21cn.com/tousu/show/id/1369700</t>
  </si>
  <si>
    <t>2019/10/17 18:15:52</t>
  </si>
  <si>
    <t>发现不能正常使用，自身质量问题但做不到7天无理由退货。</t>
  </si>
  <si>
    <t>宜人贷雇黑社会上门恐吓家人</t>
  </si>
  <si>
    <t>http://ts.21cn.com/tousu/show/id/1369681</t>
  </si>
  <si>
    <t>2019/10/17 18:15:48</t>
  </si>
  <si>
    <t>宜人贷雇黑社会人员上门对本人家人进行恐吓，说以后每天都会去光顾，真是大公司，硬气的很啊，还要上单位进行催收，老子工作没了没收入你们一分也别想拿到。</t>
  </si>
  <si>
    <t>微信平台为了赚钱恶意承包给第三方出问题就冻结资金</t>
  </si>
  <si>
    <t>http://ts.21cn.com/tousu/show/id/1369696</t>
  </si>
  <si>
    <t>2019/10/17 18:13:47</t>
  </si>
  <si>
    <t>控诉腾讯微信支付团队，非法冻结个人财产，我微信里有几千元，时间较长，不知道有什么渠道可以处理，个人微信一直用作店铺收款以及做点小生意收款，收到款项被恶意投诉，腾讯没有丝毫联系和告知，直接冻结我的账号，打过无数电话，联系过无数客服，处理不了，我觉得非常莫名其妙，是腾讯店大欺客吗，凭什么无故冻结我的资产，是法院冻结的吗，微信就算是监管也没有权利冻结财产，可以停止使用，可是微信平台没有这样操作，而是为了获取更大利益把他承包给第三方平台，当6个月后自动没收这些老百姓的血汗钱，这种情况不是我一个人百分之60微信商家都</t>
  </si>
  <si>
    <t>你我贷还款问题处理</t>
  </si>
  <si>
    <t>http://ts.21cn.com/tousu/show/id/1369695</t>
  </si>
  <si>
    <t>2019/10/17 18:13:25</t>
  </si>
  <si>
    <t>暑假就联系过你我贷，现已正常还款11期账单，剩余一期账单未还，我现在还是大学在读，据我自己计算，我在你我贷借款7000元，分期12个月共需还款9512.88元，年利率达到了35.8，而据我所知不应该是24%吗，我现已正常还款了11月，还款金额达到了8806.94元！！我认为最后一期账单你我贷方面应予以销账处理！。</t>
  </si>
  <si>
    <t>钱站高额的服务费，砍头息</t>
  </si>
  <si>
    <t>http://ts.21cn.com/tousu/show/id/1369693</t>
  </si>
  <si>
    <t>2019/10/17 18:12:45</t>
  </si>
  <si>
    <t>本人在钱站app平台几次借款，第一次借款2000元，利息➕，第二次，和最后一次要求调整利率以及减少高额的所谓服务费，严重的违反了国家的正常借贷规定。</t>
  </si>
  <si>
    <t>快闪卡贷暴力催收，私下添加亲朋好友的微信告诉他们的欠款问题</t>
  </si>
  <si>
    <t>http://ts.21cn.com/tousu/show/id/1369692</t>
  </si>
  <si>
    <t>2019/10/17 18:12:08</t>
  </si>
  <si>
    <t>投诉人 巫先生        投诉对象  快闪卡贷        涉诉金额  1 000 元    问题类型    诉求类型投诉详情  不尊重个人隐私，随便联系亲朋好友。已对本人以及家人造成极大影响</t>
  </si>
  <si>
    <t>钱包易贷黑心网贷</t>
  </si>
  <si>
    <t>http://ts.21cn.com/tousu/show/id/1369691</t>
  </si>
  <si>
    <t>2019/10/17 18:10:00</t>
  </si>
  <si>
    <t>3月21日，本人因故在钱包易贷APP上借款10000元，，放款当天收取砍头费1489.45元，到手8510.55元，分期12期，下来要还款11300元，再加上砍头息1489.45元，下来要还：12789.45元，每月还款额1098.58元，这样高的利息，已经超出国家规定百分之36，9月22日，逾期一天，正好是周末双休，因本人早上休息，起床较晚，催收打电话没有接到，对方直接短信威胁本人，要给家里和公司打电话，当日电话骚扰达到了十几个，本人发工资是每月23-25日，与催收人员及客服协商是否能调整还款日期被拒，并</t>
  </si>
  <si>
    <t>东方银谷高利贷暴力催收</t>
  </si>
  <si>
    <t>http://ts.21cn.com/tousu/show/id/1369690</t>
  </si>
  <si>
    <t>2019/10/17 18:09:24</t>
  </si>
  <si>
    <t>我于2018年4月份向该公司贷款6万，分期24个月还款，每月要还3299.50元，合计要还款8万，这是什么样的利率?目前已还款已15个月，到2019年7月因资金周转原因未能还款，对方催收员暴力催收，骚扰到亲戚朋友同事，还打电话到公司，导致本人工作因此被调动，更加困难，与对方沟通时，一直表示有还款的意向，但因周转问题未能及时还款，每次电话催收员都不停辱骂，均有电话录音保存，微信短信也发信息威胁，还有2月还完了，现在没钱了，对方要起诉我现在算明白账了，有钱也不想还了当时也不给我合同，只给我一份自己按手印的还款单</t>
  </si>
  <si>
    <t>你我贷暴力催收侮辱恐吓诽谤骚扰</t>
  </si>
  <si>
    <t>http://ts.21cn.com/tousu/show/id/1369688</t>
  </si>
  <si>
    <t>2019/10/17 18:09:02</t>
  </si>
  <si>
    <t>1.借款4300元，分12期，前两期1024.64*2=2058.28,后十期379.64*10=3796.4,共计要还5854.68元，综合年化利率36.15%，现在已还两期共计2058.28元，后续还要继续还3796.4元，本金已还部分仍然记息，这样算下来，年化利率远远超过50%，十足的高利贷，阴阳合同案，涉嫌违规放贷业务，2.因工资延迟发放，账单日当天我提前跟你我贷公司协商过延迟还款，根本不给协商余地，并说逾期后会有贷后人员与你联系，无奈帐单逾期一天，催收上午打电话并已经承诺下午六点前会处理欠款，工作</t>
  </si>
  <si>
    <t>高利贷，利息高，提前还款需要还清12个月利息</t>
  </si>
  <si>
    <t>http://ts.21cn.com/tousu/show/id/1369689</t>
  </si>
  <si>
    <t>2019/10/17 18:08:56</t>
  </si>
  <si>
    <t>360借条太黑了，提前还款还要收取未产生的利息，国家规定提前还本款不能收取未产生的的利息，违法违规的操作，利息还高就是高利贷，借4000利息就有800多元。</t>
  </si>
  <si>
    <t>闪银收取砍头息</t>
  </si>
  <si>
    <t>http://ts.21cn.com/tousu/show/id/1369687</t>
  </si>
  <si>
    <t>2019/10/17 18:08:53</t>
  </si>
  <si>
    <t>我之前发的闪银砍头息的帖子怎么给我申请无效了，明明就是没协商好，每笔借款都收取200到300不等的手续费，钱一打到银行卡就扣掉了，还有我逾期的账单上个星期已经协商过说我下星期发了工资再还的，结果今天催收人员还是打电话给我爸了。</t>
  </si>
  <si>
    <t>小象优品催收频繁，骚扰家人</t>
  </si>
  <si>
    <t>http://ts.21cn.com/tousu/show/id/1369686</t>
  </si>
  <si>
    <t>2019/10/17 18:08:35</t>
  </si>
  <si>
    <t>利息催收人员说的年利率百分之18，可是还款的时候达到了百分之36，逾期利息高达千分之五，希望管管这个平台，把这个1908211催收人物和这个平台处理掉，这样的平台真的早就该处理了。</t>
  </si>
  <si>
    <t>美约恶意扣款</t>
  </si>
  <si>
    <t>http://ts.21cn.com/tousu/show/id/1369685</t>
  </si>
  <si>
    <t>2019/10/17 18:07:45</t>
  </si>
  <si>
    <t>美约软件我觉得不好用了我就卸载了期间免费使用。</t>
  </si>
  <si>
    <t>威胁我爆通讯录</t>
  </si>
  <si>
    <t>http://ts.21cn.com/tousu/show/id/1369684</t>
  </si>
  <si>
    <t>2019/10/17 18:07:11</t>
  </si>
  <si>
    <t>投诉人 王坤        投诉对象  还呗        涉诉金额  147 元    问题类型    诉求类型投诉详情  威胁我爆我通讯录，给亲朋好友打电话。态度不友好</t>
  </si>
  <si>
    <t>http://ts.21cn.com/tousu/show/id/1369682</t>
  </si>
  <si>
    <t>2019/10/17 18:07:05</t>
  </si>
  <si>
    <t>借款13000元等额本息一年，需还17766.76，利息远超国家法律规定，其中贷后管理费，贷后服务费，平台服务费夹杂其中高达3800多，本人已还13733.67本金全部还齐，本人老公一直在医院抢救昏迷不醒，还欠医院好几万，本人这个月把本金全部还清下月将不会再多还一分钱，如果下月你我贷暴利催收，骚扰我家人，我老公如有任何问题全部有你我贷，嘉银金科全部承担，暴利催收吸我老公的救治费，我将联系各大平台曝光你们暴利催收致人抢救。</t>
  </si>
  <si>
    <t>兴业银行暴力催收，恐吓，骚扰，上门</t>
  </si>
  <si>
    <t>http://ts.21cn.com/tousu/show/id/1369680</t>
  </si>
  <si>
    <t>2019/10/17 18:06:32</t>
  </si>
  <si>
    <t>我本人因为欠兴业银行信用卡，家庭出了些事情，无力全额还款，但我每个月无论如何都会还点进去，我不逃避，我只是现在资金困难，兴业银行就天天打电话催收，恐吓，骚扰，还委派第三方催收上门，搞得人心惶惶，我妈妈一个人在家，如她有任何闪失，我将告你们到底。</t>
  </si>
  <si>
    <t>钱站阴阳合同，没到账不给取消放款</t>
  </si>
  <si>
    <t>http://ts.21cn.com/tousu/show/id/1369679</t>
  </si>
  <si>
    <t>2019/10/17 18:06:08</t>
  </si>
  <si>
    <t>借2000，合同2500，未到账让他们取消，他们不给取消，非要到账后收3%违约金取消。</t>
  </si>
  <si>
    <t>http://ts.21cn.com/tousu/show/id/1369678</t>
  </si>
  <si>
    <t>2019/10/17 18:05:30</t>
  </si>
  <si>
    <t>投诉人张女士投诉对象宜信普惠涉诉金额1999元问题类型诉求类型投诉详情宜信普惠垃圾公司，让我见识到了真正的无下限，催收连孕妇孩子都不放过，威胁恐吓骚扰，我已经想不出还能用什么词来形容他们的卑劣手段了，我的联系人已经有身孕了，他们不顾及别人有孕在身，不断的骚扰，影响了别人的正常生活，我的儿子今年才上小学，连我儿子都不放过，居然要到我儿子学校门口贴我的个人信息，想让我儿子在学校抬不起头，这真不是人能干出来的事，连孕妇和小孩都不放过，无法无天，目中无法，我现在要求走正当法律程序，来处理我剩余的欠款，利息严重超标，</t>
  </si>
  <si>
    <t>提前联系三方爆通讯录收取高额砍头息</t>
  </si>
  <si>
    <t>http://ts.21cn.com/tousu/show/id/1369677</t>
  </si>
  <si>
    <t>2019/10/17 18:04:38</t>
  </si>
  <si>
    <t>在催我骚扰我就曝光！！！！高利贷！！！！！赤裸裸的高利贷！！！。</t>
  </si>
  <si>
    <t>众安保险在投保人不之情的情况下捆绑销售保险</t>
  </si>
  <si>
    <t>http://ts.21cn.com/tousu/show/id/1369674</t>
  </si>
  <si>
    <t>2019/10/17 18:04:03</t>
  </si>
  <si>
    <t>众安在线在我不之情的情况下和我来贷捆绑销售保险，且作为砍头息扣除，且没有任何声明，放款后就出现一个保单号，没有收到短信提示，之后也没有显示保险条款，众安保险把投保提示藏在借款协议里，且借款时无任何提示，谁会在借款协议里找保险签署协议?而且众安保险一直说自己合法合规，根据保险法第十一条规定，订立保险合同，应当协商一致，遵循公平原则确定各方的权利和义务，除法律、行政法规规定必须保险的外，保险合同自愿订立，我本身不是自愿的而且之前根本就不知道有这款保险说明这款保险本身就是无效的所以要求全额退款。</t>
  </si>
  <si>
    <t>拼多多为违规网站提供充值渠道</t>
  </si>
  <si>
    <t>http://ts.21cn.com/tousu/show/id/1369671</t>
  </si>
  <si>
    <t>2019/10/17 18:03:51</t>
  </si>
  <si>
    <t>投诉人赵先生投诉对象拼多多涉诉金额50000元问题类型诉求类型投诉详情拼多多为违规彩票网站提供充值渠道，诱惑充值，本人没有收到任何货物，订单也不是本人拼多多账号，联系客户敷衍了事，要求退款，冻结商家，做出处罚。</t>
  </si>
  <si>
    <t>暴力恐吓</t>
  </si>
  <si>
    <t>http://ts.21cn.com/tousu/show/id/1369669</t>
  </si>
  <si>
    <t>2019/10/17 18:03:27</t>
  </si>
  <si>
    <t>因投资失败，导致无法全额还款目前正在处理能处理的账单，第三方人员居然加微信留言恐吓。</t>
  </si>
  <si>
    <t>http://ts.21cn.com/tousu/show/id/1369670</t>
  </si>
  <si>
    <t>2019/10/17 18:03:15</t>
  </si>
  <si>
    <t>不要暴力催收，骚扰通讯录，停止骚扰，停止高利贷。</t>
  </si>
  <si>
    <t>开始销售为了签单乱答应我们条件现在有是无理由单方面和我们解除合同以及扣除我们押金三天不搬走东西清走</t>
  </si>
  <si>
    <t>http://ts.21cn.com/tousu/show/id/1369668</t>
  </si>
  <si>
    <t>2019/10/17 18:02:43</t>
  </si>
  <si>
    <t>10月10日，蛋壳管家江南俊并未履行其职责做到提醒和督促我们以及和湖北金融消费公司沟通而造成的恶性逾期事件，后面还说自己休息，临时一个叫胡进的管家一句话说我们的问题，要扣我们的押金以及单方面解除合约，并在2019年10月10日17：38，私自不分原由把我们门锁了，，公司客服说管家是有权力帮我们解冻的，但是事实管家并未这么做，导致我们当天晚上联系贵公司总部客服直至十点来钟才开的门并且贵公司总部客服说当天太晚，湖北金融消费公司已下班，确定让我们第二天把款直接打到湖北金融消费公司对公账号就可以了并告知我们具体操作</t>
  </si>
  <si>
    <t>催收人员不断打电话骚扰亲戚朋友，给亲戚朋友发短信</t>
  </si>
  <si>
    <t>http://ts.21cn.com/tousu/show/id/1369673</t>
  </si>
  <si>
    <t>2019/10/17 18:02:20</t>
  </si>
  <si>
    <t>投诉人陈女士投诉对象拍拍贷涉诉金额4800元问题类型诉求类型投诉详情拍拍贷催收给周围亲戚朋友打电话骚扰，发短信骚扰，给大家生活和精神上带来很大的困扰和影响。</t>
  </si>
  <si>
    <t>未经允许乱扣银行卡内金额</t>
  </si>
  <si>
    <t>http://ts.21cn.com/tousu/show/id/1369667</t>
  </si>
  <si>
    <t>2019/10/17 18:02:05</t>
  </si>
  <si>
    <t>无缘无故扣了本人银行卡90元，未经任何授权，强烈要求退款。</t>
  </si>
  <si>
    <t>优速快递在线客服处理不当</t>
  </si>
  <si>
    <t>http://ts.21cn.com/tousu/show/id/1369666</t>
  </si>
  <si>
    <t>2019/10/17 18:01:55</t>
  </si>
  <si>
    <t>优速快递在线客服，工号028418，我请求帮忙催一下快递派件，这个客服不知道是怎么回事，一会让我打站点电话，一会让我打公司电话，最后说成我要投诉当地的快递站点…我就想要请求帮我催一下快递派件，用得着这么麻烦。</t>
  </si>
  <si>
    <t>首信易为赌博网站提供支付通道</t>
  </si>
  <si>
    <t>http://ts.21cn.com/tousu/show/id/1369665</t>
  </si>
  <si>
    <t>2019/10/17 18:01:39</t>
  </si>
  <si>
    <t>轻信网上所谓的赚钱项目通过首信易付支付了钱，本以为通过中国银联正规线上支付是正规彩票机构，后来才知道是非法赌博平台.，和支付清算协会沟通得知第三方支付业务应审核客户的相关信息，第三方支付业务公司不得向证券，期货，博彩等机构提供支付结算业务，综上所述首信易支付为非法商户平台提供违法国家法律的支付通道视国家法律于不顾欺骗大众，按照以上法律法规要求首信易支付对本人损失进行先行赔付并依法查处非法平台，通过中国人民银行，中国银联，和支付清算协会沟通得知，第三方支付业务应审核客户的相关信息，第三方支付业务公司不得向证券</t>
  </si>
  <si>
    <t>宜人贷砍头息逾期按月收取发息且取消了我的分期</t>
  </si>
  <si>
    <t>http://ts.21cn.com/tousu/show/id/1369663</t>
  </si>
  <si>
    <t>2019/10/17 17:59:51</t>
  </si>
  <si>
    <t>宜人贷，一直有还款，最近资金不足，要求协商，但是他们取消了我的分期，让我一次性把钱还进去，。</t>
  </si>
  <si>
    <t>账号被盗申诉腾讯一直不通过打人工申诉也打不通</t>
  </si>
  <si>
    <t>http://ts.21cn.com/tousu/show/id/1369660</t>
  </si>
  <si>
    <t>2019/10/17 17:59:30</t>
  </si>
  <si>
    <t>13号账号被人改了密保手机我申诉腾讯还一直不通过，说不是我的资料不足，你要怎么验证才能信是我的那你验证啊，找个客服人工申诉也找不到，你可以问关于账号的一切有关问题我都能回答出来。</t>
  </si>
  <si>
    <t>微乐分暴力催收</t>
  </si>
  <si>
    <t>http://ts.21cn.com/tousu/show/id/1369662</t>
  </si>
  <si>
    <t>2019/10/17 17:59:18</t>
  </si>
  <si>
    <t>本人因遭遇套路贷，负债太多，导致微乐分逾期，本人有跟微乐分协商分期还款，可是微乐分第三方暴力催收，今天接到一个电话02028824482的电话打到单位，说本人还不上就要把本人工作搞掉，让我提前准备找工作，这不是赤裸裸的暴力催收吗，在联系到本人的情况下，还打单位工作电话，威胁说，打老板手机，把本人工作搞掉，催收这么无法无天吗。</t>
  </si>
  <si>
    <t>http://ts.21cn.com/tousu/show/id/1369658</t>
  </si>
  <si>
    <t>2019/10/17 17:58:42</t>
  </si>
  <si>
    <t>投诉人 郭庆彬        投诉对象  小花钱包,小花金服        涉诉金额  1 592 元    问题类型    诉求类型投诉详情  小花钱包 暴力催收 半夜骚扰家人 对我和家人朋友的生活造成困扰伤害，故投诉 ，要求道歉赔偿 安抚家人朋友，</t>
  </si>
  <si>
    <t>高炮网贷爆我通讯录</t>
  </si>
  <si>
    <t>http://ts.21cn.com/tousu/show/id/1369656</t>
  </si>
  <si>
    <t>2019/10/17 17:58:32</t>
  </si>
  <si>
    <t>投诉人 李先生        投诉对象  借钱多（借多多）        涉诉金额  1 800 元    问题类型    诉求类型投诉详情  借钱多存在高额砍头息，还爆我通讯录联系人。</t>
  </si>
  <si>
    <t>网贷电话骚扰</t>
  </si>
  <si>
    <t>http://ts.21cn.com/tousu/show/id/1369655</t>
  </si>
  <si>
    <t>2019/10/17 17:58:09</t>
  </si>
  <si>
    <t>朋友借了钱在我不知情的情况下紧急联系人写了我的电话，网贷公司不停的电话骚扰我，十分愤怒，钱是我朋友借的，网贷公司找不到人就去报警立案，打我电话影响到我的生活！。</t>
  </si>
  <si>
    <t>http://ts.21cn.com/tousu/show/id/1369654</t>
  </si>
  <si>
    <t>2019/10/17 17:58:02</t>
  </si>
  <si>
    <t>本人欠中信银行信用卡本金18000，目前利息滞纳金等等滚到22000，这段时间中信银行和第三方公司在未通知我本人的情况下上门两次，且上门和我家人说话态度生硬，我回家后打电话联系和其，也态度恶劣和言语辱骂，，在国家目前大环境整治的情况下公然暴力催收我必须要个说法！。</t>
  </si>
  <si>
    <t>钱站高利贷套路本人</t>
  </si>
  <si>
    <t>http://ts.21cn.com/tousu/show/id/1369653</t>
  </si>
  <si>
    <t>2019/10/17 17:57:52</t>
  </si>
  <si>
    <t>本人之前有一笔钱站借款，正常还款时有一期逾期了几天，可是他们内部人套路我说有一个老友计划，给我又授权一笔额度，说打我账户上，可是最后没有打账户上，却在我不知情的情况下用这笔钱结清我上一笔贷款，我上一笔借款本金都不足五万，可是这笔新的贷款是八万，他们套路我诱使我这笔借款，现在联系不到他们的工作人员了，希望你们能帮我处理，给个说法！。</t>
  </si>
  <si>
    <t>打通讯录威胁恐吓</t>
  </si>
  <si>
    <t>http://ts.21cn.com/tousu/show/id/1369652</t>
  </si>
  <si>
    <t>2019/10/17 17:57:50</t>
  </si>
  <si>
    <t>投诉人 黄女士        投诉对象  有钱花        涉诉金额  7 500 元    问题类型    诉求类型投诉详情  威胁 恐吓 在不知情下打通讯录.....</t>
  </si>
  <si>
    <t>弹个车</t>
  </si>
  <si>
    <t>http://ts.21cn.com/tousu/show/id/1369651</t>
  </si>
  <si>
    <t>2019/10/17 17:57:44</t>
  </si>
  <si>
    <t>我于2017年10月在弹个车购买一辆福特蒙迪欧轿车，第2年月供4689元某月，第二最后一个月我由于工作原因无力月供逾期20天，突然那边就半夜把车拖走，即使我现在不要车了，我还要付弹个车4万多费用。</t>
  </si>
  <si>
    <t>现金巴士逾期费不合理，催收不断</t>
  </si>
  <si>
    <t>http://ts.21cn.com/tousu/show/id/1369650</t>
  </si>
  <si>
    <t>2019/10/17 17:57:24</t>
  </si>
  <si>
    <t>app下载，无法还款，本金1000，现金巴士强行每天收10元逾期费，一直叠加上去，客服不肯协商，一分不让减免，而且还说就算还了本金，但还是一样会有逾期费，一样无法结清，并且经常性电话信息骚扰。</t>
  </si>
  <si>
    <t>恐吓收债</t>
  </si>
  <si>
    <t>http://ts.21cn.com/tousu/show/id/1369649</t>
  </si>
  <si>
    <t>2019/10/17 17:56:24</t>
  </si>
  <si>
    <t>用言语恐吓来收债，上午投诉完下午接着来，完全不当一回事。</t>
  </si>
  <si>
    <t>捷信还款事宜</t>
  </si>
  <si>
    <t>http://ts.21cn.com/tousu/show/id/1369565</t>
  </si>
  <si>
    <t>2019/10/17 17:56:05</t>
  </si>
  <si>
    <t>捷信金融我今天都申请结案，结果我接到你们的电话说我逾期，10号跟你们进行最后一次沟通我保证在一周之内还清协商的金额745就结清我的借款合同你们也答应了，我朋友今天12点多转给我我立马就还给你们了，下午就接到你们的电话而且人家很明确告诉我根本不知道这个事，我因为在医院有时候接不到电话但是我都是看到第一时间就回过去，而且今天我在回拨电话过去的时候你们的服务态度真的很不一样，我因为回拨到催收部我说那我和你们总公司联系。</t>
  </si>
  <si>
    <t>投诉催收人员态度恶劣</t>
  </si>
  <si>
    <t>http://ts.21cn.com/tousu/show/id/1369648</t>
  </si>
  <si>
    <t>2019/10/17 17:55:58</t>
  </si>
  <si>
    <t>投诉人 吴先生先生        投诉对象  捷信金融        涉诉金额  20 000 元    问题类型    诉求类型投诉详情  投诉催收人员态度恶劣工号 1103232 恐吓，威胁 ，高利贷</t>
  </si>
  <si>
    <t>宜信公司苏州部的催收人员，盗取客户资料</t>
  </si>
  <si>
    <t>http://ts.21cn.com/tousu/show/id/1369647</t>
  </si>
  <si>
    <t>2019/10/17 17:55:56</t>
  </si>
  <si>
    <t>乱打电话，一些连我自己都不熟悉的电话都不熟悉的电话是从哪里得来的，我怀疑他们恶意盗取用户资料。</t>
  </si>
  <si>
    <t>时光分期催收威胁骚扰家里人</t>
  </si>
  <si>
    <t>http://ts.21cn.com/tousu/show/id/1369646</t>
  </si>
  <si>
    <t>2019/10/17 17:55:46</t>
  </si>
  <si>
    <t>借款6000，实际到账5400，总共需要还款8160元，分12期，每期还款679.4元，之前每期正常还款了6期，这个月因为手头紧张没有及时还清第七期的月还款，所以他们要求全额提前结清，加上第七期的还款需要全额还3600元，我到目前为止我已经还掉了第七期欠款并支付了100元逾期费，实际已经还了4860元，加上之前砍掉的600元，实际上我已经还掉了总共5460元，所以我实际还有540元的本金未还，如果按照国家最高要求的年利率36%来算的话，我半年的利息只有1080元，如果全额结清我剩下半年的利息不需要支付，实际</t>
  </si>
  <si>
    <t>投诉贷上钱恶意恐吓，辱骂，骚扰</t>
  </si>
  <si>
    <t>http://ts.21cn.com/tousu/show/id/1369645</t>
  </si>
  <si>
    <t>2019/10/17 17:55:41</t>
  </si>
  <si>
    <t>贷上钱收超高利息，问其原有不答复就恶意恐吓本人不愿提供姓名只说是贷上钱要钱的，辱骂本人及亲属侮辱人格，性质恶劣就是黑社会，想报相关打黑除恶由于金额较小所以希望平台能给予相关帮助，弘扬正能量打黑出恶。</t>
  </si>
  <si>
    <t>钱站到处骚扰通讯录的人</t>
  </si>
  <si>
    <t>http://ts.21cn.com/tousu/show/id/1369644</t>
  </si>
  <si>
    <t>2019/10/17 17:54:30</t>
  </si>
  <si>
    <t>由于本人遇到事情，未能及时还款，该平台到处打电话，以及到处加通讯录的微信，对我生活造成了严重的影响。</t>
  </si>
  <si>
    <t>坑人手续费</t>
  </si>
  <si>
    <t>http://ts.21cn.com/tousu/show/id/1369642</t>
  </si>
  <si>
    <t>2019/10/17 17:52:33</t>
  </si>
  <si>
    <t>我在国美易卡平台申请一笔6000元借款，他们的借款流程是：先申请借款，然后签约合同，最后审核放款，由于我申请的手机号码已经没在使用，导致申请签约合同需要验证码，我接收不到，联系他们客服取消借款，客服说24小时内没签约会自动取消，结果一说完，马上给我自动放款，坑人手续费。</t>
  </si>
  <si>
    <t>无法进行退店！</t>
  </si>
  <si>
    <t>http://ts.21cn.com/tousu/show/id/1369641</t>
  </si>
  <si>
    <t>2019/10/17 17:52:28</t>
  </si>
  <si>
    <t>投诉人 许树洲        投诉对象  淘集集        涉诉金额  2 000 元    问题类型    诉求类型投诉详情  我已经退店快两个月了 到现在还没成功。一直显示有任务没完结。还有提现也是两个月了还没到账。</t>
  </si>
  <si>
    <t>蚂蚁金服暴力催收</t>
  </si>
  <si>
    <t>http://ts.21cn.com/tousu/show/id/1369643</t>
  </si>
  <si>
    <t>2019/10/17 17:52:13</t>
  </si>
  <si>
    <t>前年开通的蚂蚁花呗和借呗，蚂蚁在不考虑本人还款能力的情况下，数次提升额度，我不慎入坑，过上了以贷养贷的日子，从去年十月份开始，本人停止以贷养贷，粗略算了一下，总欠款已经达到十二万，其中蚂蚁金服欠款是两万四千元，到今天为止连本带利已经偿还了两万多，剩余五千多，今天蚂蚁金服催收，本人明确表示还款意愿，并且竭尽所能筹钱，蚂蚁金服仍是不愿协商，并表示要通知我的家人朋友，和我户籍地村委，暗含威胁，要令我名誉扫地，对此我无言以对，只希望蚂蚁金服能够和我能够协商解决。</t>
  </si>
  <si>
    <t>小安人工号发消息让我下载优钱花说下款</t>
  </si>
  <si>
    <t>http://ts.21cn.com/tousu/show/id/1369639</t>
  </si>
  <si>
    <t>2019/10/17 17:50:23</t>
  </si>
  <si>
    <t>优钱花客服打电话给我，让我添加小安人工号微信公众号，然后小安人工号一直诱导我在优钱花APP充值会员，并且说充值后是可以下款的，但是我充值后发现推荐的APP都是借款平台都没有放款的，这与小安人工号说的并不符，然后说他们的合作平台是不会有收手续费的情况，对方一上来就跟我要20%手续费，还能提供出我在优钱花下的订单记录，并且让我频繁的点贷款app，我现在都不能在贷款了。</t>
  </si>
  <si>
    <t>手机借款多宝分期高利贷</t>
  </si>
  <si>
    <t>http://ts.21cn.com/tousu/show/id/1369638</t>
  </si>
  <si>
    <t>2019/10/17 17:49:19</t>
  </si>
  <si>
    <t>9月14日，9月29日，10月14日，以每期2398.80元还款3期，合计还款总金额7196.4元，按照还3期计算，年利率已达110%远超国家规定，属于超级高利贷，故选择举报该平台，要求其撤销我的第四期还款，并做结清证明！也可以打备用电话号码170******36。</t>
  </si>
  <si>
    <t>软暴力催收、恐吓</t>
  </si>
  <si>
    <t>http://ts.21cn.com/tousu/show/id/1369637</t>
  </si>
  <si>
    <t>2019/10/17 17:49:13</t>
  </si>
  <si>
    <t>这是一个第三方催收公司，什么财务来着，说在全国有很多分公司，态度及其嚣张，并表示在目前这种国家打黑除恶的大环境下，他们也无所谓的，并且威胁我祸不及家人，我不知道他们是怎么找到我家人的信息，怎么找到我工作的信息的。</t>
  </si>
  <si>
    <t>高利贷钱站</t>
  </si>
  <si>
    <t>http://ts.21cn.com/tousu/show/id/1369636</t>
  </si>
  <si>
    <t>2019/10/17 17:48:41</t>
  </si>
  <si>
    <t>投诉人 黄先生        投诉对象  钱站        涉诉金额  3 000 元    问题类型    诉求类型投诉详情  钱站威胁恐吓，还没到逾期就开始暴力催收。</t>
  </si>
  <si>
    <t>http://ts.21cn.com/tousu/show/id/1369635</t>
  </si>
  <si>
    <t>2019/10/17 17:48:13</t>
  </si>
  <si>
    <t>投诉人 郭先生        投诉对象  小花钱包        涉诉金额  1 592 元    问题类型    诉求类型投诉详情  暴力催收 半夜骚扰亲朋好友 这种行为简直是丧心病狂 无法无天</t>
  </si>
  <si>
    <t>钱站变相阴阳合同高利贷，侵犯个人隐私暴力催收，</t>
  </si>
  <si>
    <t>http://ts.21cn.com/tousu/show/id/1369633</t>
  </si>
  <si>
    <t>2019/10/17 17:47:52</t>
  </si>
  <si>
    <t>变相阴阳合同，实际到账于合同借款金额不一样，综合年化利率高达百分之五十，称是我填的紧急联系人，对他们生活工作造成严重影响。</t>
  </si>
  <si>
    <t>包银消费软暴力催收</t>
  </si>
  <si>
    <t>http://ts.21cn.com/tousu/show/id/1369632</t>
  </si>
  <si>
    <t>2019/10/17 17:47:36</t>
  </si>
  <si>
    <t>软暴力催收，爆通讯录打电话恐吓我，我有录音。</t>
  </si>
  <si>
    <t>恐吓，辱骂</t>
  </si>
  <si>
    <t>http://ts.21cn.com/tousu/show/id/1369631</t>
  </si>
  <si>
    <t>2019/10/17 17:47:28</t>
  </si>
  <si>
    <t>总借款16000，七个月已经还17000多，协商减免还款被拒绝，还遭到恐吓，威胁，我终止还款后，骚扰身边多位亲戚朋友家人，今天又打电话来骚扰我。</t>
  </si>
  <si>
    <t>套路贷砍头息</t>
  </si>
  <si>
    <t>http://ts.21cn.com/tousu/show/id/1369630</t>
  </si>
  <si>
    <t>2019/10/17 17:47:18</t>
  </si>
  <si>
    <t>浙江阿拉丁电子商务股份有限公司旗下app爱上街商城，上传身份信息和通讯录通讯详单便可授信额度借款或者购物，借款刚开始以10天为期限，收取几百块钱的砍头息，本人在该平台使用借款将近一年时间，被套路支付砍头息数千元！315曝光套路贷之后便删除了借款记录，并将借贷关系转移到了西瓜信用，五月份我投诉过，但是没有得到解决，希望聚投诉平台能帮助解决，要求退回砍头息，本人将银行卡项目往来中与爱上街的所有交易形成书面材料向杭州金融，公安部门进行举报！要求退回砍头息！本人联系电话157******55。</t>
  </si>
  <si>
    <t>超职教育ACi国际心理咨询师的忽悠</t>
  </si>
  <si>
    <t>http://ts.21cn.com/tousu/show/id/1369629</t>
  </si>
  <si>
    <t>2019/10/17 17:46:54</t>
  </si>
  <si>
    <t>八月份跟朋友一起报的名,一节课没有上过，报名费也没交，现了解到这个证属于伪证，与当初介绍的有很大出入，现想退款，希望平台能帮上忙。</t>
  </si>
  <si>
    <t>信用管家的神马借还款不了.28天才联系</t>
  </si>
  <si>
    <t>http://ts.21cn.com/tousu/show/id/1369628</t>
  </si>
  <si>
    <t>2019/10/17 17:46:30</t>
  </si>
  <si>
    <t>前三期按时还.第四期还不到.联系客服没有接电话.也没人联系我.导致逾期28天利息费用高.。</t>
  </si>
  <si>
    <t>平安普惠暴力催收，一直骚扰联系人，还加微信一直骚扰</t>
  </si>
  <si>
    <t>http://ts.21cn.com/tousu/show/id/1369626</t>
  </si>
  <si>
    <t>2019/10/17 17:46:18</t>
  </si>
  <si>
    <t>平安普惠一直暴力催收，骚扰联系人，这边跟你说着不联系人，帮你想办法，那边就直接爆通讯录，真是垃圾，骚扰电话不断，恐吓短信不断，你以为你家是什么东西呀，不投诉你就觉得自己很了不起吗！高利贷就算了，还他妈嚣张！。</t>
  </si>
  <si>
    <t>http://ts.21cn.com/tousu/show/id/1369625</t>
  </si>
  <si>
    <t>2019/10/17 17:45:45</t>
  </si>
  <si>
    <t>中信信用卡委托第三方告诉我，如果我现在的215.6元不处理就要去上门拜访，而且不让我再联系银行客服，说是没有用的，我就想知道现在，上门拜访的权利，银行已经没有了，都是第三方来处理吗，信用卡的相关负责人也不处理此事，而是一再的推给第三方来和我沟通，请银行告知，什么情况。</t>
  </si>
  <si>
    <t>暴力催收，威胁，高利贷</t>
  </si>
  <si>
    <t>http://ts.21cn.com/tousu/show/id/1369624</t>
  </si>
  <si>
    <t>2019/10/17 17:45:28</t>
  </si>
  <si>
    <t>因本来资金周转不开，导致逾期，接过客服致电，同意缴纳违约金，并推迟几天还款，依然打电话骚扰本人，并威胁叫黑社会上门，恐吓我以及我的家人，现在工作也被这些电话骚扰的无法正常进行，家人身心首创，希望平台重视这种行为，如果不处理，坚决追究到底，目前正在联系打黑办。</t>
  </si>
  <si>
    <t>美团点评恶意拖欠推广费不退还</t>
  </si>
  <si>
    <t>http://ts.21cn.com/tousu/show/id/1369623</t>
  </si>
  <si>
    <t>美团点评,美团金融,大众点评,推广通,点评管家，其中后接触客服跟我说周期需要半年之久我不明白这什么流程,退个款需要那么久..现在我已经停止使用点评软件1年多了，距与美团最开始联系至今已经半年多了..那么大的企业，一句投诉无效就无效了??本人至今已经多次联系美团。</t>
  </si>
  <si>
    <t>洋钱罐现金借款暴力催收</t>
  </si>
  <si>
    <t>http://ts.21cn.com/tousu/show/id/1369621</t>
  </si>
  <si>
    <t>2019/10/17 17:44:42</t>
  </si>
  <si>
    <t>洋钱罐催收爆通讯录，打了三个通讯录没联系过的朋友电话，跟她们说是紧急联系人，反馈洋钱罐客服，客服说只会打紧急联系人不会打通讯录。</t>
  </si>
  <si>
    <t>APP无法登陆客户电话不接故意导致我逾期</t>
  </si>
  <si>
    <t>http://ts.21cn.com/tousu/show/id/1369620</t>
  </si>
  <si>
    <t>2019/10/17 17:44:15</t>
  </si>
  <si>
    <t>投诉人 李先生        投诉对象  小树时代        涉诉金额  2 000 元    问题类型    诉求类型投诉详情  请小树时代龙分期客服联系我，我要还款 并撤销逾期记录</t>
  </si>
  <si>
    <t>http://ts.21cn.com/tousu/show/id/1369619</t>
  </si>
  <si>
    <t>2019/10/17 17:42:40</t>
  </si>
  <si>
    <t>贷上钱以购买游戏豆理由借4500要还6000左右，盗用我通讯录信息，骚扰我朋友家人，并且威胁如果不还钱将派人去村委会要钱。</t>
  </si>
  <si>
    <t>闲鱼盗用本人图片，泄露个人信息</t>
  </si>
  <si>
    <t>http://ts.21cn.com/tousu/show/id/1369618</t>
  </si>
  <si>
    <t>2019/10/17 17:42:18</t>
  </si>
  <si>
    <t>淘宝闲鱼，有卖家出售二手物品，配发的图片都是本人照片，且包含本人家居摆设，让本人朋友误以为是本人的行为，严重影响了本人形象，侵犯了本人对于照片依法享有的著作权，本人联系闲鱼客服，闲鱼客服推诿扯皮，不予办理，本人要求，闲鱼速与本人联系，澄清事实，撤销侵权图片。</t>
  </si>
  <si>
    <t>要求招商银行退罚息</t>
  </si>
  <si>
    <t>http://ts.21cn.com/tousu/show/id/1369616</t>
  </si>
  <si>
    <t>2019/10/17 17:42:01</t>
  </si>
  <si>
    <t>以讯问过银监局，可以退罚息，要求部分罚息，要求退部分罚息，要求退部分罚息。</t>
  </si>
  <si>
    <t>唯品会买的浪琴手表表盘后盖自动脱落</t>
  </si>
  <si>
    <t>http://ts.21cn.com/tousu/show/id/1369615</t>
  </si>
  <si>
    <t>2019/10/17 17:41:59</t>
  </si>
  <si>
    <t>2018年11月10日从唯品会购买的浪琴手表，11月12日收到的货，在2019年10月11日发现手表的表盘后盖自动脱落，时间不满一年，我平时佩戴的时间并不多，而且没有摔过，没有磕碰过，就是自动脱落的，我联系浪琴官方客服说明问题准备进行维修，但浪琴官方客服告知我没有授权唯品会进行销售，所以不在他们保修范围，随后我又联系唯品会客服，告知我这个手表只是在他们店铺保修，并且需要把手表寄到北京的一家店铺维修，我不同意这个方案，要求退换货，唯品会方面不同意，他们只提出补偿400元的唯品币方案，我也未同意，因为手表价值不</t>
  </si>
  <si>
    <t>http://ts.21cn.com/tousu/show/id/1369617</t>
  </si>
  <si>
    <t>2019/10/17 17:41:52</t>
  </si>
  <si>
    <t>轻信网上所谓的赚钱项目通过瀚银科技付支付了钱，本以为通过中国银联正规线上支付是正规彩票机构，后来才知道是非法赌博平台.，和支付清算协会沟通得知第三方支付业务应审核客户的相关信息，第三方支付业务公司不得向证券，期货，博彩等机构提供支付结算业务，综上所述瀚银科技为非法商户平台提供违法国家法律的支付通道视国家法律于不顾欺骗大众，按照以上法律法规要求瀚银科技对本人损失进行先行赔付并依法查处非法平台，通过中国人民银行，中国银联，和支付清算协会沟通得知，第三方支付业务应审核客户的相关信息，第三方支付业务公司不得向证券，</t>
  </si>
  <si>
    <t>360借条收取高额利息问题</t>
  </si>
  <si>
    <t>http://ts.21cn.com/tousu/show/id/1369613</t>
  </si>
  <si>
    <t>2019/10/17 17:41:13</t>
  </si>
  <si>
    <t>投诉人 李先生        投诉对象  360借条        涉诉金额  25 500 元    问题类型    诉求类型投诉详情  360借条利息太高，提前还款收取高额利息。要求调整利息。</t>
  </si>
  <si>
    <t>京东金条三方催款短信恐吓威胁</t>
  </si>
  <si>
    <t>http://ts.21cn.com/tousu/show/id/1369612</t>
  </si>
  <si>
    <t>2019/10/17 17:41:10</t>
  </si>
  <si>
    <t>京东金条第三方催收暴露联系人信息，捏造事实，说我没接电话，每个电话我都接了，并想协商但是对方态度恶劣也并未协商成功，还发短信恐吓。</t>
  </si>
  <si>
    <t>来客优打电话骚扰</t>
  </si>
  <si>
    <t>http://ts.21cn.com/tousu/show/id/1369614</t>
  </si>
  <si>
    <t>2019/10/17 17:41:08</t>
  </si>
  <si>
    <t>投诉人 李女士        投诉对象  来客优商城        涉诉金额  0 元    问题类型    诉求类型投诉详情  从来都没有申请过来客优 也不知道来客优是什么 接电话就开始大吼了然后开始骂人 骂的很难听</t>
  </si>
  <si>
    <t>兴业银行骚要</t>
  </si>
  <si>
    <t>http://ts.21cn.com/tousu/show/id/1369611</t>
  </si>
  <si>
    <t>2019/10/17 17:40:36</t>
  </si>
  <si>
    <t>天天打电话去我前单位骚要！打电话给又不给任何协商余地就跟你说几点前要还款！。</t>
  </si>
  <si>
    <t>9月24号车贷就已经生成了</t>
  </si>
  <si>
    <t>http://ts.21cn.com/tousu/show/id/1369610</t>
  </si>
  <si>
    <t>2019/10/17 17:40:18</t>
  </si>
  <si>
    <t>9月24号就产生的车贷，到今天还没放款，车商不放车。</t>
  </si>
  <si>
    <t>网络借贷误导性虚假宣传</t>
  </si>
  <si>
    <t>http://ts.21cn.com/tousu/show/id/1369609</t>
  </si>
  <si>
    <t>2019/10/17 17:40:16</t>
  </si>
  <si>
    <t>借款时显示每月等额还款，到还款日发现提前三期大量还款，后面九期还61.05，跟他们客服拿借款协议，他们不仅不提供，说借款时有提示，但这笔放款当初是直接进账的，跟他们协商全部还款，他们要求我按APP全部归还，也就是7535，实际到账5500协商提前还款需还7535，这种情况应该怎么解决。</t>
  </si>
  <si>
    <t>安逸花偷偷扣钱</t>
  </si>
  <si>
    <t>http://ts.21cn.com/tousu/show/id/1369607</t>
  </si>
  <si>
    <t>2019/10/17 17:40:14</t>
  </si>
  <si>
    <t>玖富万卡擅自改写合同，变相提高手续费用</t>
  </si>
  <si>
    <t>http://ts.21cn.com/tousu/show/id/1036229</t>
  </si>
  <si>
    <t>2019/10/17 17:40:04</t>
  </si>
  <si>
    <t>投诉人曾先生投诉对象玖富,玖富,玖富资本,壹钱包,平安普惠,平安银涉诉金额37535元问题类型诉求类型投诉详情万卡平台擅自改写借款合同和还款账单，收取高额利息及高额服务费！。</t>
  </si>
  <si>
    <t>捷信高利息借款，按照合理利率还款</t>
  </si>
  <si>
    <t>http://ts.21cn.com/tousu/show/id/1369608</t>
  </si>
  <si>
    <t>2019/10/17 17:39:54</t>
  </si>
  <si>
    <t>捷信高利贷款，借3W，要还54000多，一个月还1513.26，我已经沟通他们结清欠款，他们明确告知我拒绝按照合理利率24%进行结清欠款，在这个过程中并暴力催收我及家人各种暴力电话和语言，我都有保留好证据；当前主要有两个诉求：诉求1：按照法律规定利率24%合理结清欠款；诉求2：暴力催收道歉。</t>
  </si>
  <si>
    <t>钱站高利息</t>
  </si>
  <si>
    <t>http://ts.21cn.com/tousu/show/id/1369606</t>
  </si>
  <si>
    <t>2019/10/17 17:39:50</t>
  </si>
  <si>
    <t>6000元借款一年需要偿还10175.88元。</t>
  </si>
  <si>
    <t>误操作向亿览在线充值1000元要求退还。</t>
  </si>
  <si>
    <t>http://ts.21cn.com/tousu/show/id/1369604</t>
  </si>
  <si>
    <t>2019/10/17 17:39:32</t>
  </si>
  <si>
    <t>骑单车手机放在裤袋里摩擦误打开酷我音乐里的聚星直播充值页面，并选中充值1000元，因设置了指纹支付，从裤袋里拿出手机时，手指碰到了支付键而支付成功，实际上本人从未看过直播。</t>
  </si>
  <si>
    <t>http://ts.21cn.com/tousu/show/id/1369603</t>
  </si>
  <si>
    <t>2019/10/17 17:39:30</t>
  </si>
  <si>
    <t>打电话，发短信骚扰无关人员，谩骂侮辱，客服态度极差！。</t>
  </si>
  <si>
    <t>小赢催收一定要打联系人电话确认情况</t>
  </si>
  <si>
    <t>http://ts.21cn.com/tousu/show/id/1369602</t>
  </si>
  <si>
    <t>2019/10/17 17:39:27</t>
  </si>
  <si>
    <t>我已经说明了我这边不是不还款，只是需要协商还款时间，今天小赢的高风险管理部工作人员打电话，我也是把情况原原本本的告诉了对方，我是在国庆节时候向银行做的一个房屋抵押贷款，由于自身有在网络贷款平台上有欠款，怕逾期会对贷款有影响，是由母亲出门以她的名义来做的这个贷款，也和工作人员说明了周一的时候银行那边已经到了家里进行了拍照，所有的资料都已经齐全，现在就等待着银行贷款一到立马先还上网贷平台的，这给我争取的时间我就自己做事挣钱还银行，也没想说是等我挣钱了再还网贷，银行房屋抵押贷款已经是目前能想到最快解决网贷问题的办</t>
  </si>
  <si>
    <t>http://ts.21cn.com/tousu/show/id/1369605</t>
  </si>
  <si>
    <t>2019/10/17 17:39:23</t>
  </si>
  <si>
    <t>群发消息，骚扰正常生活，协商晚几天还，平台不愿意，直接第三方催收轰炸通讯录。</t>
  </si>
  <si>
    <t>连连银通支付违规为高利贷提供支付通道，你我贷变相收取高额砍头息，超出国家规定利率</t>
  </si>
  <si>
    <t>http://ts.21cn.com/tousu/show/id/1369600</t>
  </si>
  <si>
    <t>2019/10/17 17:38:09</t>
  </si>
  <si>
    <t>你我贷收取砍头息，借款8100，2个月提前结清要还11011.68元，连连支付违规为高利贷提供支付通道。</t>
  </si>
  <si>
    <t>及贷公司扬言P图群发通讯录</t>
  </si>
  <si>
    <t>http://ts.21cn.com/tousu/show/id/1369601</t>
  </si>
  <si>
    <t>2019/10/17 17:38:06</t>
  </si>
  <si>
    <t>这只是及贷公司发给我的其中之一，现在他们搞得我工作都丢了，没有工作我拿什么还你们，催收也要有个度吧，还要短信联系我通讯录，你短信联系一下试试，看我还不还你们，我又不是不还钱，前两天还了你们一期1000多，现在手里紧，不紧我就都还你们了，还用你们催，，如果你们使用法律之外的催收手段，我一定不会还钱，并会将你们告上法院，法院判多少我还多少。</t>
  </si>
  <si>
    <t>http://ts.21cn.com/tousu/show/id/1369599</t>
  </si>
  <si>
    <t>2019/10/17 17:37:44</t>
  </si>
  <si>
    <t>在钱站APP借钱2000,而借钱协议金额为2660元，分三期还款每期还款1229.20元，在借款协议中的还款分期表第一期还款日为10.9号，应还款本息902.82服务费1.01应还款总合1229.20,第二期为11.9号应还款本息904.61服务费1.01应还款总合1230.99,第三期还款日12.9号应还款本息904.60，应还款总合1230.98元。</t>
  </si>
  <si>
    <t>随手记收砍头息，爆力催收，乱爆通讯录</t>
  </si>
  <si>
    <t>http://ts.21cn.com/tousu/show/id/1369557</t>
  </si>
  <si>
    <t>2019/10/17 17:37:29</t>
  </si>
  <si>
    <t>投诉人卢先生投诉对象随手记涉诉金额6500元问题类型诉求类型投诉详情收砍头息，借款6500实际到账5200，暴力催收，乱打通讯录，这样的平台为什么还能存在。</t>
  </si>
  <si>
    <t>好易贷，高利套路贷，还款后不销帐</t>
  </si>
  <si>
    <t>http://ts.21cn.com/tousu/show/id/1369598</t>
  </si>
  <si>
    <t>2019/10/17 17:37:07</t>
  </si>
  <si>
    <t>本人在趣花分期app里点击好易贷，借款3000元，前期砍了900元费用，实际到账2100元整，借款期限写的是七天，其实是六天，逾期一天费用高达100多元，昨天已与好易贷人员，电话：189******69，167******02，协商好按国家法定利息以及到账本金适当增加金额共2300元处理并销账，今天我已按双方协议把2300元还至好易贷app，然而我联系好易贷人员后却被告知不能销账，需还款4500元才能销账，这种行为就是典型的国家明令禁止典型的套路贷！高利贷！我有整个协商过程的电话录音，如有需要我可提供，请国</t>
  </si>
  <si>
    <t>玖富万卡合同违规，高利贷！中国人民财产保险未告知本人任何情况！平安银行明知道高利贷参与放款！</t>
  </si>
  <si>
    <t>http://ts.21cn.com/tousu/show/id/1369573</t>
  </si>
  <si>
    <t>2019/10/17 17:36:54</t>
  </si>
  <si>
    <t>玖富万卡合同违规，强制使用服务套餐，变相收取服务费，金额协商一次比一次涉！中国人民财产保险公司也没有告知问过本人意愿就购买！平安银行明知道玖富万卡收取高利息还合作放贷，助纣为虐！。</t>
  </si>
  <si>
    <t>腾讯视频会员自动扣费从6月份开始多扣费每月多扣15元连续5个月</t>
  </si>
  <si>
    <t>http://ts.21cn.com/tousu/show/id/1369597</t>
  </si>
  <si>
    <t>2019/10/17 17:36:49</t>
  </si>
  <si>
    <t>2018年开通腾讯视频会员以来，会员费15元每月，从2019年6月开始每月中旬开始多扣费上午扣一次月会员费，下午扣一次月会员费，没有的多扣15元，一共多扣了5个月，当我知道后关闭自动扣费服务后尽然又多扣了15元的月会员费我才觉得被骗了。</t>
  </si>
  <si>
    <t>贷上钱变相砍头息</t>
  </si>
  <si>
    <t>http://ts.21cn.com/tousu/show/id/1369596</t>
  </si>
  <si>
    <t>2019/10/17 17:36:19</t>
  </si>
  <si>
    <t>贷上钱变相砍头息，逾期半天打骚扰电话，态度恶劣。</t>
  </si>
  <si>
    <t>及贷高利贷，暴力催收</t>
  </si>
  <si>
    <t>http://ts.21cn.com/tousu/show/id/1369595</t>
  </si>
  <si>
    <t>2019/10/17 17:35:30</t>
  </si>
  <si>
    <t>暴力催收天天发短信打电话骚扰，还向我的家人朋友打电话发短信骚扰，恐吓，对我的生活造成了严重的影响，我每一期都是在努力还款，这期手里实在没钱，希望能够稍等一下，容我慢慢还款，停止催收。</t>
  </si>
  <si>
    <t>丹鸟快递送错不改正</t>
  </si>
  <si>
    <t>http://ts.21cn.com/tousu/show/id/1369594</t>
  </si>
  <si>
    <t>2019/10/17 17:35:28</t>
  </si>
  <si>
    <t>在淘宝上购买电饭煲填写地址是贵州省六盘水民主镇滑石村，而快递员送到滑石镇，村与镇差距很大，本人已联系快递员同意送回民主镇，过去5天依旧不改，中间通过商家沟通也无果。</t>
  </si>
  <si>
    <t>信用飞阴阳合同案，无故收取费用</t>
  </si>
  <si>
    <t>http://ts.21cn.com/tousu/show/id/1369593</t>
  </si>
  <si>
    <t>2019/10/17 17:35:15</t>
  </si>
  <si>
    <t>于八月十一号申请2500元借款，借款协议并没有500元的扣款说明，打电话给客服，客服说是本金直接扣除的，明显的砍头息，要求退还500元的扣款。</t>
  </si>
  <si>
    <t>维信卡卡贷恶意扣款</t>
  </si>
  <si>
    <t>http://ts.21cn.com/tousu/show/id/1369592</t>
  </si>
  <si>
    <t>2019/10/17 17:35:06</t>
  </si>
  <si>
    <t>1、维信卡卡贷未通过任何形式发送账单通知需要还款，以便收取高额违约金，第一天扣款失败就强制收取100服务费，2、强制扣除两次保险费共798，在不知情的情况下向绑定银行卡扣除所谓的担保费60，，分期12个月利息高达2023.96，加上强制扣除的保险费共2821.96元，严重高于国家规定利息，要求退还保险费和担保费，减免利息提前还款并取消分期订单，同时提供结清证明。</t>
  </si>
  <si>
    <t>省呗损坏我的荣誉，曝光我的通讯录</t>
  </si>
  <si>
    <t>http://ts.21cn.com/tousu/show/id/1369591</t>
  </si>
  <si>
    <t>2019/10/17 17:34:51</t>
  </si>
  <si>
    <t>暴力恐吓我，给我生活造成了压力，精神受到损坏。</t>
  </si>
  <si>
    <t>http://ts.21cn.com/tousu/show/id/1369590</t>
  </si>
  <si>
    <t>2019/10/17 17:34:33</t>
  </si>
  <si>
    <t>在可以联系到我本人的情况下，骚扰我通讯录里面的亲人，朋友，盗取我通讯录信息，泄露我个人隐私。</t>
  </si>
  <si>
    <t>无故被特约中智划走钱</t>
  </si>
  <si>
    <t>http://ts.21cn.com/tousu/show/id/1369589</t>
  </si>
  <si>
    <t>2019/10/17 17:34:12</t>
  </si>
  <si>
    <t>投诉人 张先生        投诉对象  （特约）中智        涉诉金额  408 元    问题类型    诉求类型投诉详情  没有短信，无故被刷走408块钱，请求赔偿</t>
  </si>
  <si>
    <t>钱站故意制造逾期</t>
  </si>
  <si>
    <t>http://ts.21cn.com/tousu/show/id/1369588</t>
  </si>
  <si>
    <t>2019/10/17 17:34:11</t>
  </si>
  <si>
    <t>投诉人 刘女士        投诉对象  钱站        涉诉金额  320 元    问题类型    诉求类型投诉详情  还了钱不销账。说逾期费减免。还是在显示增加。故意制造逾期费</t>
  </si>
  <si>
    <t>出借人叫我打条不放款不销账</t>
  </si>
  <si>
    <t>http://ts.21cn.com/tousu/show/id/1369568</t>
  </si>
  <si>
    <t>2019/10/17 17:33:29</t>
  </si>
  <si>
    <t>投诉人邱先生投诉对象借贷宝平台出借人涉诉金额10000元问题类型诉求类型投诉详情我打1万块的条子不放款不销账，还要我缴纳费用才能销账不然就搞我逾期。</t>
  </si>
  <si>
    <t>714叮当想花恶意催收，辱骂</t>
  </si>
  <si>
    <t>http://ts.21cn.com/tousu/show/id/1369587</t>
  </si>
  <si>
    <t>2019/10/17 17:33:18</t>
  </si>
  <si>
    <t>叮当想花，714高利贷，砍头息，骚扰家人，辱骂，电话不能打进，国家不管这类黑恶团体。</t>
  </si>
  <si>
    <t>广东信汇卫赌博网站提供支付通道</t>
  </si>
  <si>
    <t>http://ts.21cn.com/tousu/show/id/1369586</t>
  </si>
  <si>
    <t>2019/10/17 17:32:22</t>
  </si>
  <si>
    <t>轻信网上所谓的赚钱项目通过信汇付支付了钱，本以为通过中国银联正规线上支付是正规彩票机构，后来才知道是非法赌博平台.，和支付清算协会沟通得知第三方支付业务应审核客户的相关信息，第三方支付业务公司不得向证券，期货，博彩等机构提供支付结算业务，综上所述信汇付为非法商户平台提供违法国家法律的支付通道视国家法律于不顾欺骗大众，按照以上法律法规要求信汇付对本人损失进行先行赔付并依法查处非法平台，通过中国人民银行，中国银联，和支付清算协会沟通得知，第三方支付业务应审核客户的相关信息，第三方支付业务公司不得向证券，期货，博</t>
  </si>
  <si>
    <t>砍头高利贷，威胁还款</t>
  </si>
  <si>
    <t>http://ts.21cn.com/tousu/show/id/1369585</t>
  </si>
  <si>
    <t>2019/10/17 17:32:04</t>
  </si>
  <si>
    <t>本人通过软件推荐在小饭票永恒优享，群英花借款，他们是高额的砍头息贷款，且他们催收态度十分恶劣，威胁还款，畅捷通提供支付渠道，要求他们退回我部分砍头利息费用。</t>
  </si>
  <si>
    <t>催收威胁恐吓</t>
  </si>
  <si>
    <t>http://ts.21cn.com/tousu/show/id/1369583</t>
  </si>
  <si>
    <t>2019/10/17 17:31:37</t>
  </si>
  <si>
    <t>我说了今晚十二点之前还上延期的费用，催收不干威胁我，说只能等到七点，过了七点要我自己看着办。</t>
  </si>
  <si>
    <t>大力水手暴力催收，恐吓</t>
  </si>
  <si>
    <t>http://ts.21cn.com/tousu/show/id/1369584</t>
  </si>
  <si>
    <t>2019/10/17 17:31:29</t>
  </si>
  <si>
    <t>投诉人 张先生        投诉对象  大力水手        涉诉金额  0 元    问题类型    诉求类型投诉详情  恐吓，侮辱，还群发骚扰家人同事领导。希望做出处罚</t>
  </si>
  <si>
    <t>高利贷需要延期</t>
  </si>
  <si>
    <t>http://ts.21cn.com/tousu/show/id/1369581</t>
  </si>
  <si>
    <t>2019/10/17 17:31:23</t>
  </si>
  <si>
    <t>最近经济紧张，需要延期，下一期就可以还完，要求停止骚扰。</t>
  </si>
  <si>
    <t>网贷催收侮辱家人P图</t>
  </si>
  <si>
    <t>http://ts.21cn.com/tousu/show/id/1369580</t>
  </si>
  <si>
    <t>2019/10/17 17:30:36</t>
  </si>
  <si>
    <t>恶意侮辱家人，盗取我的信息通讯录，肆意传播我的个人隐私。</t>
  </si>
  <si>
    <t>联系第三方催收暴力催收打通讯录</t>
  </si>
  <si>
    <t>http://ts.21cn.com/tousu/show/id/1369579</t>
  </si>
  <si>
    <t>2019/10/17 17:30:35</t>
  </si>
  <si>
    <t>投诉人 蒋女士        投诉对象  名校贷,麦子金服,名校白领贷        涉诉金额  10 000 元    问题类型    诉求类型投诉详情  通过第三方催收 打通讯录 有电话录音 报警解决 会投诉银监会</t>
  </si>
  <si>
    <t>恶意扣款299元</t>
  </si>
  <si>
    <t>http://ts.21cn.com/tousu/show/id/1369578</t>
  </si>
  <si>
    <t>2019/10/17 17:30:23</t>
  </si>
  <si>
    <t>投诉人 舒女士        投诉对象  上海造艺百事普惠        涉诉金额  299 元    问题类型    诉求类型投诉详情  请百事普惠在一天内退回之前的扣款299元。</t>
  </si>
  <si>
    <t>暴力催收，恶意骚扰无关人员，威胁辱骂，</t>
  </si>
  <si>
    <t>http://ts.21cn.com/tousu/show/id/1369576</t>
  </si>
  <si>
    <t>2019/10/17 17:29:56</t>
  </si>
  <si>
    <t>暴力催收，频繁致电，已经表示我不认识借款人，多天频繁骚扰严重影响工作生活，要求下架高利贷产品做出赔偿。</t>
  </si>
  <si>
    <t>深圳市顺鑫隆实业发展有限公司未安约定退还定金，出尔反尔</t>
  </si>
  <si>
    <t>http://ts.21cn.com/tousu/show/id/1369577</t>
  </si>
  <si>
    <t>2019/10/17 17:29:45</t>
  </si>
  <si>
    <t>本人于2019年10月1日下午在深圳市的车展上在顺鑫隆的展会上跟此公司的销售顾问邵先生下订了1台2020款CS75自动精智，等到10月10号销售顾问邵先生打电话跟我说车到了可以提车，我问他车子情况，在我的再三追问下告知我此台车是19年3月份的车，内饰为棕色，我不同意提此车，我要三个月内的新车，邵先生跟我讲，现在他们公司在库此款车全部是3到4月的车库存车，没法更换三个月内的车，无法满足我的提车要求，本人就要求退还定金，他不同意退，未果，车型，现场交了2000元定金，双方约定11号提车，在提车前跟此公司的销售顾</t>
  </si>
  <si>
    <t>新生-安庆盛通信息科技有限公司无缘故扣款288元，没有任何理由和服务就扣款</t>
  </si>
  <si>
    <t>http://ts.21cn.com/tousu/show/id/1369574</t>
  </si>
  <si>
    <t>2019/10/17 17:29:13</t>
  </si>
  <si>
    <t>无缘无故被新生安庆盛通信息科技有限公司扣款288元，没有任何理由和服务就扣款，也没有什么短信通知。</t>
  </si>
  <si>
    <t>违规套路贷</t>
  </si>
  <si>
    <t>http://ts.21cn.com/tousu/show/id/1369572</t>
  </si>
  <si>
    <t>2019/10/17 17:28:51</t>
  </si>
  <si>
    <t>1.畅捷支付违规提供支付通道2.放款2800，每8天还一次，32天后需还4000，现怀疑该平台蓄意导致app登录不进，收取高额罚息。</t>
  </si>
  <si>
    <t>威胁上门让后果自负</t>
  </si>
  <si>
    <t>http://ts.21cn.com/tousu/show/id/1369571</t>
  </si>
  <si>
    <t>2019/10/17 17:28:49</t>
  </si>
  <si>
    <t>投诉人 熊女士        投诉对象  招联金融        涉诉金额  21 000 元    问题类型    诉求类型投诉详情  经常收到短信威胁恐吓 说要上门 后果让我自负</t>
  </si>
  <si>
    <t>退还高利息</t>
  </si>
  <si>
    <t>http://ts.21cn.com/tousu/show/id/1369570</t>
  </si>
  <si>
    <t>2019/10/17 17:28:13</t>
  </si>
  <si>
    <t>投诉人 王先生        投诉对象  Wecash闪银        涉诉金额  20 000 元    问题类型    诉求类型投诉详情  借款1000多每月要付300多利息。还有变相的砍头息。让买茶叶。300多一瓶。强烈要求把多余的利息退还。符合国家利息的我一分不要</t>
  </si>
  <si>
    <t>唯品会不给补偿差价</t>
  </si>
  <si>
    <t>http://ts.21cn.com/tousu/show/id/1369569</t>
  </si>
  <si>
    <t>2019/10/17 17:28:06</t>
  </si>
  <si>
    <t>原价699，立马活动价391，吞掉我308不给补偿！，要求唯品会进行差额全补，客服推诿不作为，服务态度极其恶劣，执意退半款，再打电话进行投诉，客服态度更加恶劣，直接挂断电话，不把我当消费者是吧！此问题我需要立马解决！我看身边的人都给退全款，凭什么只退我一半！我一定要投诉到底！为自己维权！。</t>
  </si>
  <si>
    <t>赫美微贷蛮横无理</t>
  </si>
  <si>
    <t>http://ts.21cn.com/tousu/show/id/1369567</t>
  </si>
  <si>
    <t>2019/10/17 17:27:07</t>
  </si>
  <si>
    <t>已经无数次说明我遇到的不可抗的原因才导致无法还款，可完全没有协商解决的余地，一个女的客服人员，全程激动到极致，全程用土豪和蛮横瞧不起人的语气逼我还钱，还要让公司给我结清，让我一次性还款，我就纳闷了，4222我都还不上，恐吓威胁我全部还清，可能吗，我借款10万出头，还了三年，利息真心不低，合同本身就于到手金额不符，你们本身就是违法的，到底谁给的勇气，可以让一个小小的客服人员来鄙视和恐吓赫美微贷的老客户，因为你毫无教养的言语，我肯定有钱也先还别的，这年头，不是耍横撒泼就能解决问题的，之前几年了我从来没逾期过，这</t>
  </si>
  <si>
    <t>闪银砍头息</t>
  </si>
  <si>
    <t>http://ts.21cn.com/tousu/show/id/1369566</t>
  </si>
  <si>
    <t>2019/10/17 17:27:05</t>
  </si>
  <si>
    <t>我在2017到2019年之间在闪银借了29笔大概50000多元借款，闪银以担保费的名义收取用户巨额砍头息，按借款金额大小收取300多到1000多不等的巨额费用，美其名曰担保费，要求闪银退还历史借款除正常利息外收取的砍头息。</t>
  </si>
  <si>
    <t>湖南浩瀚原钱金金平台退我游戏币砍头息费用</t>
  </si>
  <si>
    <t>http://ts.21cn.com/tousu/show/id/1369564</t>
  </si>
  <si>
    <t>2019/10/17 17:26:27</t>
  </si>
  <si>
    <t>本人此前通过易宝支付联系到湖南浩瀚工作人员。</t>
  </si>
  <si>
    <t>乐刷威胁强制退30%,不同意连30都没了</t>
  </si>
  <si>
    <t>http://ts.21cn.com/tousu/show/id/1369563</t>
  </si>
  <si>
    <t>2019/10/17 17:26:23</t>
  </si>
  <si>
    <t>这是你们的售后威胁强制退30%,我不同意连30都没了。</t>
  </si>
  <si>
    <t>凡普信暴力催收群发短信</t>
  </si>
  <si>
    <t>http://ts.21cn.com/tousu/show/id/1369561</t>
  </si>
  <si>
    <t>2019/10/17 17:25:12</t>
  </si>
  <si>
    <t>群发短信给同事朋友单位领导，门店关闭然后乱打电话骚扰，给本人工作生活造成影响本人已经报警处理。</t>
  </si>
  <si>
    <t>好分期，借2700还3500请问合理吗</t>
  </si>
  <si>
    <t>http://ts.21cn.com/tousu/show/id/1369560</t>
  </si>
  <si>
    <t>2019/10/17 17:24:37</t>
  </si>
  <si>
    <t>本人在好分期上面，前后借了两笔，第一笔借了2700元，分9期，算下来总共要还3500元，第二笔借了850元，分12期，算下来总共要还1150元，合计金额借了3500，要还4600属于严重的高利贷，请平台给我做合理的解释如不能做合理的解释，本人会继续加大投诉，直到解决问题为止。</t>
  </si>
  <si>
    <t>你我贷暴力让我还款，我经济确实有问题了，要求协商还款，但是他们不同意</t>
  </si>
  <si>
    <t>http://ts.21cn.com/tousu/show/id/1369559</t>
  </si>
  <si>
    <t>2019/10/17 17:23:13</t>
  </si>
  <si>
    <t>在你我贷还有两期，我现在真的是基金遇到问题了，我想协商，但是他们不同意，就威胁我，如果不还就要打我通信录！让我晚上6点还，我真的凑不上了。</t>
  </si>
  <si>
    <t>修改信用卡分期</t>
  </si>
  <si>
    <t>http://ts.21cn.com/tousu/show/id/1369555</t>
  </si>
  <si>
    <t>2019/10/17 17:22:40</t>
  </si>
  <si>
    <t>我需要修改信用卡分期，原本36期要改为3期，以前也分过6期，那么多年没欠费过，也是一个忠实的客户了吧，客服却一口咬定不能修改的了，我觉得这样对待客户不合理吧，我也有选择自主权！希望可以给我修改期数！。</t>
  </si>
  <si>
    <t>51即刻有恶意催收爆通讯录</t>
  </si>
  <si>
    <t>http://ts.21cn.com/tousu/show/id/1369556</t>
  </si>
  <si>
    <t>2019/10/17 17:22:32</t>
  </si>
  <si>
    <t>投诉人 杜俊国        投诉对象  51信用卡管家,51即刻有        涉诉金额  5 000 元    问题类型    诉求类型投诉详情  恶意催收，爆通讯录给无关人员打电话。给通讯录的人造成困扰</t>
  </si>
  <si>
    <t>携程助力差几人助力无记录</t>
  </si>
  <si>
    <t>http://ts.21cn.com/tousu/show/id/1369554</t>
  </si>
  <si>
    <t>2019/10/17 17:22:22</t>
  </si>
  <si>
    <t>携程助力领取无门槛券还剩6个人在助力就没记录了。</t>
  </si>
  <si>
    <t>一个接一个电话骚扰我和我的亲戚</t>
  </si>
  <si>
    <t>http://ts.21cn.com/tousu/show/id/1369553</t>
  </si>
  <si>
    <t>2019/10/17 17:21:54</t>
  </si>
  <si>
    <t>无时间的骚扰，上来就开始骂人，威胁，已经影响到生活。</t>
  </si>
  <si>
    <t>钱站更改还款日期</t>
  </si>
  <si>
    <t>http://ts.21cn.com/tousu/show/id/1369552</t>
  </si>
  <si>
    <t>2019/10/17 17:21:45</t>
  </si>
  <si>
    <t>我9月29号在钱站上申请一比借款，钱站于10月8号放款到我的银行卡，但是却要我10月18号进行还款，致电客服说系统生成的，无权更改，而且提前还款也有减免，但是账单显示减免19块钱。</t>
  </si>
  <si>
    <t>自由摩卡零压贷砍头息高利贷不退款</t>
  </si>
  <si>
    <t>http://ts.21cn.com/tousu/show/id/1369551</t>
  </si>
  <si>
    <t>2019/10/17 17:21:38</t>
  </si>
  <si>
    <t>投诉人 邹先生        投诉对象  自由摩卡        涉诉金额  2 000 元    问题类型    诉求类型投诉详情  本人在2019年4月份至9月份 在自由摩卡内零压贷平台借款6次 每次都有500砍头息 美其名曰会员费 其实什么服务都没提供 共计砍头息约2700元 本人现在要求退还其中大部分非法所得 在2019年9月份曾经联系过 只给减免了250元的当月会员卡费 放高利贷还态度嚣张 希望主动联系我并且积极配合退款工作 避免警方介入完成不必要的麻烦</t>
  </si>
  <si>
    <t>中国银行信用卡中心雇佣三方骚扰我</t>
  </si>
  <si>
    <t>http://ts.21cn.com/tousu/show/id/1369549</t>
  </si>
  <si>
    <t>2019/10/17 17:21:22</t>
  </si>
  <si>
    <t>三方逼迫我一次性还款，我表明家庭困难要提供各种证明被拒绝，不停打电话骚扰我，拒绝我分期还款请求，多次出言不逊造成我心理压力造成我一时想不开自杀，望贵行给人留条生路，分期还款。</t>
  </si>
  <si>
    <t>今日头条，请退还我的血汗钱</t>
  </si>
  <si>
    <t>http://ts.21cn.com/tousu/show/id/1369548</t>
  </si>
  <si>
    <t>2019/10/17 17:21:19</t>
  </si>
  <si>
    <t>今日头条,北京字节跳动科技有限公司,放心购,值点，我司于2018年6月在今日头条放心购商城开了一家店铺，开始对方称是免费入驻，入驻成功后一个月便开始强行收取10000元保证金，无奈我已入驻，且囤货，只能忍痛缴纳了保证金，缴纳保证金后开始正常售货，期间没有出现过任何客户投诉，售后也是正常做了的，但是生意一直不好，我于2018年9月便下架了所有商品，考虑到售后问题，暂时没有关店，以期处理好售后问题，期间我比较忙，就没怎么关注这件事情，到2019年3月我登录放心够后台的时候，发现我的保证金莫名其妙的被扣完了，根据</t>
  </si>
  <si>
    <t>浦发万用金协商处理</t>
  </si>
  <si>
    <t>http://ts.21cn.com/tousu/show/id/1369547</t>
  </si>
  <si>
    <t>2019/10/17 17:20:47</t>
  </si>
  <si>
    <t>本人于2018年12月止2019年1月申请贵行万用金24万元，分36期偿还，现已偿还7期，因为失业和被骗导致还不上每月分期9300元请贵行能给我减掉逾期费滞纳金利息，做个本金分期，这样本人才有能力解决本行债务问题，本人现在在工地打工每月除过生活开销，能还3000到4000元希望本行能给本人一次重生的机会，本人一直都从未逃避，直面债务问题，多次与客服沟通未果，现在每月，逾期费，滞纳金，利息，高达四五千元。</t>
  </si>
  <si>
    <t>淘宝商家恶意短信轰炸，淘宝监管不力，不作为</t>
  </si>
  <si>
    <t>http://ts.21cn.com/tousu/show/id/1369544</t>
  </si>
  <si>
    <t>2019/10/17 17:20:36</t>
  </si>
  <si>
    <t>恶意轰炸，恶意骚扰，淘宝不作为，要求道歉，赔偿，封店。</t>
  </si>
  <si>
    <t>拍怕贷高利率</t>
  </si>
  <si>
    <t>http://ts.21cn.com/tousu/show/id/1369545</t>
  </si>
  <si>
    <t>2019/10/17 17:20:27</t>
  </si>
  <si>
    <t>借款10000元，已经还了9期，现在看不到已经还的还款记录不显示，前面还的多，后面三期每期都有1106.6元明显超出最高的利率。</t>
  </si>
  <si>
    <t>信用钱包短信轰炸同事</t>
  </si>
  <si>
    <t>http://ts.21cn.com/tousu/show/id/1369546</t>
  </si>
  <si>
    <t>2019/10/17 17:20:22</t>
  </si>
  <si>
    <t>投诉人缪先生投诉对象信用钱包涉诉金额800元问题类型诉求类型投诉详情短信轰炸同事，严重干扰别人生活！去不解决，报警处理。</t>
  </si>
  <si>
    <t>拉卡拉随意扣取我账户资金，要求退回非法所得</t>
  </si>
  <si>
    <t>http://ts.21cn.com/tousu/show/id/1369543</t>
  </si>
  <si>
    <t>拉卡拉在我已结清贷款的情况下，在我的账户扣取了369的费用，经过核实，提供了一个已经注销了的公司电话，无法核实此笔业务的真实性，我除了在拉卡拉金融借款通过拉卡拉支付外，我有授权任何平台通过拉卡拉扣款，请帮我核实此笔订单情况，并追回我的款项，谢谢。</t>
  </si>
  <si>
    <t>http://ts.21cn.com/tousu/show/id/1369542</t>
  </si>
  <si>
    <t>2019/10/17 17:20:06</t>
  </si>
  <si>
    <t>在钱站APP借钱2000,而借钱协议金额为2660元，分三期还款每期还款1229.20元+1230.99元+1230.98元合计还款金额3692.97,利息高达96%，在借款协议中的还款分期表第一期还款日为10.9号，应还款本息902.82服务费1.01应还款总合1229.20,第二期为11.9号应还款本息904.61服务费1.01应还款总合1230.99,第三期还款日12.9号应还款本息904.60，应还款总合1230.98元。</t>
  </si>
  <si>
    <t>你我贷上市公司收取服务费不开发票高利贷且暴力催收</t>
  </si>
  <si>
    <t>http://ts.21cn.com/tousu/show/id/1369541</t>
  </si>
  <si>
    <t>2019/10/17 17:19:56</t>
  </si>
  <si>
    <t>本人于2019.3.19日在你我贷APP借款12000元，分12期还款总还款高达16311.52元，剩余未还本金1285.78元，该公司虚增服务费还口口声声说自已利息算法符合国家规定，按年利率36来算，该平台我还要多还2000多，并且我利息4000+可是该平台只给我开了1080的发票，这个发票还是我催着你们才开，看看你们宣传多少人借款，你们收多少血汗钱，本人要求本金销账，上月我愿意24的利息协商还款可是该司不同意提前结清任然要我还5400元进去，我本金只剩1000多！我不可能还那么多钱进去，上市公司暴力催收</t>
  </si>
  <si>
    <t>马上金融骚扰通讯录</t>
  </si>
  <si>
    <t>http://ts.21cn.com/tousu/show/id/1369540</t>
  </si>
  <si>
    <t>2019/10/17 17:19:41</t>
  </si>
  <si>
    <t>投诉人 刘女士        投诉对象  马上消费金融        涉诉金额  7 000 元    问题类型    诉求类型投诉详情  不经本人允许拨打我通讯录电话 骚扰他们 并且对外扬言透露我个人消息</t>
  </si>
  <si>
    <t>拖欠工资</t>
  </si>
  <si>
    <t>http://ts.21cn.com/tousu/show/id/1369539</t>
  </si>
  <si>
    <t>2019/10/17 17:19:33</t>
  </si>
  <si>
    <t>[万科幸福誉:南图]万科地产公司，汕头总建，6号楼，2一3号楼，工作，工作负责的是抹外墙，可是我们抹外墙去年就己经完工了，可是工钱30000万元一直未给结算一拖就一年，经过多次跟老板协商，老板承诺多次给予结算都没有结算，老板，9月1号给结算结果也没有，又说国庆节结算结果又没有，承包人:段君刚，希望你们老板快点给结算工钱。</t>
  </si>
  <si>
    <t>及贷暴力催收雇佣黑社会恐吓威胁</t>
  </si>
  <si>
    <t>http://ts.21cn.com/tousu/show/id/1369537</t>
  </si>
  <si>
    <t>2019/10/17 17:19:13</t>
  </si>
  <si>
    <t>从没逾期过，因资金周转不开导致这次借款逾期，骚扰亲友，今天来一个黑社会说恐吓威胁上门收账，现在真的有困难还不上，贵公司也没有任何协商方案，过来的人全是暴力催收一直不断的恐吓我！！这是被贵公司允许的吗，请停止暴力催收骚扰，让一个能好好说话的人来与我协商详谈。</t>
  </si>
  <si>
    <t>星赫梁山信息科技有限公司乱扣费</t>
  </si>
  <si>
    <t>http://ts.21cn.com/tousu/show/id/1369538</t>
  </si>
  <si>
    <t>本人下载天天有钱，银行卡里莫名被其扣走288元，联系客服说是金融服务推送，推送了五个借款平台！让我去申请，还说必须提供五个借款软件的借款失败截图，才能申请退款！这是涉嫌欺诈消费者，必须做出退款，赔偿，道歉！。</t>
  </si>
  <si>
    <t>高炮高利贷</t>
  </si>
  <si>
    <t>http://ts.21cn.com/tousu/show/id/1369536</t>
  </si>
  <si>
    <t>2019/10/17 17:19:09</t>
  </si>
  <si>
    <t>投诉人 月光族高利贷        投诉对象  月光侠分期,小帅影院        涉诉金额  1 400 元    问题类型    诉求类型投诉详情  高炮高利贷，太坑人了。这明显的砍头息太高了，请求支援！</t>
  </si>
  <si>
    <t>人品贷转让借款，要求协商减免，开通还款方式，还有我之前所有的借款都有砍头息，而且已经还的利息都已经超借款金额</t>
  </si>
  <si>
    <t>http://ts.21cn.com/tousu/show/id/1369535</t>
  </si>
  <si>
    <t>2019/10/17 17:19:03</t>
  </si>
  <si>
    <t>本人在51人品贷app多次借款，利息都很高，每次都有砍头息，二期之前都还完几次，每次利息都超国家的规定，因之前一夜之间负债百万，无能为力还钱，逾期了，现在就想和平台沟通还款事宜，希望给予最大减免，只还剩下的本金，但是发现人品贷已经把债务移交其他公司，如果我把钱还他们提供的银行卡上面，app不会同步我还钱的状态，那我不是永远还不完，最后就是通过app把还款金额定位到剩下的本金，还有我和，我家人会将之前所有借款记录中的砍头息，利息，多还的，超出国家规定的，都会保留追回的权力。</t>
  </si>
  <si>
    <t>未安约定退还定金，出尔反尔</t>
  </si>
  <si>
    <t>http://ts.21cn.com/tousu/show/id/1369534</t>
  </si>
  <si>
    <t>2019/10/17 17:18:25</t>
  </si>
  <si>
    <t>宝付乱扣费</t>
  </si>
  <si>
    <t>http://ts.21cn.com/tousu/show/id/1369532</t>
  </si>
  <si>
    <t>2019/10/17 17:18:02</t>
  </si>
  <si>
    <t>中国农业银行您尾号9910账户10月17日14:23向宝付完成宝付交易人民币-299.86，余额6108.72。</t>
  </si>
  <si>
    <t>牛人有品威胁</t>
  </si>
  <si>
    <t>http://ts.21cn.com/tousu/show/id/1369531</t>
  </si>
  <si>
    <t>2019/10/17 17:17:01</t>
  </si>
  <si>
    <t>牛人有品高利贷，并且威胁本人不可以投诉，投诉之后高额利息一分不减，请平台继续跟进，。</t>
  </si>
  <si>
    <t>闪银骚扰本人，骚扰联系人</t>
  </si>
  <si>
    <t>http://ts.21cn.com/tousu/show/id/1369530</t>
  </si>
  <si>
    <t>2019/10/17 17:16:57</t>
  </si>
  <si>
    <t>本人最近几个月家里出了点事，资金欠缺，闪银不停骚扰本人，今天又拨打联系人电话，现在联系人都知道本人欠款没还，造成名誉骚扰，不停的骚扰本人，并且打电话各种辱骂，威胁家人恐家人，要求闪银停止骚扰。</t>
  </si>
  <si>
    <t>公告与实际不符带来的后果让玩家承担</t>
  </si>
  <si>
    <t>http://ts.21cn.com/tousu/show/id/1369527</t>
  </si>
  <si>
    <t>2019/10/17 17:16:45</t>
  </si>
  <si>
    <t>10月10日，网易旗下的天谕游戏公告如图1；在文字中，没有规定道具的初始状态，如图4所说游戏更新后，无法再为玩家更改或者退款，以至于玩家对于活动的理解出现偏差，由非永久状态的道具直接续费成永久状态的道具，花费的金额超过直接购买永久道具，本人认为，虽然花费稍多，如果能完成目的，也能接受，所以，本人立刻在网易问题反映渠道里联系客服，提出问题和诉求，客服以不同理由拖延，具体为两种：一、需要图片证据；二、玩家阅读障碍，直到今天10月17日，如图4所说，游戏更新后，无法再为玩家更改或者退款，到此，本人感到被愚弄，从1</t>
  </si>
  <si>
    <t>http://ts.21cn.com/tousu/show/id/1369526</t>
  </si>
  <si>
    <t>2019/10/17 17:16:40</t>
  </si>
  <si>
    <t>停止骚扰，道歉，调整利率，欠款一事走法律解决，我将保留所有相关的暴力催收证据，用法律法规来保护我自身合法权益，。</t>
  </si>
  <si>
    <t>投诉用钱宝利息高提前结清，利息费用不减免</t>
  </si>
  <si>
    <t>http://ts.21cn.com/tousu/show/id/1369529</t>
  </si>
  <si>
    <t>投诉人简先生投诉对象用钱宝涉诉金额6798元问题类型诉求类型投诉详情我在用钱宝借了7000元，分6期要还8259元，我已还了一期了，我想提前结清但是他们客服说不可以减免后期利息费用，我想问那这样的话我现在还清的话那不是一个月你就收我一千多的利息啊这样算不算高利贷呢。</t>
  </si>
  <si>
    <t>维信卡卡贷审核通过一直没有放款到账</t>
  </si>
  <si>
    <t>http://ts.21cn.com/tousu/show/id/1369525</t>
  </si>
  <si>
    <t>2019/10/17 17:16:38</t>
  </si>
  <si>
    <t>我9月21号申请的，审核通过，打客服电话说1到15个工作日放款到账，结果等到今天早已经过了有效期，他们领导说没有过有效期后放款的，我的一切都是正常的，让我等待到账，结果今天我反应，客服说让我再等1到3个工作日，刚才我又看了看给我自动解约了，为何我之前等待到账了现在又没经过我同意直接给我解约了。</t>
  </si>
  <si>
    <t>网贷高利贷暴力催收</t>
  </si>
  <si>
    <t>http://ts.21cn.com/tousu/show/id/1369528</t>
  </si>
  <si>
    <t>2019/10/17 17:16:34</t>
  </si>
  <si>
    <t>暴力催收威胁和辱骂骚扰家里人，辱骂朋友！不堪其扰，生活无望。</t>
  </si>
  <si>
    <t>广发银行委托第三方暴力催收</t>
  </si>
  <si>
    <t>http://ts.21cn.com/tousu/show/id/1369524</t>
  </si>
  <si>
    <t>2019/10/17 17:16:23</t>
  </si>
  <si>
    <t>广发银行委托第三方暴力催收，不听沟通，要求赔礼道歉，与信用卡中心协商还款事宜。</t>
  </si>
  <si>
    <t>贷上钱乱报通讯录催收还以购买游戏币理由乱收费</t>
  </si>
  <si>
    <t>http://ts.21cn.com/tousu/show/id/1369523</t>
  </si>
  <si>
    <t>2019/10/17 17:16:04</t>
  </si>
  <si>
    <t>贷上钱暴力催收在乱报通讯录以购买游戏币为理由乱收费用，乱向爆我通讯录语言态度恶劣还带有威胁说我不还款就天天打电话骚扰他们，说给我寄贷款单到我们村上了让他们知道我去领。</t>
  </si>
  <si>
    <t>已经影响到我的正常生活骚扰我家里人，导致我现在没法工作</t>
  </si>
  <si>
    <t>http://ts.21cn.com/tousu/show/id/1369521</t>
  </si>
  <si>
    <t>2019/10/17 17:15:35</t>
  </si>
  <si>
    <t>已经严重扰乱我的正常生活，导致家里人的生活，让我没法正常工作。</t>
  </si>
  <si>
    <t>点点通高利贷清了不结案</t>
  </si>
  <si>
    <t>http://ts.21cn.com/tousu/show/id/1369520</t>
  </si>
  <si>
    <t>2019/10/17 17:15:06</t>
  </si>
  <si>
    <t>本人于五月在点点通借款于3000元，因高利息和天价服务费在七月逾期，被暴力催收恐吓威胁下，便像家里拿了钱把点点通所有费用一次性还清包括分期的也是提前结清，但是点点通却故意剩下的一笔500分期我提前还了并没给我结清，而是到九月让我继续逾期继续骚扰我和我通讯录的亲朋好友，我请求聚投诉严厉惩罚点点通这种黑恶势力平台并且要求点点通平台退还给我几次收取我的天价服务费及我本来早就结清了并未给我销账带来的生活影响，也请点点通公司给出我满意回复，本人会继续跟进及315工商局实名举报。</t>
  </si>
  <si>
    <t>你我贷短信轰炸通讯录</t>
  </si>
  <si>
    <t>http://ts.21cn.com/tousu/show/id/1369519</t>
  </si>
  <si>
    <t>2019/10/17 17:15:03</t>
  </si>
  <si>
    <t>投诉人 陈先生        投诉对象  你我贷        涉诉金额  1 089 元    问题类型    诉求类型投诉详情  你我贷仅仅逾期三天。轰炸朋友的通讯录。不给协商几天还款。直接轰炸。严重影响到我朋友生活</t>
  </si>
  <si>
    <t>海风教育代理商退保证金</t>
  </si>
  <si>
    <t>http://ts.21cn.com/tousu/show/id/1369518</t>
  </si>
  <si>
    <t>2019/10/17 17:14:24</t>
  </si>
  <si>
    <t>保证金退费困难，合同中签订在合同结束之后5日内退还保证金，从9月26日至今仍未退还保证金，在10月12日对接营销人员通知我已经安排人打款，然后就把我退出群，把我拉黑了，一直到今天，我给海风教育投诉电话打过四次电话，每次说的都特别好，可是一点信息都没有，我希望海风教育领导出面解释，你们已经违反合同和协议了，不要推来推去，上一个投诉我设置的不公开，结果不当回事，那么这次公开试试。</t>
  </si>
  <si>
    <t>银行卡扣款</t>
  </si>
  <si>
    <t>http://ts.21cn.com/tousu/show/id/1369516</t>
  </si>
  <si>
    <t>2019/10/17 17:14:08</t>
  </si>
  <si>
    <t>下载淘豆分期APP，导致银行卡被自动扣款，扣款金额199元。</t>
  </si>
  <si>
    <t>捆绑式恶意扣钱</t>
  </si>
  <si>
    <t>http://ts.21cn.com/tousu/show/id/1369515</t>
  </si>
  <si>
    <t>2019/10/17 17:13:03</t>
  </si>
  <si>
    <t>该平台扣除我卡里289然后又说让我在该平台借款短平快借够五次才会退回我的钱，但现在该平台根本就不给我开放该借款项目，已经四个月了，我也不想再用该借款项目，要求对方退款，为了退289元，需借款五次出一千多的利息，我也不傻，捆绑试的项目要求下线，对方客服电话，02862776666，现如今该平台客服电话不接，人工服务已不知去向，希望借助该平台来惩罚这些贷款平台。</t>
  </si>
  <si>
    <t>江湖救急退回查询费</t>
  </si>
  <si>
    <t>http://ts.21cn.com/tousu/show/id/1369514</t>
  </si>
  <si>
    <t>2019/10/17 17:12:56</t>
  </si>
  <si>
    <t>今天申请了江湖救急，那里写着拒就赔，我就花了9块钱让他们查询那个什么信用报告，结果没有申请通过，那我被拒绝了是不是得赔付我。</t>
  </si>
  <si>
    <t>网龙魔域赌博现象一点都没改</t>
  </si>
  <si>
    <t>http://ts.21cn.com/tousu/show/id/1369513</t>
  </si>
  <si>
    <t>2019/10/17 17:11:56</t>
  </si>
  <si>
    <t>投诉人 李先生        投诉对象  福建网龙计算机网络信息技术        涉诉金额  200 000 元    问题类型    诉求类型投诉详情  现在家破人亡了。有时候真想一死了之，求你们帮帮忙</t>
  </si>
  <si>
    <t>http://ts.21cn.com/tousu/show/id/1369512</t>
  </si>
  <si>
    <t>2019/10/17 17:11:47</t>
  </si>
  <si>
    <t>最新心理咨询师登记法明确指出以下内容为本机构解读注册管理办法之后特意附加的重要信息，并非登记管理系统文件内容，供各位欲通过学习从事心理咨询师相关工作的人员参考，为虚假证书，无论人社部的管理系统还是上述将启动的中国心理学会心理咨询工作委员会心理咨询师登记工作组所管辖的登记管理系统，都不可能获得通过，也就是说，ACI是伪国际咨询师证书。</t>
  </si>
  <si>
    <t>http://ts.21cn.com/tousu/show/id/1369511</t>
  </si>
  <si>
    <t>2019/10/17 17:10:57</t>
  </si>
  <si>
    <t>原来在山东济宁正合普惠贷了一笔贷款 当时也没给说清利息多少 大约的不到二分一个月 目前经济出现困境没能还款 一直电话信息发通讯录 骚扰亲戚朋友同事 现在家庭已经毁了 暂时不能偿还 还在暴力催收 贷款8万 还了16个月 每个月还3780左右 已经还了6万多了 问提前结清多少 说还要67000多 这个数字还是减免了6000多的利息 这不是高利贷吗 还说符合国家规定利息。</t>
  </si>
  <si>
    <t>app升级联系客户询问其他还款方式态度恶劣推卸责任</t>
  </si>
  <si>
    <t>http://ts.21cn.com/tousu/show/id/1369510</t>
  </si>
  <si>
    <t>2019/10/17 17:10:50</t>
  </si>
  <si>
    <t>投诉人郭女士投诉对象花财涉诉金额5461元问题类型诉求类型投诉详情还款日发现系统升级不能主动还款，电话联系客服问是否有别的还款方式，客户态度恶劣，推诿责任，因系统升级造成逾期由客户自己负责，而且借款3000元还款5461.56元，利益2461.56元已经是借款本金的五分之四了。</t>
  </si>
  <si>
    <t>趣惠买高利贷</t>
  </si>
  <si>
    <t>http://ts.21cn.com/tousu/show/id/1369509</t>
  </si>
  <si>
    <t>2019/10/17 17:10:42</t>
  </si>
  <si>
    <t>到账735，8头还1050元，严重高利贷，要求本金加50销帐。</t>
  </si>
  <si>
    <t>来分期是套路贷</t>
  </si>
  <si>
    <t>http://ts.21cn.com/tousu/show/id/1369508</t>
  </si>
  <si>
    <t>2019/10/17 17:10:21</t>
  </si>
  <si>
    <t>来分期是高利贷，乱收费，停止暴力，退还多收的款，道歉！。</t>
  </si>
  <si>
    <t>钱伴暴力催收高额利息</t>
  </si>
  <si>
    <t>http://ts.21cn.com/tousu/show/id/1369506</t>
  </si>
  <si>
    <t>2019/10/17 17:09:35</t>
  </si>
  <si>
    <t>逾期6天，暴力催收，打电话给家里人，希望客服减免利息。</t>
  </si>
  <si>
    <t>滴滴不解决问题还对司机报复</t>
  </si>
  <si>
    <t>http://ts.21cn.com/tousu/show/id/1369507</t>
  </si>
  <si>
    <t>2019/10/17 17:09:25</t>
  </si>
  <si>
    <t>这两天滴滴平台换着不同的客服给我打电话，我再说一次我要的是解决问题，不是给我解释，解释谁都会，问问良心你们的那么牵强的理由能说得过去吗，9月26号凌晨3点11分订单，我太累了直接在车上睡着了单子都没来得及关，然后派了一个单子，乘客连一个电话都舍不得打就投诉我，然后滴滴平台告诉我处理结果是有责，我给解释了很多次，就是说规定，说起规定10月1号一个订单，按照订单，按照导航去接的乘客，被交警处罚，罚款100元，这个时候平台不说规定了，问这问那，最后还是我的问题我的责任，自己打自己的脸，我只要一个解决方法，要不给我</t>
  </si>
  <si>
    <t>聚福钱包恶意扣款要求退款</t>
  </si>
  <si>
    <t>http://ts.21cn.com/tousu/show/id/1369505</t>
  </si>
  <si>
    <t>2019/10/17 17:09:03</t>
  </si>
  <si>
    <t>投诉人 陈女士        投诉对象  聚福钱包        涉诉金额  299 元    问题类型    诉求类型投诉详情  聚福钱包恶意扣款。要求退还款项299元整.</t>
  </si>
  <si>
    <t>高利贷利息太高</t>
  </si>
  <si>
    <t>http://ts.21cn.com/tousu/show/id/1369504</t>
  </si>
  <si>
    <t>2019/10/17 17:08:24</t>
  </si>
  <si>
    <t>投诉人 李先生        投诉对象  手机借钱        涉诉金额  3 100 元    问题类型    诉求类型投诉详情  高利贷 借款3100元 2个月要还4800元 利息太高</t>
  </si>
  <si>
    <t>交通银行信用卡爆通讯录</t>
  </si>
  <si>
    <t>http://ts.21cn.com/tousu/show/id/1369503</t>
  </si>
  <si>
    <t>2019/10/17 17:08:22</t>
  </si>
  <si>
    <t>投诉人谢先生投诉对象交通银行信用卡中心涉诉金额5000元问题类型诉求类型投诉详情爆通讯录，恐吓，向亲戚朋友歪曲事实，骚扰，侮辱。</t>
  </si>
  <si>
    <t>拍拍贷非法途径获取我的工作单位并进行骚扰</t>
  </si>
  <si>
    <t>http://ts.21cn.com/tousu/show/id/1369502</t>
  </si>
  <si>
    <t>2019/10/17 17:08:13</t>
  </si>
  <si>
    <t>投诉人 阮先生        投诉对象  拍拍贷        涉诉金额  17 000 元    问题类型    诉求类型投诉详情  拍拍贷催收骚扰工作单位导致无法正常工作。要求停止骚扰。否则将公安局报案，银监会投诉</t>
  </si>
  <si>
    <t>套路我</t>
  </si>
  <si>
    <t>http://ts.21cn.com/tousu/show/id/1369501</t>
  </si>
  <si>
    <t>2019/10/17 17:07:49</t>
  </si>
  <si>
    <t>投诉人 吴女士        投诉对象  掌众金服        涉诉金额  5 000 元    问题类型    诉求类型投诉详情  闪电借款套路我恢复使用产品 不然投诉到底</t>
  </si>
  <si>
    <t>打电话骚扰我天天骚扰还威胁</t>
  </si>
  <si>
    <t>http://ts.21cn.com/tousu/show/id/1369500</t>
  </si>
  <si>
    <t>2019/10/17 17:07:46</t>
  </si>
  <si>
    <t>平均一天N个电话，态度极其恶劣，两笔二百多的延期我就月底还了你们要是还这么跟我说话我就不还了。</t>
  </si>
  <si>
    <t>现金巴士违规收取前期费用</t>
  </si>
  <si>
    <t>http://ts.21cn.com/tousu/show/id/1369499</t>
  </si>
  <si>
    <t>本人在现金巴士app借款从3月到9月，每次借款前都要收取费用，之前不了解这个前期费用属于违规的，翻查银行流水一共扣除了5次手续费，，总共118*4+188=660，要求把扣除的手续费归还。</t>
  </si>
  <si>
    <t>联通易借非法获取本人通讯记录并软暴力催收</t>
  </si>
  <si>
    <t>http://ts.21cn.com/tousu/show/id/1369479</t>
  </si>
  <si>
    <t>2019/10/17 17:07:20</t>
  </si>
  <si>
    <t>投诉人刘先生投诉对象联通易借涉诉金额2300元问题类型诉求类型投诉详情本人于2019年6月向联通易借借款12000元，已正常还款3期，要求联通易借立即停止这种非法行为，如再次出现，本人将报警处理。</t>
  </si>
  <si>
    <t>投诉中国银联调单回复提供虚假交易凭证</t>
  </si>
  <si>
    <t>http://ts.21cn.com/tousu/show/id/1369496</t>
  </si>
  <si>
    <t>2019/10/17 17:06:06</t>
  </si>
  <si>
    <t>投诉人黄炜鉴投诉对象中国银联涉诉金额200000元问题类型诉求类型投诉详情我因为工商银行卡和兴业银行卡上有多笔银联快捷支付不明消费，无法联系到商户，所以向中国银联发起调单申请，经过差不多一个月的查询，给我提供了交易查询凭证，但是所谓的凭证错漏百出，购物网站网址无法登录，商家联系方式都是空号，而且收货人，收货地址，联系电话都不是我本人，已经让发卡行多次向银联提起申诉复议，但银联却置之不理，我就想问问中国银联，可以明目张胆地提供虚假伪造的交易凭证吗，这些凭证我都有留档，可以申请仲裁公证，看所谓的调单凭证是不是真</t>
  </si>
  <si>
    <t>未到还款期平安普惠频发骚扰信息</t>
  </si>
  <si>
    <t>http://ts.21cn.com/tousu/show/id/1369494</t>
  </si>
  <si>
    <t>2019/10/17 17:06:00</t>
  </si>
  <si>
    <t>投诉人雷先生投诉对象平安普惠涉诉金额0元问题类型诉求类型投诉详情本人19号还款日，平安普惠每个月都在提前好几天就开始发信息，一天早中晚都发至少3条，美名其曰提醒，实则骚扰！因为平安骚扰短信大部分都是不同号码发的信息没办法屏蔽，本人贷款信息怕会被家人发现因此致电平安停止提醒短信，本人也都是按时还款，打电话客服，处理就是没办法处理，客服只是让我不用理会，你们频繁骚扰我还有理了，本人之前的短信都删了，截图是这两天的，还款日当天短信更是频繁，求别再骚扰人了好嘛。</t>
  </si>
  <si>
    <t>未经同意恶意扣款</t>
  </si>
  <si>
    <t>http://ts.21cn.com/tousu/show/id/1369495</t>
  </si>
  <si>
    <t>2019/10/17 17:05:57</t>
  </si>
  <si>
    <t>本人于2019年10月17日登录百事普惠，需要补充资料，于是放弃了申请，结果过了一会就收到银行卡被扣款100元的信息，在此要求公司尽快退款！！。</t>
  </si>
  <si>
    <t>my钱包高利贷</t>
  </si>
  <si>
    <t>http://ts.21cn.com/tousu/show/id/1369493</t>
  </si>
  <si>
    <t>2019/10/17 17:04:56</t>
  </si>
  <si>
    <t>借4000，三个月还4800，超过国家利率，每期还款额度不一致，要求调整利率还款。</t>
  </si>
  <si>
    <t>汇聚支付违规交易</t>
  </si>
  <si>
    <t>http://ts.21cn.com/tousu/show/id/1369492</t>
  </si>
  <si>
    <t>2019/10/17 17:04:51</t>
  </si>
  <si>
    <t>违规交易，为非法平台提供支付通道，一直拖延，没给出任何说法出来，该公司说有本事去告他，很是嚣张，现在违规交易都这么厉害的吗。</t>
  </si>
  <si>
    <t>民生银行信用卡非法催收</t>
  </si>
  <si>
    <t>http://ts.21cn.com/tousu/show/id/1369491</t>
  </si>
  <si>
    <t>2019/10/17 17:04:48</t>
  </si>
  <si>
    <t>未经本人同意联系并恐吓我的家人，2019年10月18号上午投诉过一次，下午依然给家人打电话给出私人账号要求我家人汇款，根本不和本人协商，而且我并没有失联，还威胁家人不还款一直打电话给家人，严重影响我和家人的关系，法律明确规定未经本人同意不可以打电话给家人，我要求贵行对违法催收人员立即做出处罚。</t>
  </si>
  <si>
    <t>请退还砍头息</t>
  </si>
  <si>
    <t>http://ts.21cn.com/tousu/show/id/1369489</t>
  </si>
  <si>
    <t>2019/10/17 17:04:31</t>
  </si>
  <si>
    <t>第一，先前有投诉，客服人员致电回复称，还款退钱，第二，现按照约定日期还款，借款6300元，还款6615，第三，还款之后无法退款，借款之初变相收取高额砍头息。</t>
  </si>
  <si>
    <t>骚扰联系人</t>
  </si>
  <si>
    <t>http://ts.21cn.com/tousu/show/id/1369490</t>
  </si>
  <si>
    <t>2019/10/17 17:04:30</t>
  </si>
  <si>
    <t>投诉人 庄先生        投诉对象  还到        涉诉金额  1 484 元    问题类型    诉求类型投诉详情  几年不联系的朋友电话 他都打过去了一天打了好几个电话 影响朋友生活</t>
  </si>
  <si>
    <t>在玖富万卡平台借款，平台收取高额利息和平台费，利息和之前约定的合同上不一致</t>
  </si>
  <si>
    <t>http://ts.21cn.com/tousu/show/id/1369488</t>
  </si>
  <si>
    <t>2019/10/17 17:04:26</t>
  </si>
  <si>
    <t>本人在玖富万卡平台上借款，借款前平台显示的年利率为百分之10，但是借款之后才发现平台收取了砍头息和高额的手续费，利率也与之前的不一致，综合利率高的吓人，违反国家相关法律，现希望提前终止合同，偿还余下借款本金11000.。</t>
  </si>
  <si>
    <t>淘宝小二乱处理</t>
  </si>
  <si>
    <t>http://ts.21cn.com/tousu/show/id/1369487</t>
  </si>
  <si>
    <t>2019/10/17 17:04:21</t>
  </si>
  <si>
    <t>卖家承诺无效退款、我使用之后没有效果、卖家下架商品、怕我差评、又重新上架该商品、旺旺也不回复我，但是小二没有联系我、卖家提供了收货和出货证明、小二直接判卖家赢、现在我不能退货。</t>
  </si>
  <si>
    <t>http://ts.21cn.com/tousu/show/id/1369486</t>
  </si>
  <si>
    <t>2019/10/17 17:04:02</t>
  </si>
  <si>
    <t>盗取用户的信息打骚扰电话，暴力催收，客服联系不了。</t>
  </si>
  <si>
    <t>易宝支付集体投诉</t>
  </si>
  <si>
    <t>http://ts.21cn.com/tousu/show/id/1369485</t>
  </si>
  <si>
    <t>2019/10/17 17:03:19</t>
  </si>
  <si>
    <t>变相高利贷，加催收，借支2000一月利息要560元。</t>
  </si>
  <si>
    <t>暴力催收，骚扰亲朋好友就一期还款协商不了，客服态度恶劣辱骂我，最后一期，就一百多了</t>
  </si>
  <si>
    <t>http://ts.21cn.com/tousu/show/id/1369484</t>
  </si>
  <si>
    <t>2019/10/17 17:02:59</t>
  </si>
  <si>
    <t>就最后一期了，一百多块钱，爆我通讯录，辱骂我本人。</t>
  </si>
  <si>
    <t>浙商银行信用卡乱扣费且旗下支行骚扰我及家人</t>
  </si>
  <si>
    <t>http://ts.21cn.com/tousu/show/id/1369483</t>
  </si>
  <si>
    <t>2019/10/17 17:02:44</t>
  </si>
  <si>
    <t>2019年9月10号发现被浙商信用卡中心无故扣费900多，遂联系浙商客服，时至今日，关于这900多费用，浙商总行及旗下济南分行、济南高新支行给了我8种截然不同的南辕北辙的说法，至今事情尚未解决！且其旗下济南分行、高新支行私下对持卡人及其家人进行骚扰，苦不堪言！如若处理，请联系投诉人！。</t>
  </si>
  <si>
    <t>平安普惠恶意威胁催款恐吓并骚扰俩人</t>
  </si>
  <si>
    <t>http://ts.21cn.com/tousu/show/id/1369478</t>
  </si>
  <si>
    <t>2019/10/17 17:01:22</t>
  </si>
  <si>
    <t>逾期出国忘记还款，并没有恶意拖欠，不停骚扰，恐吓，打个家人朋友，辱骂，试问请问你们觉得正规公司合适么就这些钱要私自公布透露出卖客户隐私通讯录和信息。</t>
  </si>
  <si>
    <t>未经本人同意私自购买扣款收费</t>
  </si>
  <si>
    <t>http://ts.21cn.com/tousu/show/id/1369480</t>
  </si>
  <si>
    <t>2019/10/17 17:01:16</t>
  </si>
  <si>
    <t>本人下载这个App后来觉得没意思就卸载了，然后过了半月，就在今天收到了扣款通知，在扣款钱丝毫不知情。</t>
  </si>
  <si>
    <t>第三方支付机构违规</t>
  </si>
  <si>
    <t>http://ts.21cn.com/tousu/show/id/1369477</t>
  </si>
  <si>
    <t>2019/10/17 17:01:06</t>
  </si>
  <si>
    <t>被人以投资理财拉进非法平台，诱导充值导致资金损失，第三方支付平台作为国内合法机构为其提供支付通道与之合作，有洗钱黑钱的嫌疑，本以为有银联标志位正规合法平台，经人了解得知，该平台非法。</t>
  </si>
  <si>
    <t>未借款遭遇速贷宝催收</t>
  </si>
  <si>
    <t>http://ts.21cn.com/tousu/show/id/1369476</t>
  </si>
  <si>
    <t>2019/10/17 17:00:52</t>
  </si>
  <si>
    <t>投诉人崔女士投诉对象速贷宝,中国联通涉诉金额0元问题类型诉求类型投诉详情15号和17号同一个人分别使用辽宁联通和宁波联通拨打电话进行催收，威胁打通讯录，但是本人并未听说及使用过什么速贷宝。</t>
  </si>
  <si>
    <t>好分期是套路贷，利息高</t>
  </si>
  <si>
    <t>http://ts.21cn.com/tousu/show/id/1369475</t>
  </si>
  <si>
    <t>2019/10/17 17:00:33</t>
  </si>
  <si>
    <t>利息高，套路贷，开始没有的费用，后来很多！！。</t>
  </si>
  <si>
    <t>http://ts.21cn.com/tousu/show/id/1369474</t>
  </si>
  <si>
    <t>2019/10/17 16:59:42</t>
  </si>
  <si>
    <t>19年10月6号到期，当时打电话给客服解释说最近资金有点紧张，过几天还款，客服说到时候人工打电话直接协商一下就可以，10的时候早上催收打电话过来，已经说明了中午还款，晚了几分钟而已，就直接发诅咒性需要给紧急联系人，我就想他们给我解释一下，逾期了我是没接电话还是我说我不处理了，凭什么诅咒我全家，。</t>
  </si>
  <si>
    <t>http://ts.21cn.com/tousu/show/id/1369472</t>
  </si>
  <si>
    <t>2019/10/17 16:59:12</t>
  </si>
  <si>
    <t>客服联系不上，盗取用户的信息，暴力催收电话，骚扰电话。</t>
  </si>
  <si>
    <t>凡普信暴力催收恐吓</t>
  </si>
  <si>
    <t>http://ts.21cn.com/tousu/show/id/1369473</t>
  </si>
  <si>
    <t>2019/10/17 16:59:02</t>
  </si>
  <si>
    <t>群发短信，暴力催收恐吓骚扰单位同事领导，本人已经报警处理。</t>
  </si>
  <si>
    <t>专坑老用户垃圾售后</t>
  </si>
  <si>
    <t>http://ts.21cn.com/tousu/show/id/1369471</t>
  </si>
  <si>
    <t>2019/10/17 16:58:59</t>
  </si>
  <si>
    <t>早上解锁使用该车，骑行100米左右然后全下坡，期间车辆突然无法加速正常行驶，只能靠滑行，当我滑行到一定距离后重新刷新，重新开锁启动还是无法骑行然后锁车自己走路到站上，期间一共骑行距离1.13公里，收费2.5！然后导致没有我没有座上那班车，同时导致本人上班迟到5分钟！这个损失谁赔，如果不是你们车的问题，我正常使用到达目的地不会出现这个问题，期间致电客服处理驳回我的请求，然后又致电处理三天了都没有给我一个答复！同时2019、10、17日又实用该平台车辆骑行1.7公里收费1.9，该车没有任何折扣，同理两次价格怎么</t>
  </si>
  <si>
    <t>马上金融乱收利息</t>
  </si>
  <si>
    <t>http://ts.21cn.com/tousu/show/id/1369470</t>
  </si>
  <si>
    <t>2019/10/17 16:58:49</t>
  </si>
  <si>
    <t>授信额度接近49500，分12期，黄线开始是开始逾期，圈里是已还金额，还了17000，还欠本金33000，5月28号开始逾期，国家明文规定罚息加所有利息不得超过百分之24，可是到现在33000在四个月里加到47000多，整整加了14000的利息，严重超标国家规定利息，打电话与客服协商说严重违法国家规定无视国家法律，客服说是持着国家的牌，完完全全的合法利息，不同意协商！打着国家持牌旗号恶意乱收费，无视国家法律，希望做出处罚！。</t>
  </si>
  <si>
    <t>辱骂通讯录好友暴力崔收，</t>
  </si>
  <si>
    <t>http://ts.21cn.com/tousu/show/id/1369439</t>
  </si>
  <si>
    <t>2019/10/17 16:58:41</t>
  </si>
  <si>
    <t>投诉人杨女士投诉对象捷信金融涉诉金额45000元问题类型诉求类型投诉详情骚扰通讯录里的好友，合理还款，停止骚扰电话，。</t>
  </si>
  <si>
    <t>宜人贷催收骚扰未授权通讯录电话并且态度恶劣</t>
  </si>
  <si>
    <t>http://ts.21cn.com/tousu/show/id/1369469</t>
  </si>
  <si>
    <t>2019/10/17 16:58:15</t>
  </si>
  <si>
    <t>资金紧张，短期无法按时偿还欠款，多次和催收解释，资金到账后会尽快处理，但依然每天多次电话骚扰，且在因工作关系未能及时接听电话时，拨打未经授权的通讯录内好友电话，并曝光本人借款信息，好友转告后，尝试与客服沟通，询问电话哪里获得，为何拨打没有授权的电话，客服一直态度恶劣，不停重复是不是不打算处理，并隐射要曝光到工作单位，影响日常工作生活，再多次询问电话来源，是否授权后，客服和催收人员一直是“你是不是就不打算处理啊”。</t>
  </si>
  <si>
    <t>联动优势辽宁无故盗刷我2200元</t>
  </si>
  <si>
    <t>http://ts.21cn.com/tousu/show/id/1369468</t>
  </si>
  <si>
    <t>2019/10/17 16:57:59</t>
  </si>
  <si>
    <t>好多天没登录我的交行账户，今天上去一看，怎么钱少了好多，我记得有3000左右，结果一查明细，有个叫联动优势辽宁的、所在地为上海的什么机构，在本月8号莫名其妙扣了我2200元钱，并且还把我的账户口头挂失，咨询了朋友，来到这里投诉，望平台给我做主，退回我的钱。</t>
  </si>
  <si>
    <t>违法催收，骚扰家人</t>
  </si>
  <si>
    <t>http://ts.21cn.com/tousu/show/id/1369467</t>
  </si>
  <si>
    <t>2019/10/17 16:56:53</t>
  </si>
  <si>
    <t>贷款81000，还款13个月后，第14个月资金困难，出现逾期，在协商先还款1000元的，过5天把逾期还清前提下，第二天就违法爆通讯录，投诉后客服回访就无关痛痒的说了一句会处理后，没有下文，过了三个月，在没有任何处理情况下，我也没有还款，然后催收有开始打我电话，我把前因后果说明了一下，问我处理办法，我说协商本金结清，适当的支付利息，催收说和领导商量，结果没几天也没有联系我本人，直接到我父母住所，疯狂敲门以及大声喊我名字，对路过的行人和街坊邻居宣传我欠款的事情，疯狂打我老婆电话，基本上一天要7-8个，还要求我父</t>
  </si>
  <si>
    <t>充值游戏里面物品使用不了多余的东西无法出售无法升级</t>
  </si>
  <si>
    <t>http://ts.21cn.com/tousu/show/id/1369466</t>
  </si>
  <si>
    <t>2019/10/17 16:56:37</t>
  </si>
  <si>
    <t>充值了游戏物品使用不了一直找客服客服说反馈导致我无法升级里面的东西也无法出售无法继续进行游戏。</t>
  </si>
  <si>
    <t>2016年房屋发现漏水，反馈给物业三年都不予处理！</t>
  </si>
  <si>
    <t>http://ts.21cn.com/tousu/show/id/1369465</t>
  </si>
  <si>
    <t>2019/10/17 16:55:02</t>
  </si>
  <si>
    <t>我是苏州市合景峰汇八期一位业主，我家房屋自2016年起发现漏水问题，反应给物业中心，物业有派人过来了解详情，然后就没有下文，后自己私下找人维修发现了漏水问题，需要物业配合去处理，物业派人过来了解情况后又没了下文，现在漏水情况越来越严重，已经蔓延至我家楼下业主家。</t>
  </si>
  <si>
    <t>玖富万卡高息假合同，态度恶劣</t>
  </si>
  <si>
    <t>http://ts.21cn.com/tousu/show/id/1369447</t>
  </si>
  <si>
    <t>2019/10/17 16:54:33</t>
  </si>
  <si>
    <t>投诉人韦女士投诉对象玖富涉诉金额43000元问题类型诉求类型投诉详情本人在2018年11月在玖富万卡APP申请借款，下款后才发现多了一个4500的费用分期，高额的利息，，说我不就是想提前还款减免吗，没办法的，总搞这些也没用，还有合同上人保的财产险都没有合同，我已打电话咨询，本人名下并无相关费用的保单，无任何保单。</t>
  </si>
  <si>
    <t>714高利贷催收辱骂骚扰</t>
  </si>
  <si>
    <t>http://ts.21cn.com/tousu/show/id/1369426</t>
  </si>
  <si>
    <t>2019/10/17 16:54:22</t>
  </si>
  <si>
    <t>4、不管平台的工作人员或者第三方催收，都应给一个说法，总共累计借款4笔，前三笔已还13500，第四笔欠款4500无力偿还，逾期47天，违约金4500，加起来一共9000，之前每笔借款砍头息，借3500到账2012.5，借4000到账2587.5，借2812.5，前三次总共还入12500，四笔共借出10000不到一点，一个月不到的时间。</t>
  </si>
  <si>
    <t>凡普信暴力催收</t>
  </si>
  <si>
    <t>http://ts.21cn.com/tousu/show/id/1369463</t>
  </si>
  <si>
    <t>2019/10/17 16:53:26</t>
  </si>
  <si>
    <t>投诉人 张先生        投诉对象  凡普信        涉诉金额  4 800 元    问题类型    诉求类型投诉详情  砍头息，高利贷，逾期一天就爆通讯录，威胁</t>
  </si>
  <si>
    <t>小花钱包催收骚扰我的通讯录联系人</t>
  </si>
  <si>
    <t>http://ts.21cn.com/tousu/show/id/1369464</t>
  </si>
  <si>
    <t>2019/10/17 16:53:25</t>
  </si>
  <si>
    <t>恶意骚扰我的通讯录联系人，威胁恐吓，利息高于国家规定。</t>
  </si>
  <si>
    <t>我投诉的的被骚扰问题得不到解决</t>
  </si>
  <si>
    <t>http://ts.21cn.com/tousu/show/id/1369462</t>
  </si>
  <si>
    <t>2019/10/17 16:52:46</t>
  </si>
  <si>
    <t>投诉人 曹先生        投诉对象  拍拍贷        涉诉金额  0 元    问题类型    诉求类型投诉详情  你们拍拍贷就这么处理事情？？？前面怎么回复的，今天又是怎么做的？</t>
  </si>
  <si>
    <t>建行快贷客服电话一直打不通</t>
  </si>
  <si>
    <t>http://ts.21cn.com/tousu/show/id/1369460</t>
  </si>
  <si>
    <t>2019/10/17 16:52:26</t>
  </si>
  <si>
    <t>因为一些原因，我10.31的建行快贷还不了了，所以我就希望能协商还款，但是打95533说可以给我这边地区的，这边地区的给了以后打三次电话都没人接。</t>
  </si>
  <si>
    <t>连连支付为万贯游戏游戏贷款714高炮提供支付通道要求退还砍头息</t>
  </si>
  <si>
    <t>http://ts.21cn.com/tousu/show/id/1369461</t>
  </si>
  <si>
    <t>2019/10/17 16:52:18</t>
  </si>
  <si>
    <t>20月20日在万贯街游戏贷款借款1000实际到账8002月26日还款1004.6。</t>
  </si>
  <si>
    <t>退服务费</t>
  </si>
  <si>
    <t>http://ts.21cn.com/tousu/show/id/1369459</t>
  </si>
  <si>
    <t>2019/10/17 16:52:05</t>
  </si>
  <si>
    <t>投诉人 王先生        投诉对象  融360        涉诉金额  2 000 元    问题类型    诉求类型投诉详情  借款1500到账1000让还1500 融360平台和小贷平台一起威胁恐吓</t>
  </si>
  <si>
    <t>现金巴士套路贷</t>
  </si>
  <si>
    <t>http://ts.21cn.com/tousu/show/id/1369458</t>
  </si>
  <si>
    <t>2019/10/17 16:51:31</t>
  </si>
  <si>
    <t>催收暴力威胁！拒协商还款！望有关部门抓紧时间查处，以免更多人上当受骗！。</t>
  </si>
  <si>
    <t>马上消费金融安逸花乱收服务费</t>
  </si>
  <si>
    <t>http://ts.21cn.com/tousu/show/id/1369457</t>
  </si>
  <si>
    <t>2019/10/17 16:51:15</t>
  </si>
  <si>
    <t>2019年8月30号借11500元，分12期，已还了第一期了，才发现账单明细中被扣取了我知情的利息以外，还被莫名其妙的收取了一个保证险服务费，这个费用是在我同意借款页面从未出现过的项目收取，这难道不是安逸花的变相高利贷吗，每个月除了123.81的利息，还加上每个月保证险服务费121.81，每个月支付的费用高达245.62，这是超过了多少国家规定的利息了！这个平台各种乱收费，灵活还款包服务费，保证险服务费，提前还款服务费，这些服务费都是未在平台页面上和同意贷款页面上出现过的，纯属强买强卖！希望能曝光和整顿一下</t>
  </si>
  <si>
    <t>http://ts.21cn.com/tousu/show/id/1369456</t>
  </si>
  <si>
    <t>2019/10/17 16:50:48</t>
  </si>
  <si>
    <t>本人于2018年3月份左右由于资金周转不开通过中介服务向友信申请一笔8w的借款！由于当时友信打着和微粒贷利息差不多不会乱收费以及工作人员的再三忽悠下签订这笔借款，立马向工作人员询问他们的回复是公司合同就是这么拟定和他们德再三忽悠下签了字还款一年朋友告诉我友信存在高利贷以及砍头息，但是等到看合同的时候借款金额莫名其妙高达13w多，立马向工作人员询问，他们的回复是公司合同就是这么拟定和他们德再三忽悠下签了字还款一年朋友告诉我友信存在高利贷以及砍头息，我立马给他们公司打电话咨询提前还款，但对方告诉我提前还款金额在</t>
  </si>
  <si>
    <t>http://ts.21cn.com/tousu/show/id/1369455</t>
  </si>
  <si>
    <t>2019/10/17 16:50:41</t>
  </si>
  <si>
    <t>51人品贷，变相收取利息，第一期还2800，后面每一期还1683，一共要还21316，到账16000，严重高利贷，并且提前结清无法减免利息，要求调整利率，减免利息。</t>
  </si>
  <si>
    <t>贷款收保费过高</t>
  </si>
  <si>
    <t>http://ts.21cn.com/tousu/show/id/1369454</t>
  </si>
  <si>
    <t>2019/10/17 16:50:02</t>
  </si>
  <si>
    <t>投诉人 王女士        投诉对象  玖富万卡平台        涉诉金额  15 510 元    问题类型    诉求类型投诉详情  贷款收保费过高，要求退回保费。</t>
  </si>
  <si>
    <t>一再骚扰请求停止</t>
  </si>
  <si>
    <t>http://ts.21cn.com/tousu/show/id/1369453</t>
  </si>
  <si>
    <t>2019/10/17 16:49:38</t>
  </si>
  <si>
    <t>已与今日与客服协商还款时间但该公司却一再电话催收对我工作及生活造成影响现要求按照约定好的时间进行还款并停止骚扰。</t>
  </si>
  <si>
    <t>去哪儿强制收取退票高额费用</t>
  </si>
  <si>
    <t>http://ts.21cn.com/tousu/show/id/1369451</t>
  </si>
  <si>
    <t>2019/10/17 16:49:21</t>
  </si>
  <si>
    <t>投诉人罗成盛投诉对象去哪儿涉诉金额1460元问题类型诉求类型投诉详情去哪儿，强制收取高额退票费用，要求减低费用。</t>
  </si>
  <si>
    <t>http://ts.21cn.com/tousu/show/id/1369452</t>
  </si>
  <si>
    <t>2019/10/17 16:49:20</t>
  </si>
  <si>
    <t>投诉人 吴轮吴        投诉对象  信用飞        涉诉金额  100 000 元    问题类型    诉求类型投诉详情  没有借过 态度差 我已经报警 说话极其嚣张</t>
  </si>
  <si>
    <t>你我贷公司多次拨打我的手机号</t>
  </si>
  <si>
    <t>http://ts.21cn.com/tousu/show/id/1369450</t>
  </si>
  <si>
    <t>2019/10/17 16:48:40</t>
  </si>
  <si>
    <t>本人没有在你我贷做过任何产品，但是贷后人员老是打电话骚扰，让我通知什么什么人，我没有义务去通知任何人，希望贵平台道歉，赔偿。</t>
  </si>
  <si>
    <t>http://ts.21cn.com/tousu/show/id/1369449</t>
  </si>
  <si>
    <t>2019/10/17 16:48:29</t>
  </si>
  <si>
    <t>投诉人 裴先生        投诉对象  天龙八部        涉诉金额  200 元    问题类型    诉求类型投诉详情  充值了游戏 物品使用不了 一直找客服 客服说反馈 导致我无法升级 里面的东西也无法出售 无法继续进行游戏</t>
  </si>
  <si>
    <t>http://ts.21cn.com/tousu/show/id/1369448</t>
  </si>
  <si>
    <t>2019/10/17 16:47:37</t>
  </si>
  <si>
    <t>砍头息是否合理，审批金额3000实际到账金额2100。</t>
  </si>
  <si>
    <t>无故扣款，要求退款</t>
  </si>
  <si>
    <t>http://ts.21cn.com/tousu/show/id/1369446</t>
  </si>
  <si>
    <t>2019/10/17 16:46:50</t>
  </si>
  <si>
    <t>早上软件卸载了，下午无故扣款，请求处罚，退款。</t>
  </si>
  <si>
    <t>门客鲜花没有按约定送货</t>
  </si>
  <si>
    <t>http://ts.21cn.com/tousu/show/id/1369444</t>
  </si>
  <si>
    <t>2019/10/17 16:45:58</t>
  </si>
  <si>
    <t>两个订单都是3年，每周送花一次的，但是只收到了不到三分之一的花，就中断不送了，客服无法联系，公众号无法使用，客服电话无法接通。</t>
  </si>
  <si>
    <t>京东白条暴力催收</t>
  </si>
  <si>
    <t>http://ts.21cn.com/tousu/show/id/1369442</t>
  </si>
  <si>
    <t>2019/10/17 16:45:06</t>
  </si>
  <si>
    <t>京东白条催收的威胁我说这两天不还钱就派人到我家去。</t>
  </si>
  <si>
    <t>存钱柜群发短信骚扰我家人朋友我本金利息已经还清拒绝支付所谓的服务费</t>
  </si>
  <si>
    <t>http://ts.21cn.com/tousu/show/id/1369429</t>
  </si>
  <si>
    <t>2019/10/17 16:45:02</t>
  </si>
  <si>
    <t>本人已经还清本金和合法利息，但是这个平台还要我支付服务费，剩下最后一期，而且没有任何正规客服电话，而且还欺骗说发短信给我说起诉法院，，我现在要求，结清销账，本来还想的协商下适当支付200，现在开始骚扰我通讯录。</t>
  </si>
  <si>
    <t>http://ts.21cn.com/tousu/show/id/1369443</t>
  </si>
  <si>
    <t>恶意扣费288昨天申请的卡里没钱显示扣费显示余额不足，今天中午没收到短信直接给我扣了昨天没扣成功也没有办理就退了，今天为什么无故扣费，为什么不办理了还扣，扣完了给我发个短信有毛用，打发短信的电话问他们为什么扣费说查征信，昨天没扣今天扣，问代扣方什么公司客服支支吾吾也不说就说情人花app扣的服了。</t>
  </si>
  <si>
    <t>九游账号申诉不通过</t>
  </si>
  <si>
    <t>http://ts.21cn.com/tousu/show/id/1369441</t>
  </si>
  <si>
    <t>2019/10/17 16:43:58</t>
  </si>
  <si>
    <t>密码给人恶意更改了，账号申诉不成功，找不回来密码了，玩不了游戏了。</t>
  </si>
  <si>
    <t>苹果产品有问题不给保修和检测，保修期内还要消费者自费修理</t>
  </si>
  <si>
    <t>http://ts.21cn.com/tousu/show/id/1369440</t>
  </si>
  <si>
    <t>2019/10/17 16:43:27</t>
  </si>
  <si>
    <t>2018年12月通过官网购买了一台ipad，pro不到三个月就出现过开不了机的问题，后面去直营店找售后处理弄好了，2019年10月又出现了不能开机的情况去售后维修，然而维修点在没有拆机检测的情况下就判定机子是意外损坏不在保修范围内，保修卡上和条例里都没有指意外损坏是哪些情况，就单凭你们肉眼就能判断出机子意外损坏了吗，说机子有点弯曲了就是意外损坏，怎么不说生产时就是这样的，一年不到还在保修期内不给修理，只会一套官方说辞，要求检测机子是因为什么原因造成不能开机，如果检测出来是意外损坏造成我认，如果是质量问题请赔</t>
  </si>
  <si>
    <t>易宝支付为豆豆金714高炮提供支付通道要求退还砍头息</t>
  </si>
  <si>
    <t>http://ts.21cn.com/tousu/show/id/1369437</t>
  </si>
  <si>
    <t>2019/10/17 16:42:54</t>
  </si>
  <si>
    <t>2018年12月26日在豆豆金借款1000。</t>
  </si>
  <si>
    <t>航盟忽悠旅客办理1980会员卡退款投诉</t>
  </si>
  <si>
    <t>http://ts.21cn.com/tousu/show/id/1369399</t>
  </si>
  <si>
    <t>2019/10/17 16:42:51</t>
  </si>
  <si>
    <t>投诉人赖孙炜投诉对象民航通涉诉金额1980元问题类型诉求类型投诉详情本人于2019年09月20日在厦门高崎机场遇到穿着机场工作人员制服的服务人员，推荐消费1980元购买民航联盟的总统会员卡，以享受优惠活动，办卡当日说是充1980送3020元，并享受一年内免费使用该卡内的5000元，购买机票时可用该5000额度内扣出使用，并享受底价购买机票，一年内免费订购机场贵宾室！因为当时告知会员信息等第二天才会进系统，在购买机票时发现并不可以用该卡内余额购买，只是每次购买会享受5-50元不等的折扣，机票费用还是得由自己支</t>
  </si>
  <si>
    <t>闪电借款高利贷</t>
  </si>
  <si>
    <t>http://ts.21cn.com/tousu/show/id/1369438</t>
  </si>
  <si>
    <t>2019/10/17 16:42:49</t>
  </si>
  <si>
    <t>闪电借款，前期买卡花了960元等于变相砍头息，50天还款7035，到账6700，严重高利贷！要求调整利息还款！。</t>
  </si>
  <si>
    <t>杭州广剑网络科技公司无缘扣了199元望归还</t>
  </si>
  <si>
    <t>http://ts.21cn.com/tousu/show/id/1369436</t>
  </si>
  <si>
    <t>2019/10/17 16:42:30</t>
  </si>
  <si>
    <t>淘豆分期无缘无故扣了我199元，银行卡显示是杭州广剑网络科技有限公司扣取得，不经过我同意私自扣去是什么意思，望本公司立马归还现金。</t>
  </si>
  <si>
    <t>网商贷强制扣款</t>
  </si>
  <si>
    <t>http://ts.21cn.com/tousu/show/id/1369435</t>
  </si>
  <si>
    <t>2019/10/17 16:41:56</t>
  </si>
  <si>
    <t>网商贷强制从我的银行卡扣款，未经过我同意强制从我的个人储蓄卡扣款，这是给我爸妈治疗费用的钱，支付宝一直理直气壮处理，狼狈为奸，接受媒体采访报道。</t>
  </si>
  <si>
    <t>信用帮分期，渡小贷高利贷砍头息</t>
  </si>
  <si>
    <t>http://ts.21cn.com/tousu/show/id/1369434</t>
  </si>
  <si>
    <t>2019/10/17 16:41:54</t>
  </si>
  <si>
    <t>信用帮渡小贷，借款1600元，都是以资产管理服务费的名义变相收取400元砍头息，7天还一期，共还4期28天，本人已经多次使用，要求退还我非法砍头息，否则我将继续投诉举报，去扫黑除恶平台，要求还我合法权益！。</t>
  </si>
  <si>
    <t>http://ts.21cn.com/tousu/show/id/1369433</t>
  </si>
  <si>
    <t>2019/10/17 16:41:27</t>
  </si>
  <si>
    <t>直接恐吓几点不处理直接联系我家人亲属我要求道歉。</t>
  </si>
  <si>
    <t>明珠票务中心办卡买票无优惠</t>
  </si>
  <si>
    <t>http://ts.21cn.com/tousu/show/id/1369432</t>
  </si>
  <si>
    <t>2019/10/17 16:40:51</t>
  </si>
  <si>
    <t>在惠州平潭机场乘机，机场工作人员邀请本人办理贵宾卡，说1500送1500，询问卡内余额是否可以直接买机票，机场人员回答可以，但是在联系票务中心购买机票时，只是用卡内余额抵扣机票费用，且没什么优惠，属于虚假宣传，18年办的卡，询问过两次票价基本跟网络上票价一样，一直未使用过此卡，询问票务中心。</t>
  </si>
  <si>
    <t>http://ts.21cn.com/tousu/show/id/1369431</t>
  </si>
  <si>
    <t>2019/10/17 16:39:11</t>
  </si>
  <si>
    <t>平台又开始骚扰联系人了，发短信，给联系人工作带来麻烦，希望有关部门解决一下。</t>
  </si>
  <si>
    <t>马上消费金融招联好期贷暴力催收</t>
  </si>
  <si>
    <t>http://ts.21cn.com/tousu/show/id/1369430</t>
  </si>
  <si>
    <t>2019/10/17 16:39:08</t>
  </si>
  <si>
    <t>本人的姐姐在马上消费金融和招联好期贷分别有一笔贷款。</t>
  </si>
  <si>
    <t>几百块的工资也不发？？？</t>
  </si>
  <si>
    <t>http://ts.21cn.com/tousu/show/id/1369428</t>
  </si>
  <si>
    <t>2019/10/17 16:38:53</t>
  </si>
  <si>
    <t>9月28号离职，自己赔钱买电子烟，才发我490块钱的底工资，怎么算的。</t>
  </si>
  <si>
    <t>立借贷款恶意爆通讯录</t>
  </si>
  <si>
    <t>http://ts.21cn.com/tousu/show/id/1369425</t>
  </si>
  <si>
    <t>2019/10/17 16:37:11</t>
  </si>
  <si>
    <t>利息高，没有到还款日就疯狂催收，没有逾期也爆通讯录。</t>
  </si>
  <si>
    <t>苹果分期高利贷高额砍头息</t>
  </si>
  <si>
    <t>http://ts.21cn.com/tousu/show/id/1369423</t>
  </si>
  <si>
    <t>2019/10/17 16:37:06</t>
  </si>
  <si>
    <t>苹果分期6天高炮！违规砍头息！，10月13号申请下款到账1300，18号要还2007，利息高达707元，完全是套路贷，联系客服支付合理的利息解决也没有得到解决，请聚投诉平台协助处理！因本人债务爆发，无力偿还如此之高的利息，现本人愿偿还本金+合理利息解决此事并销账处理。</t>
  </si>
  <si>
    <t>钱站砍头息，催收不讲信用，恶意扣费</t>
  </si>
  <si>
    <t>http://ts.21cn.com/tousu/show/id/1369404</t>
  </si>
  <si>
    <t>2019/10/17 16:36:32</t>
  </si>
  <si>
    <t>投诉人师先生投诉对象钱站涉诉金额40000元问题类型诉求类型投诉详情钱站16年借的4万，钱到账以后合同后面就成42400了，砍头息，2400的手续费也不知是什么，之后陆续还了6万多本息，最后2期时催收轰炸通讯录，并要求存款1854进行消账本人轻信存款后发现根本未消账，罚金还在不断增加，，本人已经发现很多人以同样方式上当，如此明目张胆，没有有关部门处理吗，我已经收集录音等证据，联合更多受害者，向有关部门维护我们的合法权益！。</t>
  </si>
  <si>
    <t>客服非要说我的鞋子是假的，但是又不肯提供证明</t>
  </si>
  <si>
    <t>http://ts.21cn.com/tousu/show/id/1369421</t>
  </si>
  <si>
    <t>2019/10/17 16:36:28</t>
  </si>
  <si>
    <t>寄存一双白色的匡威162050C，颜色36码，客服在未贴出任何图片的情况下直接判定我的鞋子为假，我要求提供证明，客服以商业秘密无法提供，我国法律规定，谁主张谁举证，既然你质疑这个鞋子是假的，那么麻烦你贴出图片来证明不可能因为你两嘴一张说我的是假的，那就是假的，这不现实，。</t>
  </si>
  <si>
    <t>自由魔卡零压贷套路贷退还砍头息</t>
  </si>
  <si>
    <t>http://ts.21cn.com/tousu/show/id/1369422</t>
  </si>
  <si>
    <t>2019/10/17 16:36:17</t>
  </si>
  <si>
    <t>本人于2018年多次在轻量子微信公众号和app借款，后轻量子迁移至自由魔卡app更名为零压贷，借款周期14天，到账1500元，还款1818.75元，逾期一天收取近400的逾期费用，堪称高利贷中的高利贷，是国家明令禁止严查的套路贷之一，本人因资金困难不慎落入套路贷圈套，本就生活困苦更背上了巨额债务，再加上一旦逾期的暴力催收，精神状态极差几近崩溃，逛零压贷就套路了本人5万多块钱，而零压贷给出的本金始终只有1500元，这是什么利润啊，好在国家开始严查714套路贷，现要求自由魔卡零压贷退还本人被套路的砍头息以及高额</t>
  </si>
  <si>
    <t>高利贷爆通讯录威胁</t>
  </si>
  <si>
    <t>http://ts.21cn.com/tousu/show/id/1369420</t>
  </si>
  <si>
    <t>2019/10/17 16:35:51</t>
  </si>
  <si>
    <t>投诉人 朱光        投诉对象  时光分期        涉诉金额  8 000 元    问题类型    诉求类型投诉详情  协商不成威胁我爆通讯录。对朋友家人造成极大困扰</t>
  </si>
  <si>
    <t>和融通支付业务人员诱导客户激活机器，套路押金，要求予以退还</t>
  </si>
  <si>
    <t>http://ts.21cn.com/tousu/show/id/1369417</t>
  </si>
  <si>
    <t>2019/10/17 16:35:36</t>
  </si>
  <si>
    <t>会员宝业务人员林凡，已回馈老客户旧机器升级为名，送新机器收取198，到货后收到两台，一台瑞银信，一台会员宝，联系被告知是送的，之后按照要求激活瑞银信，刷卡299，刷之前说激活后马上返还，但刷了之后改口，另外一台会员宝是绑定的必须一块儿激活否则钱不予退还，无奈激活另外一台，然后机器提示要扣288，问其说已经后台操作过了不会扣，但刷完后扣了288，其口口说第二天返还，第二天问他，又改口说一年后返还，在沟通就玩失踪，留言让随便投诉，不处理，甚是嚣张。</t>
  </si>
  <si>
    <t>暴力催收骚扰通讯录</t>
  </si>
  <si>
    <t>http://ts.21cn.com/tousu/show/id/1369416</t>
  </si>
  <si>
    <t>2019/10/17 16:35:33</t>
  </si>
  <si>
    <t>就是近期资金紧张暂时没能力还上，至于跟我朋友说我不还就上门砍我吗，而且你威胁就威胁我啊，你威胁我的朋友干什么呢，还有你们威胁的也不是我填的紧急联系人，是要把我的联系人都威胁一遍是吧。</t>
  </si>
  <si>
    <t>要求合理的收费标准，停子骚扰电话骚扰通讯录电话</t>
  </si>
  <si>
    <t>http://ts.21cn.com/tousu/show/id/1369418</t>
  </si>
  <si>
    <t>2019/10/17 16:35:30</t>
  </si>
  <si>
    <t>停止骚扰电话，骚扰通讯录好友，合理解释，提前还款。</t>
  </si>
  <si>
    <t>http://ts.21cn.com/tousu/show/id/1369414</t>
  </si>
  <si>
    <t>2019/10/17 16:35:17</t>
  </si>
  <si>
    <t>你我贷，高利贷爆通信录联系人，天天打几十个电话来催收，高利贷就没人管。</t>
  </si>
  <si>
    <t>http://ts.21cn.com/tousu/show/id/1369413</t>
  </si>
  <si>
    <t>2019/10/17 16:35:12</t>
  </si>
  <si>
    <t>收取高额服务费，在本金上加上大额服务费变成本金。</t>
  </si>
  <si>
    <t>现金巴士威胁本人</t>
  </si>
  <si>
    <t>http://ts.21cn.com/tousu/show/id/1369415</t>
  </si>
  <si>
    <t>2019/10/17 16:35:09</t>
  </si>
  <si>
    <t>投诉人 邱先生        投诉对象  现金巴士        涉诉金额  1 000 元    问题类型    诉求类型投诉详情  现金巴士app软件消失 恶意威胁本人 利率极高 砍头息吓人</t>
  </si>
  <si>
    <t>投诉橙分期借款登录不进去，逾期不告知</t>
  </si>
  <si>
    <t>http://ts.21cn.com/tousu/show/id/1369411</t>
  </si>
  <si>
    <t>2019/10/17 16:34:51</t>
  </si>
  <si>
    <t>逾期180天没有客服告知偿还本金，造成征信影响。</t>
  </si>
  <si>
    <t>小赢卡贷高利贷，捆绑恶意保险</t>
  </si>
  <si>
    <t>http://ts.21cn.com/tousu/show/id/1369412</t>
  </si>
  <si>
    <t>2019/10/17 16:34:44</t>
  </si>
  <si>
    <t>阴阳合同，通过贷款捆绑保险，弄假年利率合法，实际捆绑保险销售，已经超标，没能力偿还，才用了7天，被朋友知道，想提前结清都不行，一口一个利率合法，我都说了我没有上班，没能力赚钱，还让我去别的平台贷款，还给他们，黑心贷，早就应该取缔，多少人被他们坑的家破人亡，还有和他们合作的众安保险，强卖强卖保险，所有的保险都有犹豫期，他们就是不给解决，不给退，说什么只有买了他们保险贷款公司才会下款，要不然不下款，蛇鼠一窝，都是吸食人血的恶魔，希望局投诉平台整治他们，避免更多无辜的人受害。</t>
  </si>
  <si>
    <t>交通银行催收不合规，造成本人失业</t>
  </si>
  <si>
    <t>http://ts.21cn.com/tousu/show/id/1369410</t>
  </si>
  <si>
    <t>2019/10/17 16:34:40</t>
  </si>
  <si>
    <t>交通银行催收人员在联系得到本人的情况下，不联系本人，多次致电本人工作单位，对本人工作造成严重影响，导致失业！在本人致电客服部投诉之后，交通银行客服部回电表示，优先联系工作单位，并且多次骚扰是完全符合法律法规，对于造成我个人失业是与他们无关的，且强调交通银行信用卡领取条约凌驾于中华人民共和国法律之上，不需要按照催收法，只需要按照他们的规定就行。</t>
  </si>
  <si>
    <t>喜鹊快贷高利息暴力催收多次爆通讯录发短信骚扰</t>
  </si>
  <si>
    <t>http://ts.21cn.com/tousu/show/id/1369409</t>
  </si>
  <si>
    <t>2019/10/17 16:34:35</t>
  </si>
  <si>
    <t>借款15000元，已经还款16650元，还款当天下午，没有按时还款，就电话不断辱骂，有录音为证。</t>
  </si>
  <si>
    <t>恶意骚扰，爆通讯录</t>
  </si>
  <si>
    <t>http://ts.21cn.com/tousu/show/id/1369408</t>
  </si>
  <si>
    <t>我在马上金融的贷款，以前都还上了，这一期逾期了，催收人员一天打好几个电话，态度恶劣，严重影响到我的工作和生活，利息奇高，是高利贷，现要求马上金融立即停止一切电话骚扰，下架产品，赔礼道歉。</t>
  </si>
  <si>
    <t>尚德培训机构退费</t>
  </si>
  <si>
    <t>http://ts.21cn.com/tousu/show/id/1369406</t>
  </si>
  <si>
    <t>2019/10/17 16:33:46</t>
  </si>
  <si>
    <t>2018年3月12日在尚德机构报名，成人自考专本连读班-行政管理专业，报名初始没有足够的钱缴费，是机构人员提供百度钱包APP扫码认证后缴费的，其中的利息并没有告知，对方售后电话沟通后不给退费，还用缴费的协议条款：售后7天乙方。</t>
  </si>
  <si>
    <t>交通银行信用卡骚扰亲朋</t>
  </si>
  <si>
    <t>http://ts.21cn.com/tousu/show/id/1369407</t>
  </si>
  <si>
    <t>2019/10/17 16:33:41</t>
  </si>
  <si>
    <t>交通银行信用卡中心使用虚拟骚扰电话拨打本人的手机号码，无法联系本人就不断给家人打电话，态度及其恶劣！延迟还款肯定不对，但也有必然的原因！10号的账单日，今天17号！从13日开始就不断骚扰亲友！。</t>
  </si>
  <si>
    <t>快闪卡贷强制买保险，砍头息</t>
  </si>
  <si>
    <t>http://ts.21cn.com/tousu/show/id/1369405</t>
  </si>
  <si>
    <t>2019/10/17 16:33:25</t>
  </si>
  <si>
    <t>贷款app，以购买保险的方式砍头息，收取高于国家标准的利息费用，虽在第一次投诉后联系本人以保险费抵扣最后一期还款金额的方式，但一直不给申请结果，还有几天就是最后一期还款日，要求尽快处理，不得因为平台自身原因导致我的逾期。</t>
  </si>
  <si>
    <t>紫梧桐北京资产管理有限公司诱导客户办分期</t>
  </si>
  <si>
    <t>http://ts.21cn.com/tousu/show/id/1369352</t>
  </si>
  <si>
    <t>2019/10/17 16:32:39</t>
  </si>
  <si>
    <t>投诉人赵女士投诉对象紫梧桐北京资产管理有限公司涉诉金额9790元问题类型诉求类型投诉详情当时去租蛋壳房子的时候，蛋壳公寓的人把他们的房子夸的天花乱坠的，说这样好，那样好，导致现在我无论怎么说他们都不承认电话客服也不承认，我一个刚从学校才出来的女孩子哪有什么钱嘛，他们刚开始就诱导我租蛋壳的房子，暗中给我办分期，我希望能得到国家的帮助，还说专门针对我们刚毕业的毕业生有优惠，当时没有明确告诉我办分期，只是说每个月按时缴纳房租就可以了，而且当时也承诺退租时毕业生不需要承担违约金押金，当时才出来没什么钱觉得这个还挺划</t>
  </si>
  <si>
    <t>钱包商家</t>
  </si>
  <si>
    <t>http://ts.21cn.com/tousu/show/id/1369403</t>
  </si>
  <si>
    <t>2019/10/17 16:32:23</t>
  </si>
  <si>
    <t>借款12万，下款直接扣了利息，2万多块钱利息，现在店经营不好，好几家银行催债，现在我已经还完本金了，希望贵平台能够利息减免，马上到期，我都不知道怎么还，主要是还是先扣利息的。</t>
  </si>
  <si>
    <t>招商银行拒绝违约金退还</t>
  </si>
  <si>
    <t>http://ts.21cn.com/tousu/show/id/1369401</t>
  </si>
  <si>
    <t>2019/10/17 16:31:38</t>
  </si>
  <si>
    <t>1月1日后规定，每张信用卡是可以有一次减免逾期费用的规定，故向招商银行信用卡中心打电话反应，第一次回电话态度及其恶劣，并告知不可能，第二次回电话，还是告知不可能，且告知任何情况下都不可能，电话已经录音，而我却身边有朋友甚至网上看到有人退违约金，我就要求招商银行给我一个答复，为什么别人可以，我不可以，催收的时候害的我的身边亲人苦不堪言，现在我们有权利的时候，直接剥夺。</t>
  </si>
  <si>
    <t>保险</t>
  </si>
  <si>
    <t>http://ts.21cn.com/tousu/show/id/1369400</t>
  </si>
  <si>
    <t>2019/10/17 16:31:23</t>
  </si>
  <si>
    <t>钱包易贷在客户借款前不知情告知下购买保险，还砍头息给客户上保险，客户都不知道，打电话说保险过期不给退，给客户上的借款人身意外险，都没本人签字书面画押，这不属于欺诈客服。</t>
  </si>
  <si>
    <t>达飞云贷高利贷暴力催收</t>
  </si>
  <si>
    <t>http://ts.21cn.com/tousu/show/id/1369398</t>
  </si>
  <si>
    <t>2019/10/17 16:30:58</t>
  </si>
  <si>
    <t>达飞云贷大企业啊大公司，无法无天，高利贷，当初业务员说和信用卡一样，随借随还，利息低，用过以后才知道，高额利息，变相砍头息，高额服务费，两万边四万，永远还不完，暴力催收，打电话骚扰家人，盗取个人信息，地址，威胁家人。</t>
  </si>
  <si>
    <t>现金巴士平台下载不了导致逾期</t>
  </si>
  <si>
    <t>http://ts.21cn.com/tousu/show/id/1369396</t>
  </si>
  <si>
    <t>2019/10/17 16:30:28</t>
  </si>
  <si>
    <t>我在现金巴士借款1500元五号还款但是下载不到平台导致还款不上，我在现金巴士借款1500元五号还款但是下载不到平台导致还款不上 然后今天给我打电话告诉我安卓下载还款逾期费用285元 19天费用285元 信用卡逾期1500也没有这么高的费用，希望可以还本金，协商价格还款，因为平台本身下载不到用户怎么去还款。</t>
  </si>
  <si>
    <t>闪银百万钱包高利贷</t>
  </si>
  <si>
    <t>http://ts.21cn.com/tousu/show/id/1369397</t>
  </si>
  <si>
    <t>2019/10/17 16:30:23</t>
  </si>
  <si>
    <t>下款后一次性扣除了砍头息两千六百多，同时每个月还不是等额还款，利息超高，严重超出国家利率标准，已经还了四期。</t>
  </si>
  <si>
    <t>爆通讯录，，，骚扰我的家人朋友</t>
  </si>
  <si>
    <t>http://ts.21cn.com/tousu/show/id/1369393</t>
  </si>
  <si>
    <t>2019/10/17 16:29:38</t>
  </si>
  <si>
    <t>不停的打扰我的通许录，爆花我的通讯录，希望能给合理解释。</t>
  </si>
  <si>
    <t>砍头息太高</t>
  </si>
  <si>
    <t>http://ts.21cn.com/tousu/show/id/1369395</t>
  </si>
  <si>
    <t>2019/10/17 16:29:34</t>
  </si>
  <si>
    <t>借1500，实际到账930，五天，砍头息高达570。</t>
  </si>
  <si>
    <t>科沃斯扫地机器人使用10余次后，出现主板损坏问题，质量太差。</t>
  </si>
  <si>
    <t>http://ts.21cn.com/tousu/show/id/1369394</t>
  </si>
  <si>
    <t>2019/10/17 16:29:30</t>
  </si>
  <si>
    <t>科沃斯DE53扫地机器人,购买一年多，使用频率很少，一共只使用10多次，最近一次使用，机器处于离线状态，根据客服提示也无法正常启动，邮寄到售后网点，反馈告知主板损坏，只能自费更换，在正常的使用环境和正确的操作前提下，作为一款专业的家用型电子产品，出现上述故障，产品质量太差。</t>
  </si>
  <si>
    <t>停止骚扰马上结案</t>
  </si>
  <si>
    <t>http://ts.21cn.com/tousu/show/id/1369392</t>
  </si>
  <si>
    <t>2019/10/17 16:29:07</t>
  </si>
  <si>
    <t>投诉人 李先生        投诉对象  掌众金服,闪电借款        涉诉金额  1 500 元    问题类型    诉求类型投诉详情  所有欠款数月前已还清 马上销账 停止骚扰</t>
  </si>
  <si>
    <t>还款日</t>
  </si>
  <si>
    <t>http://ts.21cn.com/tousu/show/id/1369391</t>
  </si>
  <si>
    <t>2019/10/17 16:28:56</t>
  </si>
  <si>
    <t>10月27日，利息高没事，还款日，你这样做的合适吗？</t>
  </si>
  <si>
    <t>好易借高利贷</t>
  </si>
  <si>
    <t>http://ts.21cn.com/tousu/show/id/1369390</t>
  </si>
  <si>
    <t>本人在好易借借款12000元，到账后查看账单发现账单设置极其不合理，第一期5759.94元，第二期5219.94元，第三期4140.12元，后面剩下九期均为133元多，三个月的利息比国家法定一年的利息还要多，这样的还款方式实在不合理！本人要求还款本金加上国家规定的利息后进行销账处理！。</t>
  </si>
  <si>
    <t>货拉拉不开发票</t>
  </si>
  <si>
    <t>http://ts.21cn.com/tousu/show/id/1369389</t>
  </si>
  <si>
    <t>2019/10/17 16:28:24</t>
  </si>
  <si>
    <t>之前使用货拉拉为公司运输货物，要求货拉拉提供发票，可他们只提供一个行程单，且行程单不能作为财务会计记账凭证，只能是辅助记账，需要货拉拉提供正规发票，货拉拉以他们只是作为信息服务平台，而不是直接承运人拒开发票。</t>
  </si>
  <si>
    <t>经过同意乱扣费用</t>
  </si>
  <si>
    <t>http://ts.21cn.com/tousu/show/id/1369388</t>
  </si>
  <si>
    <t>2019/10/17 16:28:12</t>
  </si>
  <si>
    <t>投诉人 庄先生        投诉对象  百事普惠        涉诉金额  298.50 元    问题类型    诉求类型投诉详情  在我不知情的情况下自动乱扣银行卡费用</t>
  </si>
  <si>
    <t>汇潮支付聚合支付为高利贷提供通道</t>
  </si>
  <si>
    <t>http://ts.21cn.com/tousu/show/id/1369387</t>
  </si>
  <si>
    <t>2019/10/17 16:27:54</t>
  </si>
  <si>
    <t>9月27在金鸡下蛋现在改名金贝备借款1400元，6天实际要还款2000，期间到期几次无力还全额，为了防止爆通讯录只能续期，光续期费用已经超过本金，今天到期想协商还对方态度强硬不同意，无奈之下只能一下还清，20天的时间利息已经付了2000多，这样的高利贷吃人不吐骨头，高利贷的放款通道是汇潮支付，还款通道是聚合支付，要求退还高息部分。</t>
  </si>
  <si>
    <t>360借条骚扰高龄老人</t>
  </si>
  <si>
    <t>http://ts.21cn.com/tousu/show/id/1369386</t>
  </si>
  <si>
    <t>2019/10/17 16:27:39</t>
  </si>
  <si>
    <t>如果因惊吓而导致住院！我要求360借条负责、赔偿！。</t>
  </si>
  <si>
    <t>http://ts.21cn.com/tousu/show/id/1369385</t>
  </si>
  <si>
    <t>2019/10/17 16:27:28</t>
  </si>
  <si>
    <t>投诉人 尹丽霞        投诉对象  友信        涉诉金额  200 000 元    问题类型    诉求类型投诉详情  催收态度很不好，，， ，，，，， ，，，。。。。</t>
  </si>
  <si>
    <t>新浪趣用分期宝付支付借贷平台，超高额利息现金贷平台，暴力催收引诱还款</t>
  </si>
  <si>
    <t>http://ts.21cn.com/tousu/show/id/1369384</t>
  </si>
  <si>
    <t>2019/10/17 16:27:09</t>
  </si>
  <si>
    <t>新浪旗下趣用分期借贷平台，以低息引诱客户下载使用，在申请下款之后假借保险业务之名，扣除高额利息及服务费，做一份阴阳合同，实际的利息金额远远超过国家规定标准，宝付支付助纣为虐，不严格审核高息产品，在国家严厉打击套路贷的情况下依然借用小聪明进行高息操作，然后再催收中暴力骚扰借款人，要求立刻结清借款，并按照国家规定的银行利息进行结算，多次客服沟通无果，微信添加联系chtRyim_s，勿电话骚扰。</t>
  </si>
  <si>
    <t>平安普惠一直说我没有我这个人，又一直在乱发短信</t>
  </si>
  <si>
    <t>http://ts.21cn.com/tousu/show/id/662468</t>
  </si>
  <si>
    <t>2019/10/17 16:26:44</t>
  </si>
  <si>
    <t>投诉人赵女士投诉对象平安普惠涉诉金额2500元问题类型诉求类型投诉详情平安普惠我在农业银行卡一直有存钱，他们吧农业银行卡扣款关闭，我不知道应该怎么去弄，这是他们系统的原因，凭什么算在我头上，而且，让他们查一下卡号，就说查不到。</t>
  </si>
  <si>
    <t>退还保费，减免逾期费用</t>
  </si>
  <si>
    <t>http://ts.21cn.com/tousu/show/id/1369381</t>
  </si>
  <si>
    <t>2019/10/17 16:26:27</t>
  </si>
  <si>
    <t>2019年5月在快闪卡贷通过朋友借款12000，到账10000多一点，分6期还，每期还款2407，也就是说总共还款14442，还了3期，7月份的时候才知道，在我不知道的情况下给我买了保险，扣除的1700多是保险费，也是第一次知道办贷款要扣砍头息，8月份还了，9月开始没有还款，到今天我去看逾期费用2000多，这是合理的么，我现在只要求退还，保费，减免逾期费用，我可以考虑一次性还清全部借款！。</t>
  </si>
  <si>
    <t>支付宝借呗暴力催收以及爆通讯录</t>
  </si>
  <si>
    <t>http://ts.21cn.com/tousu/show/id/1369380</t>
  </si>
  <si>
    <t>2019/10/17 16:26:25</t>
  </si>
  <si>
    <t>支付宝借呗以及花被暴力催收，未经同意私自爆通讯录，对我的生活带来了很大的困扰，希望给我一个合理的解释，立马停止催收，否则将向中国人民银行举报并且提起诉讼。</t>
  </si>
  <si>
    <t>http://ts.21cn.com/tousu/show/id/1369382</t>
  </si>
  <si>
    <t>实际到账14万元，合同14.7万元，利息超过国家标准，要求减利息提前结清对方不同意，并伴有惊吓，威胁，谩骂等口气，而且骚扰本人手机，对我进行短信轰炸。</t>
  </si>
  <si>
    <t>工行信用卡协商分期或宽限</t>
  </si>
  <si>
    <t>http://ts.21cn.com/tousu/show/id/1369379</t>
  </si>
  <si>
    <t>2019/10/17 16:26:16</t>
  </si>
  <si>
    <t>因为受到套路贷危害，资金无法周转，同时工行信用卡突然把额度调为0，资金运转不过来，现希望能协商还款，出新的分期还款方案，或者调回额度，或者给些凑资金的时间，同时要求催收不联系家里，家里已经受不起打击了，本人有强烈还款意愿，希望银行能积极处理。</t>
  </si>
  <si>
    <t>http://ts.21cn.com/tousu/show/id/1369378</t>
  </si>
  <si>
    <t>2019/10/17 16:25:34</t>
  </si>
  <si>
    <t>原手机账号登入不上，主动还款还不上，会造成逾期麻烦联系一下我。</t>
  </si>
  <si>
    <t>广州合利宝，富友支付为714高炮快米钱庄提供支付通道</t>
  </si>
  <si>
    <t>http://ts.21cn.com/tousu/show/id/1369374</t>
  </si>
  <si>
    <t>2019/10/17 16:24:52</t>
  </si>
  <si>
    <t>本人2019年5月27日在快米钱庄借款2000元，实际到账1400元，6月2日还款2000元6.2日到账1400元，6.8日还款2000元6.9日到账1400元，6.15日还款2000元6.15日到账1400元，6.21日还款2000元6.21日到账1625元，6.27日还款2000元6.27日到账1625元，7.3日还款2500元7.3日到账1950元，7.9日还款2500元7.9日到账1950元，7.15日还款2200元要求退款。</t>
  </si>
  <si>
    <t>钱站套路贷</t>
  </si>
  <si>
    <t>http://ts.21cn.com/tousu/show/id/1369375</t>
  </si>
  <si>
    <t>2019/10/17 16:24:51</t>
  </si>
  <si>
    <t>到账900，每期还款484共三期，共1452，高利贷，钱站获利550元，请求偿还500。</t>
  </si>
  <si>
    <t>http://ts.21cn.com/tousu/show/id/1369373</t>
  </si>
  <si>
    <t>2019/10/17 16:24:49</t>
  </si>
  <si>
    <t>虚假宣传，虚假广告，里面的老师都没看到有教师证，讲课都是照着ppt念的，还有说报名后24小时内退学可以全额退款，结果联系的时候各种拖延，各种推脱，问什么时候能退还回来，结果连个大概时间都没有。</t>
  </si>
  <si>
    <t>http://ts.21cn.com/tousu/show/id/1369372</t>
  </si>
  <si>
    <t>2019/10/17 16:24:31</t>
  </si>
  <si>
    <t>一绑定银行卡，就自动扣费了！都没有通知的，也没有等我同意确定。</t>
  </si>
  <si>
    <t>优信二手车集体投诉专题</t>
  </si>
  <si>
    <t>http://ts.21cn.com/tousu/show/id/1369369</t>
  </si>
  <si>
    <t>2019/10/17 16:23:33</t>
  </si>
  <si>
    <t>优信二手车套路贷.19年2月份在二手车市场买了一辆12.8万的轿车.因钱不够自己首付了4.7万.后在优信借款9万.签合同时匆忙让我签合同.后不给看合同.只说回去会有电子合同.一个月后到app还款时就变成36期每月3310合计12万了.，但平台上又显示总借款10万而平台自己也解释不了.并且电子合同已变成租车合同.，而且一开始说的一年后提前还款打电话咨询也没有这个业务了.。</t>
  </si>
  <si>
    <t>http://ts.21cn.com/tousu/show/id/1369370</t>
  </si>
  <si>
    <t>2019/10/17 16:23:31</t>
  </si>
  <si>
    <t>在钱站借款1000元，每期还656三期还1968元严重高利贷.提前还款竟然还要1570多元，由于遇到困难寻思协商客服处理降低利息有意偿还，没想到客服居然说没逾期没法联系贷后人员，如果逾期的话光逾期费用就不少还要爆通讯录，就是希望和平解决，才提早跟客服看能不能协商降低利息又不是不还，希望能降低至国家标准利息！。</t>
  </si>
  <si>
    <t>淘豆分期在没有提示的情况下扣款</t>
  </si>
  <si>
    <t>http://ts.21cn.com/tousu/show/id/1369347</t>
  </si>
  <si>
    <t>2019/10/17 16:23:23</t>
  </si>
  <si>
    <t>投诉人魏先生投诉对象淘豆分期涉诉金额199元问题类型诉求类型投诉详情链接网页上没有任何提示，绑定之后直接扣我卡里钱。</t>
  </si>
  <si>
    <t>http://ts.21cn.com/tousu/show/id/1369368</t>
  </si>
  <si>
    <t>2019/10/17 16:23:11</t>
  </si>
  <si>
    <t>本月10日到期1056元，由于特殊情况资金要到月底才能到账，并电话致电客服协商并承担逾期费与滞纳金，客服答应并告知催收人员，但是催收一直不停炸通讯录，群发短信，严重影响日常工作与生活，希望有关部门介入严厉打击招联金融违法催收行为，还大家一个良好的生活环境。</t>
  </si>
  <si>
    <t>零零发平台高利贷，各种威胁恐吓ps照片</t>
  </si>
  <si>
    <t>http://ts.21cn.com/tousu/show/id/1369366</t>
  </si>
  <si>
    <t>2019/10/17 16:22:40</t>
  </si>
  <si>
    <t>投诉人卢先生投诉对象零零发钱包涉诉金额2000元问题类型诉求类型投诉详情借款1300元还款3000，借款日期6天，高利贷平台，催款就骂。</t>
  </si>
  <si>
    <t>在交易猫卖号被买家恶意仲裁</t>
  </si>
  <si>
    <t>http://ts.21cn.com/tousu/show/id/1369365</t>
  </si>
  <si>
    <t>2019/10/17 16:22:18</t>
  </si>
  <si>
    <t>前天在交易猫出售了一个账号，今天买家恶意仲裁了，希望能退款。</t>
  </si>
  <si>
    <t>贷上钱高利贷</t>
  </si>
  <si>
    <t>http://ts.21cn.com/tousu/show/id/1369364</t>
  </si>
  <si>
    <t>2019/10/17 16:22:10</t>
  </si>
  <si>
    <t>贷上钱高利贷公司没有放贷资质违规放贷贷上钱高利贷。</t>
  </si>
  <si>
    <t>退回商品分期金额或者商品</t>
  </si>
  <si>
    <t>http://ts.21cn.com/tousu/show/id/1369363</t>
  </si>
  <si>
    <t>2019/10/17 16:22:09</t>
  </si>
  <si>
    <t>投诉人 刘女士        投诉对象  小象优品        涉诉金额  3 388 元    问题类型    诉求类型投诉详情  本人在小象优品 分期两个商品 现已经还款结清 但是商品我没有收到 商品被商家收回 现在钱也不退我了 要求退我分期金额 或者商品</t>
  </si>
  <si>
    <t>http://ts.21cn.com/tousu/show/id/1369362</t>
  </si>
  <si>
    <t>2019/10/17 16:21:50</t>
  </si>
  <si>
    <t>正常年息才8.4%实际确收我24%的年息，存在砍头息，阴阳合同，欺骗手段。</t>
  </si>
  <si>
    <t>钱站高利贷，假合同</t>
  </si>
  <si>
    <t>http://ts.21cn.com/tousu/show/id/1369360</t>
  </si>
  <si>
    <t>2019/10/17 16:21:46</t>
  </si>
  <si>
    <t>本人9月1号借款3000.借款合同上写3990.明显是假合同，违照，每个月还款要1900多，借3000元3个月要还5700多，比高利贷还要黑，钱站明显无视国家法律，危害社会，像这个的金融公司国家为什么不查处，为其嚣张的顶风作案，这样的金融公司维持一天要危害多少人，希望聚投诉帮帮我们那些让钱站受害的人，这样的公司部查处天理不容。</t>
  </si>
  <si>
    <t>http://ts.21cn.com/tousu/show/id/1369361</t>
  </si>
  <si>
    <t>2019/10/17 16:21:35</t>
  </si>
  <si>
    <t>2017年12月28日借款60000元，实际到款60000万，合同金额89200元，分三年36期，每期还款金额2861，总共还款金额103000元，期间业务员通过微信收款方式收取了我4000元贷款服务费，实际到款56000元，友信方面解释差额是服务费，问题来了，这4万多的所谓服务费没有给我们用户开具任何发票证明，连收据都没有，是不是涉嫌偷税漏税了，算上服务费年利高达38%远远超过了国家规定的最高标准24%，逾期一天利息高达借款日息五分，友信涉嫌套路贷，阴阳合同，暴力催收，下属门店无经营权限，偷税漏税，友信对</t>
  </si>
  <si>
    <t>拼多多为赌博平台提供收款渠道诱导消费</t>
  </si>
  <si>
    <t>http://ts.21cn.com/tousu/show/id/1369339</t>
  </si>
  <si>
    <t>2019/10/17 16:21:34</t>
  </si>
  <si>
    <t>投诉人王女士投诉对象拼多多涉诉金额30000元问题类型诉求类型投诉详情之前在网上看到有消息说利用业务时间来做兼职就可以赚钱，结果慢慢投入了一点结果发现是骗人的，我是在拼多多上面支付的，前前后后受骗金额高达上万，这些订单只有在支付宝上能查到。</t>
  </si>
  <si>
    <t>平安普惠催收骚扰</t>
  </si>
  <si>
    <t>http://ts.21cn.com/tousu/show/id/1369358</t>
  </si>
  <si>
    <t>2019/10/17 16:21:15</t>
  </si>
  <si>
    <t>平安普惠催收员对我进行微信轰炸、编辑短信群发骚扰，短信里公开我的工作职业，诽谤我以及我的家人。</t>
  </si>
  <si>
    <t>马上金融暴力催收长期骚扰客户和客户家人</t>
  </si>
  <si>
    <t>http://ts.21cn.com/tousu/show/id/1369356</t>
  </si>
  <si>
    <t>2019/10/17 16:21:01</t>
  </si>
  <si>
    <t>投诉人 谢先生        投诉对象  马上消费金融        涉诉金额  1 700 元    问题类型    诉求类型投诉详情  看图不想多说 天天打电话给我父母 发短信骚扰我父母 我欠的钱 为什么不打给我？而且一下说188 一下说2000 一下说3000 甚至说6000的 连个金额都说不清 我怎么知道到底还多少钱？ 打电话回去就是没反应 长期的 从6月到现在没消停过</t>
  </si>
  <si>
    <t>立借平台钱置宝无法还款造成逾期，高利贷</t>
  </si>
  <si>
    <t>http://ts.21cn.com/tousu/show/id/1369357</t>
  </si>
  <si>
    <t>2019/10/17 16:20:53</t>
  </si>
  <si>
    <t>本人在立借钱置宝平台申请了一笔2100的贷款，分4期偿还，每期8天，共计32天，每期还款751元，其中本金525元，利息226.8元，总计要还款3067元，前三期我都已经还清，总计还款2253元，最后一期还款的时候平台不自动扣费也没有了支付方式，多方联系客服无果，造成了逾期，本金525元，逾期一天费用要42元，直到逾期十多天后客服才主动联系我，我想协商解决免除逾期费用无果。</t>
  </si>
  <si>
    <t>平安普惠贷款利息</t>
  </si>
  <si>
    <t>http://ts.21cn.com/tousu/show/id/1369355</t>
  </si>
  <si>
    <t>2019/10/17 16:20:40</t>
  </si>
  <si>
    <t>投诉人 赵先生        投诉对象  平安普惠        涉诉金额  4 213 元    问题类型    诉求类型投诉详情  贷款4.5万，到账34万。已还款71,178.27元。</t>
  </si>
  <si>
    <t>捷信利息纯属高利贷，老还钱进去都还不掉</t>
  </si>
  <si>
    <t>http://ts.21cn.com/tousu/show/id/1369353</t>
  </si>
  <si>
    <t>2019/10/17 16:19:48</t>
  </si>
  <si>
    <t>在捷信合同贷了70000，到账的金额也没七万，分51期，月还2527.04，还了13期一看还要五万八千多，欠的还原地不动没区别，问业务员，业务员还说平台显示的和真正金额是不一样的，说什么要打人工平台操作什么的，这利息高的太离谱了，明显是套路啊，严重高利贷，严重骚扰联系人电话，威胁恐吓联系人，群发短信批图。</t>
  </si>
  <si>
    <t>爆通讯录，泄露隐私信息</t>
  </si>
  <si>
    <t>http://ts.21cn.com/tousu/show/id/1369354</t>
  </si>
  <si>
    <t>2019/10/17 16:19:42</t>
  </si>
  <si>
    <t>招联金融以个人名义发送短信，联系通讯录好友，泄露隐私。</t>
  </si>
  <si>
    <t>账号被找回，买的保险不给处理。</t>
  </si>
  <si>
    <t>http://ts.21cn.com/tousu/show/id/1369351</t>
  </si>
  <si>
    <t>2019/10/17 16:18:46</t>
  </si>
  <si>
    <t>8月1日晚，在交易猫平台购买了这个账号，而到8月7日早晨，账号被找回，购买的60天保险，一直在敷衍我，就是不给处理，一直叫我报警，之前的协议申诉一直说在七日内回复，一直没回复，现在连保险都申诉不了，说网络没用。</t>
  </si>
  <si>
    <t>爆通讯录收取逾期管理费</t>
  </si>
  <si>
    <t>http://ts.21cn.com/tousu/show/id/1369349</t>
  </si>
  <si>
    <t>2019/10/17 16:18:27</t>
  </si>
  <si>
    <t>爆通讯录，收取管理费，要求停止骚扰，减免部分。</t>
  </si>
  <si>
    <t>招商银行信用卡暴力催收，恐吓父母</t>
  </si>
  <si>
    <t>http://ts.21cn.com/tousu/show/id/1369350</t>
  </si>
  <si>
    <t>2019/10/17 16:18:22</t>
  </si>
  <si>
    <t>招商银行信用卡暴力催收，未经同意私自爆通讯录，对我的生活带来了很大的困扰，希望给我一个合理的解释，立马停止催收，否则将向中国人民银行举报并且提起诉讼。</t>
  </si>
  <si>
    <t>还没到时间点就打电话给家里人骚扰亲戚朋友</t>
  </si>
  <si>
    <t>http://ts.21cn.com/tousu/show/id/1369348</t>
  </si>
  <si>
    <t>答应5点前还，还没到点就打电话骚扰亲戚朋友。</t>
  </si>
  <si>
    <t>http://ts.21cn.com/tousu/show/id/1369346</t>
  </si>
  <si>
    <t>2019/10/17 16:17:41</t>
  </si>
  <si>
    <t>贷款60000元正，合同显示88500元正！实际到账6万元！不到还款日电话，微信催收！或高额的服务费多达28500元。</t>
  </si>
  <si>
    <t>http://ts.21cn.com/tousu/show/id/1369345</t>
  </si>
  <si>
    <t>2019/10/17 16:17:15</t>
  </si>
  <si>
    <t>投诉人 王女士        投诉对象  小花钱包        涉诉金额  306 元    问题类型    诉求类型投诉详情  非法和暴力催收，严重影响到我的亲朋好友。不愿意和本人协商。才逾期两天。不给本人商量的余地。</t>
  </si>
  <si>
    <t>钱站高利贷公司没有放款资质违规放贷</t>
  </si>
  <si>
    <t>http://ts.21cn.com/tousu/show/id/1369344</t>
  </si>
  <si>
    <t>2019/10/17 16:16:50</t>
  </si>
  <si>
    <t>钱站高利贷公司没有放贷资质违规放贷钱站高利贷。</t>
  </si>
  <si>
    <t>要求马上金融退之前不让提前还款多出来的费用</t>
  </si>
  <si>
    <t>http://ts.21cn.com/tousu/show/id/1369343</t>
  </si>
  <si>
    <t>2019/10/17 16:16:45</t>
  </si>
  <si>
    <t>2017年12月15日借的一笔马上贷当时一直想提前还款，表面看一共还款10704元，扣除8000本金，实际还息2704元，.实际利率75.34%，由于是按月分期，实际并没有持有8000元使用一年。</t>
  </si>
  <si>
    <t>http://ts.21cn.com/tousu/show/id/1369342</t>
  </si>
  <si>
    <t>2019/10/17 16:16:37</t>
  </si>
  <si>
    <t>我报名缴费的时候是支付宝转账，没有发票，只是开通了个北风网APP账号，合同里面的东西也没怎么看过，我不想学了，要退费，合同我也没有看过，不知道涉及退款的事项，9月30号提出退款到现在，今下午才给我打电话，现在打电话说他们平台规定超过三天就不退款了。</t>
  </si>
  <si>
    <t>神灯小贷恶意收取高额费用</t>
  </si>
  <si>
    <t>http://ts.21cn.com/tousu/show/id/1369341</t>
  </si>
  <si>
    <t>2019/10/17 16:16:33</t>
  </si>
  <si>
    <t>神灯小贷25号扣费失败未提醒的情况下，以日百分之1的费用，恶意收取违约金，严重侵害消费者权益，并有催收威胁暴力催收，本人已经录音收集证据像有关部门持续反映！。</t>
  </si>
  <si>
    <t>交通银行催收态度极其恶劣</t>
  </si>
  <si>
    <t>http://ts.21cn.com/tousu/show/id/1369340</t>
  </si>
  <si>
    <t>2019/10/17 16:16:28</t>
  </si>
  <si>
    <t>我在上午已经和例外一个客服协商好了，人家的态度很好，下午这个客服直接说我跟别人协商不算，只有她说的算，而且他还说不管我打什么客服电话，最后都会回到她那里，我逾期不到30天，这几天已经陆续处理了950元，她告诉我今天必须处理剩余1600多元，处理不了，催收升级，问我能不能处理，我说能，但是我不确定哪天能处理好，我会尽最快时间处理，完了问了是不是中国人，听不懂她说话吗，我也知道我欠钱理亏，但是我尽量去处理了，不要这么逼着人行吗。</t>
  </si>
  <si>
    <t>盗取用户个人信息</t>
  </si>
  <si>
    <t>http://ts.21cn.com/tousu/show/id/1369338</t>
  </si>
  <si>
    <t>2019/10/17 16:15:59</t>
  </si>
  <si>
    <t>打着门槛低，通过率高，只要手机号加身份证就可以借款。</t>
  </si>
  <si>
    <t>赔偿损失</t>
  </si>
  <si>
    <t>http://ts.21cn.com/tousu/show/id/1369337</t>
  </si>
  <si>
    <t>2019/10/17 16:15:46</t>
  </si>
  <si>
    <t>展志天华木门安装售后一塌糊涂，时间拖了一个半月，拿过来的门套窗套就这种质量，大量出现破损、断裂情况，之前承诺的纯实木窗套和门套拿过来的却是这种杂牌货，里面夹杂了很多杂质，这种垃圾产品也拿出来糊弄消费者吗，现在又要再让我们等二十多天重新发，现在所有装修项目全部停下来等木门安装，严重影响了安装进度，也严重影响了婚期，其中造成的损失必须由展志天华公司进行赔偿，要求赔礼道歉并且赔偿至少1000元现金，否则投诉到底！！！。</t>
  </si>
  <si>
    <t>http://ts.21cn.com/tousu/show/id/1369336</t>
  </si>
  <si>
    <t>2019/10/17 16:15:42</t>
  </si>
  <si>
    <t>高利贷，还完一期以后暴力催收威胁家人，态度及其嚣张。</t>
  </si>
  <si>
    <t>http://ts.21cn.com/tousu/show/id/1369335</t>
  </si>
  <si>
    <t>2019/10/17 16:15:31</t>
  </si>
  <si>
    <t>逾期一天，收一百，黑网贷，谁在给他们当保护伞。</t>
  </si>
  <si>
    <t>建设银行“充值兑卡金秋季”活动中网站出错，拒不解决客户反馈的问题，诱导客户重复多消费</t>
  </si>
  <si>
    <t>http://ts.21cn.com/tousu/show/id/1369300</t>
  </si>
  <si>
    <t>2019/10/17 16:15:23</t>
  </si>
  <si>
    <t>参加建行“缴费兑奖金秋季”结果到抽奖环节的时候，网站提示报错，找客服反馈问题，却被告知活动名额没有就再不理客户了，结果我又充值2次，发现还有名额，只是有时候建行网站会出错，导致无法正常抽奖，结果导致我14-15号分别充值6次50元，总共600元，却只抽奖3次，都不中奖，怀疑建设银行有意诱导欺骗客户多消费！。</t>
  </si>
  <si>
    <t>京东商城商家拦截货物</t>
  </si>
  <si>
    <t>http://ts.21cn.com/tousu/show/id/1369334</t>
  </si>
  <si>
    <t>2019/10/17 16:15:06</t>
  </si>
  <si>
    <t>京东商城美的中式厨房旗舰店商家为了不让买家收货，运单地址以及电话恶意修改，从而让买家收不到货。</t>
  </si>
  <si>
    <t>http://ts.21cn.com/tousu/show/id/1369333</t>
  </si>
  <si>
    <t>2019/10/17 16:14:48</t>
  </si>
  <si>
    <t>还款日没到，就提前骚扰打电话给本人，请给个说法。</t>
  </si>
  <si>
    <t>连城分期三天超利贷快捷通支付提供的支付平台服务</t>
  </si>
  <si>
    <t>http://ts.21cn.com/tousu/show/id/1369331</t>
  </si>
  <si>
    <t>2019/10/17 16:14:39</t>
  </si>
  <si>
    <t>本人因为缺钱周转，10月15日通过广告短信下载了呗呗分期，借款1200、还款1500、没有看清时间只有三天利息就要300，是通过快捷通直接转账到银行卡的还款是通过支付宝渠道整合支付还款，也了解过这个平台属于双辽市春天支农小额贷款有限公司，因为周天和费用实在太不合理难以周转希望聚投诉联系上对方公司，为我做主，协商还款！。</t>
  </si>
  <si>
    <t>《大麦网》霸道规则，不实承诺</t>
  </si>
  <si>
    <t>http://ts.21cn.com/tousu/show/id/1369329</t>
  </si>
  <si>
    <t>2019/10/17 16:14:34</t>
  </si>
  <si>
    <t>背景：老公从小喜欢张信哲，12月正好有张信哲的演唱会，也正好是我们的纪念日，于是在10/16日早上9点准时抢演唱会门票，带来不愉快的消费体验，经过：--起初购票时2票连买，但每次付款是都是提示缺货，于是换个思路，一张一张分开购买，--早上9：24分随即致电大麦客服4006103721提出希望2张票能够连坐，告知我可以买同等价位及以上的2张票在一个订单里，原2个订单再退单，--下午15：32分致电客服，询问客服是否已安排好位子，客服表示预售票系统还未分配座位，问题：1.逻辑关系混乱，因订票系统问题，导致无法2</t>
  </si>
  <si>
    <t>威胁，恐吓</t>
  </si>
  <si>
    <t>http://ts.21cn.com/tousu/show/id/1369330</t>
  </si>
  <si>
    <t>2019/10/17 16:14:29</t>
  </si>
  <si>
    <t>我爱人在你我贷借款，因资金周转困难，还款出现问题，导致这三个月来，每月还款都有逾期情况出现，但不管如何，我们也是资金一到位就还进去，并没有恶意拖欠，或者说逾期了就不处理，前两个月也都是尽快的处理好，这个月，逾期四天，今天催收打了两个电话，我情况跟他说，他咬着我们每月出现逾期情况，一点不肯与我协商一下，我说了这几天会尽快处理，他说今天不处理就走流程，所谓的流程就是打电话跟我们的亲戚朋友核实我们的经济状况，难听点就是要爆通讯录，我说我打电话跟你我贷客服申请一下，他回我说客服也只是反馈到他那里，他不会同意，叫我不</t>
  </si>
  <si>
    <t>钱站老友计划套路贷</t>
  </si>
  <si>
    <t>http://ts.21cn.com/tousu/show/id/1369327</t>
  </si>
  <si>
    <t>2019/10/17 16:14:19</t>
  </si>
  <si>
    <t>钱站借款逾期，客服说申请老友计划，结婚钱没有到银行卡，钱站直接扣除偿还之前的借款，之前账单不能查询明细，扣除金额与实际不符，典型的高利贷，砍头息。</t>
  </si>
  <si>
    <t>滴滴平台黑心黑肺</t>
  </si>
  <si>
    <t>http://ts.21cn.com/tousu/show/id/1369328</t>
  </si>
  <si>
    <t>17:19:56自从服务分变成口碑值之后，滴滴平台把所有的快车单优先派给优享司机，所有的优享车都处于停不下来，一天开车18小时极度疲劳驾驶状态，所有快车司机都接不到单，一小时一单的快车算好的了，花10几万买了车投身滴滴工作，到头来落的这个下场，一天在线10几个小时挣不到100元钱，完全影响了我的正常生活，我要求平台帮我维权，向滴滴平台讨要损失的收入！。</t>
  </si>
  <si>
    <t>禁止暴力催收</t>
  </si>
  <si>
    <t>http://ts.21cn.com/tousu/show/id/1369326</t>
  </si>
  <si>
    <t>2019/10/17 16:14:09</t>
  </si>
  <si>
    <t>投诉人 植先生        投诉对象  掌众金服        涉诉金额  995 元    问题类型    诉求类型投诉详情  由于本人在闪电借款的借款已经逾期 现在实在是没有能力还得上了 昨天接到闪电借款催收的电话 让几点几点之前必须还进去 威胁我不然就帮我借 今天又一个电话打过来 我跟他说了我现在是实在还不上 然后他说上交走流程了 不暴力催收 钱我肯定一分不少的会还 只是现在真的无能为力</t>
  </si>
  <si>
    <t>车子被拖走，还要交车贷，私人物品也不给</t>
  </si>
  <si>
    <t>http://ts.21cn.com/tousu/show/id/1369325</t>
  </si>
  <si>
    <t>2019/10/17 16:13:23</t>
  </si>
  <si>
    <t>销售人员说全车就88450元，车子被拖走让结清尾款竟然是11万多，找到销售问原因，她说这是当时给对比的4S店的，我说我买车之前多次问你多次咨询一共是8万8千多不，你说是，现在又这么说，最后给她打电话发微信全然不回，现在车被拖走尽2个多月，车子不在手里，他们不知是客服还是催收让还车贷，让还钱有人给联系，给他们联系要回私人物品，没有任何人回复，打客服电话，客服说这些事情他们处理不了。</t>
  </si>
  <si>
    <t>拼多多帮助妙蛙商城开通第三方通道收取套路费</t>
  </si>
  <si>
    <t>http://ts.21cn.com/tousu/show/id/1369311</t>
  </si>
  <si>
    <t>2019/10/17 16:12:50</t>
  </si>
  <si>
    <t>投诉人李先生投诉对象拼多多,妙蛙商城涉诉金额260元问题类型诉求类型投诉详情妙蛙商城上面说开通会员就能借到钱，急用钱周转刚好贴吧上看到有人说借成功了，于是我就下载了，也没多想就充值开通了会员，结果根本就借不到钱，还白白交了260的会员费，支付通道是拼多多代收，我恳求聚投诉为我主持公道，还我血汗钱。</t>
  </si>
  <si>
    <t>玖富万卡套路贷，砍头收取高额利息，阴阳合同，暴力骚扰</t>
  </si>
  <si>
    <t>http://ts.21cn.com/tousu/show/id/1369324</t>
  </si>
  <si>
    <t>2019/10/17 16:12:49</t>
  </si>
  <si>
    <t>本人于8月4日在玖富万卡平台申请下款，平台以超低息高额度为诱饵，欺负消费者进行借贷行为，实则在实际下款中使用阴阳合同，伪造保险合约名义扣除高额利息服务费，一次性收取30%的服务费，满额下款秒扣服务费的套路来掩饰自身违法行为，国家当前高举红旗打击套路，居然还想小聪明来掩饰，侵占消费者的财产和权益，催收骚扰家人，当前我已无力偿还如此高额高息的现金贷平台，要求本金结算。</t>
  </si>
  <si>
    <t>阳光保险</t>
  </si>
  <si>
    <t>http://ts.21cn.com/tousu/show/id/1369322</t>
  </si>
  <si>
    <t>2019/10/17 16:12:02</t>
  </si>
  <si>
    <t>投诉人刘小明投诉对象高利贷涉诉金额4000元问题类型诉求类型投诉详情贷款6万，36期每期2990元，严重超出国家法定利率，要求返还多余还款，停止骚扰，停止暴力催收，修复征信。</t>
  </si>
  <si>
    <t>投诉小花钱包暴力催收</t>
  </si>
  <si>
    <t>http://ts.21cn.com/tousu/show/id/1369321</t>
  </si>
  <si>
    <t>2019/10/17 16:11:53</t>
  </si>
  <si>
    <t>泄露个人信息的违法行为，电话信息骚扰无关人员，属于暴力催收行为。</t>
  </si>
  <si>
    <t>平安信用卡恶意催收</t>
  </si>
  <si>
    <t>http://ts.21cn.com/tousu/show/id/1369320</t>
  </si>
  <si>
    <t>2019/10/17 16:11:51</t>
  </si>
  <si>
    <t>平安银行信用卡暴力催收，未经同意私自爆通讯录，对我的生活带来了很大的困扰，希望给我一个合理的解释，立马停止催收，否则将向中国人民银行举报并且提起诉讼。</t>
  </si>
  <si>
    <t>卡卡计袋贷上钱APP暴力催收，骚扰家人朋友</t>
  </si>
  <si>
    <t>http://ts.21cn.com/tousu/show/id/1369319</t>
  </si>
  <si>
    <t>2019/10/17 16:11:47</t>
  </si>
  <si>
    <t>催收一直恐吓以及威逼我马上存钱，我一直好好沟通也没逃避问题，但是催收一直骚扰我家人，一直不断爆我通讯录，导致我直接客户经济损失过万，虽然我有错，但我没逃避，利息我也说了算着，我逾期我倒霉我没话说，但是不至于逼死我，我一直都好声好气的商量，为什么要逼我上绝路。</t>
  </si>
  <si>
    <t>银钱包推广业务员虚假宣传</t>
  </si>
  <si>
    <t>http://ts.21cn.com/tousu/show/id/1369272</t>
  </si>
  <si>
    <t>2019/10/17 16:11:34</t>
  </si>
  <si>
    <t>投诉人张先生投诉对象银钱包涉诉金额300元问题类型诉求类型投诉详情十月十七日下午网吧上网，来了一个银钱包的女性业务员推广pos，本着与他人方便与自己方便的原则，信任她，手机一直拿着被她操作，说刷四百才能开通，等她走了以后才发现三百根本没到账，而是开通了什么VIP服务，VIP服务是用户根据需求自行开通的，怪不得她不给我自己操作，偷偷开通好拿他的业务费，实在可恶，这样的业务员只会败坏你们福临门银钱包的名声，希望你们严肃做出处理，而不是靠欺骗用户来赚钱。</t>
  </si>
  <si>
    <t>http://ts.21cn.com/tousu/show/id/1369323</t>
  </si>
  <si>
    <t>投诉人张女士投诉对象你我贷涉诉金额1750元问题类型诉求类型投诉详情在能联系到我的情况下就打我公司，朋友的电话.在此之前我已经跟催收的人说了等发了工资就还进去可是他们不让协商就暴力催收请停止暴力催收。</t>
  </si>
  <si>
    <t>来分期上借2700还3400请问合理吗</t>
  </si>
  <si>
    <t>http://ts.21cn.com/tousu/show/id/1369318</t>
  </si>
  <si>
    <t>2019/10/17 16:11:00</t>
  </si>
  <si>
    <t>本人第一次在来分期上面借了2700亿元，分九期还，问下来要还3500多，第二次，在来分期上面借了850元，分12期还算下来要还1150元，从共合计金额4650元，算下来远远超出国家标准的，高于国家标准的36%，属于严重的，高利贷，希望平台调整利率，及时给我解决问题，如果解决不了，本人后续会在其他平台继续加大投诉，直到解决问题为止，或者打12315。</t>
  </si>
  <si>
    <t>富友支付为714高炮小蘑菇提供支付通道</t>
  </si>
  <si>
    <t>http://ts.21cn.com/tousu/show/id/1369317</t>
  </si>
  <si>
    <t>2019/10/17 16:10:55</t>
  </si>
  <si>
    <t>本人2019年6月9日在小蘑菇借款3500元实际到账2660元，6月15日还款3818.62元6月15日到账2660元，6月21日还款4220.58元要求退款。</t>
  </si>
  <si>
    <t>销账处理</t>
  </si>
  <si>
    <t>http://ts.21cn.com/tousu/show/id/1369316</t>
  </si>
  <si>
    <t>2019/10/17 16:10:04</t>
  </si>
  <si>
    <t>投诉人 万先生        投诉对象  钱站,爱前进        涉诉金额  1 000 元    问题类型    诉求类型投诉详情  借款1000还款1800 超级高利贷 本人已经还款两期了现在要求销账处理 要不然绝不还款 投诉到底 上次跟本就没有处理好问题就结案了</t>
  </si>
  <si>
    <t>捷信金融在不知情的情况下购买了保险</t>
  </si>
  <si>
    <t>http://ts.21cn.com/tousu/show/id/1369315</t>
  </si>
  <si>
    <t>2019/10/17 16:09:47</t>
  </si>
  <si>
    <t>当初办理捷信金融现金贷分期业务，无缘无故被买了保险，每个月都还了保险费用，请求退款。</t>
  </si>
  <si>
    <t>拍拍贷暴力催收严重扰乱我的生活</t>
  </si>
  <si>
    <t>http://ts.21cn.com/tousu/show/id/1369314</t>
  </si>
  <si>
    <t>2019/10/17 16:09:26</t>
  </si>
  <si>
    <t>本人在拍拍贷分期借款周转，每个月差不多快两千，由于本月工资还未发放，与平台客服协商，工资发了马上还款，一旦正常工作发工资，这钱还是负担的起，可是客服同意后，催收依然就打了联络，更加困难协商，我也录音了，现在通讯录也爆了，电话也是不停的打，同事亲友都知道了，而且也打电话给我老板了，面临工作要丢掉的风险，要是工作没了，还拿什么还，把人逼上绝路了他们拍拍贷才满意了么，拍拍贷可以这么任性，希望能够平台获得帮助维权，严重影响我的生活了。</t>
  </si>
  <si>
    <t>账号让找回有证据交易猫都不管</t>
  </si>
  <si>
    <t>http://ts.21cn.com/tousu/show/id/1369313</t>
  </si>
  <si>
    <t>2019/10/17 16:09:07</t>
  </si>
  <si>
    <t>2019年10月8日我在交易猫上购买明日方舟官服账号后同时买了保险，买后被告知死绑手机号不在保险理赔范围，客服没有给我完整的邮箱号导致我无法登入邮箱更改游戏密码和邮箱手机号绑定，现在卖家已经找回账号并再次售出欺骗人，交易猫没有对卖家进行任何约束和惩罚行为，无法举报卖家，也没有给我赔偿。</t>
  </si>
  <si>
    <t>京东白条逾期后，逾期部分已还，一直打电话叫还全款，还发短信说发律师函</t>
  </si>
  <si>
    <t>http://ts.21cn.com/tousu/show/id/1369310</t>
  </si>
  <si>
    <t>2019/10/17 16:08:52</t>
  </si>
  <si>
    <t>京东白条逾期了，打电话叫还款，把逾期金额还掉后，现在又一直打电话和短信叫全部结清，当初开通白条时并没有明确逾期要全额结清，现在又说同意了这个协议而且冻结了账户。</t>
  </si>
  <si>
    <t>哈喽出行助力车钓鱼收费</t>
  </si>
  <si>
    <t>http://ts.21cn.com/tousu/show/id/1369136</t>
  </si>
  <si>
    <t>2019/10/17 16:08:39</t>
  </si>
  <si>
    <t>投诉人蒋先生投诉对象哈啰出行涉诉金额15元问题类型诉求类型投诉详情在助力车平台，有一个“搜索目的地能否还车”的功能按钮，哈喽出行号称出发前使用该功能能够查询目的地还车，而实际操作可见，列表中彭埠地铁站选项存在，标注为规划，点击后提示有30个停车位，并无提示此处无法还车，然而实际使用中，在该点附近换车，提示需到300M外的停车点还车，否则视作违规还车，之前用的都是哈喽出行的单车，当天附近没有单车只有一辆助力才使用的助力车，结果首次体验极差，地图上没有标注，所谓的查询功能也没有提示无停车点，也没有和单车一样用各</t>
  </si>
  <si>
    <t>暴力催收，合同欺诈，高利贷</t>
  </si>
  <si>
    <t>http://ts.21cn.com/tousu/show/id/1369308</t>
  </si>
  <si>
    <t>2019/10/17 16:08:28</t>
  </si>
  <si>
    <t>借1000还1600目前已经还1320还有一期560的，加一起1880，强制借打电话还取消不掉，放钱一个星期才到，没收到钱还取消不了。</t>
  </si>
  <si>
    <t>夸大宣传，各种套路，利用大众创业心理，诱导创业者加入会员，获取9800会员费，存在欺诈</t>
  </si>
  <si>
    <t>http://ts.21cn.com/tousu/show/id/1369306</t>
  </si>
  <si>
    <t>2019/10/17 16:08:12</t>
  </si>
  <si>
    <t>1、夸大收益宣传，例如月入10万+，日入1万+可兼职当副业，微信消息及朋友圈各种套路吸引小白创业者，还请一些优秀会员分享月入10万秘籍教学等吸引创业者2、缴费加入会员后，乐客无售后服务，销售拒接电话，不履行合同，各种推脱不解决会员诉求，截至目前，本人要求其解决的变更合同主体问题仍无人解决3、会员缴费后，我所知乐客并未开具发票，有偷税漏税嫌疑4、销售人员在当面销售其会员产品时，存在诱导及欺诈行为，2019年9月26日说会员数量只有800个左右，只服务800左右个会员，其实远不止。</t>
  </si>
  <si>
    <t>未经同意聚富分期开通免密支付，乱扣款</t>
  </si>
  <si>
    <t>http://ts.21cn.com/tousu/show/id/1369307</t>
  </si>
  <si>
    <t>2019/10/17 16:08:09</t>
  </si>
  <si>
    <t>10.15号下载了一个贷款平台聚富分期，不知道什么原因扣了299.5，在他们平台申请额度，没有通过，就卸载了，10.18农业银行发信息给我说扣了299.5，一开始我就很纳闷了，什么东西能扣我299.5万就上农业银行查了信息，打电话给聚富分期平台，他们客服说我买了他们产品信用报告，什么报告要299.5啊，我就叫他们退钱，客服跟我说要个人身份证复印件，手持身份证复印件，这些都是个人隐私，干嘛发过去给你们啊，还要20个工作日才能给钱我，明摆的*，我用的是小米手机，应用商店都找不到这个软件，上网一查发现很多跟我一样</t>
  </si>
  <si>
    <t>http://ts.21cn.com/tousu/show/id/1369262</t>
  </si>
  <si>
    <t>2019/10/17 16:07:48</t>
  </si>
  <si>
    <t>投诉人韦女士投诉对象宜信普惠涉诉金额70000元问题类型诉求类型投诉详情2018年11月在南宁分公司申请了贷款，当时告知下款金额是70000元，等到签合同的时候只是告知那是服务费并无利息，并没有告知我的总款项是104000元，并按照104000这个数算利息，到目前为止本人已还了34770元，还剩余应还款62000元，而我使用的本金只有70000元，利息高达38%，。</t>
  </si>
  <si>
    <t>炒菜火大，涂层就坏的锅</t>
  </si>
  <si>
    <t>http://ts.21cn.com/tousu/show/id/1369305</t>
  </si>
  <si>
    <t>2019/10/17 16:07:46</t>
  </si>
  <si>
    <t>2019年4月30号在京东苏泊尔官方旗舰店购买了一个不粘锅，这个锅突然的涂层发黑，问苏泊尔，说是大火炒菜导致涂层发黑，不属于质量问题，不保修，这个锅一年的保修期，不能大火炒菜的锅还能叫锅吗，苏泊尔在保质期内拒绝保修，而商品页面显示一年质保，苏泊尔没有做到页面宣传的一年质保，请平台帮帮我。</t>
  </si>
  <si>
    <t>花花乐</t>
  </si>
  <si>
    <t>http://ts.21cn.com/tousu/show/id/1369304</t>
  </si>
  <si>
    <t>2019/10/17 16:07:43</t>
  </si>
  <si>
    <t>自称花花乐平台，要我还钱，我根本没有在此平台借钱，我故意套他，要他把账号和名字发来，把app链接发来我下载先看下，他就开始骂人，还威胁爆通讯录。</t>
  </si>
  <si>
    <t>兴业银行全额套路催收</t>
  </si>
  <si>
    <t>http://ts.21cn.com/tousu/show/id/1369303</t>
  </si>
  <si>
    <t>2019/10/17 16:07:37</t>
  </si>
  <si>
    <t>因本人现在无能立全额还款，想与银行方面协商还款，承认确实欠银行钱，也想尽快还清欠款但是现在一下还不上，希望能协商。</t>
  </si>
  <si>
    <t>小黑鱼点心贷强制买保险500元，咨询客服还不给退款</t>
  </si>
  <si>
    <t>http://ts.21cn.com/tousu/show/id/1369312</t>
  </si>
  <si>
    <t>2019/10/17 16:07:20</t>
  </si>
  <si>
    <t>投诉人沈先生投诉对象点心贷涉诉金额500元问题类型诉求类型投诉详情在小黑鱼中推荐的点心贷APP借款2000，然后诱导我花500保险费，实际只到账1500，30天后要还2000多，我和客服反应说500保险费能不能退，客服说强制购买不能退款。</t>
  </si>
  <si>
    <t>平安普惠暴力催收，反应无果，外包三方威胁</t>
  </si>
  <si>
    <t>http://ts.21cn.com/tousu/show/id/1369309</t>
  </si>
  <si>
    <t>投诉人潘女士投诉对象平安普惠涉诉金额25000元问题类型诉求类型投诉详情之前在平安普惠上面贷了一笔款，正常还款了几个月，后因自己被骗，造成还款困难，已打过平安客服反馈过，加之本人贷款为2016年，后客服称系统更新原因，导致在2018年2月9日额度变成30000多，不是本人操作，中间的几千额度不是打到本人卡上，加上各种保费、服务费，我已还款11个月，每个月2000多，已还款20000多，现在又说我差32000多，这不是高利贷是什么，本人不是恶意逾期，但是有好多问题，希望平安普惠解释，但是一直不给与回复，还暴力</t>
  </si>
  <si>
    <t>闪银以担保为由收取砍头息以及高额利息</t>
  </si>
  <si>
    <t>http://ts.21cn.com/tousu/show/id/1369302</t>
  </si>
  <si>
    <t>2019/10/17 16:06:21</t>
  </si>
  <si>
    <t>9月1日，本人于闪银app中向闪银至尊累计借款30674元，被收取前期担保费用3374元，，向闪银瞬瞬累计借款13900元，实际到账金额为11910，被收取前期担保费用1990元，向闪银哼哼累计借款11400元，实际到账金额为9928元，被收取前期担保费用1472元，累计账单金额为11951元向闪银多米借款1400元，被收取前期担保费用299元，还款账单金额为1723元现有意与闪银方协调减免不合理的高额砍头利息。</t>
  </si>
  <si>
    <t>http://ts.21cn.com/tousu/show/id/1369301</t>
  </si>
  <si>
    <t>2019/10/17 16:06:07</t>
  </si>
  <si>
    <t>本人在钱包易贷借款已有几次，借款金额到账不符，切利息奇高，超过国家规定的正常利息好几倍，本人现在要求销账，撤销征信记录。</t>
  </si>
  <si>
    <t>建设银行</t>
  </si>
  <si>
    <t>http://ts.21cn.com/tousu/show/id/1369299</t>
  </si>
  <si>
    <t>2019/10/17 16:05:31</t>
  </si>
  <si>
    <t>有几次逾期我给客服打电话，客服说让我去网点提交异议申请，我跑了两家银行，分别把我拒之门外，对于银行这总态度非常不能理解，防疫路金水路态度非常不好不端正，都不愿意理我。</t>
  </si>
  <si>
    <t>http://ts.21cn.com/tousu/show/id/1369298</t>
  </si>
  <si>
    <t>2019/10/17 16:05:27</t>
  </si>
  <si>
    <t>投诉人赵先生投诉对象好分期涉诉金额550元问题类型诉求类型投诉详情本人在好分期借款逾期，客服打电话言语威胁，联系第三方爆通讯录。</t>
  </si>
  <si>
    <t>民航联盟总统卡功能与销售人员解释的不一样</t>
  </si>
  <si>
    <t>http://ts.21cn.com/tousu/show/id/1369297</t>
  </si>
  <si>
    <t>2019/10/17 16:05:15</t>
  </si>
  <si>
    <t>2019年10月14日在合肥新桥机场被该机场工作人员拦下推销民航联盟总统卡，当时轻信工作人员的不实宣传订了一张卡，回来后登陆才知该卡的功能和销售人员说的完全不一样。</t>
  </si>
  <si>
    <t>玖富万卡退差价，到现在没到帐，别忽悠了</t>
  </si>
  <si>
    <t>http://ts.21cn.com/tousu/show/id/1369296</t>
  </si>
  <si>
    <t>2019/10/17 16:04:42</t>
  </si>
  <si>
    <t>9月27日已结清款，说好1到10工作日到帐，可我查帐和给的帐号都未到帐，别找借口什么。</t>
  </si>
  <si>
    <t>富友支付为714高炮秒到侠提供支付通道</t>
  </si>
  <si>
    <t>http://ts.21cn.com/tousu/show/id/1369295</t>
  </si>
  <si>
    <t>2019/10/17 16:04:23</t>
  </si>
  <si>
    <t>本人2019年5月27日在秒到侠借款1600元，实际到账1100元，6月2日还款1600元6.13日到账1100元，6.19日还款1600元6.19日到账1100元，6.25日还款1600元要求退款。</t>
  </si>
  <si>
    <t>恶心读取通讯录，群发骚扰信息</t>
  </si>
  <si>
    <t>http://ts.21cn.com/tousu/show/id/1369294</t>
  </si>
  <si>
    <t>2019/10/17 16:03:43</t>
  </si>
  <si>
    <t>恶意读取通讯录，群发骚扰虚假信息，以紧急联系人为由，恶意虚假恐吓。</t>
  </si>
  <si>
    <t>宜信公司高利贷阴阳合同本金还清骚扰亲朋</t>
  </si>
  <si>
    <t>http://ts.21cn.com/tousu/show/id/1369293</t>
  </si>
  <si>
    <t>2019/10/17 16:03:38</t>
  </si>
  <si>
    <t>投诉人张女士投诉对象宜信普惠,宜信公司涉诉金额60000元问题类型诉求类型投诉详情2018年2月在内蒙古自治区呼伦贝尔市扎兰屯市，没有门店招牌的，宜信普惠办理了金额为四万元的贷款，打到我银行卡中，四万元整，办理期间，扎兰屯宜信普惠的工作人员让我虚报情况，让我编造自己为已婚身份，写好稿子，让我接各种审核电话，在我急需用钱的情况下，和想要得到提成，给我写好稿子的扎兰屯宜信工作人员的谎言下，我拿到了这笔贷款，并且留下了通讯录里所有联系人的电话号码，但是合同的纸质文件从北京宜信公司传过来的时候，宜信以快要下班为由，</t>
  </si>
  <si>
    <t>恶意骚扰通讯录</t>
  </si>
  <si>
    <t>http://ts.21cn.com/tousu/show/id/1369292</t>
  </si>
  <si>
    <t>2019/10/17 16:03:09</t>
  </si>
  <si>
    <t>投诉人 葛先生        投诉对象  及贷        涉诉金额  0 元    问题类型    诉求类型投诉详情  恶意骚扰通讯录同事 暴力催收 恐吓 影响正常生活</t>
  </si>
  <si>
    <t>http://ts.21cn.com/tousu/show/id/1369291</t>
  </si>
  <si>
    <t>2019/10/17 16:02:56</t>
  </si>
  <si>
    <t>您尾号*6136的卡于10月17日11:35网络支付异地消费149.92元,交易后余额为6.43元，交通银行，然后通过网银查询到是特约中智消费，账号8*************3，而且9月17也扣了一次。</t>
  </si>
  <si>
    <t>韩银支付为境外赌博提供支付渠道</t>
  </si>
  <si>
    <t>http://ts.21cn.com/tousu/show/id/1369290</t>
  </si>
  <si>
    <t>2019/10/17 16:02:52</t>
  </si>
  <si>
    <t>瀚银支付非法为赌博提供充值渠道，要求退换充值款项8000元。</t>
  </si>
  <si>
    <t>http://ts.21cn.com/tousu/show/id/1369289</t>
  </si>
  <si>
    <t>2019/10/17 16:02:37</t>
  </si>
  <si>
    <t>友信给我的实际到账金额，与合同借款本金不符合，相差太多，我借款时候，友信门店说是银行放款，打总部客服电话，客服说是人人贷放款，说人人贷把合同本金打到他们说的给我在民生银行二类虚拟账户里，扣掉服务费，再把剩下的打给我自己的银行卡里，但是呢，实际没有这回事，我在民生银行没有任何的二类虚拟账户，我去民生银行专门查了，既然客服说谎，我的借款合同本金压根没有给够，那部分差的钱，也没有给打到我自己的任何账户或者银行卡里，他们的服务还没有完成，按照借款合同里写的，合同借款本金下款后一次性预缴服务费，预缴这个词语，预缴的意</t>
  </si>
  <si>
    <t>说了退保又推三阻四</t>
  </si>
  <si>
    <t>http://ts.21cn.com/tousu/show/id/1369287</t>
  </si>
  <si>
    <t>2019/10/17 16:01:39</t>
  </si>
  <si>
    <t>本人所有卡卡贷已经结清 10月9号联系卡卡贷表示不给退保会员费 又在本人投诉以后表示可以退保 一个299两个399一个199 还有砍头息我也没有继续追究 已经告知卡号以及邮箱以后 说5个工作日到我卡上 在5个工作日以后 又和我说 不能退 不好意思 卡卡贷涉嫌砍头息 高利息 在我结清所有账单以后 我查不到账单明细 希望卡卡贷退还我所有的保费 以及会员费 还有以检测费为名的砍头息 共计2000左右。</t>
  </si>
  <si>
    <t>要求掌门公司按照其宣传进行退费</t>
  </si>
  <si>
    <t>http://ts.21cn.com/tousu/show/id/1369286</t>
  </si>
  <si>
    <t>2019/10/17 16:01:03</t>
  </si>
  <si>
    <t>投诉人黄福兵福兵投诉对象掌门1对1涉诉金额6218元问题类型诉求类型投诉详情因为授课老师问题及掌门公司问题，我要求退款，实际只上了19节课，应退21节课费用，但是掌门只给退18.5节，其中一节课是我们要求退款后，掌门多次联系我建议我们换一个老师试一节课，仍不满意再退费，且换老师试课是免费的，，新旧班主任没有做交接，安排了老师上课，我们没有提前接到通知没有安排孩子上课，因此掌门扣掉0.5节课时，后来的班主任告知我这1.5节课时是不扣费的，帮我们提出退回的申请，但是我们最终退费时掌门将这1.5节课时作为赠送，在</t>
  </si>
  <si>
    <t>星驿付POS机业务员虚假宣传</t>
  </si>
  <si>
    <t>http://ts.21cn.com/tousu/show/id/1369285</t>
  </si>
  <si>
    <t>2019/10/17 16:01:02</t>
  </si>
  <si>
    <t>7月11日通过星驿付业务员办理了星驿付POS机，当时业务员告知开通POS机有299元押金，开通后刷满3个月会给予返还，但是我开刷满时间后不但没有返还，还联系不上这位业务员了，微信不回复，电话不接。</t>
  </si>
  <si>
    <t>暴力催收恐吓催收群发短信</t>
  </si>
  <si>
    <t>http://ts.21cn.com/tousu/show/id/1369284</t>
  </si>
  <si>
    <t>2019/10/17 16:00:15</t>
  </si>
  <si>
    <t>投诉人 牛先生        投诉对象  及贷        涉诉金额  1 000 元    问题类型    诉求类型投诉详情  暴力催收 恐吓 到账我家人惊吓过度 住院 催收人员微信发的语音 和催收电话录音声音一样 我打及贷客服投诉 客服不承认 我已报警 警察已接案</t>
  </si>
  <si>
    <t>微贷网</t>
  </si>
  <si>
    <t>http://ts.21cn.com/tousu/show/id/1369283</t>
  </si>
  <si>
    <t>2019/10/17 16:00:03</t>
  </si>
  <si>
    <t>多米贷不停暴力催收，利息高的离谱，现又发这样的消息告诉我负法律责任，说多次与我联系，我不与理睬，我想问有通话录音吗，已报警备案，人家都要搬出胡律师了，我得去公安局自首，我欠多米贷高利贷了，话说，发来的信息说君泰律所，百度查询到的君泰律所在上海和北京有公司，而胡律师的电话确是长沙的，我就想问了现在的律师都喜欢用外地号吗。</t>
  </si>
  <si>
    <t>爆通讯录，骚扰亲朋好友</t>
  </si>
  <si>
    <t>http://ts.21cn.com/tousu/show/id/1369282</t>
  </si>
  <si>
    <t>2019/10/17 15:59:50</t>
  </si>
  <si>
    <t>因为最近已经失业，没有收入，并且昨天钱包身份证和银行卡遗失，并主动告知他们情况，协商能不能晚一点还款或者减免一些费用，他们今天还骚扰我的亲朋友好友，给我亲朋好友打电话，就是不能协商了是吗。</t>
  </si>
  <si>
    <t>高利贷，骚扰，态度恶劣</t>
  </si>
  <si>
    <t>http://ts.21cn.com/tousu/show/id/1369278</t>
  </si>
  <si>
    <t>2019/10/17 15:58:18</t>
  </si>
  <si>
    <t>非法高息平台，还无限骚扰催收，到账借款金额12500，已还了6902.44，现在还要求还10097.38，这就是高利贷，打电话态度还特别凶，不让人说话。</t>
  </si>
  <si>
    <t>富友支付为714高炮都来花提供支付通道</t>
  </si>
  <si>
    <t>http://ts.21cn.com/tousu/show/id/1369276</t>
  </si>
  <si>
    <t>2019/10/17 15:58:16</t>
  </si>
  <si>
    <t>本人2019年5月27日在都来花借款1500元实际到账1050元，6月2日还款1500元6.2日到账1400元，6.8日还款2000元6.13日到账1610元，6.19日还款2300元6.19日到账1750元，6.25日还款2500元要求退款。</t>
  </si>
  <si>
    <t>微应急套路贷高利贷骚扰威胁</t>
  </si>
  <si>
    <t>http://ts.21cn.com/tousu/show/id/1369238</t>
  </si>
  <si>
    <t>2019/10/17 15:57:52</t>
  </si>
  <si>
    <t>10月13日，有人联系我声称可以做低息大额贷款，然后发的链接就是微应急，微应急实际上是6天期限高利贷套路贷到账只有1460，但是要求还款2200多，还款日当天客服拒绝协商，要求偿还1900，还说5点不处理就爆，利息高达近500元，希望平台处理这种黑网贷，已经报警。</t>
  </si>
  <si>
    <t>钱伴高利贷暴力催收</t>
  </si>
  <si>
    <t>http://ts.21cn.com/tousu/show/id/1369271</t>
  </si>
  <si>
    <t>2019/10/17 15:57:51</t>
  </si>
  <si>
    <t>钱伴借5000分9期还，每期705利息1354，还款金额已经达到5600了，要求销账。</t>
  </si>
  <si>
    <t>威胁骚扰</t>
  </si>
  <si>
    <t>http://ts.21cn.com/tousu/show/id/1369274</t>
  </si>
  <si>
    <t>2019/10/17 15:57:49</t>
  </si>
  <si>
    <t>三个多月前我因有事逾期，然后就从一万降到八千，再说卡超额了，接着电话一个一个到处打，我还了一千五进去，就应该只欠八千多点，可现在三个月时间涨到一万一了，还到处打电话发短信，说法院开庭上门之类的。</t>
  </si>
  <si>
    <t>每日优鲜先开始同意退款后又拒绝退款</t>
  </si>
  <si>
    <t>http://ts.21cn.com/tousu/show/id/1369275</t>
  </si>
  <si>
    <t>2019/10/17 15:57:46</t>
  </si>
  <si>
    <t>最开始一个客服说商品券之后会换无门槛，我同意了，但是发现他们还是帮其他人办理等额退款，后来找到第二个客服，也是同意退款，由前3张聊天记录可以看出，结果买完，他们就要求等商品券过期退款，有后面两张聊天记录可以看出，现在每日优鲜客服电话态度恶劣，存在严重欺诈行为。</t>
  </si>
  <si>
    <t>米条联盟违规放超级高利贷</t>
  </si>
  <si>
    <t>http://ts.21cn.com/tousu/show/id/1369270</t>
  </si>
  <si>
    <t>2019/10/17 15:57:11</t>
  </si>
  <si>
    <t>本人接到电话，对方自称可以免审核下款，需在米条联盟打借条，一共两笔期限仅两天，利息却高达1300元和1700元，而实际到手仅3200元，却要在两天之后还款6300元，还没到期，对方就开始威胁恐吓辱骂借款人，声称爆通讯录，而米条联盟平台的客服QQ实际上是高利贷app优借记的客服QQ，不承认自己是客服，该平台也没有任何客服电话，借款人的权益受到了侵犯没有可以寻求帮助的渠道。</t>
  </si>
  <si>
    <t>http://ts.21cn.com/tousu/show/id/1369269</t>
  </si>
  <si>
    <t>2019/10/17 15:56:46</t>
  </si>
  <si>
    <t>利息高、申请金额跟到账金额不符，砍头息，超过还款日当天12点后就算逾期，打电话催收骚扰，恐吓，态度查。</t>
  </si>
  <si>
    <t>花转转高利贷催收</t>
  </si>
  <si>
    <t>http://ts.21cn.com/tousu/show/id/1369268</t>
  </si>
  <si>
    <t>2019/10/17 15:56:37</t>
  </si>
  <si>
    <t>通过信用管家注册的花转转，因上个月25号开始平台原因，不能还款，期间通过多种方式联系客服，都无法联系上，借款2800.到账2800.28天还款，每7天一期，每期还款金额1022.46元，属于高利贷，平台造成逾期，每天逾期费用高达65元，已超出国家合规贷款利息范围，联系客服协商逾期费用全免和本金加400元利息结清，客服均不处理，理由都是没有权限，抛气球式的不给处理问题，所以逾期费用一直在增加，期间也发起投诉，但都没人联系处理，花转转平台对于投诉无视，请聚投诉人员仔细核查给予帮助！花转转下载链接在百度可以下载t</t>
  </si>
  <si>
    <t>注销小闪分期账号</t>
  </si>
  <si>
    <t>http://ts.21cn.com/tousu/show/id/1369267</t>
  </si>
  <si>
    <t>投诉人 庞先生        投诉对象  小闪卡贷        涉诉金额  0 元    问题类型    诉求类型投诉详情  注册了同学推荐的小闪分期感觉要的信息太多 不知道这个平台安全不安全隐私会不会泄露 后来网上查了一下感觉这是一个坑 故而想要注销这个账号 但是打电话过去说不能注销 所以来这边试试看</t>
  </si>
  <si>
    <t>京东给高利贷扣款渠道</t>
  </si>
  <si>
    <t>http://ts.21cn.com/tousu/show/id/1369266</t>
  </si>
  <si>
    <t>2019/10/17 15:56:36</t>
  </si>
  <si>
    <t>投诉人沈先生投诉对象京东金融涉诉金额500元问题类型诉求类型投诉详情新橙优品每个月9号我按时还款，昨天16号又莫名扣了一次，本人根本没有操作，京东一直说反馈，到现在还没有解决，要求关闭渠道，高利贷，是不是卡里有钱哪天我不知道的情况下又扣一笔钱，聚投诉如果没用，我找记者了，想不到那么大的公司还乱扣款。</t>
  </si>
  <si>
    <t>http://ts.21cn.com/tousu/show/id/1369265</t>
  </si>
  <si>
    <t>2019/10/17 15:56:27</t>
  </si>
  <si>
    <t>但是我今天才发现，及贷放款捆绑意外保险，现金贷搭售保险，违法不合规。</t>
  </si>
  <si>
    <t>逾期2天开始骚扰家老人</t>
  </si>
  <si>
    <t>http://ts.21cn.com/tousu/show/id/1369264</t>
  </si>
  <si>
    <t>2019/10/17 15:56:04</t>
  </si>
  <si>
    <t>每天骚扰长辈，电话言语威胁、侮辱，还准备上门威胁。</t>
  </si>
  <si>
    <t>我来贷高利贷套路贷反复变动还款数额</t>
  </si>
  <si>
    <t>http://ts.21cn.com/tousu/show/id/1369261</t>
  </si>
  <si>
    <t>2019/10/17 15:55:27</t>
  </si>
  <si>
    <t>9月中旬给客服打电话要提前还款被客服拒绝，在本平台投诉后，客服开放了提前还款入口，结果我等到10月15号，还款金额又变成5466而且不能减免，我认为我来数科是故意套路我让我等到15号再还款，在此我要求减免掉本期的手续费，仍按照我之前申请还款时的数额提前还款。</t>
  </si>
  <si>
    <t>创客照妖镜恶意降权本人淘宝号</t>
  </si>
  <si>
    <t>http://ts.21cn.com/tousu/show/id/1369260</t>
  </si>
  <si>
    <t>2019/10/17 15:55:22</t>
  </si>
  <si>
    <t>请求把本人的淘宝号降权取消，本人淘宝号无任何违规记录。</t>
  </si>
  <si>
    <t>威胁、骚扰家人</t>
  </si>
  <si>
    <t>http://ts.21cn.com/tousu/show/id/1369259</t>
  </si>
  <si>
    <t>2019/10/17 15:54:42</t>
  </si>
  <si>
    <t>不停的骚扰家人，还不让办理分期，希望不要再到处发信息了。</t>
  </si>
  <si>
    <t>暴力催收高额逾期费</t>
  </si>
  <si>
    <t>http://ts.21cn.com/tousu/show/id/1369258</t>
  </si>
  <si>
    <t>2019/10/17 15:54:16</t>
  </si>
  <si>
    <t>投诉人申先生投诉对象现金巴士涉诉金额2000元问题类型诉求类型投诉详情现金巴士无放贷资格八月份仍然进行放贷，借2千元，先交298的会员费、加速费，，诱导用户签订阴阳合同，合同中分三个月还款，每个月728元，app则显示每个月还728元，本人已连续借了10几期，之前都按时归还，但本期开始我已经无力还款，晚还了10几天，登陆app后发现每天逾期费用高达20元，严重超出我国民间借贷规定中的利息要求，后催收每隔两天就打电话要求还款，本人与催收协商数次要求减免逾期费用，催收态度强硬坚决不协商，还多次威胁本人要走程序，</t>
  </si>
  <si>
    <t>微众催收恶意发邮件</t>
  </si>
  <si>
    <t>http://ts.21cn.com/tousu/show/id/1369256</t>
  </si>
  <si>
    <t>2019/10/17 15:53:18</t>
  </si>
  <si>
    <t>微粒贷经常做这种事情，威胁恐吓借款人，发的什么起诉，让我去出庭，今天竟然给我发邮件，而且不知道他们怎么获取的平安公司员工的邮箱地址，邮件抄送给其他人，这事和他人没有关系，你们这是什么行为，我要求把发邮件的这人严肃处理，再说一下，逾期是因为实在是压力大，一时周转不过来，没有恶意拖欠的意思。</t>
  </si>
  <si>
    <t>农业银行网上银行无缘无故被（特约）广东乐王实业有限公司扣款</t>
  </si>
  <si>
    <t>http://ts.21cn.com/tousu/show/id/1368770</t>
  </si>
  <si>
    <t>2019/10/17 15:52:46</t>
  </si>
  <si>
    <t>投诉人常先生投诉对象广东乐王实业,中国银联涉诉金额10000元问题类型诉求类型投诉详情2019年09月23日下午17:40左右，我登录上农业银行网银后发现我卡里的余额不对，就看了一下明细，钱无缘无故消费走了10000，对方信息是，乐王9389*******1097，我和这个公司并没有任何来往，无缘无故消费走了10000元，我看这情况是被盗刷了，然后这个账号就被恶意输入密码错误超限锁定了，这个情况实在是太恶劣了，乐王这个公司盗刷我的银行卡，还把我的银行卡锁定了，必须要求给我退款，中国银联这是什么漏洞，不是我本</t>
  </si>
  <si>
    <t>http://ts.21cn.com/tousu/show/id/1369255</t>
  </si>
  <si>
    <t>2019/10/17 15:52:00</t>
  </si>
  <si>
    <t>不知情况下扣款，美约！！！！！！！！！！！！！！。</t>
  </si>
  <si>
    <t>卡牛瑞贷逾期一天短信骚扰爆通讯录逾期费一天一百多</t>
  </si>
  <si>
    <t>http://ts.21cn.com/tousu/show/id/1369252</t>
  </si>
  <si>
    <t>2019/10/17 15:51:22</t>
  </si>
  <si>
    <t>投诉人 曹女士        投诉对象  卡牛瑞贷        涉诉金额  4 500 元    问题类型    诉求类型投诉详情  卡牛瑞贷逾期一天 利息就一百多 本人未接到催收电话 逾期一天被爆通讯录 短信骚扰 与客服和催收协商减免逾期 拒不理会</t>
  </si>
  <si>
    <t>今借到和出借人沆瀣一气，借款人还款后不销账，投诉无门</t>
  </si>
  <si>
    <t>http://ts.21cn.com/tousu/show/id/1369253</t>
  </si>
  <si>
    <t>2019/10/17 15:51:05</t>
  </si>
  <si>
    <t>本人于2019年10月6日通过今借到平台向李道彬借款1050，借款时间为4天，10日到期日，我本打算通过今借到平台还款，但由于今借到平台无法还款，无奈下通过线下支付宝途径将款项转到李道彬的支付宝在账号，并要求对方销账，但李道彬耍起了无赖，拒不销账，电话和微信都不回复，无奈之下，我通过今借到平台进行投诉维系，不仅通过平台提交证据维权，同时也通过电话询问处置情况，但今借到工作人员敷衍了事，10天后竟然驳回我的申请，我打电话质询今借到工作人员，也被推三阻四，置之不理，态度蛮横，所以今天只能通过贵平台处理。</t>
  </si>
  <si>
    <t>http://ts.21cn.com/tousu/show/id/1369251</t>
  </si>
  <si>
    <t>2019/10/17 15:50:51</t>
  </si>
  <si>
    <t>投诉人徐先生投诉对象安逸花涉诉金额1955元问题类型诉求类型投诉详情在不知道情况下发律师函，只有电话告知还款，并没提到发律师函，对我个人造成影响，逾期记录消除，还有律师函的金额和app的金额不一样，作出解释。</t>
  </si>
  <si>
    <t>冷暴力催收</t>
  </si>
  <si>
    <t>http://ts.21cn.com/tousu/show/id/1369250</t>
  </si>
  <si>
    <t>2019/10/17 15:50:47</t>
  </si>
  <si>
    <t>投诉人 彭女士        投诉对象  苍南联信小额贷款股份有限公司        涉诉金额  12 000 元    问题类型    诉求类型投诉详情  冷暴力催收，泄露个人信息跟隐私。把个人信息贴出来。</t>
  </si>
  <si>
    <t>广州幸媛情感学苑不退款</t>
  </si>
  <si>
    <t>http://ts.21cn.com/tousu/show/id/1369249</t>
  </si>
  <si>
    <t>2019/10/17 15:50:45</t>
  </si>
  <si>
    <t>与男友分手，心情十分郁闷失落，无意间刷到幸福有媛的婚恋广告，抱着试试看心态，加了里面的一个助理分析老师，后说不挽回可惜了之类，说挽回可能性很大，然后就推荐服务电话套餐，有99，168之类的，后来我选了99的，给我发了微信二维码扫码支付，有个老师给我进行了三个小时的电话，基本都在听我诉说，然后说我自私，不懂付出，不懂两性相处技巧，伤了对方的心，最后又推销她们公司的挽回套餐，6800，12800之类的，提供一个月的服务，后来我觉得挺贵的，想考虑考虑，她就说她都记录完了，当天下午召开专家回讨论决定商量方案，先给我</t>
  </si>
  <si>
    <t>立即贷拒不提供发票并且不退砍头息！</t>
  </si>
  <si>
    <t>http://ts.21cn.com/tousu/show/id/1369248</t>
  </si>
  <si>
    <t>2019/10/17 15:50:31</t>
  </si>
  <si>
    <t>本人从2018年至2019年3月，在立即贷借款，被扣砍头息八千元，砍头息远远超过本金，并且在广州金融监管局勒令他们停止运行后，仍然被该公司在凌晨私自从本人银行卡扣款2900元，现要求该公司退还非法高利息砍头息，如果该公司一定要说所谓砍头息会员费合法，那么请尽快把所有砍头息发票发送至我的电子邮箱！否则上海税局，金融监管局同步举报！。</t>
  </si>
  <si>
    <t>苏宁金融电话骚扰</t>
  </si>
  <si>
    <t>http://ts.21cn.com/tousu/show/id/1369247</t>
  </si>
  <si>
    <t>2019/10/17 15:49:35</t>
  </si>
  <si>
    <t>本人以前的朋友在苏宁金融贷了款，留的紧急联系人是我的电话号码，，什么时候贷的款，什么时候留的我的电话，我是一概不知，苏宁这边也没有打电话核实，现在他们联系不上借款本人，一直联系我，我给苏宁95177打过几十个电话，说的挺好就是不办人事！而且催收的人态度也不好！。</t>
  </si>
  <si>
    <t>你我贷冒充司法人员暴力催收</t>
  </si>
  <si>
    <t>http://ts.21cn.com/tousu/show/id/1369246</t>
  </si>
  <si>
    <t>2019/10/17 15:48:37</t>
  </si>
  <si>
    <t>投诉人 陈女士        投诉对象  你我贷        涉诉金额  500 元    问题类型    诉求类型投诉详情  你我贷暴力催收 威胁 冒充司法人员 停止骚扰</t>
  </si>
  <si>
    <t>捷信公司利息实属高利贷</t>
  </si>
  <si>
    <t>http://ts.21cn.com/tousu/show/id/1369076</t>
  </si>
  <si>
    <t>2019/10/17 15:47:06</t>
  </si>
  <si>
    <t>投诉人李先生投诉对象捷信公司,捷信金融涉诉金额70200元问题类型诉求类型投诉详情在捷信公司贷款25000块钱，还完竟然要还70000多，明显超出了国家规定的利息，前后已经还了50000进去，明显属于高利贷，超出了国家规定的利息，已经没有还款能力。</t>
  </si>
  <si>
    <t>优推联盟吃京东推广数据</t>
  </si>
  <si>
    <t>http://ts.21cn.com/tousu/show/id/1369209</t>
  </si>
  <si>
    <t>2019/10/17 15:46:54</t>
  </si>
  <si>
    <t>投诉人刘先生投诉对象杭州盟宝科技有限公司涉诉金额800元问题类型诉求类型投诉详情在杭州盟宝科技有限公司微信公众号，推广京东新用户，推了60单左右，一单佣金15，给出一单数据，把数据吃了，客服不给解决，故意拉黑。</t>
  </si>
  <si>
    <t>玖富叮当高利贷，暴力催收，合同欺诈</t>
  </si>
  <si>
    <t>http://ts.21cn.com/tousu/show/id/1369245</t>
  </si>
  <si>
    <t>2019/10/17 15:46:47</t>
  </si>
  <si>
    <t>玖富叮当钱包借款10000元，分36期，577.78元一期，共需还款20800.08元，已涉嫌擅自修改合同，高利贷等违法行为，侵犯个人权利，现已还13866.72元。</t>
  </si>
  <si>
    <t>你我贷天天打一二十个电话还打通语录骚扰</t>
  </si>
  <si>
    <t>http://ts.21cn.com/tousu/show/id/1369244</t>
  </si>
  <si>
    <t>2019/10/17 15:45:34</t>
  </si>
  <si>
    <t>不正当的骚扰本人和通讯录好友，经常持续打好多电话，还有进行征信威胁。</t>
  </si>
  <si>
    <t>富友支付为714高炮纸飞机提供支付通道</t>
  </si>
  <si>
    <t>http://ts.21cn.com/tousu/show/id/1369242</t>
  </si>
  <si>
    <t>2019/10/17 15:44:52</t>
  </si>
  <si>
    <t>本人2019年6月2日在纸飞机借款2800元，实际到账1960元，6月8日还款2813.72元6.9日到账2240元，6.15日还款3215元6.15日到账2800元，6.21续期1197元，6.27日还款3818.62元6.28日到账1625元，7.3日还款2514.38元7.3日到账1625元，7.9日还款2514.38元7.9日到账1625元，7.14日还款2500元。</t>
  </si>
  <si>
    <t>小赢卡贷没经过本人协商骚扰公司电话</t>
  </si>
  <si>
    <t>http://ts.21cn.com/tousu/show/id/1369212</t>
  </si>
  <si>
    <t>2019/10/17 15:44:28</t>
  </si>
  <si>
    <t>投诉人郑先生投诉对象小赢卡贷涉诉金额19000元问题类型诉求类型投诉详情个人在小赢卡贷贷了一笔，前三四天有个自称是小赢卡贷催收部名叫刘勇的人，发短信联系我同事叫我商量还款问题，但这个人身份不明确，协议过程不规范有问题，我怀疑他是骗子，然后与小赢卡贷客服联系并要求核实是否有这个部门和这个叫刘勇的人，还有协议事情是否真实，因为他发给我的材料都是用手机拍的又模糊，文件也没签字盖章自己随意编辑的，就在等待客服回复的时间里，小赢卡贷催收部的刘勇，不断打我公司骚扰电话，给我个人名声造成了极大的损失，小赢卡贷也不给个说法</t>
  </si>
  <si>
    <t>中信银行信用卡中心泄露个人信息</t>
  </si>
  <si>
    <t>http://ts.21cn.com/tousu/show/id/1369241</t>
  </si>
  <si>
    <t>2019/10/17 15:44:23</t>
  </si>
  <si>
    <t>中信银行信用卡用卡至今，一直都是正常还款，今年9月份查询账单，发现账单内多了一个利息存在，拨打官方中信银行信用卡客服热线，告知该费用是因为最低还款导致，我一直通过中信银行的官方APP进行的还款，并没有提示还最低还款是会有利息产生，而且也没任何短信或者电话提醒用户会产生利息费用，银行缺少严重的告知权，刻意隐瞒，证据已经上传图片，并且拨打客服电话，官方客服工号：1800563和GK130468，竟然态度非常恶劣，电话中直接主动说出我的个人信息，个人信息存在严重泄露风险，事后我询问中信其他客服，都表示，只有客户主</t>
  </si>
  <si>
    <t>拍拍贷高利贷，违法骚扰我和家人</t>
  </si>
  <si>
    <t>http://ts.21cn.com/tousu/show/id/1369239</t>
  </si>
  <si>
    <t>2019/10/17 15:43:59</t>
  </si>
  <si>
    <t>拍拍贷高利贷，在国家严控管理下依然暴力催收！恶意骚扰！用呼死你软件轰炸通讯录联系人！无视国家出来的，1、只能在上午8:00至下午9:00之间对借款人进行催收，催收方式包括打电话、上门催收等；，2、一天只能催收3次，不可以利用电话、短信等不间断地对借款人进行骚扰；，3、不可以对借款人的家人、朋友、同事、同学强行讨要借款人的联系方式；，4、严禁使用文字、语言、暴力行为对借款人进行催收，不能对借款人造成任何伤害，包括人身、心理和个人财物；，5、禁止在网上公布借款人的个人隐私信息，包括个人借贷信息、不雅照片等；，6</t>
  </si>
  <si>
    <t>暴力催收，恐吓</t>
  </si>
  <si>
    <t>http://ts.21cn.com/tousu/show/id/1369240</t>
  </si>
  <si>
    <t>2019/10/17 15:43:57</t>
  </si>
  <si>
    <t>暴力催收，恐吓威胁，爆通讯录，群发短信，群发照片和假的律师函，希望有关部门严厉查处这些黑恶势力，群发短信的号码是，181******90。</t>
  </si>
  <si>
    <t>投诉京东金融为虚假配资股票平台提供入金通道</t>
  </si>
  <si>
    <t>http://ts.21cn.com/tousu/show/id/1369237</t>
  </si>
  <si>
    <t>2019/10/17 15:43:46</t>
  </si>
  <si>
    <t>投诉人徐先生投诉对象京东金融,京东商城涉诉金额12500元问题类型诉求类型投诉详情这个非法的股票平台诱导我入金，造成我本金损失，他们还收取我的信息费15000，京东金融作为一个优秀的企业，却不履行任何监管责任，为这样的非法平台提供了入金通道，向非法平台提供支付通道是典型的二次清算违法行为，附件中包含了汇款截图和从这个APP入金的完整视频，诉求:希望贵公司冻结对方商户资金，平台商户退回我的本金，首先，本人并未与上述公司签署任何协议，该公司行为并未得到本人同意，并且与本人的投资无直接关系，第三方支付公司并未告知</t>
  </si>
  <si>
    <t>http://ts.21cn.com/tousu/show/id/1369236</t>
  </si>
  <si>
    <t>2019/10/17 15:43:39</t>
  </si>
  <si>
    <t>本人在现金巴士平台借款1000，必须购买超级会员才能下款，明显属于砍头息，到期还款平台苹果app完全打不开，客服打电话多次恐吓走流程催收，在这样国家严厉打击的大环境下一个高利贷砍头息还能这么嚣张，现要求协商合理本金利息，减免逾期费，合理合规的结清本次借款，望平台给予帮助。</t>
  </si>
  <si>
    <t>http://ts.21cn.com/tousu/show/id/1369235</t>
  </si>
  <si>
    <t>2019/10/17 15:43:29</t>
  </si>
  <si>
    <t>10月15日下载a，注册过程绑定银行卡16号恶意扣款84</t>
  </si>
  <si>
    <t>铁老哥心意转自身原因不能正常还款，又不主动联系，故意造成逾期，利息超高，要求减免逾期费用，并联系协商还款</t>
  </si>
  <si>
    <t>http://ts.21cn.com/tousu/show/id/1369234</t>
  </si>
  <si>
    <t>2019/10/17 15:43:22</t>
  </si>
  <si>
    <t>由于平台APP自身原因造成不能还款，长时间联系不上客服，电话打不通，逾期近一个月时间，造成极高的逾期利息费用，前两天联系了要求支付宝转账还款，还了后没有及时登账，又对不上金额，又再次造成逾期，要求尽快联系，减免逾期费用，好还款消账！平台反馈了不与减免，请相关部门尽快处理解决。</t>
  </si>
  <si>
    <t>微粒贷在10分钟左右打了有10个电话辱骂等</t>
  </si>
  <si>
    <t>http://ts.21cn.com/tousu/show/id/1369233</t>
  </si>
  <si>
    <t>2019/10/17 15:43:17</t>
  </si>
  <si>
    <t>投诉人 张先生        投诉对象  微粒贷        涉诉金额  40 000 元    问题类型    诉求类型投诉详情  骚扰威胁 希望给出合理的解释，，，，，，</t>
  </si>
  <si>
    <t>高利贷，短信威胁，催收人员打电话发短信骚扰家人</t>
  </si>
  <si>
    <t>http://ts.21cn.com/tousu/show/id/1369232</t>
  </si>
  <si>
    <t>2019/10/17 15:43:00</t>
  </si>
  <si>
    <t>利息高，一天十几个电话，拒绝协商，给父母发短信威胁，打电话威胁说要联系亲朋好友，村委会和单位，严重影响个人正常生活问题。</t>
  </si>
  <si>
    <t>火影帮高利贷+暴力催收</t>
  </si>
  <si>
    <t>http://ts.21cn.com/tousu/show/id/1369231</t>
  </si>
  <si>
    <t>2019/10/17 15:42:45</t>
  </si>
  <si>
    <t>暴力催收，不断骚扰朋友亲人，砍头息很高，而且后面还款付的是延期费，还了几期进来本金仍然不减，催收已经严重影响到工作生活，希望停止催收并销账！！！。</t>
  </si>
  <si>
    <t>闪电速借714高利贷暴力催收</t>
  </si>
  <si>
    <t>http://ts.21cn.com/tousu/show/id/1369230</t>
  </si>
  <si>
    <t>2019/10/17 15:42:31</t>
  </si>
  <si>
    <t>在闪电速借6000多元，14天利息1000多元，现在退钱退货！。</t>
  </si>
  <si>
    <t>http://ts.21cn.com/tousu/show/id/1369227</t>
  </si>
  <si>
    <t>2019/10/17 15:42:29</t>
  </si>
  <si>
    <t>举报内容在其平台贷款2500元，后发现还款需缴纳购物费750元，其形式是以购物费收取高昂利息，严重超出国家标准，而且其平台涉嫌涉黑暴力催收。</t>
  </si>
  <si>
    <t>拒绝开具结清证明，诱导人开通会员</t>
  </si>
  <si>
    <t>http://ts.21cn.com/tousu/show/id/1369198</t>
  </si>
  <si>
    <t>2019/10/17 15:42:19</t>
  </si>
  <si>
    <t>投诉人冉先生投诉对象爱又米涉诉金额16000元问题类型诉求类型投诉详情我需要还款结清分期贷款的结清证明办理房贷，该公司拒绝给我开具证明，收了我的高利息不说，还诱导人开通会员，说开通了会员可以办理贷款，被诱导的钱也就198块钱，就现在连开一个证明都不给我开，还说需要我自己去联系银行，我要投诉这样的公司，以免更多人上当受骗。</t>
  </si>
  <si>
    <t>虫虫快借高利贷</t>
  </si>
  <si>
    <t>http://ts.21cn.com/tousu/show/id/1369229</t>
  </si>
  <si>
    <t>2019/10/17 15:42:18</t>
  </si>
  <si>
    <t>投诉人 李先生        投诉对象  虫虫块借        涉诉金额  3 500 元    问题类型    诉求类型投诉详情  借款3500实际放款1925 5天利息高达1500 各种恶心 今天还收到催收威胁已经录音 本人可以还款2000</t>
  </si>
  <si>
    <t>拼多多无缘无故扣款</t>
  </si>
  <si>
    <t>http://ts.21cn.com/tousu/show/id/1369226</t>
  </si>
  <si>
    <t>2019/10/17 15:42:17</t>
  </si>
  <si>
    <t>麻烦贵平台认真处理下，为什么无缘无故扣款，而却在你们平台查不到任何购物信息，，，，。</t>
  </si>
  <si>
    <t>平安普惠频繁电话骚扰公司同学</t>
  </si>
  <si>
    <t>http://ts.21cn.com/tousu/show/id/1369228</t>
  </si>
  <si>
    <t>2019/10/17 15:42:09</t>
  </si>
  <si>
    <t>频繁打电话给公司，骚扰公司同事，给同事带来工作困扰，要求公司跟我解除劳动关系。</t>
  </si>
  <si>
    <t>办理贷款在未到账情况下收取手续费！</t>
  </si>
  <si>
    <t>http://ts.21cn.com/tousu/show/id/1369224</t>
  </si>
  <si>
    <t>2019/10/17 15:42:01</t>
  </si>
  <si>
    <t>投诉人 霍先生        投诉对象  北京鸿远腾达投资有限公司        涉诉金额  2 500 元    问题类型    诉求类型投诉详情  在提现前 说要收一笔手续费 之后人就没有动静了！</t>
  </si>
  <si>
    <t>水象分期退回砍头息</t>
  </si>
  <si>
    <t>http://ts.21cn.com/tousu/show/id/1369223</t>
  </si>
  <si>
    <t>2019/10/17 15:41:53</t>
  </si>
  <si>
    <t>本人与2018年借水象分期几次，借3000到账2200要求退还多余的钱。</t>
  </si>
  <si>
    <t>拍拍贷电话轰炸放校园贷</t>
  </si>
  <si>
    <t>http://ts.21cn.com/tousu/show/id/1369222</t>
  </si>
  <si>
    <t>2019/10/17 15:41:46</t>
  </si>
  <si>
    <t>拍拍贷放校园贷款，非法爆通讯录骚扰亲戚朋友，乱发恐吓短信，假冒律师函。</t>
  </si>
  <si>
    <t>威胁爆通讯录骚扰亲朋好友</t>
  </si>
  <si>
    <t>http://ts.21cn.com/tousu/show/id/1369221</t>
  </si>
  <si>
    <t>2019/10/17 15:41:37</t>
  </si>
  <si>
    <t>利息太高还给朋友打电话威胁，语言恶劣，借八千还一万了。</t>
  </si>
  <si>
    <t>小雨点前期费用不合规，借三万还四万五，催收人身攻击，骚扰家人</t>
  </si>
  <si>
    <t>http://ts.21cn.com/tousu/show/id/1369220</t>
  </si>
  <si>
    <t>2019/10/17 15:40:43</t>
  </si>
  <si>
    <t>小雨点贷款，借款三万，实际到账两万六，分24期，每期还款1570，妥妥的高利贷！现在还有最后三期没有还，逾期了20多天，催收每天对我进行辱骂，人身攻击，在我不知情的情况下拨打联系人，我领导，孩子的老师，甚至我的前夫，全部遭受了骚扰，现在我已经被单位辞退，儿子在学校里也收到了一定的影响，我前夫以此为由跟我打官司争夺儿子抚养权！没有人性的催收们快搞得我走投无路！我自借款到现在，已经还了37000多，我还的这些已经远远超出国家规定的利息，剩下的三期高利贷我要求减免，并销账！我手里催收的音频和各种聊天记录都有，而且</t>
  </si>
  <si>
    <t>链家租赁房客欠费跑路，房屋损毁严重</t>
  </si>
  <si>
    <t>http://ts.21cn.com/tousu/show/id/1369219</t>
  </si>
  <si>
    <t>2019/10/17 15:40:29</t>
  </si>
  <si>
    <t>在链家出租房屋签了两年租赁合同并付1680中介费，房客只住了三个月跑路未告知我，欠了460水电费并且拉黑我，家里损毁严重见图，房屋里成堆垃圾，链家以联系不上租客为由不愿承担任何责任，甚至要我再付中介费才帮我挂租，我投诉到总部后他们口头承诺帮我挂租，但事发一个月从未带客户看房，我自费花200请保洁打扫后房屋就空置到现在，链家中介一昧拖延时间不解决问题。</t>
  </si>
  <si>
    <t>http://ts.21cn.com/tousu/show/id/1369218</t>
  </si>
  <si>
    <t>2019/10/17 15:40:15</t>
  </si>
  <si>
    <t>淘集集平台不给商家退保证金，我加上银行卡审核，都过去2个月了，申请通过了，就是不给退钱。</t>
  </si>
  <si>
    <t>牛人有品砍头息还泄露信息</t>
  </si>
  <si>
    <t>http://ts.21cn.com/tousu/show/id/1369217</t>
  </si>
  <si>
    <t>2019/10/17 15:40:08</t>
  </si>
  <si>
    <t>投诉人 陈先生        投诉对象  牛人有品        涉诉金额  1 600 元    问题类型    诉求类型投诉详情  砍头息1600到账1200。还泄露信息 被骗800元。客服态度极其恶劣。一句不清楚就挂电话。作为贷款平台内部信息泄露就推诿责任。强烈要求严厉打击。客服电话057186930087</t>
  </si>
  <si>
    <t>嘉联公司恶意吞我24000元</t>
  </si>
  <si>
    <t>http://ts.21cn.com/tousu/show/id/1369216</t>
  </si>
  <si>
    <t>2019/10/17 15:39:58</t>
  </si>
  <si>
    <t>2019.10月15日开的店铺收款码，当天进了约24000元，原本系统隔天11点会把钱打到我银行卡上！结果钱没了，打电话给客服，说我的二类银行卡进不去，由于改卡太慢，钱被退回他们公司的账户上！然后又说会联系我打款，接着又说我的账户不安全！，现在时间过去两天了，对方公司没有打电话给我，当初开码的业务员也把我拉黑了，现在心如刀绞，希望平台帮忙联系对方，还我钱！万分感谢谢谢！。</t>
  </si>
  <si>
    <t>省呗人员暴力催收</t>
  </si>
  <si>
    <t>http://ts.21cn.com/tousu/show/id/1369214</t>
  </si>
  <si>
    <t>2019/10/17 15:39:50</t>
  </si>
  <si>
    <t>本人因资金周转短期出现困难，无法按照约定时间进行还款，已主动联系省呗客服告知具体可在下月1日还款，还款意愿明确并非欺诈，省呗相关催收部门依旧进行恐吓威胁，骚扰本人及家人行为，若不能及时解决该问题，我会将证据一并发到扫黑办及公安，兴业消费金融作为合作方，麻烦尽快联系省呗处理该问题。</t>
  </si>
  <si>
    <t>美团无缘无故封我账号</t>
  </si>
  <si>
    <t>http://ts.21cn.com/tousu/show/id/1369213</t>
  </si>
  <si>
    <t>2019/10/17 15:39:48</t>
  </si>
  <si>
    <t>因为美团系统派单，然后有个微笑检查，我因为在忙没上传照片突然就封了我的账号，客服电话10101777。</t>
  </si>
  <si>
    <t>国美易卡账号无法注销</t>
  </si>
  <si>
    <t>http://ts.21cn.com/tousu/show/id/1369215</t>
  </si>
  <si>
    <t>2019/10/17 15:39:43</t>
  </si>
  <si>
    <t>18年注册国美及国美易卡账户，一直没用，申请注销却发现无法注销，想客询问原因客服说暂时无法注销，工信部有规定可以注销，为什么国美不能注销账号。</t>
  </si>
  <si>
    <t>广发信用卡高利贷</t>
  </si>
  <si>
    <t>http://ts.21cn.com/tousu/show/id/1369210</t>
  </si>
  <si>
    <t>2019/10/17 15:39:11</t>
  </si>
  <si>
    <t>广发信用卡感觉像是无底洞，越还欠越多，两年多没使用这张卡了，两年前欠两万多，期间一直有还款，现在还是欠两万五千多，打电话给客服一个推一个，没人理会，还经常电话骚扰亲戚朋友。</t>
  </si>
  <si>
    <t>维信卡卡贷利息太高</t>
  </si>
  <si>
    <t>http://ts.21cn.com/tousu/show/id/1369208</t>
  </si>
  <si>
    <t>2019/10/17 15:38:42</t>
  </si>
  <si>
    <t>我在卡卡贷借过两次钱，真的是利息太高了，希望归还多出的利息，谢谢！。</t>
  </si>
  <si>
    <t>钱包易贷暴力催收</t>
  </si>
  <si>
    <t>http://ts.21cn.com/tousu/show/id/1369207</t>
  </si>
  <si>
    <t>到处发送短信，侮辱别人，爆通讯录，泄露个人隐私，严重影响个人生活。</t>
  </si>
  <si>
    <t>回收显示器后买家翼锋网质检通过后迟迟不打款</t>
  </si>
  <si>
    <t>http://ts.21cn.com/tousu/show/id/1369206</t>
  </si>
  <si>
    <t>2019/10/17 15:38:32</t>
  </si>
  <si>
    <t>回收电脑显示器之后，质检后应该就打尾款，但迟迟了消息动静已经过8天了什么消息都没有。</t>
  </si>
  <si>
    <t>推卸责任，对违规帐号不处理</t>
  </si>
  <si>
    <t>http://ts.21cn.com/tousu/show/id/1369204</t>
  </si>
  <si>
    <t>2019/10/17 15:38:21</t>
  </si>
  <si>
    <t>经我方多次举报协商处理，该企业QQ售后客服熊经理，却一直推卸责任并绕弯子，不正面回答我的问题，这个头像以及昵称属于不属于违规过期了就没有责任的吗请客服回答我一个问题：如果一个人贪污，贪了钱就辞退就没有责任了吗，在我方对该帐号的违规进行审问时，售后熊经理都是避开逃避正面回答我的问题，并多次告知，让我们对个人QQ进行举报，请问腾讯客服给我个说法，谁告知你们，作为引导犯罪的帐号及个人不属于违规，违法违规营销qq账号800**4180推送信息包含QQ203**61887给客户并引导客户至个人qq或微信进行违法违规经</t>
  </si>
  <si>
    <t>松紧贷暴力催收，辱骂本人</t>
  </si>
  <si>
    <t>http://ts.21cn.com/tousu/show/id/1369205</t>
  </si>
  <si>
    <t>2019/10/17 15:38:11</t>
  </si>
  <si>
    <t>投诉人张女士投诉对象松紧贷涉诉金额9000元问题类型诉求类型投诉详情昨天还款没到账，今天还，早上催收就发短信威胁恐吓我，我回拨过去电话，是说了3点前，但是钱没到账，我再3点前又给催收打电话，说再晚一会就还了，然后就开始威胁我，我就打了松紧贷客服，给了我投诉电话，我投诉完了催收又打我电话开始辱骂我，连续给我打了4.5个电话辱骂我，客服不给我解决还说说催收说的没错，我要求松紧贷给我道歉并且赔偿我的精神损失，我现在已经气的不行班都上不了了。</t>
  </si>
  <si>
    <t>http://ts.21cn.com/tousu/show/id/1369203</t>
  </si>
  <si>
    <t>2019/10/17 15:38:09</t>
  </si>
  <si>
    <t>之前因为资金问题出现逾期，电话客服去协商，等资金周转过来再还，但是对方并不同意，虽然上征信，但是利息高的吓死人，里面很多隐藏的利息，现在不仅不终止骚扰，爆通讯录，损害本人名声等。</t>
  </si>
  <si>
    <t>红上公司威胁电话</t>
  </si>
  <si>
    <t>http://ts.21cn.com/tousu/show/id/1369149</t>
  </si>
  <si>
    <t>2019/10/17 15:38:03</t>
  </si>
  <si>
    <t>投诉人谢女士投诉对象红上至信涉诉金额30000元问题类型诉求类型投诉详情之前在红上公司借了一笔30000的贷款，还48960，本身就是高利贷不说，9月的时候自己没有扣款，也没有电话短信提示，然后前两天打电话说我逾期，当时银行卡是有足够的还款金额的，我已经还了15期了，从没有逾期，后来要求我补还，我要求10月22号一次还2个月的，对方表示同意，今天又给我打电话，说完补充银行卡信息，要求我把收到的银行发来的短信验证码给她，对方一没有app，二不是银行渠道，三一个座机号还是被人设置为zp电话的号码打过来就要求我给</t>
  </si>
  <si>
    <t>http://ts.21cn.com/tousu/show/id/1369202</t>
  </si>
  <si>
    <t>2019/10/17 15:38:02</t>
  </si>
  <si>
    <t>本人于2019年10月15日下载拇指借款，注册过程绑定银行卡恶意扣款298.5元.。</t>
  </si>
  <si>
    <t>夸大宣传各种套路吸引创业者支付9800元加入会员，创业项目条件限制多，加入后无售后服务等，存在欺诈</t>
  </si>
  <si>
    <t>http://ts.21cn.com/tousu/show/id/1369201</t>
  </si>
  <si>
    <t>万，可兼职当副业，微信朋友圈各种套路吸引小白创业者.2、缴费加入会员后，乐客无售后服务，交完钱就联系不上销售，就发了一些课程，3、虚假宣传抖音蓝V，返钱最高，容易推，后面才知道推这个根本不需要交钱》3、会员缴费后，我所知乐客并未开具发票，有偷税漏税嫌疑。</t>
  </si>
  <si>
    <t>去哪借玉米贷</t>
  </si>
  <si>
    <t>http://ts.21cn.com/tousu/show/id/1369211</t>
  </si>
  <si>
    <t>2019/10/17 15:37:37</t>
  </si>
  <si>
    <t>投诉人汤雷投诉对象去哪借,玉米贷涉诉金额1503元问题类型诉求类型投诉详情去哪借平台中的玉米贷借款1500到账1200，7天还款1503.5，这个还没算复借的费用，要求去哪借平台退还砍头息去哪借平台不要在推脱了，你们平台脱不了关系，不要再说跟你们平台无关，就是你们平台导流进来才会发生这样的问题。</t>
  </si>
  <si>
    <t>豆豆钱收取砍头息</t>
  </si>
  <si>
    <t>http://ts.21cn.com/tousu/show/id/1369200</t>
  </si>
  <si>
    <t>2019/10/17 15:37:13</t>
  </si>
  <si>
    <t>投诉人潘先生投诉对象上海维信荟智金融科技有限公司,豆豆钱涉诉金额10000元问题类型诉求类型投诉详情昨日在维信金科旗下豆豆钱借款10000，到账秒扣800的砍头息，希望贵平台帮我追回，谢谢！利息以超过年率36%。</t>
  </si>
  <si>
    <t>钱站工作人员天天致电我司</t>
  </si>
  <si>
    <t>http://ts.21cn.com/tousu/show/id/1369199</t>
  </si>
  <si>
    <t>2019/10/17 15:37:10</t>
  </si>
  <si>
    <t>真的是服了，你们到底有没有核实跟你们有经济纠纷的人，天天工作日每天上午下午打过来，烦不烦啊。</t>
  </si>
  <si>
    <t>特约中归还款</t>
  </si>
  <si>
    <t>http://ts.21cn.com/tousu/show/id/1369196</t>
  </si>
  <si>
    <t>2019/10/17 15:36:31</t>
  </si>
  <si>
    <t>“我都不知道什么特约中归还款，自动给我扣费了，我打电话给建行，他推脱叫我自己找他们，我想问下，特约中归是什么，我本人很肯定的回答，我并没有什么听过跟见过特约中归这个东西，所以这样的扣费，以后是不是还会继续，太可怕了，这样下去银行卡我都不敢用了，我上网查了，好多都是无缘无故自动扣费的，找不到任何原因。</t>
  </si>
  <si>
    <t>闪电借款高额砍头息高利贷</t>
  </si>
  <si>
    <t>http://ts.21cn.com/tousu/show/id/1369197</t>
  </si>
  <si>
    <t>2019/10/17 15:36:24</t>
  </si>
  <si>
    <t>投诉人黄先生投诉对象闪电借款,掌众金服涉诉金额500元问题类型诉求类型投诉详情8月24日在闪电借款未确认情况下发生扣款130购买黑卡借款500，10月13日到期要我归还562.5，利率超出国家规定并未经本人确认，要求解决。</t>
  </si>
  <si>
    <t>华夏信用催收</t>
  </si>
  <si>
    <t>http://ts.21cn.com/tousu/show/id/1369195</t>
  </si>
  <si>
    <t>2019/10/17 15:35:38</t>
  </si>
  <si>
    <t>这几天连着骚扰，随意打老板电话，理由是说本人电话不接，，私自打老板电话，说我故意欠款，叫老板转告我，我需要知道他们地址，准备报案请求公安机关调查，他们是不是正规的行为，如果华夏不回复不告诉他们地址那我只有进行下一步了，，我需要他们地址，本人需要他们当面给我道歉，。</t>
  </si>
  <si>
    <t>http://ts.21cn.com/tousu/show/id/1369194</t>
  </si>
  <si>
    <t>2019/10/17 15:35:32</t>
  </si>
  <si>
    <t>本身在闪电平台上总共借了25000元，借之前他让我买那个财神黑卡，花100块钱就能买700额度，我在这里面借了25000元，算下来我4000多元，这还不算利息，如果不合理，我希望，我希望平台能协助我退回我多还的部分，，我之前不知道，我之前以为这是合理的，看到网上说在年化率36%，这远远超过了36%吧，，现在我希望神探平台给我一个合理的解释，如果解释不了，我将继续投诉，直到你们解决问题为止，借款还需要买100元财神额度，这不是变相的收费吗，，本人愿意配合警方调查，如不解决本人继续在其他平台加大投诉，直到解决问</t>
  </si>
  <si>
    <t>立借平台钱置宝高利贷</t>
  </si>
  <si>
    <t>http://ts.21cn.com/tousu/show/id/1369193</t>
  </si>
  <si>
    <t>2019/10/17 15:35:31</t>
  </si>
  <si>
    <t>本人在立借平台钱置宝上借款2100元，三方支付平台为畅捷支付，分四期，还款3000多，还完2期后，已还款1500多元，第三期开始app无法还款，造成逾期产生超高额逾期费，收到平台催收，竟然还要还款3400多元，借款2100，需还款4600多元，利息惊人！平台问题导致逾期现要求协商本金销账。</t>
  </si>
  <si>
    <t>翼支付甜橙借钱开结清证明</t>
  </si>
  <si>
    <t>http://ts.21cn.com/tousu/show/id/1369192</t>
  </si>
  <si>
    <t>2019/10/17 15:35:28</t>
  </si>
  <si>
    <t>本人于2019年10月12日致电翼支付甜橙金融客服要求开具2019年8月30日的20000元借款的结清证明，因为要买房子贷款，所以特别紧急，客服承诺于3个工作日内将结清证明发至我的邮箱，截止目前，并未收到任何邮件，再次致电客服，推脱要去催促加紧处理，并未承诺时间。</t>
  </si>
  <si>
    <t>http://ts.21cn.com/tousu/show/id/1369191</t>
  </si>
  <si>
    <t>2019/10/17 15:35:21</t>
  </si>
  <si>
    <t>我今天睡觉突然两点多收到一天信息易宝平台直接从我银行卡扣了120元，又没输入密码怎么就给我扣款，望追回资金。</t>
  </si>
  <si>
    <t>维信卡卡贷涉嫌诱导开会员</t>
  </si>
  <si>
    <t>http://ts.21cn.com/tousu/show/id/1369186</t>
  </si>
  <si>
    <t>2019/10/17 15:35:05</t>
  </si>
  <si>
    <t>投诉人胡先生投诉对象维信金科涉诉金额6900元问题类型诉求类型投诉详情诱导消费者开通会员加速放款速度，开通会员后款项未到账，客服说15个工作日到账，已超出15个工作日。</t>
  </si>
  <si>
    <t>你我贷高利贷承受不了</t>
  </si>
  <si>
    <t>http://ts.21cn.com/tousu/show/id/1369190</t>
  </si>
  <si>
    <t>2019/10/17 15:34:53</t>
  </si>
  <si>
    <t>你我贷借款1万5，已经还款14300，还要还6048，我现在已经被各种贷款压得喘不过气，希望通过贵平台申诉，要求提前结清。</t>
  </si>
  <si>
    <t>达飞云贷暴击催收，威胁，收拾家人</t>
  </si>
  <si>
    <t>http://ts.21cn.com/tousu/show/id/1369189</t>
  </si>
  <si>
    <t>2019/10/17 15:34:43</t>
  </si>
  <si>
    <t>达飞催收暴击催收，打电话威胁恐吓，说是收拾家人，态度恶劣，。</t>
  </si>
  <si>
    <t>上门催收</t>
  </si>
  <si>
    <t>http://ts.21cn.com/tousu/show/id/1369188</t>
  </si>
  <si>
    <t>2019/10/17 15:33:38</t>
  </si>
  <si>
    <t>投诉人 刘女士        投诉对象  拍拍贷        涉诉金额  4 000 元    问题类型    诉求类型投诉详情  说明天上门催收 恐吓 还要添加微信挨家挨户</t>
  </si>
  <si>
    <t>http://ts.21cn.com/tousu/show/id/1369187</t>
  </si>
  <si>
    <t>2019/10/17 15:33:24</t>
  </si>
  <si>
    <t>于2019年10月16日23点49分被盛通网络胡乱扣款，客服电话不接，请重视这个问题，处理不好直接报警，请及时跟进返还全额钱款。</t>
  </si>
  <si>
    <t>现金巴士恶心轰炸通讯录</t>
  </si>
  <si>
    <t>http://ts.21cn.com/tousu/show/id/1369185</t>
  </si>
  <si>
    <t>2019/10/17 15:33:00</t>
  </si>
  <si>
    <t>与现金巴士协商还款中，他们不同意转过来就骚扰我联系人，说出恶意伤人的话，要求道歉，。</t>
  </si>
  <si>
    <t>天天金钱app恶意扣款</t>
  </si>
  <si>
    <t>http://ts.21cn.com/tousu/show/id/1369182</t>
  </si>
  <si>
    <t>2019/10/17 15:32:02</t>
  </si>
  <si>
    <t>投诉人 王伟        投诉对象  星赫梁山信息科技有限公司        涉诉金额  90 元    问题类型    诉求类型投诉详情  天天金钱app以通过审核为由，提现。结果被恶意扣掉费用90元！</t>
  </si>
  <si>
    <t>借了呗与本人协商还1330本金销账第二天又有催收人远打电话让再还570才能销账</t>
  </si>
  <si>
    <t>http://ts.21cn.com/tousu/show/id/1369183</t>
  </si>
  <si>
    <t>2019/10/17 15:31:44</t>
  </si>
  <si>
    <t>借了呗在2019年10月15号与本人协商让还1330给我销账，第二天又走催收人员给我打电话让我再还570才给我销账。</t>
  </si>
  <si>
    <t>北京恒昌暴力催收套路贷</t>
  </si>
  <si>
    <t>http://ts.21cn.com/tousu/show/id/1369150</t>
  </si>
  <si>
    <t>2019/10/17 15:31:43</t>
  </si>
  <si>
    <t>投诉人冯先生投诉对象恒昌利通涉诉金额40000元问题类型诉求类型投诉详情本人于3016年4月在恒昌恒易贷借款40000元，按期还款一年，一共已经30000多元，自2018年五月开始与恒昌协商还清欠款，去发现原本的借款本金40000无故变成了55000余元，至今恒昌公司也没有准确给出合理解释，而且当初签订借款合同也并没有本金55000元，并且恒昌公司及其委派外包公司在与我协商期间多次给我的公司及家人朋友打电话不停骚扰，并扬言不按他们所说的还款就会一直打下去，现已经严重影响本人的生活及公司正常工作，给本人造成了</t>
  </si>
  <si>
    <t>升学教育售前售后态度不符，霸王条款，不予退款，班主任老师态度恶劣，要求退款</t>
  </si>
  <si>
    <t>http://ts.21cn.com/tousu/show/id/1369181</t>
  </si>
  <si>
    <t>2019/10/17 15:31:38</t>
  </si>
  <si>
    <t>本人在2018年8月通过网络渠道报名升学教育自考云南大学行政管理专业，由于今年接近报考本人从朋友哪里得知云南已经停考行政管理专业，第一时间发信息问班主任老师，老师说没有接到通知要去核实一下，过几天没有收到老师的回信比较着急，于是发信息给老师要求更改专业，然而班主任老师一拖再拖一直不给改专业，导致10月份自考无法报名参加，其后老师还用自己私人手机号打电话对本人进行辱骂，后来本人实在忍无可忍要求退学退款，然而班主任老师称已经超过时间，称报名7天后就不予退款，要求退款解释，之前也在该平台投诉过，从投诉至今一直未收</t>
  </si>
  <si>
    <t>宝付支付为广州瑞特网络科技有限公司（恒薪）（繁薪）714高炮提供支付通道要求退还砍头息</t>
  </si>
  <si>
    <t>http://ts.21cn.com/tousu/show/id/1369180</t>
  </si>
  <si>
    <t>2019/10/17 15:31:35</t>
  </si>
  <si>
    <t>6月27日在恒薪借款5000实际到账3500。</t>
  </si>
  <si>
    <t>变相高利贷</t>
  </si>
  <si>
    <t>http://ts.21cn.com/tousu/show/id/1369179</t>
  </si>
  <si>
    <t>2019/10/17 15:31:25</t>
  </si>
  <si>
    <t>申请时不告知有管理费服务费保险费变相加高利息借款3。</t>
  </si>
  <si>
    <t>http://ts.21cn.com/tousu/show/id/1369178</t>
  </si>
  <si>
    <t>2019/10/17 15:31:15</t>
  </si>
  <si>
    <t>投诉人 王铁        投诉对象  360借条        涉诉金额  158 元    问题类型    诉求类型投诉详情  欠债还钱天经地义 我再尽全力去还 每天工作12个小时 如果能去兼职 我一定去了 之前通过电话 我说发工资就一定还 结果一天八百个电话 哪有那么多时间接电话 后来就换电话骚扰我的父母 158块钱我想知道 至于吗 我都是对他们报喜不报忧 母亲癌症 最怕他心情不好 你们换个角度想想好不好 你们也有爹有妈 我又不是不还钱了</t>
  </si>
  <si>
    <t>玖富万卡强制分期，砍头息，强制执行</t>
  </si>
  <si>
    <t>http://ts.21cn.com/tousu/show/id/1369177</t>
  </si>
  <si>
    <t>2019/10/17 15:30:57</t>
  </si>
  <si>
    <t>合同本金正常利息外多收取600块钱的保费，并且这600保费算上利息放到了和借款本金一起还款并且还有利息，随后了解到就是保险担保费，点击提前还清就出现网络繁忙不给还的情况，账单私自修改成2600，立马扣除600，然而这600还需要我们在分期中还款，，玖富泄露个人银行卡个人信息让中国人保佛山分公司扣款。</t>
  </si>
  <si>
    <t>亚滴新能源公司欺诈消费者</t>
  </si>
  <si>
    <t>http://ts.21cn.com/tousu/show/id/1369176</t>
  </si>
  <si>
    <t>2019/10/17 15:30:49</t>
  </si>
  <si>
    <t>我于2019年4月看到滴滴出行发布的广告招聘网约车司机，月入6千到1万，然后我就按照步骤留下我的联系信息，之后西安迪滴新能源公司销售部门联系到我，我于2019年4月30号在他们公司“以租代购”购买了一辆比亚迪E5新能源车，他们说在6月23号以后，没有“网络预约出租汽车运输证”的车辆将无法接单，他们公司是合规车辆是有证的，结果我买车后到6月23号以后，他们还是没有办证下来，我去找过他们说正在办理，现在已经已经拖了5个多月了还是没有给我们办理证，我们自己打电话致电“西安交通运输局”他们说现在西安网约车新规“以租</t>
  </si>
  <si>
    <t>捷信暴力催收</t>
  </si>
  <si>
    <t>http://ts.21cn.com/tousu/show/id/1369174</t>
  </si>
  <si>
    <t>2019/10/17 15:30:33</t>
  </si>
  <si>
    <t>把我的父母吓病了，现在我是实在没能力还，再次打电话给平台给他们联系方式，他们一口拒绝，28000还了十二期，现在还要求我还30000，难道我还了的十二期就是白还的吗，所以我想请聚投诉贵平台帮我调解下！谢谢，我现在已经没有活着的欲望，实在不行我就只有人死低帐了。</t>
  </si>
  <si>
    <t>暴力恶心人催收</t>
  </si>
  <si>
    <t>http://ts.21cn.com/tousu/show/id/1369173</t>
  </si>
  <si>
    <t>2019/10/17 15:30:31</t>
  </si>
  <si>
    <t>投诉人 余先生        投诉对象  微粒贷        涉诉金额  25 000 元    问题类型    诉求类型投诉详情  这个广东的催收 不是发彩信起诉怎么样怎么样的文件 就是发我公司法人的电话截图。不还要骚扰法人。钱肯定还啊 只是请求分期来处理。一下子还清。我要是能还清还会借微粒贷么？。希望能处理</t>
  </si>
  <si>
    <t>协商延期还款</t>
  </si>
  <si>
    <t>http://ts.21cn.com/tousu/show/id/1369171</t>
  </si>
  <si>
    <t>2019/10/17 15:29:42</t>
  </si>
  <si>
    <t>我在闪电借款借了8200快钱这个月工资没发还款压力非常大，我陆陆续续今天处理了1600元了，剩余的希望通过平台可以申请下个月25号结清，或者可以分期处理，说明天就开始催收了。</t>
  </si>
  <si>
    <t>唯品花无故被永久停用</t>
  </si>
  <si>
    <t>http://ts.21cn.com/tousu/show/id/1369172</t>
  </si>
  <si>
    <t>2019/10/17 15:29:39</t>
  </si>
  <si>
    <t>每个月按时还款，一个月就还这么点钱谁还不起，就唯品会平台消费购物用的，又没乱用，可查历史记录。</t>
  </si>
  <si>
    <t>聚福钱包恶意扣款</t>
  </si>
  <si>
    <t>http://ts.21cn.com/tousu/show/id/1369170</t>
  </si>
  <si>
    <t>2019/10/17 15:29:29</t>
  </si>
  <si>
    <t>没经过我同意自动在我银行卡里扣我299块钱。</t>
  </si>
  <si>
    <t>银盛支付地推事先未说明要交298押金，</t>
  </si>
  <si>
    <t>http://ts.21cn.com/tousu/show/id/1369132</t>
  </si>
  <si>
    <t>2019/10/17 15:29:26</t>
  </si>
  <si>
    <t>投诉人谭先生投诉对象银盛支付涉诉金额298元问题类型诉求类型投诉详情事先未说明要交押金，后来说要交298，要一年内刷满120万才退款，今天才在网上看到很多人有同样的经历。</t>
  </si>
  <si>
    <t>多米贷高利贷，砍头息，利息还高</t>
  </si>
  <si>
    <t>http://ts.21cn.com/tousu/show/id/1369169</t>
  </si>
  <si>
    <t>2019/10/17 15:29:10</t>
  </si>
  <si>
    <t>6月3日，于融360贷款列表的多米贷申请贷款，结果放款时候直接砍头息，实际到账2400，6期，一期还553，终合年利率高于国家规定。</t>
  </si>
  <si>
    <t>连连支付为万贯街游戏714高炮提供支付通道</t>
  </si>
  <si>
    <t>http://ts.21cn.com/tousu/show/id/1369167</t>
  </si>
  <si>
    <t>2019/10/17 15:28:54</t>
  </si>
  <si>
    <t>本人在去哪借里的万贯街，2018年12月9日借款1000元，实际到账800元，12月15日还款1004.6元12.15日到账800元，12月21日还款1004.6元2019.1.18日到账1200元，1.24日还款1506.9元2.9日到账1200元，2.15日还款1506.9元2.16日到账1200元，2.22日还款1506.9元2.23日到账1200元，3.1日还款1506.9元要求退款。</t>
  </si>
  <si>
    <t>平安惠普催收人员怂恿我在第三方平台贷款</t>
  </si>
  <si>
    <t>http://ts.21cn.com/tousu/show/id/1369168</t>
  </si>
  <si>
    <t>我在平安惠普贷了120000以还了150000现在遇到困难还不起、平安惠普催收人员怂恿我在第三方平台贷款。</t>
  </si>
  <si>
    <t>返还多收取的保险费及提前还款手续费和提现手续费</t>
  </si>
  <si>
    <t>http://ts.21cn.com/tousu/show/id/1369166</t>
  </si>
  <si>
    <t>2019/10/17 15:28:39</t>
  </si>
  <si>
    <t>马上金额的马上安逸花在借款人借款的时候，在不知情的情况下让借款人购买保险，并且在借款前并不知情，只有在确认借款后才告知购买保险的事情，严重欺骗借款人，而且借款人无法在app上找到借款合同，联系客服，客服说无权告知，这种欺骗借款人的知情权的行为，捆绑购买保险的行为很恶劣，并且在提前结清的时候还要缴纳保险费，提前还款手续费，各种收费，我要求马上金融给个说法，并退还不该收取的保险费及提前还款手续费。</t>
  </si>
  <si>
    <t>金贝备套路贷高利贷</t>
  </si>
  <si>
    <t>http://ts.21cn.com/tousu/show/id/1369165</t>
  </si>
  <si>
    <t>2019/10/17 15:28:38</t>
  </si>
  <si>
    <t>10-14日有人联系我声称可以做利率低的大额贷款，给我发了链接，结果就是金贝备也就是金鸡下蛋和海浪分期，说确认以后可以整合，然后发现是套路贷高利贷，联系平台不予减免处理，态度很差，还用老板威胁爆通讯录，威胁p图发身份证等等。</t>
  </si>
  <si>
    <t>玖富万卡高利贷严重骚扰我</t>
  </si>
  <si>
    <t>http://ts.21cn.com/tousu/show/id/1369164</t>
  </si>
  <si>
    <t>2019/10/17 15:28:14</t>
  </si>
  <si>
    <t>玖富万卡高利贷，在国家严控管理下依然暴力催收！恶意骚扰！用呼死你软件轰炸通讯录联系人！无视国家出来的，1、只能在上午8:00至下午9:00之间对借款人进行催收，催收方式包括打电话、上门催收等；，2、一天只能催收3次，不可以利用电话、短信等不间断地对借款人进行骚扰；，3、不可以对借款人的家人、朋友、同事、同学强行讨要借款人的联系方式；，4、严禁使用文字、语言、暴力行为对借款人进行催收，不能对借款人造成任何伤害，包括人身、心理和个人财物；，5、禁止在网上公布借款人的个人隐私信息，包括个人借贷信息、不雅照片等；，</t>
  </si>
  <si>
    <t>钱站，高利贷平台无中生有，未逾期各种骚扰短信暴力催收</t>
  </si>
  <si>
    <t>http://ts.21cn.com/tousu/show/id/1369163</t>
  </si>
  <si>
    <t>2019/10/17 15:27:55</t>
  </si>
  <si>
    <t>按时还款，没有逾期！！！今天一整天莫名其妙的短信、电话骚扰！！！就是在无中生有，严重影响本人生活和工作。</t>
  </si>
  <si>
    <t>中信银行短信骚扰</t>
  </si>
  <si>
    <t>http://ts.21cn.com/tousu/show/id/1369162</t>
  </si>
  <si>
    <t>2019/10/17 15:27:27</t>
  </si>
  <si>
    <t>投诉人 赵女士        投诉对象  中信银行        涉诉金额  0 元    问题类型    诉求类型投诉详情  短信骚扰 前期投诉未处理 今天又发这个短信过来 我根本不认识这个人</t>
  </si>
  <si>
    <t>未履行合同，虚假诱导消费</t>
  </si>
  <si>
    <t>http://ts.21cn.com/tousu/show/id/1369161</t>
  </si>
  <si>
    <t>2019/10/17 15:27:16</t>
  </si>
  <si>
    <t>约我线下见面，回去越想越不对，网上查了很多受骗上当的资料，接待我的人员各种推脱，我现在没有享受服务，要求退款！！希望平台能保障我尽快收回退款和个人资料，谢谢！！。</t>
  </si>
  <si>
    <t>柯基贷（松紧贷）威胁爆通讯录</t>
  </si>
  <si>
    <t>http://ts.21cn.com/tousu/show/id/1369160</t>
  </si>
  <si>
    <t>2019/10/17 15:26:48</t>
  </si>
  <si>
    <t>柯基贷工作人员威胁爆通讯录！扬言要一个一个打我的联络人！。</t>
  </si>
  <si>
    <t>威胁，恐吓，生命受到威胁</t>
  </si>
  <si>
    <t>http://ts.21cn.com/tousu/show/id/1369158</t>
  </si>
  <si>
    <t>2019/10/17 15:26:36</t>
  </si>
  <si>
    <t>投诉人 刘先生        投诉对象  钱站        涉诉金额  1 000 元    问题类型    诉求类型投诉详情  威胁，恐吓，生命受到威胁</t>
  </si>
  <si>
    <t>退砍头息</t>
  </si>
  <si>
    <t>http://ts.21cn.com/tousu/show/id/1369159</t>
  </si>
  <si>
    <t>投诉人杨先生投诉对象百万钱包涉诉金额13000元问题类型诉求类型投诉详情本人于2019年1月18号在微信百万钱包公众号申请小百-信用卡贷13000。</t>
  </si>
  <si>
    <t>佰仟金融催用黑社会吓唬我，乱发我隐私</t>
  </si>
  <si>
    <t>http://ts.21cn.com/tousu/show/id/1369156</t>
  </si>
  <si>
    <t>2019/10/17 15:26:24</t>
  </si>
  <si>
    <t>乱发本人隐私，佰仟金融催用黑社会吓唬，威胁我，说我儿子的不好，上班时间，打电话，给我父母打电话，又说法院起诉我了，爆我通讯录，每次不一样的手机号吓唬我，把我身份证号，身份证乱发别人手机号上，完全影响我生活，我现在有困难，实在没办法还款，利息太多，客服服务差，着急了还骂人，等等，发的假律师函，好多次了，希望官方处理下，谢谢。</t>
  </si>
  <si>
    <t>高利贷，三个月利息百分之50</t>
  </si>
  <si>
    <t>http://ts.21cn.com/tousu/show/id/1369155</t>
  </si>
  <si>
    <t>2019/10/17 15:26:17</t>
  </si>
  <si>
    <t>借款一千元，钱站竟然在合同上写1400元伪造合同！借一千元三个月一共还1500，这是多少的年利率200%！。</t>
  </si>
  <si>
    <t>多米贷高利贷，暴力催收，砍头息</t>
  </si>
  <si>
    <t>http://ts.21cn.com/tousu/show/id/1369144</t>
  </si>
  <si>
    <t>2019/10/17 15:26:03</t>
  </si>
  <si>
    <t>投诉人李女士投诉对象多米贷涉诉金额9000元问题类型诉求类型投诉详情由于家中变故导致账单逾期，但是有还款诚意，已还本月大部分账单金额，但是多米贷催收人员不停的骚扰本色，爆通讯录，威胁要帮我给通讯录好友借钱还款，如此大道肆意妄为，堪比黑社会行为，并且多米贷工作人员恐吓说要对我进行互联网仲裁，还要向当地政府调查我。</t>
  </si>
  <si>
    <t>结清合同</t>
  </si>
  <si>
    <t>http://ts.21cn.com/tousu/show/id/1369154</t>
  </si>
  <si>
    <t>2019/10/17 15:25:41</t>
  </si>
  <si>
    <t>本人在2019年8月17日借款3857.14元，实际到账2700，砍头息1157.14，至今已经还款2717.45，希望结清合同。</t>
  </si>
  <si>
    <t>民航通会员卡虚假宣传</t>
  </si>
  <si>
    <t>http://ts.21cn.com/tousu/show/id/1369153</t>
  </si>
  <si>
    <t>2019/10/17 15:25:36</t>
  </si>
  <si>
    <t>本人因2019年10月16日到重庆机场坐飞机，因当天第三方购买的全价机票，无法自助值机，在找南航柜台时，机场工作人员询问机票价格及购买渠道，表示可以办理一个会员，会比第三方便宜很多，在特价机票的基础上还可以有折扣，，只要存一千多就可以返5000代金券，用于后期购买机票抵扣，在交钱时收了1980，，并且第二天才能生效，今日在购买返程机票时，发现并没有比其他价格低，并且5000块钱只抵扣30块，跟宣传相差巨大，存在虚假宣传，误导消费者，请求退款。</t>
  </si>
  <si>
    <t>钱水艇非法扣款</t>
  </si>
  <si>
    <t>http://ts.21cn.com/tousu/show/id/1369152</t>
  </si>
  <si>
    <t>2019/10/17 15:25:35</t>
  </si>
  <si>
    <t>在不存在实质指导上和扣款提醒前提上，直接扣去我银行卡的钱。</t>
  </si>
  <si>
    <t>新浪趣用分期借贷平台，超高额利息现金贷平台，暴力催收引诱还款。</t>
  </si>
  <si>
    <t>http://ts.21cn.com/tousu/show/id/1369151</t>
  </si>
  <si>
    <t>2019/10/17 15:25:18</t>
  </si>
  <si>
    <t>新浪旗下趣用分期借贷平台，以低息引诱客户下载使用，在申请下款之后假借保险业务之名，扣除高额利息及服务费，做一份阴阳合同，实际的利息金额远远超过国家规定标准，在国家严厉打击套路贷的情况下依然借用小聪明进行高息操作，然后再催收中暴力骚扰借款人，要求立刻结清借款，并按照国家规定的银行利息进行结算，多次客服沟通无果，微信添加联系chtRyim_s，勿电话骚扰。</t>
  </si>
  <si>
    <t>http://ts.21cn.com/tousu/show/id/1369148</t>
  </si>
  <si>
    <t>2019/10/17 15:23:59</t>
  </si>
  <si>
    <t>本人于2016年在昆明证大财富借款5万，分36期还，到现在还差两期，利息差不多还了三万多，现在因我老公生病，已还不出来，而且利息超过了国家的利率，今天工作人员已警方名誉发了疯的骚扰我的单位和亲戚、朋友、同事，影响了别人的生活，我们单位是公立学校，不能放任这些催收这样的黑社会性质，请聚投诉为我们做主，维护我们借款人的权利，我现在是赔的倾家荡产，连房子都卖了。</t>
  </si>
  <si>
    <t>暴力催收，高利贷</t>
  </si>
  <si>
    <t>http://ts.21cn.com/tousu/show/id/1369147</t>
  </si>
  <si>
    <t>2019/10/17 15:23:47</t>
  </si>
  <si>
    <t>本人在多宝分期贷了3700元，共四期，每期间隔15天，每期还1460.75元，总的还款金额为5843元，还款日当天就开始催收，有是还辱骂，以爆通讯录威胁我，请对方能用合规合法的方式催款，利率以国家规定的为界限来收取。</t>
  </si>
  <si>
    <t>快递不派送不打电话直接显示签收了</t>
  </si>
  <si>
    <t>http://ts.21cn.com/tousu/show/id/1369146</t>
  </si>
  <si>
    <t>2019/10/17 15:23:37</t>
  </si>
  <si>
    <t>韵达快递不打电话不派送还显示签收了，要求快速配送。</t>
  </si>
  <si>
    <t>严重骚扰正常生活，暴力催收</t>
  </si>
  <si>
    <t>http://ts.21cn.com/tousu/show/id/1369143</t>
  </si>
  <si>
    <t>2019/10/17 15:23:18</t>
  </si>
  <si>
    <t>短信电话骚扰，影响正常生活，而且电话还有不好的说法，由于没及时录音，无法提供。</t>
  </si>
  <si>
    <t>http://ts.21cn.com/tousu/show/id/1369142</t>
  </si>
  <si>
    <t>2019/10/17 15:23:17</t>
  </si>
  <si>
    <t>投诉人 叶女士        投诉对象  有钱花        涉诉金额  0 元    问题类型    诉求类型投诉详情  对我进行威胁和骚扰。对我造成了很大的困扰</t>
  </si>
  <si>
    <t>多宝鱼高利贷砍头息，合利宝提供支付渠道</t>
  </si>
  <si>
    <t>http://ts.21cn.com/tousu/show/id/1369140</t>
  </si>
  <si>
    <t>2019/10/17 15:23:06</t>
  </si>
  <si>
    <t>多宝鱼收取高额砍头息，借款1500到账只有1050，7天后要还1500，严重超过国家利率，合利宝为多宝鱼提供的支付渠道，现请退回非法利息。</t>
  </si>
  <si>
    <t>松紧贷平台暴力催收</t>
  </si>
  <si>
    <t>http://ts.21cn.com/tousu/show/id/1369141</t>
  </si>
  <si>
    <t>2019/10/17 15:23:03</t>
  </si>
  <si>
    <t>投诉人刘先生投诉对象松紧贷涉诉金额1000元问题类型诉求类型投诉详情松紧贷今天逾期一天，然后催收电话就打到家里和朋友手里了！各种暴力催收，恐吓，母亲吓了一跳，而且创业阶段，这个钱近期会处理掉但是催收方催收的方式实在令人发指！电话全打个遍短信发了几十条进行严重骚扰！。</t>
  </si>
  <si>
    <t>湖北汇收益网络有限公司旗下汇收益APP提现迟迟不到帐</t>
  </si>
  <si>
    <t>http://ts.21cn.com/tousu/show/id/1369139</t>
  </si>
  <si>
    <t>2019/10/17 15:22:23</t>
  </si>
  <si>
    <t>我于2019年4月10日11:25分在汇收宜APP，当天客服只是回复帮忙尽量催促，第二天就改口说银行监管，资金审核，要等一个月个工作日，后面每个月打电话都是当月会到账，每次都没有到账，明显找借口推脱，希望聚投诉能帮我联系对方，让我的资金尽快到账，谢谢了。</t>
  </si>
  <si>
    <t>快捷通支付为7.14高炮提供支付渠道</t>
  </si>
  <si>
    <t>http://ts.21cn.com/tousu/show/id/1369138</t>
  </si>
  <si>
    <t>2019/10/17 15:21:40</t>
  </si>
  <si>
    <t>来花花改名多乾分期，非法高利贷，暴力催收，借1400元实际要还款2000.6，5天还款，利息已经严重超过了国家规定范围，快捷通支付为其违规提供支付通道，今天到期，还没逾期就开始暴力催收，辱骂我的家人，给我手机不停的发送验证码短信，还款通道支付宝，收款方为聚合支付，本人愿意归还本金和合法利息，希望通过平台解决问题。</t>
  </si>
  <si>
    <t>终止合同退费取消分期</t>
  </si>
  <si>
    <t>http://ts.21cn.com/tousu/show/id/1369135</t>
  </si>
  <si>
    <t>2019/10/17 15:20:49</t>
  </si>
  <si>
    <t>5.15被诱导分期7888报名升学教育大专班。</t>
  </si>
  <si>
    <t>去哪儿借去花恐吓骚扰我家人</t>
  </si>
  <si>
    <t>http://ts.21cn.com/tousu/show/id/1369134</t>
  </si>
  <si>
    <t>2019/10/17 15:20:34</t>
  </si>
  <si>
    <t>手机贷高利贷，在国家严控管理下依然暴力催收！恶意骚扰！用呼死你软件轰炸通讯录联系人！无视国家出来的，1、只能在上午8:00至下午9:00之间对借款人进行催收，催收方式包括打电话、上门催收等；，2、一天只能催收3次，不可以利用电话、短信等不间断地对借款人进行骚扰；，3、不可以对借款人的家人、朋友、同事、同学强行讨要借款人的联系方式；，4、严禁使用文字、语言、暴力行为对借款人进行催收，不能对借款人造成任何伤害，包括人身、心理和个人财物；，5、禁止在网上公布借款人的个人隐私信息，包括个人借贷信息、不雅照片等；，6</t>
  </si>
  <si>
    <t>http://ts.21cn.com/tousu/show/id/1369131</t>
  </si>
  <si>
    <t>2019/10/17 15:19:40</t>
  </si>
  <si>
    <t>利息太高了，借两千还四千三个月，我只拿到了两千却说我借了3900。</t>
  </si>
  <si>
    <t>http://ts.21cn.com/tousu/show/id/1369128</t>
  </si>
  <si>
    <t>2019/10/17 15:19:19</t>
  </si>
  <si>
    <t>爆通讯录，严重影响人的正常生活，没说不还！。</t>
  </si>
  <si>
    <t>现金巴士收取砍头息，逾期费高</t>
  </si>
  <si>
    <t>http://ts.21cn.com/tousu/show/id/1369127</t>
  </si>
  <si>
    <t>2019/10/17 15:18:55</t>
  </si>
  <si>
    <t>投诉人林女士投诉对象现金巴士涉诉金额1000元问题类型诉求类型投诉详情现金巴士借款一千，强制性买东西收取砍头息不止，逾期费也简直是高利贷，逾期一天十元，现要求减免逾期费再还款。</t>
  </si>
  <si>
    <t>资金冻结</t>
  </si>
  <si>
    <t>http://ts.21cn.com/tousu/show/id/1369108</t>
  </si>
  <si>
    <t>2019/10/17 15:18:50</t>
  </si>
  <si>
    <t>9月12日，因遇到电信支付，其中有4588元通过支付宝付款，微店的订单，现在资金冻结，微店要求支付宝退款，支付宝说属于实时到账，应该找微店，现在我该找谁。</t>
  </si>
  <si>
    <t>招联金融暴力催收，威胁</t>
  </si>
  <si>
    <t>http://ts.21cn.com/tousu/show/id/1369126</t>
  </si>
  <si>
    <t>2019/10/17 15:18:17</t>
  </si>
  <si>
    <t>招联金融逾期后，该平台暴力催收，威胁本人及通讯录好友，对家里人造成伤害，本人会报警处理。</t>
  </si>
  <si>
    <t>闪银瞬瞬催收</t>
  </si>
  <si>
    <t>http://ts.21cn.com/tousu/show/id/1369125</t>
  </si>
  <si>
    <t>2019/10/17 15:17:46</t>
  </si>
  <si>
    <t>10月14日，但本人近期确实因为出了状况导致身无分文，无法处理欠款，今天客服致电催收，我也把我的情况告知，但客服不给延期及任何协商余地，在此之前本人也一直按时还款，出现这种情况也不是我所希望的，但是我能承诺在本月底前能把欠款处理掉，望予以协助。</t>
  </si>
  <si>
    <t>借呗结清证明迟迟不下来</t>
  </si>
  <si>
    <t>http://ts.21cn.com/tousu/show/id/1369121</t>
  </si>
  <si>
    <t>2019/10/17 15:17:42</t>
  </si>
  <si>
    <t>借呗开结清证明，已催促多次，迟迟没有办理下来，对我办理其他业务影响很大。</t>
  </si>
  <si>
    <t>马上消费金融违法催收</t>
  </si>
  <si>
    <t>http://ts.21cn.com/tousu/show/id/1369122</t>
  </si>
  <si>
    <t>第三方催收冒充内部员工进行骚扰恐吓，还说要让我坐牢，已经录音，我已解释逾期原因，问他的身份，说是公司内部法务部，后来核实身份，一直支支吾吾不正面回答，不回答没关系。</t>
  </si>
  <si>
    <t>与编号1234832重复，不予受理，前面的解决了吗？就说重复</t>
  </si>
  <si>
    <t>http://ts.21cn.com/tousu/show/id/1369123</t>
  </si>
  <si>
    <t>2019/10/17 15:17:33</t>
  </si>
  <si>
    <t>15:08:34重复投诉与编号1234832重复，不予受理”编号1234832。</t>
  </si>
  <si>
    <t>北京东方雍和国际版权交易有限公司违规操作</t>
  </si>
  <si>
    <t>http://ts.21cn.com/tousu/show/id/1369124</t>
  </si>
  <si>
    <t>2019/10/17 15:17:29</t>
  </si>
  <si>
    <t>北京东方雍和国际版权交易中心在北京市金融局及东城区政府监督下违规上线交易品种并不按整改要求规定继续发展新会员，使投资者血本无归，投资者多次反映问题无果，北京东方雍和国际版权交易中心平台已经受到监督整改，2017年依然在违规交易并继续违规吸纳新会员，我是在2016年12月15成为北京东方雍和国际版权交易中心的一名会员，，前后共投入35万元人民币，2017年5月24日停牌到现在己经两年时间依然没有结果，也不知什么原因报警东城经侦不予立案，多次到国版维权反映问题没有结果:百姓利益于不顾吧！希望有关部门重视审查这些</t>
  </si>
  <si>
    <t>平安普惠爆通讯录故意骚扰无关第三方</t>
  </si>
  <si>
    <t>http://ts.21cn.com/tousu/show/id/1369130</t>
  </si>
  <si>
    <t>2019/10/17 15:17:17</t>
  </si>
  <si>
    <t>投诉人梁先生投诉对象平安普惠涉诉金额0元问题类型诉求类型投诉详情本人24小时开机从未失联，平安普惠故意爆通讯录骚扰与债务无关第三方，给我通讯录联系人造成困扰，国家明令禁止骚扰第三方，要求平安普惠停止骚扰！。</t>
  </si>
  <si>
    <t>我来数科骚扰通讯录</t>
  </si>
  <si>
    <t>http://ts.21cn.com/tousu/show/id/1369129</t>
  </si>
  <si>
    <t>投诉人严先生投诉对象我来数科涉诉金额17000元问题类型诉求类型投诉详情通过我来贷借款17000元，分12期，今年7月换工作，工资开始不稳定，但是还是在还款，9月28号第6期逾期了，期间和催收沟通过，希望可以帮我延长一下时间，但是今天中午开始骚扰我的家属和联系人希望不要继续骚扰了，希望能和我商量还款事宜。</t>
  </si>
  <si>
    <t>http://ts.21cn.com/tousu/show/id/1369119</t>
  </si>
  <si>
    <t>2019/10/17 15:16:50</t>
  </si>
  <si>
    <t>榕树，能假，里面有好多借款平台，利息太高，你我贷，利息高的吓人，我借了，一万二，还了一期，后面的还不上了，你我贷公司，自己，往我卡里打了一万二，没有金过我同意。</t>
  </si>
  <si>
    <t>银盛支付198元押金，激活手续费298</t>
  </si>
  <si>
    <t>http://ts.21cn.com/tousu/show/id/1369118</t>
  </si>
  <si>
    <t>2019/10/17 15:16:32</t>
  </si>
  <si>
    <t>当时说的198元押金，pos激活了以后一周就退回给我，还有激活手续费298元说是1-15个工作日退回银行卡，现在一个半月了，押金和手续费都没有退回来，当时给办pos的工作人员消息不回，语音不接，给留的电话也是空号，这现在钱迟迟不退，必须给个说法，赶紧退钱！！！。</t>
  </si>
  <si>
    <t>京东白条恶意骚扰，爆通讯录，群发消息</t>
  </si>
  <si>
    <t>http://ts.21cn.com/tousu/show/id/1369116</t>
  </si>
  <si>
    <t>2019/10/17 15:16:18</t>
  </si>
  <si>
    <t>京东金融暴力催收，群发消息，爆通讯录，恶意骚扰。</t>
  </si>
  <si>
    <t>活力花恶意催收</t>
  </si>
  <si>
    <t>http://ts.21cn.com/tousu/show/id/1369115</t>
  </si>
  <si>
    <t>2019/10/17 15:16:05</t>
  </si>
  <si>
    <t>最近确实资金周转困难，和活力花催收人员积极沟通，却换来威胁，暴力短信轰炸，以前也借过好几次，没有逾期一次，这次真的遇到困难才逾期，先不管平台高利贷性质，本来抱着好好沟通想法，有钱立马还上，现在却连好好沟通权利都没有，相反是一再受到催收人员威胁曝光通讯录，并发暴力催收短信，严重扰乱个人生活，在国家高压态势下，还有如此嚣张气焰，希望相关人员给予道歉。</t>
  </si>
  <si>
    <t>借呗</t>
  </si>
  <si>
    <t>http://ts.21cn.com/tousu/show/id/1369113</t>
  </si>
  <si>
    <t>2019/10/17 15:15:25</t>
  </si>
  <si>
    <t>投诉人 金玉琳        投诉对象  借呗        涉诉金额  30 000 元    问题类型    诉求类型投诉详情  我被网络诈骗啦已经报警处理啦 现在我欠借呗的钱还不上</t>
  </si>
  <si>
    <t>爱钱进钱站高利贷</t>
  </si>
  <si>
    <t>http://ts.21cn.com/tousu/show/id/1369114</t>
  </si>
  <si>
    <t>2019/10/17 15:15:20</t>
  </si>
  <si>
    <t>钱站高利贷，在国家严控管理下依然暴力催收！恶意骚扰！用呼死你软件轰炸通讯录联系人！无视国家出来的，1、只能在上午8:00至下午9:00之间对借款人进行催收，催收方式包括打电话、上门催收等；，2、一天只能催收3次，不可以利用电话、短信等不间断地对借款人进行骚扰；，3、不可以对借款人的家人、朋友、同事、同学强行讨要借款人的联系方式；，4、严禁使用文字、语言、暴力行为对借款人进行催收，不能对借款人造成任何伤害，包括人身、心理和个人财物；，5、禁止在网上公布借款人的个人隐私信息，包括个人借贷信息、不雅照片等；，6、</t>
  </si>
  <si>
    <t>非法催收</t>
  </si>
  <si>
    <t>http://ts.21cn.com/tousu/show/id/1369111</t>
  </si>
  <si>
    <t>2019/10/17 15:14:57</t>
  </si>
  <si>
    <t>投诉人 胡建国        投诉对象  小象优品        涉诉金额  10 900 元    问题类型    诉求类型投诉详情  未与我协商，私自暴通迅录，催收语气恶劣。</t>
  </si>
  <si>
    <t>宜人贷骚扰</t>
  </si>
  <si>
    <t>http://ts.21cn.com/tousu/show/id/1369110</t>
  </si>
  <si>
    <t>2019/10/17 15:14:23</t>
  </si>
  <si>
    <t>每月17号还款日，15号就开始电话不停骚扰，我是分36期，本月17号最后一期，给客服讲要明天晚上前处理，客服直接威胁说要上报征信，并且移交催收，银行都会有三天的延缓期，并且我就只有最后一期，延缓一天就不行。</t>
  </si>
  <si>
    <t>我过做试借款未通过了，怎么扣银行卡</t>
  </si>
  <si>
    <t>http://ts.21cn.com/tousu/show/id/1369105</t>
  </si>
  <si>
    <t>2019/10/17 15:13:16</t>
  </si>
  <si>
    <t>我过做试借款未通过了，卸载几天后怎么扣我的银行卡了，我是聋哑人我不会说电话给，让请发短信聊天了。</t>
  </si>
  <si>
    <t>闪电借款强迫购买黑客</t>
  </si>
  <si>
    <t>http://ts.21cn.com/tousu/show/id/1369106</t>
  </si>
  <si>
    <t>2019/10/17 15:13:11</t>
  </si>
  <si>
    <t>本人于2019年10月4号在借款平台：闪电借款申请一笔借款1400元人民币时被强迫买这个平台APP的黑卡，就是说闪电借款平台先是扣了黑卡钱260元才到账1400元，也就是说利息去了330元人民币，借款1400元到期还款1470元。</t>
  </si>
  <si>
    <t>http://ts.21cn.com/tousu/show/id/1369104</t>
  </si>
  <si>
    <t>2019/10/17 15:12:53</t>
  </si>
  <si>
    <t>贷款到账1800合同写2400每月还款900。</t>
  </si>
  <si>
    <t>小额贷恶性催收，严重影响正常工作</t>
  </si>
  <si>
    <t>http://ts.21cn.com/tousu/show/id/1369101</t>
  </si>
  <si>
    <t>2019/10/17 15:12:35</t>
  </si>
  <si>
    <t>打电话来说借6000，现在要还1万多，打电话到以前工作过的公司，骚扰，到现在任职公司仍然继续恶意催收，用类似呼死你的软件，不停的打电话到办公室，接了又挂，挂了继续打，不明白如何得知我现在的公司电话地址，打电话都有录音的，因为上传不了电话录音，现在工作又没了！不明白如何得知我现在的公司电话地址，打电话都有录音的，因为上传不了电话录音。</t>
  </si>
  <si>
    <t>支付宝借呗还款</t>
  </si>
  <si>
    <t>http://ts.21cn.com/tousu/show/id/1369103</t>
  </si>
  <si>
    <t>2019/10/17 15:12:30</t>
  </si>
  <si>
    <t>投诉人张先生投诉对象支付宝涉诉金额30000元问题类型诉求类型投诉详情本人于2017年6月还款后，支付宝要求一次性还清欠款，导致本人支付宝借呗等欠款逾期，后期本人一直还款到10月份，多次致电支付宝客服，要求分期，均没有理睬，催收多次致电通讯录好友，后期本人没有理睬，今天再次收到催收电话，要求一次结清，本人生意失败无法一次还清，清支付宝方面给个能让本人接受的分期还款方案，谢谢。</t>
  </si>
  <si>
    <t>http://ts.21cn.com/tousu/show/id/1369100</t>
  </si>
  <si>
    <t>2019/10/17 15:12:26</t>
  </si>
  <si>
    <t>现金巴士高砍头息，我要求协商减免，客服态度恶劣。</t>
  </si>
  <si>
    <t>恶意骚扰高利贷恐吓</t>
  </si>
  <si>
    <t>http://ts.21cn.com/tousu/show/id/1369102</t>
  </si>
  <si>
    <t>投诉人黄女士投诉对象贷上钱涉诉金额2000元问题类型诉求类型投诉详情本人并没有不想归还但是现在确实有点困难，有必要一直骚扰我身边的人嘛，借款2000一个月现在需要归还2500，逾期两天利息就是100，这不是高利贷是什么，一直电话骚扰我和恐吓家人和朋友，现在就没有人可以管一管嘛，这么高的利息是正规的是合法的嘛……如果一直要恶意这样骚扰影响我的工作我拿什么还给你们。</t>
  </si>
  <si>
    <t>淘宝消费纠纷</t>
  </si>
  <si>
    <t>http://ts.21cn.com/tousu/show/id/1369098</t>
  </si>
  <si>
    <t>2019/10/17 15:11:54</t>
  </si>
  <si>
    <t>投诉人 郭先生        投诉对象  淘宝网        涉诉金额  2 025 元    问题类型    诉求类型投诉详情  包邮产品，未收到货，退款，被扣往返邮费。</t>
  </si>
  <si>
    <t>上海富友为南京条鳅科技有限公司714高炮提供支付通道要求退还砍头息</t>
  </si>
  <si>
    <t>http://ts.21cn.com/tousu/show/id/1369097</t>
  </si>
  <si>
    <t>2019/10/17 15:11:40</t>
  </si>
  <si>
    <t>6月19日在南京条鳅科技有限公司借款1400实际到账980。</t>
  </si>
  <si>
    <t>东莞讯怡电子有限公司侵犯未成年权益</t>
  </si>
  <si>
    <t>http://ts.21cn.com/tousu/show/id/1369099</t>
  </si>
  <si>
    <t>2019/10/17 15:11:36</t>
  </si>
  <si>
    <t>家里8岁的孩子，在没有家长监管情况下玩游戏，被东莞讯怡和广东欢太扣去一万多，1.事后第一时间联系公安部门，公安部门答复不在受理范围2.联系不上公司3.打东莞市长热线答复不在受理范围，拒绝受理，遂以该企业经营范围超出行政许可为由投诉企业和监管部门4.几经周折联系上该公司oppo客服后，该公司要求我们提供视频监控才可以认可为未成年玩游戏，这是不合理的要求，没有那个家庭会通过安装监控来监管孩子的，所以这是跟不合理的要求，我们与客服沟通是否可以提供证人证言，由学校开具证明，客服答复可以先提供供审核，提供后，该公司答</t>
  </si>
  <si>
    <t>小赢易贷高利贷，提前结清收取高息以及服务费</t>
  </si>
  <si>
    <t>http://ts.21cn.com/tousu/show/id/1369096</t>
  </si>
  <si>
    <t>2019/10/17 15:11:27</t>
  </si>
  <si>
    <t>一、本人于2019年3月8日在小赢贷款平台借了一笔款项，借款金额：30000元，分12期还款，最近我发现该平台在本人不知情的情况下强制捆绑购买了一分保险，并且之前一直有购买，由于本人最近清还所有欠款，才终于发现，1.本人是不知情的情况下被投保、连个保单都没看到，只在合同里面看到有购买保险，3.国家明文规定贷款跟保险公司不得合作；4.国家法律规定投保人可随时退保；5.在未明确提醒客户的前提下捆绑销售保险，如果不予以处理我将进一步反馈于各大媒体平台请求帮老百姓做主，二、本人查看借款合同时，发现被签订了阴阳合同，</t>
  </si>
  <si>
    <t>及贷疯狂暴力催收</t>
  </si>
  <si>
    <t>http://ts.21cn.com/tousu/show/id/1369095</t>
  </si>
  <si>
    <t>2019/10/17 15:11:02</t>
  </si>
  <si>
    <t>本人每次刚到还款日，只要一会没有按时还款就疯狂打电话，只有一个没接就疯狂打通讯录给通讯录好友狂轰乱炸各种垃圾短信，然后威胁，逼迫等等，。</t>
  </si>
  <si>
    <t>在不知情的情况下扣除银行卡198元，并且未进行扣款。未提前通知，并且在一定时间后扣除。</t>
  </si>
  <si>
    <t>http://ts.21cn.com/tousu/show/id/1367506</t>
  </si>
  <si>
    <t>2019/10/17 15:10:45</t>
  </si>
  <si>
    <t>投诉人周先生投诉对象罗汉分期,罗汉涉诉金额198元问题类型诉求类型投诉详情在罗汉分期上面申请贷款，绑定银行卡之后在我不知情的情况下私自扣款198，分三次每次66！希望明查，对罗汉平台做出处罚，并退还我全部被扣费用！。</t>
  </si>
  <si>
    <t>钱伴高额服务费</t>
  </si>
  <si>
    <t>http://ts.21cn.com/tousu/show/id/1369094</t>
  </si>
  <si>
    <t>借12000每个月要还2360包括服务费300多加利息，已还3期还有3期还不动了要求减免。</t>
  </si>
  <si>
    <t>骚扰联系人催收</t>
  </si>
  <si>
    <t>http://ts.21cn.com/tousu/show/id/1369092</t>
  </si>
  <si>
    <t>2019/10/17 15:10:23</t>
  </si>
  <si>
    <t>投诉人 陈女士        投诉对象  交通银行信用卡        涉诉金额  39 000 元    问题类型    诉求类型投诉详情  个人因资金周转问题未能按时还款 但是信用卡问题我个人很重视 我肯定也会努力还款 不会逃避 但是该银行将电话打到公司电话 对个人工作造成极大影响 甚至危及工作稳定 希望停止骚扰 本人也将尽快还款</t>
  </si>
  <si>
    <t>http://ts.21cn.com/tousu/show/id/1369091</t>
  </si>
  <si>
    <t>2019/10/17 15:09:21</t>
  </si>
  <si>
    <t>10月20日结清，谢谢</t>
  </si>
  <si>
    <t>不知道的情况下扣我99元</t>
  </si>
  <si>
    <t>http://ts.21cn.com/tousu/show/id/1369090</t>
  </si>
  <si>
    <t>2019/10/17 15:08:34</t>
  </si>
  <si>
    <t>投诉人 谭先生        投诉对象  易宝支付        涉诉金额  99 元    问题类型    诉求类型投诉详情  反正我也不知道怎么回事 银行卡里少了99块钱 然后我就卡银行记录你们扣了我99元 上面显示对面银行就是你们 在我不知情的时候扣我99</t>
  </si>
  <si>
    <t>http://ts.21cn.com/tousu/show/id/1369089</t>
  </si>
  <si>
    <t>2019/10/17 15:06:54</t>
  </si>
  <si>
    <t>拨打公司电话，泄露我欠款的事泄露个人隐私，威胁要轰炸办公室对公电话，在与本人取得联系的情况下，协商不成仍骚扰公司，影响办公室。</t>
  </si>
  <si>
    <t>链家房源平台数据作假，虚假宣传、销售，赔付损失面积的金额</t>
  </si>
  <si>
    <t>http://ts.21cn.com/tousu/show/id/1369088</t>
  </si>
  <si>
    <t>2019/10/17 15:06:42</t>
  </si>
  <si>
    <t>1、链家贝壳app平台上传虚假数据进行宣传和销售，违反自愿平等、公平、诚实、信用的原则，侵犯消费者的知情权、公平交易权，未拿到房本就行谈判价格，价格谈妥后，链家未进行房本信息进行核对，就进行拟定合同，签合同时发现实际产权面积68.1平与之前商议面积，70平不符，链家作为中介方在签订合同时发现该错误，不仅没有提出质疑和提醒买家，反而本着快速促成交易的心态，引导买家产生来去只有2平米，问题不大的心理，而买家为女性，签约当天独自一人，未能意识到这2平的差距，10.13号到10.16号三天的处理，未对我进行电话联系</t>
  </si>
  <si>
    <t>你我贷变相收取高额利息</t>
  </si>
  <si>
    <t>http://ts.21cn.com/tousu/show/id/1369087</t>
  </si>
  <si>
    <t>2019/10/17 15:06:14</t>
  </si>
  <si>
    <t>去年12月份，我在你我贷借款3300元，借款期限12个月，现在已经还了9个月，还差3个月，你我贷每天给我发信息，每天给我打好几个电话催收，于是，我就仔细看了一下贷款详情，不看不要紧，一看吓一跳！里面除了利息之外，还有贷后管理费，平台服务费，贷后服务费，而且每期都有，这是在变相收取高额利息！我要求你我贷平台，消掉欠款，多收我的各项服务费，管理费，全部退给我，否则我会通过法律途径来解决。</t>
  </si>
  <si>
    <t>网贷利息太高爆通讯录</t>
  </si>
  <si>
    <t>http://ts.21cn.com/tousu/show/id/1369086</t>
  </si>
  <si>
    <t>2019/10/17 15:06:01</t>
  </si>
  <si>
    <t>利息太高了，这个月卡丢了没来的及还，逾期利息太高了，跟他们都说了身份证补办回来我就补卡还，结果他们就直接爆通讯录了，语气太差，我说迟几天还，他们就说你是不打算还了，就把我删了，然后就给家里亲朋好友打电话。</t>
  </si>
  <si>
    <t>http://ts.21cn.com/tousu/show/id/1369085</t>
  </si>
  <si>
    <t>2019/10/17 15:05:31</t>
  </si>
  <si>
    <t>本人于9月7日在现金巴士平台借款1500元，被要求购买148元超级会员，会员费由富友钱包收取，这种购买会员才能借款的方式早已被国家认定为套路贷砍头息的一种，到期日后苹果app早已打不开，无法还款导致今日逾期多天每天被收取15元逾期费，今日客服来电居然威胁本人，在国家严厉打击高利贷套路贷的情况下居然还这么嚣张，目无法纪，现要求协商合理还款本金及利息结清，希望平台给予帮助。</t>
  </si>
  <si>
    <t>本来申请网贷最后银行卡无缘无故被扣299元。还我血汗钱</t>
  </si>
  <si>
    <t>http://ts.21cn.com/tousu/show/id/1369084</t>
  </si>
  <si>
    <t>2019/10/17 15:05:08</t>
  </si>
  <si>
    <t>无缘无故被扣了299元我的血汗钱啊这些奸商。</t>
  </si>
  <si>
    <t>高利贷阴阳合同额外收取费用</t>
  </si>
  <si>
    <t>http://ts.21cn.com/tousu/show/id/1369083</t>
  </si>
  <si>
    <t>2019/10/17 15:04:52</t>
  </si>
  <si>
    <t>投诉人 于先生        投诉对象  惠享分期        涉诉金额  2 000 元    问题类型    诉求类型投诉详情  高利贷 业务员额外收取费用 阴阳合同 要求减免利息否则天天投诉银监会</t>
  </si>
  <si>
    <t>佰仟金融利息太高</t>
  </si>
  <si>
    <t>http://ts.21cn.com/tousu/show/id/1369082</t>
  </si>
  <si>
    <t>2019/10/17 15:04:37</t>
  </si>
  <si>
    <t>本金600现在利息达到1266.04利息高。</t>
  </si>
  <si>
    <t>平安银行与套路贷合作，违规提供支付渠道</t>
  </si>
  <si>
    <t>http://ts.21cn.com/tousu/show/id/1369081</t>
  </si>
  <si>
    <t>2019/10/17 15:04:36</t>
  </si>
  <si>
    <t>平安银行为714高利贷套路贷提供资金渠道，经过银联查询平安银行提供的渠道，现要求平安银行协助处理退回不合理的利息。</t>
  </si>
  <si>
    <t>闪电借款勾结众泰金服贷款代理有限公司非法扣款200元</t>
  </si>
  <si>
    <t>http://ts.21cn.com/tousu/show/id/1369080</t>
  </si>
  <si>
    <t>2019/10/17 15:04:34</t>
  </si>
  <si>
    <t>闪电借款勾结众泰金服贷款代理有限公司非法扣200元，套路说我买了他们黑卡非法扣款200块钱。</t>
  </si>
  <si>
    <t>网贷还款平台进不了，无法完成还款</t>
  </si>
  <si>
    <t>http://ts.21cn.com/tousu/show/id/1369079</t>
  </si>
  <si>
    <t>2019/10/17 15:04:31</t>
  </si>
  <si>
    <t>蟹老弟借款平台app进不了，所以还款也还不了，客服电话也打不通，他们就为了收逾期费。</t>
  </si>
  <si>
    <t>爱白条高利贷暴力催收</t>
  </si>
  <si>
    <t>http://ts.21cn.com/tousu/show/id/1369077</t>
  </si>
  <si>
    <t>2019/10/17 15:04:24</t>
  </si>
  <si>
    <t>投诉人 张先生        投诉对象  爱白条        涉诉金额  1 000 元    问题类型    诉求类型投诉详情  骚扰通讯录 给通讯录每个人发短信 打电话</t>
  </si>
  <si>
    <t>广州合利宝为714高炮速代金卡提供支付通道</t>
  </si>
  <si>
    <t>http://ts.21cn.com/tousu/show/id/1369078</t>
  </si>
  <si>
    <t>2019/10/17 15:04:16</t>
  </si>
  <si>
    <t>本人2019年6月16日在速代金卡借款1500元，实际到账1050元，6月22日还款1500元6.25日到账1050元，7.1日还款1500元7.1日到账1340元，7.7日还款2000元7.8日到账1300元，7.14日还款2000元要求退款。</t>
  </si>
  <si>
    <t>阿里云天猫官方旗舰店</t>
  </si>
  <si>
    <t>http://ts.21cn.com/tousu/show/id/1369074</t>
  </si>
  <si>
    <t>2019/10/17 15:03:46</t>
  </si>
  <si>
    <t>退款极其麻烦，客服一直就拖，颠覆了我对阿里的印象。</t>
  </si>
  <si>
    <t>广发银行协商还款时间</t>
  </si>
  <si>
    <t>http://ts.21cn.com/tousu/show/id/1369073</t>
  </si>
  <si>
    <t>2019/10/17 15:03:42</t>
  </si>
  <si>
    <t>本人因经济问题，导致广发信用卡逾期，但是逾期间，本人已经还了800元欠款，本人一直都有意愿还款，要求剩余欠款下星期一出工资就还清债务，但是该行催收人员不给予协商，要求本人明天要还清，希望聚投票协助解决一下，希望广发银行可以给予时间筹备剩余的欠款，谢谢。</t>
  </si>
  <si>
    <t>邮政银行信用卡骚扰</t>
  </si>
  <si>
    <t>http://ts.21cn.com/tousu/show/id/1369072</t>
  </si>
  <si>
    <t>2019/10/17 15:03:39</t>
  </si>
  <si>
    <t>投诉人冯先生投诉对象邮储银行涉诉金额12000元问题类型诉求类型投诉详情本人因生意不好资金出现问题，欠下邮政银行信用卡12000多元，本人也多次协商银行不同意，现在反而骚扰家人本人父母长期患病，需要吃药维持，希望银行不要骚扰家人，本人的债务本人会解决..假如造成家人精神压力过大出现的问题，邮政银行能负责任吗。</t>
  </si>
  <si>
    <t>小树时代龙分期强迫还款</t>
  </si>
  <si>
    <t>http://ts.21cn.com/tousu/show/id/1369075</t>
  </si>
  <si>
    <t>2019/10/17 15:03:36</t>
  </si>
  <si>
    <t>龙分期借款3000元分12期，之前9月份一期借款逾期了一个月，这个月逾期了两天，客服联系上本人还款事宜，本人抓紧把逾期的欠款给还上了，是本人造成逾期是本人的问题，也愿意承担逾期费用等问题，但事后客服联系我让我把剩余8期，在一小时内账单全部一次性还清，不再让我继续履行往后的账单，本人已承诺保证过往期账单一定按时还款，现在客服沟通未果态度也强硬不再按照往后的合同账单规定还款，强迫本人一小时之内一次性结清账单！不还给通信录挨个打电话骚扰，这样会造成对个人严重不好影响，希望平台给个解释。</t>
  </si>
  <si>
    <t>上海富友为石家庄大川科技有限公司714高炮提供支付通道要求退还砍头息</t>
  </si>
  <si>
    <t>http://ts.21cn.com/tousu/show/id/1369071</t>
  </si>
  <si>
    <t>2019/10/17 15:02:54</t>
  </si>
  <si>
    <t>投诉人郭女士投诉对象石家庄大川科技有限公司涉诉金额1228元问题类型诉求类型投诉详情6月19日在石家庄大川科技有限公司借款2000实际到账14006月25日还款2014.016月25日借款14007月1日还款2014.017天利息600一共多还了1228要求退还。</t>
  </si>
  <si>
    <t>大白猫高利贷米米罐同一个公司的</t>
  </si>
  <si>
    <t>http://ts.21cn.com/tousu/show/id/1369070</t>
  </si>
  <si>
    <t>2019/10/17 15:02:43</t>
  </si>
  <si>
    <t>借款1000要还1523早已超出百分之36，要求还请本金并消账可以收取合理的利息他家客服手机号4006522221。</t>
  </si>
  <si>
    <t>平安信用卡催收疯狂倒卖公民信息</t>
  </si>
  <si>
    <t>http://ts.21cn.com/tousu/show/id/1369069</t>
  </si>
  <si>
    <t>2019/10/17 15:02:10</t>
  </si>
  <si>
    <t>我老公平安信用卡逾期几个月！平安信用卡疯狂催收！疯狂骚扰！到处拢打他们能找到的电话来骚扰和侮辱！，这次投诉是关于：平安信用卡催收涉嫌倒卖公民信息！！！！他们使用非法途径获取到我的资料来骚扰我！一次又一次！我老公申请平安信用卡时没留过我任何资料！为什么平安信用卡催收却能找到我的资料，这肯定是平安信用卡通过非法手段获取的！我网上搜索过！平安是通过非法手段非法关系，盗取用户家属信息！这是严重的违法行为！这是犯罪！！！请公安和扫黑办介入！严查平安信用卡！查出他们倒卖用户信息的渠道！有多用户的资料被倒卖！！！！这不是</t>
  </si>
  <si>
    <t>我来贷非法高利贷，还款不销账，请求返还超过国家规定外的利息</t>
  </si>
  <si>
    <t>http://ts.21cn.com/tousu/show/id/1369068</t>
  </si>
  <si>
    <t>2019/10/17 15:01:35</t>
  </si>
  <si>
    <t>投诉我来贷高利贷，还款不销账，请销账并退还超过国家法律规定以外的钱，本人在我来贷借款5000元，分12期偿还，第一期偿还626.65，其余每期偿还566.65元，共计归还6859.8元，分12个月还款，实际每个月都有本金归还，APP上均有显示，，远超合同规定的8%和国家规定的24%，甚至比国家法律认定的高利贷红线36%还要高出24.85%，简直就是超利贷，已咨询相关律师，我提供的计算方式为合理合法的计算方式，最后一期我已于10月15日通过支付宝还款，但是至今未销账，还是显示逾期状态,他们催收说逾期几天，需要</t>
  </si>
  <si>
    <t>http://ts.21cn.com/tousu/show/id/1369067</t>
  </si>
  <si>
    <t>2019/10/17 15:01:19</t>
  </si>
  <si>
    <t>下款收高额砍头息说是服务费等理由，逾期费也是超高，我说晚几天发工资还上，就开始威胁我。</t>
  </si>
  <si>
    <t>投诉客服</t>
  </si>
  <si>
    <t>http://ts.21cn.com/tousu/show/id/1369066</t>
  </si>
  <si>
    <t>2019/10/17 15:01:05</t>
  </si>
  <si>
    <t>，只会一直逃避问题，答非所问，对我的问题都是比较逃避的一个态度。</t>
  </si>
  <si>
    <t>网贷APP:闪电贷款诱导客户买黑卡</t>
  </si>
  <si>
    <t>http://ts.21cn.com/tousu/show/id/1369064</t>
  </si>
  <si>
    <t>2019/10/17 15:00:55</t>
  </si>
  <si>
    <t>我本人范成塔于2019年10月4号在网贷平台：闪电借款借了1400元，但是借款过程被迫要求买财神黑卡花了260元人民币才给我借1400元人民币，100分36.这个闪电借款平首先必须缴纳260的黑卡钱才可以借到1400元，也就是说我借1400元利息是50天330块人民币的利息，我投诉他。</t>
  </si>
  <si>
    <t>达飞云贷不正当催收</t>
  </si>
  <si>
    <t>http://ts.21cn.com/tousu/show/id/1369062</t>
  </si>
  <si>
    <t>2019/10/17 14:57:45</t>
  </si>
  <si>
    <t>1.综合年息80%2.收取质保金，变相砍头息3.上门催收。</t>
  </si>
  <si>
    <t>http://ts.21cn.com/tousu/show/id/1369061</t>
  </si>
  <si>
    <t>2019/10/17 14:57:32</t>
  </si>
  <si>
    <t>爆通讯录，在债务人有持续还款的情况下，依然骚扰债务人的家人。</t>
  </si>
  <si>
    <t>http://ts.21cn.com/tousu/show/id/1369059</t>
  </si>
  <si>
    <t>2019/10/17 14:56:47</t>
  </si>
  <si>
    <t>投诉人 赵先生        投诉对象  小象优品        涉诉金额  31 900 元    问题类型    诉求类型投诉详情  年利率达60.96%。无法查看合同。联系不到平台。</t>
  </si>
  <si>
    <t>借款承诺打款时间一推再推，无诚信</t>
  </si>
  <si>
    <t>http://ts.21cn.com/tousu/show/id/1369058</t>
  </si>
  <si>
    <t>2019/10/17 14:56:43</t>
  </si>
  <si>
    <t>承诺56s到帐，推到11点57，再推13点，没到又推到下午2点，还是没到，现在推到明天下午1点，这是什么操作。</t>
  </si>
  <si>
    <t>招商信用卡频繁骚扰，恐吓</t>
  </si>
  <si>
    <t>http://ts.21cn.com/tousu/show/id/1369057</t>
  </si>
  <si>
    <t>2019/10/17 14:56:42</t>
  </si>
  <si>
    <t>招商信用卡天天都要打电话骚扰我和我的联系人，我都没有在之前的公司上班了，还不停的打电话过去，几乎天天都要打！。</t>
  </si>
  <si>
    <t>骚扰，变相恐吓</t>
  </si>
  <si>
    <t>http://ts.21cn.com/tousu/show/id/1369056</t>
  </si>
  <si>
    <t>2019/10/17 14:56:41</t>
  </si>
  <si>
    <t>本人之前在及贷借款应急，可没想到利息太高，之前及贷用打电话的方式骚扰我的家人，现在又联合百盈律所盗取我的信息，通过发信息的方式骚扰我的家人。</t>
  </si>
  <si>
    <t>捷信金融高利贷，所收利息跟业务员讲的不一样</t>
  </si>
  <si>
    <t>http://ts.21cn.com/tousu/show/id/1369060</t>
  </si>
  <si>
    <t>2019/10/17 14:56:38</t>
  </si>
  <si>
    <t>投诉人方先生投诉对象捷信金融涉诉金额10000元问题类型诉求类型投诉详情2019年7月3日通过捷信商品贷购买了一台电脑，总价18000，贷款10000元，分20期，业务员对我讲可以在第四期的时候提前还款，总利息只有600多不超过700元，反复与业务员确认，是否申请提前还款后总利息加一起不超过700元，业务员确认提前还款只需要还10600多元就可以，于是我同意分期购买，在购买后20天左右的时间申请了提前还款，我每期按时还款672.16，还了三期之后，发现第四期仍需还款9115.19元，总共要还11131.67</t>
  </si>
  <si>
    <t>暴力催熟</t>
  </si>
  <si>
    <t>http://ts.21cn.com/tousu/show/id/1369055</t>
  </si>
  <si>
    <t>2019/10/17 14:56:32</t>
  </si>
  <si>
    <t>一休哥网贷平台通过安徽鹰眼金融服务外包公司暴力催收，对我通讯录人员进行恐吓威胁。</t>
  </si>
  <si>
    <t>微贷多米贷暴力催收盗取用户信息</t>
  </si>
  <si>
    <t>http://ts.21cn.com/tousu/show/id/1369053</t>
  </si>
  <si>
    <t>2019/10/17 14:56:16</t>
  </si>
  <si>
    <t>今年一月份因为资金周转困难在微贷网贷过一笔借款，后续一直按期偿还贷款本息，因为八月份资金紧张出现了几天时间的逾期，微贷网就开始肆意拨打通讯录用户到处骚扰并且辱骂联系人，对本人生活造成严重影响，以至于工作丢失，在本已困难的情况下更是雪上加霜，但是还是尽自己最大努力还款，现在因为新换工作手头资金全部用完，本期账单更是暂时无力偿还，微贷网催收人员照样还是采用恐吓威胁的方式催收，并且还是采取骚扰通讯录的方式，继续以盗取用户信息骚扰通讯录，等非法手段催收。</t>
  </si>
  <si>
    <t>平安保险人员当初说的保险收益不一样</t>
  </si>
  <si>
    <t>http://ts.21cn.com/tousu/show/id/1369052</t>
  </si>
  <si>
    <t>2019/10/17 14:56:07</t>
  </si>
  <si>
    <t>2016年十月份买的保险，买保险之前业务员跟我们推荐说每年交七千多点交满30年没有理赔的情况下可以一次性取出三十多万元现金出来，但是现在我身边有其他朋友做保险这一行，看了我的保单，跟我说到期也不会有那么多钱能取出来，我们这个保险跟当初业务员说的不一祥，现在那个业务员也早就离职不做了，感觉我们就是被业务员误导才买了这个保险，现在打电话投诉了也没有人给解决这个事情，难道就是因为平安是大公司吗！希望国家能给我们主持公道。</t>
  </si>
  <si>
    <t>信用飞</t>
  </si>
  <si>
    <t>http://ts.21cn.com/tousu/show/id/1369054</t>
  </si>
  <si>
    <t>投诉人 王女士        投诉对象  信用飞        涉诉金额  700 元    问题类型    诉求类型投诉详情  借款3500 到账秒扣700 借了两次了 一次已经结清 上一次是扣了610 希望退还</t>
  </si>
  <si>
    <t>微信支付违规冻结资金</t>
  </si>
  <si>
    <t>http://ts.21cn.com/tousu/show/id/1369051</t>
  </si>
  <si>
    <t>2019/10/17 14:56:06</t>
  </si>
  <si>
    <t>申诉无门，客服电话打不通，违规冻结微信支付血汗钱。</t>
  </si>
  <si>
    <t>违法高利贷</t>
  </si>
  <si>
    <t>http://ts.21cn.com/tousu/show/id/1369050</t>
  </si>
  <si>
    <t>2019/10/17 14:55:41</t>
  </si>
  <si>
    <t>投诉人 王女士        投诉对象  催收家        涉诉金额  2 000 元    问题类型    诉求类型投诉详情  高价砍头息 七天贷 暴力催收 恐吓威胁</t>
  </si>
  <si>
    <t>http://ts.21cn.com/tousu/show/id/1369049</t>
  </si>
  <si>
    <t>2019/10/17 14:55:30</t>
  </si>
  <si>
    <t>主动找客服协商还款，说好处理500，剩下的给点时间，有了就会主动联系，客服就不愿意非让明天处理进来，没有的话启动什么流程，不知道什么流程，恶意骚扰。</t>
  </si>
  <si>
    <t>不同意协商，威胁上门催收</t>
  </si>
  <si>
    <t>http://ts.21cn.com/tousu/show/id/1368982</t>
  </si>
  <si>
    <t>2019/10/17 14:55:26</t>
  </si>
  <si>
    <t>如期分期不同意协商还款，威胁上门催收，由于本人前段时间失业中，导致还有3期没还款，希望能跟如期分期公司协商还款。</t>
  </si>
  <si>
    <t>借了呗骚扰通讯录联系人</t>
  </si>
  <si>
    <t>http://ts.21cn.com/tousu/show/id/1369048</t>
  </si>
  <si>
    <t>2019/10/17 14:54:49</t>
  </si>
  <si>
    <t>投诉人 李女士        投诉对象  借了呗        涉诉金额  0 元    问题类型    诉求类型投诉详情  骚扰通讯录联系人，发很多无用短信息。并且对对方恐吓。不联系紧急联系人，不联系当事人。</t>
  </si>
  <si>
    <t>广州合利宝为714高炮时代富卡提供支付通道</t>
  </si>
  <si>
    <t>http://ts.21cn.com/tousu/show/id/1369047</t>
  </si>
  <si>
    <t>2019/10/17 14:54:44</t>
  </si>
  <si>
    <t>本人2019年6月3日借款1500元，实际到账1050元，6月9日还款1500元6.10日到账1050元，6.16日还款1500元6.16日到账1400元，6.22日还款2000元6.24日到账1400元，6.30日还款2000元6.30日到账1400元，7.6日还款2000元7.8日到账1400元，7.14日还款2000元要求退款。</t>
  </si>
  <si>
    <t>http://ts.21cn.com/tousu/show/id/1369044</t>
  </si>
  <si>
    <t>2019/10/17 14:54:20</t>
  </si>
  <si>
    <t>在平安易贷借了8000元，实际要还10000，已经还了6000，由于最近老婆身体不好需要钱治疗，手头紧还不上，我也积极去协商解决，但是他们暴力催收，打电话骚扰公司的同事和威胁我，并且使用各种违法的手段打电话到我们公司，骚扰公司领导，还要到我们公司找我，并且恐吓我。</t>
  </si>
  <si>
    <t>诺和信用计划变相砍头息协商不成暴力催收</t>
  </si>
  <si>
    <t>http://ts.21cn.com/tousu/show/id/1369043</t>
  </si>
  <si>
    <t>2019/10/17 14:54:04</t>
  </si>
  <si>
    <t>自由魔卡平台里的信用计划借款，先以购买会员的方式一次性支付300元，成为会员后可加入信用计划借款，借款2000元，还需要支付所谓的备付金350，支付完成后到账，借款期限30天，实际还款时间28天，变相的以买会员卡及支付备付金的形式收取砍头息，并且其客服人员态度恶劣，希望有关部门能介入调查，本人已经将所有相关转账记录，手机截图等相关证据保留，电话催收，我态度很明确，我有意愿还款，只是确实手头没有，或者月底发工资了还他，协商不成，不同意，还一直电话骚扰我工作，我现在要求，变相350的砍头息，我不会还，只还到账1</t>
  </si>
  <si>
    <t>银盛支付服务股份有限公司拒发代理商分润</t>
  </si>
  <si>
    <t>http://ts.21cn.com/tousu/show/id/1369042</t>
  </si>
  <si>
    <t>2019/10/17 14:53:30</t>
  </si>
  <si>
    <t>你好，现在投诉银盛支付服务股份有限公司已欠代理商九十几万分润未发放。</t>
  </si>
  <si>
    <t>http://ts.21cn.com/tousu/show/id/1369041</t>
  </si>
  <si>
    <t>2019/10/17 14:52:45</t>
  </si>
  <si>
    <t>本人在联通办理一张卡，卡月末被封，注销的时候扣本人当月套餐，变相收本人99套餐费用。</t>
  </si>
  <si>
    <t>传奇光学龙华店美瞳线致结膜炎，要求退费却霸王条款，后不再回应</t>
  </si>
  <si>
    <t>http://ts.21cn.com/tousu/show/id/1369039</t>
  </si>
  <si>
    <t>2019/10/17 14:52:09</t>
  </si>
  <si>
    <t>投诉人钟女士投诉对象传奇光学专业祛斑连锁涉诉金额5616元问题类型诉求类型投诉详情本人于10/12在你们店做美瞳线，之后眼部不适到药房开药涂抹两天未见好转，10/15到人民医院龙华医院就诊眼科，诊断为结膜炎，并且目前已过做后第5天，洗脸依然没有触碰眼线地方，今日却发现眼线已完全掉光，不仅造成顾客眼睛发炎，并且眼线本身也完全无附着能力，鉴于这已经不是在贵店第一次发生不愉快体验，我现要求贵店退回我美瞳线费用1580+医药费1210.6+充值余额286+未做所有项目余额，毛孔1000➗12次X余6次=500祛痘5</t>
  </si>
  <si>
    <t>玖富万卡强制分期、高利贷乱收费、短信电话骚扰</t>
  </si>
  <si>
    <t>http://ts.21cn.com/tousu/show/id/1369040</t>
  </si>
  <si>
    <t>2019/10/17 14:51:58</t>
  </si>
  <si>
    <t>本人在该平台借款1500，被强制分为12期，并且以合同费用的名义收取利息以外的费用，导致实际利息为年息36%，存在欺诈行为，且该平台与潍坊银行合作以上征信为由，逼迫本人归还超过24%的违规利息，本人拒绝支付超额利息，并且要求提前清偿1500元本金，以及与实际借款天数对应的合法利息。</t>
  </si>
  <si>
    <t>http://ts.21cn.com/tousu/show/id/1369038</t>
  </si>
  <si>
    <t>2019/10/17 14:51:35</t>
  </si>
  <si>
    <t>到账18000.合同是20385.05，但实际要还23611.8.高利贷，砍头息，催收严重。</t>
  </si>
  <si>
    <t>现金巴士催收砍头利息</t>
  </si>
  <si>
    <t>http://ts.21cn.com/tousu/show/id/1369037</t>
  </si>
  <si>
    <t>2019/10/17 14:51:30</t>
  </si>
  <si>
    <t>投诉人 陈女士        投诉对象  现金巴士        涉诉金额  1 090 元    问题类型    诉求类型投诉详情  现金巴士不给机会商量还款 还威胁当天不还款 走程序 打骚扰电话</t>
  </si>
  <si>
    <t>趣惠买新型套路贷高利贷</t>
  </si>
  <si>
    <t>http://ts.21cn.com/tousu/show/id/1369035</t>
  </si>
  <si>
    <t>2019/10/17 14:51:13</t>
  </si>
  <si>
    <t>1.本人于10.3通过小七钱包得知趣惠买，获得白条额度1050，这个白条额度刚开始说是八天免息，购买东西后转卖得735元，8天后还款1050元，趣惠买通过虚假购物转卖的方式变相运营7天类高炮，一个星期利息高达300元，2.这期还清后趣惠买一直通过短信骚扰让继续使用趣惠买白条，本人也有资金周转需要，1350额度转卖却只得到945元，即8天要支付400利息，这次本人已经深刻明白趣惠买的本质，遂联系客服提前还款减免利息，谁知客服并不同意，3.现本人要求趣惠买减免超过国家利率范围都利息，让我按正常本金+利率还款，或</t>
  </si>
  <si>
    <t>上海富友为山东持红信息科技有限公司（小蘑菇）（藏宝图）714高炮提供支付通道要求退还砍头息</t>
  </si>
  <si>
    <t>http://ts.21cn.com/tousu/show/id/1369036</t>
  </si>
  <si>
    <t>2019/10/17 14:51:05</t>
  </si>
  <si>
    <t>6月20日在小蘑菇借款3200实际到账2240，7天利息975.686月14日在藏宝图借款2800实际到账1960。</t>
  </si>
  <si>
    <t>欺诈消费,还我多余利息</t>
  </si>
  <si>
    <t>http://ts.21cn.com/tousu/show/id/1369034</t>
  </si>
  <si>
    <t>2019/10/17 14:50:56</t>
  </si>
  <si>
    <t>以本人系该公司优质客户为理由多次通过电话通话和短消息的方式邀请本人办理消费贷款业务；因为之前有一个3万本金的贷款,,同年5月28日本人接受邀请向该公司申请本金7万的消费贷款,抵消了那个3万多的贷款,直接给我银行卡打了4万多,相当于我借了这个偿还了之前的3万，以下有图片证明,,借款业务的咨询、申请及办理过程全程由捷信公司销售代表通过电话通话完成；没有向深圳捷信信驰咨询有限公司，申请过任何服务，信驰公司也没有向本人提供任何服务，业务办理过程中，捷信公司销售代表介绍年利率24%，分45期偿还，若购买该公司的灵活还</t>
  </si>
  <si>
    <t>钱站高利</t>
  </si>
  <si>
    <t>http://ts.21cn.com/tousu/show/id/1369032</t>
  </si>
  <si>
    <t>2019/10/17 14:50:30</t>
  </si>
  <si>
    <t>还款日当天一直电话骚扰，还没有到还款日短信轰炸，客服打电话态度威胁，暴力催收，借1千合同还1700阴阳合同，有电话打过来问解决问题说第二天10点打过来到现在也没有人处理。</t>
  </si>
  <si>
    <t>http://ts.21cn.com/tousu/show/id/1369031</t>
  </si>
  <si>
    <t>2019/10/17 14:49:51</t>
  </si>
  <si>
    <t>拍拍贷冒充公检法，还对我短信轰炸！我已经抑郁症住院了！拍拍贷是要把我逼死吗，家里面的人已经去扫黑办举报了！拍拍贷无视国家法律！！。</t>
  </si>
  <si>
    <t>优亿金融高利贷收费</t>
  </si>
  <si>
    <t>http://ts.21cn.com/tousu/show/id/1369030</t>
  </si>
  <si>
    <t>2019/10/17 14:49:48</t>
  </si>
  <si>
    <t>本人于2018.07.22购买一辆电动车，首付1000且分期12个月总价约为3800，如今还要求我继续还款，共计4130元，根据国家利率支持标准百分之24，应还金额最高为2800+672=3472元，而如今优亿金融还要求我还款，要求调整利率且还回多余的钱后并开具结清证明，同时优亿金融APP无法下载公众号不提供服务，合同不提供给我方查询，且期间多次电话及短信骚扰，已保存证据，如不进行处理将于本月月底对优亿金融做出上诉处理。</t>
  </si>
  <si>
    <t>智行火车票app购买机票价格与行程单不一致</t>
  </si>
  <si>
    <t>http://ts.21cn.com/tousu/show/id/1369029</t>
  </si>
  <si>
    <t>2019/10/17 14:49:16</t>
  </si>
  <si>
    <t>app购买机票消费3489元，实际打印出行程单只有2550元。</t>
  </si>
  <si>
    <t>马上金融雇佣黑社会人员威胁恐吓还款</t>
  </si>
  <si>
    <t>http://ts.21cn.com/tousu/show/id/1369027</t>
  </si>
  <si>
    <t>2019/10/17 14:48:27</t>
  </si>
  <si>
    <t>投诉人 文先生        投诉对象  马上消费金融        涉诉金额  1 000 元    问题类型    诉求类型投诉详情  打电话过来，很不礼貌的说是催收，要见面谈。我问以什么身份来谈的。直接开始骂人。之后挂断电话威胁到家里去恐吓家里人。</t>
  </si>
  <si>
    <t>合利宝为套路贷平台提供支付渠道</t>
  </si>
  <si>
    <t>http://ts.21cn.com/tousu/show/id/1369025</t>
  </si>
  <si>
    <t>2019/10/17 14:46:27</t>
  </si>
  <si>
    <t>名称:多宝鱼，3.2借1500，实际到账1050，3.7扣款15003.8借1500，实际到账1050，3.14扣款15003.17借1500，实际到账1050，3.22扣款1500现要求该公司退还坎头息1350元，如不退还，将在国家信访，银监会，支付清算中心提起投诉。</t>
  </si>
  <si>
    <t>51人品贷乱收费</t>
  </si>
  <si>
    <t>http://ts.21cn.com/tousu/show/id/1369024</t>
  </si>
  <si>
    <t>2019/10/17 14:46:14</t>
  </si>
  <si>
    <t>本人于2019.02.18在51人品贷借款人命币12000元，大写壹万贰仟元整，核定利息794.24，借款期限12个月，本息合计12794.24元，核算年利率794.24/120000=0.66%，但是在第一个月平台收取服务费用977.81元，且后续11个月连续每月收取服务费137.81元，共计2493.72元；此致使除本金外其他费用合计3287.96元，核算年利率27.399%，现本人已经还款8期，合计还款10472元，然而仍然需要还款4期，合计金额4160.19元，由于本人在2019.10.16日对于此</t>
  </si>
  <si>
    <t>周周花花套路贷</t>
  </si>
  <si>
    <t>http://ts.21cn.com/tousu/show/id/1369022</t>
  </si>
  <si>
    <t>2019/10/17 14:46:12</t>
  </si>
  <si>
    <t>本人多次在周周花花借款，9月22日借了一次到账3000元，分4个星期一个月还款每期1285，总共需要还5140元，前面一直联系不上客服，每次只能等逾期催收联系，还了3期已经还了3900多，第三期依旧不接受协商。</t>
  </si>
  <si>
    <t>腾讯会员自动续费退还钱</t>
  </si>
  <si>
    <t>http://ts.21cn.com/tousu/show/id/1369021</t>
  </si>
  <si>
    <t>2019/10/17 14:45:41</t>
  </si>
  <si>
    <t>自动续费，今天腾讯会员自动扣除15块钱，本人目前不需要续费，平台自动扣除，希望归还我15块钱，取消会员即可。</t>
  </si>
  <si>
    <t>郑州悦如公寓老板卷钱逃跑、房东追债追到无辜租户身上</t>
  </si>
  <si>
    <t>http://ts.21cn.com/tousu/show/id/1369020</t>
  </si>
  <si>
    <t>2019/10/17 14:45:33</t>
  </si>
  <si>
    <t>在悦如公寓微信公众号上租的房子，现在还没有到期，昨天房东来找我们说让我们搬出去，或者从新交房租，是因为悦如公寓的人没有的钱交给房东，因为大部分住的都是刚毕业的学生，也没有钱，我们要求很简单，希望悦如公寓赶快把钱退回。</t>
  </si>
  <si>
    <t>扣款后无后续应该给的服务给与退款</t>
  </si>
  <si>
    <t>http://ts.21cn.com/tousu/show/id/1369019</t>
  </si>
  <si>
    <t>2019/10/17 14:45:18</t>
  </si>
  <si>
    <t>未经允许私自对我进行扣款299元，要求退款。</t>
  </si>
  <si>
    <t>恶意爆通讯录，骚扰通讯录亲朋好友，催收人员态度极其恶劣</t>
  </si>
  <si>
    <t>http://ts.21cn.com/tousu/show/id/1369018</t>
  </si>
  <si>
    <t>2019/10/17 14:44:57</t>
  </si>
  <si>
    <t>因逾期三天，催收人员未有效进行联系，并恶意爆通讯录亲朋好友，恶意骚扰亲朋好友，用本人及亲朋好友电话号码申请一系列平台发送的验证码，1分钟能发送数百条。</t>
  </si>
  <si>
    <t>杉德支付，信汇支付，银生宝为境外非法赌博网站提供支付途径</t>
  </si>
  <si>
    <t>http://ts.21cn.com/tousu/show/id/1369017</t>
  </si>
  <si>
    <t>2019/10/17 14:44:54</t>
  </si>
  <si>
    <t>投诉人刘今投诉对象杉德支付,银生宝,信汇支付涉诉金额50000元问题类型诉求类型投诉详情本人在网上被人诱骗以做兼职，赚流水等理由被人拉进兼职群，以购买彩票方式赚取佣金，后来才知道是非法赌博平台，和支付清算协会沟通得知第三方支付业务应审核客户的相关信息，第三方支付公司不得向证券、期货、博彩等机构提供支付结算业务，通过中国人民银行，中国银联，和支付清算协会沟通得知，第三方支付业务应审核客户的相关信息，第三方支付公司不得向证券、期货、博彩等机构提供支付结算业务，作为有牌照的支付公司没有履行国家相关法律法规要求，为</t>
  </si>
  <si>
    <t>http://ts.21cn.com/tousu/show/id/1369016</t>
  </si>
  <si>
    <t>2019/10/17 14:44:51</t>
  </si>
  <si>
    <t>我于2018年7月15日去烟台机场时，过安检时，有两位穿制服的女性，询问我飞往哪里，随后向我介绍西部明珠新业务，办卡可以直接去国内各大机场的贵宾接待室等候，现在活动是充1500送1500元，卡里总价值3000元，卡内存的钱可以抵扣全额机票而且还比网上便宜，随后打电话查间机票的时候，发现消费与办卡人员说的不相符，卡内的钱并不能全额抵扣机票价钱，只能抵扣几寸元。</t>
  </si>
  <si>
    <t>http://ts.21cn.com/tousu/show/id/1369015</t>
  </si>
  <si>
    <t>2019/10/17 14:44:44</t>
  </si>
  <si>
    <t>借款3000元，分三期，每期要还1800多元，算下来要还5000多，提前结清要需要还4600多元，希望可以调整一下，太高了。</t>
  </si>
  <si>
    <t>借款3000实际到账1650</t>
  </si>
  <si>
    <t>http://ts.21cn.com/tousu/show/id/1369014</t>
  </si>
  <si>
    <t>2019/10/17 14:44:37</t>
  </si>
  <si>
    <t>投诉人 李女士        投诉对象  石榴快袋        涉诉金额  3 000 元    问题类型    诉求类型      投诉详情  7天收取1350手续费的高利贷建议 各种打电话催收 本人只愿还1650+100利息</t>
  </si>
  <si>
    <t>广州合利宝为周周宝714高炮提供支付通道</t>
  </si>
  <si>
    <t>http://ts.21cn.com/tousu/show/id/1369013</t>
  </si>
  <si>
    <t>2019/10/17 14:44:16</t>
  </si>
  <si>
    <t>本人2019年6月2日在周周宝借款2000元，实际到账1400元，6月8日还款2000元6月10日实际到账1400元，6月16日还款2000元6月16日实际到账1750元，6月22日还款2500元要求退砍头息。</t>
  </si>
  <si>
    <t>网贷收取巨额利息</t>
  </si>
  <si>
    <t>http://ts.21cn.com/tousu/show/id/1369012</t>
  </si>
  <si>
    <t>2019/10/17 14:42:20</t>
  </si>
  <si>
    <t>本人2019年7月向恒昌利通旗下的恒易贷榕树版借款19250元，合同金额为22000元，实际到账19250元分期12个月还款，已还3期，利息太高且严重违规，目前要求提前还清，只愿意还本月利息以及后期本金。</t>
  </si>
  <si>
    <t>没有同意恶意扣除我的钱</t>
  </si>
  <si>
    <t>http://ts.21cn.com/tousu/show/id/1369011</t>
  </si>
  <si>
    <t>2019/10/17 14:41:52</t>
  </si>
  <si>
    <t>没经过同意，银行卡的钱被恶意扣除，要求退还和道歉。</t>
  </si>
  <si>
    <t>暴力催收，骚扰家人。</t>
  </si>
  <si>
    <t>http://ts.21cn.com/tousu/show/id/1369010</t>
  </si>
  <si>
    <t>2019/10/17 14:41:47</t>
  </si>
  <si>
    <t>投诉人 崔先生        投诉对象  信而富        涉诉金额  1 600 元    问题类型    诉求类型投诉详情  天天给我家里人打电话恐吓！</t>
  </si>
  <si>
    <t>高利贷暴击催收</t>
  </si>
  <si>
    <t>http://ts.21cn.com/tousu/show/id/1369009</t>
  </si>
  <si>
    <t>2019/10/17 14:41:06</t>
  </si>
  <si>
    <t>投诉人 马女士        投诉对象  现金借款,洋钱罐        涉诉金额  4 500 元    问题类型    诉求类型投诉详情  打电话威胁我，爆通讯录，逼迫她们还钱。不停的骚扰联系人，家人。不停的给通讯录人打电话</t>
  </si>
  <si>
    <t>洋钱罐暴力催收，骚扰通讯录</t>
  </si>
  <si>
    <t>http://ts.21cn.com/tousu/show/id/1369008</t>
  </si>
  <si>
    <t>2019/10/17 14:40:29</t>
  </si>
  <si>
    <t>骚扰亲朋好友，之前有借过，后来平台一直登不上去，也不能还款，现在对我的亲朋好友进行骚扰。</t>
  </si>
  <si>
    <t>卧龙钱包高利贷</t>
  </si>
  <si>
    <t>http://ts.21cn.com/tousu/show/id/1369006</t>
  </si>
  <si>
    <t>2019/10/17 14:39:31</t>
  </si>
  <si>
    <t>我再卧龙钱包先后3次借款，而还款金额超过借款本金，今天债务爆发实在无法还本次债务，我已经没法生活了。</t>
  </si>
  <si>
    <t>http://ts.21cn.com/tousu/show/id/1369005</t>
  </si>
  <si>
    <t>2019/10/17 14:39:27</t>
  </si>
  <si>
    <t>莫名其妙突然关停我的唯品花，我又没逾期，搞不明白，客服也解释不清楚。</t>
  </si>
  <si>
    <t>http://ts.21cn.com/tousu/show/id/1369004</t>
  </si>
  <si>
    <t>2019/10/17 14:38:47</t>
  </si>
  <si>
    <t>本人于2019年7月26日当天注册淘集集商家平台，淘集集注册商家平台需提交押金2000元，当天退店，要求退款，今天是2019年10月11日了一直没有收到平台退回来的押金，电话，微信永远联系不上，微信平台也不受理，把我店铺也屏蔽了进不店铺了，02166690510这个号码是通的但一直没人接和02166690601，一直人工让我等每次都是10分钟以上都一直让我等浪费电话费。</t>
  </si>
  <si>
    <t>http://ts.21cn.com/tousu/show/id/1369003</t>
  </si>
  <si>
    <t>2019/10/17 14:38:43</t>
  </si>
  <si>
    <t>昨天下了这个平台注册了个号，今天被恶意扣款298.5。</t>
  </si>
  <si>
    <t>暴力催收，砍头息，高利贷</t>
  </si>
  <si>
    <t>http://ts.21cn.com/tousu/show/id/1369002</t>
  </si>
  <si>
    <t>2019/10/17 14:38:35</t>
  </si>
  <si>
    <t>随你分期暴力催收，打电话威胁我说下午3.00不处理的话就打电话给我的亲朋好友，恐吓不处理的话就p图，发短信，这个利息太高了，4000块钱到手2600，砍头息，，家里有老人，身体不好，如果家里老人有什么问题，我必追究到底，。</t>
  </si>
  <si>
    <t>优信优卡不能充值，合作方寺库、北京银联商务受牵连，回应协助积极处理</t>
  </si>
  <si>
    <t>http://ts.21cn.com/tousu/show/id/1368998</t>
  </si>
  <si>
    <t>2019/10/17 14:38:09</t>
  </si>
  <si>
    <t>投诉人翟先生投诉对象优信优卡涉诉金额4800元问题类型诉求类型投诉详情2019年9月28日建设银行分12期，每期712元，共计8544元，现有4800元已经圈存充值使用完毕，还有4800元，一直无法充值！。</t>
  </si>
  <si>
    <t>淘集集平台一直不给我打款，距离最近一次打款是9月9号，截止到10月17号，后面提现直接驳回，也没通知什么时候打款。</t>
  </si>
  <si>
    <t>http://ts.21cn.com/tousu/show/id/1368999</t>
  </si>
  <si>
    <t>2019/10/17 14:37:57</t>
  </si>
  <si>
    <t>投诉人陈先生投诉对象淘集集涉诉金额21265元问题类型诉求类型投诉详情入驻平台签订合同条款写着提现后30个工作日，可是提现超过38天了，平台一直不处理，不给我打款，现在店铺已经无法周转了，后台提现直接退回，没跟商家沟通也无讲明几时打款，按合同规定已经是违反合同条规。</t>
  </si>
  <si>
    <t>小花钱包平台公开道歉，177******31的机主对本人通讯录中骚扰过的人做深刻道歉</t>
  </si>
  <si>
    <t>http://ts.21cn.com/tousu/show/id/1368480</t>
  </si>
  <si>
    <t>2019/10/17 14:37:56</t>
  </si>
  <si>
    <t>小花钱包平台在与本人联系的同时，对本人通讯录好友，甚至本人工作单位进行严重骚扰，每天发几百条验证码短信，对本人发短信进行恐吓威胁，已严重侵犯了本人的个人隐私权，本人要求该平台进行公开道歉！。</t>
  </si>
  <si>
    <t>高利贷，暴力催收，合同欺诈</t>
  </si>
  <si>
    <t>http://ts.21cn.com/tousu/show/id/1369001</t>
  </si>
  <si>
    <t>2019/10/17 14:37:53</t>
  </si>
  <si>
    <t>高利贷，欺骗手段，还不上就打电话骚扰，威胁恐吓我。</t>
  </si>
  <si>
    <t>爱农驿站为境外赌博网站提供支付通道</t>
  </si>
  <si>
    <t>http://ts.21cn.com/tousu/show/id/1368997</t>
  </si>
  <si>
    <t>2019/10/17 14:37:22</t>
  </si>
  <si>
    <t>北京爱农驿站科技服务有限公司"2019-01-23，和支付清算协会沟通得知第三方支付业务应审核客户的相关信息，第三方支付公司不得向证券、期货、博彩等机构提供支付结算业务，通过中国人民银行，中国银联，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t>
  </si>
  <si>
    <t>被催收投诉</t>
  </si>
  <si>
    <t>http://ts.21cn.com/tousu/show/id/1368996</t>
  </si>
  <si>
    <t>2019/10/17 14:37:16</t>
  </si>
  <si>
    <t>投诉人陈先生投诉对象小赢卡贷涉诉金额0元问题类型诉求类型投诉详情朋友欠钱了，我被他们平台骚扰多次今天他们骂人。</t>
  </si>
  <si>
    <t>我来数科，原我来贷平台高额高利贷，借款两万还三万五，致使借款人精神分裂，萌生自杀意念</t>
  </si>
  <si>
    <t>http://ts.21cn.com/tousu/show/id/1368995</t>
  </si>
  <si>
    <t>2019/10/17 14:36:18</t>
  </si>
  <si>
    <t>我在我来数科，原我来贷平台多次借款共计23000余元，现在还款3万余元，仍有两期未还清，我来数科利息远超国家法律法规允许的24%利息，高利贷利息高达80%多，现在我已经严重精神分裂，轻生意愿强烈，请求我来数科平台救人一命，放过我，如果我死了，还请放过我的家人，别再威胁他们。</t>
  </si>
  <si>
    <t>暴网贷平台暴力催收</t>
  </si>
  <si>
    <t>http://ts.21cn.com/tousu/show/id/1368993</t>
  </si>
  <si>
    <t>2019/10/17 14:36:01</t>
  </si>
  <si>
    <t>小象优品借款逾期了，暴力催收！骚扰通讯录好友！我会尽快还款，所有产生的逾期罚息！符合国家规定利率的我都承担！再骚扰通讯录好友，导致无法正常工作。</t>
  </si>
  <si>
    <t>拍拍贷暴力催收恶语中伤</t>
  </si>
  <si>
    <t>http://ts.21cn.com/tousu/show/id/1368990</t>
  </si>
  <si>
    <t>2019/10/17 14:35:46</t>
  </si>
  <si>
    <t>投诉人蓝先生投诉对象拍拍贷涉诉金额0元问题类型诉求类型投诉详情非本人欠款，拍拍贷雇佣他人恐吓，每天骚扰不断，侮辱！已严重影响本人生活！。</t>
  </si>
  <si>
    <t>一句不予受理，拒绝一切投诉</t>
  </si>
  <si>
    <t>http://ts.21cn.com/tousu/show/id/1368992</t>
  </si>
  <si>
    <t>2019/10/17 14:35:45</t>
  </si>
  <si>
    <t>投诉人项先生投诉对象闪电,掌众金服涉诉金额7200元问题类型诉求类型投诉详情请给予我不予受理投诉的理由，钱我还了，砍头息不让人投诉。</t>
  </si>
  <si>
    <t>京东金条威胁家人</t>
  </si>
  <si>
    <t>http://ts.21cn.com/tousu/show/id/1368991</t>
  </si>
  <si>
    <t>2019/10/17 14:35:35</t>
  </si>
  <si>
    <t>投诉人朱先生投诉对象京东金融涉诉金额34013元问题类型诉求类型投诉详情态度差，威胁上门对家人造成不良影响，严重暴力催收。</t>
  </si>
  <si>
    <t>我要投诉瀚银科技，敏付科技为博彩行业提供入款通道，要求退回我的损失</t>
  </si>
  <si>
    <t>http://ts.21cn.com/tousu/show/id/1368989</t>
  </si>
  <si>
    <t>2019/10/17 14:35:26</t>
  </si>
  <si>
    <t>投诉人叶洪辉先生投诉对象瀚银科技,敏付支付涉诉金额51996元问题类型诉求类型投诉详情本人被平台客服以高额优惠诱导进入娱乐平台-辉煌集团，后与中国银联沟通得知任何第三方支付公司不得向证券、期货、博彩等机构提供支付结算业务，充值，导致资金受损并发现该平台可能是非法的彩票平台，该平台明面上是娱乐游戏平台，实际上资金通过诸多第三方支付公司进行结算，以上第三方支付公司没有严格执行《非银行支付机构网络支付业务自律规范内容》，为违法违规的平台提供支付结算账号的角色，此外未能发现旗下商户私自将支付接口转交给期货/博彩等非</t>
  </si>
  <si>
    <t>http://ts.21cn.com/tousu/show/id/1368988</t>
  </si>
  <si>
    <t>2019/10/17 14:35:14</t>
  </si>
  <si>
    <t>投诉人陆先生投诉对象带上钱涉诉金额4600元问题类型诉求类型投诉详情比黑社会还黑的贷上钱网贷平台，在此平台上借款好多次了，一共两笔借款每个月都支付利息超过1300，一年来陆陆续续利息也支付了一万多了，每次以购买游戏币为名支付高额利息，威胁恐吓本人以及通讯录所以亲戚朋友各种辱骂，因为他的高额利息后来网贷也越借越多，因为你不还不行因为他会爆你通讯录，为了还其他的网贷最后还只能跟他借，最后逼到自杀好几次。</t>
  </si>
  <si>
    <t>豹子贷抢钱</t>
  </si>
  <si>
    <t>http://ts.21cn.com/tousu/show/id/1368987</t>
  </si>
  <si>
    <t>2019/10/17 14:34:42</t>
  </si>
  <si>
    <t>因急需资金从中介平台下载了“豹子贷”app，软件本身就是一挂羊头卖狗肉的一逼，抱着试一试能不能出额度的想法注册进去，发现这无良公司要先出一份所谓的报告，需要付款299给出个报告才能继续下一步，，就在10月17号这天刚好银行卡进了点钱，这无良奸商公司竟然在本人不知情的情况下私自从银行卡里划走299元，后拨打客服电话两次一直推脱，一直说什么条款就这样，退款得按制度来，我告诉他们马上给我退钱，一个小时之内给我个说法，不然就报警，我这暴脾气，人家貌似无关痛痒，一个音讯都没有，此软件正规应用市场一个都找不到，到百度一</t>
  </si>
  <si>
    <t>广州合利宝，富友支付为714高炮至上钱包提供支付通道</t>
  </si>
  <si>
    <t>http://ts.21cn.com/tousu/show/id/1368985</t>
  </si>
  <si>
    <t>2019/10/17 14:34:35</t>
  </si>
  <si>
    <t>本人2019年6月16日在至上钱包借款3000元，实际到账2100元，6月22日还款3021元6月23日借款到账2100元，6月29日还款3021元7月1日到账2450元，7月6日还款3428元。</t>
  </si>
  <si>
    <t>小鱼儿平台高利贷</t>
  </si>
  <si>
    <t>http://ts.21cn.com/tousu/show/id/1368984</t>
  </si>
  <si>
    <t>2019/10/17 14:34:32</t>
  </si>
  <si>
    <t>投诉人刘先生投诉对象小鱼儿,汇潮支付涉诉金额3000元问题类型诉求类型投诉详情小鱼儿平台先后借款7次，每次7天900块钱利息到账2100，我已经还的严重超过借款本金数倍，今天债务爆发，实在无能为力还款。</t>
  </si>
  <si>
    <t>http://ts.21cn.com/tousu/show/id/1368986</t>
  </si>
  <si>
    <t>2019/10/17 14:34:19</t>
  </si>
  <si>
    <t>我在百度钱包的尊享贷借了3万，哪知那是宜信公司的套路，3万分36期，每期还1370多，到现在还了12期，共还了16440，还有24期，竟然还要还32880，如今我经济上遇到困难，逾期，宜信不停打电话骚扰我家人，亲戚，朋友，同学，同事，还打到单位，甚至打到单位更高层，骚扰恐吓侮辱我，我已回电话给宜信公司，在想办法还款，宜信公司的催收人员还是一直在电话骚扰，我本刚生完二胎，有抑郁症的倾向，宜信如此的骚扰，侵犯我的隐私，侮辱我的人格，是想逼死我，宜信还打到我的领导，更高的领导，毁坏我的名誉，我也被领导叫去问话，希</t>
  </si>
  <si>
    <t>高利贷群发短信骚扰生活</t>
  </si>
  <si>
    <t>http://ts.21cn.com/tousu/show/id/1368983</t>
  </si>
  <si>
    <t>2019/10/17 14:34:15</t>
  </si>
  <si>
    <t>投诉人于先生投诉对象佰仟金融涉诉金额2000元问题类型诉求类型投诉详情高利贷阴阳合同当时业务员额外收取费用利息高减免利息否则天天投诉银监会。</t>
  </si>
  <si>
    <t>商品质量问题，拼多多不退运费</t>
  </si>
  <si>
    <t>http://ts.21cn.com/tousu/show/id/1368981</t>
  </si>
  <si>
    <t>2019/10/17 14:34:07</t>
  </si>
  <si>
    <t>商品破损，选择了破损问题退货，这是商家的问题，破损退货理由，卖家也通过了，但是运费就是不退给我。</t>
  </si>
  <si>
    <t>http://ts.21cn.com/tousu/show/id/1368978</t>
  </si>
  <si>
    <t>2019/10/17 14:33:34</t>
  </si>
  <si>
    <t>投诉人李越投诉对象安庆盛通信息科技服务有限公司,人人花涉诉金额288元问题类型诉求类型投诉详情安庆盛通信息科技有限公司未经本人允许私自盗刷银行卡，恶意扣款。</t>
  </si>
  <si>
    <t>我没逾期没到还款时间捷信客服态度超级恶劣</t>
  </si>
  <si>
    <t>http://ts.21cn.com/tousu/show/id/1368977</t>
  </si>
  <si>
    <t>2019/10/17 14:33:20</t>
  </si>
  <si>
    <t>我每月还款时间是19号，客服提前打电话提醒也没问题，但是老是响一下挂，我看好几个未接就打过去问问是否有什么事，我反馈说可以打电话提醒我但是能不能不要响一下就挂，我想接就挂，现在我也知道是想提醒我记得准时处理，我说可以备注一下吗，但是不要响一下挂这样，然后客服态度超级恶劣，凶我，然后我说你这是什么意思，我好声好气跟你说话啊，你怎么这样说话，工作人员怼我，然后我说你再这样我可以投诉你了，她就说那你投诉啊，帮我转线，转到投诉那边，那个工作人员就一直包庇那个客服，说我们内部员工我们自己处理，我说要那个工作人员端正态</t>
  </si>
  <si>
    <t>现金巴士砍头利息一天一天逾期10块钱</t>
  </si>
  <si>
    <t>http://ts.21cn.com/tousu/show/id/1368980</t>
  </si>
  <si>
    <t>2019/10/17 14:33:19</t>
  </si>
  <si>
    <t>投诉人邱先生投诉对象现金巴士,维额速达集团有限公司涉诉金额1000元问题类型诉求类型投诉详情借1000元砍头利息168元。</t>
  </si>
  <si>
    <t>上海富友为海南易联普惠（纸飞机）714高炮提供支付通道要求退还砍头息</t>
  </si>
  <si>
    <t>http://ts.21cn.com/tousu/show/id/1368979</t>
  </si>
  <si>
    <t>2019/10/17 14:33:17</t>
  </si>
  <si>
    <t>投诉人 郭女士        投诉对象  纸飞机,海南易联普惠        涉诉金额  3 628 元    问题类型    诉求类型投诉详情  6月15日在纸飞机借款2800 实际到账1960 7天到期还款2813 7天利息差不多900 6月21日 6月27日 7月3日 7月9日各续期882 7月15日还款2060 要求退还多收的利息</t>
  </si>
  <si>
    <t>提前联系三方，爆通讯录</t>
  </si>
  <si>
    <t>http://ts.21cn.com/tousu/show/id/1368976</t>
  </si>
  <si>
    <t>2019/10/17 14:33:14</t>
  </si>
  <si>
    <t>到手6万，还款12万，利息太高，承受不起，而且提前联系了家人朋友。</t>
  </si>
  <si>
    <t>立借钱置宝无法还款造成逾期高额罚息恶意催收</t>
  </si>
  <si>
    <t>http://ts.21cn.com/tousu/show/id/1368975</t>
  </si>
  <si>
    <t>2019/10/17 14:32:47</t>
  </si>
  <si>
    <t>借钱置宝恶意催收，app无法还款导致被动逾期，联系客服未果，客服也并没有联系我，现在对我进行语言威胁暴力催收。</t>
  </si>
  <si>
    <t>去花花贷款平台高额砍头息</t>
  </si>
  <si>
    <t>http://ts.21cn.com/tousu/show/id/1368973</t>
  </si>
  <si>
    <t>2019/10/17 14:32:35</t>
  </si>
  <si>
    <t>去花花平台以保险为名强制扣除900元购买天安财产保险股份有限公司意外险，请求退还保险费用。</t>
  </si>
  <si>
    <t>http://ts.21cn.com/tousu/show/id/1368974</t>
  </si>
  <si>
    <t>2019/10/17 14:32:30</t>
  </si>
  <si>
    <t>因为遇到实际问题，这边一再要求跟总部协商，他们还是一再的给我打电话，骚扰。</t>
  </si>
  <si>
    <t>骚扰通讯录联系人</t>
  </si>
  <si>
    <t>http://ts.21cn.com/tousu/show/id/1368972</t>
  </si>
  <si>
    <t>2019/10/17 14:32:07</t>
  </si>
  <si>
    <t>之前都已经与闪银还款人员沟通好了说18号办理延期还款、今天还是打了我通讯录里的联系人、我朋友现在已经知道我欠钱没还、还质问我为什么给他打电话、已经对我名誉产生了影响、已经说好的事情为什么还要打通讯录呢。</t>
  </si>
  <si>
    <t>骚扰，恶意催收</t>
  </si>
  <si>
    <t>http://ts.21cn.com/tousu/show/id/1368971</t>
  </si>
  <si>
    <t>2019/10/17 14:31:35</t>
  </si>
  <si>
    <t>我妻子于2019年3月向北京亿家联信科技有限公司借款一千五百元，之后APP无法还款，现有第三方催收公司打电话催收，并且不能提供委托手续，逼借款人向催收公司的财务个人微信和支付宝转账还款，扬言如果不还将爆通讯录，我们担心还款不安全，不知道是否是北京亿家联信科技有限公司的行为。</t>
  </si>
  <si>
    <t>金步摇未经客户二次确认强制放款</t>
  </si>
  <si>
    <t>http://ts.21cn.com/tousu/show/id/1368970</t>
  </si>
  <si>
    <t>2019/10/17 14:31:24</t>
  </si>
  <si>
    <t>10月16日，通过小七钱包app接触到金步摇，填写资料之后，一直等待审核认证中，当晚尝试联系客服取消订单，没有回复，17号也就是今天11:36分突然来一条放款成功的短信，我的银行卡到账金额1750，于是本人登录小七钱包查询发现，该平台在未经本人同意及未在本人亲自操作的情况下，发生了一笔2300.72元的借款，借款期限为14天，然而我的银行卡实际到账只有1750元，本人当即通过小七钱包app金步摇平台联系客服，提出本金加50元取消订单，客服当时答应帮我反馈，后来在我追问之下以合同已经签了不能取消为理由，拒绝了</t>
  </si>
  <si>
    <t>京东和第三方卖家推脱责任不给退款</t>
  </si>
  <si>
    <t>http://ts.21cn.com/tousu/show/id/1368969</t>
  </si>
  <si>
    <t>2019/10/17 14:30:07</t>
  </si>
  <si>
    <t>第三方来电话说可以收到货，让关闭纠纷单，结果今天没有收到，被快递退回，并且拒不退款，京东客服推脱说纠纷单已解决。</t>
  </si>
  <si>
    <t>盛钱包不给注销账户个人信息</t>
  </si>
  <si>
    <t>http://ts.21cn.com/tousu/show/id/1368968</t>
  </si>
  <si>
    <t>2019/10/17 14:29:49</t>
  </si>
  <si>
    <t>并推销给一款POS机就是这个盛安通，当时他要了我的账号密码自己操作扣走了我的银行卡169元说赠送300元鼓励金，我要求返还但是业务员说明天退，里边很多个人信息，包含个人身份证正反面，个人正面照片，以及个人详细信息，盛钱包app有注销功能要求打客服注销，结果打过去压根不给注销，根据国家法律法规相关规定：工信部《电信和互联网用户个人信息保护规定》第九条的规定，除非法律、行政法规另有规定，电信业务经营者、互联网信息服务提供者在用户终止使用电信服务或者互联网信息服务后，应当停止对用户个人信息的收集和使用，并为用户提</t>
  </si>
  <si>
    <t>随手记福贷私人号码爆通讯录威胁暴力催收</t>
  </si>
  <si>
    <t>http://ts.21cn.com/tousu/show/id/1368967</t>
  </si>
  <si>
    <t>2019/10/17 14:29:42</t>
  </si>
  <si>
    <t>甚至主动挑衅，我又打了一个了，让我赶紧去报警啊，行为简直令人发指。</t>
  </si>
  <si>
    <t>乐刷科技有限公司</t>
  </si>
  <si>
    <t>http://ts.21cn.com/tousu/show/id/1368966</t>
  </si>
  <si>
    <t>2019年9月25号，乐刷pos机的业务员向我推销并办理了乐刷支付pos机，其中的app快乐支付要交150元购买600元的提现优惠券，当时业务员己向我说明了600元的优惠券规则，当时业务员说应该有半年或一年的有效期，购买之后才知道只有两个月的有效期，到2019年11月20日，和乐刷客服电话中的客服联系，回复说是要1-7个工作日才回给出处理结果，而我现在也就是当天想注销pos机并要求退还150元，客服说必须要180天后才能注销，因为我当时跟业务员说了，一个月中能刷pos机一次两次就很多了，这600元提现优惠券</t>
  </si>
  <si>
    <t>淘宝“红包省钱卡”付款前后界面不一致，请解释</t>
  </si>
  <si>
    <t>http://ts.21cn.com/tousu/show/id/1368786</t>
  </si>
  <si>
    <t>2019/10/17 14:29:33</t>
  </si>
  <si>
    <t>淘宝“红包省钱卡”购买前与购买后，网页不同，购买前特意把领取红包的入口做成红色提示，生怕别人看不到，购买后马上变成黑色，无法领取，提示必须使用8个红包后才可以领取，而这8个红包都是满减类型，且限制较大，随后致电淘宝网和支付宝，客服均表示无法解决，要求淘宝网在补发红包或者退款两种处理结果中选择其一，且要求解释。</t>
  </si>
  <si>
    <t>今日头条解封账号，归还账户金额</t>
  </si>
  <si>
    <t>http://ts.21cn.com/tousu/show/id/1368965</t>
  </si>
  <si>
    <t>2019/10/17 14:29:31</t>
  </si>
  <si>
    <t>今日头条恶意封禁账号，下图损失就因为标题中出现，请具体说明！连带的金额也都消失了.10月3日提现855扣税11，账号余额1046也被恶意侵吞，图片也显示提现金额0，从9月16日一个月辛苦之作所得利益均被今日头条侵占，客服人员也是置之不理！根本投诉无门！得到只是机器人冰冷的回复一条简短的信息。</t>
  </si>
  <si>
    <t>钱站借款一分没到银行卡</t>
  </si>
  <si>
    <t>http://ts.21cn.com/tousu/show/id/1368964</t>
  </si>
  <si>
    <t>2019/10/17 14:29:20</t>
  </si>
  <si>
    <t>钱站二次放款，钱没到账直接被划走，并附带高额利息。</t>
  </si>
  <si>
    <t>融360上好易借社保贷，高利贷</t>
  </si>
  <si>
    <t>http://ts.21cn.com/tousu/show/id/1368963</t>
  </si>
  <si>
    <t>2019/10/17 14:29:05</t>
  </si>
  <si>
    <t>我在融360上代了好易借社保贷，借了20000要还27200利息已到囯家红线，现逾期费已高达5千多现在要还到今天为此利息和费用高达13360元已超国家规定的利润，现要求按国家规定利润减免利息。</t>
  </si>
  <si>
    <t>立刻出行499押金不退</t>
  </si>
  <si>
    <t>http://ts.21cn.com/tousu/show/id/1368962</t>
  </si>
  <si>
    <t>2019/10/17 14:28:39</t>
  </si>
  <si>
    <t>19年5月29日申请退押金，系统提示5到10个工作日处理，一直没有处理通过，打电话给客服也没用。</t>
  </si>
  <si>
    <t>易宝支付盗刷银行卡</t>
  </si>
  <si>
    <t>http://ts.21cn.com/tousu/show/id/1368961</t>
  </si>
  <si>
    <t>2019/10/17 14:28:17</t>
  </si>
  <si>
    <t>易宝支付恶意盗刷，共四笔，我本人并没有与该平台有相关交易行为，要求易宝支付立马进行退款并给一个合理的解释！！！。</t>
  </si>
  <si>
    <t>电话骚扰我</t>
  </si>
  <si>
    <t>http://ts.21cn.com/tousu/show/id/1368960</t>
  </si>
  <si>
    <t>2019/10/17 14:28:10</t>
  </si>
  <si>
    <t>别人借的网贷，联系不到借款人，你我贷客服打电话骚扰我。</t>
  </si>
  <si>
    <t>拍拍贷暴力恐吓催收无视监管</t>
  </si>
  <si>
    <t>http://ts.21cn.com/tousu/show/id/1368959</t>
  </si>
  <si>
    <t>2019/10/17 14:28:04</t>
  </si>
  <si>
    <t>今天开始爆通讯录，严重影响了我的生活，还给我的身边的朋友打电话，对我也是暴力恐吓，给我造成了一定的困扰。</t>
  </si>
  <si>
    <t>快递显示退回了但还是正常发货，造成淘宝不能正常退款</t>
  </si>
  <si>
    <t>http://ts.21cn.com/tousu/show/id/1368934</t>
  </si>
  <si>
    <t>2019/10/17 14:27:54</t>
  </si>
  <si>
    <t>投诉人徐先生投诉对象圆通速递涉诉金额0元问题类型诉求类型投诉详情15号下午三点被圆通揽件，之后联系淘宝客服截回快递，3点20快递显示退回中晚上九点半就被虎门运转中心收入并且发往北京转运中心17号中午到达北京，为什么截回件还能继续运输打客服电话一句没看清就糊弄过去了，。</t>
  </si>
  <si>
    <t>虾米在线高利贷，群发短信暴力催收</t>
  </si>
  <si>
    <t>http://ts.21cn.com/tousu/show/id/1368957</t>
  </si>
  <si>
    <t>2019/10/17 14:27:50</t>
  </si>
  <si>
    <t>虾米在线，申请金额3000，到手金额只有1800，现在逾期金额达到了6000，打电话骚扰我的生活，并且发信息恐吓我。</t>
  </si>
  <si>
    <t>立借钱置宝砍头息，高利贷</t>
  </si>
  <si>
    <t>http://ts.21cn.com/tousu/show/id/1368956</t>
  </si>
  <si>
    <t>2019/10/17 14:27:49</t>
  </si>
  <si>
    <t>立借里面的钱置宝，收取砍头息，高利息，借款5000到账3500，一个月还5000，而且在还款日当天故意造成还款失败，产生1天高达70元逾期费用，事后催收尽然恐吓、侮辱我，还威胁我的通讯录里面的亲人，我要求立借跟我道歉，我愿意处理符合国家规定的利息和借款本金。</t>
  </si>
  <si>
    <t>众安保险掩护小赢卡贷收取借款人保险</t>
  </si>
  <si>
    <t>http://ts.21cn.com/tousu/show/id/1368955</t>
  </si>
  <si>
    <t>2019/10/17 14:27:45</t>
  </si>
  <si>
    <t>众安保险与小赢卡贷，再借款人不清楚的情况下非法收取保险费，让借款利息增加。</t>
  </si>
  <si>
    <t>新橙优品代扣失败导致逾期，并且官方失联</t>
  </si>
  <si>
    <t>http://ts.21cn.com/tousu/show/id/1368954</t>
  </si>
  <si>
    <t>2019/10/17 14:27:01</t>
  </si>
  <si>
    <t>投诉人 朱女士        投诉对象  新橙优品        涉诉金额  3 000 元    问题类型    诉求类型投诉详情  按照国家规定资费标准，退还多余费用和利息</t>
  </si>
  <si>
    <t>投诉小赢卡贷注销账户还要提供身份证照片</t>
  </si>
  <si>
    <t>http://ts.21cn.com/tousu/show/id/1368953</t>
  </si>
  <si>
    <t>2019/10/17 14:26:45</t>
  </si>
  <si>
    <t>投诉人陈先生投诉对象小赢卡贷涉诉金额10000000元问题类型诉求类型投诉详情注销账户，不要提供所谓的身份证正反面手拿身份证等违规信息，清除本人的一切数据。</t>
  </si>
  <si>
    <t>天天快递私自点签收，一个电话短信都没有。现在联系不上客服也没有</t>
  </si>
  <si>
    <t>http://ts.21cn.com/tousu/show/id/1368917</t>
  </si>
  <si>
    <t>2019/10/17 14:26:38</t>
  </si>
  <si>
    <t>两个快递，没有与我联系电话短信都没有私自点签收，我打派送员电话永远都是关机，站点电话不接，然后在淘宝上面投诉，天天快递客服联系我第一个快递退款，但是到现在5天了还是没退，第二个快递一样私自点签收，在淘宝上面投诉没有人联系我，打天天快递官方电话投诉后两天了也没人联系我，主要是我这个东西现在急用，现在联系不上快递，也没人联系我。</t>
  </si>
  <si>
    <t>携程恶意催收</t>
  </si>
  <si>
    <t>http://ts.21cn.com/tousu/show/id/1368952</t>
  </si>
  <si>
    <t>2019/10/17 14:25:26</t>
  </si>
  <si>
    <t>本人目前情况已多次说明，希望能得到公平对待，寻求协商机会，但这个第三方机构不但不提供协商机会，还污蔑我，说我是自愿放弃协商，没有还款意愿，已经提交材料至司法机构走程序，今天我接到一个北京号码166******50，自称受委托通知的王先生，如果不是我多次追问也不说是受哪个机构委托，电话一接通就把我的所有隐私信息报了一遍，然后进行恐吓，我不懂为什么一家大公司会有如此的恶意，下三滥行为，如果今天内没有收到携程的回复，我也会维护我该受到的法律保护。</t>
  </si>
  <si>
    <t>平安银行信用卡恶意催收</t>
  </si>
  <si>
    <t>http://ts.21cn.com/tousu/show/id/1368951</t>
  </si>
  <si>
    <t>2019/10/17 14:25:00</t>
  </si>
  <si>
    <t>本人前两年办理平安银行信用卡，中间一直正常使用，因做声生意失败另加上借给朋友周转的钱没有还我令信用卡逾期，父亲2016年得了膀胱癌，母亲没有工作，中间这一年困难期，本人手机一直保持畅通，还款意愿强烈，平安银行信用卡恶意催收，不愿意协商，打电话恐吓我家里说已经报案公安要抓我，家里很是害怕，父亲母亲也因为此事精神恍惚，奶奶脑梗塞还在医院住院，家庭分崩离析，老婆刚怀孕两个月，因为这个事情要离婚。</t>
  </si>
  <si>
    <t>拼多多擅自赔偿运费给恶意顾客，连续申述多次无用！</t>
  </si>
  <si>
    <t>http://ts.21cn.com/tousu/show/id/1368950</t>
  </si>
  <si>
    <t>2019/10/17 14:24:40</t>
  </si>
  <si>
    <t>投诉人罗先生投诉对象拼多多涉诉金额13元问题类型诉求类型投诉详情此单顾客收到货当天，没有联系过我们，直接给差评，然后再申请退货退款，我们商家打电话短息联系顾客，询问是否会使用，顾客明确表示会使用，但是不想要这个产品了，坚持要退货，我们也同意了，没想到这个顾客第二天又追加差评，还说我们威胁他颠倒黑白，相反的是那个顾客威胁我们，而且还在退款过程中，威胁我！由此可以判断，这个顾客极可能是同行恶意差评的！最后我们收到货物给顾客退款了，但是没多久，拼多多平台擅自扣款13元赔偿给顾客我们不同意，因为产品没有问题，而且还</t>
  </si>
  <si>
    <t>http://ts.21cn.com/tousu/show/id/1368948</t>
  </si>
  <si>
    <t>2019/10/17 14:24:11</t>
  </si>
  <si>
    <t>投诉人 漆先生        投诉对象  信用飞        涉诉金额  1 000 元    问题类型    诉求类型投诉详情  信用飞暴力催收，恐吓胁迫。这个公司没有借贷资质。</t>
  </si>
  <si>
    <t>http://ts.21cn.com/tousu/show/id/1368949</t>
  </si>
  <si>
    <t>2019/10/17 14:24:01</t>
  </si>
  <si>
    <t>人人花APP未经本人同意，无缘无故扣款288元，希望退还我们大众的经济损失。</t>
  </si>
  <si>
    <t>收取高额服务费担保费,提前还款一样收取.</t>
  </si>
  <si>
    <t>http://ts.21cn.com/tousu/show/id/1368947</t>
  </si>
  <si>
    <t>2019/10/17 14:23:39</t>
  </si>
  <si>
    <t>打电话来叫我还钱,我说还可以但是你要给我解释。</t>
  </si>
  <si>
    <t>借贷公司诱贷</t>
  </si>
  <si>
    <t>http://ts.21cn.com/tousu/show/id/1368946</t>
  </si>
  <si>
    <t>2019/10/17 14:23:08</t>
  </si>
  <si>
    <t>投诉人唐先生投诉对象宜人贷涉诉金额0元问题类型诉求类型投诉详情上半年因为资金问题，去过线上公司办理业务，没办下来，征信问题，后来资金问题解决了，下半年不需要了，打过几次电话，我都拒绝了，现在不需要了，可以停止骚扰吗。</t>
  </si>
  <si>
    <t>上海瀚银为境外非法赌博网站提供支付</t>
  </si>
  <si>
    <t>http://ts.21cn.com/tousu/show/id/1368944</t>
  </si>
  <si>
    <t>2019/10/17 14:22:52</t>
  </si>
  <si>
    <t>支付宝蚂蚁借呗催收问题</t>
  </si>
  <si>
    <t>http://ts.21cn.com/tousu/show/id/1368943</t>
  </si>
  <si>
    <t>2019/10/17 14:22:37</t>
  </si>
  <si>
    <t>催收得不到解决，工作人员态度恶略，拨打通讯录电话，一开始是上海0216198随机号码连续拨打，过后是0218039号码。</t>
  </si>
  <si>
    <t>马上消费金融的宗旨就是要收取我们客服的费用</t>
  </si>
  <si>
    <t>http://ts.21cn.com/tousu/show/id/1368942</t>
  </si>
  <si>
    <t>2019/10/17 14:22:00</t>
  </si>
  <si>
    <t>马上消费金融不但不给出处理方案，而且逃避问题，对于这么不负责任的公司来说，收取违约金利息的时候那么积极，赚取钱的时候就有服务，赚过钱了，就对客户不管他们的事了，不需要提供任何服务责任和义务了！要求赔偿我们广大消费者，众多客户损失！。</t>
  </si>
  <si>
    <t>手续费、轰炸通讯录、冒充公检法</t>
  </si>
  <si>
    <t>http://ts.21cn.com/tousu/show/id/1368941</t>
  </si>
  <si>
    <t>2019/10/17 14:21:52</t>
  </si>
  <si>
    <t>申请提前还款，对方拒绝就后续利息以及手续费扣除。</t>
  </si>
  <si>
    <t>http://ts.21cn.com/tousu/show/id/1368939</t>
  </si>
  <si>
    <t>2019/10/17 14:21:10</t>
  </si>
  <si>
    <t>10000元一年利息3600多～现已本金加利息还了11340，要求销账，逾期一天10-100的逾期费～真心黑！！估计过两天要骚扰我了，暴力催收，恐吓估计不远了，坐等，补上传图片证据。</t>
  </si>
  <si>
    <t>投诉捷信公司</t>
  </si>
  <si>
    <t>http://ts.21cn.com/tousu/show/id/1368938</t>
  </si>
  <si>
    <t>2019/10/17 14:21:06</t>
  </si>
  <si>
    <t>2018年2月25号，因为家里急用钱，然后办的这个捷信，当时说的是等额本息，然后就给我分了个56期，每个月还款1053，到现在我已经还了19期了，还的钱数已经跟本金差不多了，然后我想提前还款，告诉我还得还23402，然后我打客服电话，告诉我有服务费，还有什么东西，我只是一个普通的老百姓，我现在已经无力偿还了，但是还怕上征信耽误孩子，我只能每个月东拼西凑还捷信，我就想说，这就是高利贷，欺骗我。</t>
  </si>
  <si>
    <t>http://ts.21cn.com/tousu/show/id/1368940</t>
  </si>
  <si>
    <t>2019/10/17 14:21:03</t>
  </si>
  <si>
    <t>我于2019年3月16日在YY信用贷款10000元，放款机构为欢聚小贷，分12期，每期还款1033.33元，现已还6期，年利率高达41.7%，属高利贷，现要求1、调整合法利率；2、折算前期已还费用，冲抵后期费用。</t>
  </si>
  <si>
    <t>中汇支付不到账</t>
  </si>
  <si>
    <t>http://ts.21cn.com/tousu/show/id/1368937</t>
  </si>
  <si>
    <t>2019/10/17 14:20:54</t>
  </si>
  <si>
    <t>本人于2019年10月16日在中汇掌付通刷信用卡3899元人民币，选的及时付，10月17日仍未到账，而app上却显示以结算，希望尽快解决。</t>
  </si>
  <si>
    <t>钱站贷款APP砍头利息</t>
  </si>
  <si>
    <t>http://ts.21cn.com/tousu/show/id/1368936</t>
  </si>
  <si>
    <t>2019/10/17 14:20:51</t>
  </si>
  <si>
    <t>投诉人陆伟东先生投诉对象钱站涉诉金额3000元问题类型诉求类型投诉详情钱站借款砍头利息，本人在钱站APP上借3000元，分三期还款，每期他们要还1584.98元，已经远远超出国家规定利息，希望有关部处理一下.。</t>
  </si>
  <si>
    <t>星农联合涉嫌卖重复礼券卡</t>
  </si>
  <si>
    <t>http://ts.21cn.com/tousu/show/id/1368902</t>
  </si>
  <si>
    <t>2019/10/17 14:20:10</t>
  </si>
  <si>
    <t>投诉人王女士投诉对象星农联合涉诉金额1888元问题类型诉求类型投诉详情本人收到他人于星农联合天猫奇旗舰店购入的大闸蟹礼券卡，价值1888元，现于2019.9核对，此卡有效；2019.10该卡被他人提货。</t>
  </si>
  <si>
    <t>通用金融骚扰不停歇</t>
  </si>
  <si>
    <t>http://ts.21cn.com/tousu/show/id/1368935</t>
  </si>
  <si>
    <t>2019/10/17 14:19:52</t>
  </si>
  <si>
    <t>接起电话一直恐吓，不接一直打不停，协商晚一周肯定到账坚决不行，骚扰家人不停歇。</t>
  </si>
  <si>
    <t>平安普惠骚扰暴力催收恐吓</t>
  </si>
  <si>
    <t>http://ts.21cn.com/tousu/show/id/1368933</t>
  </si>
  <si>
    <t>2019/10/17 14:19:49</t>
  </si>
  <si>
    <t>本人由于生意失败并且生完孩子不久，暂时没有偿还能力，和平安普惠客服协商推迟还款，并告知客服有钱就会还进去。</t>
  </si>
  <si>
    <t>http://ts.21cn.com/tousu/show/id/1368899</t>
  </si>
  <si>
    <t>2019/10/17 14:19:44</t>
  </si>
  <si>
    <t>投诉人汪先生投诉对象想有钱涉诉金额0元问题类型诉求类型投诉详情本人根本都没在什么想有钱申请过什么贷款不知道他们是怎么有我个人信息的，还能指名道姓收到催还短信。</t>
  </si>
  <si>
    <t>广州合利宝请退还违法砍头息</t>
  </si>
  <si>
    <t>http://ts.21cn.com/tousu/show/id/1368910</t>
  </si>
  <si>
    <t>2019/10/17 14:19:33</t>
  </si>
  <si>
    <t>3月31日，经和持卡行确认，扣款商户显示的公司名为乐清市今道网络科技有限公司，但是银行人员确说收单机构都为广州合利宝，并给我提供了扣款订单号，也就是广州合利宝为714套路贷提供违法清算通道，就乐清市今道网络科技有限公司，蚂蚁借道现金贷借款2500至3000，下款1750至2100，合利宝为其提供违法下款和扣款9次，砍头息为总扣款的百分之40！目前就合利宝多扣出的砍头息费用给予我原卡退还，否则会国家信访12363举报合利宝违法，违反国家规定，要求合利宝一分不少的给我退回！下图附赠几张合利宝平台扣款流水，本人银</t>
  </si>
  <si>
    <t>借贷宝包庇高利贷还要暴力催收</t>
  </si>
  <si>
    <t>http://ts.21cn.com/tousu/show/id/1368932</t>
  </si>
  <si>
    <t>2019/10/17 14:19:24</t>
  </si>
  <si>
    <t>10.9号，因为那就好资金比较紧张，我自己是做酒水的，然后有时候需要给客服垫付定金！所以那就好临时需要周转，然后一个人加我微信，说可以给我借钱，然后我同意了，就稍微的审核了一下，就说通过了，然后说1500的额度，我说行！然后那个人给我推荐了一个好友叫我加，然后我加了！第二个人同意我之后，又让我加另外一个人，我有加了，然后是通过借贷宝补借条的方式，1500的借条！然后成功了之后，说给我支付宝转1000元，后来还款的时候，14号，告诉我还款！因为我这几天工资没有发，然后客户也没有收货，所以资金确实紧张！今天下午</t>
  </si>
  <si>
    <t>骚扰、侮辱借款人，</t>
  </si>
  <si>
    <t>http://ts.21cn.com/tousu/show/id/1368931</t>
  </si>
  <si>
    <t>2019/10/17 14:19:20</t>
  </si>
  <si>
    <t>4、不管平台的工作人员或者第三方催收，都应给一个说法。</t>
  </si>
  <si>
    <t>自在寓多扣房租押金水费多收</t>
  </si>
  <si>
    <t>http://ts.21cn.com/tousu/show/id/1368929</t>
  </si>
  <si>
    <t>2019/10/17 14:19:00</t>
  </si>
  <si>
    <t>投诉人陈女士女士投诉对象南京自在寓资产管理有限公司涉诉金额620元问题类型诉求类型投诉详情我是2017年9月在自在寓公司租房的，中间续租了一年，今年九月退房遇到退房押金问题，多扣600多，主要在水费多收和不合理的物品损坏，房屋有两道门，外面一道防盗门里面一道木门，我搬进来的时候里面木门就没有锁，房管也只给一把防盗门和房间门钥匙，交接时候告诉我木门的门锁没了要我们赔偿，再就是浴室门，浴室很小，门是木门长时间洗澡用水木门下面有点损坏也要我们赔偿，在就是马桶我搬进来时马桶就有问题还维修了几次，现在正常能使用也跟我</t>
  </si>
  <si>
    <t>打电话到公司公开我的隐私，害我在公司做不了</t>
  </si>
  <si>
    <t>http://ts.21cn.com/tousu/show/id/1368927</t>
  </si>
  <si>
    <t>2019/10/17 14:17:31</t>
  </si>
  <si>
    <t>这几天每天都打我电话，昨天没接到，主动打回去，一个女接的，电话沟通13分钟，今天在上班没接到电话，就打到公司，办公室同事过来说你欠微粒贷钱赶快还，人家要起诉你啦，这是传开了，我面子没了，工作都不知道能不能保住，欠钱还钱应该的，关键是现在没钱还，昨天不是才电话沟通过，了解了，为什么今天就打去公司。</t>
  </si>
  <si>
    <t>欺诈消费者</t>
  </si>
  <si>
    <t>http://ts.21cn.com/tousu/show/id/1368926</t>
  </si>
  <si>
    <t>2019/10/17 14:17:28</t>
  </si>
  <si>
    <t>无法抓取截图，买的年费会员每月赠送20元低息劵，在无任何逾期违约的情况还款后循环额度不给借，抵用券就会无法使用，那我会员权益受到损失。</t>
  </si>
  <si>
    <t>尚德学历报考退费</t>
  </si>
  <si>
    <t>http://ts.21cn.com/tousu/show/id/1368925</t>
  </si>
  <si>
    <t>2019/10/17 14:17:26</t>
  </si>
  <si>
    <t>我在高一的时候，不慎受伤，休学一年后感觉高中学习压力大，在网上百度学业压力的时候，误打误撞看到了尚德的自考广告，说可以轻松取得社会认可的高学历，后来就加了尚德销售老师的微信，当初她承诺我课程简单轻松，考试也能顺利通过，后来就不顾家人反对，从高中辍学，和父母闹掰，但是那个课程学了以后才知道，他们讲的多么差劲，讲的容易做题难，当初销售还让我报的最贵的钻石班，骗我说可以分期付款，但是却找了第三方百度有钱花贷了款，当时年纪小，不知道那是贷款还以为是一个支付平台，还告诉我什么几号报名之前有优惠，变相催我报名，说每次考</t>
  </si>
  <si>
    <t>变相收取砍头息洗，要求退款</t>
  </si>
  <si>
    <t>http://ts.21cn.com/tousu/show/id/1368928</t>
  </si>
  <si>
    <t>2019/10/17 14:17:25</t>
  </si>
  <si>
    <t>申请借款，需购买黑卡，结果买了借款不成功，申请退款也不理，客服也不回信息，现在要求他们退款，并道歉，并决定消账号，不在用。</t>
  </si>
  <si>
    <t>暴利催收、爆通讯录</t>
  </si>
  <si>
    <t>http://ts.21cn.com/tousu/show/id/1368924</t>
  </si>
  <si>
    <t>2019/10/17 14:17:13</t>
  </si>
  <si>
    <t>你我贷盗用客户账户登陆你我贷APP，导致发送登陆验证消息，已经触犯法律法规，你我贷爆通讯录，辱骂他人，态度极其恶劣，有语音证据，由于爆通讯录本人已经被原公司开除失去经济来源无法贵还最后一期账单，也表示下月发工资后还进APP，催收人员完全不予理会，态度极其嚣张恶劣，承认自己是你我贷催收人，要求你我贷做出解释并且道歉，本人也会请求相关部门介入调查。</t>
  </si>
  <si>
    <t>和信暴力催收威胁诋毁个人名誉</t>
  </si>
  <si>
    <t>http://ts.21cn.com/tousu/show/id/1368880</t>
  </si>
  <si>
    <t>2019/10/17 14:16:59</t>
  </si>
  <si>
    <t>投诉人吴女士投诉对象和信涉诉金额35000元问题类型诉求类型投诉详情和信业务员威胁惊吓，爆通讯录，还把本人照片群发通讯录好友。</t>
  </si>
  <si>
    <t>虚假宣传</t>
  </si>
  <si>
    <t>http://ts.21cn.com/tousu/show/id/1368923</t>
  </si>
  <si>
    <t>2019/10/17 14:16:40</t>
  </si>
  <si>
    <t>投诉人周女士投诉对象上海东蓬文化传播有限公司涉诉金额6800元问题类型诉求类型投诉详情2019.10.13日应邀请参加上海东蓬文化传播有限公司举办的亲子活动，随后她们的工作人员说可以面试，介绍了他们经营性质，拍个微电影费用6800.随后拿来了合同，我们没有细看就签了然后付款回家，回家一查，路途遥远坐车不方便，想着退了，但打开合同上写着中途退出是不退款的，随后联系她们那边，她们怎么也不同意退，说要是转课还可以，10.15日联系转课，到17日还没有回应，现在我要求他们全额退款。</t>
  </si>
  <si>
    <t>虚假招聘诱导消费者贷款</t>
  </si>
  <si>
    <t>http://ts.21cn.com/tousu/show/id/1368884</t>
  </si>
  <si>
    <t>2019/10/17 14:16:35</t>
  </si>
  <si>
    <t>投诉人王玉玲女士投诉对象达内涉诉金额39583元问题类型诉求类型投诉详情本人于2019年2月底，来外地工作，在网上投递简历被达内集团人事电话联系去面试，第二天，人事打电话叫我去复试，我在电话里说因为专业技能不足，不想参加复试，人事说会有人教不用担心，是直播课程我当时担心直播课程自己跟不上，他说班里会有一个项目经理指导，而且每个阶段结束都会有一个考核，考核不过的去下一个班重新学，我又说没有那么多钱她说可以分期；而且一边工作一边学习贷款两千多压力不大的，还可以跟我签一份学完后优先推荐就业合同因为我没有贷过款，她</t>
  </si>
  <si>
    <t>暴力催收，合同欺诈</t>
  </si>
  <si>
    <t>http://ts.21cn.com/tousu/show/id/1368922</t>
  </si>
  <si>
    <t>2019/10/17 14:16:31</t>
  </si>
  <si>
    <t>我在新橙优品原新橙分期上贷了3000元钱，不协商，骚扰我的通讯录，进行恐吓威胁，情节恶劣，若不能及时解决，我会在上海信访办扫黑办继续进投诉。</t>
  </si>
  <si>
    <t>小通商城未经本人许可恶意扣款</t>
  </si>
  <si>
    <t>http://ts.21cn.com/tousu/show/id/1368921</t>
  </si>
  <si>
    <t>2019/10/17 14:16:27</t>
  </si>
  <si>
    <t>小通商城在我银行卡里扣了220元钱，很懵，根本不知道怎么回事。</t>
  </si>
  <si>
    <t>大力水手属于714，砍头息，骚扰家人，随意侮辱家人</t>
  </si>
  <si>
    <t>http://ts.21cn.com/tousu/show/id/1368920</t>
  </si>
  <si>
    <t>2019/10/17 14:15:54</t>
  </si>
  <si>
    <t>投诉人 张女士        投诉对象  大力水手        涉诉金额  3 500 元    问题类型    诉求类型投诉详情  大力水手是714，砍头息。用侮辱性语言骚扰家人。侮辱我的家人。</t>
  </si>
  <si>
    <t>钱站-还款日当天一直骚扰，催收还态度不好</t>
  </si>
  <si>
    <t>http://ts.21cn.com/tousu/show/id/1368919</t>
  </si>
  <si>
    <t>2019/10/17 14:15:44</t>
  </si>
  <si>
    <t>投诉人吴先生投诉对象钱站涉诉金额3900元问题类型诉求类型投诉详情还款日当天，电话就一直骚扰，又没逾期，而且侮辱。</t>
  </si>
  <si>
    <t>省呗骚扰</t>
  </si>
  <si>
    <t>http://ts.21cn.com/tousu/show/id/1368918</t>
  </si>
  <si>
    <t>2019/10/17 14:15:01</t>
  </si>
  <si>
    <t>投诉人王毅投诉对象省呗涉诉金额487元问题类型诉求类型投诉详情本人暂时无力还款，省呗一直给我通讯录打电话，并扬言让我试试不还钱就暴我通讯录，一个一个打，到现在知道的已经打了5个了，而且微信加我，一直言语羞辱。</t>
  </si>
  <si>
    <t>支付宝花呗借呗</t>
  </si>
  <si>
    <t>http://ts.21cn.com/tousu/show/id/1368915</t>
  </si>
  <si>
    <t>2019/10/17 14:13:58</t>
  </si>
  <si>
    <t>态度恶劣，骚扰，我告诉他手上现在没有，要是有我会还，他们态度很不好。</t>
  </si>
  <si>
    <t>骚扰我家人朋友</t>
  </si>
  <si>
    <t>http://ts.21cn.com/tousu/show/id/1368914</t>
  </si>
  <si>
    <t>2019/10/17 14:13:41</t>
  </si>
  <si>
    <t>投诉人 王先生        投诉对象  马上消费金融        涉诉金额  6 000 元    问题类型    诉求类型投诉详情  恶意骚扰 打电话不停 发短信不停还恶意恐吓</t>
  </si>
  <si>
    <t>广发暴力催收</t>
  </si>
  <si>
    <t>http://ts.21cn.com/tousu/show/id/1368913</t>
  </si>
  <si>
    <t>2019/10/17 14:13:35</t>
  </si>
  <si>
    <t>广发第三方通过不停拨打我家人电话以及辱骂，谩骂，导致我家人心脏病发，现要求资产管理部领导以及该名催收人员到医院处理问题。</t>
  </si>
  <si>
    <t>收取高额利息和滞纳金，并电话骚扰和威胁</t>
  </si>
  <si>
    <t>http://ts.21cn.com/tousu/show/id/1368912</t>
  </si>
  <si>
    <t>2019/10/17 14:13:29</t>
  </si>
  <si>
    <t>因开店需求在拍拍贷公司借款，现在店面倒闭，资金周转不了，逾期不到一个月，拍拍贷公司并没有联系我，而是联系我的通讯录所有联系人，打给我所有同事好友亲戚，现要求停止骚扰。</t>
  </si>
  <si>
    <t>中邮邮你贷私人号码威胁暴力催收</t>
  </si>
  <si>
    <t>http://ts.21cn.com/tousu/show/id/1368911</t>
  </si>
  <si>
    <t>2019/10/17 14:13:10</t>
  </si>
  <si>
    <t>邮你贷每天不同的虚拟号码不同的催收人员进行一遍遍骚扰催收，这种暴力行为谁能管，为什么那么多人投诉了，这种情况仍然存在?为什么这种暴力催收一而再，再而三的存在，到底什么监管部门能管他们?邮你贷这种被投诉就给你处理一下，但是暴力催收还是一直存在，这种行为是不是算金融机构的“老赖”行为，强烈建议对机构也有征信采集评估，借款人逾期基本都会说明还款时间，但是邮你贷暴力催收谁看见过邮你贷承诺过什么时候不会再有暴力催收行为，到底谁有权利处罚他们?他们到底有没有收到处罚?追责?道歉有用的话，还要警察干嘛。</t>
  </si>
  <si>
    <t>滴滴出行对于人证上传老是失败</t>
  </si>
  <si>
    <t>http://ts.21cn.com/tousu/show/id/1367730</t>
  </si>
  <si>
    <t>2019/10/17 14:12:41</t>
  </si>
  <si>
    <t>投诉人徐先生投诉对象滴滴出行涉诉金额200元问题类型诉求类型投诉详情本人于2019年9月30号在沈阳市滴滴规定地点考取得人证，人证到手就上传，老是失败多次，最后找滴滴客服解决，客服老是推咱们司机72小时致此到现在半个多月了，推脱的还没解决人证上传失败问题。</t>
  </si>
  <si>
    <t>新橙优品砍头息高利贷，上征信骚扰催收</t>
  </si>
  <si>
    <t>http://ts.21cn.com/tousu/show/id/1368909</t>
  </si>
  <si>
    <t>2019/10/17 14:12:24</t>
  </si>
  <si>
    <t>在该平台借款3000，到账后即以保险费的名义扣掉300，后以利息、金融服务费等各种名义，产生费用700余元，逾期后3个月罚息高达1000余元，变相收费，严重违法法律规定的利率上限，并且上征信，以这种手段逼迫借款方支付高额利息，逾期期间还通过电话骚扰、爆通讯录等方式催收，严重影响本人生活安宁。</t>
  </si>
  <si>
    <t>出售假冒iphone手机</t>
  </si>
  <si>
    <t>http://ts.21cn.com/tousu/show/id/1368905</t>
  </si>
  <si>
    <t>2019/10/17 14:12:15</t>
  </si>
  <si>
    <t>修改版机器，读出数据与实际数据差别很大，下面是实际数据。</t>
  </si>
  <si>
    <t>医疗机构诱导消费者去贷款公司借款消费，要求退款不同意</t>
  </si>
  <si>
    <t>http://ts.21cn.com/tousu/show/id/1368904</t>
  </si>
  <si>
    <t>2019/10/17 14:12:10</t>
  </si>
  <si>
    <t>在医疗机构的诱导下与他们合作的贷款公司，签订了贷款3万协议，支付了医疗机构的美容套餐服务充值，由于无力无力偿还，只消费了2次，希望剩下的6次消费费用的资金能够退换用于还款，但是医疗机构不同意，并且拒接电话，医疗机构为了完成业绩，不顾消费的实际消费能力进行推销，并且诱导客户没钱就找他们的贷款公司去贷款来消费。</t>
  </si>
  <si>
    <t>你我贷催收狂打电话到公司</t>
  </si>
  <si>
    <t>http://ts.21cn.com/tousu/show/id/1368908</t>
  </si>
  <si>
    <t>2019/10/17 14:12:09</t>
  </si>
  <si>
    <t>你我贷暴力催收，打我公司人事电话进行骚扰，已有三天了，在这样下去我怕工作不保！。</t>
  </si>
  <si>
    <t>网商贷这是要把我逼死！！</t>
  </si>
  <si>
    <t>http://ts.21cn.com/tousu/show/id/1368906</t>
  </si>
  <si>
    <t>2019/10/17 14:12:06</t>
  </si>
  <si>
    <t>网商贷这样一来不就是压死我的最后一根稻草么！这不是要逼死我么！我下个月是肯定还不上的，这次借钱周转出了意外我朋友下次不会再借给我了。</t>
  </si>
  <si>
    <t>垃圾钱站与黑社会有什么区别</t>
  </si>
  <si>
    <t>http://ts.21cn.com/tousu/show/id/1368903</t>
  </si>
  <si>
    <t>2019/10/17 14:12:04</t>
  </si>
  <si>
    <t>逾期两天，威胁恐吓，威胁爆通讯录联系家人无所不用其极，高利贷逾期一天几百块逾期费，砍头息，巧立名目，高利贷中的王者，催收母狗一副杀死人丑恶的嘴脸，与黑社会有什么区别。</t>
  </si>
  <si>
    <t>易安财险据不退保</t>
  </si>
  <si>
    <t>http://ts.21cn.com/tousu/show/id/1368907</t>
  </si>
  <si>
    <t>2019/10/17 14:12:02</t>
  </si>
  <si>
    <t>客服提出霸王条款拒不退保，与合作方互相推脱责任，请求眼里处罚进行退保。</t>
  </si>
  <si>
    <t>诱导签订合同</t>
  </si>
  <si>
    <t>http://ts.21cn.com/tousu/show/id/1368830</t>
  </si>
  <si>
    <t>2019/10/17 14:11:59</t>
  </si>
  <si>
    <t>本人在购买一台福特蒙迪欧致胜二手车，经车商介绍说可以做贷款就找来了美利车金融，业务员说贷款利息低且放款时间快，并承诺是四大银行放的款，本人同意，经车管所过户后，在利车金融与我签订了一份《借款服务合同》，车辆贷款金额为63000元，借款期限为36期，就是这份贷少还多套路合同让本人背负大额债款，力蕴公司存在以下违法违规的问题：一、，实际年利率高达32%，合同上标注的年利率9%，两者相差很大，车辆实际成交金额为6.6万元，业务员以提高贷款金额为由，虚报了车辆价格为9万元，告诉本人接到银行回访电话就按9万说可以获得</t>
  </si>
  <si>
    <t>翼钱包高利贷</t>
  </si>
  <si>
    <t>http://ts.21cn.com/tousu/show/id/1368900</t>
  </si>
  <si>
    <t>2019/10/17 14:11:35</t>
  </si>
  <si>
    <t>我愿意付出合理利息，做销账处理！否则投诉到底。</t>
  </si>
  <si>
    <t>http://ts.21cn.com/tousu/show/id/1368901</t>
  </si>
  <si>
    <t>2019/10/17 14:11:32</t>
  </si>
  <si>
    <t>昨天就是刚才给我发个短信说是扣款失败，我的小冰柜才549，扣款多了148元，我一查原来扣了一年的会费，还是在白条里面支付的，我没同意你从白条支付就扣了148.我小冰柜才500多块钱。</t>
  </si>
  <si>
    <t>立借平台高利贷</t>
  </si>
  <si>
    <t>http://ts.21cn.com/tousu/show/id/1368898</t>
  </si>
  <si>
    <t>2019/10/17 14:10:52</t>
  </si>
  <si>
    <t>本人于2019年9月19日发起借款，立借平台提供贷款服务，借款9000，6个月却还款15100，属于高利贷。</t>
  </si>
  <si>
    <t>有钱花存监管和贷款审核漏洞，导致韦博利用其漏洞误导消费者</t>
  </si>
  <si>
    <t>http://ts.21cn.com/tousu/show/id/1368446</t>
  </si>
  <si>
    <t>2019/10/17 14:10:33</t>
  </si>
  <si>
    <t>投诉人胡女士投诉对象有钱花涉诉金额55600元问题类型诉求类型投诉详情自2019年9月29日北京首次爆出韦博英语校区停业以来，截止10月16日上海杭州广州佛山等地的多家校区均已全面关停，目前全国近百万学员被违约没有得到合理合据的证据和说辞，韦博英语也没有任何负责人出面做出答复和解决措施，贷款的学员面临着无课可上还要继续每个月分期付交学费的处境，与韦博英语合作的贷款公司或银行明知韦博英语的上诉状况仍然不主动暂定学员的贷款账号，并且继续收取学员分期学费，有钱花存监管和贷款审核漏洞，导致韦博利用其漏洞诱导消费者，</t>
  </si>
  <si>
    <t>http://ts.21cn.com/tousu/show/id/1368896</t>
  </si>
  <si>
    <t>2019/10/17 14:10:02</t>
  </si>
  <si>
    <t>我2018年在友信普惠贷了42000元，由于我妈重病一直住院，这个月16号是还款日，友信工作人员打电话给我叫还款，我跟工作人员说这几天比较困难，能不能缓缓，之前跟亲戚朋友能借的都借来付医药费了，目前没有钱还款，就逾期一天，友信工作人员说逾期一天需要支付管理费，我觉得他们所谓的管理费太多了，一天就200元。</t>
  </si>
  <si>
    <t>安庆盛通科技有限公司无故从我银行卡中扣款90元</t>
  </si>
  <si>
    <t>http://ts.21cn.com/tousu/show/id/1368895</t>
  </si>
  <si>
    <t>2019/10/17 14:09:34</t>
  </si>
  <si>
    <t>本人注册情人花后在第二天也就是10月17日从我银行卡中无故扣款90元。</t>
  </si>
  <si>
    <t>白领金库暴力催收，骚扰通讯录，侵犯个人隐私</t>
  </si>
  <si>
    <t>http://ts.21cn.com/tousu/show/id/1368894</t>
  </si>
  <si>
    <t>2019/10/17 14:09:26</t>
  </si>
  <si>
    <t>强制限制还款且协商无效，超高利息切无任何说明。</t>
  </si>
  <si>
    <t>请求酷花花销帐处理</t>
  </si>
  <si>
    <t>http://ts.21cn.com/tousu/show/id/1368893</t>
  </si>
  <si>
    <t>2019/10/17 14:08:50</t>
  </si>
  <si>
    <t>本人用酷花花三个月之久，借款3000、到账2400.每十天就要支付展期费用600.在酷花花支付的费用早已超过本金两倍之多，目前本人家里已经无力偿还，请您们与我联系，销帐处理，谢谢。</t>
  </si>
  <si>
    <t>恒信永利无放贷资质高利放贷，还了本金和部分利益不同意协商</t>
  </si>
  <si>
    <t>http://ts.21cn.com/tousu/show/id/1368892</t>
  </si>
  <si>
    <t>2019/10/17 14:08:35</t>
  </si>
  <si>
    <t>因为急用钱在南京恒信金科借款7万，合同写了9万，每月从开始6700，6500，6500……到现在还了15期，共计还款约90000元，因无力还款，本人工资7000元，之前也借了其他地方的贷款，本金都没有还清，就和门店经理协商，提前结清，门店经理我报警，也去了警察局拍了照片说上报给深圳总部，一直未有解决，我是真的没有能力再还下去，恒信永利和恒信金科都没有放款资质还在放贷，想要逼死我们普通百姓。</t>
  </si>
  <si>
    <t>退还高额违约金，利息</t>
  </si>
  <si>
    <t>http://ts.21cn.com/tousu/show/id/1368890</t>
  </si>
  <si>
    <t>2019/10/17 14:08:02</t>
  </si>
  <si>
    <t>2018年2月因生病没有上班，导致招商银行信用卡逾期，期间一直与银行沟通，直到5月份，银行开始委托外包公司进行暴力催收，后来和银行协商分期还款，被银行拒绝，为了避免自己亲友以及公司受到影响，本人到处借钱用于归还信用卡，6月份通过亲友，网贷，各种借款总共凑起47000元，还清信用卡，并消卡，直到现在，了解到国家政策，可以申请减免，致电招商银行后，任不能得到解决，请有关部门进行监督，要求退还我高额利息违约金。</t>
  </si>
  <si>
    <t>快闪卡贷暴力催收，爆通讯录</t>
  </si>
  <si>
    <t>http://ts.21cn.com/tousu/show/id/1368891</t>
  </si>
  <si>
    <t>2019/10/17 14:08:01</t>
  </si>
  <si>
    <t>快闪卡贷客服给我打了一次电话，我当时手机在充电没有接到电话，就爆我通讯录给我妈妈打电话，骚扰联系人，第二天我接了电话态度十分恶劣，你打了一次电话我就必须要接到你的电话吗，你完全可以再多打几次呀，没接电话就骚扰我联系人吗，你给我联系人打完电话，我就可以不用还钱，联系人帮我还钱是吗，国家不容许这种情况发生的好吗，暴力催收，爆通讯录，骚扰联系人。</t>
  </si>
  <si>
    <t>闲鱼卖家对买家语言侮辱</t>
  </si>
  <si>
    <t>http://ts.21cn.com/tousu/show/id/1368888</t>
  </si>
  <si>
    <t>2019/10/17 14:07:37</t>
  </si>
  <si>
    <t>闲鱼卖家用语言侮辱买家，希望咸鱼官方出面，要求卖家道歉并封号。</t>
  </si>
  <si>
    <t>分期乐恶意暴力催收</t>
  </si>
  <si>
    <t>http://ts.21cn.com/tousu/show/id/1368886</t>
  </si>
  <si>
    <t>2019/10/17 14:07:27</t>
  </si>
  <si>
    <t>分期乐恶意暴力催收及违法恐吓我及家人亲戚朋友已经严重影响家庭生活。</t>
  </si>
  <si>
    <t>我没在时光分期借钱，为何你要态度恶劣的一直骚扰我？</t>
  </si>
  <si>
    <t>http://ts.21cn.com/tousu/show/id/1368887</t>
  </si>
  <si>
    <t>2019/10/17 14:07:23</t>
  </si>
  <si>
    <t>时光分期一直打电话我，别人借钱要填我的联系方式，我也没有办法，而且也协助你们联系了欠款人，为何时光分期的催收人员还要如此恶劣的态度来找我。</t>
  </si>
  <si>
    <t>京东卖假货</t>
  </si>
  <si>
    <t>http://ts.21cn.com/tousu/show/id/1368885</t>
  </si>
  <si>
    <t>2019/10/17 14:06:53</t>
  </si>
  <si>
    <t>投诉人马先生投诉对象京东商城涉诉金额100元问题类型诉求类型投诉详情京东打着红蜻蜓的牌子在卖假货，前几天看见京东有卖的，买来一看原来是假货，做工粗糙，包装以及各方面都是假的。</t>
  </si>
  <si>
    <t>提前联系三方爆通讯录</t>
  </si>
  <si>
    <t>http://ts.21cn.com/tousu/show/id/1368883</t>
  </si>
  <si>
    <t>2019/10/17 14:06:21</t>
  </si>
  <si>
    <t>到账60000元要求我还120000万高利贷！！！赤裸裸的高利贷！！！还爆我通讯录威胁我三方！平平打骚扰电话发垃圾信息。</t>
  </si>
  <si>
    <t>http://ts.21cn.com/tousu/show/id/1368882</t>
  </si>
  <si>
    <t>2019/10/17 14:06:18</t>
  </si>
  <si>
    <t>投诉人王女士投诉对象现金巴士,富友支付涉诉金额1000元问题类型诉求类型投诉详情本人在现金巴士借款一年多，每次借款都要付一百多块钱的砍头息，说是什么好信码，现在又是什么加速，我每个月都按时还款，但是这砍头息就扣了我一两千块钱，要求归还砍头息！查在现金巴士的借款，只能查到近六个月的，我要求最后一期销账。</t>
  </si>
  <si>
    <t>顾左右而言他，砍头息何时解决</t>
  </si>
  <si>
    <t>http://ts.21cn.com/tousu/show/id/1368881</t>
  </si>
  <si>
    <t>2019/10/17 14:06:01</t>
  </si>
  <si>
    <t>投诉人项先生投诉对象掌众金服涉诉金额7200元问题类型诉求类型投诉详情年利率36，接受也就接受了，借我借了，钱我也按时还，你变相收取高额砍头息，就是违法乱纪，无视监管。</t>
  </si>
  <si>
    <t>http://ts.21cn.com/tousu/show/id/1368879</t>
  </si>
  <si>
    <t>2019/10/17 14:04:56</t>
  </si>
  <si>
    <t>投诉人金先生投诉对象信而富涉诉金额1300元问题类型诉求类型投诉详情本人于信而富有一笔借款因为误入以贷养贷后，逾期未按时偿还，平台工作人员在能联系本人确定近期还款时间，而且偿还了部分借款，既然还威胁要走流程拨打单位还有家人电话，这是正规上市公司做法吗。</t>
  </si>
  <si>
    <t>暴力催收，威胁要到单位、住宅进行催收</t>
  </si>
  <si>
    <t>http://ts.21cn.com/tousu/show/id/1368878</t>
  </si>
  <si>
    <t>2019/10/17 14:04:41</t>
  </si>
  <si>
    <t>pian，客服已经承诺只跟我本人联系，不再非法骚扰其他无关人员了，现在又要开始骚扰工作单位了，这次是要上门到公司催收，上个月三番五次的打电话到公司，扰乱公司正常经营，只给我发了基本工资，提成都没给我发，下个月还要被安置到其它地方工作，这样的情况下，我仍然尽最大努力在一点一点还钱，有一点钱就拿来还了，现在又要威胁我要上门来催收，你们倒是赔我钱啊，不打电话到单位闹事的话，我现在是可以多还一些啊！警察说催收人员来了就打电话给他们，他们就过来保证我的人身安全，到单位也可以报警，警察也要来，我知道无论到哪个单位工作都</t>
  </si>
  <si>
    <t>广发银行随意打联系人电话泻露客户个人隐私</t>
  </si>
  <si>
    <t>http://ts.21cn.com/tousu/show/id/1368876</t>
  </si>
  <si>
    <t>2019/10/17 14:04:09</t>
  </si>
  <si>
    <t>广发信用卡还款日过了三天，广发银行今日首次打电话过来未接到，广发银行即时打电话给我的联系人说欠款情况，泻露客户个人隐私！侵犯个人信息权！。</t>
  </si>
  <si>
    <t>你我贷借款高利贷</t>
  </si>
  <si>
    <t>http://ts.21cn.com/tousu/show/id/1368874</t>
  </si>
  <si>
    <t>2019/10/17 14:03:58</t>
  </si>
  <si>
    <t>投诉人 郑先生        投诉对象  你我贷        涉诉金额  6 000 元    问题类型    诉求类型投诉详情  2019年1月4号借款6000元分12期 本金加利息总计要还8000元 截止2019年10月17号 总计在你我贷app内还款达6343.3元 显示还需还1815.27元 利息如此之高 跟高利贷有什么区别 剩余的1815.27元请求销帐</t>
  </si>
  <si>
    <t>轻周转芒果筹app不能使用导致逾期</t>
  </si>
  <si>
    <t>http://ts.21cn.com/tousu/show/id/1368875</t>
  </si>
  <si>
    <t>2019/10/17 14:03:48</t>
  </si>
  <si>
    <t>投诉人朱女士投诉对象芒果筹,轻周转芒果筹涉诉金额2100元问题类型诉求类型投诉详情我在2019年8月20在轻周转芒果筹申请了2100元的贷款，分4期，一期7天，还完两期后，app不能使用，到期也没有代扣，半个月后收到短信，可以在app里面反馈问题，反馈两天后有客服联系我，让我加QQ，挂完电话发现QQ是错误的，我又进行反馈，再之后app彻底不能用，登录不了，没办法继续反馈，在我爱卡论坛看到客服电话，打过去又要了链接，客服人员3个小时回复一句话，然后发现逾期费用已经3000多了，因为他们的原因，导致我逾期，并且</t>
  </si>
  <si>
    <t>云闪付支持赌博网站支付，违规支付10多万！</t>
  </si>
  <si>
    <t>http://ts.21cn.com/tousu/show/id/1368872</t>
  </si>
  <si>
    <t>2019/10/17 14:03:33</t>
  </si>
  <si>
    <t>赌博网站：http://www.ag9.com，云闪付违规支持AG赌博平台搭建支付通道造成本人损失10万元以上，为了避免出现更多的受害者，本人恳请聚投诉平台进行干预，2018年10月至今，云闪付违规支持AG赌博平台搭建支付通道，造成本人损失10万元以上，为了避免出现更多的受害者，本人恳请聚投诉平台进行干预。</t>
  </si>
  <si>
    <t>闪银突然借不了款要求恢复借款</t>
  </si>
  <si>
    <t>http://ts.21cn.com/tousu/show/id/1368871</t>
  </si>
  <si>
    <t>2019/10/17 14:03:02</t>
  </si>
  <si>
    <t>闪银闪贷和哼哼突然不能借款要求闪银恢复借款不然从此不再借他们家的产品。</t>
  </si>
  <si>
    <t>中邮消费金融不断电话短信一起骚扰我的通讯录</t>
  </si>
  <si>
    <t>http://ts.21cn.com/tousu/show/id/1368870</t>
  </si>
  <si>
    <t>2019/10/17 14:02:42</t>
  </si>
  <si>
    <t>中邮消费金融一直电话短信骚扰我的通讯录好友，这是我通讯录好友给我发的一些，我不小心删了，不然更多证据。</t>
  </si>
  <si>
    <t>利息太高，协商减免</t>
  </si>
  <si>
    <t>http://ts.21cn.com/tousu/show/id/1368869</t>
  </si>
  <si>
    <t>2019/10/17 14:02:02</t>
  </si>
  <si>
    <t>利息太高，打客服电话，态度强硬不接受协商减免。</t>
  </si>
  <si>
    <t>http://ts.21cn.com/tousu/show/id/1368868</t>
  </si>
  <si>
    <t>2019/10/17 14:01:55</t>
  </si>
  <si>
    <t>暴力恐怖催收，本人一直积极的在与对方联系，要求提前还款，减掉剩余分期的利息，但一直未得到回复，催收却一直打电话来暴力催收语言威胁。</t>
  </si>
  <si>
    <t>车款已经扣除，今天一直打本人电话，告诉他们还款后。他们直接打联系人电话进行骚扰</t>
  </si>
  <si>
    <t>http://ts.21cn.com/tousu/show/id/1368867</t>
  </si>
  <si>
    <t>2019/10/17 14:01:45</t>
  </si>
  <si>
    <t>车款于昨晚已扣款，今天对本人打电话，本人告诉已经还款，后续电话不接。</t>
  </si>
  <si>
    <t>9.20号申请卡卡贷10000元到10.17还未放款，时隔26天</t>
  </si>
  <si>
    <t>http://ts.21cn.com/tousu/show/id/1368866</t>
  </si>
  <si>
    <t>2019/10/17 14:01:38</t>
  </si>
  <si>
    <t>投诉人 陈女士        投诉对象  卡卡贷        涉诉金额  10 000 元    问题类型    诉求类型投诉详情  9.20申请的卡卡贷到10.17还未到账 时隔26日 严重影响本人资金安排 打了五六个电话 一会回答15个工作日 一会又说资金放款失败 一会又说7个工作日 一直在忽悠消费者 如果下不了款直说</t>
  </si>
  <si>
    <t>惠花花收取保险费，借款一千十四天还款1188.26，严重超过法定利率</t>
  </si>
  <si>
    <t>http://ts.21cn.com/tousu/show/id/1368865</t>
  </si>
  <si>
    <t>2019/10/17 14:00:54</t>
  </si>
  <si>
    <t>惠花花借款1000到账1000，借款期限十四天，通过收取保险费的形式变相收取费用，还款1188.26每次，在该平台受害多次，宝付支付为起提供支付通道，图中为某两次还款扣款，如不处理将通过信封银监会等其他渠道进行维权。</t>
  </si>
  <si>
    <t>美团外卖，加盟美团站点大连森成拖欠活动奖金。</t>
  </si>
  <si>
    <t>http://ts.21cn.com/tousu/show/id/1368864</t>
  </si>
  <si>
    <t>2019/10/17 14:00:53</t>
  </si>
  <si>
    <t>9月12日结束，结束后14天一次性发放给骑手，站长联系我说让我把清凉一夏的记录截图给他看，然后又说先把我的美团骑手账号先给删除，本人因为中秋节需要回老家过节，就跟站长请了假，9月12-16号，然后9月13号的时候，站长联系我说，让我把清凉一夏的记录截图给他看，然后又说先把我的美团骑手账号先给删除，然后到26号，同事没给删除账号的，清凉一夏的奖金全部都发了，而我没发，我就问站长，我的奖金也是26号发吗，然后我就等，一直等到10月11号，我就再次问站长，清凉一夏什么时候发，问了2次才回复。</t>
  </si>
  <si>
    <t>http://ts.21cn.com/tousu/show/id/1368863</t>
  </si>
  <si>
    <t>2019/10/17 14:00:11</t>
  </si>
  <si>
    <t>跟客服协商还款，他们却不停的打电话，解决不了任何问题，商业银行管理条例明确表明，在事实困难的情况下是可以协商，止付的，可是宁波银行真的太硬气了，不接受协商，不停的骚扰。</t>
  </si>
  <si>
    <t>兴业银行信用卡app显示与银行工作人员反馈不一致</t>
  </si>
  <si>
    <t>http://ts.21cn.com/tousu/show/id/1368862</t>
  </si>
  <si>
    <t>兴业银行app上显示我最低还款为6000左右，并且我是分期的状态，现在说我逾期还全款，我目前确实没有还款能力，刚生完孩子没有工作，老公也不给生活费，我现在卡里就1块多，之前跟信用卡客服说希望协商还款，对方说3日之内有工作人员联系我，但是我并没有接到电话，这两天有个长春的号联系我，说是兴业银行的，问我能不能还全款，我说我跟兴业银行的沟通说想协商还款，她说没收到通知，我是真心想还款，但是每次只能还个100或者200，前几天还还了100。</t>
  </si>
  <si>
    <t>酷宝支付，还我钱</t>
  </si>
  <si>
    <t>http://ts.21cn.com/tousu/show/id/1368861</t>
  </si>
  <si>
    <t>2019/10/17 13:59:53</t>
  </si>
  <si>
    <t>2019年10月17日2点左右，酷宝支付盗刷我银行卡里的钱，我从未注册过此软件，。</t>
  </si>
  <si>
    <t>钱站app，高利贷、砍头息、合同虚假</t>
  </si>
  <si>
    <t>http://ts.21cn.com/tousu/show/id/1368582</t>
  </si>
  <si>
    <t>2019/10/17 13:59:50</t>
  </si>
  <si>
    <t>该公司在网络借贷期间存在变相“砍头息”的行为，实际借款12000元，该公司放款后合同金额显示为15840元，实际到账金额12000元，最终还款金额19920元，实际利息为7920元，年化利息达到66.00%，严重违反国家规定的24%的借款利息。</t>
  </si>
  <si>
    <t>平安普惠恶意窥探用户隐私，恶意催收，毁坏个人名誉。</t>
  </si>
  <si>
    <t>http://ts.21cn.com/tousu/show/id/1368860</t>
  </si>
  <si>
    <t>2019/10/17 13:59:19</t>
  </si>
  <si>
    <t>本人在平安普惠分期贷款30000元，每月还款2200元左右，已经还至剩余12840元，因为家庭原因出现严重资金困难，每月发工资时间为25号，只能发了工资才能还款，第一次打电话我已经说明，给本人打电话都是上班时间，不太方便接，并且一天能打几十个骚扰电话，挂了接着打，今天很多朋友收到短信，说我恶意欠款之类的话，严重毁坏个人名誉，本人违约在先，我接受任何合法方式的催收跟协商，但对这种目无法纪的催收坚决反对，要求他们道歉并做出赔偿。</t>
  </si>
  <si>
    <t>及贷暴力催收威胁我停止催收</t>
  </si>
  <si>
    <t>http://ts.21cn.com/tousu/show/id/1368859</t>
  </si>
  <si>
    <t>2019/10/17 13:59:14</t>
  </si>
  <si>
    <t>第三方暴力催收打电话骚扰我家人朋友威胁我造成我个人和家人伤害。</t>
  </si>
  <si>
    <t>暴力催收家人</t>
  </si>
  <si>
    <t>http://ts.21cn.com/tousu/show/id/1368843</t>
  </si>
  <si>
    <t>2019/10/17 13:59:10</t>
  </si>
  <si>
    <t>投诉人邓女士投诉对象好易借涉诉金额6000元问题类型诉求类型投诉详情砍头息，高利贷，不断骚扰家人，不断换电话打，要求不再骚扰，不然本人将进一步去报警，该单位员工的通话录音已经保存。</t>
  </si>
  <si>
    <t>小闪分期审核超时不给取消</t>
  </si>
  <si>
    <t>http://ts.21cn.com/tousu/show/id/1368858</t>
  </si>
  <si>
    <t>2019/10/17 13:58:42</t>
  </si>
  <si>
    <t>是这样的小闪分期，提交完资料，审核提示30分钟内出结果，订单提示超过24小时联系客服，第一次超24小时联系客服说是系统延迟，我本人表示理解，但是4天过去了还是一点动静都没有，联系客服客服还是复制粘贴了这句话给我，我说总得有个结果吧，他结果也不给，也不帮忙取消！那订单上有句话是这么说的“超过24小时联系客服”，现在已经超过4天了，客服也联系了，也不给解决，那那句话是什么意思我没太明白，是联系客服聊天谈心，这根本就是骗人的平台，问了两次都是复制粘贴解决也不帮忙解决！不知道聚投诉有没有办法制裁一下这样的平台，多半</t>
  </si>
  <si>
    <t>北京恒昌恒易融网贷平台阴阳合同、高利贷、砍头息、高额服务费</t>
  </si>
  <si>
    <t>http://ts.21cn.com/tousu/show/id/1368857</t>
  </si>
  <si>
    <t>2019/10/17 13:58:27</t>
  </si>
  <si>
    <t>本人2018年8月向北京恒昌恒易融获批贷款4.5万，当时扣收2000余元砍头息，后期电子合同贷款额度成了6.4万余元，没有提供任何明细，24期还款每月还近3000元，总共要还近8万元，公司催收人员解释有近2万元的服务费，从没跟我讲过！且多次联系公司客服不是占线、无法接通，就是不知道！本人要求退还砍头息、服务费、调整、减除不合理高息！。</t>
  </si>
  <si>
    <t>小金象高利贷，汇潮支付为其放款，支付宝为其提供放款通道</t>
  </si>
  <si>
    <t>http://ts.21cn.com/tousu/show/id/1368855</t>
  </si>
  <si>
    <t>2019/10/17 13:58:00</t>
  </si>
  <si>
    <t>小金象通过电话邀请，发链接给我让借款，申请1500元，实际到账1020元，7天时间，中间续期过一次，通过支付宝还的款，放款是汇潮支付给我放款的。</t>
  </si>
  <si>
    <t>贷上线高利贷套路贷暴力催收，申请2500，到账1800，逾期收5000</t>
  </si>
  <si>
    <t>http://ts.21cn.com/tousu/show/id/1368854</t>
  </si>
  <si>
    <t>2019/10/17 13:57:49</t>
  </si>
  <si>
    <t>投诉人蒋女士投诉对象贷上钱涉诉金额1800元问题类型诉求类型投诉详情之前不懂，给业务员骗了，借了贷上钱，申请2500，到账1800，逾期收5000，不协商，发微信骚扰我的家人同事，从中秋节当天就开始骚扰，态度恶劣，国庆期间没有骚扰，国庆严打完，一天好几个电话骚扰我的家人和我，让我有要自杀的感觉。</t>
  </si>
  <si>
    <t>小赢卡贷恶劣催收</t>
  </si>
  <si>
    <t>http://ts.21cn.com/tousu/show/id/1368852</t>
  </si>
  <si>
    <t>2019/10/17 13:56:57</t>
  </si>
  <si>
    <t>本人于2019年1月16日在小赢卡贷上申请了一笔三万元借款，分十二期还，2019年10月15日要还一期，因为临时有事逾期了一天，催收打电话过来，我们说晚上处理，对方不答应，对方一个小时打一次本人电话及联系人电话，平凡骚扰。</t>
  </si>
  <si>
    <t>平安普惠恐吓，暴力催收</t>
  </si>
  <si>
    <t>http://ts.21cn.com/tousu/show/id/1368849</t>
  </si>
  <si>
    <t>2019/10/17 13:55:51</t>
  </si>
  <si>
    <t>投诉人汤先生投诉对象平安普惠涉诉金额15000元问题类型诉求类型投诉详情平安普惠i贷恐吓，暴力催收，严重打扰正常的生活。</t>
  </si>
  <si>
    <t>恶意骚扰，多次告知，仍然持续骚扰我长达接近6年</t>
  </si>
  <si>
    <t>http://ts.21cn.com/tousu/show/id/1368850</t>
  </si>
  <si>
    <t>2019/10/17 13:55:48</t>
  </si>
  <si>
    <t>孙继兵是我之前的一个客户，我催他还钱，后来不知捷信金融回事就把我的号码修改成孙继兵的号码，然后就不停对我暴力催收长达接近6年，每次给我打电话，我都如实告知情况，有的催收员听了会停止催收，但是有的完全不听，我说了无数次我不是孙继兵，仍然恶意骚扰，非说我是孙继兵，我让他可以查我支付宝实名认证，也不相信，对我长达6年的恶意骚扰，给我工作和生活造成严重影响，并导致我现在有抑郁倾向，这种完全不负责任的恶意骚扰，冒充公检法的恶意威胁，如果不及时制止，将严重扰乱金融市场，对此我表示：如果没有处理好，我保留向公安机关报案的</t>
  </si>
  <si>
    <t>惠普暗影精灵2PLUS电池鼓包</t>
  </si>
  <si>
    <t>http://ts.21cn.com/tousu/show/id/1368848</t>
  </si>
  <si>
    <t>2019/10/17 13:55:28</t>
  </si>
  <si>
    <t>2017年9月22日购入惠普暗影精灵2plus笔记本电脑，给儿子在学校用，2019年10月中旬，儿子告诉我电脑电池鼓包，笔记本无法正常合拢，我马上联系惠普服务公众号，后者告知过保，需自费更换电池，我上网查了一下，这个机型普遍存在这个问题，那么就可以确认是产品质量问题了，因为我所使用的其他笔记本都没有出现过这种现象，更有力的证据是惠普官方还专门针对这个问题出了一个BIOS的更新，但并没有有效的通知到每一个需要更新的用户，因此要求惠普端正服务态度，免费更换笔记本电池。</t>
  </si>
  <si>
    <t>上海富友为随意拿714高炮提供支付通道要求退还砍头息</t>
  </si>
  <si>
    <t>http://ts.21cn.com/tousu/show/id/1368847</t>
  </si>
  <si>
    <t>2019/10/17 13:54:42</t>
  </si>
  <si>
    <t>7月9日在随意拿借款3000实际到账1950。</t>
  </si>
  <si>
    <t>宜信普惠恶意催收，骚扰</t>
  </si>
  <si>
    <t>http://ts.21cn.com/tousu/show/id/1368846</t>
  </si>
  <si>
    <t>2019/10/17 13:53:34</t>
  </si>
  <si>
    <t>我在百度钱包的尊享贷借了3万，哪知那是宜信公司的套路，3万分36期，每期还1370多，到现在还了12期，共还了16440，还有24期，竟然还要还32880，如今我经济上遇到困难，逾期，宜信不停打电话骚扰我家人，亲戚，朋友，同学，同事，还打到单位，甚至打到单位更高层，骚扰恐吓侮辱我，我已回电话给宜信公司，在想办法还款，宜信公司的催收人员还是一直在电话骚扰，我本刚生完二胎，有抑郁症的倾向，宜信如此的骚扰，侵犯我的隐私，侮辱我的人格，是想逼死我。</t>
  </si>
  <si>
    <t>翼钱包重复扣款</t>
  </si>
  <si>
    <t>http://ts.21cn.com/tousu/show/id/1368845</t>
  </si>
  <si>
    <t>2019/10/17 13:53:24</t>
  </si>
  <si>
    <t>重复扣款，主动还款后，又发起扣款，要求赔偿。</t>
  </si>
  <si>
    <t>纳什空间拖欠房租</t>
  </si>
  <si>
    <t>http://ts.21cn.com/tousu/show/id/1368842</t>
  </si>
  <si>
    <t>2019/10/17 13:51:32</t>
  </si>
  <si>
    <t>本人位于远洋商务的房子，与纳什签订房屋租赁合同，自2009年9月22日拖欠应付房租58140元，多次催收仍不付款。</t>
  </si>
  <si>
    <t>洋钱罐恶意收取高额管理费</t>
  </si>
  <si>
    <t>http://ts.21cn.com/tousu/show/id/1368841</t>
  </si>
  <si>
    <t>2019/10/17 13:51:14</t>
  </si>
  <si>
    <t>还款日当天把足额的钱存进扣款银行卡，该平台不扣款，且不明确告知需要本人手动还款，故意收取高额逾期管理费，管理费比例高达3%/天。</t>
  </si>
  <si>
    <t>影响我家人，朋友</t>
  </si>
  <si>
    <t>http://ts.21cn.com/tousu/show/id/1368840</t>
  </si>
  <si>
    <t>2019/10/17 13:51:02</t>
  </si>
  <si>
    <t>每天到发这些给我朋友家人，严重影响到我和我朋友的生活，应立刻停止搔扰我的朋友家人，道歉。</t>
  </si>
  <si>
    <t>投诉京东刷单行为</t>
  </si>
  <si>
    <t>http://ts.21cn.com/tousu/show/id/1368827</t>
  </si>
  <si>
    <t>2019/10/17 13:50:57</t>
  </si>
  <si>
    <t>投诉人吴女士投诉对象京东商城涉诉金额2000元问题类型诉求类型投诉详情前几天在58同城上面看见有兼职信息，咨询了一下就加了QQ，说的是给淘宝和京东买东西提信誉的，然后在手机上下载了一个飞书APP，在上面和客服联系的接任务，是充值虚拟货币的，先刷了四个500的单子共2000元，刷完了没有返款，叫继续刷四个500的，就心存怀疑，结果去京东商家店铺里面去看，才发现了事实的真相，和京东卖家沟通，说不关他们的事情，虚拟货币充值了就不能退款，又联系了京东客服，京东客服不承认商家存在刷单的行为，说他们处理不了，我就想问一</t>
  </si>
  <si>
    <t>捷信金融高利贷，恶意催收</t>
  </si>
  <si>
    <t>http://ts.21cn.com/tousu/show/id/1368839</t>
  </si>
  <si>
    <t>2019/10/17 13:50:04</t>
  </si>
  <si>
    <t>2016年8月，捷信电话让办理贷款，借了19000，到现在已经还了34期，每期要还1064元，这个月手头紧逾期，捷信公司向所有联系人群发了欠款信息，昨天逾期处理后，今天还向我的家人发送催款信息！今天打客服电话，客服态度还非常恶劣，说发都发了，还能怎样，无底线无道德的高利贷公司。</t>
  </si>
  <si>
    <t>再次投诉钱站</t>
  </si>
  <si>
    <t>http://ts.21cn.com/tousu/show/id/1368838</t>
  </si>
  <si>
    <t>2019/10/17 13:49:56</t>
  </si>
  <si>
    <t>合同上确写5320元整分3期每期还款2135.87元。</t>
  </si>
  <si>
    <t>恶意暴力催收，爆紧急联系人手机，，</t>
  </si>
  <si>
    <t>http://ts.21cn.com/tousu/show/id/1368837</t>
  </si>
  <si>
    <t>2019/10/17 13:49:28</t>
  </si>
  <si>
    <t>恶意暴力催收，投诉都没用，公司回复，说正常，呵呵，。</t>
  </si>
  <si>
    <t>国美易卡外包催收骚扰</t>
  </si>
  <si>
    <t>http://ts.21cn.com/tousu/show/id/1368836</t>
  </si>
  <si>
    <t>2019/10/17 13:49:07</t>
  </si>
  <si>
    <t>跟催收人员说了工作再忙，有问题加微信沟通，他不听这个，非要等它说完，还勒令我必须今天全额处理，要不威胁我后果自负，我说处理部分没问题全额很困难，又勒令我必须今天几点几点前全部处理，真的很烦，是欠你的钱吗，国美易卡的钱我会慢慢的全部还上，但是催收为了自己的业绩就这样对待欠款人吗。</t>
  </si>
  <si>
    <t>借3000到账2600，现需总还5569</t>
  </si>
  <si>
    <t>http://ts.21cn.com/tousu/show/id/1368835</t>
  </si>
  <si>
    <t>2019/10/17 13:49:02</t>
  </si>
  <si>
    <t>借3000到手2650，逾期三个月总还5569，远超国家规定36%。</t>
  </si>
  <si>
    <t>以假充真</t>
  </si>
  <si>
    <t>http://ts.21cn.com/tousu/show/id/1368834</t>
  </si>
  <si>
    <t>2019/10/17 13:48:27</t>
  </si>
  <si>
    <t>本人购买converse海军蓝，收到货后在多个平台鉴定，均为假货，但是订单是由上海发货的，商品描述页还描述百分百正品保障，却不支持第三方鉴定，客服给我截图和其他同事聊天记录，职业买家不退，难道说。</t>
  </si>
  <si>
    <t>交通信用卡暴力催收，侵犯个人隐私</t>
  </si>
  <si>
    <t>http://ts.21cn.com/tousu/show/id/1368820</t>
  </si>
  <si>
    <t>2019/10/17 13:48:07</t>
  </si>
  <si>
    <t>投诉人李平先生投诉对象交通银行信用卡涉诉金额31000元问题类型诉求类型投诉详情本人从4月29号就打交通银行客服电话协商信用卡提前结清，客服不配合处理，7月份又打电话客服说下午回电话可以减免我们申请的分期服务费及利息结果也没回，再次打过去又换了一个工作人员说减免不了，拖来拖去导致账户现在逾期，10月13号打电话我也接了，但是他们不听任何解释直接就直接威胁我，完了我打客服电话问我的账单情况，客服说的3个工作日回复我，没等到半小时就开始爆我通讯录而且电话打到村委会，我既没有失踪也没有说不还，为什么要这样做。</t>
  </si>
  <si>
    <t>平安普惠以担保名义变相违法收取高额利息要求平安普惠退回违法收取的担保费</t>
  </si>
  <si>
    <t>http://ts.21cn.com/tousu/show/id/1368814</t>
  </si>
  <si>
    <t>2019/10/17 13:48:02</t>
  </si>
  <si>
    <t>我于2016年9月21日通过平安普惠APP借款8万元整，合同签署方为：平安普惠融资担保有限公司，放款方为：上海陆家嘴国际金融资产交易市场股份有限公司，　　因最近看新闻国家及国家最高法院严厉打击套路贷，才翻看合同，查询到：合同签署方：平安普惠融资担保有限公司，放款方：上海陆家嘴国际金融资产交易市场股份有限公司，工商经营范围均无网络放款资质，电子合同也并无本人签名，并且合同约定年化利率为:8.4%每年，但是平安普惠每月从我个人银行卡扣取3441元，本人总计还款金额高达123876元；每月还款的3441元，其中9</t>
  </si>
  <si>
    <t>捷信公司每天换号拨打电话，严重骚扰正常生活</t>
  </si>
  <si>
    <t>http://ts.21cn.com/tousu/show/id/1368833</t>
  </si>
  <si>
    <t>2019/10/17 13:47:53</t>
  </si>
  <si>
    <t>请不要再给我打骚扰电话！我不需要贷款！每天换号打电话，不分白天晚上，不分休息时间。</t>
  </si>
  <si>
    <t>http://ts.21cn.com/tousu/show/id/1368832</t>
  </si>
  <si>
    <t>2019/10/17 13:47:43</t>
  </si>
  <si>
    <t>交通银行信用卡违规收取违约金和罚息，交通银行不予退还。</t>
  </si>
  <si>
    <t>贷款利息太高</t>
  </si>
  <si>
    <t>http://ts.21cn.com/tousu/show/id/1368831</t>
  </si>
  <si>
    <t>2019/10/17 13:47:13</t>
  </si>
  <si>
    <t>我买一辆电瓶车，共3680元，首付1000元，剩2680元，在买单侠上分12期还，每期还346块多，利息高达1472块多，他们太黑了，很多人都被坑了，望相关部门管一下他们这些黑心非金融机构，谢谢。</t>
  </si>
  <si>
    <t>投诉工商银行信用卡</t>
  </si>
  <si>
    <t>http://ts.21cn.com/tousu/show/id/1368813</t>
  </si>
  <si>
    <t>2019/10/17 13:46:43</t>
  </si>
  <si>
    <t>投诉人张天旺投诉对象工商银行信用卡,工商银行涉诉金额27668元问题类型诉求类型投诉详情2019年9月24号我在广东省深圳市南山区西丽龙珠二手车市场B1部购买一辆福特牌二手车，总车价115000元首付了19500剩余的的尾款车行老板找来美利车金融的业务员说可以帮我办理贷款，还承诺是工商银行代理的，再没有价然后费用之前业务员没有告诉我是以信用卡的方式贷款，而且我只需要95000的尾款，然后业务员拿我的名义在工商银行申请了一张额度为122668元的信用卡，并已分为36期，工商银行作为四大银行之一申请贷款前没有打</t>
  </si>
  <si>
    <t>交通银行催收电话骚扰通讯录</t>
  </si>
  <si>
    <t>http://ts.21cn.com/tousu/show/id/1368828</t>
  </si>
  <si>
    <t>2019/10/17 13:46:13</t>
  </si>
  <si>
    <t>交通银行在未通知本人的情况下，将信用卡降额，导致生意资金出现问题，出现逾期，逾期后本人要求与银行进行协商还款，银行单方面称，没有协商这一说，必须按照他们的规定来，而且非法获取我的通讯录，电话骚扰我通讯录里面的人，造成了极大的影响。</t>
  </si>
  <si>
    <t>交通银行信用卡催收</t>
  </si>
  <si>
    <t>http://ts.21cn.com/tousu/show/id/1368826</t>
  </si>
  <si>
    <t>2019/10/17 13:45:39</t>
  </si>
  <si>
    <t>交通银行信用卡催收得态度太差，说话很嚣张，并且还威胁客户不还款就爆通讯录，为什么交通银行的催收这么无法无天，本人因最近资金困难导致逾期，我需要与交通银行信用卡中心协商还款事宜。</t>
  </si>
  <si>
    <t>上海富友为一品花714高炮提供支付通道要求退还砍头息</t>
  </si>
  <si>
    <t>http://ts.21cn.com/tousu/show/id/1368825</t>
  </si>
  <si>
    <t>2019/10/17 13:45:07</t>
  </si>
  <si>
    <t>6月15日在一品花借款5000实际到账3250。</t>
  </si>
  <si>
    <t>拼多多恶意扣款，进一个网站没了142块钱处理时间过长。没有准确回复</t>
  </si>
  <si>
    <t>http://ts.21cn.com/tousu/show/id/1368824</t>
  </si>
  <si>
    <t>2019/10/17 13:45:04</t>
  </si>
  <si>
    <t>进了一个浏览器网站无缘无故被扣60也没买东西啥也没买，订单号也没有订单。</t>
  </si>
  <si>
    <t>http://ts.21cn.com/tousu/show/id/1368823</t>
  </si>
  <si>
    <t>2019/10/17 13:44:27</t>
  </si>
  <si>
    <t>中信银行信用卡委托第三方催收机构在没有通知我的情况下贸然前往我所在公司进行催收，上门员工没有穿制服，没有带工牌，询问我公司其他员工我的信息时及其不礼貌，对我造成不可挽回的影响，可能会让我丢失工作机会。</t>
  </si>
  <si>
    <t>淘宝网售后欺诈</t>
  </si>
  <si>
    <t>http://ts.21cn.com/tousu/show/id/1368822</t>
  </si>
  <si>
    <t>2019/10/17 13:44:25</t>
  </si>
  <si>
    <t>商品质量问题很大三个月非人为情况下就坏掉，当时不过追加评论期，店家说给维修实际商品无法发送快递无法维修，投诉到淘宝客服后，客服承诺三天之内给答复，实际20天后才给与答复，并且告知没有任何处理办法叫我自己和卖家联系，此时商品已经过了追加评论期。</t>
  </si>
  <si>
    <t>http://ts.21cn.com/tousu/show/id/1368821</t>
  </si>
  <si>
    <t>2019/10/17 13:44:04</t>
  </si>
  <si>
    <t>因朋友现在已经无力承担还款，跟家人已坦白，拍拍贷天天打电话骚扰，威胁，还要上门催收，现在她没钱还，有钱再说，别特么整天威胁上门催收，先不谈你能不能找到人找到人你来试试。</t>
  </si>
  <si>
    <t>商品质量品控不行</t>
  </si>
  <si>
    <t>http://ts.21cn.com/tousu/show/id/1368819</t>
  </si>
  <si>
    <t>2019/10/17 13:43:27</t>
  </si>
  <si>
    <t>投诉人周女士投诉对象兰梦娅旗舰店涉诉金额39元问题类型诉求类型投诉详情收到的裤子穿了半天右边腰侧开始脱线我打包票不是我故意弄的谁没事买了裤子拆线玩和客服说了只说赔偿5块让我自己修这年头售后都是这么不负责的吗合着就买了个一次性裤子这线头我都不敢动一动整个腰上的线都断了。</t>
  </si>
  <si>
    <t>钱站高利贷，非法催收</t>
  </si>
  <si>
    <t>http://ts.21cn.com/tousu/show/id/1368817</t>
  </si>
  <si>
    <t>2019/10/17 13:42:09</t>
  </si>
  <si>
    <t>我与2019年7月18日在钱站申请3000元借款，为期三个月，总共还款5236.87，远远超过国家规定的利率标准。</t>
  </si>
  <si>
    <t>闪银哼哼不予以协商余地</t>
  </si>
  <si>
    <t>http://ts.21cn.com/tousu/show/id/1368816</t>
  </si>
  <si>
    <t>2019/10/17 13:41:34</t>
  </si>
  <si>
    <t>浦发银行万用金高额利息</t>
  </si>
  <si>
    <t>http://ts.21cn.com/tousu/show/id/1368815</t>
  </si>
  <si>
    <t>2019/10/17 13:41:14</t>
  </si>
  <si>
    <t>投诉人陈女士投诉对象浦发银行涉诉金额211131元问题类型诉求类型投诉详情本人在浦发银行办的信用卡正常使用四年时间，一直以来都是按时还款从未逾期，2017年10月办理了一笔30万的万用金，，就是一共要还40万，前期一直有正常还款，后期由于工作变故，资金断裂，周转困难，导致逾期，经过与浦发银行信用卡中心联系沟通，目前欠款总额21万，当时银行给出方案分2年还清，每月还一万共24期，等于是又额外加了3万的利息上去，这种还款方式确实无力承受，后来催收部门不停的换人跟我协商，给出的方案更加接受不了，说是减免了手续费2</t>
  </si>
  <si>
    <t>小赢卡贷恐吓上门催收</t>
  </si>
  <si>
    <t>http://ts.21cn.com/tousu/show/id/1368811</t>
  </si>
  <si>
    <t>2019/10/17 13:40:50</t>
  </si>
  <si>
    <t>整天有小赢得客服人员打电话给我家人和我态度及其恶劣的说要上门催收！这就是你们解决欠款的办法。</t>
  </si>
  <si>
    <t>及贷冒充公检法等部门群发短信给本人及家属亲戚朋友同事对本人工作生活造成严重影响</t>
  </si>
  <si>
    <t>http://ts.21cn.com/tousu/show/id/1368809</t>
  </si>
  <si>
    <t>2019/10/17 13:39:59</t>
  </si>
  <si>
    <t>及贷恶意群发带法律法院等字眼等短信给本人亲属朋友同事，给本人及本人亲属朋友同事造成生活和工作上的影响，现请求聚投诉平台主持公道让及贷停止对本人朋友同事打电话及短信等骚扰。</t>
  </si>
  <si>
    <t>买单侠收取过多服务费费</t>
  </si>
  <si>
    <t>http://ts.21cn.com/tousu/show/id/1368807</t>
  </si>
  <si>
    <t>2019/10/17 13:39:34</t>
  </si>
  <si>
    <t>3月31日，本人借款3000,分12期，每期396元,已经还款6期共2376元，想要一次性结清，却被告知还要交1886元，其中包括一定比例的利息，除此之外还会收取技术维护费，客户服务费，增值服务费等相关费用，，我只借了3000，却要还4262元请问这合理吗。</t>
  </si>
  <si>
    <t>平安普惠催收不停群发信息给亲戚打电话到公司</t>
  </si>
  <si>
    <t>http://ts.21cn.com/tousu/show/id/1368808</t>
  </si>
  <si>
    <t>2019/10/17 13:39:21</t>
  </si>
  <si>
    <t>每个月换个催收，每个月都发信息给家人，打电话到公司，告知我欠款事实，不给欠款人协商分期的机会，还说是我一直逃避。</t>
  </si>
  <si>
    <t>骚扰，恐吓，发虚假律师函</t>
  </si>
  <si>
    <t>http://ts.21cn.com/tousu/show/id/1368805</t>
  </si>
  <si>
    <t>2019/10/17 13:38:58</t>
  </si>
  <si>
    <t>借了8000，已经还了15期，分期24期，我要还14000多，最近手头上有点紧，还不上，马上金融就各种骚扰，还发虚假律师诉讼通知，天天催收，天天恐吓，还短信方式，还有当地住处也发了虚假诉讼通知，那么大的公司需要催收恐吓然后发虚假诉讼通知吗，我现在要求马上停止恐吓与骚扰通讯录人还有停止发虚假诉讼通知，我妈身体不好，受不了刺激，如果出了事你们马上金融担待的起吗。</t>
  </si>
  <si>
    <t>在我不知情的情况下无故扣款1343元</t>
  </si>
  <si>
    <t>http://ts.21cn.com/tousu/show/id/1368804</t>
  </si>
  <si>
    <t>2019/10/17 13:38:57</t>
  </si>
  <si>
    <t>今日在我不知情的情况下，在我中国工商银行卡内被该公司扣款1343元。</t>
  </si>
  <si>
    <t>黑心拍拍贷故意造成逾期</t>
  </si>
  <si>
    <t>http://ts.21cn.com/tousu/show/id/1368803</t>
  </si>
  <si>
    <t>2019/10/17 13:38:28</t>
  </si>
  <si>
    <t>黑心拍拍贷，3次造成我逾期，每次卡里都有钱，就是不扣款，自动还款也不扣，311块钱，逾期一次就是25元，请问这种垃圾平台怎么没大黑打掉，还把钱充值到拍拍贷余额里面，也是不扣款，随后立即打客服电话。</t>
  </si>
  <si>
    <t>马上金融短信威胁</t>
  </si>
  <si>
    <t>http://ts.21cn.com/tousu/show/id/1368801</t>
  </si>
  <si>
    <t>2019/10/17 13:38:01</t>
  </si>
  <si>
    <t>马上金融公司未与本人联系，借款金额9500，已还5000，但是高额的罚息和利息一直未协商处理，催收员通过短信威胁恐吓。</t>
  </si>
  <si>
    <t>成都安睿旺蜀网络科技有限公司违法乱扣费用</t>
  </si>
  <si>
    <t>http://ts.21cn.com/tousu/show/id/1368800</t>
  </si>
  <si>
    <t>2019/10/17 13:37:52</t>
  </si>
  <si>
    <t>成都安睿旺蜀网络科技有限公司为715平台提供引流服务，私自盗扣个人账户钱财。</t>
  </si>
  <si>
    <t>http://ts.21cn.com/tousu/show/id/1368797</t>
  </si>
  <si>
    <t>2019/10/17 13:37:41</t>
  </si>
  <si>
    <t>在已还款的情况，催收部门打电话谩骂，而且是阴阳合同。</t>
  </si>
  <si>
    <t>投诉北京今日头条科技有限公司，广告费不给退</t>
  </si>
  <si>
    <t>http://ts.21cn.com/tousu/show/id/1368799</t>
  </si>
  <si>
    <t>2019/10/17 13:37:38</t>
  </si>
  <si>
    <t>与今日头条签了广告投放协议，由于效果很差，我申请退款，但是申请退款，今日头条要求该公司公章，我公司已经与2019年7月份卖给别人，法人已经不是我了，无法盖公章，也联系过公司现在的拥有者，人家不配合，今日头条方就是没有盖公章就不给退，我个人觉得有我个人的手印就行，退也是退到我个人的银行账户，请求处理！。</t>
  </si>
  <si>
    <t>虚假合同</t>
  </si>
  <si>
    <t>http://ts.21cn.com/tousu/show/id/1368798</t>
  </si>
  <si>
    <t>2019/10/17 13:37:32</t>
  </si>
  <si>
    <t>本人购买二手车一辆，车商找来了美利车金融，美利车车金融业务员告诉我说可以零首付低利息，然后告诉我把车价报高些，原本车价是6.3万元结果叫我写成9万元这样方便放款，然后首付写2.7万元，然后叫我在一个页面上牌照还有签字，等到我还了几个月以后发展不对劲，就查询了征信结果发现我所贷款来自新网银行，而且是两笔贷款一个是6.3万元，一个19220元，然后我就咨询了新网银行但是客服并没有说具体原因就是没有权限，当我查询公众号发现两个合同最后一页就是当时我签字照片那个，可是银行和美利车一起串通弄虚作假来隐瞒金额，把一笔款</t>
  </si>
  <si>
    <t>融360暴力催收</t>
  </si>
  <si>
    <t>http://ts.21cn.com/tousu/show/id/1368796</t>
  </si>
  <si>
    <t>2019/10/17 13:37:28</t>
  </si>
  <si>
    <t>借款6500/还款8500，超出过节规定！还对我家里人朋友今晚骚扰！必须解释！该比借款先要求通过法律途径进行偿还。</t>
  </si>
  <si>
    <t>上海翼勋金融放高利贷，收砍头息，多项收费，打到年利率50%，暴力催收</t>
  </si>
  <si>
    <t>http://ts.21cn.com/tousu/show/id/1368795</t>
  </si>
  <si>
    <t>2019/10/17 13:36:55</t>
  </si>
  <si>
    <t>上海翼勋金融放高利贷，收砍头息，多项收费，达到年利率50%，暴力催收，借款8万，到账7万，已经还款131075元，还有最后一期无力还款，南京门店已经倒闭，和客服协商最后一期不还，客服也答应也说公司老板跑路，公司现在倒闭，可以不用再还，到现在第三方打着翼勋名义的催收人员电话号码：175******19，186******19两个山东泰安的号码暴力催收，骚扰我的家人还有同事，发短信和打电话。</t>
  </si>
  <si>
    <t>闪银乱收费</t>
  </si>
  <si>
    <t>http://ts.21cn.com/tousu/show/id/1368794</t>
  </si>
  <si>
    <t>2019/10/17 13:36:24</t>
  </si>
  <si>
    <t>投诉人王先生投诉对象闪银涉诉金额600元问题类型诉求类型投诉详情我只还本金和利息，什么保证金不是乱收费吗，一千块利息一百多就够黑了，还乱收费，跟客服沟通就没一个理人的。</t>
  </si>
  <si>
    <t>因为最近资金紧张自己华农钱庄网贷借款3000实际到账1600</t>
  </si>
  <si>
    <t>http://ts.21cn.com/tousu/show/id/1368792</t>
  </si>
  <si>
    <t>2019/10/17 13:36:09</t>
  </si>
  <si>
    <t>资金紧张自己华农钱庄网贷借款3000实际到账1650要求7天还3000。</t>
  </si>
  <si>
    <t>马上金融安逸花逾期费用太高，暴力催收</t>
  </si>
  <si>
    <t>http://ts.21cn.com/tousu/show/id/1368793</t>
  </si>
  <si>
    <t>2019/10/17 13:35:56</t>
  </si>
  <si>
    <t>平台借款12800元，期间一直正常还款，因意外情况9月底逾期，平台立马群发通讯录，不停电话骚扰，甚至恐吓，半个多月的时间逾期费一下涨了400多元，那十万块不得涨到4000。</t>
  </si>
  <si>
    <t>投诉无门，先前投诉仍未解决，现如今投诉称重复不予受理，太霸道</t>
  </si>
  <si>
    <t>http://ts.21cn.com/tousu/show/id/1368764</t>
  </si>
  <si>
    <t>2019/10/17 13:35:42</t>
  </si>
  <si>
    <t>投诉人项先生投诉对象掌众金服涉诉金额7200元问题类型诉求类型投诉详情先前有过投诉，当时闪电借款官方态度强硬，违规变相收取砍头息899元，后投诉，客服回电称不能退，要退可以，现在还全款，本金也就6300，过了几天就要收利息将近四百元，年利率算下来都得百分之好几万，不合理我未同意，那边说只能这样没有其它办法要么接受接受不了就没有了，一直拖到今天，再去投诉此事，闪电借款方，一句重复不予受理，就没了，我想问，我要向谁投诉。</t>
  </si>
  <si>
    <t>买的行李箱质量不过关，退款，对方不愿承担运费处理</t>
  </si>
  <si>
    <t>http://ts.21cn.com/tousu/show/id/1368790</t>
  </si>
  <si>
    <t>2019/10/17 13:35:41</t>
  </si>
  <si>
    <t>投诉人陈女士女士投诉对象uldun旗舰店涉诉金额38元问题类型诉求类型投诉详情此店铺购买的行李箱质量不过关，退款，对方不愿意承担处理运费。</t>
  </si>
  <si>
    <t>蟹老弟还款联系不上，无法还款</t>
  </si>
  <si>
    <t>http://ts.21cn.com/tousu/show/id/1368791</t>
  </si>
  <si>
    <t>2019/10/17 13:35:38</t>
  </si>
  <si>
    <t>蟹老弟平台无法联系还款，也是高利贷，希望平台联系我协商还款！。</t>
  </si>
  <si>
    <t>诱惑理财</t>
  </si>
  <si>
    <t>http://ts.21cn.com/tousu/show/id/1368751</t>
  </si>
  <si>
    <t>2019/10/17 13:35:11</t>
  </si>
  <si>
    <t>投诉人牟军投诉对象远东理财涉诉金额10000元问题类型诉求类型投诉详情我被微信网友带到一个叫远东理财的猜大小单双的平台，先后充值600在里面连本金赚了一万，当时客服说了一万可以买会员然后我预约了会员，我现在有一万的会员资格他们又说我逾期让我在充值9700才可以解冻我的逾期会员，现在客服也让我不能进平台了，点击二维码就提示联系客服，我觉得他们是在欺骗。</t>
  </si>
  <si>
    <t>酷卡贷714强制购物借款</t>
  </si>
  <si>
    <t>http://ts.21cn.com/tousu/show/id/1368789</t>
  </si>
  <si>
    <t>2019/10/17 13:34:53</t>
  </si>
  <si>
    <t>酷卡借款1500必须购物300元，14天期限，。</t>
  </si>
  <si>
    <t>http://ts.21cn.com/tousu/show/id/1368788</t>
  </si>
  <si>
    <t>2019/10/17 13:34:47</t>
  </si>
  <si>
    <t>新意花平台借款2800，8天为一期，总共4期需还4088，属于严重高利贷的情况下，之前还款通道关闭支付宝也还不进去客服联系不到造成恶意逾期让用户承担全额逾期费，我之前因为无法还款担心他们耍赖皮已去报警处理，并在报警后第一时间告知该平台，该平台在昨天催收明知道我已报警的情况下只因我拒绝承担恶意逾期费用便打电话给联系人进行骚扰！！情况十分恶劣！畅捷支付为此高利贷提供放款通道！要求平台进行严惩，商家调整利率并向我道歉！。</t>
  </si>
  <si>
    <t>乱罚款</t>
  </si>
  <si>
    <t>http://ts.21cn.com/tousu/show/id/1368787</t>
  </si>
  <si>
    <t>2019/10/17 13:34:33</t>
  </si>
  <si>
    <t>审核只需要任何一件他们的商品就可以了我都拍了俩个还审核不通过，有的时候还罚10元，不知道他们是以什么标准在乱罚款，。</t>
  </si>
  <si>
    <t>淘集集app诚若七天无理由退货退款并没有做到</t>
  </si>
  <si>
    <t>http://ts.21cn.com/tousu/show/id/1368785</t>
  </si>
  <si>
    <t>2019/10/17 13:34:23</t>
  </si>
  <si>
    <t>淘集集客服未履行商家三天内退款七天内无理由退货退款，服务态度敷衍，提到退款客服避而不谈，找各种理由应付我不退款。</t>
  </si>
  <si>
    <t>维信卡卡贷涉嫌高利率和砍头息发</t>
  </si>
  <si>
    <t>http://ts.21cn.com/tousu/show/id/1368783</t>
  </si>
  <si>
    <t>2019/10/17 13:34:04</t>
  </si>
  <si>
    <t>被催收人员爆通讯录，他已经侵犯了你的隐私权完全可以向他所属部门投诉他或者采用法律手段维护自身权益要求赔偿或者惩戒催收人员。</t>
  </si>
  <si>
    <t>暴力催收高利贷</t>
  </si>
  <si>
    <t>http://ts.21cn.com/tousu/show/id/1368782</t>
  </si>
  <si>
    <t>2019/10/17 13:33:31</t>
  </si>
  <si>
    <t>及贷里面的智享贷是高利贷，逾期一天就爆我通讯录威胁恐吓我亲人朋友，侵犯我个人隐私，严重影响我生活工作。</t>
  </si>
  <si>
    <t>银行卡被他人绑定微信盗刷</t>
  </si>
  <si>
    <t>http://ts.21cn.com/tousu/show/id/1368781</t>
  </si>
  <si>
    <t>本人于2019年10月16好晚8点至11点时，在不知情的情况下中国银行储蓄卡被他人绑定微信并盗刷，查询中国银行的记录得知为微信支付渠道扣去，本人只收到银行的扣款通知，查询中国银行的记录得知为微信支付渠道扣去，但是本人卡片于2019年6月时办理并未绑定本人微信账户下，联系微信客服方人工客服永远打不进去、只有等待公众号回复、已经查到为同一账号盗刷、但客服不提供犯罪分子微信账户信息、实在毫无作为。</t>
  </si>
  <si>
    <t>大赢家彩票</t>
  </si>
  <si>
    <t>http://ts.21cn.com/tousu/show/id/1368780</t>
  </si>
  <si>
    <t>2019/10/17 13:32:57</t>
  </si>
  <si>
    <t>引诱别人说兼职赚钱，骗别人充值说能赚钱，充了钱进去才知道在骗人家在赌钱，现在要求把钱退还回来。</t>
  </si>
  <si>
    <t>美团暴力催收轰炸通讯录</t>
  </si>
  <si>
    <t>http://ts.21cn.com/tousu/show/id/1368778</t>
  </si>
  <si>
    <t>2019/10/17 13:32:55</t>
  </si>
  <si>
    <t>因周转在美团借款，因前几个月工作调动资金链断裂，导致逾期，刚开始文明催收到后期开始暴力催收，电话轰炸。</t>
  </si>
  <si>
    <t>随手记福贷高利息贷款，变相收取费用</t>
  </si>
  <si>
    <t>http://ts.21cn.com/tousu/show/id/1368779</t>
  </si>
  <si>
    <t>随手记福贷贷款的收取砍头息，以保险的名义收取，暴力催收，恐吓，拨打通讯录电话。</t>
  </si>
  <si>
    <t>利用别家信贷公司，套取他人钱财</t>
  </si>
  <si>
    <t>http://ts.21cn.com/tousu/show/id/1368761</t>
  </si>
  <si>
    <t>2019/10/17 13:32:50</t>
  </si>
  <si>
    <t>投诉人夏先生投诉对象凡普金科APP在线官网涉诉金额1340元问题类型诉求类型投诉详情利用凡普信贷官网，在微信凡普金科APP在线官网人工客服，工作人员套取索要他人还款金额。</t>
  </si>
  <si>
    <t>上海造艺网络科技有限公司乱扣钱</t>
  </si>
  <si>
    <t>http://ts.21cn.com/tousu/show/id/1368775</t>
  </si>
  <si>
    <t>2019/10/17 13:32:16</t>
  </si>
  <si>
    <t>2019/10/15注册了平台，10/18没经过我的同意，胡乱扣费！。</t>
  </si>
  <si>
    <t>新意花小木钱包非法高利贷</t>
  </si>
  <si>
    <t>http://ts.21cn.com/tousu/show/id/1368774</t>
  </si>
  <si>
    <t>2019/10/17 13:31:42</t>
  </si>
  <si>
    <t>本人通过信用管家下载新意花，在里面的小木钱包借到两笔钱，一笔为1400元，期限为32天，分为四期，每8天为一期，每期还511元，利息644元，第二笔为2800，同样分为4期，每8天为一期，每期偿还1022元，利息高达一千二百多元，第一笔已还两期，本来利息就高了，当再到还款日时发现APP无法进入还款，从而导致全部逾期，直到昨天有催收来电话居然叫我还款11214元，我怀疑该平台故意制造借款人逾期从而收取高额逾期费，这属于国家严打的高利贷套路贷，在国家强势扫黑除恶的趋势下，平台知法犯法，已经严重违法乱纪，现我已无</t>
  </si>
  <si>
    <t>洋钱罐借款没到期，它们电话轰炸我</t>
  </si>
  <si>
    <t>http://ts.21cn.com/tousu/show/id/1368773</t>
  </si>
  <si>
    <t>2019/10/17 13:31:08</t>
  </si>
  <si>
    <t>投诉人杨先生投诉对象洋钱罐借款,北京瓴岳信息技术,霍尔果斯数字森林信息技术涉诉金额1500元问题类型诉求类型投诉详情我在霍尔果斯数字森林信息技术有限公司旗下的洋钱罐借款平台借了钱分6期还，每月17日还款，我已经还了两期了，本月15号开始洋钱罐借款连续开始用语音电话骚扰我，提醒我还款日要到了，并且要求它们的语音提示电话我必须接听20秒，否则就全天候骚扰性拨打我的电话，仅16号一天我先后接到4次提醒语音电话，严重影响我的工作，我认为我的借款没有到期并且我更加没有逾期，洋钱罐借款没有任何权利以还款的名义骚扰我，影</t>
  </si>
  <si>
    <t>http://ts.21cn.com/tousu/show/id/1368771</t>
  </si>
  <si>
    <t>2019/10/17 13:31:07</t>
  </si>
  <si>
    <t>因手头资金周转不开！逾期两日！通讯录遭遇骚扰。</t>
  </si>
  <si>
    <t>水莲金条砍头息</t>
  </si>
  <si>
    <t>http://ts.21cn.com/tousu/show/id/1368772</t>
  </si>
  <si>
    <t>2019/10/17 13:31:00</t>
  </si>
  <si>
    <t>本人2019年2月25日在融360平台申请了，到账后扣除了3000元的砍头息，实际到账12000.。</t>
  </si>
  <si>
    <t>http://ts.21cn.com/tousu/show/id/1368769</t>
  </si>
  <si>
    <t>2019/10/17 13:29:55</t>
  </si>
  <si>
    <t>投诉人钟先生投诉对象广发银行涉诉金额25299元问题类型诉求类型投诉详情两年多没用这张卡，期间一直有还款，感觉越还越多。</t>
  </si>
  <si>
    <t>被莫名其妙的扣钱</t>
  </si>
  <si>
    <t>http://ts.21cn.com/tousu/show/id/1368767</t>
  </si>
  <si>
    <t>2019/10/17 13:28:53</t>
  </si>
  <si>
    <t>投诉人 孙先生        投诉对象  仙域信息技术有限公司,你我花        涉诉金额  198 元    问题类型    诉求类型投诉详情  莫名的被扣款 没输入任何密码 要求退款</t>
  </si>
  <si>
    <t>http://ts.21cn.com/tousu/show/id/1368766</t>
  </si>
  <si>
    <t>2019/10/17 13:28:35</t>
  </si>
  <si>
    <t>03月06日，在网上看到尚德提升学历的广告，然后在销售人员的介绍下网络交费的形式报考了行政管理专科不过退费班自学考试，先开始我很犹豫，当时销售人员介绍；“自考办的政策如果你现在不报考等明年再报不仅学习的难度很大还增加数学，英语的科目趁现在没有出来的时候报考不仅能更快的拿证通过率还很高，你如果没有拿到毕业证咱们有保险理赔到期后可以全额费用当时我就放心的交费了，各种手续都是销售人员处理的也没有和我说合同保险的内容，缴费完成后因为没有时间学习先是申请的休学冻结课程，期间我没有学习过任何一门课程，现在因为个人原因不</t>
  </si>
  <si>
    <t>http://ts.21cn.com/tousu/show/id/1368734</t>
  </si>
  <si>
    <t>2019/10/17 13:28:34</t>
  </si>
  <si>
    <t>钱橙无忧在未经允许的情况下私自扣款168元，本人根本没有确认需购买的所谓信用报告，要求马上退款。</t>
  </si>
  <si>
    <t>http://ts.21cn.com/tousu/show/id/1368765</t>
  </si>
  <si>
    <t>2019/10/17 13:27:34</t>
  </si>
  <si>
    <t>闪银高利贷，前期给了很多砍头息，现在已无力支付，现在想提前结清所有欠款，要求协商还款，减免利息。</t>
  </si>
  <si>
    <t>招联金融逾期费用太高，暴力催收</t>
  </si>
  <si>
    <t>http://ts.21cn.com/tousu/show/id/1368763</t>
  </si>
  <si>
    <t>2019/10/17 13:26:31</t>
  </si>
  <si>
    <t>平台借款22500元，2019年7月份无缘无故把额度冻结了，我仍旧按时还款，因意外情况9月底逾期，平台立马群发通讯录，不停电话骚扰，甚至恐吓，短短一个月时间加上逾期费居然要还6687元。</t>
  </si>
  <si>
    <t>你我贷黑社会催收</t>
  </si>
  <si>
    <t>http://ts.21cn.com/tousu/show/id/1368762</t>
  </si>
  <si>
    <t>2019/10/17 13:26:20</t>
  </si>
  <si>
    <t>你我贷你到底是合法的吗，收我那么多利息逾期一天就威胁。</t>
  </si>
  <si>
    <t>退还服务费</t>
  </si>
  <si>
    <t>http://ts.21cn.com/tousu/show/id/1368663</t>
  </si>
  <si>
    <t>2019/10/17 13:26:09</t>
  </si>
  <si>
    <t>江苏百瑞赢咨询有限公司的股票群中老师团队所承诺的服务及行为，与事实严重不符，销售人员隐瞒公司规定，在我不符合条件下，还继续诱导我购买他们公司的服务，还有刘主任并没有告诉我这些规定，存在故意隐瞒还欺骗行为，期间股票也没有达到收益，购买后与我的期望值落，所提供的服务涉嫌夸大宣传，以及欺骗消费者，所要求退款服务费用35900，微信号:aaff560添加了我的微信，宣称他们是“江苏百瑞赢证券咨询有限公司”的老师的助理，能带领会员操作牛股，并拉进他们的一个微信群，当时群里有480多人，其中大部分人都在吹嘘跟老师买什么</t>
  </si>
  <si>
    <t>韦博英语全国门店倒闭，学员学费退款无门，学费贷款依然在还</t>
  </si>
  <si>
    <t>http://ts.21cn.com/tousu/show/id/1368760</t>
  </si>
  <si>
    <t>2019/10/17 13:25:44</t>
  </si>
  <si>
    <t>10月1日起，媒体就多次曝光从北京开始，全国各地的韦博英语培训机构陆续因为融资链断裂，老板卷款潜逃而关门停业的事件，在此期间我们各地区的学员也多次向各自的课程顾问老师咨询近况，老师都回复依然会正常营业和安排课程，直到2019年10月16日凌晨，广州的所有韦博英语分店老师陆续群发消息通知学员机构要关门停业，不再安排任何课程，学员们一时陷入了深渊困境，因为除个别学员是一次性付款学费之外，大部分学员都是通过课程顾问老师推荐的金融机构或网贷机构分期付款学费的，现时所有学员面临“无课可上，但是贷款照还，且无法停贷”的</t>
  </si>
  <si>
    <t>钱站暴力催收威胁恐吓</t>
  </si>
  <si>
    <t>http://ts.21cn.com/tousu/show/id/1368759</t>
  </si>
  <si>
    <t>2019/10/17 13:25:10</t>
  </si>
  <si>
    <t>钱站这家人就因为我生病没看手机导致借款逾期三天就收取高息，之后还电话短信恐吓威胁辱骂，让我觉得不好就去投诉，太过分了，还用这样的方法逼过别人跳楼，这样的平台怎么没人处理，要求道歉严惩下架这样的平台，太过分了。</t>
  </si>
  <si>
    <t>汇付天下，上海富友为一品花714高炮提供支付同道</t>
  </si>
  <si>
    <t>http://ts.21cn.com/tousu/show/id/1368758</t>
  </si>
  <si>
    <t>2019/10/17 13:24:43</t>
  </si>
  <si>
    <t>投诉人孟先生投诉对象一品花,汇付天下,富友支付涉诉金额13250元问题类型诉求类型投诉详情本人2019年5月15在一品花借款3000元，到账2100元，5月21日还款3014.7/5.24借款3000元到账2100元，5.30日还款3014元/5.31日借款4000元到账2600，6.5日还款4014.6元/6.8日借款5000元到账3250元，6.13日还款5018.5元/6.13日借款5000元到账3250元，6.19日还款5021.75元/6.19日借款5000元到账3250元，6.25日续期1749</t>
  </si>
  <si>
    <t>滴滴平台派单问题暗箱操作</t>
  </si>
  <si>
    <t>http://ts.21cn.com/tousu/show/id/1368757</t>
  </si>
  <si>
    <t>2019/10/17 13:24:42</t>
  </si>
  <si>
    <t>下图简单发送有客服解释，图二我的工作流水和最后图同事流水，我4月份考人证跑8单几乎是天天跑，直到8月份办理车证，到9月份7号车证办好还是没有派单限制，没有就近派单，封禁我Y4订单包括所有女乘客订单，导致我订单量总额下滑严重。</t>
  </si>
  <si>
    <t>http://ts.21cn.com/tousu/show/id/1368756</t>
  </si>
  <si>
    <t>2019/10/17 13:24:32</t>
  </si>
  <si>
    <t>投诉人胡先生投诉对象万分期贷涉诉金额2000元问题类型诉求类型投诉详情借款1850到账1200。</t>
  </si>
  <si>
    <t>初九钱包7天高炮</t>
  </si>
  <si>
    <t>http://ts.21cn.com/tousu/show/id/1368755</t>
  </si>
  <si>
    <t>2019/10/17 13:24:12</t>
  </si>
  <si>
    <t>投诉人王佳片投诉对象初九钱包涉诉金额1520元问题类型诉求类型投诉详情初九钱包是714高利贷，借款时误导购买的游戏豆无法使用，要求退还不合规的部分资金。</t>
  </si>
  <si>
    <t>高利贷，砍头息，中国平安i贷</t>
  </si>
  <si>
    <t>http://ts.21cn.com/tousu/show/id/1368753</t>
  </si>
  <si>
    <t>2019/10/17 13:24:10</t>
  </si>
  <si>
    <t>投诉人韦先生投诉对象中国平安普惠i贷涉诉金额4300元问题类型诉求类型投诉详情平安i贷从未正面解决借款人借款合同纠纷和还款事宜！当事人现在也不清楚借了多少钱，况且i贷自动扣款也复杂化，弄得借款当事人究竟还了多少钱也不清楚，望能解决借款合同纠纷！。</t>
  </si>
  <si>
    <t>http://ts.21cn.com/tousu/show/id/1368752</t>
  </si>
  <si>
    <t>2019/10/17 13:24:09</t>
  </si>
  <si>
    <t>投诉人刘先生投诉对象拍拍贷涉诉金额4000元问题类型诉求类型投诉详情威胁，爆通迅录</t>
  </si>
  <si>
    <t>钱站砍头息高利贷阴阳合同</t>
  </si>
  <si>
    <t>http://ts.21cn.com/tousu/show/id/1368750</t>
  </si>
  <si>
    <t>2019/10/17 13:23:25</t>
  </si>
  <si>
    <t>投诉人张先生投诉对象钱站涉诉金额7000元问题类型诉求类型投诉详情借款7000，合同金额9000，分了六期实际要还一万三千多，这个利率是何等的高啊，都快一倍了，国家明文规定利率，你超出这么多，试问谁给你的权利，这是中国，法治社会，钻法律空子必将严惩不贷，我们作为借款人，法律该还的范围之内我们必将一分不少，但是规定以外的，我拒不偿还，我的钱也是血汗钱，今天还款期了，我现在的等你调整利率，啥时候利率正常了我再还，不正常的利率，让我还钱是不可能的，电话我24小时开机，也别整那些没用的啥联系不到人，骚扰家人必报警，</t>
  </si>
  <si>
    <t>钱站借1000元还1495元合理吗</t>
  </si>
  <si>
    <t>http://ts.21cn.com/tousu/show/id/1368749</t>
  </si>
  <si>
    <t>2019/10/17 13:23:18</t>
  </si>
  <si>
    <t>我本人在钱站借了1000元，分3期还，算下来要还1495元，严重高利货，希望平台严查，。</t>
  </si>
  <si>
    <t>平安银行为714高炮平台惠花花提供支付渠道</t>
  </si>
  <si>
    <t>http://ts.21cn.com/tousu/show/id/1368746</t>
  </si>
  <si>
    <t>2019/10/17 13:21:52</t>
  </si>
  <si>
    <t>平安银行给惠花花这种714平台不具备放款条件提供支付渠道，查看放款渠道是通过平安银行放款，入不处理本人投诉到银监会各种地方进行投诉到底。</t>
  </si>
  <si>
    <t>微粒贷上门暴力催收威胁家人</t>
  </si>
  <si>
    <t>http://ts.21cn.com/tousu/show/id/1368747</t>
  </si>
  <si>
    <t>2019/10/17 13:21:46</t>
  </si>
  <si>
    <t>微粒贷自动扣款失败，卡里存着足够的钱他们系统扣不过去，说我逾期，然后没有任何提示，过了三四天收到亲戚朋友打来的电话说我欠款不还的事，现在每天都给我亲戚朋友打电话，我这威胁电话就不说了，都有录音，现在上门去村里然后挨家挨户的去说我欠款不还，而且上门也没给我打电话沟通说过，跟他们联系沟通还款各种理由推脱，这个还不了，那样也不行，就是拖着让多付违约金什么的，收集证据准备去起诉。</t>
  </si>
  <si>
    <t>OPPOR9SPLUS自2019年4月起出现无限重启，要求OPPO给予免费更换主板服务</t>
  </si>
  <si>
    <t>http://ts.21cn.com/tousu/show/id/1368745</t>
  </si>
  <si>
    <t>2019/10/17 13:21:31</t>
  </si>
  <si>
    <t>PLUS出现无限重启问题，鉴于此为群体性事件，多数OPPO，这是OPPO从源头就并未做好产品质量的把控工作，作为消费者我希望OPPO免费为我的OPPO，请OPPO官方人员重视客户体验，及时解决问题。</t>
  </si>
  <si>
    <t>小赢卡贷捆绑合同，暴力催收，威胁生命安全</t>
  </si>
  <si>
    <t>http://ts.21cn.com/tousu/show/id/1368697</t>
  </si>
  <si>
    <t>2019/10/17 13:21:19</t>
  </si>
  <si>
    <t>投诉人张先生投诉对象小赢卡贷涉诉金额23000元问题类型诉求类型投诉详情贷款还没看到明细，点击下一步就已经贷款成功了，17000的本金，还捆绑销售保险，借款人无法选择，显示还款总额23118.77，让提供明细，他们说自己可以看到，但是贷款过程中看不到任何明细，存在欺诈，阴阳合同，另外，本人在提前协商延期还款的同时，暴通讯录，骚扰家人，辱骂，威胁生命安全。</t>
  </si>
  <si>
    <t>逾期利息太高，</t>
  </si>
  <si>
    <t>http://ts.21cn.com/tousu/show/id/1368744</t>
  </si>
  <si>
    <t>2019/10/17 13:21:17</t>
  </si>
  <si>
    <t>借款金额放款一千多需还3500，算上滞纳金太高接受不了。</t>
  </si>
  <si>
    <t>新橙优品高利贷</t>
  </si>
  <si>
    <t>http://ts.21cn.com/tousu/show/id/1368742</t>
  </si>
  <si>
    <t>2019/10/17 13:20:48</t>
  </si>
  <si>
    <t>借10000，扣了砍投息1000，一个月还1830，严重超过国家标准，要求提前结清调整利率。</t>
  </si>
  <si>
    <t>上海富友支付为顺心花714高炮提供支付通道要求退还砍头息</t>
  </si>
  <si>
    <t>http://ts.21cn.com/tousu/show/id/1368743</t>
  </si>
  <si>
    <t>2019/10/17 13:20:46</t>
  </si>
  <si>
    <t>6月14日在顺心花借款5000实际到账3500。</t>
  </si>
  <si>
    <t>五一公积金语言攻击暴力催收</t>
  </si>
  <si>
    <t>http://ts.21cn.com/tousu/show/id/1368741</t>
  </si>
  <si>
    <t>2019/10/17 13:20:08</t>
  </si>
  <si>
    <t>第三方催收恐吓语言威胁人身攻击骚扰，请给个合理的解释。</t>
  </si>
  <si>
    <t>http://ts.21cn.com/tousu/show/id/1368740</t>
  </si>
  <si>
    <t>2019/10/17 13:19:42</t>
  </si>
  <si>
    <t>投诉人何先生投诉对象钱站,凡普金科涉诉金额140000元问题类型诉求类型投诉详情高利贷，套路贷1，2017年4月17日借款1万，分36期，合同显示本金10800，合同上写综合年化成本25.3225首期服务费756.80后续每期155.67，总还款18204.482，2017年5月22日借款7万，分36期，到账64800，合同上综合年化成本25.3096%，首期服务费是4540.80后续每期服务费934.04，逾期的罚息是本息加服务费×10%计算，总还款109226.883，2019年10月8日借款7000，</t>
  </si>
  <si>
    <t>滴滴改正每天不合理扣分</t>
  </si>
  <si>
    <t>http://ts.21cn.com/tousu/show/id/1368739</t>
  </si>
  <si>
    <t>2019/10/17 13:19:22</t>
  </si>
  <si>
    <t>我是苏州的一名双证合规的滴滴快车司机，城市英雄级别，每天保持在线14小时左右，滴滴从10月开始基本每天都会扣我“调度分”，以致我口碑值从299.7下降到297.25，导致我接单困难，一天的流水少了150左右，滴滴10月份只有13号给我调度，其他时间均无调度，但每天会扣除25天前的当天调度分，因为这事给客服打了5-6次电话，一直是敷衍了事，说系统不完善要给它机会什么的，并会上报，直至昨天有人回复，让我今天关注调度，我现在发文时仍没接到调度，2，调度任务参加会加0.15分/次，否则会扣0.15分/次，例今天参加</t>
  </si>
  <si>
    <t>群利花平台五天利息高达1240元</t>
  </si>
  <si>
    <t>http://ts.21cn.com/tousu/show/id/1364300</t>
  </si>
  <si>
    <t>2019/10/17 13:18:58</t>
  </si>
  <si>
    <t>投诉人武女士投诉对象群利花,贷上你涉诉金额2000元问题类型诉求类型投诉详情我因家中突发急事，12号通过贷上你平台里下载了群利花app，借款2000元5天以后还款3240，到了还款日怎么也打不开软件，只能转了1240利息延期到20号还款，期间有人给我打电话沟通提前还款，让我还2900销账，我的最大限度是2500，否则我就去报警，大不了一命抵一命，把我逼死了，对你们没有好结果，我的最大限度就是这。</t>
  </si>
  <si>
    <t>群发短信，恐吓催收，骚扰通讯录</t>
  </si>
  <si>
    <t>http://ts.21cn.com/tousu/show/id/1368738</t>
  </si>
  <si>
    <t>2019/10/17 13:18:46</t>
  </si>
  <si>
    <t>高利贷骚扰通讯录，盗取用户信息，群发威胁短信，要求停止骚扰通讯录。</t>
  </si>
  <si>
    <t>http://ts.21cn.com/tousu/show/id/1368737</t>
  </si>
  <si>
    <t>2019/10/17 13:17:13</t>
  </si>
  <si>
    <t>本人于2019年10月16号晚8点至11点间，在不知情的情况下中国银行储蓄卡被他人绑定微信并盗刷，查询中国银行的记录得知为微信支付渠道扣去，本人只收到银行的扣款通知，查询中国银行的记录得知为微信支付渠道扣去，联系微信客服方人工客服永远打不进去、只能等公众号回复、实在是没有作为。</t>
  </si>
  <si>
    <t>退还不正当收费,解除银行卡绑定，注销账号</t>
  </si>
  <si>
    <t>http://ts.21cn.com/tousu/show/id/1368736</t>
  </si>
  <si>
    <t>2019/10/17 13:16:46</t>
  </si>
  <si>
    <t>该公司旗下App“聚富分期”注册账号时，在没有任何提示及确认的情况下，收取本人299元信用评估费，且在与客服沟通之后，在没有任何经济纠纷的情况下，拒接我解除银行卡信息绑定的正当请求，有着强烈的再次扣费的企图，请改公司提供评估资质并退还不正当收费，同时解除我的银行卡绑定。</t>
  </si>
  <si>
    <t>http://ts.21cn.com/tousu/show/id/1368735</t>
  </si>
  <si>
    <t>2019/10/17 13:16:31</t>
  </si>
  <si>
    <t>暴力催收，恐吓，骚扰家人朋友，严重影响我的生活了。</t>
  </si>
  <si>
    <t>变相收取保险费</t>
  </si>
  <si>
    <t>http://ts.21cn.com/tousu/show/id/1368733</t>
  </si>
  <si>
    <t>2019/10/17 13:16:06</t>
  </si>
  <si>
    <t>马上金融本金8000，还款10651.68，利息保险费高达2651.68，安逸花本金2000，还款2994多，利息保险高大900多，协商退款态度恶劣。</t>
  </si>
  <si>
    <t>不知道怎么形容</t>
  </si>
  <si>
    <t>http://ts.21cn.com/tousu/show/id/1368698</t>
  </si>
  <si>
    <t>2019/10/17 13:15:58</t>
  </si>
  <si>
    <t>2017年借了招联的钱，逾期客服打电过来，解释了一下，本人做工地的因为包工头那边推迟三天发工资所以只能等工资发了再还，当时谈好了，三天后发工资马上还，我说多两句他就直接问我你现在直接告诉我你是还还是不还就行了，别说那么多。我说多两句他就直接问我你们这样连个说发解释都不给还要我还钱？结果第二天通讯录就被爆了，第三天客服打电话过来我问怎么回事，客服直接说不关他的事，说他们招联有很多客服可能是别人，”我当时很火大就问他“你们这样连个说发解释都不给还要我还钱，之后的客服也有打给我，我每次都只有一样问题，事情发展到现</t>
  </si>
  <si>
    <t>http://ts.21cn.com/tousu/show/id/1368732</t>
  </si>
  <si>
    <t>2019/10/17 13:15:08</t>
  </si>
  <si>
    <t>额度批准了26500到手只剩25000我不知道那一千五哪里去了，逾期几天直接爆通讯录，非常生气，当时客服态度先很好，后来我说十月七号再还立刻不行了，最后直接放了一句狠话给我电话挂了，不给我一个合理安排我回投诉到底，试试吧，这个不行，我找人一起投诉，这个平台解决不了我就换平台投诉，我跟你们杠上了。</t>
  </si>
  <si>
    <t>本人实名投诉中国银联和上海瀚银，违反法规为境外赌博集团结算资金，要求上海瀚银退还我的血汗钱</t>
  </si>
  <si>
    <t>http://ts.21cn.com/tousu/show/id/1368731</t>
  </si>
  <si>
    <t>2019/10/17 13:14:55</t>
  </si>
  <si>
    <t>投诉上海瀚银信息技术有限公司本人被引诱到一个网站充值入金4万多，后来发现是网络赌博平台，通过了解得知并非正规的购彩网站，是有后台操控的一个违法平台，另外通过中国人民银行和支付清算协会沟通得知第三方支付业务应审核客户的相关信息，第三方支付公司不得向证券、期货、博彩等机构提供支付结算业务，根据银行流水查到资金是通过瀚银支付公司支付的，以二维码支付以及在线银联支付方式，作为有牌照的支付公司没有履行国家相关法律法规要求，为违法违规机构平台提供支付结算通道，即产生了洗钱的嫌疑，金融机构客户身份识别和客户身份资料及交易</t>
  </si>
  <si>
    <t>水莲金条高利息上征信</t>
  </si>
  <si>
    <t>http://ts.21cn.com/tousu/show/id/1368729</t>
  </si>
  <si>
    <t>2019/10/17 13:14:41</t>
  </si>
  <si>
    <t>投诉人 李女士        投诉对象  水莲金条 河北亿丰担保公司        涉诉金额  7 000 元    问题类型    诉求类型投诉详情  水莲金条高利息贷款 高利息放不正当放款 还强行让担保公司让借款者上征信 一百多天罚息七百多 暴力催收 借一万12期一月还1045.16 利息高达万数</t>
  </si>
  <si>
    <t>电话催收骚扰电话骂人威胁骚扰我朋友同事</t>
  </si>
  <si>
    <t>http://ts.21cn.com/tousu/show/id/1368730</t>
  </si>
  <si>
    <t>2019/10/17 13:14:33</t>
  </si>
  <si>
    <t>投诉人 支先生        投诉对象  MY钱包,MY钱包        涉诉金额  19 000 元    问题类型    诉求类型投诉详情  调整利息 不要打电话给我朋友同事 停止电话骚扰 骂人等现象</t>
  </si>
  <si>
    <t>短信电话威胁本人家人朋友</t>
  </si>
  <si>
    <t>http://ts.21cn.com/tousu/show/id/1368728</t>
  </si>
  <si>
    <t>2019/10/17 13:14:23</t>
  </si>
  <si>
    <t>投诉人 高磊        投诉对象  小花钱包        涉诉金额  1 800 元    问题类型    诉求类型投诉详情  高利贷砍头息 不是不还钱 利息太高 被套路 威胁恐吓本人及家人朋友 要求停止骚扰可以协商</t>
  </si>
  <si>
    <t>创造与魔法转盘概率是个慌</t>
  </si>
  <si>
    <t>http://ts.21cn.com/tousu/show/id/1368586</t>
  </si>
  <si>
    <t>2019/10/17 13:14:05</t>
  </si>
  <si>
    <t>我抽的进化果实3%和6.5%！我抽了70次就一个果子！客服告诉我中奖率和买买彩票一样的！。</t>
  </si>
  <si>
    <t>套路贷安庆盛通信息科技有限公司盗刷我银行卡288元，打电话到公司拒不退还</t>
  </si>
  <si>
    <t>http://ts.21cn.com/tousu/show/id/1368687</t>
  </si>
  <si>
    <t>2019/10/17 13:14:00</t>
  </si>
  <si>
    <t>10月15日我申请的情人花网贷，填写完资料并且绑定银行卡，显示审核需要1到3个工作日，10月16号夜里22:18分，今天中午发现银行卡莫名其妙被扣走288元，显示是安庆盛通科技信息有限公司扣走，我打电话给网贷平台客服，客服拒不退还，并且要求我申请其他平台的高利贷，不申请不退还，行为恶劣，以虚假宣传为前提欺骗大家申请贷款，绑定银行卡之后私自扣款，无奈之下求助于聚投诉，希望能讨回公道。</t>
  </si>
  <si>
    <t>拼多多活动欺诈消费者</t>
  </si>
  <si>
    <t>http://ts.21cn.com/tousu/show/id/1368727</t>
  </si>
  <si>
    <t>2019/10/17 13:13:44</t>
  </si>
  <si>
    <t>拼多多的一个分享给其他用户拆红包的活动，分为100金额和200金额，金额下方分别显示为，金额满100元即可提现至微信零钱或者金额满200元即可提现至微信零钱，而其他人满100也确实提现到微信零钱了，而我是200元目标的，下方显示也是金额满200元即可提现至微信零钱，当我分享了很多次，好不容易才凑满200时，却给我了4个满500才能用50元的代金券，代金券的有效期还是当天可用的，这个明显与宣传内容不同，是明显的欺诈行为，我保留向工商部分举报以及起诉相关公司的权利，另外我朋友多为新媒体工作者，其中不乏粉丝上百万</t>
  </si>
  <si>
    <t>闪银，收取我199元服务费</t>
  </si>
  <si>
    <t>http://ts.21cn.com/tousu/show/id/1368725</t>
  </si>
  <si>
    <t>2019/10/17 13:13:28</t>
  </si>
  <si>
    <t>本人在闪银上面借了1200元钱，钱到账以后闪银在没有经过我本人的同意下扣除了我199元服务费，打电话给客服，客服态度极差，而且闪银借口前没在他们的商城买东西，十几块钱的物品买到百元，邮费几十元，比外面贵了好几十倍，严重的变相收费，本人愿意承担法律责任，希望平台严查这种黑心平台，。</t>
  </si>
  <si>
    <t>万惠及贷暴力催收</t>
  </si>
  <si>
    <t>http://ts.21cn.com/tousu/show/id/1368724</t>
  </si>
  <si>
    <t>2019/10/17 13:13:27</t>
  </si>
  <si>
    <t>投诉人 徐女士        投诉对象  及贷        涉诉金额  8 500 元    问题类型    诉求类型投诉详情  威胁骚扰本人，每天上百个电话短信骚扰。诱导本人微信转账还款。转账1800后立刻拉黑本人微信。现在又说本人老赖。上门威胁本人伤害本人及家人人身安全。</t>
  </si>
  <si>
    <t>情人花新生支付胡乱扣钱</t>
  </si>
  <si>
    <t>http://ts.21cn.com/tousu/show/id/1368723</t>
  </si>
  <si>
    <t>2019/10/17 13:13:21</t>
  </si>
  <si>
    <t>下载情人花，注册了，但是没动用任何资源，在不知情的情况下扣除我288元现金，新生支付为他扣款，安庆盛通信息科技有限公司！！！！强烈要求退款！！！。</t>
  </si>
  <si>
    <t>砍头利息</t>
  </si>
  <si>
    <t>http://ts.21cn.com/tousu/show/id/1368726</t>
  </si>
  <si>
    <t>刚开始办理的时候告诉我跟信用卡一样，结果越用越费用高，质保金，服务费，利息，服务包，维护费，如果下午3点前不处理，就告知催收已上门了，天天吓唬，恐吓，59000一个月利息就100多，我想说谁给你们的勇气，用这个阴阳合同，希望协商，减去各种费用，服务费，服务包，维护费，质保金，借1000到账700多的，，还完不再使用，越来越不像话了。</t>
  </si>
  <si>
    <t>黑心商家估吗回收</t>
  </si>
  <si>
    <t>http://ts.21cn.com/tousu/show/id/1368722</t>
  </si>
  <si>
    <t>2019/10/17 13:13:05</t>
  </si>
  <si>
    <t>我在估吗回收平台买苹果x预估是2千多左右有点小毛病可能我不知道但是我自己用的挺好急需要钱才买的，他能回收检测后说毛病比较多只给我416我当时缺钱也就答应了。</t>
  </si>
  <si>
    <t>马上到还款日app死活进不去</t>
  </si>
  <si>
    <t>http://ts.21cn.com/tousu/show/id/1368721</t>
  </si>
  <si>
    <t>2019/10/17 13:13:01</t>
  </si>
  <si>
    <t>分三个月，只能主动还款，但app打不开我怎么还，还有几天到日子了，逾期影响征信以及个人名誉，这你担得起吗，马上出来解决问题，给出合理解释。</t>
  </si>
  <si>
    <t>有赞商城商家已货品由保税仓发货为由不予退款</t>
  </si>
  <si>
    <t>http://ts.21cn.com/tousu/show/id/1368720</t>
  </si>
  <si>
    <t>2019/10/17 13:12:47</t>
  </si>
  <si>
    <t>在宣传推广页面中只夸大产品效果，并未提及该产品由保税仓发货，下单后由于个人信息填写有误，要求退款，，商家以保税仓发货为由拒绝退款，并威胁如需退款将扣除所需税费，向有赞平台反映后，有赞给了商家的微信公众号让联系商家，以该商品为保税区发货不予退款，以及如退款扣税费是霸王条款。</t>
  </si>
  <si>
    <t>金巨合平台违规</t>
  </si>
  <si>
    <t>http://ts.21cn.com/tousu/show/id/1368703</t>
  </si>
  <si>
    <t>2019/10/17 13:11:40</t>
  </si>
  <si>
    <t>主动加好友提供二维码套取资料贷款审核通过贷款放到虚拟账户，还要套取利息骗钱办会员，不办不给提现到真实账户。</t>
  </si>
  <si>
    <t>http://ts.21cn.com/tousu/show/id/1368719</t>
  </si>
  <si>
    <t>2019/10/17 13:11:38</t>
  </si>
  <si>
    <t>下载软件打开看了看不合适，就卸载了，其中好几次短信扣费都没有扣款成功，也没有在意，然后今天莫名打开微信发现被收费298元。</t>
  </si>
  <si>
    <t>高利贷，阴阳合同，暴力骚扰</t>
  </si>
  <si>
    <t>http://ts.21cn.com/tousu/show/id/1368718</t>
  </si>
  <si>
    <t>2019/10/17 13:11:27</t>
  </si>
  <si>
    <t>因为资金周转困难，6月15日我在融360app上的多米贷上借款3000元，没想到放款我帐户上才2400，当时我要求客服不要此笔砍头息高利贷，然而多米贷不理我，说退不了，本人被迫还了一期1090后，继续与他们说不用，然而一直不理我，近期多米贷突然致电说我还欠他们2200多元钱，加上之前还的，要还3300，我认为多米贷放款金额和合同金额相差600元，己经涉嫌阴阳合同，多米贷催收日夜致电本人，并威胁要骚扰我通迅录联系人，为了维护借款人的权利和日常生活的秩序现诉求多米贷立即停止骚扰，并按实际放款金额扣除我己经偿还的</t>
  </si>
  <si>
    <t>洋钱包凌晨私自扣除会员费</t>
  </si>
  <si>
    <t>http://ts.21cn.com/tousu/show/id/1368717</t>
  </si>
  <si>
    <t>2019/10/17 13:10:29</t>
  </si>
  <si>
    <t>16日凌晨5点莫名其妙的收到了会员贷款的扣费信息，大致就是帮你匹配一些贷款产品或者风险检测之类的，才发现是一款名叫洋钱包的软件推送的信息，就是这两天注册过一点资料然后绑定了银行卡，然后申请后提示要会员费我直接把App卸载了，扣完钱来了扣款短信，私自扣除个人银行卡的钱，已经属于盗窃了！。</t>
  </si>
  <si>
    <t>订单重复支付，平台一直未退回</t>
  </si>
  <si>
    <t>http://ts.21cn.com/tousu/show/id/1368716</t>
  </si>
  <si>
    <t>2019/10/17 13:10:00</t>
  </si>
  <si>
    <t>本人于10月10号下午15时37分在偿还支付宝芝麻信用里面的信用租机月租金时候，因为还款速度过快，系统更新速度较慢，到账该租机账单第二期重复还款两次，多次联系淘新机都没有给办理退还处理。</t>
  </si>
  <si>
    <t>平安信用卡第三方威胁恐吓催收</t>
  </si>
  <si>
    <t>http://ts.21cn.com/tousu/show/id/1368715</t>
  </si>
  <si>
    <t>2019/10/17 13:09:17</t>
  </si>
  <si>
    <t>本人由于2018做生意失败，所有资金全部用于投资，直到后来资金断裂开始逾期，逾期后每天都过的浑浑噩噩，不知道生活该怎样继续下去，最近刚找的工作家里有小孩需要养，信用卡逾期后和平安信用卡第三方催收交涉过，第三方催收以威胁恐吓方式和我沟通还款，让我心里压力越来越大，每天都在抑郁中度过，甚至害怕，最近平安信用卡中心又换了一家催收公司，又以同样的威胁，恐吓方式，说让我身边的朋友同学全部都知道我的事，让我在村里抬不起头，本来刚恢复好心态，又快被击垮，感觉到眼前的路一片漆黑，难以看到光明，现在希望与平安信用卡中心协商分</t>
  </si>
  <si>
    <t>小赢高利贷不能提前还</t>
  </si>
  <si>
    <t>http://ts.21cn.com/tousu/show/id/1368714</t>
  </si>
  <si>
    <t>2019/10/17 13:08:56</t>
  </si>
  <si>
    <t>投诉人 杨凯        投诉对象  深圳市赢众通金融信息服务股份有限公司        涉诉金额  220 000 元    问题类型    诉求类型投诉详情  高利贷者。利息7.2 %现在35.9%。实际102%。这个高利息算了 我我提前还款 我不想在还接下来利息。他们工作人员 重来没有给我打电话 们投诉三次 他们没有任何反应 只应付一下。压根不协调 我十分恼火 望有关部门核实清楚 将这些公司绳子以法。他们一天左右又会回复 有关部门联系 然后就没有任何消息 他应</t>
  </si>
  <si>
    <t>请闪银归还重复扣款</t>
  </si>
  <si>
    <t>http://ts.21cn.com/tousu/show/id/1368713</t>
  </si>
  <si>
    <t>2019/10/17 13:08:55</t>
  </si>
  <si>
    <t>今年的2月份，我有一笔闪银至尊借款到账，918元，当时我提前提交了还款，但是一直到还款日当天也没有显示还款成功，然后闪银又扣了我一次款才显示换款成功，我当时联系客服，客服说多扣的那一次可以充当下一次的还款金额，然而到了下一次还是没有任何反应，依旧要再重新扣我的钱，闪银一直到现在都还没有给我处理，后来因为个人原因，很长一段时间我没有用闪银了，现在突然想起这件事，闪银依旧没给我处理这个重复扣款，请闪银归还重复扣的900多元。</t>
  </si>
  <si>
    <t>恒易贷还款当天打联系人电话</t>
  </si>
  <si>
    <t>http://ts.21cn.com/tousu/show/id/1368712</t>
  </si>
  <si>
    <t>2019/10/17 13:08:46</t>
  </si>
  <si>
    <t>还款当天没有逾期的情况下就打联系人电话，当天不能手动还款。</t>
  </si>
  <si>
    <t>洋钱罐借款某催收员恶意骚扰通讯录联系人请协助处理！</t>
  </si>
  <si>
    <t>http://ts.21cn.com/tousu/show/id/1368711</t>
  </si>
  <si>
    <t>2019/10/17 13:08:11</t>
  </si>
  <si>
    <t>本人在洋钱罐借款上面有一笔额度为5000的借款，因为个人原因借款逾期5天，期间洋钱罐平台同一催收员一直联系我，且态度语气极其恶劣，但因为逾期责任在我，所以我一直跟他保持正常联系，并表示贵平台可以走一切正常合法流程，只要我一发工资就立马还款，我的唯一诉求就是不要暴力骚扰我通讯录里的亲朋好友，结果今天上午，该催收员直接暴力催收骚扰我通信录联系人，给我的正常工作生活带来了极大困扰，现在我要求该催收员停止暴力催收并给我道歉，希望贵平台能帮忙联系处理。</t>
  </si>
  <si>
    <t>捷信提前还款问题</t>
  </si>
  <si>
    <t>http://ts.21cn.com/tousu/show/id/1368710</t>
  </si>
  <si>
    <t>2019/10/17 13:07:57</t>
  </si>
  <si>
    <t>本人在捷信公司贷款41000元，已经还款18期，每期还款1588元，已还款28000余元，现在提前还款还要32000余元，致电捷信客服说本金只还了9000余元，现在只想提前还款我想问问捷信的利息怎么算的，19000的利息，我现在家里有困难，村委会已经开了困难证明，捷信非要这么多利息的话，我就不还款了。</t>
  </si>
  <si>
    <t>http://ts.21cn.com/tousu/show/id/1368709</t>
  </si>
  <si>
    <t>2019/10/17 13:07:37</t>
  </si>
  <si>
    <t>本人因做生意失败，现在失业，还款有压力，欠浦发银行信用卡70000，万用金65000，一直打电话给浦发银行工作人员做协商还款，但都是接到第三方催收部电话，恐吓我要报警，联系我户籍联系人，已经严重影响到我的生活，我还年轻，让我在亲朋好友面前都抬不起头，我也一直在说要协商还款，希望银行能给我一个好的解决方案，希望能继续开卡使用，销掉不好的用卡记录。</t>
  </si>
  <si>
    <t>不可取消订单</t>
  </si>
  <si>
    <t>http://ts.21cn.com/tousu/show/id/1368707</t>
  </si>
  <si>
    <t>2019/10/17 13:07:08</t>
  </si>
  <si>
    <t>我于2019年8.12日在携程下了一个13日/14日两天一夜山东曲阜的旅行订单，因山东台风影响，景区关闭，行程乱了，14日一大早高铁，想起不可能完成这个订单，当天12日在平台上能取消，晚上也有客服电话说再协商，第二天13日中午快12点携程客服确定说不能取消了，导致我没去入住，我12日订13日订单，我操作时是可以取消的，还有就是我作为消费者，因不抗力原因导致行程安排，还不能取消订单吗，况且提前一天取消的，这个有没有法律上的说法，要诉讼的法，贵平台有没有人觉不可取消这种规定不合理，提起集体诉讼要求的。</t>
  </si>
  <si>
    <t>光大银行信用卡！光大互助会乱扣费</t>
  </si>
  <si>
    <t>http://ts.21cn.com/tousu/show/id/1368706</t>
  </si>
  <si>
    <t>2019/10/17 13:06:45</t>
  </si>
  <si>
    <t>光大银行信用卡，无缘无故的让参加什么光大互助会说是不用任何费用，说的云里雾里，又说核实个人信用卡信息问身份证号码住址的我都回答了，说最后发短信核实，我说好，竟然收到信息说直接扣款180了，什么乱七八糟的。</t>
  </si>
  <si>
    <t>淘豆分期恶意扣款</t>
  </si>
  <si>
    <t>http://ts.21cn.com/tousu/show/id/1368705</t>
  </si>
  <si>
    <t>2019/10/17 13:06:36</t>
  </si>
  <si>
    <t>注册淘豆分期进行银行卡认证时，没有经过用户同意，也没有签购买协议，就直接扣款199，然后平台推荐的借款平台也是虚假的，双方互相推荐没有作用。</t>
  </si>
  <si>
    <t>51人品贷骚扰短信</t>
  </si>
  <si>
    <t>http://ts.21cn.com/tousu/show/id/1368704</t>
  </si>
  <si>
    <t>2019/10/17 13:06:31</t>
  </si>
  <si>
    <t>五一人品贷随时都会发这种广告，不厌其烦，希望停止发送，手机号码155******96。</t>
  </si>
  <si>
    <t>顺丰速运擅自修改物流信息</t>
  </si>
  <si>
    <t>http://ts.21cn.com/tousu/show/id/1368610</t>
  </si>
  <si>
    <t>2019/10/17 13:06:21</t>
  </si>
  <si>
    <t>投诉人邱福明投诉对象顺丰速运涉诉金额996元问题类型诉求类型投诉详情我本月14日在天猫商城下单购买商品指定要求顺丰运送商家于14曰19.59发货，顺丰快递于14曰23.45揽件，之后24小时一直没有物流更新信息，我联系了淘宝商家淘宝官方客服已经顺丰快递官方客服在十月17曰我与官方客服联系后大概半小时时间，物流信息更新显示快递正在派件中，但是我的收货地址是江苏无锡，派送的快递小哥和营业网点显示在广州深圳地区，我曾连续拨打十二此快递小哥电话，其中十次无人接听两次拒绝接听，我与顺丰快递客服联系，第一次客服说是因为</t>
  </si>
  <si>
    <t>莫名其妙收到京东金融的催款短信，从来没有结过这个</t>
  </si>
  <si>
    <t>http://ts.21cn.com/tousu/show/id/1368702</t>
  </si>
  <si>
    <t>2019/10/17 13:06:07</t>
  </si>
  <si>
    <t>我从来没有借过京东金融的任何款，莫名其妙收到他们的短信。</t>
  </si>
  <si>
    <t>东莞市腾点网络科技有限公司为龙分期高利贷收取砍头息</t>
  </si>
  <si>
    <t>http://ts.21cn.com/tousu/show/id/1368701</t>
  </si>
  <si>
    <t>2019/10/17 13:06:04</t>
  </si>
  <si>
    <t>投诉人宁女士投诉对象龙分期,东莞市腾点网络科技有限公司,连连支付涉诉金额500元问题类型诉求类型投诉详情本人于2019年1月在应用市场下载了一款“龙分期”APP，当时填写信息点申请之后便有人加了我微信，自称“享贷之家”的客服，是龙分期合作商，3月告知我想要下款需要购买一份499元包下款名额，收款方为东莞市腾点网络科技有限公司，当时我还不知道这是非法的砍头息高利贷，现在通过新闻，媒体，法律，规定的学习，我知道了该公司的行为是不对的，并且该公司的经营范围并不包括放贷资格，属于超范围经营。</t>
  </si>
  <si>
    <t>分期乐</t>
  </si>
  <si>
    <t>http://ts.21cn.com/tousu/show/id/1368700</t>
  </si>
  <si>
    <t>2019/10/17 13:05:38</t>
  </si>
  <si>
    <t>投诉人杨先生投诉对象深圳市分期乐有限公司涉诉金额6000元问题类型诉求类型投诉详情分期乐违法盗取我的通话记录，骚扰亲戚朋友。</t>
  </si>
  <si>
    <t>已在还款日主动还，显示逾期并造成费用</t>
  </si>
  <si>
    <t>http://ts.21cn.com/tousu/show/id/1368699</t>
  </si>
  <si>
    <t>2019/10/17 13:05:07</t>
  </si>
  <si>
    <t>2019年10月15日晚上六点28分已主动APP还款第二天被朋友告知逾期，向工作人员加了微信提供银行流水凭着后仍未结果。</t>
  </si>
  <si>
    <t>http://ts.21cn.com/tousu/show/id/1368696</t>
  </si>
  <si>
    <t>2019/10/17 13:03:57</t>
  </si>
  <si>
    <t>之前已还款两年多，现在加上利息还要还4万多，之前有沟通过，减免利息，分期还款，停止电话骚扰。</t>
  </si>
  <si>
    <t>http://ts.21cn.com/tousu/show/id/1368695</t>
  </si>
  <si>
    <t>2019/10/17 13:03:39</t>
  </si>
  <si>
    <t>投诉人 张先生        投诉对象  立借        涉诉金额  2 000 元    问题类型    诉求类型投诉详情  爆通讯录，一天骚扰通讯录。至少一天五个电话。作为债务人，做的也不对。协商不愿意。这就是他们平台的处理态度。谁给他们的权利这么做。泄露信息。骚扰通讯录。还有平台里开放高利贷平台入住。希望能酌情处理</t>
  </si>
  <si>
    <t>http://ts.21cn.com/tousu/show/id/1368694</t>
  </si>
  <si>
    <t>2019/10/17 13:03:37</t>
  </si>
  <si>
    <t>投诉人张先生投诉对象拼多多涉诉金额100元问题类型诉求类型投诉详情本人对拼多多平台现金助力活动所存在欺骗消费者行为严重不满，心灵受到极度创伤，图1是拼多多平台现金助力活动界面；图2是完成该任务拼多多平台发放的现金券；图3是拼多多平台对本人微信账户转账截图，活动规则5条：正常情况下现金在用户发起提现后会以微信转账的方式发放到用户的微信零钱账户中，若因用户未通过微信账号登录拼多多，用户微信账户未进行实名认证原因转账失败，拼多多有权以发放优惠券形式进行补偿！1.本人微信已实名，微信账户无异常，2.拼多多平台是微信</t>
  </si>
  <si>
    <t>利息过高贷款一万需要还款一万八</t>
  </si>
  <si>
    <t>http://ts.21cn.com/tousu/show/id/1368692</t>
  </si>
  <si>
    <t>2019/10/17 13:03:24</t>
  </si>
  <si>
    <t>利息过高，我贷款10000需要还18000多，承受不起。</t>
  </si>
  <si>
    <t>http://ts.21cn.com/tousu/show/id/1368693</t>
  </si>
  <si>
    <t>2019/10/17 13:03:18</t>
  </si>
  <si>
    <t>投诉人 隋松林        投诉对象  钱站 爱钱进        涉诉金额  1 408 元    问题类型    诉求类型投诉详情  本人在该平台借款1000元 三个月利息400多 这属于高利贷</t>
  </si>
  <si>
    <t>卡牛瑞贷砍头息</t>
  </si>
  <si>
    <t>http://ts.21cn.com/tousu/show/id/1368691</t>
  </si>
  <si>
    <t>2019/10/17 13:02:57</t>
  </si>
  <si>
    <t>投诉人宋先生投诉对象卡牛信用管家涉诉金额9500元问题类型诉求类型投诉详情我在他们平台借了9500元，分6期一共还10520.88，可是钱刚到账短短几秒就被他们划扣了1000多元，到手只有8400元，我觉得我被欺骗了，求平台给我主持公道。</t>
  </si>
  <si>
    <t>钱站高利贷暴力催收</t>
  </si>
  <si>
    <t>http://ts.21cn.com/tousu/show/id/1368689</t>
  </si>
  <si>
    <t>2019/10/17 13:02:37</t>
  </si>
  <si>
    <t>投诉人吴先生投诉对象钱站,凡普金科涉诉金额60000元问题类型诉求类型投诉详情2017年8月17日从钱站app借款60000.00元，当时无借款合同，后期合同显示借款金额63600.00元，首期服务费3345.60元，后续各期服务费为700.5元，月还款2761.65元，已还款25期，2019年10月17日还款期当天并还没有还款，接到催收电话02066324084，02062129540；我并未逾期，催收方态度恶劣，多种形式威逼还款，毫无协商余地，没有逾期得到催收，我在谈一次结清问题，催收方不让谈其他，就让</t>
  </si>
  <si>
    <t>闪电借款超高利贷，收取变相砍头息2000元</t>
  </si>
  <si>
    <t>http://ts.21cn.com/tousu/show/id/1368688</t>
  </si>
  <si>
    <t>2019/10/17 13:02:22</t>
  </si>
  <si>
    <t>投诉人高女士投诉对象掌众金服涉诉金额10000元问题类型诉求类型投诉详情借闪电借款10000元，要买2000元财神黑卡，其实这2000元就是变相的砍头息，8月15号9:05宝付通过工商银行卡：62****************0扣掉了2000元，宝付和高利贷合作，，实际只是相当于借了8000元，50天后还10493.15元，年化利率高达400%，严重超出国家规定的合法利率24%，请退还财神黑卡2000元！。</t>
  </si>
  <si>
    <t>平安银行信用卡暴力催收恐吓</t>
  </si>
  <si>
    <t>http://ts.21cn.com/tousu/show/id/1367354</t>
  </si>
  <si>
    <t>2019/10/17 13:01:37</t>
  </si>
  <si>
    <t>本期还款后恶意封卡，要全额还款，不能协商，每天电话短信骚扰家人，以及伪造法院警察通知短信，我已经取证，去银保监会举报，一个优质客户被你们逼迫到这个地步，先赔偿我的精神损失，以及道歉，并处理协商本金还款，停止骚扰。</t>
  </si>
  <si>
    <t>高利贷砍头息变相收取高额利息</t>
  </si>
  <si>
    <t>http://ts.21cn.com/tousu/show/id/1368681</t>
  </si>
  <si>
    <t>2019/10/17 12:57:59</t>
  </si>
  <si>
    <t>投诉人刘女士投诉对象你我贷涉诉金额7700元问题类型诉求类型投诉详情高利贷砍头息变相收取高额利息收什么管理费服务费借款7700还款10500。</t>
  </si>
  <si>
    <t>钱站利息过高，贷款2000让我还3000多</t>
  </si>
  <si>
    <t>http://ts.21cn.com/tousu/show/id/1368683</t>
  </si>
  <si>
    <t>2019/10/17 12:57:48</t>
  </si>
  <si>
    <t>利息过高，贷款2000要我还3000多，不合理，还总打骚扰电话。</t>
  </si>
  <si>
    <t>畅捷支付恶意扣款</t>
  </si>
  <si>
    <t>http://ts.21cn.com/tousu/show/id/1368682</t>
  </si>
  <si>
    <t>2019/10/17 12:57:46</t>
  </si>
  <si>
    <t>投诉人于女士投诉对象畅捷支付涉诉金额2064元问题类型诉求类型投诉详情本人8月26日晚上通过借贷宝下载了可乐婲软件，当时想着看一下额度，然后可乐婲直接审核中了，本人从昨晚开始就打电话以及QQ联系可乐婲客服要求取消借款，电话打不通QQ也没有回复，中午一点多收到短信说审核通过请前往app确认，我进去app已经是放款状态了，一会就收到1200的转账，6天利息864，总共要还2064，纯属高利贷了，该笔款项放款方为畅捷支付，我要求可乐婲和畅捷支付给我一个说法，收回借款并取消这笔记录，否则我将采取法律手段，对于这种无</t>
  </si>
  <si>
    <t>开具结清证明</t>
  </si>
  <si>
    <t>http://ts.21cn.com/tousu/show/id/1368680</t>
  </si>
  <si>
    <t>2019/10/17 12:57:33</t>
  </si>
  <si>
    <t>5月11日，在新浪分期app颜值卡借款8000元，还款期限12期，2019年9月26日，一次性提前结清，并没有任何减免，完全不合理收费，多次与客服沟通，需要开具结清证明，不但态度恶劣不予以受理，还挂断电话，任何问题都含糊其辞。</t>
  </si>
  <si>
    <t>汇聚支付在本人不知道情况下代扣银行卡里的钱，收款方是新锐派商业保理有限公司</t>
  </si>
  <si>
    <t>http://ts.21cn.com/tousu/show/id/1368678</t>
  </si>
  <si>
    <t>2019/10/17 12:57:11</t>
  </si>
  <si>
    <t>投诉人胡先生投诉对象汇聚支付,新锐派商业保理有限公司,银联电子支付涉诉金额928元问题类型诉求类型投诉详情在2019.10.16凌晨1点农业银行被扣款928.4元人民币，打银联客服说是汇聚支付提供扣款协议收款方是新锐派商业保理有限公司，本人不知道新锐派商业保理有限公司是什么，请求银联，汇聚支付，提供相关消费，要求退款，聚投诉帮忙跟进。</t>
  </si>
  <si>
    <t>新车买来13个多月，现在发动机坏了要叫我自费</t>
  </si>
  <si>
    <t>http://ts.21cn.com/tousu/show/id/1368679</t>
  </si>
  <si>
    <t>2019/10/17 12:57:07</t>
  </si>
  <si>
    <t>新车买来13个多月，从没撞过车什么的，现在发动机坏了，还在三包的，还要我自己修，态度又差。</t>
  </si>
  <si>
    <t>捷信公司利率高于国家法定利率的25%</t>
  </si>
  <si>
    <t>http://ts.21cn.com/tousu/show/id/1368677</t>
  </si>
  <si>
    <t>捷信公司各种利率包括所谓的未偿付金额的日利率罚息叠加以超过国家法定利率的24%的25%，另我即将重新进入学校学习，希望重新分期归还，但只归还国家法定的24%或者只归还剩余本金！。</t>
  </si>
  <si>
    <t>高利贷催收威胁</t>
  </si>
  <si>
    <t>http://ts.21cn.com/tousu/show/id/1368676</t>
  </si>
  <si>
    <t>2019/10/17 12:56:44</t>
  </si>
  <si>
    <t>投诉人陈楠投诉对象借贷宝涉诉金额10000元问题类型诉求类型投诉详情借了1000块，砍头息300到手700期限六天，当中展期两次，这算高利贷不每次展期300块，有转账记录，还要给我父母打电话。</t>
  </si>
  <si>
    <t>押金退款推后无提前告知</t>
  </si>
  <si>
    <t>http://ts.21cn.com/tousu/show/id/1368675</t>
  </si>
  <si>
    <t>2019/10/17 12:56:32</t>
  </si>
  <si>
    <t>投诉人吕先生投诉对象云联动共享汽车平台涉诉金额999元问题类型诉求类型投诉详情云联动共享汽车在使用时交押金999元，到现在已过差不多一个星期，退押金时要等待20天，这个做法并无提前告知，我是个工薪阶层，一千元对我来说是资金周转的一大笔钱，希望平台马上退押金，我的云联动账号是136******76。</t>
  </si>
  <si>
    <t>冒充耐克卖假鞋</t>
  </si>
  <si>
    <t>http://ts.21cn.com/tousu/show/id/1368674</t>
  </si>
  <si>
    <t>2019/10/17 12:55:48</t>
  </si>
  <si>
    <t>投诉人陈女士投诉对象NIKE耐克,天猫：nike官方旗舰店,天猫：JORDAN官方旗舰店涉诉金额50元问题类型诉求类型投诉详情在微信上看到一个卖耐克品牌的卖家，虚假宣传误导下单，买了一双与图片不符的耐克假鞋，鞋子质量垃圾的没得说，与电话客服联系态度恶劣，因为质量问题退货，客服告知邮费自理，耐克快出来看看，骗子是如何侵犯侮辱你们的鞋子的，打着耐克的旗号卖着垃圾鞋子，要求给于退货邮费卖家出，下面图片上有骗子客服的电话号码，二维码都是厂家的。</t>
  </si>
  <si>
    <t>http://ts.21cn.com/tousu/show/id/1368673</t>
  </si>
  <si>
    <t>2019/10/17 12:55:37</t>
  </si>
  <si>
    <t>投诉人隋松林投诉对象贷上钱涉诉金额300元问题类型诉求类型投诉详情本人在该平台申请借款贷款2000元还款是需要交购物费本人在该平台没有购买任何物品这属于套路贷。</t>
  </si>
  <si>
    <t>来米巴士高利贷砍头息</t>
  </si>
  <si>
    <t>http://ts.21cn.com/tousu/show/id/1368671</t>
  </si>
  <si>
    <t>2019/10/17 12:55:28</t>
  </si>
  <si>
    <t>本人第一次在7月11日来米巴士借款1400元实际到账1019元，第二次8月31日借款1500元实际到账1092元，第三次9月26日借款1800元实际到账1310元，第四次借款2100元实际到账1528元，存在高额砍头息违法行为，现要求作销账处理并退还四次借款砍头息金额，如若不然，报警处理！。</t>
  </si>
  <si>
    <t>华农钱庄</t>
  </si>
  <si>
    <t>http://ts.21cn.com/tousu/show/id/1368670</t>
  </si>
  <si>
    <t>2019/10/17 12:55:24</t>
  </si>
  <si>
    <t>投诉人车女士投诉对象华农钱庄涉诉金额2500元问题类型诉求类型投诉详情华农钱庄高利贷砍头息借款，2500，期限5天，砍头息1125，实际到账1375要求销账，正常还本金！存在砍头息1125元借款期限5天。</t>
  </si>
  <si>
    <t>http://ts.21cn.com/tousu/show/id/1368672</t>
  </si>
  <si>
    <t>2019/10/17 12:55:17</t>
  </si>
  <si>
    <t>投诉人黄先生投诉对象豹子贷,上海造艺网络科技,造艺网络科技,银码头涉诉金额299元问题类型诉求类型投诉详情10月14号豹子贷进去后，点击免费获取额度，然后就要付298.5元人民币，只是闪现一下，而且还是免密支付，当时银行卡没钱也没付，然后我就把豹子贷删除了，也没用到什么，直到10月16号下午五点，银行卡存钱，豹子贷立马扣费，我都没用豹子贷，凭什么扣我的钱。</t>
  </si>
  <si>
    <t>投诉小赢卡贷催收</t>
  </si>
  <si>
    <t>http://ts.21cn.com/tousu/show/id/1368669</t>
  </si>
  <si>
    <t>2019/10/17 12:55:10</t>
  </si>
  <si>
    <t>暴力催收，催收员对本人言语侮辱，态度恶劣，威胁恐吓，明确告知还款时间，对方还是不断对本人进行电话骚扰，甚至骚扰我的紧急联系人，对我以及我的家人造成严重的心理创作伤以及精神损失，严重影响了我的个人声誉，对我的工作生产活造成严重的不良影响，我要求对方对进去行道歉并赔偿。</t>
  </si>
  <si>
    <t>招商银行雇佣不明身份黑社会人员上门威胁</t>
  </si>
  <si>
    <t>http://ts.21cn.com/tousu/show/id/1368668</t>
  </si>
  <si>
    <t>2019/10/17 12:54:46</t>
  </si>
  <si>
    <t>10月17日，上午11点左右，两名不明身份人员在没有事先联系我的前提下，两名1.8米多的彪形大汉，去我户籍所在地威胁我父母，对方说他们是给招商银行催款人员，且没有工作证，招商银行信用卡我每个月都有还款，招商银行如此的违法行为，严重威胁我父母人生安全，希望有关部门严肃处理招商银行的违法犯罪行为，如上事实如有虚假，本人愿意承担一切法律责任。</t>
  </si>
  <si>
    <t>蜂窝钱包无法还款</t>
  </si>
  <si>
    <t>http://ts.21cn.com/tousu/show/id/1368667</t>
  </si>
  <si>
    <t>2019/10/17 12:54:45</t>
  </si>
  <si>
    <t>在蜂窝借款1100到账700只有5天，砍头暴力就不说了，今天还款安卓苹果都无法下载app，客服也加不上，希望看到后尽快联系我，晚了收我逾期我会拒绝加报警，。</t>
  </si>
  <si>
    <t>http://ts.21cn.com/tousu/show/id/1368666</t>
  </si>
  <si>
    <t>2019/10/17 12:54:19</t>
  </si>
  <si>
    <t>投诉人喻先生投诉对象带上钱涉诉金额6000元问题类型诉求类型投诉详情借款2000元一个月需要还2788元，高利贷，暴力催收，搜了下他们企业是严重失信违法企业，大家可以组团去报警，效果会更好，联系记者曝光。</t>
  </si>
  <si>
    <t>元丰手机贷高炮利息</t>
  </si>
  <si>
    <t>http://ts.21cn.com/tousu/show/id/1368664</t>
  </si>
  <si>
    <t>2019/10/17 12:53:57</t>
  </si>
  <si>
    <t>涉诉金额4000元问题类型诉求类型投诉详情元丰手机贷利益超24%以上，骚扰家属。</t>
  </si>
  <si>
    <t>黑贷款</t>
  </si>
  <si>
    <t>http://ts.21cn.com/tousu/show/id/1368665</t>
  </si>
  <si>
    <t>2019/10/17 12:53:47</t>
  </si>
  <si>
    <t>投诉人张先生投诉对象钱站涉诉金额1330元问题类型诉求类型投诉详情合同写借1330放款只给1000等于还款金额超过30%高利贷。</t>
  </si>
  <si>
    <t>中腾信未逾期短信威胁</t>
  </si>
  <si>
    <t>http://ts.21cn.com/tousu/show/id/1368661</t>
  </si>
  <si>
    <t>2019/10/17 12:53:00</t>
  </si>
  <si>
    <t>中腾信贷款143000，月息高达近两分，这都接受了，自从倒闭开始，还款当天就会发短信进行威胁，会给单位和亲戚朋友打电话，这是我妈妈的贷款，她本人有心脏病，因为这个短信已经吃下救心丸！如果再有这样的事情发生，那么中腾信就不是高利贷和恶意催收的问题了！。</t>
  </si>
  <si>
    <t>麦当劳食物问题</t>
  </si>
  <si>
    <t>http://ts.21cn.com/tousu/show/id/1368659</t>
  </si>
  <si>
    <t>2019/10/17 12:52:32</t>
  </si>
  <si>
    <t>今天在福州南站点的麦当劳的和风牛dong饭，勺子没有单独的包装，上面还有一个标签粘着，特别不卫生，一打开饭更是让我窝火，饭就像被别人吃过吃剩的饭一样，本来就少，还这么搞，这种剩饭谁吃的进去，我已经提前一两个小时点餐了，你们连最基础的食物包装都没有时间做吗。</t>
  </si>
  <si>
    <t>中原消费金融恶意暴力催收</t>
  </si>
  <si>
    <t>http://ts.21cn.com/tousu/show/id/1368658</t>
  </si>
  <si>
    <t>2019/10/17 12:51:29</t>
  </si>
  <si>
    <t>本人于2018年3月在中原消费金融平台借款20000元，还剩最后一期将近1800元未还款，该平台年利率早就超过国家规定标准36％，由于最后一期特殊原因，一直未有钱还款，但是该平台不停对本人进行骚扰，最近开始对本人通讯录开始电话和短信骚扰，基本所有近100通讯录都骚扰了，态度恶劣，本人遭到了公司开除，现在工作丢了，家庭破碎，请求该平台立即停止骚扰并赔偿我所有损失！骚扰电话020―61947574.。</t>
  </si>
  <si>
    <t>洋钱罐平台暴力催收骚扰家里亲戚朋友严重影响到正常生活</t>
  </si>
  <si>
    <t>http://ts.21cn.com/tousu/show/id/1368657</t>
  </si>
  <si>
    <t>2019/10/17 12:51:12</t>
  </si>
  <si>
    <t>本人在洋钱罐借了3000元，6期需要还3500，这已经超过国家记录了，就因为我电话接了不知道你们在说什么你们就爆我通讯录，请问凭什么，我们根本联系不到你们，请给我一个合理解释，爆了我通讯录必须作出赔偿与道歉，请客服及时联系我，你们就直接爆了通讯录垃圾短信一堆请给我一个说法。</t>
  </si>
  <si>
    <t>农业银行不回复退还信用卡的要求</t>
  </si>
  <si>
    <t>http://ts.21cn.com/tousu/show/id/1368656</t>
  </si>
  <si>
    <t>2019/10/17 12:51:00</t>
  </si>
  <si>
    <t>本人过年之前因为资金出现问题，农业银行信用卡2万5逾期2个月，资金周转过来之后，全额还清，农行封了我的信用卡，并收取了1603.47的违约金，银监会有过每张信用卡可以减免一次违约金的规定，我10月15号联系农行客服，客服说帮我记录并会及时反馈，然而到现在还没有回复任何消息，本人有退还违约金或者恢复正常使用信用卡的诉求。</t>
  </si>
  <si>
    <t>我来贷公司高利贷</t>
  </si>
  <si>
    <t>http://ts.21cn.com/tousu/show/id/1368655</t>
  </si>
  <si>
    <t>2019/10/17 12:50:52</t>
  </si>
  <si>
    <t>一万元一年利息是3600以上不符合中国人民共和国法律法规涉嫌高利贷，要求提前全额还款协商还正常利息。</t>
  </si>
  <si>
    <t>别再打电话骚扰家人朋友，取消违约金，退还加速服务包</t>
  </si>
  <si>
    <t>http://ts.21cn.com/tousu/show/id/1368654</t>
  </si>
  <si>
    <t>2019/10/17 12:50:21</t>
  </si>
  <si>
    <t>期待科技借了一万块，一个加速服务费扣了1800，变相收取高利息，欺骗消费者，逾期了半个月，我表明这个钱一定还上，可以分期还吗，客服人员直接威胁，恐吓我，没钱的话他们会联系我的家人朋友，还有查出我所有的通讯数据，每个人打电话发信息，影响了我家人朋友的正常生活。</t>
  </si>
  <si>
    <t>在咸鱼上买到假货，收到的货和卖家说的不一样</t>
  </si>
  <si>
    <t>http://ts.21cn.com/tousu/show/id/1368653</t>
  </si>
  <si>
    <t>2019/10/17 12:49:23</t>
  </si>
  <si>
    <t>在闲鱼上买了两块gopro电池，一再询问卖家是不是原厂电池，卖家说是原厂电池，收货后发现是高仿的假电池，而且充电器也是坏的，电池电量很低，根本不能使用，和卖家协商退货，卖家让我承担运费，我不能接受，因为卖家以次充好发我假货，本就是一种欺骗，为什么还要让我承担运费，后卖家拒绝退款，申请客服介入，闲鱼小法庭判决不公也不能接受，联系人工客服投诉，客服说退货都是买家承担，我因为买到假货退款，是对方的责任，让我承担运费，还是不能接受，闲鱼监管不力，没有从实际问题出发给我解决问题。</t>
  </si>
  <si>
    <t>手机号码被泰迪熊恶意提供给推销商</t>
  </si>
  <si>
    <t>http://ts.21cn.com/tousu/show/id/1368652</t>
  </si>
  <si>
    <t>2019/10/17 12:49:20</t>
  </si>
  <si>
    <t>我的个人信息被恶意提供给他人，被各种推销等电话骚扰，影响我的个人生活。</t>
  </si>
  <si>
    <t>及贷暴力催收，恐吓家人</t>
  </si>
  <si>
    <t>http://ts.21cn.com/tousu/show/id/1368651</t>
  </si>
  <si>
    <t>2019/10/17 12:49:04</t>
  </si>
  <si>
    <t>投诉人 梁先生        投诉对象  及贷        涉诉金额  10 000 元    问题类型    诉求类型投诉详情  暴力催收，恐吓家人!!!!!暴力催收，恐吓家人!!! 暴力催收，恐吓家人!!!</t>
  </si>
  <si>
    <t>好易贷高额砍头息</t>
  </si>
  <si>
    <t>http://ts.21cn.com/tousu/show/id/1368649</t>
  </si>
  <si>
    <t>2019/10/17 12:48:47</t>
  </si>
  <si>
    <t>9月20日，在趣花分期借好易贷贷款3000元，实际到账2100元，付款方式为杭州市民卡有限公司，砍头息高达900元，周期为6天，实属高利贷，贷款平台电话是199******01，9月26日还款当天，该公司催收人员拨打本人电话，我要求协商还款本金加合法的利息，协商未果，催收人员不肯并轰炸我本人通讯录朋友并辱骂本人和通讯录朋友，10月16日催收人员联系我威胁不还款继续骚扰我通讯录，各种威胁恐吓，本人感受到人身安全受到了威胁，精神压力也接近奔溃，16号当日催收要求归还3000元并可销帐，本人于10月16日还款该平</t>
  </si>
  <si>
    <t>http://ts.21cn.com/tousu/show/id/1368650</t>
  </si>
  <si>
    <t>2019/10/17 12:48:43</t>
  </si>
  <si>
    <t>投诉人 徐先生        投诉对象  有钱花        涉诉金额  20 000 元    问题类型    诉求类型投诉详情  有钱花催收人员违规催收，恶意骚扰亲朋好友</t>
  </si>
  <si>
    <t>招商银行信用卡逾期</t>
  </si>
  <si>
    <t>http://ts.21cn.com/tousu/show/id/1368648</t>
  </si>
  <si>
    <t>2019/10/17 12:48:08</t>
  </si>
  <si>
    <t>投诉人李根固投诉对象招商银行涉诉金额23000元问题类型诉求类型投诉详情本人因欠招商银行信用卡23000元本金，大约逾期三月未还最低还款额，9月还款5000元，银行收我利息加滞纳金共计4700左右，与银行协商还款，对方态度坚决，非要我全额还款，现在一个月滞纳金＋利息在1100元左右；望能与银行达成共识，分期付款。</t>
  </si>
  <si>
    <t>投诉中腾信借款当天还款日就恶意催收</t>
  </si>
  <si>
    <t>http://ts.21cn.com/tousu/show/id/1368646</t>
  </si>
  <si>
    <t>2019/10/17 12:47:58</t>
  </si>
  <si>
    <t>中腾信借款了75000！分了36期！已经还了28期了！重来没逾期过！每次还款日当天都恶意骚扰！它家利息超级高的！还阴阳合同！我都没逾期就开始电话轰炸！还威胁！。</t>
  </si>
  <si>
    <t>夸大事实，乱收费</t>
  </si>
  <si>
    <t>http://ts.21cn.com/tousu/show/id/1368626</t>
  </si>
  <si>
    <t>2019/10/17 12:47:41</t>
  </si>
  <si>
    <t>投诉人赵先生投诉对象乐客独角兽涉诉金额9800元问题类型诉求类型投诉详情1、夸大收益宣传，例如月入n万，可兼职当副业，微信朋友圈各种套路吸引小白创业者，还请一些优秀会员分享月入10万秘籍教学等吸引创业者2、缴费加入会员后，乐客无售后服务，不履行合同，各种推脱不解决会员诉求，截至目前，本人要求其解决的变更合同主体问题仍无人解决3、会员缴费后，我所知乐客并未开具发票，有偷税漏税嫌疑本人诉求：退会员费。</t>
  </si>
  <si>
    <t>http://ts.21cn.com/tousu/show/id/1368644</t>
  </si>
  <si>
    <t>2019/10/17 12:47:35</t>
  </si>
  <si>
    <t>本人因用钱，在钱站申请2000元，下了款才知道要款还3期，每期1200多，超高利炮，希望协商还款，下面有阴阳合同，和到账金额。</t>
  </si>
  <si>
    <t>http://ts.21cn.com/tousu/show/id/1368645</t>
  </si>
  <si>
    <t>2019/10/17 12:47:28</t>
  </si>
  <si>
    <t>投诉人于女士投诉对象分期乐违法涉诉金额2300元问题类型诉求类型投诉详情爆我隐私，毁我名声，打电话骚扰人家，发信息威胁人家，要求赔偿，停止骚扰，。</t>
  </si>
  <si>
    <t>http://ts.21cn.com/tousu/show/id/1368643</t>
  </si>
  <si>
    <t>2019/10/17 12:47:23</t>
  </si>
  <si>
    <t>嗨钱网申请借款10000元，实际到账8000元，下款单位西藏微众金融服务有限公司，账单分期三期，每期还款3665元，借款已全部结清但嗨钱网显示逾期！要求退还多扣头息，提供结清证明并撤销账单。</t>
  </si>
  <si>
    <t>罗汉分期恶意扣会员费</t>
  </si>
  <si>
    <t>http://ts.21cn.com/tousu/show/id/1368642</t>
  </si>
  <si>
    <t>未经本人允许、在本人不知情的情况下私自扣取会员费，要求该公司私自扣取的金额立即退还给本人。</t>
  </si>
  <si>
    <t>借钱宝高利贷砍头息电话骚扰</t>
  </si>
  <si>
    <t>http://ts.21cn.com/tousu/show/id/1368641</t>
  </si>
  <si>
    <t>2019/10/17 12:47:08</t>
  </si>
  <si>
    <t>投诉人赵先生投诉对象借贷宝涉诉金额4000元问题类型诉求类型投诉详情借款四千，只给我2800，还只有7天，第二天就爆我通讯录。</t>
  </si>
  <si>
    <t>http://ts.21cn.com/tousu/show/id/1368640</t>
  </si>
  <si>
    <t>2019/10/17 12:46:48</t>
  </si>
  <si>
    <t>投诉人 隋松林        投诉对象  飞花宝        涉诉金额  2 011 元    问题类型    诉求类型投诉详情  本人在该平台借贷 在无任何凭证情况下直接放款1240 而且还是私人账号放款 到期需要还款2011.84 这是典型的高利贷砍头息 希望平台做出解释</t>
  </si>
  <si>
    <t>暴力催款，向朋友家人发法院通知函</t>
  </si>
  <si>
    <t>http://ts.21cn.com/tousu/show/id/1368639</t>
  </si>
  <si>
    <t>2019/10/17 12:46:44</t>
  </si>
  <si>
    <t>经今年5月之前在向客服反应过，由于还欠银行9万块钱，先还银行的钱，等银行钱处理差不多了再来处理多米贷的钱，当时客服不同意，我现在也不想多说钱我是会还的，只是我现在把银行先处理先，一直爆我的通讯录，后来没有办法，只有在聚投诉反馈，当时在聚投诉以后，多米贷客服马上联系我，说等我资金能周转了，再处理多米贷的钱，希望我把聚投诉平台发布的马上结案处理，当时我也想既然平台答应了，就立马在平台解决处理结案，谁知道现在平台既然出尔反尔，向朋友发立案通知书给家人和朋友，请问，你们平台就是这样的吗，如果你们当时不答应，那么我们</t>
  </si>
  <si>
    <t>京东白条恶性催收</t>
  </si>
  <si>
    <t>http://ts.21cn.com/tousu/show/id/1368638</t>
  </si>
  <si>
    <t>2019/10/17 12:45:37</t>
  </si>
  <si>
    <t>归还了877元，且于10月16日竭尽所能归还2520元，包含逾期/本月账单/部分未出账账单/部分金条金额，连续性恶性骚扰已对我本人的精神极其生活带来了极大困扰和痛苦，本人为在读本科生，尽管学业紧张无法及时接通电话也深知还款的重要性，于逾期后仍尽己所能归还了三分之一的款项，并且有支付能力归还每月账单并提前归还部分账单，在并非恶意拖欠的前提下，催收方不考虑本人实际情况强制执行非强制性条例，以电话骚扰/联系家人甚至以通告函的形式对我进行施压，强制要求本人在24小时内还清全款，不禁质疑其合理性，希望该事情能得到妥善</t>
  </si>
  <si>
    <t>小花钱包恶意催收致当事人轻生</t>
  </si>
  <si>
    <t>http://ts.21cn.com/tousu/show/id/1368637</t>
  </si>
  <si>
    <t>2019/10/17 12:45:06</t>
  </si>
  <si>
    <t>小花钱包当事人已经使用一两年，额度总共14000多，现在还有8000多未还清，之前当事人从来没有逾期过，但是现在的确遇到了困难，非常困境，所以希望协商还款事宜和时间，但是小花的催收说会立刻编辑短信群发给亲朋好友，告诉所有人当事人欠款这个事情，小花本来利息高，砍头息就众所周知，当事人法律意识淡薄所以不懂，家里已经去公安局立案报备，如果当事人有任何生理心理上的影响，我们会走司法程序，所有骚扰的短信等一切证据，我们都会收集，用这种撕破脸的极端方式，那就走明面的官方程序吧。</t>
  </si>
  <si>
    <t>变相收取高额利息</t>
  </si>
  <si>
    <t>http://ts.21cn.com/tousu/show/id/1368636</t>
  </si>
  <si>
    <t>2019/10/17 12:45:04</t>
  </si>
  <si>
    <t>原先速金服给我是一千块钱的额度，我就试着提交，原来以为不会下款我就把APP卸载，没想到第五天就有一千块钱到我银行卡，然后我就收到速金服的短信说给我转了一千三百多块钱，可是他们只给我转了一千块钱，三百多块跑去哪里了，我打客服说这是什么手气费这个费那个费的，他们说这个是合理，我借1000块分期三个月一个月是526元，三个月是1578块钱这是多少利息，互联网金融管控还有变相的高利贷。</t>
  </si>
  <si>
    <t>潍坊银行扣款失败不通知</t>
  </si>
  <si>
    <t>http://ts.21cn.com/tousu/show/id/1368635</t>
  </si>
  <si>
    <t>2019/10/17 12:45:01</t>
  </si>
  <si>
    <t>本人2019年2月在玖富万卡借款14000元，放款方潍坊银行，另外强行收取保险费用4146.09，6月账单还款，扣款失败不通知，晚上主动还款失败，不让主动还款，第二天就上传征信报告逾期，本人打电话说明原因，客服态度恶劣，这样的借款本来就是高利贷，竟然还故意造成我的逾期，现在要求提前结清，竟然还要收取保险费用。</t>
  </si>
  <si>
    <t>维信豆豆钱群发恐吓短信，骚扰亲友</t>
  </si>
  <si>
    <t>http://ts.21cn.com/tousu/show/id/1368634</t>
  </si>
  <si>
    <t>2019/10/17 12:44:19</t>
  </si>
  <si>
    <t>让我主动还款，结果还款后再也联系不上！app上却显示逾期，群发威胁短信，骚扰我的亲朋好友，如果真的走法律程序你就走，咱们法庭上见，不要整那些没有用的，难道贵公司不知道泄露他人信息，群发恐吓短信是违法的吗，你们的行为已经严重影响了我的生活和工作，请你们按照法律程序走，该怎么办就怎么办，不要用这种卑鄙的手段。</t>
  </si>
  <si>
    <t>乱收费，欺诈</t>
  </si>
  <si>
    <t>http://ts.21cn.com/tousu/show/id/1368542</t>
  </si>
  <si>
    <t>2019/10/17 12:43:47</t>
  </si>
  <si>
    <t>投诉人孟女士投诉对象招联金融涉诉金额30000元问题类型诉求类型投诉详情没有下款没有到账户里就让交工本费900元，让取消合同也还让交钱，这就是恶意欺诈，骗子，要无偿给我取消合同。</t>
  </si>
  <si>
    <t>投诉闪电借款</t>
  </si>
  <si>
    <t>http://ts.21cn.com/tousu/show/id/1368632</t>
  </si>
  <si>
    <t>2019/10/17 12:43:30</t>
  </si>
  <si>
    <t>催收人员态度恶劣，威胁恐吓我，明确告知还款时间，对方还在微信私自添加。</t>
  </si>
  <si>
    <t>上海平安普惠暴力催收</t>
  </si>
  <si>
    <t>http://ts.21cn.com/tousu/show/id/1368633</t>
  </si>
  <si>
    <t>2019/10/17 12:43:27</t>
  </si>
  <si>
    <t>投诉人 吴先生        投诉对象  平安普惠        涉诉金额  600 000 元    问题类型    诉求类型投诉详情  平安普惠违规放贷，暴力催收。每天无数电话本人和家人。上门和公司催债。</t>
  </si>
  <si>
    <t>银行卡被盗刷</t>
  </si>
  <si>
    <t>http://ts.21cn.com/tousu/show/id/1368631</t>
  </si>
  <si>
    <t>2019/10/17 12:42:01</t>
  </si>
  <si>
    <t>10月14日在我卡里刷走2018元，广州银联工作人员态度不好一直不处理，也联系不上商家。</t>
  </si>
  <si>
    <t>拉卡拉断头息维权</t>
  </si>
  <si>
    <t>http://ts.21cn.com/tousu/show/id/1368630</t>
  </si>
  <si>
    <t>2019/10/17 12:39:39</t>
  </si>
  <si>
    <t>2017年经营不善店门倒闭，没钱发工资，问拉卡拉借贷了三万元人民币，没想到的是到账只有25800，每月还要还两千五，我还了半年实在没钱还，造成逾期，没多久拉卡拉就爆了我的通讯录，我朋友，同学，亲戚都打了遍，现在催收部门说在广东起诉我，说我去不去都无所谓怎么样的话语，我就想问问这个拉卡拉断头息法院也可以判决吗，关键现在让我还款还要多还几千块钱做为利息，我想问问我又没有地方申诉……。</t>
  </si>
  <si>
    <t>催收威胁、费用较高</t>
  </si>
  <si>
    <t>http://ts.21cn.com/tousu/show/id/1368628</t>
  </si>
  <si>
    <t>2019/10/17 12:38:35</t>
  </si>
  <si>
    <t>有用分期涉案总金额8000分6期逾期金额2000元，，你我贷总金额8500，逾期金额2000元，前两期还款额还包含什么贷后服务费1000多元，你我贷催收打单位电话，威胁我的工作，辱骂我，因单位电话没有录音功能无法提供，还威胁打领导电话，让我失去工作，不惧怕报警，催收电话只能打进不能打出，态度恶劣，有用分期，电话骚扰家人，客服电话打不通，请求道歉。</t>
  </si>
  <si>
    <t>http://ts.21cn.com/tousu/show/id/1368629</t>
  </si>
  <si>
    <t>2019/10/17 12:38:25</t>
  </si>
  <si>
    <t>在抖音找到我，打电话威胁我，加我微信威胁我，说带着司法所的人去我村里调查我，昨天带着所谓的司法所去村里调查了已经，爆我隐私，坏我名声，违法违规，这个捷信的狗156******09冒充司法所的人，以前上门贴信函，打电话现在接冒充司法所的人来村里，可以了这个人，还要来我单位调查我，我说行你来，正好把以前的账跟现在的账一起去公安局算算，我在单位里，公安局已打好招呼随时欢迎你们来，正好找不到你们，赔偿我精神损失费，。</t>
  </si>
  <si>
    <t>http://ts.21cn.com/tousu/show/id/1368625</t>
  </si>
  <si>
    <t>2019/10/17 12:37:20</t>
  </si>
  <si>
    <t>没经过我的同意给我下款，也没看到什么合同，我觉得利息太高，3500元我想一次性结清竟然要还4600元，而且每期的服务费又是啥那么高，都给我服务了些什么，我希望平台能够帮助我。</t>
  </si>
  <si>
    <t>兴业银行第三方上门催收吓到父母，影响个人名誉</t>
  </si>
  <si>
    <t>http://ts.21cn.com/tousu/show/id/1368624</t>
  </si>
  <si>
    <t>2019/10/17 12:35:27</t>
  </si>
  <si>
    <t>投诉人牛先生投诉对象兴业银行委托方涉诉金额14000元问题类型诉求类型投诉详情我用的兴业信用卡，这个逾期个人的问题，承认错误，但是后来接到委托方电话说是当地律师，我就凑了8700，随后找了客服想通过内部沟通，但是委托方一直说找村委会，警察上门。</t>
  </si>
  <si>
    <t>工商银行催收问题</t>
  </si>
  <si>
    <t>http://ts.21cn.com/tousu/show/id/1368623</t>
  </si>
  <si>
    <t>2019/10/17 12:35:15</t>
  </si>
  <si>
    <t>投诉人 姜先生        投诉对象  工商银行        涉诉金额  4 700 元    问题类型    诉求类型投诉详情  工商银行信用卡逾期 为什么没有及时通知到我本人 重点是逾期一个月了才接到催收电话 让我很难理解</t>
  </si>
  <si>
    <t>http://ts.21cn.com/tousu/show/id/1368622</t>
  </si>
  <si>
    <t>投诉人赵志娟投诉对象兴业银行信用卡涉诉金额23000元问题类型诉求类型投诉详情威胁上门强制拍卖我名下财产强制没收家用电器工号220157我想知道强制执行都不需要法院的吗银行现在都这么厉害了还要法律干什么我并不是恶意欠款而是前一段被诈骗了六万块钱真是周转不开了。</t>
  </si>
  <si>
    <t>http://ts.21cn.com/tousu/show/id/1368621</t>
  </si>
  <si>
    <t>2019/10/17 12:32:32</t>
  </si>
  <si>
    <t>度小满金融委托第三方催收公司，违法催收，爆通讯录，每天骚扰电话，骚扰短信，短信威胁，各种辱骂，扬言全世界都知道你的丑事，会安排相关人员上门催收，准备好钱，不给就打死你，投诉平台客服，没有解决任何问题，催收人员依旧违法催收，故意利用个人手机号码注册平台账号，几百个验证码，工作人员根本不怕法律也不怕派出所，无法无天，还威胁安排人员上门找我的亲朋好友，说我亲戚有钱找我亲戚拿钱。</t>
  </si>
  <si>
    <t>尚德机构不给退款</t>
  </si>
  <si>
    <t>http://ts.21cn.com/tousu/show/id/1368620</t>
  </si>
  <si>
    <t>2019/10/17 12:31:14</t>
  </si>
  <si>
    <t>投诉人陈先生投诉对象尚德机构涉诉金额1618元问题类型诉求类型投诉详情不给退款，还要本人到分校，现在二十四小时都不到。</t>
  </si>
  <si>
    <t>http://ts.21cn.com/tousu/show/id/1368617</t>
  </si>
  <si>
    <t>2019/10/17 12:30:57</t>
  </si>
  <si>
    <t>投诉人杜肖投诉对象你我贷涉诉金额8000元问题类型诉求类型投诉详情你我贷平台利息高出年利率百分之二十四，我在此平台借款8000元本金，分12期，总还款金额10871.88元，等于我要多还2871.88，这不就是高利贷吗，我来贷平台催收人员使用呼死你软件对我进行骚扰，我接听电话对我言语侮辱，诽谤我，说我故意躲避债务，几百块钱还不起，我也说明我的情况，此平台催收还是执意达到自己的目的，我要行使我的权利，要求你我贷平台对我补偿，本金我已经归还完了，我已还八期金额为7644.72元，我只归还本金，望聚投诉平台领导严</t>
  </si>
  <si>
    <t>京东金条逾期第三方暴力催收威胁恐吓</t>
  </si>
  <si>
    <t>http://ts.21cn.com/tousu/show/id/1368618</t>
  </si>
  <si>
    <t>2019/10/17 12:30:55</t>
  </si>
  <si>
    <t>投诉人吴女士投诉对象京东金融涉诉金额13317元问题类型诉求类型投诉详情因本人几个月没有发工资，造成金条逾期，京东第三方催收就开始爆通讯录，联系我的家人，暴力催收，跟第三方沟通，会在自己最近这几天的时间还清欠款，也没有说不还的，结果催收还是不依不饶的，爆我的通讯录，发短信威胁恐吓我，还说会让我在村里面出名，扬言要看我们家的笑话。</t>
  </si>
  <si>
    <t>饿了么平台无具体理由永久限制接单</t>
  </si>
  <si>
    <t>http://ts.21cn.com/tousu/show/id/1368619</t>
  </si>
  <si>
    <t>2019/10/17 12:30:54</t>
  </si>
  <si>
    <t>投诉人徐先生投诉对象饿了么涉诉金额0元问题类型诉求类型投诉详情饿了么的众包平台“蜂鸟众包”app突然永久限制我接单，没有触犯其app内展示的任何符合永久限制接单的规定，app里也没有产生任何罚单，在通过app和电话询问客服，得到的回答均是系统判断无法核实。</t>
  </si>
  <si>
    <t>信用管家，畅捷支付，薪意贷</t>
  </si>
  <si>
    <t>http://ts.21cn.com/tousu/show/id/1368615</t>
  </si>
  <si>
    <t>2019/10/17 12:29:36</t>
  </si>
  <si>
    <t>投诉人温先生投诉对象信用管家,薪意贷,畅捷支付,秒贷吧涉诉金额2260元问题类型诉求类型投诉详情本人在信用管家申请了薪意贷2250元，分6期，每期10天，每期还款529元左右，共计3170左右，两个月利息将近1000，而且暴力催收，威胁通知家人朋友！畅捷支付为他们提供放款渠道，为高利贷违规。</t>
  </si>
  <si>
    <t>诈骗</t>
  </si>
  <si>
    <t>http://ts.21cn.com/tousu/show/id/1368613</t>
  </si>
  <si>
    <t>2019/10/17 12:29:17</t>
  </si>
  <si>
    <t>投诉人盛女士投诉对象XM外汇,中国银联涉诉金额1150000元问题类型诉求类型投诉详情2017年XM客服给我电话，让我加他们公众号听老师讲课，那时候还是第三方商家消费，银联入账，说他们总部在塞浦路斯，后来一个客服加我微信，教我操作，结果爆仓，后来找到他们平台，说根本没有微信客服，后来我就装合作，立马官网就推送一个人给我打电话，说没有线下客服都是对外面所说，还说他们在上海有公司只是怕被找麻烦，这些都有录音为证，后来我就报案，已经立案了，但是那个客服微信注销了，然后平台还强制封我账号，到了今年，入金都是通过银联</t>
  </si>
  <si>
    <t>微信恶意锁定支付功能</t>
  </si>
  <si>
    <t>http://ts.21cn.com/tousu/show/id/1368612</t>
  </si>
  <si>
    <t>2019/10/17 12:29:04</t>
  </si>
  <si>
    <t>投诉人马先生投诉对象微信支付涉诉金额2153元问题类型诉求类型投诉详情微信恶意锁定支付功能，让联系有关部门解决，联系以后有关部门并不知道此事，同事微信也不给处理。</t>
  </si>
  <si>
    <t>丰趣海淘拖欠员工工资，强制执行也没用</t>
  </si>
  <si>
    <t>http://ts.21cn.com/tousu/show/id/1368611</t>
  </si>
  <si>
    <t>2019/10/17 12:28:12</t>
  </si>
  <si>
    <t>投诉人刘笑生投诉对象丰趣海淘涉诉金额32700元问题类型诉求类型投诉详情上海牵趣网络科技有限公司拖欠我两个月工资2019年3月至4月工资，合计金额32700元，从一直拖欠到现在调解截止日期，至今还未支付一分钱。</t>
  </si>
  <si>
    <t>人人贷借款乱收费</t>
  </si>
  <si>
    <t>http://ts.21cn.com/tousu/show/id/1368609</t>
  </si>
  <si>
    <t>2019/10/17 12:27:35</t>
  </si>
  <si>
    <t>投诉人满先生投诉对象人人贷涉诉金额20000元问题类型诉求类型投诉详情我总共借了20000块，到手之后直接合同写了23000这3000块等于砍头息了，提前还款啥的还要额外收好多，目前我还了8期，总共7000多，但是账单上显示我还剩29000没还，这得多高的利息，当时我借款的时候合同上写的是总共需要还23000突然多出来这么多！合同还没事变更下，当时我找不到在哪投诉这个我朋友告诉我的，打电话给客服基本上答非所问。</t>
  </si>
  <si>
    <t>你我贷变相高利贷收取服务费管理费，年息高达61%</t>
  </si>
  <si>
    <t>http://ts.21cn.com/tousu/show/id/1368608</t>
  </si>
  <si>
    <t>2019/10/17 12:27:22</t>
  </si>
  <si>
    <t>投诉人逯亚洲投诉对象你我贷涉诉金额3600元问题类型诉求类型投诉详情借款12000元等额本息一年，需还16313.52，利息远超法律规定，其中贷后管理费，贷后服务费，平台服务费夹杂其中高达3600元，变相高利贷，查看官网给出借人最高只有10.8%利息，这里为什么还这么多，远超法律规定。</t>
  </si>
  <si>
    <t>钱站暴力催收如同黑社会的手段</t>
  </si>
  <si>
    <t>http://ts.21cn.com/tousu/show/id/1368607</t>
  </si>
  <si>
    <t>2019/10/17 12:26:10</t>
  </si>
  <si>
    <t>钱站以非法手段读取本人通话记录，暴力催收恐慌骚扰我家人朋友，侵犯个人私隐，造成非常恶劣影响！在国家扫黑除恶的鲜明旗帜下，钱站如此明目张胆的犯法，希望平台能发挥积极作用，要求他们立即停止骚扰！。</t>
  </si>
  <si>
    <t>私自扣钱</t>
  </si>
  <si>
    <t>http://ts.21cn.com/tousu/show/id/1368606</t>
  </si>
  <si>
    <t>2019/10/17 12:26:05</t>
  </si>
  <si>
    <t>投诉人张先生投诉对象造艺科技涉诉金额298元问题类型诉求类型投诉详情前两条在聚富分期想贷款填写资料后就没想借了今天突然银行发信息来被扣298.5元这是什么道理。</t>
  </si>
  <si>
    <t>新橙优品未经本人同意私自扣款</t>
  </si>
  <si>
    <t>http://ts.21cn.com/tousu/show/id/1368605</t>
  </si>
  <si>
    <t>2019/10/17 12:25:55</t>
  </si>
  <si>
    <t>投诉人沈先生投诉对象新橙优品,网银在线,京东金融涉诉金额500元问题类型诉求类型投诉详情新橙优品私自扣款，网银在线给高利贷当帮凶，无法解释500扣款，一开始专员说保险，本人联系客服就说保障金，砍头息，本人还款6个月，已经还了3个月，昨天未经本人同意又扣款500，公司踢皮球。</t>
  </si>
  <si>
    <t>暴利催收</t>
  </si>
  <si>
    <t>http://ts.21cn.com/tousu/show/id/1368604</t>
  </si>
  <si>
    <t>2019/10/17 12:25:31</t>
  </si>
  <si>
    <t>我在及贷里的智亨贷了2300.到期当天打了电话给客服晚几天还，逾期第一天打电话我接了说要晚几天才有钱还，对方态度恶劣直接说十点钟不还就打紧急联系人电话，结果十点钟直接爆我通讯录里的所有人电话，态度恶劣骂人，所有的电话都打严重影响我个人隐私，影响我上班收入及工作，2300逾期费一天就72，利息过高超过国家规定范围，要求调整利率。</t>
  </si>
  <si>
    <t>屌丝分期，悦分期套路贷</t>
  </si>
  <si>
    <t>http://ts.21cn.com/tousu/show/id/1368603</t>
  </si>
  <si>
    <t>2019/10/17 12:25:01</t>
  </si>
  <si>
    <t>本人因为资金周转从短信链接点击借款1800.到账却只有1080分两期还，每期900元，砍头息920元，多次借贷，要求屌丝分期，悦分期还会多扣的砍头息。</t>
  </si>
  <si>
    <t>广发银行违法暴力催收</t>
  </si>
  <si>
    <t>http://ts.21cn.com/tousu/show/id/1368600</t>
  </si>
  <si>
    <t>2019/10/17 12:24:53</t>
  </si>
  <si>
    <t>广发银行信用卡滥用催收人员，不同意协商，客户在全力还款，仍藐视客户还款意愿，违法骚扰恐吓家人，老人，老人九十岁了，广发大力敲门大声吵闹直接吓到老人，老人身体精神收到严重影响！现在极力要求赔偿我们精神损失费，医疗费！并道歉！，我现在通过全方位手段向各个政府监管机构上诉，我相信一定会讨到一个说法。</t>
  </si>
  <si>
    <t>通联支付违规提供支付渠道</t>
  </si>
  <si>
    <t>http://ts.21cn.com/tousu/show/id/1368601</t>
  </si>
  <si>
    <t>2019/10/17 12:24:49</t>
  </si>
  <si>
    <t>通联支付为高利贷违规提供支付渠道要求按国家规定利息结清欠款。</t>
  </si>
  <si>
    <t>百度有钱花雇佣黑社会暴力催收</t>
  </si>
  <si>
    <t>http://ts.21cn.com/tousu/show/id/1368602</t>
  </si>
  <si>
    <t>2019/10/17 12:24:42</t>
  </si>
  <si>
    <t>百度有钱花雇佣黑社会暴力催收，不协商，肆无忌惮爆通讯录，向催收同步借款人的征信记录，。</t>
  </si>
  <si>
    <t>微粒贷违法半夜骚扰</t>
  </si>
  <si>
    <t>http://ts.21cn.com/tousu/show/id/1368599</t>
  </si>
  <si>
    <t>2019/10/17 12:24:37</t>
  </si>
  <si>
    <t>投诉人刘先生投诉对象微众银行,微粒贷涉诉金额178700元问题类型诉求类型投诉详情爆通讯录，半夜骚扰，辱骂通讯录不相关人。</t>
  </si>
  <si>
    <t>拍拍贷爆通讯录</t>
  </si>
  <si>
    <t>http://ts.21cn.com/tousu/show/id/1368597</t>
  </si>
  <si>
    <t>2019/10/17 12:23:26</t>
  </si>
  <si>
    <t>投诉人王女士投诉对象拍拍贷涉诉金额600元问题类型诉求类型投诉详情我已经还清本金和利息，逾期了几天，拍拍贷爆我通讯录联系我家里人，还拿出我的身份证地址恐吓我，我想说拍拍贷利息那么高，是不是还清百分之24以内的利息加本金就可以了，我只剩最后的几百块钱利息本金没有还了，一直不停的打我电话。</t>
  </si>
  <si>
    <t>月光侠分期高利贷，骚扰爆通讯录</t>
  </si>
  <si>
    <t>http://ts.21cn.com/tousu/show/id/1368598</t>
  </si>
  <si>
    <t>2019/10/17 12:23:24</t>
  </si>
  <si>
    <t>投诉人徐先生投诉对象月光侠分期涉诉金额3000元问题类型诉求类型投诉详情月光侠分期，借3000要还4000多，逾期第一天就爆通讯录，每天上百个电话，短信都发到我岳父那里去了，单位朋友都知道了，生活工作都没法继续，家庭都快被破坏了，就因为3千块...。</t>
  </si>
  <si>
    <t>闪银速贷不合理的担保费</t>
  </si>
  <si>
    <t>http://ts.21cn.com/tousu/show/id/1368596</t>
  </si>
  <si>
    <t>2019/10/17 12:22:14</t>
  </si>
  <si>
    <t>投诉人龚先生投诉对象Wecash闪银涉诉金额2500元问题类型诉求类型投诉详情闪银打电话给我说我逾期了两天了，可是始终我接电话问他什么是担保费，他始终解释不清楚，态度强横，带恐吓威胁，借款的单子我也看不见，还威胁我要爆通讯录。</t>
  </si>
  <si>
    <t>及贷泄露隐私恐吓威胁</t>
  </si>
  <si>
    <t>http://ts.21cn.com/tousu/show/id/1368595</t>
  </si>
  <si>
    <t>2019/10/17 12:21:52</t>
  </si>
  <si>
    <t>投诉人罗女士投诉对象及贷涉诉金额5000元问题类型诉求类型投诉详情及贷没有经过本人允许私自发信息我通讯录所有人，害我工作也丢了，家人朋友痘收到威胁电话！我之前跟及贷工作人员说过延长还款，一次结清！希望帮助我，让他们停止骚扰威胁我通讯录，跟我协商解决！。</t>
  </si>
  <si>
    <t>有品有鱼app让退款，这个是在微信群里被忽悠去买会员的</t>
  </si>
  <si>
    <t>http://ts.21cn.com/tousu/show/id/1368561</t>
  </si>
  <si>
    <t>2019/10/17 12:21:09</t>
  </si>
  <si>
    <t>投诉人何先生投诉对象小米有品涉诉金额396元问题类型诉求类型投诉详情在微信群里面不小心被拉去开通什么会员和激活会员，现找平台客服退款&amp;nbsp;客服说退不了&amp;nbsp;他说会员商品特殊不能退！。</t>
  </si>
  <si>
    <t>现金巴士借款2000收318砍头息</t>
  </si>
  <si>
    <t>http://ts.21cn.com/tousu/show/id/1368594</t>
  </si>
  <si>
    <t>2019/10/17 12:20:55</t>
  </si>
  <si>
    <t>投诉人程先生投诉对象现金巴士涉诉金额318元问题类型诉求类型投诉详情现金巴士借款2000到账被扣318元，属于砍头息，要求退还。</t>
  </si>
  <si>
    <t>http://ts.21cn.com/tousu/show/id/1368563</t>
  </si>
  <si>
    <t>2019/10/17 12:20:39</t>
  </si>
  <si>
    <t>投诉人曲先生投诉对象聚富分期涉诉金额299元问题类型诉求类型投诉详情聚富分期在不知情的情况下，私自扣费，合计299元，打人工客服，说明情况，各种理由拖延时间，不处理。</t>
  </si>
  <si>
    <t>万惠及贷暴力催收骚扰通讯录、不停止不道歉休想这边还钱</t>
  </si>
  <si>
    <t>http://ts.21cn.com/tousu/show/id/1368593</t>
  </si>
  <si>
    <t>2019/10/17 12:20:30</t>
  </si>
  <si>
    <t>投诉人黄先生投诉对象万惠及贷涉诉金额68000元问题类型诉求类型投诉详情万惠及贷你们这样骚扰通讯录、如果这事不给个交代、不道歉休想老子一分钱还！你态度这么恶劣。</t>
  </si>
  <si>
    <t>还到暴力催收</t>
  </si>
  <si>
    <t>http://ts.21cn.com/tousu/show/id/1368549</t>
  </si>
  <si>
    <t>2019/10/17 12:20:19</t>
  </si>
  <si>
    <t>投诉人马先生投诉对象还到涉诉金额9500元问题类型诉求类型投诉详情本人在随行付旗下还到app贷款9500元，分期12月，现已还款三期，第四期因为个人原因无法正常还款，客户不给沟通协商，导致逾期，逾期第二天后开始对我家人朋友单位进行电话骚扰，微信对我家人进行威胁，对本人手机进行短信轰炸，希望贵单位给予合理解释，赔偿我的精神损失，本人维权到底。</t>
  </si>
  <si>
    <t>http://ts.21cn.com/tousu/show/id/1368592</t>
  </si>
  <si>
    <t>2019/10/17 12:20:04</t>
  </si>
  <si>
    <t>8月23我申请注册的淘集集个人店铺通过，并且交了2000元保证金，但是听朋友说淘集集是骗子公司，于是在没有发布任何产品并且没有经营店铺，同时8月23当天申请退店退保证金，可是一直没有给我退保证金，我联系网上淘集集微信公众号那里，机器自动回复说一个月左右会退还保证金，可以我都等了2个月还是没有退我保证金，期间电话联系淘集集官方客服一直说人工客服不在线，电话一直打不通，请广大网友一起举报，谢谢公正机关帮我讨伐淘集集，协助我们这些受害者得到我们自己保证金。</t>
  </si>
  <si>
    <t>http://ts.21cn.com/tousu/show/id/1368591</t>
  </si>
  <si>
    <t>2019/10/17 12:19:31</t>
  </si>
  <si>
    <t>投诉人 位朝建        投诉对象  恒昌利通        涉诉金额  70 000 元    问题类型    诉求类型投诉详情  骗子公司，本人无辜受害。联合同志们打到非法行为</t>
  </si>
  <si>
    <t>http://ts.21cn.com/tousu/show/id/1368589</t>
  </si>
  <si>
    <t>2019/10/17 12:18:16</t>
  </si>
  <si>
    <t>牵趣从2018年11月开始延期发工资，至本人离职，还有两个月工资拖欠，五月社保至。</t>
  </si>
  <si>
    <t>砍头息，暴力催收，群发短信骚扰</t>
  </si>
  <si>
    <t>http://ts.21cn.com/tousu/show/id/1368588</t>
  </si>
  <si>
    <t>2019/10/17 12:17:44</t>
  </si>
  <si>
    <t>由于资金周转不开导致无法按时还款，但该公司群发短信骚扰我通讯录的。</t>
  </si>
  <si>
    <t>暴击催收爆通讯录</t>
  </si>
  <si>
    <t>http://ts.21cn.com/tousu/show/id/1368587</t>
  </si>
  <si>
    <t>2019/10/17 12:17:32</t>
  </si>
  <si>
    <t>已电话暴力催收的方式把我通讯录的联系人，亲朋好友都打了一遍，你们这样做完全是在泄露个人信息。</t>
  </si>
  <si>
    <t>http://ts.21cn.com/tousu/show/id/1368585</t>
  </si>
  <si>
    <t>2019/10/17 12:16:33</t>
  </si>
  <si>
    <t>投诉人杨先生投诉对象现金巴士涉诉金额1000元问题类型诉求类型投诉详情借了1000块有188块砍头息，到期要还1200多，高利贷。</t>
  </si>
  <si>
    <t>http://ts.21cn.com/tousu/show/id/1368584</t>
  </si>
  <si>
    <t>2019/10/17 12:16:09</t>
  </si>
  <si>
    <t>投诉人王斌投诉对象玖富万卡涉诉金额47840元问题类型诉求类型投诉详情本人2018年9月15日从玖富万卡借款23000元，当时给客服打电话，客服说是严格按照国家利率放款，可是第一次还款时看见费用是分两笔还的，一笔属于本金，一笔属于费用分期，看合同金额达到了40000元，利息很高，可是我按照我每月还款金额算下来还款额竟然达到了47800元，要是自己不算，合同根本不显示。</t>
  </si>
  <si>
    <t>淘宝无故判我售假，扣我保证金</t>
  </si>
  <si>
    <t>http://ts.21cn.com/tousu/show/id/1368583</t>
  </si>
  <si>
    <t>2019/10/17 12:15:48</t>
  </si>
  <si>
    <t>我是刚开的淘宝网店，商品从其他平台里发，属于分销，因为一次性被举报售假，一次就超过三次，对平台规则不了解，不知道三次被永久封店和扣保证金，说真的，如果知道我打死也不会充5000进去，我只是想赚点分销而已。</t>
  </si>
  <si>
    <t>闪银催收威胁攻击人</t>
  </si>
  <si>
    <t>http://ts.21cn.com/tousu/show/id/1368581</t>
  </si>
  <si>
    <t>2019/10/17 12:15:32</t>
  </si>
  <si>
    <t>本人在闪银哼哼舜舜借款2600元，三天之前到期，今天催收给我打电话九点多的时候我说我和客服沟通一下，然后我和客服说明情况客服说帮我反馈，刚才十一点半的时候催收又来电话态度特别恶劣直接说十二点之前还不上直接打我通讯录的亲友，他有都是时间和我玩，本人积极协商一直在和客服沟通，催收的人这样威胁人希望能停止催收和本人联系，通话录音一直在保存，如果骚扰我亲人朋友我会依法追究到底。</t>
  </si>
  <si>
    <t>苏宁金融任性付</t>
  </si>
  <si>
    <t>http://ts.21cn.com/tousu/show/id/1368579</t>
  </si>
  <si>
    <t>2019/10/17 12:14:46</t>
  </si>
  <si>
    <t>苏宁任性付催收态度恶劣，质问口气，威胁恐吓，态度恶劣！我没说我不还，电话照常接听，我暂时经济上有困难，我的问题已经说过很多次了！征信你们上，违约金我付，凭什么态度这么恶劣，任性付一共欠1400多，本次逾期490块钱，我是违约责任，我不是罪犯，你们平台什么态度。</t>
  </si>
  <si>
    <t>http://ts.21cn.com/tousu/show/id/1368580</t>
  </si>
  <si>
    <t>打电话给我身边的朋友家人，还发信息恐吓，辱骂人，。</t>
  </si>
  <si>
    <t>既有分期高利贷</t>
  </si>
  <si>
    <t>http://ts.21cn.com/tousu/show/id/1368578</t>
  </si>
  <si>
    <t>2019/10/17 12:13:24</t>
  </si>
  <si>
    <t>深圳前海达飞金融即有分期对我的投诉置之不理，自称利息合法，月利率和年利率合法合规，客服语言一直威胁，承认有暴力催收，，法律法规完成无视，三天两头骚扰本人亲友无关人员，希望平台尽快作出相应的回应。</t>
  </si>
  <si>
    <t>威胁恐吓，暴力催收</t>
  </si>
  <si>
    <t>http://ts.21cn.com/tousu/show/id/1368577</t>
  </si>
  <si>
    <t>2019/10/17 12:12:59</t>
  </si>
  <si>
    <t>暴力催收，群发短信，爆通讯录，把照片和律师函都群发了，群发的手机号181******90。</t>
  </si>
  <si>
    <t>京东白条添加了好友微信通知我所有好友欠款</t>
  </si>
  <si>
    <t>http://ts.21cn.com/tousu/show/id/1368576</t>
  </si>
  <si>
    <t>2019/10/17 12:12:34</t>
  </si>
  <si>
    <t>暴力催收，联系同事、家人、好友不断跟对方说我欠了他们钱不还。</t>
  </si>
  <si>
    <t>恶意扣款288</t>
  </si>
  <si>
    <t>http://ts.21cn.com/tousu/show/id/1368575</t>
  </si>
  <si>
    <t>2019/10/17 12:12:17</t>
  </si>
  <si>
    <t>投诉人 张先生        投诉对象  人人花,盛通网络        涉诉金额  288 元    问题类型    诉求类型投诉详情  人人花APP变相恶意扣款288，请求退回</t>
  </si>
  <si>
    <t>折疯了app侵犯消费者权益不予退款</t>
  </si>
  <si>
    <t>http://ts.21cn.com/tousu/show/id/1368573</t>
  </si>
  <si>
    <t>2019/10/17 12:11:37</t>
  </si>
  <si>
    <t>投诉人董女士投诉对象折疯了海淘涉诉金额1206元问题类型诉求类型投诉详情10-15日下单购买，货物没收到，快递也没有进行显示，准备退款，网页显示与客服联系进行拦截，但是未进行处理，不予以退款。</t>
  </si>
  <si>
    <t>投诉瀚银支付得仕支付航天支付</t>
  </si>
  <si>
    <t>http://ts.21cn.com/tousu/show/id/1368572</t>
  </si>
  <si>
    <t>2019/10/17 12:11:31</t>
  </si>
  <si>
    <t>投诉人 黄俊斌        投诉对象  瀚银科技,得仕,乐家易付        涉诉金额  52 000 元    问题类型    诉求类型投诉详情  这三个平台为违法赌博网站提供支付通道 要求他们退款</t>
  </si>
  <si>
    <t>2016年办理的车抵押贷款被业务员恶意篡改资料</t>
  </si>
  <si>
    <t>http://ts.21cn.com/tousu/show/id/1368571</t>
  </si>
  <si>
    <t>2019/10/17 12:11:27</t>
  </si>
  <si>
    <t>2016年时候通过朋友介绍办理车抵押贷款，是通过一个业务员办理的，当时明确是办理车抵押贷款，然后业务员说可以，就把我车上资料收走了，过几天说可以办理，400电话回访按照我说的就可以，然后我照做，等最后两期还款时候问业务员当时放款时候收的5000块钱押金怎么退，业务员各种理由说不退，并不给解释，完全欺诈，并跟汇通400沟通，门店出具了当时办理时候出具的资料，发现业务员伪造了当时办理时候签署的一些资料，包括车辆登记证书ps名字各种，里面问题不断，问业务员咨询，不回复，电话不接，官方客服一直推诿，9月份开始反应到</t>
  </si>
  <si>
    <t>给你花及贷协商还款</t>
  </si>
  <si>
    <t>http://ts.21cn.com/tousu/show/id/1368574</t>
  </si>
  <si>
    <t>2019/10/17 12:11:21</t>
  </si>
  <si>
    <t>本人在7月16日通过给你花APP，及贷借款7200元，分12个月还，每月平均还840元，一共应还10080元，其中利息为2880；本人第一二期已按时还款，但是九月底开始，本人出了一点状况，导致现在没有钱了，连基本生活也出现了问题，这个问题最快要到十月底才能有所调整，跟客服沟通无果，对方要求我承诺两天内处理，我接受对方公司走法律流程，但是如果因此有所暴力催收行为的话，本人坚决不同意，本来已经雪上加霜的事情，不是再去影响其他人就能得到妥善解决，因此在这里请求给予延期处理，不是逼着还款。</t>
  </si>
  <si>
    <t>http://ts.21cn.com/tousu/show/id/1368522</t>
  </si>
  <si>
    <t>2019/10/17 12:10:55</t>
  </si>
  <si>
    <t>投诉人李先生投诉对象钱站涉诉金额100440元问题类型诉求类型投诉详情借款100440元，每个月还款4522.3元，36期就要还162802.8元是什么利率，我都还23期了36个月要还16280.8高出国家标准了属于高利贷了希望平台给解决，找新闻台曝光，这利率多高。</t>
  </si>
  <si>
    <t>安逸花催收骚扰联系人亲戚朋友电话</t>
  </si>
  <si>
    <t>http://ts.21cn.com/tousu/show/id/1368569</t>
  </si>
  <si>
    <t>2019/10/17 12:10:35</t>
  </si>
  <si>
    <t>没及时处理、后来直接打亲朋好友电话骚扰他们的日常生活、。</t>
  </si>
  <si>
    <t>小花</t>
  </si>
  <si>
    <t>http://ts.21cn.com/tousu/show/id/1368568</t>
  </si>
  <si>
    <t>2019/10/17 12:09:55</t>
  </si>
  <si>
    <t>贵公司暴力催收且接过我电话后还拔打我联系人，而且是我当初填写的联系人，，属严重违反国家金融法规，并不定期发垃圾短信及侮辱和威胁的短信，跟贵公司本来协商处理事宜，可贵公司催收不听我解释又拔打我联系人以外的人，给我生活工作带来严重困扰，名誉和精神上的损害，现要求贵公司停止骚扰，停止把我的信息泄露和精神名誉赔偿，否则本人将有权追究和上法院及报案。</t>
  </si>
  <si>
    <t>借钱多714高利息轰炸通讯录</t>
  </si>
  <si>
    <t>http://ts.21cn.com/tousu/show/id/1368567</t>
  </si>
  <si>
    <t>2019/10/17 12:09:41</t>
  </si>
  <si>
    <t>借钱多高利息，短信电话轰炸，望停止轰炸，做出相应处罚。</t>
  </si>
  <si>
    <t>卡卡贷暴力催收</t>
  </si>
  <si>
    <t>http://ts.21cn.com/tousu/show/id/1368566</t>
  </si>
  <si>
    <t>2019/10/17 12:09:26</t>
  </si>
  <si>
    <t>骚扰通讯录，言语恶劣，不分时间段，造成他人困扰，这类行为严重影响他人工作作息。</t>
  </si>
  <si>
    <t>欺诈消费者延迟发货滞留货款</t>
  </si>
  <si>
    <t>http://ts.21cn.com/tousu/show/id/1368565</t>
  </si>
  <si>
    <t>2019/10/17 12:09:12</t>
  </si>
  <si>
    <t>9.16日在农行绿森商城上下单预约购买iphone11紫色款128G,按约定9月26日为最晚发货日期，直到10月17日都未发货，期间通过绿森商城客服平台联系了不下10余次，都表示会紧急反馈发货，但最终还是遥遥无期，10月9日又在绿森商城平台上询问具体发货日期，10月10号电话人工回访，表示从10月10日起算5-10天，绝对会发货，期间我问是否会拖到第9日货第10日才发货，客服明确表示不会的，从9.26号到10月17已经历时，将近一个月的时间。</t>
  </si>
  <si>
    <t>爆通讯录态度恶劣威胁恐吓短信群发</t>
  </si>
  <si>
    <t>http://ts.21cn.com/tousu/show/id/1368562</t>
  </si>
  <si>
    <t>2019/10/17 12:08:07</t>
  </si>
  <si>
    <t>投诉人 郭先生        投诉对象  平安普惠        涉诉金额  13 500 元    问题类型    诉求类型投诉详情  平安普惠i贷未经过我的允许 群发关于我的个人信息 对我个人信息泄漏 未经过我允许私自下载我个人照片 已对我个人造成影响 恐吓 骚扰 如果有必要时我们可以通过法律途径解决</t>
  </si>
  <si>
    <t>希望和中信银行协商债务重组，实在是利息太高了</t>
  </si>
  <si>
    <t>http://ts.21cn.com/tousu/show/id/1368560</t>
  </si>
  <si>
    <t>2019/10/17 12:07:23</t>
  </si>
  <si>
    <t>中信信用卡的圆梦金和额度还款金额超出了本人还款能力，本人并不逃避还款责任，但是由于本人能力有限，而且中信银行利息太高，已经快将我掏空，我想请中信银行工作人员联系我将债务重组，在我能力范围内还款，还有9月份并不是不还款，实在是努力借钱挣钱仍然没能还上，望中信银行撤销我的征信不良纪律。</t>
  </si>
  <si>
    <t>不能协商延期</t>
  </si>
  <si>
    <t>http://ts.21cn.com/tousu/show/id/1368559</t>
  </si>
  <si>
    <t>2019/10/17 12:07:16</t>
  </si>
  <si>
    <t>不能协商延期，5天之内我能还请可不可，请不要在我的私信息了。</t>
  </si>
  <si>
    <t>中信银行信用卡暴力催收</t>
  </si>
  <si>
    <t>http://ts.21cn.com/tousu/show/id/1368558</t>
  </si>
  <si>
    <t>2019/10/17 12:07:12</t>
  </si>
  <si>
    <t>目前有逾期，虽然无比困难，但是一直尽全力在还款，也跟你们积极协商，我相信在我的努力下一定可以还清，但中信在没有任何通知情况下，去骚扰家人，家里爷爷快九十岁了也不放过，直接大声恐吓，老人差点没了，医生建议住院，我前后联系多次中信，自然没有相关人员给我合理答复，现在我只有去国家监管机构上诉，要求中信赔偿家人精神损失，名誉损失，医疗费用，以及道歉！。</t>
  </si>
  <si>
    <t>想有钱高利贷，支付宝汇潮支付</t>
  </si>
  <si>
    <t>http://ts.21cn.com/tousu/show/id/1368557</t>
  </si>
  <si>
    <t>2019/10/17 12:06:51</t>
  </si>
  <si>
    <t>有高额砍头息如借2000实际到账为1400，周期6天，下款时并未显示出到账金额及时间，催缴还款时态度特别恶劣，本人无奈已多次延期，并且多次协商还款本金不同意，以上app下款方均为汇潮支付，该公司为高利贷平台提供支付渠道！！该电话还为境外电话，疑是非法组织，望查。</t>
  </si>
  <si>
    <t>蚂蚁闪电借骚扰通讯录所有人暴力催收</t>
  </si>
  <si>
    <t>http://ts.21cn.com/tousu/show/id/1368556</t>
  </si>
  <si>
    <t>2019/10/17 12:06:40</t>
  </si>
  <si>
    <t>投诉人 李先生        投诉对象  蚂蚁闪电借        涉诉金额  1 600 元    问题类型    诉求类型投诉详情  这个叫蚂蚁闪电借的高炮 申请的时候没说明要扣除一个保险费用（就是砍头息） 申请通过后才发现 而且不能撤销申请 还骚扰通讯录所有人暴力催收</t>
  </si>
  <si>
    <t>http://ts.21cn.com/tousu/show/id/1368555</t>
  </si>
  <si>
    <t>2019/10/17 12:05:54</t>
  </si>
  <si>
    <t>投诉人 梁先生        投诉对象  钱站        涉诉金额  2 000 元    问题类型    诉求类型投诉详情  借款2000 三个月要还差不多3600 超高的利息 我已经还了两期一共2400 现在要求销账 还有虚假合同 借2000合同显示我借3400</t>
  </si>
  <si>
    <t>好易借高利贷套路贷</t>
  </si>
  <si>
    <t>http://ts.21cn.com/tousu/show/id/1363014</t>
  </si>
  <si>
    <t>2019/10/17 12:05:52</t>
  </si>
  <si>
    <t>本人在好易借借款8000元，到账后查看账单发现账单设置极其不合理，说是分12月还第一期还款3839.96元，第二期3479.96元，第三期2760.08元，后面剩下九期均为88.8元，前两期已还7319.92元，未还本金680.08元，第三期却要还2760.08元，总共待还竟然是3560.08元！这样的还款方式实在不合理，明显的高利贷和套路贷！借款金额8000，分12期，总共要还10880，年化利息50%左右！前三期还3839.96+3479.96+2760.08总共10080前两个月就要把本金还完3个月本</t>
  </si>
  <si>
    <t>立借高利贷，骚扰通讯录</t>
  </si>
  <si>
    <t>http://ts.21cn.com/tousu/show/id/1368554</t>
  </si>
  <si>
    <t>2019/10/17 12:05:45</t>
  </si>
  <si>
    <t>本人由于资金问题在立借平台借款8500，分12期还款，利息为3230元，待合同形成后发现前三期还款已达到10710元，且其中包含出本息之外的费用，为标准的高利贷形式，，咨询律师后得知这是标准的阴阳合同，为法律所禁止的高利贷，现申请按照国家法定利率还清剩余本金及利息，还有立借平台未经本人同意及授权拨打本人通讯录里面的联系人电话进行骚扰，这为恶意盗用他人信息，希望平台及时停止这种不当的违法行为，我也将通知朋友及家人保存好相关信息及电话录音，必要的时候会到司法部门维权处理，本人要求在法定利率下进行全额还款，望立借</t>
  </si>
  <si>
    <t>联动云罚单问题</t>
  </si>
  <si>
    <t>http://ts.21cn.com/tousu/show/id/1368553</t>
  </si>
  <si>
    <t>2019/10/17 12:05:38</t>
  </si>
  <si>
    <t>还车之后被贴罚单，为什么算在我头上，第一天被贴罚单后，自己公司不处理凭什么算我头上。</t>
  </si>
  <si>
    <t>如期分期恶意扣费，砍头息</t>
  </si>
  <si>
    <t>http://ts.21cn.com/tousu/show/id/1368552</t>
  </si>
  <si>
    <t>2019/10/17 12:05:37</t>
  </si>
  <si>
    <t>在本人不知情得情况下分两次私自划扣本人银行卡共1189元人民币。</t>
  </si>
  <si>
    <t>骚扰、暴力催收、名誉受损</t>
  </si>
  <si>
    <t>http://ts.21cn.com/tousu/show/id/1368445</t>
  </si>
  <si>
    <t>借款时，根本没有这个协议、那个合同，本人毫不知情，2、打电话给本人，说是协商，但是根本不是协商，是通知必须几点还钱，3、短信群发，已给本人造成非常恶劣影响，心理收到严重伤害，4、我希望贵公司及聚投诉能把完这件事情尽快处理，我心理承受能力小，不排除有过激或者其他行为和做法，造成的后果，你们自己想，5、前几期还款后，App上根本查不到，只显示需要还款，前后加起来，总额约12000元。</t>
  </si>
  <si>
    <t>洋钱罐爆我通讯录</t>
  </si>
  <si>
    <t>http://ts.21cn.com/tousu/show/id/1368551</t>
  </si>
  <si>
    <t>2019/10/17 12:05:21</t>
  </si>
  <si>
    <t>投诉人 张桂稀        投诉对象  现金借款        涉诉金额  1 500 元    问题类型    诉求类型投诉详情  洋钱罐爆通讯录。乱给我朋友打电话。暴力催收。</t>
  </si>
  <si>
    <t>要求信用飞退还高额秒扣的飞行权益费</t>
  </si>
  <si>
    <t>http://ts.21cn.com/tousu/show/id/1368550</t>
  </si>
  <si>
    <t>2019/10/17 12:04:37</t>
  </si>
  <si>
    <t>10月17日钱到账，查银行账户发现借款当天秒扣500元费用，说是我购买了飞行权益，看APP如图！请贵公司退还500费用！本人承诺会按时还正常合法还款！并在下次需求借款时，按正常利息还会再次进行借款！。</t>
  </si>
  <si>
    <t>高利息，砍头息</t>
  </si>
  <si>
    <t>http://ts.21cn.com/tousu/show/id/1368548</t>
  </si>
  <si>
    <t>2019/10/17 12:04:32</t>
  </si>
  <si>
    <t>投诉人唐女士投诉对象喜鹊快贷涉诉金额9200元问题类型诉求类型投诉详情2019年8月27日于喜鹊快贷借款18000元，合同金额为21366元，存在砍头息3366元；分12期还款，每期还款2039.8元，年率高达60.94%，现投诉要求1.退还砍头息；2.调整合法利率。</t>
  </si>
  <si>
    <t>http://ts.21cn.com/tousu/show/id/1368547</t>
  </si>
  <si>
    <t>2019/10/17 12:04:29</t>
  </si>
  <si>
    <t>投诉人 张先生        投诉对象  聚富分期        涉诉金额  298 元    问题类型    诉求类型投诉详情  无缘无故扣我钱？什么道理 我那时候注册了聚富分期app 然后就没想借钱 今天就收到信息说我银行卡扣钱了</t>
  </si>
  <si>
    <t>我要投诉</t>
  </si>
  <si>
    <t>http://ts.21cn.com/tousu/show/id/1368311</t>
  </si>
  <si>
    <t>2019/10/17 12:03:52</t>
  </si>
  <si>
    <t>投诉人覃定义投诉对象雅酷时空,酷宝支付涉诉金额2994元问题类型诉求类型投诉详情我都不知道这是个什么网站&amp;nbsp;&amp;nbsp;&amp;nbsp;也从没注册过&amp;nbsp;&amp;nbsp;&amp;nbsp;&amp;nbsp;2019.10.17日早上4点多钟&amp;nbsp;&amp;nbsp;&amp;nbsp;一阵手机信息声把我以梦中惊醒&amp;nbsp;&amp;nbsp;&amp;nbsp;我拿起手机一看&amp;nbsp;&amp;nbsp;&amp;nbsp;很多条验证码信息&amp;nbsp;&amp;nbsp;&amp;nbsp;&amp;nbsp;&amp;nbsp;&amp;nbsp;紧接着工商银e联消费信息又来了&amp;nbsp</t>
  </si>
  <si>
    <t>中汇支付拖欠代理商血汗钱</t>
  </si>
  <si>
    <t>http://ts.21cn.com/tousu/show/id/1368546</t>
  </si>
  <si>
    <t>2019/10/17 12:03:35</t>
  </si>
  <si>
    <t>全国大部分代理商从2018年9月或者10月以后就没在收到中付发的分润，至今已有一年，一度给代理商造成生活和心里的无限创伤.中汇只让代理商每月给他们开发票就是不给钱，开发票也是需要钱的啊，一直拖................请及时发放代理商的血汗钱.。</t>
  </si>
  <si>
    <t>京东白条蒋个人信息出售第三方</t>
  </si>
  <si>
    <t>http://ts.21cn.com/tousu/show/id/1368545</t>
  </si>
  <si>
    <t>2019/10/17 12:03:31</t>
  </si>
  <si>
    <t>由于手机问题原因导致京东白条逾期，说了马上处理当前欠款催收缺用私人号码各种冒充进行各种恐吓，欠钱还款天经地义电话回过去都说了马上处理当前欠款催收缺各种恐吓，请京东金融处理，马上处理欠款催收都等不急吗，想知道为什么说马上处理催收缺说放弃处理进行上门调查是什么意思。</t>
  </si>
  <si>
    <t>http://ts.21cn.com/tousu/show/id/1368543</t>
  </si>
  <si>
    <t>2019/10/17 12:02:45</t>
  </si>
  <si>
    <t>投诉人 周先生        投诉对象  美约APP        涉诉金额  298 元    问题类型    诉求类型投诉详情  之前下载了一个叫美约的app 可是没一会就把他卸载了 今天无意发现 说我订购了他们的会员 我自己都不知道 从来不会发钱去搞这些的</t>
  </si>
  <si>
    <t>拼多多退店成功押金却迟迟未到账</t>
  </si>
  <si>
    <t>http://ts.21cn.com/tousu/show/id/1368474</t>
  </si>
  <si>
    <t>2019/10/17 12:01:32</t>
  </si>
  <si>
    <t>投诉人马先生投诉对象拼多多涉诉金额2000元问题类型诉求类型投诉详情与平台多次联系，退店成功，资金未到账，未果，每次联系平台，都是帮我反馈然后不了了之，实在是可恶。</t>
  </si>
  <si>
    <t>苏宁易购出售残次品手机</t>
  </si>
  <si>
    <t>http://ts.21cn.com/tousu/show/id/1368539</t>
  </si>
  <si>
    <t>2019/10/17 12:00:58</t>
  </si>
  <si>
    <t>激活当天发现该手机为严重质量残次品，无法使用面部识别功能，属不合格产品冒充合格产品，10月3日联系苏宁易购客服，在客服建议下去苹果授权售后点检测并出具检测报告，检测报告证明该部手机确实存在质量问题，符合《侵害消费者权益行为处罚办法》第五条第7点：在销售产品中掺杂/掺假，以假充好，以次充好，以不合格商品冒充合格商品，在之前几次协调中，苏宁易购颠倒黑白，说我是用坏的，建议我拿去维修，事实是手机一打开就坏了，可通过时间节点来判断，是质量问题！根据国家三包规定：三包是零售商业企业对所售商品实行"包修、包换、包退"的</t>
  </si>
  <si>
    <t>钱站旗下速金服砍头息违规操作</t>
  </si>
  <si>
    <t>http://ts.21cn.com/tousu/show/id/1368538</t>
  </si>
  <si>
    <t>2019/10/17 12:00:53</t>
  </si>
  <si>
    <t>钱站旗下速金服借款1330元，实际到账1000，高额砍头息，严重违反国家规定，我要求马上解释，并赔偿金额。</t>
  </si>
  <si>
    <t>拍拍贷暴力催收影响到日常生活</t>
  </si>
  <si>
    <t>http://ts.21cn.com/tousu/show/id/1368537</t>
  </si>
  <si>
    <t>2019/10/17 12:00:50</t>
  </si>
  <si>
    <t>投诉人 杨女士        投诉对象  拍拍贷        涉诉金额  4 000 元    问题类型    诉求类型投诉详情  因为资金周转问题，已经打电话给拍拍贷总部客服电话申请延迟还款，不是不还就是延迟几天，不过他们好像也没有延迟还款申请这条规定让他们转发催收部门，也没什么效果，催收已经影响到我的日常生活</t>
  </si>
  <si>
    <t>安逸花暴力催收爆破通讯录威胁本人</t>
  </si>
  <si>
    <t>http://ts.21cn.com/tousu/show/id/1368536</t>
  </si>
  <si>
    <t>2019/10/17 12:00:48</t>
  </si>
  <si>
    <t>安逸花暴力催收，给我通讯录好友群发短信，还有家人，已经发过两次了，催收人员态度恶劣，辱骂家人，频繁给亲友打电话，还说自己什么合法公司，每天频繁拨打本人电话问公司地址也不说，你们害怕什么，高利贷公司都没你们做的优秀，合同中明确指出贷款公司承担严格的保密义务，可以提供给外包公司，但是个人隐私也是受法律保护的根据我国国情及国外有关资料，下列行为可归入侵犯隐私权范畴：1、未经公民许可，公开其姓名、肖像、住址、身份证号码和电话号码，2、非法侵入、搜查他人住宅，或以其他方式破坏他人居住安宁，3、非法跟踪他人，监视他人住</t>
  </si>
  <si>
    <t>闪银从未有过逾期，却借不了</t>
  </si>
  <si>
    <t>http://ts.21cn.com/tousu/show/id/1368535</t>
  </si>
  <si>
    <t>2019/10/17 12:00:34</t>
  </si>
  <si>
    <t>一直是闪银的忠实客户，每次都按时还款，却借不出来了，给我造成的损失请给我个合理的解释！！！。</t>
  </si>
  <si>
    <t>http://ts.21cn.com/tousu/show/id/1368534</t>
  </si>
  <si>
    <t>2019/10/17 12:00:32</t>
  </si>
  <si>
    <t>投诉人 张先生        投诉对象  捷信金融        涉诉金额  6 000 元    问题类型    诉求类型投诉详情  暴力催收 用私人号码打电话催收 乱打通讯录的电话 一天几十个电话</t>
  </si>
  <si>
    <t>2345立即贷砍头息归还</t>
  </si>
  <si>
    <t>http://ts.21cn.com/tousu/show/id/1368532</t>
  </si>
  <si>
    <t>2019/10/17 12:00:07</t>
  </si>
  <si>
    <t>本人从2018年5月起到2019年3月，先后从2345立即贷借款24笔。</t>
  </si>
  <si>
    <t>饿了么点餐不配送平台商家不解决</t>
  </si>
  <si>
    <t>http://ts.21cn.com/tousu/show/id/1368533</t>
  </si>
  <si>
    <t>2019/10/17 11:59:59</t>
  </si>
  <si>
    <t>16号，11.48点餐到现在没给送，平台商家没有任何说法，互相推卸责任不给解决问题。</t>
  </si>
  <si>
    <t>佰仟金融超过法定利率</t>
  </si>
  <si>
    <t>http://ts.21cn.com/tousu/show/id/1368531</t>
  </si>
  <si>
    <t>2019/10/17 11:59:29</t>
  </si>
  <si>
    <t>几年前在佰仟借过一笔两万块钱，分36期，目前已经还32期，月还款1067，佰仟实际年利率达到48%以上，远远超过法律规定，但一是我与佰仟公司曾有多笔借款，虽然均是高额利息，但有解困之情，二佰仟公司该笔借款系足额到账，没有砍头息和贷前费用，比起市场上大多数公司难能可贵，因此本人依然希望和佰仟协商解决，之前有投诉，佰仟工作人员计算利息方式非等额本息分期还款的计算，我提出质疑后，佰仟未进行回复，长时间拖延后，在国庆我比较忙没能关注的时候，向平台单方面提出结案，利用平台48小时自动结案的设计，在我不知情的情况下自动</t>
  </si>
  <si>
    <t>我来数科骚扰威胁恐吓</t>
  </si>
  <si>
    <t>http://ts.21cn.com/tousu/show/id/1368529</t>
  </si>
  <si>
    <t>2019/10/17 11:59:10</t>
  </si>
  <si>
    <t>我来数科多次骚扰，恐吓我，以及诋毁我恶意骗贷，严重影响到我的信誉，威胁我，恐吓我，要一个一个的去骚扰我的亲朋好友，而且我一一说明本人现在工作不顺，暂时没有还款能力。</t>
  </si>
  <si>
    <t>立即秒贷乱扣款</t>
  </si>
  <si>
    <t>http://ts.21cn.com/tousu/show/id/1368530</t>
  </si>
  <si>
    <t>2019/10/17 11:59:00</t>
  </si>
  <si>
    <t>立即秒贷乱扣款，银行卡认证完之后突然扣款50元，然后蹦出来3个其他的贷款平台，打电话客服，客服说申请6个平台失败的截图才能退款，在华为应用市场评价里发现很多人都上当受骗了，大多数都被骗了299，一定要把这种平台取缔。</t>
  </si>
  <si>
    <t>凡普信贷套路贷，恶意催收，没有诚信！</t>
  </si>
  <si>
    <t>http://ts.21cn.com/tousu/show/id/1368526</t>
  </si>
  <si>
    <t>2019/10/17 11:58:43</t>
  </si>
  <si>
    <t>之前投诉过凡普信，没有回音，他们就是一个恶心的高利贷，套路贷，利息高达31%还收取砍头息，我贷了75000，到手70000，分24期偿还每期5200！由于还了6期后实在无力承担这高额得分期，逾期了，后面他们的人和我协商给我每个月减免大概一半的金额，我同意了，一直按他们说的减免金额还款，4个月后，他们突然说要我补齐之前减免的部分，要按照合同约定还款！还说之前减免部分是他们的工作人员垫付的，之后一个所谓的工作人员来加我微信，套路我用他们的老友贷以贷养贷，我不同意！后面马上我的亲戚朋友就接到骚扰电话！我已经不相信</t>
  </si>
  <si>
    <t>众安保险捆绑销售保险</t>
  </si>
  <si>
    <t>http://ts.21cn.com/tousu/show/id/1368528</t>
  </si>
  <si>
    <t>众安保险和小赢卡贷捆绑保险销售收取高额保费，阴阳合同未经我允许私自卖保险，联系过客服不管给五十话费补偿，请问你们众安保险好几千保费收的不给退费，我是被保险人钱是我出的哪来的霸王条款居然不给退费。</t>
  </si>
  <si>
    <t>奇速贷暴力催收，威胁家人</t>
  </si>
  <si>
    <t>http://ts.21cn.com/tousu/show/id/1368527</t>
  </si>
  <si>
    <t>2019/10/17 11:58:36</t>
  </si>
  <si>
    <t>打电话直接开口就骂人，还威胁及恐吓我家人，这样的平台希望重惩。</t>
  </si>
  <si>
    <t>薪薪借钱恶意扣费</t>
  </si>
  <si>
    <t>http://ts.21cn.com/tousu/show/id/1368525</t>
  </si>
  <si>
    <t>2019/10/17 11:58:12</t>
  </si>
  <si>
    <t>投诉人 张女士        投诉对象  薪薪借钱        涉诉金额  199 元    问题类型    诉求类型投诉详情  在我不知情且卸载了薪薪借钱以后。突然收到扣款信息</t>
  </si>
  <si>
    <t>情求延期处理</t>
  </si>
  <si>
    <t>http://ts.21cn.com/tousu/show/id/1368523</t>
  </si>
  <si>
    <t>2019/10/17 11:57:51</t>
  </si>
  <si>
    <t>本人因工资未发暂时无法还款与客服表明态度并协商，但客服未同意我并非不还而是情求宽限几天，本人愿意承担逾期费用。</t>
  </si>
  <si>
    <t>小木钱包</t>
  </si>
  <si>
    <t>http://ts.21cn.com/tousu/show/id/1366893</t>
  </si>
  <si>
    <t>2019/10/17 11:57:09</t>
  </si>
  <si>
    <t>投诉人高先生投诉对象小木钱包,畅捷支付涉诉金额2800元问题类型诉求类型投诉详情本人在新意花小木钱上有借款，借款1400元，分四期还款共32天，借款1400要还2440元，早已超出借款本金以及合法利息，要求第四期销账处理。</t>
  </si>
  <si>
    <t>小花钱包恶意催收</t>
  </si>
  <si>
    <t>http://ts.21cn.com/tousu/show/id/1368521</t>
  </si>
  <si>
    <t>2019/10/17 11:56:52</t>
  </si>
  <si>
    <t>第三天接到催收电话，和她协商好保证今天还，因为今天就会发工资，结果挂完电话还有没有三分钟，就接到父母电话，说我差钱逾期，老人本来就住院中，催收还给她打电话，如果父母有事那我誓不罢休，坚决告到中央网站和市长热线去。</t>
  </si>
  <si>
    <t>http://ts.21cn.com/tousu/show/id/1368520</t>
  </si>
  <si>
    <t>2019/10/17 11:56:40</t>
  </si>
  <si>
    <t>你我贷，借款8000，实际利率35.99%，第一次投诉，你我贷态度强硬，只愿意减免600，实际利率还是超过30%，对外强硬称35.99%，符合国家法律，但是国家也规定过超过24%，可以不还款。</t>
  </si>
  <si>
    <t>付呗卡我30670元</t>
  </si>
  <si>
    <t>http://ts.21cn.com/tousu/show/id/1368519</t>
  </si>
  <si>
    <t>2019/10/17 11:56:32</t>
  </si>
  <si>
    <t>9月21日，付呗联合乐刷公司，派虚假业务员过来开商户，让我注册商户收款二维码，隔天一早就卡了我约30670元，业务员消失了，根本刚开的码，我才刚开始用，就卡钱，快一个月了，我天天失眠，现在都是早上4,5睡觉，对我而言这笔钱实在大，希望各界人士朋友能够帮我讨回公道，还我钱，谢谢！名称.蛤蟆哥批发超市。</t>
  </si>
  <si>
    <t>引导交钱，虚假信息，不给退钱</t>
  </si>
  <si>
    <t>http://ts.21cn.com/tousu/show/id/1368518</t>
  </si>
  <si>
    <t>2019/10/17 11:56:01</t>
  </si>
  <si>
    <t>9月30日交的钱，这里就开始虚报信息引导我交钱，第二点：9月30日晚上他告诉我一个ETC是80元，但是在我交了钱之后，在他们的会员后台发现实际一个ETC是60元，请看视频，里面有北京时间，是我交了钱之后的证据，第三点：交钱之前什么都可以，交钱之后连个交流群都没有，好说歹说啦了一个群，之后我发现市面上的ETC价格都是在150以上，他们才给80，而且这里的80是虚报的，这个单价与市面上相差太远，不符合常理，我在群里跟他们工作人员对峙，他们是没有回应我，而是直接把我踢出群聊。</t>
  </si>
  <si>
    <t>http://ts.21cn.com/tousu/show/id/1368517</t>
  </si>
  <si>
    <t>2019/10/17 11:55:46</t>
  </si>
  <si>
    <t>投诉人 廖女士        投诉对象  拍拍贷        涉诉金额  7 000 元    问题类型    诉求类型投诉详情  每天不下20个电话 通讯录多次被骚扰 亲朋好友被威胁</t>
  </si>
  <si>
    <t>火影帮高利贷</t>
  </si>
  <si>
    <t>http://ts.21cn.com/tousu/show/id/1368515</t>
  </si>
  <si>
    <t>2019/10/17 11:54:41</t>
  </si>
  <si>
    <t>投诉人黄女士投诉对象火影帮,富友支付涉诉金额1000元问题类型诉求类型投诉详情本人2019年5月6号通过火影帮借款1000元到账729元，实际需还款1000元，15天之内还款，由上海富友支付提供结算通道到账，上海富友为高炮提供温床应作出处罚，在借款期间到现在为止本人连续续期10次，每次续期费用为280元，一共续期费用已经达到2500元以上了……在借款期间早就够了这次借款的本金和利息，本人因账务缠身，目前无力还，家人本来身体就不好一直在就医刚好转了，在国庆前曾多次被多家暴力催收威胁恐吓到处骚扰造成家人住院，因</t>
  </si>
  <si>
    <t>闪银哼哼骚扰我通讯录</t>
  </si>
  <si>
    <t>http://ts.21cn.com/tousu/show/id/1368514</t>
  </si>
  <si>
    <t>2019/10/17 11:54:28</t>
  </si>
  <si>
    <t>我在闪银aapp借了贷款，由于我在工厂上的12小时白班，厂里不允许在车间使用手机，没接到闪银的电话，闪银开始在我不知情的情况下联系我通讯录，造成不好的影响，我得知后联系闪银客服协商解决，但闪银客服一直没人接，公众号客服也是机器人，无法和我正常沟通，其客服也没和我联系。</t>
  </si>
  <si>
    <t>盛钱包还我血汗钱</t>
  </si>
  <si>
    <t>http://ts.21cn.com/tousu/show/id/1365652</t>
  </si>
  <si>
    <t>2019/10/17 11:54:05</t>
  </si>
  <si>
    <t>投诉人段女士投诉对象盛钱包涉诉金额196元问题类型诉求类型投诉详情盛钱包假装中国银行业务员，给办信誉卡，还给赠送礼品，然后说刷198押金不管你用不用这个boss机钱都会退给你，现在给业务员打电话也不接，盛钱包客服也不管，严重诋毁中国银行，还我们血汗钱，要求退款，道歉。</t>
  </si>
  <si>
    <t>http://ts.21cn.com/tousu/show/id/1368513</t>
  </si>
  <si>
    <t>2019/10/17 11:53:39</t>
  </si>
  <si>
    <t>投诉人杨先生投诉对象百事普惠涉诉金额299元问题类型诉求类型投诉详情恶意扣除299元，请相关部门严惩！！谢谢。</t>
  </si>
  <si>
    <t>玖富万卡变相收取高额服务费，擅自修改借款合同</t>
  </si>
  <si>
    <t>http://ts.21cn.com/tousu/show/id/1368512</t>
  </si>
  <si>
    <t>2019/10/17 11:53:10</t>
  </si>
  <si>
    <t>申请借款时金额是35000元，等借款申请完成以后合同就多出了13569.50元，意味着我根本没申请这笔款而我要却要偿还这笔贷款，希望有关部门能所有作为，坚决打压这这种高利贷，套路贷公司，给全中国广大消费者一个交代。</t>
  </si>
  <si>
    <t>每日优鲜吞钱不退款，客服一直打转转</t>
  </si>
  <si>
    <t>http://ts.21cn.com/tousu/show/id/1368511</t>
  </si>
  <si>
    <t>2019/10/17 11:52:57</t>
  </si>
  <si>
    <t>每日优鲜下订单后莫名其妙默认被取消，订单使用了每日优鲜里面的余额，鲜币，以及自己花钱买的商品券，还有支付宝另外付款的金额，然后去找客服，一个说12小时内返，第二天再去问，就是24小时内返，第三次问，就是3个工作日返，一直打转转在拖着，就是不给返款。</t>
  </si>
  <si>
    <t>京东金融里的多米贷电话骚扰</t>
  </si>
  <si>
    <t>http://ts.21cn.com/tousu/show/id/1368510</t>
  </si>
  <si>
    <t>2019/10/17 11:52:51</t>
  </si>
  <si>
    <t>投诉人江女士投诉对象多米贷涉诉金额1000元问题类型诉求类型投诉详情我朋友借了他们平台的钱，联系了当事人结果他们有问题没有协商好，就来给我打电话！我就只是说我可以帮忙处理，但是你们爆通讯录这样对吗，她态度非常恶劣，说我听了当事人一面之词，但事实上本来昨天就有两个朋友接过电话，今天打电话来我就说我可以处理，但是你们爆通讯录总的给个解释。</t>
  </si>
  <si>
    <t>立借平台钱置宝无法还款造成逾期</t>
  </si>
  <si>
    <t>http://ts.21cn.com/tousu/show/id/1368509</t>
  </si>
  <si>
    <t>2019/10/17 11:52:25</t>
  </si>
  <si>
    <t>钱置宝还完一期后，无法登陆立借app，造成逾期产生超高额逾期费，本人在钱置宝平台借款实际到帐2100，分四期，每8天一期，每期本金525+利息226.8，已经还了1期751.8，先要求协商本金清帐。</t>
  </si>
  <si>
    <t>我来贷超高逾期费</t>
  </si>
  <si>
    <t>http://ts.21cn.com/tousu/show/id/1368508</t>
  </si>
  <si>
    <t>2019/10/17 11:52:14</t>
  </si>
  <si>
    <t>投诉人 韦女士        投诉对象  我来数科        涉诉金额  1 128 元    问题类型    诉求类型投诉详情  作为老客户之前也逾期过几次 逾期时间不到一个星期但也积极还款了 现已逾期三天 逾期费高达两百 希望适当调整 请我来贷相关专员加下我的微信</t>
  </si>
  <si>
    <t>百万钱包</t>
  </si>
  <si>
    <t>http://ts.21cn.com/tousu/show/id/1368506</t>
  </si>
  <si>
    <t>2019/10/17 11:52:04</t>
  </si>
  <si>
    <t>百万钱包借了12000元，但是实际到账时扣除了2000多的费用，现在利息和借款同时还着，借贷合同里显示借了12000，投诉过一次，并没有得到合理解释。</t>
  </si>
  <si>
    <t>协商后仍然每天不停的骚扰和诋毁</t>
  </si>
  <si>
    <t>http://ts.21cn.com/tousu/show/id/1367798</t>
  </si>
  <si>
    <t>2019/10/17 11:52:01</t>
  </si>
  <si>
    <t>投诉人郭先生投诉对象华夏银行信用卡涉诉金额23000元问题类型诉求类型投诉详情希望华夏信用卡停止不断的恶意骚扰！！本人由于今年遇到了特别大的困难，导致信用卡逾期，近期已经尽全力还款2000元后，已经多次和催收说明情况、协商还款，而且也多次主动致电4006695577说明情况协商还款，但是现在每天仍然接到很多催收的电话，每天还会收到6.7条催收短信，说我故意躲避催收……希望你们可以查一下记录，不要污蔑我，说我故意逃避责任，谢谢！另外，我的父母年纪已大，他们这几个月因为我，已经被套路贷折磨的心力交瘁了，拜托你们</t>
  </si>
  <si>
    <t>http://ts.21cn.com/tousu/show/id/1368507</t>
  </si>
  <si>
    <t>2019/10/17 11:51:56</t>
  </si>
  <si>
    <t>本人京东金融额度30000，一直如期还款，截止9月16号已还14000，目前压力太大，暂时还不上了，目前在到处借钱想办法偿还，跟催收也都沟通了很多次，但催收方还是爆通讯录，疯狂打电话，骚扰家人，就今天早上我接了3个电话，家人共接了将近10个电话，工作都无法正常进行，家人面前颜面尽失，想想吧，如果我丢了工作，妻离子散，朋友人走茶凉，我还有什么能力来偿还你们的债务，别说全款，估计连本金都还不上了，我相信这也不是你们想得到的结果！另外，因为家境条件不好，我一人上班养活全家老少，入不付出，希望京东能协商还款，特此请</t>
  </si>
  <si>
    <t>招联金融套路贷暴力催收影响正常生活工作</t>
  </si>
  <si>
    <t>http://ts.21cn.com/tousu/show/id/1368503</t>
  </si>
  <si>
    <t>2019/10/17 11:51:10</t>
  </si>
  <si>
    <t>之前因为开店经营，借了一些钱，一直按时还的，后来店亏了，钱都没拿回来，我也跟招联客服说过了，经常几个月或者半年不发工资，我们现在是年底结工资，我计划发了工资就还，结果招联天天打电话催收，言语辱骂，恐吓说发文书到公安局。</t>
  </si>
  <si>
    <t>浦发银行暴力催收泄露用户信息</t>
  </si>
  <si>
    <t>http://ts.21cn.com/tousu/show/id/1368505</t>
  </si>
  <si>
    <t>2019/10/17 11:51:06</t>
  </si>
  <si>
    <t>浦发银行暴力催收，恐吓我的亲朋好友，以刑事案件判刑恐吓并骚扰，并泄露我的个人信息，冒充公检法人员。</t>
  </si>
  <si>
    <t>美团骑手车辆无手续撞车逃跑</t>
  </si>
  <si>
    <t>http://ts.21cn.com/tousu/show/id/1368504</t>
  </si>
  <si>
    <t>2019/10/17 11:50:51</t>
  </si>
  <si>
    <t>骑手无手续骑车，撞车后拒不赔偿，联系美团多月未给处理，骑手未受到相应处罚且继续跑外卖。</t>
  </si>
  <si>
    <t>易宝支付和宝付支付为农安九州财富信息技术有限公司714高炮提供支付通道要求退还砍头息</t>
  </si>
  <si>
    <t>http://ts.21cn.com/tousu/show/id/1368501</t>
  </si>
  <si>
    <t>2019/10/17 11:50:20</t>
  </si>
  <si>
    <t>2018年12月20日在农安九州财富信息技术有限公司借款2000元实际到账1400元。</t>
  </si>
  <si>
    <t>微粒贷恶意上门</t>
  </si>
  <si>
    <t>http://ts.21cn.com/tousu/show/id/1368499</t>
  </si>
  <si>
    <t>2019/10/17 11:50:03</t>
  </si>
  <si>
    <t>之前在微众银行借款15000，因为周转出现逾期，但是在这个月初的时候我已经还进去一点了但是微众银行已经把案件转交给第三方催收公司，并多次上门进行催收，对我和我家人造成困扰，并且还对我的邻居造成骚扰，来三个人吓得我家里肉血压飙升180/90，严重影响到我的生活并继续给我发所谓的律师函，我不知道微众银行找的第三方是真的有两个同名不通姓的律师呢，还是网上雕刻印章雕刻了很多姓，我现在怀疑你方委托的第三方伪造文书，律师函。</t>
  </si>
  <si>
    <t>现金巴士高利贷，一期本金364，逾期一天10元，希望协商还款不同意</t>
  </si>
  <si>
    <t>http://ts.21cn.com/tousu/show/id/1368500</t>
  </si>
  <si>
    <t>2019/10/17 11:49:52</t>
  </si>
  <si>
    <t>现金巴士高利贷！严重超过36%的年利率，属于高利贷应该取缔，合法的部分我一分不少的会给你们，如果你们用非法的手段超高的利息，通过非法催收方式暴力行径，我会通过各种平台维护自己的权益，一期本金364，逾期一天10元，希望协商还款不同意，11天要多还110元。</t>
  </si>
  <si>
    <t>高利贷平台</t>
  </si>
  <si>
    <t>http://ts.21cn.com/tousu/show/id/1368498</t>
  </si>
  <si>
    <t>2019/10/17 11:49:51</t>
  </si>
  <si>
    <t>骚扰电话不断，半夜4点还轰炸通讯录，扬言放火，上门烧我家，让老人吓的卧病不起，国家管不管，聚投诉你们平台干什么吃的，你们平台没用，就别说聚投诉，全国打黑，小象这种给网贷不打击，你们是不是收了小象优品的钱，小象优品轰炸的短信，还有电话，。</t>
  </si>
  <si>
    <t>立即贷乱扣款</t>
  </si>
  <si>
    <t>http://ts.21cn.com/tousu/show/id/1368497</t>
  </si>
  <si>
    <t>2019/10/17 11:49:47</t>
  </si>
  <si>
    <t>今天上午下载的立即贷，银行卡认证完后突然给我扣款50，然后蹦出来3个推荐的贷款平台，联系客服后，说必须申请6个平台失败截图才能退款，一是这只有三个平台，上哪去找6个平台，而是该平台涉嫌虚假宣传，有很多人都和我一样上当受骗了，大多数被无缘无故扣款299元，这种平台一定要被取缔。</t>
  </si>
  <si>
    <t>苏宁易购售卖变质大米</t>
  </si>
  <si>
    <t>http://ts.21cn.com/tousu/show/id/1368496</t>
  </si>
  <si>
    <t>2019/10/17 11:49:20</t>
  </si>
  <si>
    <t>我十三号在苏宁易购购买泰国香米孟乍隆，本想着大平台电商，食品会安全些，14号到货，把大米导入米桶，一会功夫米桶就有虫子爬出来，而且还不少，由于厨房灯光亮导致虫子乱跑，身上也被咬了，苏宁易购大平台售卖劣质食品，处理到现在都没有给个说法，我的要求就是按照售卖劣质产品退一赔三。</t>
  </si>
  <si>
    <t>豆豆钱对我联系人手机连环扣</t>
  </si>
  <si>
    <t>http://ts.21cn.com/tousu/show/id/1368494</t>
  </si>
  <si>
    <t>2019/10/17 11:48:11</t>
  </si>
  <si>
    <t>多次跟官方客服投诉豆豆钱爆通话详单情况，客服说反馈还是反馈，刚才还打我联系人电话，态度恶劣，跟联系人直接对骂，连着给我联系人打了十几个电话，接了电话甚至还有无声骚扰，没办法之下，联系人报了110，电话回播对方不敢接电话，已经把相关的电话递交给警方！联系人跟我说，我也回了那几个号码，对方同样不敢接！试问，法律对你们来说，真的这么无视吗，如果不给处理，我会继续往上举报！你们电话严重骚扰我本人就算了，还骚扰到我的顾客，直接导致我生意流失，孩子的老师上课时电话也连着打，已经严重影响到课堂秩序！证据，录音，证人，现在</t>
  </si>
  <si>
    <t>畅捷支付为违法714高炮提供支付通道</t>
  </si>
  <si>
    <t>http://ts.21cn.com/tousu/show/id/1368493</t>
  </si>
  <si>
    <t>2019/10/17 11:48:09</t>
  </si>
  <si>
    <t>本人8月29日在信用管家app申请神马借贷款，到账2625元，通过畅捷支付下款，现要求处理畅捷支付，本金处理违法贷款，并赔偿骚扰联系人损失。</t>
  </si>
  <si>
    <t>闪银爆力催收</t>
  </si>
  <si>
    <t>http://ts.21cn.com/tousu/show/id/1368495</t>
  </si>
  <si>
    <t>2019/10/17 11:48:06</t>
  </si>
  <si>
    <t>闪银工作人员随意拨打欠款人通话记录中的联系人，侵犯了当事人的隐私权，名誉权，给当事人造成了严重的精神伤害。</t>
  </si>
  <si>
    <t>招联好期贷轰炸通讯录</t>
  </si>
  <si>
    <t>http://ts.21cn.com/tousu/show/id/1368492</t>
  </si>
  <si>
    <t>2019/10/17 11:47:58</t>
  </si>
  <si>
    <t>投诉人陈迪猛投诉对象招联好期贷,招联金融涉诉金额5000元问题类型诉求类型投诉详情多次来电骚扰，跟平台方已经说明不要致电，仍然收到骚扰，今天收到短信，会电过去态度及其恶劣，已经严重影响到我的生活，问工号不愿告知，平台方立即回复，若仍继续骚扰，我将报警处理。</t>
  </si>
  <si>
    <t>爱又米直言要打联系人在能联系到我本人的情况下</t>
  </si>
  <si>
    <t>http://ts.21cn.com/tousu/show/id/1368488</t>
  </si>
  <si>
    <t>2019/10/17 11:47:00</t>
  </si>
  <si>
    <t>催收电话在能联系到我本人的情况下要拨打我的紧急联系人。</t>
  </si>
  <si>
    <t>小赢卡贷利息太高还不起了</t>
  </si>
  <si>
    <t>http://ts.21cn.com/tousu/show/id/1368489</t>
  </si>
  <si>
    <t>2019/10/17 11:46:48</t>
  </si>
  <si>
    <t>投诉人李大成投诉对象小赢卡贷涉诉金额30000元问题类型诉求类型投诉详情本人于2019年2月20因腿骨折在小赢卡贷申请了3000的额度分9期但是他给我下来了30000差不多要还40000现在已经差不多还了30000实在没钱还了才想到这里请领导帮忙解决一下跪谢了。</t>
  </si>
  <si>
    <t>智行用车平台不严谨，退款慢</t>
  </si>
  <si>
    <t>http://ts.21cn.com/tousu/show/id/1368487</t>
  </si>
  <si>
    <t>2019/10/17 11:46:45</t>
  </si>
  <si>
    <t>智行平台用车坑人，约车接单后，司机表示未接单，如果不是亲自打过去，到了约定时间该怎么办。</t>
  </si>
  <si>
    <t>小象优品逾期暴力催收并骚扰通讯录，发短信骚扰</t>
  </si>
  <si>
    <t>http://ts.21cn.com/tousu/show/id/1368491</t>
  </si>
  <si>
    <t>2019/10/17 11:46:44</t>
  </si>
  <si>
    <t>我在水象优品借款19000分6期，每期3736.67元，现在第4期逾期，之后开始拨打我的通讯录电话人员，并且态度非常差，你们利息太高了，我实在无法还款，你们是否同意按照本金归回还。</t>
  </si>
  <si>
    <t>投诉骑驴游，客户未消费却以霸王条款拒绝退款</t>
  </si>
  <si>
    <t>http://ts.21cn.com/tousu/show/id/1368486</t>
  </si>
  <si>
    <t>2019/10/17 11:46:40</t>
  </si>
  <si>
    <t>投诉人叶女士投诉对象骑驴游涉诉金额999元问题类型诉求类型投诉详情8月底在骑驴游微信平台买的旅游套餐，是碧桂园金叶子温泉酒店的双人旅游套餐，当时并不能预料未来境况，但是因个人原因实在没办法前往，于是9月底就打电话去骑驴游请予退款，但是这家*客服的服务态度并不好，一口咬定优惠产品不能退款，得到的反馈就是一条信息，告知我不能退款，请再限期前前往或转让给亲友，这也不是一笔小的款项，我不可能免费转让给别人吧，而且时限也短，根本很难转让给别人，我认为一经售出不能退款是霸王条款，消费者权益保护费第26条不是规定这种条款</t>
  </si>
  <si>
    <t>支付宝微信为赌博网站提供充值通道</t>
  </si>
  <si>
    <t>http://ts.21cn.com/tousu/show/id/1368490</t>
  </si>
  <si>
    <t>投诉人岳文雷投诉对象84棋牌涉诉金额380000元问题类型诉求类型投诉详情请求各平台配合追回，本人已报警，希望能挽回损失。</t>
  </si>
  <si>
    <t>有用分期高利贷高利息。撤销合同，停止催收。</t>
  </si>
  <si>
    <t>http://ts.21cn.com/tousu/show/id/1368485</t>
  </si>
  <si>
    <t>2019/10/17 11:46:25</t>
  </si>
  <si>
    <t>18年11月借款18700块，分12期还款，每月还款2250块，还了十期，没有协商的意思，一开口就是要你提交身份证号码，颠倒是非混淆黑白，借18700分12个月还，每个月还款2250块，还了十期。</t>
  </si>
  <si>
    <t>http://ts.21cn.com/tousu/show/id/1368484</t>
  </si>
  <si>
    <t>2019/10/17 11:46:09</t>
  </si>
  <si>
    <t>投诉人张先生投诉对象优信优卡涉诉金额6900元问题类型诉求类型投诉详情充值后，只用了300，剩下6900元无法使用，联系不上对方。</t>
  </si>
  <si>
    <t>利息太高，不停的电话短信威胁性的骚扰本人和家人</t>
  </si>
  <si>
    <t>http://ts.21cn.com/tousu/show/id/1368483</t>
  </si>
  <si>
    <t>2019/10/17 11:46:01</t>
  </si>
  <si>
    <t>投诉人姜女士投诉对象玖富涉诉金额35000元问题类型诉求类型投诉详情本金只剩7000，加利息我要还35000，对方也不愿意协商，，暴力催收，一天十几个电话各种打，还给我父母打电话，告知我还要联系我单位和亲朋好友，短信威胁，已经严重影响了我个人生活问题。</t>
  </si>
  <si>
    <t>宜人贷套路贷砍头息加服务费3万元</t>
  </si>
  <si>
    <t>http://ts.21cn.com/tousu/show/id/1368481</t>
  </si>
  <si>
    <t>2019/10/17 11:45:37</t>
  </si>
  <si>
    <t>之前申请过宜人贷，然后被拒了，后期有客服联系说可以帮忙重新审批，并且可以帮助审核通过，但是本人没说过确认借款，而且客服也没说过利息，服务费的问题，这边只是点了看看能否审核通过，看看有多少的额度，宜人贷这边直接就打款过来了，打了客服电话，客服只是敷衍说取消不了，到账35000，但是就算次日提前结清也要还45454.55元，这不是套路贷是什么，而且还要本人承担服务费10454.55.合同金额是45454.55元，到账却是35000元，这就是套路贷，砍头息，高利贷。</t>
  </si>
  <si>
    <t>充值不到账，苹果公司不予退款</t>
  </si>
  <si>
    <t>http://ts.21cn.com/tousu/show/id/1368482</t>
  </si>
  <si>
    <t>2019/10/17 11:45:29</t>
  </si>
  <si>
    <t>投诉人周先生投诉对象苹果公司涉诉金额198元问题类型诉求类型投诉详情我与10月1日充值跑跑卡丁车手游198元，充值未到账，经联系腾讯客服后，客服建议找苹果客服退款，我于同月2号和4号与苹果客服沟通退款被拒，只要求退款，现寻求帮助。</t>
  </si>
  <si>
    <t>请求分期</t>
  </si>
  <si>
    <t>http://ts.21cn.com/tousu/show/id/1368479</t>
  </si>
  <si>
    <t>2019/10/17 11:44:30</t>
  </si>
  <si>
    <t>投诉人黄女士投诉对象建设银行信用卡涉诉金额16021元问题类型诉求类型投诉详情因个人资金周转困难，多次款项要偿还，目前经济状况无法承担一下子归还多笔账单，目前想向银行申请分期超低的还款，希望同意。</t>
  </si>
  <si>
    <t>好分期投诉</t>
  </si>
  <si>
    <t>http://ts.21cn.com/tousu/show/id/1368478</t>
  </si>
  <si>
    <t>2019/10/17 11:43:48</t>
  </si>
  <si>
    <t>还没日期就一直发信息打电话骚扰，烦人的不行！。</t>
  </si>
  <si>
    <t>京东白条骚扰收货人</t>
  </si>
  <si>
    <t>http://ts.21cn.com/tousu/show/id/1368476</t>
  </si>
  <si>
    <t>2019/10/17 11:43:35</t>
  </si>
  <si>
    <t>投诉人郭先生投诉对象京东金融涉诉金额5400元问题类型诉求类型投诉详情京东白条催收恶意骚扰收货人，在第三方面故意败坏本人声誉，本人京东白条逾期，多次主动沟通还款问题，但催收人员，在联系在本人的情况下恶意拨打第三方收货人，在他人面前故意败坏本人声誉，反馈给95118，是是10/16号下午15：52有给本来拨打过几次电话，说是我把他们电话拦截了才打的第三方，本来没有拦截过任何电话，要他们拿出拨打记录，他们也无法提供，就一口咬定是我做了拦截，而且他们认为打第三方是合法合规的，不构成骚扰。</t>
  </si>
  <si>
    <t>滴滴公司联合汽车租赁公司欺诈司机</t>
  </si>
  <si>
    <t>http://ts.21cn.com/tousu/show/id/1368475</t>
  </si>
  <si>
    <t>2019/10/17 11:43:30</t>
  </si>
  <si>
    <t>投诉人王先生投诉对象滴滴出行,西安迪滴新能源汽车租赁公司涉诉金额35000元问题类型诉求类型投诉详情我于2019年4月看到滴滴出行发布的广告招聘网约车司机，月入6千到1万，然后我就按照步骤留下我的联系信息，之后西安迪滴新能源公司销售部门联系到我，我于2019年4月30号在他们公司“以租代购”购买了一辆比亚迪E5新能源车，他们说在6月23号以后，没有“网络预约出租汽车运输证”的车辆将无法接单，他们公司是合规车辆是有证的，结果我买车后到6月23号以后，他们还是没有办证下来，我去找过他们说正在办理，现在已经已经拖</t>
  </si>
  <si>
    <t>人人花扣银行卡的钱扣得合理吗</t>
  </si>
  <si>
    <t>http://ts.21cn.com/tousu/show/id/1368409</t>
  </si>
  <si>
    <t>2019/10/17 11:43:25</t>
  </si>
  <si>
    <t>投诉人刘先生投诉对象人人花涉诉金额198元问题类型诉求类型投诉详情在我不知情的情况下扣我银行卡的钱，客服电话无人接听，找不到客服。</t>
  </si>
  <si>
    <t>银盛通扣激活手续费298</t>
  </si>
  <si>
    <t>http://ts.21cn.com/tousu/show/id/1368473</t>
  </si>
  <si>
    <t>2019/10/17 11:43:21</t>
  </si>
  <si>
    <t>在代理商办理一台银盛通POS机，注册使用扣激活费298元，当时说好的不用钱，然后激活付款了说是不给退款，要240天刷满88万然后退回，如果有这种情况不提前告知，这种欺诈行为带来使用的烦恼。</t>
  </si>
  <si>
    <t>中信银行乱发短信</t>
  </si>
  <si>
    <t>http://ts.21cn.com/tousu/show/id/1368472</t>
  </si>
  <si>
    <t>2019/10/17 11:43:16</t>
  </si>
  <si>
    <t>投诉人王女士投诉对象中信银行涉诉金额0元问题类型诉求类型投诉详情未欠中信银行的钱，信用卡也未逾期，正常使用中，可是亲朋友好友收到恶意催收短信。</t>
  </si>
  <si>
    <t>小赢卡贷恶意造成借款人逾期</t>
  </si>
  <si>
    <t>http://ts.21cn.com/tousu/show/id/1368470</t>
  </si>
  <si>
    <t>2019/10/17 11:42:24</t>
  </si>
  <si>
    <t>投诉人黄女士投诉对象小赢卡贷涉诉金额6624元问题类型诉求类型投诉详情本人2018年12月16日在小赢卡贷上借款2万元，借款分12期，等额本息还款，第一期还款：2908.27元，余下11期每期还款2208.28元，本人已经还款9期，还款金额：20574.43元，晚上9点昨天小赢卡贷自动扣款，还是显示扣款失败，本人晚上10点到11点一个小时内主动手动还款都是还款失败，逾期第二天也就是10月17日早上开始，小赢卡贷催收，早上就分3个地区：陕西、成都、河南打来催收电话，诉求：1、停止催收，2、小赢卡贷借款2万，到</t>
  </si>
  <si>
    <t>http://ts.21cn.com/tousu/show/id/1368468</t>
  </si>
  <si>
    <t>2019/10/17 11:41:26</t>
  </si>
  <si>
    <t>做生意亏损，360借条打来电话，我明确告知目前几天周转不开，暂时还不上，有钱了马上就还，对方态度强硬要求我今天10点以前还上，不然就打我通讯录所有电话后直接挂断，严重影响我的生活和工作，我要求停止骚扰，道歉。</t>
  </si>
  <si>
    <t>活力花爆通讯录</t>
  </si>
  <si>
    <t>http://ts.21cn.com/tousu/show/id/1368469</t>
  </si>
  <si>
    <t>2019/10/17 11:41:17</t>
  </si>
  <si>
    <t>投诉人李女士投诉对象活力花涉诉金额3500元问题类型诉求类型投诉详情催收电话一直都在接，也都有好好和他们说话协商，没有拒绝还款，要是遇到了点困难，想多延期几天吧贷款还上，现在就爆我通讯录，和通讯录人打电话说我欠钱不还，说难听话，严重影响我正常生活，。</t>
  </si>
  <si>
    <t>http://ts.21cn.com/tousu/show/id/1368467</t>
  </si>
  <si>
    <t>2019/10/17 11:41:00</t>
  </si>
  <si>
    <t>投诉人刘女士投诉对象小花钱包涉诉金额8000元问题类型诉求类型投诉详情因个人更换手机小花钱包app在应用商城没有存在无法下载给工作人员反馈后不给予理睬和解决造成逾期后疯狂催收并进行威胁。</t>
  </si>
  <si>
    <t>壹心分期协商处理</t>
  </si>
  <si>
    <t>http://ts.21cn.com/tousu/show/id/1368466</t>
  </si>
  <si>
    <t>2019/10/17 11:40:46</t>
  </si>
  <si>
    <t>本人向壹心分期申请1700元，砍头息475，还款当日和第二天还款失败导致逾期，因经济能力有限，希望能够协商还款本金，销帐。</t>
  </si>
  <si>
    <t>移动公司用办套餐送手机的名义来给客户办理贷款</t>
  </si>
  <si>
    <t>http://ts.21cn.com/tousu/show/id/1368465</t>
  </si>
  <si>
    <t>2019/10/17 11:40:32</t>
  </si>
  <si>
    <t>移动公司用办套餐送手机的名义，进行虚假宣传，给客户在马上金融平台办理贷款，进行手机分期，并没有给客户说要进行贷款，打客服电话，客户在介绍的时候也是没有说，有录音为证，移动公司涉嫌虚假宣传，恶意欺瞒客户，在客服不知情的情况下向第三方平台提供资料，办理贷款，涉嫌买卖公民个人信息，。</t>
  </si>
  <si>
    <t>http://ts.21cn.com/tousu/show/id/1368464</t>
  </si>
  <si>
    <t>2019/10/17 11:39:58</t>
  </si>
  <si>
    <t>外包催收，一上来就开始骂，说啥子爆通讯录之类，态度之恶劣。</t>
  </si>
  <si>
    <t>投诉联动云共享汽车公司，理赔迟迟不退换给我！</t>
  </si>
  <si>
    <t>http://ts.21cn.com/tousu/show/id/1368463</t>
  </si>
  <si>
    <t>2019/10/17 11:39:32</t>
  </si>
  <si>
    <t>本人于2019年8月25号下午出了一次刮蹭事故，也报了保险，并在2019年8月25号在快速理赔垫付了700元整，保险公司及时就处理了，本人也联系过保险，保险公司表示已将赔款打到你们公司，之后我一直和联动云退款的人员接触，当时他就要求我把**账号等资料报给他，并说十多个工作日就能解决，收到一条短信说十个工作日内联系我，截止今天依然没有人联系，然而到了今天，我还是再一次打了你们公司理赔员，却还是得到要我自己联系你们结果，现向消费保投诉，麻烦你们能够重视一下这个问题，也麻烦你们能够早点解决这个事。</t>
  </si>
  <si>
    <t>宜人普惠暴利催收威胁</t>
  </si>
  <si>
    <t>http://ts.21cn.com/tousu/show/id/1368462</t>
  </si>
  <si>
    <t>2019/10/17 11:39:17</t>
  </si>
  <si>
    <t>投诉人徐先生投诉对象宜人贷涉诉金额20000元问题类型诉求类型投诉详情线下宜信公司阴阳合同，暴力催收，骚扰威胁，我在他们公司贷款2万元，合同上写的28133.35元，实际到账2万，24期还款3万多，由于个人原因现无力偿还，在第一时间和他们公司也沟通说明了情况，他们客服胡搅蛮缠，不听解释，并在第二天联系了我们单位同事、亲戚、朋友的电话，在我上班期间不停的打电话进来，严重影响到了我的生活和工作，今天正在上班他们座机打过来的电话，态度及其恶劣，我一再解释说我工资发了的话会在第一时间还上，他们女客服不听解释，不停的</t>
  </si>
  <si>
    <t>http://ts.21cn.com/tousu/show/id/1368421</t>
  </si>
  <si>
    <t>2019/10/17 11:38:46</t>
  </si>
  <si>
    <t>投诉人蒋先生投诉对象美好分期平台,套路贷涉诉金额4000元问题类型诉求类型投诉详情当初被美容坑分期付款，没有任何费用，苏州美好分期12月，刚开始我算了每期还1300，12月所还金额不对，咨询了当时医生，她说也不懂，帮我问问，这一问就没了音信，后来因为开店亏损每期没定时还上，到现在半年多时间利息涨到了四千多，而且又打电话威胁我，说让我还一半或者全还，不然就跑我家里要，还说家里没能力还就起诉我。</t>
  </si>
  <si>
    <t>http://ts.21cn.com/tousu/show/id/1368461</t>
  </si>
  <si>
    <t>2019/10/17 11:38:45</t>
  </si>
  <si>
    <t>本人在现金巴士app借款一年多，一月为一周期，每次借款前都要收取费用，之前不了解现在刚知道是违规的，现最近一次借款需到期还款，但之前一年多借款时扣除的费用已足够还清本期的欠款金额，找客服要借款账单，告诉只能查六个月以内的，六个月之前的差不到，如果是正经公司怎么能查不到账单呢，现在请现金巴士给我借款以来全部账单，核查一共几笔账单。</t>
  </si>
  <si>
    <t>立即贷，超利贷，砍头息，强制从银行卡乱扣钱！</t>
  </si>
  <si>
    <t>http://ts.21cn.com/tousu/show/id/1368010</t>
  </si>
  <si>
    <t>我让他们催收缓几天还款，他们催收无视我的诉求，各种威胁，爆通讯录，还威胁我到出发我家人照片，我最后跟他们催收协商本金还款，他们不同意，还要收取高额逾期费用，然后我就没有联系他们了，让他们继续爆通讯录！后来看到国家重拳打击这些超利贷、我也就没放心上了！到了2019年10月立即贷，就开始莫名其妙，在没有通知我的情况下，悄悄地强行扣我尾号55971农行卡银行卡的钱，前几天扣了一个10块钱，昨天下午，公司一笔货款打到我这个银行卡上，立即贷直接又有在我这银行卡直接扣了3590块！我刚给他们客服打电话投诉此事，&amp;nbs</t>
  </si>
  <si>
    <t>王者钱包app打不开</t>
  </si>
  <si>
    <t>http://ts.21cn.com/tousu/show/id/1368460</t>
  </si>
  <si>
    <t>2019/10/17 11:38:15</t>
  </si>
  <si>
    <t>在王者钱包借了3000，到账1650，要求我5天后还3026，不知道算不算高利贷，现在已经逾期两天了，只收到一个逾期短信，想找客服也找不到，卡里存了钱也没给我扣钱，还发短信提醒我逾期，不知道是不是要利滚利啊，要求按本金正常利息偿还，并且消除征信问题。</t>
  </si>
  <si>
    <t>高利贷人贷钱包</t>
  </si>
  <si>
    <t>http://ts.21cn.com/tousu/show/id/1368458</t>
  </si>
  <si>
    <t>2019/10/17 11:36:48</t>
  </si>
  <si>
    <t>http://h5.lingqianhuakeji.com/j?t=8Q2GUmH9这是他们的网址。</t>
  </si>
  <si>
    <t>永恒优享非法放贷</t>
  </si>
  <si>
    <t>http://ts.21cn.com/tousu/show/id/1368459</t>
  </si>
  <si>
    <t>2019/10/17 11:36:46</t>
  </si>
  <si>
    <t>非法砍头息部分退还一半1700元，永恒优享不肯协商，现在依然在非法放贷。</t>
  </si>
  <si>
    <t>信用卡刷卡两天没到账</t>
  </si>
  <si>
    <t>http://ts.21cn.com/tousu/show/id/1368408</t>
  </si>
  <si>
    <t>2019/10/17 11:35:56</t>
  </si>
  <si>
    <t>信用卡刷卡及时付，两天了没到账，客服电话永远没人接，今天如果还是到不了，就只能报警了。</t>
  </si>
  <si>
    <t>随行付还到网贷一直恐吓我</t>
  </si>
  <si>
    <t>http://ts.21cn.com/tousu/show/id/1368457</t>
  </si>
  <si>
    <t>2019/10/17 11:35:51</t>
  </si>
  <si>
    <t>我因资金问题出现状况，从随行付还到app借的钱没有按时归还上，我愿意和随行付还到app工作人员商量，怎么调整一下还款金额，想办法把钱还上，可是随行付还到app催账人员，一直在电话里侮辱我，还侮辱我的家人，根本不谈我怎么还款，怎么解决这个事，就是一味的在侮辱我，我跟他说还款，咱们商量一下，他在那头直接就说，你穷，你还不上，然后直接挂电话，随后爆我通讯录，跟每一个人都说我欠钱不还，对我造成很大影响，逼的我走投无路，我希望聚投诉能帮我一下，让我跟还到随行付app的工作人员好好洽谈一下，想一个好的解决办法，要不我就</t>
  </si>
  <si>
    <t>淘集集宝贝下架不了</t>
  </si>
  <si>
    <t>http://ts.21cn.com/tousu/show/id/1368456</t>
  </si>
  <si>
    <t>2019/10/17 11:35:38</t>
  </si>
  <si>
    <t>淘集集宝贝上架报了一个活动，一直没通过，宝贝也下架不了，现在问题是我要把宝贝下架了，店铺退了保证金给我退回，还有我提现的钱够过去几个月了一直没有人处理。</t>
  </si>
  <si>
    <t>暴力催收，打电话到公司进行骚扰</t>
  </si>
  <si>
    <t>http://ts.21cn.com/tousu/show/id/1368455</t>
  </si>
  <si>
    <t>2019/10/17 11:35:25</t>
  </si>
  <si>
    <t>投诉人 曾女士        投诉对象  招联金融        涉诉金额  8 500 元    问题类型    诉求类型投诉详情  打电话到公司总部进行骚扰 ，影响本人工作，</t>
  </si>
  <si>
    <t>瑞银信业务员收取套路客户押金</t>
  </si>
  <si>
    <t>http://ts.21cn.com/tousu/show/id/1368378</t>
  </si>
  <si>
    <t>2019/10/17 11:35:08</t>
  </si>
  <si>
    <t>投诉人李先生投诉对象瑞银信涉诉金额587元问题类型诉求类型投诉详情瑞银信业务人员林凡，已回馈老客户旧机器升级为名，送新机器收取198，到货后收到两台，一台瑞银信，一台会员宝，联系被告知是送的，之后按照要求激活瑞银信，刷卡299，刷之前说激活后马上返还，但刷了之后改口，另外一台会员宝是绑定的必须一块儿激活否则钱不予退还，无奈激活另外一台，然后机器提示要扣288，问其说已经后台操作过了不会扣，但刷完后扣了288，其口口说第二天返还，第二天问他，又改口说一年后返还，在沟通就玩失踪，留言让随便投诉，不处理，甚是嚣张</t>
  </si>
  <si>
    <t>省呗随意联系通讯录</t>
  </si>
  <si>
    <t>http://ts.21cn.com/tousu/show/id/1368453</t>
  </si>
  <si>
    <t>投诉人王毅投诉对象省呗涉诉金额3000元问题类型诉求类型投诉详情刚给我打完电话我跟协商完，接着就给我朋友打电话，而且还不是紧急联系人，完了又给我打电话，念我通讯录名单，说谁谁谁知道你欠钱不，要不知道，他们就给打电话，言语带有羞辱，严重影响我本人声誉，严重影响我及通讯录里朋友的省呗。</t>
  </si>
  <si>
    <t>被电信诈骗想协商延期免息还款</t>
  </si>
  <si>
    <t>http://ts.21cn.com/tousu/show/id/1368454</t>
  </si>
  <si>
    <t>2019/10/17 11:34:57</t>
  </si>
  <si>
    <t>投诉人 叶女士        投诉对象  招联金融        涉诉金额  55 000 元    问题类型    诉求类型投诉详情  本人因为被电信诈骗 已经立案 但是目前还款有困难 所以想协商延期免息还款 平台态度强硬 不予协商</t>
  </si>
  <si>
    <t>交通银行单方面违约</t>
  </si>
  <si>
    <t>http://ts.21cn.com/tousu/show/id/1368451</t>
  </si>
  <si>
    <t>2019/10/17 11:34:34</t>
  </si>
  <si>
    <t>投诉人刘先生投诉对象交通银行涉诉金额1500元问题类型诉求类型投诉详情交通银行单方面违约、强制停用本人名下的信用卡，多收取的1500元必须退还。</t>
  </si>
  <si>
    <t>搜狗借钱客户承诺第二天还款还款日第二天被爆通讯录</t>
  </si>
  <si>
    <t>http://ts.21cn.com/tousu/show/id/1368450</t>
  </si>
  <si>
    <t>2019/10/17 11:34:18</t>
  </si>
  <si>
    <t>投诉人张先生投诉对象搜狗借钱,搜狗互联网小贷涉诉金额2600元问题类型诉求类型投诉详情我在搜狗借钱借了一笔2600元，还款到第6期的时候，逾期了一天催收的打电话给我还款，我当天下午6:47就还款了，催收的在我还款以后，爆我通讯录打电话给客服投诉也没有用客服不管。</t>
  </si>
  <si>
    <t>易宝支付莫名盗刷本人银行卡，不明扣款，要求退款！！</t>
  </si>
  <si>
    <t>http://ts.21cn.com/tousu/show/id/1368448</t>
  </si>
  <si>
    <t>2019/10/17 11:33:58</t>
  </si>
  <si>
    <t>11:24]2019-9-25日盗刷本人银行卡，金额3999.022019-9-25日盗刷本人银行卡，金额3999.262019-9-26日盗刷本人银行卡，金额7903.11本人没有贷过任何款项，也没有网上支付，卡片也没有丢失易宝支付怎么能够在半夜擅自扣款，肯定是给哪个商户开通了违规支付通道！！这是盗取个人信息，偷窃银行卡资料！！强烈要求退款！！！。</t>
  </si>
  <si>
    <t>http://ts.21cn.com/tousu/show/id/1368447</t>
  </si>
  <si>
    <t>2019/10/17 11:33:53</t>
  </si>
  <si>
    <t>完全不知情的情况下就被扣钱了，这个钱扣得合理吗。</t>
  </si>
  <si>
    <t>http://ts.21cn.com/tousu/show/id/1368449</t>
  </si>
  <si>
    <t>2019/10/17 11:33:51</t>
  </si>
  <si>
    <t>玖富万卡签订阴阳合同、收取高额分期费用，借款3900元分期12期需还5300余元，借款8900元钱分期24期需还15000余元。</t>
  </si>
  <si>
    <t>侮辱催收</t>
  </si>
  <si>
    <t>http://ts.21cn.com/tousu/show/id/1368444</t>
  </si>
  <si>
    <t>2019/10/17 11:33:14</t>
  </si>
  <si>
    <t>读大学的时候借过达飞金融的钱买过一个手机，还款一年以后逾期了，大约是一年以后有追债公司发函到我家里去了，我就跟那边联系还款了，大概过了三四年突然又有别的追债公司联系我说我的欠款没有还，我当时跟那边说明了情况，那边说去核实以后就没有联系过我了，今天突然接到冒充湖南永雄资产管理有限公司发的信息给我还是说那个事情，我就打电话过去咨询到底是什么情况，那边就跟我一顿噼里啪啦的说还很有调子的说我什么94年的毛都没长齐，什么带侮辱性词汇说了一大堆，我需要平安普惠就此事给我做出合理介绍。</t>
  </si>
  <si>
    <t>芒果筹轻周转恶意逾期造成巨额逾期费用</t>
  </si>
  <si>
    <t>http://ts.21cn.com/tousu/show/id/1368443</t>
  </si>
  <si>
    <t>2019/10/17 11:33:03</t>
  </si>
  <si>
    <t>本人之前通过助力钱包下载了芒果筹轻周转app，第一期已偿还,第二期开始无法还款，并且一直无法联系客服，也没有任何客服联系本人，恶意导致逾期至今，产生了几千的逾期费，如图5所示，今天客服突然打电话来威胁还款，不然打遍联系人，国庆刚过这种超级高利贷又死灰复燃，还拒绝协商，他们自己造成的无法还款产生了巨额逾期费竟然让客户承担，并且拒绝消除逾期费，拒绝更改利率，如附图的聊天记录所示，本人希望能通过聚投诉平台解决此事，如果贵公司依旧如此，本人将依法向贵公司所在地扫黑办金融办举报并且报警处理，维护自身的合法权益，本人诉</t>
  </si>
  <si>
    <t>My钱包爆力催收，侮辱朋友圈</t>
  </si>
  <si>
    <t>http://ts.21cn.com/tousu/show/id/1368442</t>
  </si>
  <si>
    <t>2019/10/17 11:32:28</t>
  </si>
  <si>
    <t>平台借4000，360元的利息，三个月还款周期，账单出来又多个480的服务费，隐藏条款，变相拉高利率，逾期一天就爆通讯录，严重影响个人工作及生活，人身攻击，对朋友圈侮辱威胁，严重影响朋友圈名誉，电话协商还款，还一味骚扰朋友圈，要求当事催收人员进行赔礼道歉，消除影响，停止骚扰，协商下调利率。</t>
  </si>
  <si>
    <t>花转转樱桃小借恶意导致客户逾期收取逾期费</t>
  </si>
  <si>
    <t>http://ts.21cn.com/tousu/show/id/1368439</t>
  </si>
  <si>
    <t>2019/10/17 11:32:23</t>
  </si>
  <si>
    <t>花转转之前9月份投诉过一次，同意减免最后一期销账，接着就发生还款不进去，换了三张银行卡都不行，客服电话也打不通，有个自称是工作人员的外包催收还没说几句就失踪，现在造成逾期费一共4000多有第三方催收打过来要钱，这是恶意导致客户逾期他们好收取高额的逾期费，本人已保留相关证据，如果再没有人来联络将报警处理。</t>
  </si>
  <si>
    <t>借款1000要还1782</t>
  </si>
  <si>
    <t>http://ts.21cn.com/tousu/show/id/1368441</t>
  </si>
  <si>
    <t>2019/10/17 11:32:19</t>
  </si>
  <si>
    <t>投诉人 税凯        投诉对象  钱站        涉诉金额  1 782 元    问题类型    诉求类型投诉详情  借款一千实际到账一千。合同金额却是1330。每个月需要我还款596。这个完全就是高利贷砍头息合同欺骗。希望维护自己的合法权益</t>
  </si>
  <si>
    <t>my钱包收取高额手续费、且不与我沟通</t>
  </si>
  <si>
    <t>http://ts.21cn.com/tousu/show/id/1368440</t>
  </si>
  <si>
    <t>2019/10/17 11:32:15</t>
  </si>
  <si>
    <t>一、款项问题：借款金额3200元，共计还款3939元，一个月还清、利率达23.1%，严重超出国家关于民间借贷的3%上限，二、催收骚扰问题：工作人员一开始声称只打了3位紧急联系人的电话，后来经过我的核实发现不止3人受到骚扰、又改口称打了5个人的电话，向我作出赔礼道歉，并承诺再也不会进行任何形式的骚扰；。</t>
  </si>
  <si>
    <t>苏宁易购恶劣催收</t>
  </si>
  <si>
    <t>http://ts.21cn.com/tousu/show/id/1368437</t>
  </si>
  <si>
    <t>2019/10/17 11:32:13</t>
  </si>
  <si>
    <t>，甚至连工作都差点丢了，包括有的朋友亲人都被骚扰，我之前都说明情况了，现在情况没法处理，等我经济缓和在来处理协商，然而他们不罢休继续电话轰炸。</t>
  </si>
  <si>
    <t>未经本人允许，私自联系通讯录</t>
  </si>
  <si>
    <t>http://ts.21cn.com/tousu/show/id/1368438</t>
  </si>
  <si>
    <t>2019/10/17 11:31:57</t>
  </si>
  <si>
    <t>未经本人允许，私自联系通讯录人员，忘停止骚扰。</t>
  </si>
  <si>
    <t>现金巴士恶意轰炸通讯录催收</t>
  </si>
  <si>
    <t>http://ts.21cn.com/tousu/show/id/1368435</t>
  </si>
  <si>
    <t>2019/10/17 11:31:47</t>
  </si>
  <si>
    <t>逾期费用高达一天30！催收态度恶劣辱骂威胁，并私自骚扰借款人家人朋友高达几十位，内部人员故意贩卖客户信息给第三方甚至更多！。</t>
  </si>
  <si>
    <t>立马进钱app里面只借了4900元尽然要我还10942.8元，并一直骚扰家人及通讯录</t>
  </si>
  <si>
    <t>http://ts.21cn.com/tousu/show/id/1368434</t>
  </si>
  <si>
    <t>2019/10/17 11:31:30</t>
  </si>
  <si>
    <t>我在立马进钱里面只借了4900元，并已还3000多，现在尽然还要我还7000多，并协商还本金加利息立马进钱都不肯，一直威胁加骚扰并威胁并骚扰家人及通讯录，利率严重超过国家24%。</t>
  </si>
  <si>
    <t>短贷王714高利贷强制购物</t>
  </si>
  <si>
    <t>http://ts.21cn.com/tousu/show/id/1368436</t>
  </si>
  <si>
    <t>2019/10/17 11:31:28</t>
  </si>
  <si>
    <t>在融360提供的短贷王共借款10次，强制购物不合格物品，现在需要退货退钱。</t>
  </si>
  <si>
    <t>闪银高利贷恶意骚扰</t>
  </si>
  <si>
    <t>http://ts.21cn.com/tousu/show/id/1368433</t>
  </si>
  <si>
    <t>2019/10/17 11:31:15</t>
  </si>
  <si>
    <t>闪银高利贷，借款1000需要购买300元的东西，其实价值就几十元。</t>
  </si>
  <si>
    <t>http://ts.21cn.com/tousu/show/id/1368376</t>
  </si>
  <si>
    <t>2019/10/17 11:30:40</t>
  </si>
  <si>
    <t>该公司客服制造假的账单欺骗，让我还款，还款到一个对公账号中，对公账号公司，，然后我问他们账单的来源，他们说不出来，也没有给出其他的信息。</t>
  </si>
  <si>
    <t>我来贷威胁本人</t>
  </si>
  <si>
    <t>http://ts.21cn.com/tousu/show/id/1368432</t>
  </si>
  <si>
    <t>2019/10/17 11:30:31</t>
  </si>
  <si>
    <t>我来贷催收威胁恐吓我，并能说出我公司名称还扬言要给我家人打电话，因为本人正在等朋友还钱，说11月还本金、但催收仍然威胁我。</t>
  </si>
  <si>
    <t>未经允许，恶意扣费168元</t>
  </si>
  <si>
    <t>http://ts.21cn.com/tousu/show/id/1368431</t>
  </si>
  <si>
    <t>2019/10/17 11:29:47</t>
  </si>
  <si>
    <t>深圳市恒富融创科技有限公司的钱橙无忧app未经本人允许，在本人不知情的情况下，恶意扣款168元，本人强烈要求退款！。</t>
  </si>
  <si>
    <t>深圳市我爱我网络科技有限公司我的棋牌退还3万本金赔偿</t>
  </si>
  <si>
    <t>http://ts.21cn.com/tousu/show/id/1368430</t>
  </si>
  <si>
    <t>2019/10/17 11:29:16</t>
  </si>
  <si>
    <t>我的棋牌,深圳市我爱我网络科技有限公司,支付宝，为骗子开通中间转账渠道要求支付宝连带赔偿责任，常红邮箱：95******7我的棋牌推荐人微信名依欣，微信号jiajia131052kiss我下载后按照提示操作充值总计3万多，有多笔充值并没有给游戏ID上分，直接被客服黑掉钱了支付宝属于支付渠道也赚这种黑钱，为网络游戏庇护，为骗子开通中间转账渠道，要求支付宝连带赔偿责任。</t>
  </si>
  <si>
    <t>搜狗借款非法获取通讯录，恐吓催收</t>
  </si>
  <si>
    <t>http://ts.21cn.com/tousu/show/id/1368429</t>
  </si>
  <si>
    <t>2019/10/17 11:28:54</t>
  </si>
  <si>
    <t>搜狗借款暴力催收，威胁恐吓，爆通讯录！催收人员态度恶劣，非法获取通讯录号码，并非提交的紧急联系人。</t>
  </si>
  <si>
    <t>盼达用车押金不退</t>
  </si>
  <si>
    <t>http://ts.21cn.com/tousu/show/id/1368427</t>
  </si>
  <si>
    <t>2019/10/17 11:28:50</t>
  </si>
  <si>
    <t>从7月17号到现在为止已经整整3个月，押金迟迟未退还，打客服电话却每次都以退款申请待审核状态已加急审核，要求立即审核退款申请并退还该押金，如果聚投诉不能帮我维护法律利益，本人将通过公安局或者人民法院，追究盼达用车法律责任。</t>
  </si>
  <si>
    <t>恶意标记淘宝号降权</t>
  </si>
  <si>
    <t>http://ts.21cn.com/tousu/show/id/1368426</t>
  </si>
  <si>
    <t>2019/10/17 11:28:48</t>
  </si>
  <si>
    <t>淘宝账号被恶意标记降权，需要帮我解除降权和给我一个解释。</t>
  </si>
  <si>
    <t>玖富万卡拖拖，说先还清再返款，真是滑稽可笑</t>
  </si>
  <si>
    <t>http://ts.21cn.com/tousu/show/id/1368428</t>
  </si>
  <si>
    <t>2019/10/17 11:28:44</t>
  </si>
  <si>
    <t>我在8.9月在玖富万卡上借了16600块，有六笔款，我想提前结清，但是本息加起来都20880.太高了，我说本金会还，昨天还了3750.实际本金应该剩余12500左右，他们始终推脱，一直不解决，给出明确答复。</t>
  </si>
  <si>
    <t>京东白条停止骚扰</t>
  </si>
  <si>
    <t>http://ts.21cn.com/tousu/show/id/1368425</t>
  </si>
  <si>
    <t>2019/10/17 11:28:33</t>
  </si>
  <si>
    <t>上面两个号都是本人在使用，因为最近资金周转困难，现在要求停止骚扰，不要一天给一个电话，我要是有钱我能不还吗。</t>
  </si>
  <si>
    <t>http://ts.21cn.com/tousu/show/id/1368424</t>
  </si>
  <si>
    <t>2019/10/17 11:28:25</t>
  </si>
  <si>
    <t>我于2019年7月1日在恒易贷借款，合同金额15400,实际到账13475元，分12期还，每月还款1486.48元，年利率高达55.24%,且逾期一天，费用高达100元。</t>
  </si>
  <si>
    <t>招商银行</t>
  </si>
  <si>
    <t>http://ts.21cn.com/tousu/show/id/1368422</t>
  </si>
  <si>
    <t>2019/10/17 11:27:46</t>
  </si>
  <si>
    <t>客服处理不当，因为第三方找来单位，领导已经谈话，因为经营不善亏损一时财务危机，不用这样，我已经有个几十万的第三方跟进这边，你们再派第三方一起把工作搞丢好了，锦上添花，拿到手上的单据和手机不符合。</t>
  </si>
  <si>
    <t>说话很难听</t>
  </si>
  <si>
    <t>http://ts.21cn.com/tousu/show/id/1368420</t>
  </si>
  <si>
    <t>2019/10/17 11:26:58</t>
  </si>
  <si>
    <t>什么叫我不还，我没说不还，只是暂时没有能力还，你说什么给我备注拒绝还款，你怕是个智障哦，还说什么不用还了，留着用吧，反正不管你的事。</t>
  </si>
  <si>
    <t>手机借钱飞鸟分期高利贷</t>
  </si>
  <si>
    <t>http://ts.21cn.com/tousu/show/id/1368419</t>
  </si>
  <si>
    <t>2019/10/17 11:26:57</t>
  </si>
  <si>
    <t>通过手机借钱里面的飞鸟分期，借款3000一个月还4000，借款3700要还将近6000，超过国家利率100倍，中国银联为高利贷提供非法扣款渠道，手机借钱为飞鸟分期引流，投诉完也没有工作人员联络.。</t>
  </si>
  <si>
    <t>四十九元加入购票优惠会员，但是并不能享受购票优惠</t>
  </si>
  <si>
    <t>http://ts.21cn.com/tousu/show/id/1368418</t>
  </si>
  <si>
    <t>2019/10/17 11:26:50</t>
  </si>
  <si>
    <t>投诉人吕清泉小小投诉对象高铁管家涉诉金额49元问题类型诉求类型投诉详情交四十九元加入高铁管家的购票优惠会员，购票首单立减15，以后单单减5元，但是实际购票根本一分没有减。</t>
  </si>
  <si>
    <t>还款没处理</t>
  </si>
  <si>
    <t>http://ts.21cn.com/tousu/show/id/1368109</t>
  </si>
  <si>
    <t>2019/10/17 11:26:46</t>
  </si>
  <si>
    <t>投诉人杜先生投诉对象立马进钱涉诉金额3388元问题类型诉求类型投诉详情他们平台在线还款失败让我用支付宝还&amp;nbsp;我支付宝还了&amp;nbsp;本来是9月23号处理的&amp;nbsp;到今天10月17才处理&amp;nbsp;导致我后面两期逾期&amp;nbsp;我只有两笔欠款他们客服联系我说还有三笔&amp;nbsp;现在要求我还三笔还要还逾期费。</t>
  </si>
  <si>
    <t>http://ts.21cn.com/tousu/show/id/1368417</t>
  </si>
  <si>
    <t>2019/10/17 11:26:34</t>
  </si>
  <si>
    <t>下载了聚富分期，填写资料后并未通过借款，第二天银行卡就被扣除299，聚富分期平台强制扣除，隐藏扣款提示，泄密个人信息。</t>
  </si>
  <si>
    <t>取消被逾期征信</t>
  </si>
  <si>
    <t>http://ts.21cn.com/tousu/show/id/1368415</t>
  </si>
  <si>
    <t>2019/10/17 11:26:32</t>
  </si>
  <si>
    <t>有限公司涉诉金额100元问题类型诉求类型投诉详情本人于18年在大众汽车金融，11日曾致电客服，告知15日会发起2次扣款，按要求，本人15日将款项足额存进待扣款账户，因当天未收到已扣款信息，于16日再次致电客服，被告知已逾期，16日当天按他们要求将款项+100元存入公司对公账号，并已到账，诉求①二次扣款日15日款项充足，符合扣款日当天24点前存款充足，为何还要算我逾期，之前致电客服并未告知几点几分之前，难道15日上午不算15日吗，大众金融的这种说法是否有法律法规支持，是否合法，②本人在二次扣款当日已按要求存入</t>
  </si>
  <si>
    <t>诱导办理业务</t>
  </si>
  <si>
    <t>http://ts.21cn.com/tousu/show/id/1368416</t>
  </si>
  <si>
    <t>2019/10/17 11:26:23</t>
  </si>
  <si>
    <t>在未告知业务详细内容的前提下，也没有短信通知和验证，就给我办理随兴分消费备用金业务，这个业务金额达到125000，期数36期时间长，每月手续费高的信用卡分期，现在我也不需要贷款这笔钱，希望银行取消这笔业务，这个给本人生活造成很大的困难，吃也吃不好，睡也睡不好，希望贵平台帮我让兴业银行取消这个业务。</t>
  </si>
  <si>
    <t>利息过高且逾期后威胁并骚扰。由于现阶段资金周转问题出现逾期。</t>
  </si>
  <si>
    <t>http://ts.21cn.com/tousu/show/id/1368414</t>
  </si>
  <si>
    <t>2019/10/17 11:26:08</t>
  </si>
  <si>
    <t>曾多次在1天逾期的时候打家人电话骚扰，并协商无果。</t>
  </si>
  <si>
    <t>信而富高利贷砍头息</t>
  </si>
  <si>
    <t>http://ts.21cn.com/tousu/show/id/1368413</t>
  </si>
  <si>
    <t>2019/10/17 11:25:22</t>
  </si>
  <si>
    <t>投诉人石先生投诉对象信而富,富友支付,云南信托涉诉金额5000元问题类型诉求类型投诉详情信而富借款2年多，以前还好，后来要购物才能下款，很多价高质次，物品基本没收到过，还有那个加速包，等于收取砍头息，期间还有2次14天高炮，富友支付收款，云南信托负责出资。</t>
  </si>
  <si>
    <t>http://ts.21cn.com/tousu/show/id/1368412</t>
  </si>
  <si>
    <t>2019/10/17 11:25:07</t>
  </si>
  <si>
    <t>阴阳合同、骚扰家人、暴力征讨、影响正常生活。</t>
  </si>
  <si>
    <t>兴业银行暴力催收不属于我的信用卡欠款</t>
  </si>
  <si>
    <t>http://ts.21cn.com/tousu/show/id/1368407</t>
  </si>
  <si>
    <t>2019/10/17 11:24:08</t>
  </si>
  <si>
    <t>亲属信用卡欠款，兴业银行委托催收的公司不断打电话、发短信的方式骚扰、恐吓我！言语极其恶劣！如再打来我会去银保监会投诉！。</t>
  </si>
  <si>
    <t>随手记福贷砍头息</t>
  </si>
  <si>
    <t>http://ts.21cn.com/tousu/show/id/1368406</t>
  </si>
  <si>
    <t>2019/10/17 11:24:07</t>
  </si>
  <si>
    <t>投诉人罗先生投诉对象随手记,福贷涉诉金额3600元问题类型诉求类型投诉详情本人于2019年10月15日申请了一笔30000元人民币12期的借款用于周转，福贷放款时在未经我允许的情况下秒扣3600元所谓的会员费，实际到账26000余元，综合息费接近年化40%，利息超过国家规定红线，请聚投诉帮我追回高额砍头息，每月正常按时还款。</t>
  </si>
  <si>
    <t>及贷暴力催债</t>
  </si>
  <si>
    <t>http://ts.21cn.com/tousu/show/id/1368404</t>
  </si>
  <si>
    <t>2019/10/17 11:23:26</t>
  </si>
  <si>
    <t>投诉人 赵先生        投诉对象  及贷        涉诉金额  1 300 元    问题类型    诉求类型投诉详情  及贷使用暴力手段催债 爆我通讯录 我已经在聚投诉网投诉过他们了 好了半个月今天又发给我身边的朋友 钱不是不还 而是他们用的方式让我感到可怕 希望聚投诉能帮我解决</t>
  </si>
  <si>
    <t>月光侠高利贷</t>
  </si>
  <si>
    <t>http://ts.21cn.com/tousu/show/id/1368405</t>
  </si>
  <si>
    <t>2019/10/17 11:23:14</t>
  </si>
  <si>
    <t>投诉人 李先生        投诉对象  月光侠分期        涉诉金额  2 200 元    问题类型    诉求类型投诉详情  利率太高，电话骚扰，明显高利贷。骚扰电话太多。</t>
  </si>
  <si>
    <t>与苏州银行打成信用卡还款协商后仍电话骚扰</t>
  </si>
  <si>
    <t>http://ts.21cn.com/tousu/show/id/1368403</t>
  </si>
  <si>
    <t>2019/10/17 11:22:59</t>
  </si>
  <si>
    <t>本人由于身体原因，在一年内因心脏原因住院，丧失劳动能力及收入来源，有一张苏州银行30000元额度的信用卡，再一年内陆续滚到了4万左右，陆续还了5000余元仅仅是作为偿还利息，今年7月有苏州银行苏州的工作人员，王经理051267120016，151******30联系并表示考虑到实际情况，连本带息在35000余元，给与停息还本金，本月与其沟通还款，并按要求和协商于8.19前还了2000，9.19前还了1100，然九月开始又有苏州银行南京的工作人员一直换号码骚扰，表示不管和谁沟通的，没解决清就由其跟进，没有实际</t>
  </si>
  <si>
    <t>享换机恶意催收、恐吓</t>
  </si>
  <si>
    <t>http://ts.21cn.com/tousu/show/id/1368402</t>
  </si>
  <si>
    <t>2019/10/17 11:21:50</t>
  </si>
  <si>
    <t>投诉人龚先生投诉对象享换机涉诉金额2000元问题类型诉求类型投诉详情我于一年前在享换机租用了一台P20手机，于9月底到期，由于手机遗失无法规还，需要一次性买断，但由于本人目前离职状态同时家里还有小孩子抚养，目前有几个问题:1、当初享换机宣传的是到期后可以继续续租，同时租满18个月就可以自动买断，但这次到期就只有买断或归还，涉嫌虚假宣传，咨询客服解释说小程序无法享受这个条件这个解释无法接受，2、鉴于个人实际情况，也向客服联系明确表示了我承认手机无法归还，但希望用6个月续租方式买断，3、第三方公司催收公司，态度</t>
  </si>
  <si>
    <t>http://ts.21cn.com/tousu/show/id/1368401</t>
  </si>
  <si>
    <t>2019/10/17 11:21:30</t>
  </si>
  <si>
    <t>这边打来电话说要走正常的催收流程，最近自己父亲资金紧张，过几天有钱会处理，并且拨打我父亲电话说欠款犯法要进行拘留！并且今日还有工作人员给我说犯法这件事，希望你们有关部门过来与我进行协商，催收人员给我父亲打电话进行道歉，不然我直接走银监会进行举报，所有通话我都有录音，重不重视看你们自己！‭+86。</t>
  </si>
  <si>
    <t>信用飞高利贷变相收取砍头息放款强制卖保险</t>
  </si>
  <si>
    <t>http://ts.21cn.com/tousu/show/id/1368400</t>
  </si>
  <si>
    <t>2019/10/17 11:21:23</t>
  </si>
  <si>
    <t>投诉人赵先生投诉对象信用飞涉诉金额1090元问题类型诉求类型投诉详情信用飞平台以意外保险的名义强制扣除非法砍头息，借款5400元要求先偿还1090元砍头息，加上正常利息以后利率严重违反国家规定，下款后才发现要支付非法砍头息的账单，属于变相高利贷套路贷，现要求返还强制购买保险费用提前结清账单，否则将继续向保监会，互联网金融协会等投诉信用飞，希望我一直信任的大公司不要搞高利贷让消费者失望。</t>
  </si>
  <si>
    <t>http://ts.21cn.com/tousu/show/id/1368399</t>
  </si>
  <si>
    <t>2019/10/17 11:21:22</t>
  </si>
  <si>
    <t>明确的表明自己的诉求，但是客服打电话一副爱搭不理的样子，而且态度很差，表明的诉求不解决，还在打擦边球。</t>
  </si>
  <si>
    <t>要求停止骚扰，解释清楚，调整利率</t>
  </si>
  <si>
    <t>http://ts.21cn.com/tousu/show/id/1368398</t>
  </si>
  <si>
    <t>2019/10/17 11:21:16</t>
  </si>
  <si>
    <t>无休止的进行，骚扰，野蛮催收，对我本人自己单位进行电话骚扰，在逾期期间无人提醒我逾期事项，在金额涨起来后突然开始野蛮催收。</t>
  </si>
  <si>
    <t>飞贷金融暴力催收</t>
  </si>
  <si>
    <t>http://ts.21cn.com/tousu/show/id/1368397</t>
  </si>
  <si>
    <t>2019/10/17 11:20:37</t>
  </si>
  <si>
    <t>飞贷催收又换号码了，这两天不断的打电话给我家人朋友，影响工作，打电话根本不是解决问题的，都是吵架，态强硬，根本不让你有说话的机会，到今天还在打，难道我有钱不还吗，又要上班还钱，还冒充说是飞贷总部客服，以为可以好好沟通的，真能吵架，还要规定时间还钱，没有余地，我录音都有的，暴打通讯录，告知家人我借款信息，还说自己没有错，还问我亲戚朋友没有钱吗，是叫我借钱还钱吗，能借，我还用借平台的钱吗，难道飞贷就这样催收吗，这样催收，钱就能还了吗。</t>
  </si>
  <si>
    <t>http://ts.21cn.com/tousu/show/id/1368394</t>
  </si>
  <si>
    <t>2019/10/17 11:19:55</t>
  </si>
  <si>
    <t>投诉人舒长安投诉对象丰趣海淘涉诉金额12000元问题类型诉求类型投诉详情拖欠工资，从1月份拖到现在，强制执行也没效果。</t>
  </si>
  <si>
    <t>逾期费用太高，</t>
  </si>
  <si>
    <t>http://ts.21cn.com/tousu/show/id/1368396</t>
  </si>
  <si>
    <t>2019/10/17 11:19:54</t>
  </si>
  <si>
    <t>逾期费用太高，要求减免，不再电话骚扰本人以及联系人。</t>
  </si>
  <si>
    <t>中金支付违规提供714高炮支付渠道</t>
  </si>
  <si>
    <t>http://ts.21cn.com/tousu/show/id/1368392</t>
  </si>
  <si>
    <t>2019/10/17 11:19:36</t>
  </si>
  <si>
    <t>投诉人 余先生        投诉对象  中金支付        涉诉金额  3 000 元    问题类型    诉求类型投诉详情  中金支付违规给74高炮平台提供支付渠道？造成本人损失，要求退款不然投诉到底</t>
  </si>
  <si>
    <t>http://ts.21cn.com/tousu/show/id/1368395</t>
  </si>
  <si>
    <t>2019/10/17 11:19:35</t>
  </si>
  <si>
    <t>6月14日，通过安易平台介绍在友信杭州江干区门店线下贷款，实际到账12万元整，打款账户为人人贷，合同是电子版合同，确显示是167500元，每期还款5373.35元，已经还款15期，每次扣款都是不同账户扣款表，扣款时间有时候9号就进行，安易介绍人从我这边拿走12000元的回扣，回扣账户名为：邓娇，账号：6217****0528，如果现在需要一次性结清还要再还款90000多元，但是在这个月14日还处在还款日，就打电话到通讯录里面的联系人，2018年6月21日，又通过安易平台介绍在通善杭州江干区门店线下贷款，打过</t>
  </si>
  <si>
    <t>乱发恐吓短信</t>
  </si>
  <si>
    <t>http://ts.21cn.com/tousu/show/id/1368391</t>
  </si>
  <si>
    <t>2019/10/17 11:19:34</t>
  </si>
  <si>
    <t>投诉人党女士投诉对象中腾信涉诉金额5000元问题类型诉求类型投诉详情恐吓短信，骚扰我的正常生活，骚扰我朋友我朋友。</t>
  </si>
  <si>
    <t>私自爆通讯录，没有任何通知和回复</t>
  </si>
  <si>
    <t>http://ts.21cn.com/tousu/show/id/1368390</t>
  </si>
  <si>
    <t>2019/10/17 11:19:04</t>
  </si>
  <si>
    <t>骚扰通讯录请求停止骚扰电话，影响正常生活工作学习。</t>
  </si>
  <si>
    <t>投诉U卡贷借款利息高达53.4%,app自动更改还款账户，无法查看借款协议</t>
  </si>
  <si>
    <t>http://ts.21cn.com/tousu/show/id/1368387</t>
  </si>
  <si>
    <t>2019/10/17 11:18:39</t>
  </si>
  <si>
    <t>投诉人杨女士投诉对象U卡贷涉诉金额12000元问题类型诉求类型投诉详情本人2018年10月26日在U卡贷平台申请借款8000，到账8000，但是平台显示本金11555.67，现在联系查看对应app，无任何显示借款协议及合同，联系在线客服不予理睬，请贵平台帮忙核实处理。</t>
  </si>
  <si>
    <t>百度有钱花恐吓威胁</t>
  </si>
  <si>
    <t>http://ts.21cn.com/tousu/show/id/1368389</t>
  </si>
  <si>
    <t>2019/10/17 11:18:31</t>
  </si>
  <si>
    <t>投诉人黄先生投诉对象有钱花涉诉金额500元问题类型诉求类型投诉详情度小满一直用非法手段催收，冒充公检法发催收函，恐吓上门催收，去单位催收，爆通讯录，本人多次投诉均未给出道歉。</t>
  </si>
  <si>
    <t>天猫蟹码头食品旗舰店发大闸蟹券但是不能提货</t>
  </si>
  <si>
    <t>http://ts.21cn.com/tousu/show/id/1365288</t>
  </si>
  <si>
    <t>2019/10/17 11:18:29</t>
  </si>
  <si>
    <t>不按时发货，经各位买家证实卖的蟹券是虚假的，无法提货，店铺已经封停了，电话也打不通，预约无效；已经确定是个骗子店铺，无法联系到，无法维权。</t>
  </si>
  <si>
    <t>花转转恶意导致逾期还不进去款</t>
  </si>
  <si>
    <t>http://ts.21cn.com/tousu/show/id/1368386</t>
  </si>
  <si>
    <t>2019/10/17 11:18:19</t>
  </si>
  <si>
    <t>投诉人刘先生投诉对象花转转涉诉金额10000元问题类型诉求类型投诉详情花转转之前投诉过，工作人员说减免最后一期，然后就发生APP还不了款客服也联络不到，最近有工作人员来联络说逾期费4000多，这不是摆明非法收取逾期费，让客服故意逾期，联系客服也没人来联络我。</t>
  </si>
  <si>
    <t>平安银行委托黑社会威胁恐吓</t>
  </si>
  <si>
    <t>http://ts.21cn.com/tousu/show/id/1368384</t>
  </si>
  <si>
    <t>2019/10/17 11:18:07</t>
  </si>
  <si>
    <t>投诉人陈女士投诉对象平安银行涉诉金额40000元问题类型诉求类型投诉详情我因家中老人重病脑出血导致欠款逾期开始时都是尽力周转去偿还欠款后因老人多次反复病情恶化导致兼顾不暇平安新一代贷款平安银行委托外包公司暴力催收对我进行人身辱骂且辱骂家人催收打电话过来直接威胁不还钱抓我坐牢起诉孩子不能上学最后竟然直接开口骂人等等一系列威胁致电平安多次平安人员称案件已经停催了后又接到同一个人电话挑衅再次催款致电平安半个月过去了到现在依然没有任何回复银行这是不给人留活路吗，是银行就想怎样就怎样借钱就该没有尊严没有人格想怎么践踏</t>
  </si>
  <si>
    <t>闪银哼哼瞬瞬一直催收</t>
  </si>
  <si>
    <t>http://ts.21cn.com/tousu/show/id/1368385</t>
  </si>
  <si>
    <t>2019/10/17 11:18:01</t>
  </si>
  <si>
    <t>本人因欠款闪银哼哼瞬瞬2300元，已经跟客服协商还款了，闪银客服也答应反馈，但是催收一直也说没有收到反馈。</t>
  </si>
  <si>
    <t>花转转恶意逾期，多次联系减免不处理问题</t>
  </si>
  <si>
    <t>http://ts.21cn.com/tousu/show/id/1368383</t>
  </si>
  <si>
    <t>2019/10/17 11:17:46</t>
  </si>
  <si>
    <t>花转转,广州睿科信息科技公司,瑞利随薪贷,信用管家，通过信用管家注册的花转转，因上个月18号开始平台原因，不能还款，期间通过多种方式联系客服，都无法联系上，借款2800.到账2800.28天还款，每7天一期，每期还款金额1022.46元，属于高利贷，平台造成逾期，每天逾期费用高达65元，已超出国家合规贷款利息范围，联系客服协商逾期费用全免和本金加400元利息结清，客服均不处理，理由都是没有权限，抛气球式的不给处理问题，所以逾期费用一直在增加，期间也发起投诉，但都没人联系处理，花转转平台对于投诉无视，请聚投诉</t>
  </si>
  <si>
    <t>违规催收</t>
  </si>
  <si>
    <t>http://ts.21cn.com/tousu/show/id/1368382</t>
  </si>
  <si>
    <t>2019/10/17 11:17:21</t>
  </si>
  <si>
    <t>期间不要有这样威胁的骚扰电话骚扰我和联系人。</t>
  </si>
  <si>
    <t>拍拍贷爆我通讯录</t>
  </si>
  <si>
    <t>http://ts.21cn.com/tousu/show/id/1368379</t>
  </si>
  <si>
    <t>2019/10/17 11:16:42</t>
  </si>
  <si>
    <t>投诉人牛先生投诉对象拍拍贷涉诉金额300元问题类型诉求类型投诉详情因本人工厂倒闭工资拖欠为发放出现逾期，金额不多。</t>
  </si>
  <si>
    <t>松紧贷提前结清，利息很高，高利贷啊</t>
  </si>
  <si>
    <t>http://ts.21cn.com/tousu/show/id/1368381</t>
  </si>
  <si>
    <t>2019/10/17 11:16:35</t>
  </si>
  <si>
    <t>投诉人孙先生投诉对象松紧贷涉诉金额10000元问题类型诉求类型投诉详情跟松紧贷协商，借11000.实际到账9483.1.有收砍头息的情况，已经还了3664.3说还需要10736.9.我是想还个6400已经足够啦，提前结清还需9427.54，太高了，我想偿还本金，再减免息费，他们不同意，。</t>
  </si>
  <si>
    <t>交通银行黑社会威胁</t>
  </si>
  <si>
    <t>http://ts.21cn.com/tousu/show/id/1368380</t>
  </si>
  <si>
    <t>2019/10/17 11:16:32</t>
  </si>
  <si>
    <t>投诉人张先生投诉对象交通银行信用卡涉诉金额4000元问题类型诉求类型投诉详情由于本人准备的还款金额被其他地方扣走，交通银行催收电话明目张胆的威胁，不听任何解释，并且没有告诉我工号多少，口口声声他代表交通银行！电话直接威胁要当地第三方什么收款方，上门堵，他甚至直接说随便让我去哪里投诉，他不怕，并且引导我说出不还款这几个字，并且态度恶劣，我说我要投诉，他甚至直接说，随便让我去哪里投诉，他不怕！！交通银行做为银行方，明目张胆的让催收这样威胁信用卡客户！目的何在，在全国打黑除恶如此严重的时候，交通银行顶风作案，任由</t>
  </si>
  <si>
    <t>代打没有按时间完成，不理买家补亏款</t>
  </si>
  <si>
    <t>http://ts.21cn.com/tousu/show/id/1368377</t>
  </si>
  <si>
    <t>2019/10/17 11:16:12</t>
  </si>
  <si>
    <t>投诉人辛先生投诉对象交易猫涉诉金额60元问题类型诉求类型投诉详情这个赛季结束了，他们没有完成任务，我跟他们说也不理我买家，也联系不上客服。</t>
  </si>
  <si>
    <t>浦发银行使用软暴力催收信用卡欠款</t>
  </si>
  <si>
    <t>http://ts.21cn.com/tousu/show/id/1368374</t>
  </si>
  <si>
    <t>2019/10/17 11:16:07</t>
  </si>
  <si>
    <t>被浦发银行信用卡委托的催收人员威胁，这是催收人员的电话‭130。</t>
  </si>
  <si>
    <t>http://ts.21cn.com/tousu/show/id/1368373</t>
  </si>
  <si>
    <t>2019/10/17 11:16:00</t>
  </si>
  <si>
    <t>拼多多涉嫌欺诈用户并诱导用户虚假推广，挂羊头卖狗肉。</t>
  </si>
  <si>
    <t>天天发些短信，真的很烦</t>
  </si>
  <si>
    <t>http://ts.21cn.com/tousu/show/id/1368372</t>
  </si>
  <si>
    <t>2019/10/17 11:15:44</t>
  </si>
  <si>
    <t>投诉人钱世林投诉对象天天有钱,人人花涉诉金额0元问题类型诉求类型投诉详情真的很烦，也别打电话我，反正我也没吊事，你们发一个我投诉一个！！！。</t>
  </si>
  <si>
    <t>暴力催收威胁家人</t>
  </si>
  <si>
    <t>http://ts.21cn.com/tousu/show/id/1368371</t>
  </si>
  <si>
    <t>2019/10/17 11:15:39</t>
  </si>
  <si>
    <t>投诉人张先生投诉对象拍拍贷涉诉金额3000元问题类型诉求类型投诉详情这个人威胁我家人还有我，各种侮辱，还有威胁，严重影响我的正常生活，我在学校上课，不停给我骚扰，影响我正常生活。</t>
  </si>
  <si>
    <t>小鹅贷714高利贷强制购物</t>
  </si>
  <si>
    <t>http://ts.21cn.com/tousu/show/id/1368370</t>
  </si>
  <si>
    <t>2019/10/17 11:15:37</t>
  </si>
  <si>
    <t>投诉人张先生投诉对象小鹅贷涉诉金额6400元问题类型诉求类型投诉详情在融360里面借可多次小鹅贷，每次200至400的强制购物，。</t>
  </si>
  <si>
    <t>骚扰，威胁我和家人</t>
  </si>
  <si>
    <t>http://ts.21cn.com/tousu/show/id/1368369</t>
  </si>
  <si>
    <t>2019/10/17 11:15:35</t>
  </si>
  <si>
    <t>本人去年向有钱花APP贷了3.7万，一直有还，中途因工作问题逾期3个月，最近两个月和催收客服联系每月都有还款包括利息和罚息，可是最近要求我全额还款还寄律师函到单位和我家里导致，本人最近两个月一直在还款可能力有限只能慢慢还。</t>
  </si>
  <si>
    <t>http://ts.21cn.com/tousu/show/id/1368367</t>
  </si>
  <si>
    <t>2019/10/17 11:14:30</t>
  </si>
  <si>
    <t>借款金额6000元，合同金额6876元，在不知情情况下，支付了保费876元，合同利率4.8%，合同里提及管理费495元，我应还款7500多元，但按照app账单我需要还款8112元，将保险费算在本金里，综合利率刚好36%，平台以此为依据要求我还款，今天与客服沟通，其也没有给出答复，我不想造成逾期，支持系统自动扣款，但并非我自愿还款，希望平台能够给我一个解释，既然按照综合利率36%收费，签合同时为何不告知，之前借过一笔10000元的，六期利息1000不到，现在这笔借款6000元，六期利息2000多。</t>
  </si>
  <si>
    <t>易安保险联合高利贷平台捆绑销售保险</t>
  </si>
  <si>
    <t>http://ts.21cn.com/tousu/show/id/1368366</t>
  </si>
  <si>
    <t>2019/10/17 11:14:05</t>
  </si>
  <si>
    <t>投诉人王先生投诉对象易安保险涉诉金额3420元问题类型诉求类型投诉详情1：本人在及贷借款时，平台在申请是违规将借款合同与保险合同捆绑到一起，关于保险合同的被保人，保障条款，生效时间等一概不知情，4:作为投保人行使退保权利，本人要求保险公司依法立刻退还相关保险费用，将进一步向12378保监会投诉到底，曝光到底。</t>
  </si>
  <si>
    <t>非法放贷</t>
  </si>
  <si>
    <t>http://ts.21cn.com/tousu/show/id/1368363</t>
  </si>
  <si>
    <t>2019/10/17 11:13:29</t>
  </si>
  <si>
    <t>现金巴士非法放贷，收取砍头息，要贷款就要先支付398的费用，富友支付收取费用。</t>
  </si>
  <si>
    <t>利息太高电话催收骚扰电话</t>
  </si>
  <si>
    <t>http://ts.21cn.com/tousu/show/id/1368362</t>
  </si>
  <si>
    <t>2019/10/17 11:13:16</t>
  </si>
  <si>
    <t>投诉人 支先生        投诉对象  万卡玖富        涉诉金额  600 元    问题类型    诉求类型投诉详情  调整利率 停止骚扰 我又不是不还 天天打电话 影响我正常工作了</t>
  </si>
  <si>
    <t>芒果筹app失效无法登陆导致逾期、要我还被迫的逾期费用</t>
  </si>
  <si>
    <t>http://ts.21cn.com/tousu/show/id/1368361</t>
  </si>
  <si>
    <t>2019/10/17 11:13:15</t>
  </si>
  <si>
    <t>投诉人邹先生投诉对象芒果筹涉诉金额2800元问题类型诉求类型投诉详情2019年8月26号在轻周转app里借的芒果筹2800元、一个月分四期还款、每期还1022.4元、本人还完了前三期、最后一期、因为芒果筹app失效、导致本人被迫逾期、在app里反馈一直没人处理、打客服电话一直都打不通、根据他们app里提供的支付宝账号转账还款也还不了、因为支付宝转账金额过大、支付宝需要提供姓名、本人不知道对方姓名、也还不了、直到昨天10月16号才有广州的电话号码打我电话、让我还2000多、我说你们一直都没人联系我、app又操</t>
  </si>
  <si>
    <t>农业信用卡因为父亲生病逾期两个月没按时还款，农业找外包催收不正当催收，还自称是律师事务所，说要起诉我让我一次性还清，</t>
  </si>
  <si>
    <t>http://ts.21cn.com/tousu/show/id/1368360</t>
  </si>
  <si>
    <t>2019/10/17 11:12:58</t>
  </si>
  <si>
    <t>投诉人吴女士投诉对象农业银行涉诉金额12000元问题类型诉求类型投诉详情农业信用卡因为父亲生病逾期了两个月没能按时还款，农业银行找外包催收进行暴力催收，恐吓，威胁，全额还款，对方自称是律师事务所说不全额还款就告我，还骗我多还了一部分的钱，现在要求退还罚息，违约金，和多还的一部分钱。</t>
  </si>
  <si>
    <t>钱站高利贷阴阳合同黑网贷</t>
  </si>
  <si>
    <t>http://ts.21cn.com/tousu/show/id/1368359</t>
  </si>
  <si>
    <t>2019/10/17 11:12:49</t>
  </si>
  <si>
    <t>借款14000元，结果莫名其妙合同显示19040元，每个月还款1978.66元，12期就要还23743.92元，借14000还237743.92是什么利率，反正我不接受，这个平台处理不了我就找其他平台处理，找新闻台曝光，反正我不会还这种高利贷，如果平台能帮我联系到钱站以正常利率24%年化利率解决，我愿意提前结清还款，不行就算了，我就不还了。</t>
  </si>
  <si>
    <t>钱站暴力催债骚扰老人</t>
  </si>
  <si>
    <t>http://ts.21cn.com/tousu/show/id/1368357</t>
  </si>
  <si>
    <t>2019/10/17 11:12:43</t>
  </si>
  <si>
    <t>因为资金困难，逾期了两天，我也都有接电话！今天因为上班没接到电话，打算中午钱到了就还进去的！！然后点钱站app一直闪退！所以就说中午就打电话处理！好了就这样爆我联系人。</t>
  </si>
  <si>
    <t>智行火车票没有注销账号的地方，为保护个人隐私，希望能将账号注销掉</t>
  </si>
  <si>
    <t>http://ts.21cn.com/tousu/show/id/1368356</t>
  </si>
  <si>
    <t>智行火车票没有注销账号的地方，为保护个人隐私，希望能将账号注销掉。</t>
  </si>
  <si>
    <t>及贷砍头息，暴力催收，恶意骚扰联系人</t>
  </si>
  <si>
    <t>http://ts.21cn.com/tousu/show/id/1368355</t>
  </si>
  <si>
    <t>2019/10/17 11:12:41</t>
  </si>
  <si>
    <t>借款30000元，合同上面是34350元，实际到账30000元，砍头息4350元，且逾期一天爆我联系人及通讯录，态度极度恶劣。</t>
  </si>
  <si>
    <t>拍拍贷催收威胁恐吓</t>
  </si>
  <si>
    <t>http://ts.21cn.com/tousu/show/id/1368353</t>
  </si>
  <si>
    <t>2019/10/17 11:12:15</t>
  </si>
  <si>
    <t>17号我主动联系拍拍贷客服电话协商还款！因为正在接电话，我和她说你过会再打过来，就挂了，随后又打了过来，爸爸妈妈奶奶十几个电话！和我奶奶说下午4点不还钱就会上门催收！随后一个男的打电话过来，因为利息超出24%，她说她们是网贷公司不要拿银行的利率去和他们比较！随后挂断电话又打了我朋友的话。</t>
  </si>
  <si>
    <t>暴力催收，恐吓威胁</t>
  </si>
  <si>
    <t>http://ts.21cn.com/tousu/show/id/1368354</t>
  </si>
  <si>
    <t>2019/10/17 11:12:06</t>
  </si>
  <si>
    <t>暴力催收，恐吓，威胁，人身威胁，扩散性影响！。</t>
  </si>
  <si>
    <t>http://ts.21cn.com/tousu/show/id/1368352</t>
  </si>
  <si>
    <t>2019/10/17 11:12:05</t>
  </si>
  <si>
    <t>恶意催收，恐吓威胁，打电话骚扰通讯录人员，。</t>
  </si>
  <si>
    <t>华农钱庄非法高利贷汇潮支付非法为高利贷提供支付渠道</t>
  </si>
  <si>
    <t>http://ts.21cn.com/tousu/show/id/1368327</t>
  </si>
  <si>
    <t>2019/10/17 11:11:40</t>
  </si>
  <si>
    <t>投诉人 刘先生        投诉对象  汇潮支付,华农钱庄        涉诉金额  2 500 元    问题类型    诉求类型投诉详情  华农钱庄 非法高利贷 申请额度直接下款 借1375元5天还款2500元 汇潮支付非法为高利贷提供放款还款通道 不接受协商 客服态度强硬威胁爆通讯录</t>
  </si>
  <si>
    <t>爱投资平台没有按时还款</t>
  </si>
  <si>
    <t>http://ts.21cn.com/tousu/show/id/1368350</t>
  </si>
  <si>
    <t>2019/10/17 11:11:36</t>
  </si>
  <si>
    <t>投诉人张先生投诉对象爱投资涉诉金额5000元问题类型诉求类型投诉详情本人于2018年6月至2018年9月前后4次购买爱投资平台理财产品5000元，按照合同条款约定于2019年9月可以到期赎回本金和利息，但是该平台没有按时退回这几笔款，联系客服联系不上，现请求帮助赎回这几笔款，谢谢！。</t>
  </si>
  <si>
    <t>哆咪黑卡恶意扣费299</t>
  </si>
  <si>
    <t>http://ts.21cn.com/tousu/show/id/1368349</t>
  </si>
  <si>
    <t>2019/10/17 11:11:20</t>
  </si>
  <si>
    <t>2019年10月17日在哆咪黑卡注册输入验证码扣了我299元的会员费，我跟客服协商退款，客服强制我要贷款6家平台被拒的图片给他，才能退会员费，这是强制我要申请贷款的霸王条款，还说我申请贷款成功我就用钱，没贷款成功要把6家被拒的截图发给他们！现本人不需要贷款申请，要求他们退还会员费，他们客服语气很不好，就是不退还会员费，现请让他们把会员费299元退回我的账户上！谢谢。</t>
  </si>
  <si>
    <t>我来贷高息放贷，暴力催收</t>
  </si>
  <si>
    <t>http://ts.21cn.com/tousu/show/id/1368348</t>
  </si>
  <si>
    <t>2019/10/17 11:10:53</t>
  </si>
  <si>
    <t>投诉人孙先生投诉对象我来数科涉诉金额7000元问题类型诉求类型投诉详情我来贷平台贷款年利率高达36%，违规收取高额逾期费，本人有强烈的还款意愿，积极与催收人员协商，但催收方不能给与合理的处理方案，后催收人员开始轰炸我手机号并拨打电话、群发短信给我的通讯录联系人，态度极其恶劣，语言威胁恐吓，辱骂我的朋友亲人，给我和亲人朋友的生活带来很大的困扰。</t>
  </si>
  <si>
    <t>http://ts.21cn.com/tousu/show/id/1368346</t>
  </si>
  <si>
    <t>2019/10/17 11:09:57</t>
  </si>
  <si>
    <t>未经本人同意擅自扣款288元，打过电话询问说是人人花贷款能通过，结果现在人人花app无法下载，我申请退款，必须退。</t>
  </si>
  <si>
    <t>分期鸭强制逾期</t>
  </si>
  <si>
    <t>http://ts.21cn.com/tousu/show/id/1368345</t>
  </si>
  <si>
    <t>2019/10/17 11:09:39</t>
  </si>
  <si>
    <t>在分期鸭app上借了3000元，分四期还，每期还1223元，七天为一期，前面已还清了三期，共还了3669元，还有最后一期是10月14号需要还款1223元，但是app打不开，也联系不上他们的客服，联系几天了都无果，这几天都没有接到他们的电话，担心他们强制让产生逾期利息，加上他们的利息太高了，已经超过了国家标准，已经还了3669元，不愿再还剩下的最后一期1223元，这已经是不合法了。</t>
  </si>
  <si>
    <t>http://ts.21cn.com/tousu/show/id/1368342</t>
  </si>
  <si>
    <t>2019/10/17 11:09:08</t>
  </si>
  <si>
    <t>我只借了两千块，合同上写2660块，三期还3600多，这种明显高利贷。</t>
  </si>
  <si>
    <t>买单侠逾期费用太高，1180元应还款9天产生216元逾期费用</t>
  </si>
  <si>
    <t>http://ts.21cn.com/tousu/show/id/1368343</t>
  </si>
  <si>
    <t>2019/10/17 11:09:07</t>
  </si>
  <si>
    <t>1180元应还款9天产生216元逾期费用，逾期费用太高，总共6000元借款，分6期还款，每期还1180元。</t>
  </si>
  <si>
    <t>http://ts.21cn.com/tousu/show/id/1368341</t>
  </si>
  <si>
    <t>2019/10/17 11:08:33</t>
  </si>
  <si>
    <t>本人因为个人及家庭原因一直没找到合适工作，导致兴业银行信用卡一直无法按时还款，现于2019年10月份在巍山正常上班，信用卡所欠金额及逾期费用都愿意偿还，但银行不给任何机会，坚持要求第三方公司直接上门催收，对我本人造成严重影响。</t>
  </si>
  <si>
    <t>套路贷阴阳合同高利贷</t>
  </si>
  <si>
    <t>http://ts.21cn.com/tousu/show/id/1368340</t>
  </si>
  <si>
    <t>2019/10/17 11:08:28</t>
  </si>
  <si>
    <t>阴阳合同本应借款2660实际到账2000缺要每期还1300。</t>
  </si>
  <si>
    <t>百事普惠恶意扣除手续费</t>
  </si>
  <si>
    <t>http://ts.21cn.com/tousu/show/id/1368338</t>
  </si>
  <si>
    <t>我是10月15日下载的普惠分期，填写了资料，后来看没什么用就删除APP了，现在扣299元了，而且他们的协议写的不阴不阳，这样扣下去什么时候是头，据说还要扣，典型的欺诈和隐藏消费.。</t>
  </si>
  <si>
    <t>暴力催收，电话骚扰</t>
  </si>
  <si>
    <t>http://ts.21cn.com/tousu/show/id/1368336</t>
  </si>
  <si>
    <t>2019/10/17 11:08:19</t>
  </si>
  <si>
    <t>投诉人张先生投诉对象招联金融涉诉金额4500元问题类型诉求类型投诉详情开始广东一个130******67号码打电话给我，叫我还款，已和该号码协商好，因目前还款能力有限，协商分期还款每月28号还1500元，9月28号才还了款，这几天北京155******57这个号码又到处给我通讯录打电话，发信息，给我发邮件的又是另一个号码！请问招联金融是几个意思。</t>
  </si>
  <si>
    <t>工商银行信用卡暴力催收</t>
  </si>
  <si>
    <t>http://ts.21cn.com/tousu/show/id/1368335</t>
  </si>
  <si>
    <t>2019/10/17 11:08:13</t>
  </si>
  <si>
    <t>工商银行委托第三方催收公司进行暴力催收，021-61047461接听后对方态度恶劣蛮横。</t>
  </si>
  <si>
    <t>http://ts.21cn.com/tousu/show/id/1368334</t>
  </si>
  <si>
    <t>2019/10/17 11:05:51</t>
  </si>
  <si>
    <t>贷款金额28000当时页面并没有说有保险费只让签字是查询征信。</t>
  </si>
  <si>
    <t>态度强硬，父母已经离婚卖房，平台不同意协商还款</t>
  </si>
  <si>
    <t>http://ts.21cn.com/tousu/show/id/1368333</t>
  </si>
  <si>
    <t>2019/10/17 11:05:50</t>
  </si>
  <si>
    <t>从逾期第一天就开始和平台积极联系，因为我本人已经没有偿还能力，和家里坦白后，我积极联系平台还款，希望和平台协商后一笔还清，但是平台不同意予以各种减免，也不同意协商还款，欠债还钱，家里已经卖房，父母也离婚了，在小象平台申请到下款用了不到两个月，现在要一次结清，还要承担后面几个月的高额服务费，家里实在承担不起。</t>
  </si>
  <si>
    <t>通过拼多多平台诱使上当</t>
  </si>
  <si>
    <t>http://ts.21cn.com/tousu/show/id/1368305</t>
  </si>
  <si>
    <t>2019/10/17 11:05:48</t>
  </si>
  <si>
    <t>投诉人薛先生投诉对象拼多多涉诉金额2000元问题类型诉求类型投诉详情本人关节病患者，常期依靠药物来控制疼痛的折磨，表明我的观点1.支付凭证没有显示商户全称我认为拼多多平台有明知道商户存在问题包庇商户，前几天一个网友联系我说通过刷单可以赚取平常的开销，后面我选择了相信，因为治病买药要花费一定的钱，我因为没有办法才相信了，直到现在通过网友介绍的“刷单”的钱还没有退回来我才发现自己上当受骗，这些钱是我用来看病买药的钱，难道拼多多就一直放纵不法分子的无法无天随意让人上当，你们的口碑何在。</t>
  </si>
  <si>
    <t>商业版微信冻结资金</t>
  </si>
  <si>
    <t>http://ts.21cn.com/tousu/show/id/1368331</t>
  </si>
  <si>
    <t>2019/10/17 11:05:41</t>
  </si>
  <si>
    <t>微信商业版无缘无故冻结了我一笔钱，多次申诉被驳回。</t>
  </si>
  <si>
    <t>中经汇通电子卡无法使用，要求退款</t>
  </si>
  <si>
    <t>http://ts.21cn.com/tousu/show/id/1368330</t>
  </si>
  <si>
    <t>2019/10/17 11:05:35</t>
  </si>
  <si>
    <t>投诉人 郑先生        投诉对象  中经汇通        涉诉金额  1 960 元    问题类型    诉求类型投诉详情  无法使用，要求退款。无退款链接，发送邮件无人处理</t>
  </si>
  <si>
    <t>毒APP瑕疵鞋退货扣服务费</t>
  </si>
  <si>
    <t>http://ts.21cn.com/tousu/show/id/1368329</t>
  </si>
  <si>
    <t>2019/10/17 11:05:34</t>
  </si>
  <si>
    <t>在毒APP购买一双aj4黑镭射，经过毒平台鉴定没问题后发货，收到货之后发现鞋子是存在瑕疵的，1.鞋内有很长很长的线头，从鞋头直到鞋底，影响穿着，3.鞋头里面有一块很硬的部分，应该是做工问题，导致很硌脚，请问存在如上明显问题，毒的鉴定师是怎么检验通过并且发货的呢，反馈了问题客服打来电话，说线头的问题可以把鞋底拿出来然后把线头放进去，不影响穿着，我想请问，如果你是购买的人，你会选择一双这样的鞋子吗，我选择退货，运费要自己出就算了，还要扣89所谓的服务费，服务在哪里了，客服说退货是退到平台不是卖家，那我请问，当时</t>
  </si>
  <si>
    <t>捷信暴力，恐吓催收</t>
  </si>
  <si>
    <t>http://ts.21cn.com/tousu/show/id/1368328</t>
  </si>
  <si>
    <t>2019/10/17 11:04:50</t>
  </si>
  <si>
    <t>投诉人李女士投诉对象捷信金融涉诉金额10000元问题类型诉求类型投诉详情捷信金融公司，恐吓，暴力催收严重影响本人生活，贷款2万，每期还款接近1000元，已经还了10期了，打电话过去咨询要求提前一次性还款还要连续再还3个月，提前结清款为15000多元，合计提前还款还需要18000多元，无效沟通的前提下我停止还款，对方电话，短信，上门恐吓催收，严重影响我的家庭，生活以及工作！！！我本有还款意愿，捷信金融公司无视沟通协商！！！。</t>
  </si>
  <si>
    <t>http://ts.21cn.com/tousu/show/id/1368326</t>
  </si>
  <si>
    <t>2019/10/17 11:04:01</t>
  </si>
  <si>
    <t>放款收3个点，每期服务费1500多，保险费890，已经还了25期，已还184524.25。</t>
  </si>
  <si>
    <t>捷信金融虚假宣传无法协商</t>
  </si>
  <si>
    <t>http://ts.21cn.com/tousu/show/id/1368324</t>
  </si>
  <si>
    <t>2019/10/17 11:03:21</t>
  </si>
  <si>
    <t>现在还款一次性困难，希望协商分期还款，并停止暴力催收。</t>
  </si>
  <si>
    <t>http://ts.21cn.com/tousu/show/id/1368323</t>
  </si>
  <si>
    <t>2019/10/17 11:03:07</t>
  </si>
  <si>
    <t>投诉人 房先生        投诉对象  拍拍贷        涉诉金额  12 000 元    问题类型    诉求类型投诉详情  暴力催收暴力催收暴力催收自己算算还多少了</t>
  </si>
  <si>
    <t>云闪付说已经退款了，建行说没收到</t>
  </si>
  <si>
    <t>http://ts.21cn.com/tousu/show/id/1368322</t>
  </si>
  <si>
    <t>2019/10/17 11:03:05</t>
  </si>
  <si>
    <t>投诉人雷先生投诉对象云闪付,建设银行涉诉金额4900元问题类型诉求类型投诉详情15号上午九点左右，云闪付app有两笔退款，问了银联客服，银联客服说该商户已经退款，资金已到达开户行，今天询问开户行建行，建行说没有收到退款，如有收到退款系统会第一时间入账的，请问现在是怎么回事了，一边说退了，另一边说没收到，资金卡在那边了。</t>
  </si>
  <si>
    <t>闪银哼哼贷款时强制人购买156元商品</t>
  </si>
  <si>
    <t>http://ts.21cn.com/tousu/show/id/1368321</t>
  </si>
  <si>
    <t>2019/10/17 11:02:57</t>
  </si>
  <si>
    <t>本人于10月16号在闪银申请借款，页面提示借1000元30天30元利息，我觉得还可以接受，就申请了，之后就弹出页面要我购物156元，并且30缩短为27天，现在我只要求可以取消那个购物商品，本来不想投诉，实在没办法联系不到他们客服，希望该平台可以出面帮我解决，感谢！。</t>
  </si>
  <si>
    <t>暴力威胁恐吓催收</t>
  </si>
  <si>
    <t>http://ts.21cn.com/tousu/show/id/1368320</t>
  </si>
  <si>
    <t>2019/10/17 11:02:47</t>
  </si>
  <si>
    <t>本人已经多次像你我贷公司说明情况！目前确实没有能力去还。</t>
  </si>
  <si>
    <t>极其讽刺</t>
  </si>
  <si>
    <t>http://ts.21cn.com/tousu/show/id/1368319</t>
  </si>
  <si>
    <t>2019/10/17 11:02:29</t>
  </si>
  <si>
    <t>投诉人孙先生投诉对象你我贷涉诉金额900元问题类型诉求类型投诉详情上次逾期金额已经交付，本人忘记今期已经账单又到，催收电话打来，周转后还掉，既然讽刺我168都没有。</t>
  </si>
  <si>
    <t>打骚扰电话</t>
  </si>
  <si>
    <t>http://ts.21cn.com/tousu/show/id/1368325</t>
  </si>
  <si>
    <t>2019/10/17 11:02:15</t>
  </si>
  <si>
    <t>投诉人艾女士投诉对象佰仟金融涉诉金额0元问题类型诉求类型投诉详情说了本人不是杜兆涵但佰仟金融一直发短信和打电话来。</t>
  </si>
  <si>
    <t>立借平台借7000还11760</t>
  </si>
  <si>
    <t>http://ts.21cn.com/tousu/show/id/1368318</t>
  </si>
  <si>
    <t>2019/10/17 11:01:27</t>
  </si>
  <si>
    <t>9月18日，我在立借平台借7000.6个月还11760.才不过一个月，我是想提前结清本金，不算利息，他们不肯，说一定按原来账单一次结清，还挂掉电话。</t>
  </si>
  <si>
    <t>车海洋智能洗车</t>
  </si>
  <si>
    <t>http://ts.21cn.com/tousu/show/id/1368317</t>
  </si>
  <si>
    <t>2019/10/17 11:01:20</t>
  </si>
  <si>
    <t>有充值的入口没有退款的渠道，钱虽然不多，但是心里肯定不愉快啊，不洗了也没地方退款。</t>
  </si>
  <si>
    <t>天猫卷过期不给延期</t>
  </si>
  <si>
    <t>http://ts.21cn.com/tousu/show/id/1368315</t>
  </si>
  <si>
    <t>2019/10/17 11:00:57</t>
  </si>
  <si>
    <t>真金白银购买的天猫卷过期了，居然不给延期，这就是一个霸王条款，对此表示严重抗议，投诉天猫的霸王条款，除了优惠券底下写了有效时间，没有任何提示购物券要过期。</t>
  </si>
  <si>
    <t>京东还款后台无法打开不联系本人的情况下多次联系单位前台电话影响他人正常工作</t>
  </si>
  <si>
    <t>http://ts.21cn.com/tousu/show/id/1368314</t>
  </si>
  <si>
    <t>2019/10/17 11:00:56</t>
  </si>
  <si>
    <t>不联系本人的情况下多次联系单位前台电话影响他人正常工作，现要求京东打开还款窗口并停止拨打我单位前台电话。</t>
  </si>
  <si>
    <t>http://ts.21cn.com/tousu/show/id/1368316</t>
  </si>
  <si>
    <t>2019/10/17 11:00:54</t>
  </si>
  <si>
    <t>开店宝业务员于2019年10月15日以办理大额信用卡为由，用我夫妻两人银行卡开通开店宝pos机，盗刷我夫妻银行卡和298元，共计596元，该pos机是1000元内免密码支付，钱被刷出之后我们才知道，该业务员说24小时后钱会返还到银行卡，过24小时以后联系业务员他说等回到公司查看，之后就联系不上了，联系开店宝客服说等公司给答复也没消息。</t>
  </si>
  <si>
    <t>爱又米暴力催收，高利贷，爆通讯录，给通讯录发闪屏短信，给学校打电话，影响学校老师正常工作</t>
  </si>
  <si>
    <t>http://ts.21cn.com/tousu/show/id/1368288</t>
  </si>
  <si>
    <t>2019/10/17 11:00:39</t>
  </si>
  <si>
    <t>投诉人田先生投诉对象爱又米涉诉金额64500元问题类型诉求类型投诉详情爱又米，我在校学生，客服忽悠我借钱，毕业金，2万元额度，3年时间还清，还了64500元，每个月的平台服务费➕管理费➕手续费能占本金的百分之40，并且暴力催收，恐吓，群发通讯录，打电话辱骂，我的通讯录上的人，进行冷暴力，导致同学，朋友和我关系离间，并且他们雇用外包公司，暴力催收，给学校教务处每天打十几次电话骂老师，导致学校教务处无法正常工作，威胁我提前结清，3年时间，还款金额翻了3倍，高利贷，暴力催收，并且导致我本人精神太紧张，压力太大，他</t>
  </si>
  <si>
    <t>http://ts.21cn.com/tousu/show/id/1368313</t>
  </si>
  <si>
    <t>2019/10/17 11:00:21</t>
  </si>
  <si>
    <t>本人最近遇到经济困难，当月的逾期还不上，以我对小花的了解，明天就会开始疯狂骚扰和爆通讯录，我只希望和你们好好协商，再给我三天时间，发了工资就能还上，请你们不要频繁的骚扰，发恶心短信，该还的会还上，只是会延期三天。</t>
  </si>
  <si>
    <t>小黑鲨高利贷变相威胁恐吓暴力催收</t>
  </si>
  <si>
    <t>http://ts.21cn.com/tousu/show/id/1368310</t>
  </si>
  <si>
    <t>2019/10/17 11:00:18</t>
  </si>
  <si>
    <t>下载的小黑鲨app，网贷平台小黑鲨，工商主体浙江温州敏驿科技有限公司，借款3000元，一个月分三期还清，第一期还款1649.73元，剩下两期每期却分别还要还1019.73元，三期加起来总共要还3689元.赤裸裸的高利贷，现本人已还完两期合计2669.46元，而且在到期提前一天和当天到期就开始打电话骚扰催收，而且催收态度恶劣，本人因账务缠身，目前无力还高额利息，家人本来身体就不好一直在就医刚好转了，在国庆前曾多次被多家暴力催收威胁恐吓骚扰造成家人住院，因此也向当地派出所报警处理……家人才刚刚出院，小黑鲨催收也</t>
  </si>
  <si>
    <t>运城途窝假日酒店坑外地人</t>
  </si>
  <si>
    <t>http://ts.21cn.com/tousu/show/id/1368312</t>
  </si>
  <si>
    <t>2019/10/17 11:00:16</t>
  </si>
  <si>
    <t>2019年10月6号，由于当天下着雨，还在这次出差赶上假期高峰期，在运城的高铁站买不上票，就在运城途窝假日酒店开了一个房，后来在房间待了一会在手机上抢到票了，准备回太原，下去服务员不给退钱，态度恶劣，还不给开发票，还让我随便打投诉电话，说他们不怕，我一个外地出差人解决不了，求求咱们平台能帮我解决一下，我代表大家谢谢咱们平台了。</t>
  </si>
  <si>
    <t>永恒优享高利贷714</t>
  </si>
  <si>
    <t>http://ts.21cn.com/tousu/show/id/1368285</t>
  </si>
  <si>
    <t>2019/10/17 10:59:25</t>
  </si>
  <si>
    <t>投诉人邵女士投诉对象永恒优享,支付宝涉诉金额3000元问题类型诉求类型投诉详情多次在永恒优享中借款，之前借款650，期限为8天，需要还939元，利息高达289天，前几次都是借两笔650，后来借3笔650的，已经借了有11次，一来而去，从9月9号开始到现在一共借还了650元11次还款11次，利息高达3179，现在又有3笔又到了还款日，1950的本金要还2817元，已经无力偿还，希望可以再还650元就销账处理，实在无力偿还，通过支付宝进行交易的。</t>
  </si>
  <si>
    <t>购买打印机，故意非常多不给退款退货</t>
  </si>
  <si>
    <t>http://ts.21cn.com/tousu/show/id/1368278</t>
  </si>
  <si>
    <t>2019/10/17 10:59:20</t>
  </si>
  <si>
    <t>投诉人张女士投诉对象天启科技打印机涉诉金额8500元问题类型诉求类型投诉详情我在淘宝上买了一台打印机准备去创业，省吃俭用存了一年的钱就拿去买了台打印机，自己心里觉得挺高兴的，没想到这是个恶梦的开始，从机器刚开始来的第一天就开始漏电，然后打印白板本来是可以自动操作的也不行，喷头也是坏的，3天内我就问他可以退货吗，他不肯，他说可以修，，现在都一个多月了，还是没修好，打一个手机壳都要坏一次，故障特别多，一台液晶电视才1500我家用了3年目前为止还没坏，一台打印机8500，一个本都没给我带来，都坏了好多次了，现在就</t>
  </si>
  <si>
    <t>小象优品借款利息太高无减免</t>
  </si>
  <si>
    <t>http://ts.21cn.com/tousu/show/id/1368309</t>
  </si>
  <si>
    <t>2019/10/17 10:59:19</t>
  </si>
  <si>
    <t>我在小象优品借了3笔借款，颜值卡借款6000，现在我已经还了本金利息6658.29，现因个人原因要求能一次性结清借款，要求提供一次性结清加减免些利息方案，客服一直不给一次性结清减免利息，要我按月还款，最后还直接结束通话。</t>
  </si>
  <si>
    <t>还呗无法注销账户，在线客服形同虚设</t>
  </si>
  <si>
    <t>http://ts.21cn.com/tousu/show/id/1368308</t>
  </si>
  <si>
    <t>2019/10/17 10:59:01</t>
  </si>
  <si>
    <t>注册了还呗，从来未用过，要求还呗注销我的账号，删除我所有资料！还呗客服一直联系不上，在线客服形同虚设！根据国家有关规定，2016年发布的《电信和互联网用户个人信息保护规定》，第九条第四款规定：电信业务经营者、互联网信息服务提供者在用户终止使用电信服务或者互联网信息服务后，应当停止对个人信息的收集和使用，并为用户提供注销号码或账户的服务。</t>
  </si>
  <si>
    <t>乱收审核费用跟乱打电话</t>
  </si>
  <si>
    <t>http://ts.21cn.com/tousu/show/id/1368307</t>
  </si>
  <si>
    <t>2019/10/17 10:58:18</t>
  </si>
  <si>
    <t>投诉人 陈先生        投诉对象  51人品        涉诉金额  27 000 元    问题类型    诉求类型投诉详情  审核费用在借款时没有体现。借出来后才体现这笔金额。已经还款的情况下打电话骚扰我的家人。</t>
  </si>
  <si>
    <t>京东金融冒充法院发通告函</t>
  </si>
  <si>
    <t>http://ts.21cn.com/tousu/show/id/1368306</t>
  </si>
  <si>
    <t>2019/10/17 10:58:04</t>
  </si>
  <si>
    <t>京东金融冒充公检法发放通告函威胁，文件中详细写着，委托第三方外包公司上门催收，甚至恐吓，已经涉及到我个人信息，我希望你们京东方面能给出解释，给出道歉，不然的话我会投诉到底，资金周转不开，。</t>
  </si>
  <si>
    <t>京东白条协商还款</t>
  </si>
  <si>
    <t>http://ts.21cn.com/tousu/show/id/1368304</t>
  </si>
  <si>
    <t>2019/10/17 10:57:57</t>
  </si>
  <si>
    <t>京东白条逾期一个月，还完逾期，还被要求全额还款，逾期费用，分期费用你们都收了，为什么要全额还款。</t>
  </si>
  <si>
    <t>投诉闪银奇异平台电话要挟我</t>
  </si>
  <si>
    <t>http://ts.21cn.com/tousu/show/id/1368303</t>
  </si>
  <si>
    <t>2019/10/17 10:57:48</t>
  </si>
  <si>
    <t>151******25此号码打电话过来自称闪银平台催收人员，，我说了今天没钱，让他们缓几天，他们不肯，还要挟我说要打电话给联系人、通讯录和单位，我觉得严重影响了我的生活，并且这种要挟行为对我造成了精神伤害。</t>
  </si>
  <si>
    <t>花转转樱桃小借平台恶意让人逾期</t>
  </si>
  <si>
    <t>http://ts.21cn.com/tousu/show/id/1368302</t>
  </si>
  <si>
    <t>2019/10/17 10:57:38</t>
  </si>
  <si>
    <t>花转转樱桃小借平台无故不能还款，客服电话打不通，平台客服无说明，导致逾期，询问处理方式，一直不给答复，现要求全额还款，本金500，平台失误导致的逾期居然有1000多。</t>
  </si>
  <si>
    <t>投诉支付宝催收客服</t>
  </si>
  <si>
    <t>http://ts.21cn.com/tousu/show/id/1368301</t>
  </si>
  <si>
    <t>2019/10/17 10:57:24</t>
  </si>
  <si>
    <t>支付宝恶意催收，严重怀疑三方催收机构没有催收资质，而且还威胁进行上门催收，问到是哪个公司他们还不说还没有工号，再说了欠钱不是不还！你们支付宝外包给三方公司他们就为了那点绩效工资这么威胁恐吓客户吗，请支付宝给出解释！如两天之内没有结果我要投诉到支付宝总部的金融办和中国互联网金融协会等机构。</t>
  </si>
  <si>
    <t>http://ts.21cn.com/tousu/show/id/1368300</t>
  </si>
  <si>
    <t>2019/10/17 10:57:10</t>
  </si>
  <si>
    <t>本人在网上交友被骗，说是可以带我去做兼职，后来才发现是境外博彩平台，本人损失二万多元，查询银联得知本人的钱财都是被上海瀚银支付公司的商户收取，麻烦贵平台帮本人联系瀚银公司，挽回本人的损失，谢谢。</t>
  </si>
  <si>
    <t>http://ts.21cn.com/tousu/show/id/1368299</t>
  </si>
  <si>
    <t>2019/10/17 10:56:50</t>
  </si>
  <si>
    <t>甲方诱导消费，用“考试改革”和“明天优惠截止”的理由进行诱导，霸王条款不给退学退费，让在校学生进行网络贷款，还款强制。</t>
  </si>
  <si>
    <t>中国移动套路消费者</t>
  </si>
  <si>
    <t>http://ts.21cn.com/tousu/show/id/1365493</t>
  </si>
  <si>
    <t>2019/10/17 10:56:48</t>
  </si>
  <si>
    <t>10月1号去：深圳市光明区公明街道田寮社区田湾路85-2号，带两张副卡136******41、188******11，营业厅工作人员虚假套路消费者：当初说办理138******70，套餐588元，有哪些功能免费，而且送两张副卡免费，5号当天发现副卡136******41有扣费情况，致电10086才得知两张副卡分别88元每月,而且所有套餐还不是共享，中国移动套餐费588+88+88=764，中国贫民老百姓有几个用的起，难道作为中国龙头企业是这样欺骗老百姓的吗，在期间多次致电10086客服也是多次说反馈一直未回</t>
  </si>
  <si>
    <t>http://ts.21cn.com/tousu/show/id/1368298</t>
  </si>
  <si>
    <t>2019/10/17 10:56:45</t>
  </si>
  <si>
    <t>借二千要换三千三百多，借的时候都没显示要还三千多，点确认借款没看，不知怎么就乱加收费要还三千多了。</t>
  </si>
  <si>
    <t>http://ts.21cn.com/tousu/show/id/1368297</t>
  </si>
  <si>
    <t>2019/10/17 10:56:37</t>
  </si>
  <si>
    <t>即有分期在我打电话给客服答应后，依然打电话给我通讯录的亲人和好友，请问谁给你们的权利，盗取用户的个人隐私信息的。</t>
  </si>
  <si>
    <t>玖富万卡催收威胁还款人</t>
  </si>
  <si>
    <t>http://ts.21cn.com/tousu/show/id/1368294</t>
  </si>
  <si>
    <t>2019/10/17 10:55:53</t>
  </si>
  <si>
    <t>玖富万卡的催收人员，打电话威胁还款人，给1个小时时间处理欠款，首先我逾期是我不对，我已经表示今天晚上12点前可以偿还欠款，但是他威胁我让我在中午12点之前必须还款，我现在还不上难道让我去抢劫吗，说12点不还款就要爆我通讯录，要是爆我通讯录只能走法律程序，我从来就没有说过不还钱，欠债还钱是天经地义的事情，，但是客服根本就不给你解释的机会，就要爆你通讯录，再次声明一下，只有是爆我通讯录咱们只能走法律程序。</t>
  </si>
  <si>
    <t>人身攻击、讽刺、暴力催收</t>
  </si>
  <si>
    <t>http://ts.21cn.com/tousu/show/id/1368293</t>
  </si>
  <si>
    <t>2019/10/17 10:55:40</t>
  </si>
  <si>
    <t>对我进行辱骂，极其恶劣行为，辱骂我下流无耻、送给我家人棺材、以及威胁我去我村帮我宣传。</t>
  </si>
  <si>
    <t>http://ts.21cn.com/tousu/show/id/1368292</t>
  </si>
  <si>
    <t>2019/10/17 10:55:21</t>
  </si>
  <si>
    <t>4月5日，我在及贷一笔20000元贷款通过审批，放款过程中，及贷将3420元的保险费用加在借款本金中，而此举在审贷过程中并未提示需购买保险，也没有正规购买保险所应有的流程，更加没有经过我本人的确认和许可，属于强迫捆绑消费，属于阴阳合同，希望贵公司尽快给我反馈，商量解决事宜，如无反馈，我将针对此笔贷款对贵公司发起诉讼。</t>
  </si>
  <si>
    <t>恶意扣款欺诈</t>
  </si>
  <si>
    <t>http://ts.21cn.com/tousu/show/id/1368224</t>
  </si>
  <si>
    <t>2019/10/17 10:55:15</t>
  </si>
  <si>
    <t>9月9日，本人接到一个电话130******36云南大理的电话，表示可以协助办理贷款业务，本人正好有贷款需求，就表示想要办理，随后电话人员表示让联系客服微信，微信号是jiangzm605，名字是客服中心，地区是上海浦东新区，然后就和本人表示会有另一个客服帮助我做流水，另一个客服就加我了，让我通过一下，微信号是TANGXIAOYUksbiu，地区是上海浦东新区，客服出示了一份电子合同，要求我打印并填写好传给他们，本人打印好后，拍照传给他们了，合同名称是上海浦东发展银行股份有限公司贷款合同，放款方是上海浦东发展</t>
  </si>
  <si>
    <t>百事普惠欺诈</t>
  </si>
  <si>
    <t>http://ts.21cn.com/tousu/show/id/1368291</t>
  </si>
  <si>
    <t>2019/10/17 10:55:06</t>
  </si>
  <si>
    <t>这就是一个坑，填写完信息就自动从我的银行卡扣款，在我不知情的情况下，还说我现在银行卡没那么多钱，叫我充钱进去，然后继续扣款，这什么时候才到头，叫退款不退就算了，还想继续要我的钱。</t>
  </si>
  <si>
    <t>暴力催收态度恶劣</t>
  </si>
  <si>
    <t>http://ts.21cn.com/tousu/show/id/1368289</t>
  </si>
  <si>
    <t>2019/10/17 10:54:48</t>
  </si>
  <si>
    <t>暴力催收，打我老婆通讯录，我老婆是孕妇，一直打。</t>
  </si>
  <si>
    <t>每次担保费收取200元</t>
  </si>
  <si>
    <t>http://ts.21cn.com/tousu/show/id/1368287</t>
  </si>
  <si>
    <t>2019/10/17 10:54:39</t>
  </si>
  <si>
    <t>每个月借一次都有200的担保费用，下面有截图的三种贷款！年利润36%+每笔200的担保费，瞬瞬，哼哼，纳米，呼呼，。</t>
  </si>
  <si>
    <t>闪电借款不容协商还款</t>
  </si>
  <si>
    <t>http://ts.21cn.com/tousu/show/id/1368286</t>
  </si>
  <si>
    <t>2019/10/17 10:54:37</t>
  </si>
  <si>
    <t>2018.12借的款项于2019年1月到期，今日2019年10.17日再次拨打公司电话再次虚假传播信息，拿到电话后打过去，直接说讨债公司要本人还款，还不给协商处理，逾期还款是本人的错，但是在本人愿意三天内处理的情况下还不给协商，一定要今日下午一点前还款进去，最重要盗取本人信息，也没上传过本人现在的上班单位。</t>
  </si>
  <si>
    <t>举报小赢卡贷</t>
  </si>
  <si>
    <t>http://ts.21cn.com/tousu/show/id/1368284</t>
  </si>
  <si>
    <t>2019/10/17 10:53:56</t>
  </si>
  <si>
    <t>小赢卡贷在我多次投诉以后依然死猪不怕开水烫，依然泄露个人隐私，泄露我的债务信息，变本加厉对我进行催收，把我信息出卖给带有黑社会性质的催收公司，骚扰我家人，加重我已经受伤的心脏，目前已经去医院检查，心脏已经受损，所有证据都将保留寄给深圳扫黑办。</t>
  </si>
  <si>
    <t>绿森数码商城1个月未发货</t>
  </si>
  <si>
    <t>http://ts.21cn.com/tousu/show/id/1368283</t>
  </si>
  <si>
    <t>2019/10/17 10:53:41</t>
  </si>
  <si>
    <t>2019.9.20在农行app上购买的黑色128GiPhone11，商家承诺10天发货，至今约1月仍未发货。</t>
  </si>
  <si>
    <t>微信支付永久封禁要求解封</t>
  </si>
  <si>
    <t>http://ts.21cn.com/tousu/show/id/1367785</t>
  </si>
  <si>
    <t>2019/10/17 10:53:33</t>
  </si>
  <si>
    <t>投诉人 赵先生        投诉对象  微信支付        涉诉金额  23 212 元    问题类型    诉求类型      投诉详情  本人经营实体店生意 每天都有人用微信付款 今天收款后 微信支付说我涉嫌违规操作 被封禁永久性的不能交易也不能收款 我不知道这是什么原因 因为每天都有人付钱买东西 所以流水多 正因为这样入账的多 微信支付就给我封禁了永久性的 连提示我违规 一次都没提醒 直接封禁永久 我不知道我怎么违规操作了 干的都是良心买卖 本人</t>
  </si>
  <si>
    <t>http://ts.21cn.com/tousu/show/id/1368282</t>
  </si>
  <si>
    <t>2019/10/17 10:53:19</t>
  </si>
  <si>
    <t>恶意催收，各种发信息恐吓，骚扰通信录，要求停止骚扰！给出解释！道歉！。</t>
  </si>
  <si>
    <t>爆力催收利息太高</t>
  </si>
  <si>
    <t>http://ts.21cn.com/tousu/show/id/1368281</t>
  </si>
  <si>
    <t>利息太高，借二万一年还二万七，恐吓，本人爆力催收。</t>
  </si>
  <si>
    <t>宝付支付违规为第三方平台提供支付通道</t>
  </si>
  <si>
    <t>http://ts.21cn.com/tousu/show/id/1368279</t>
  </si>
  <si>
    <t>2019/10/17 10:52:34</t>
  </si>
  <si>
    <t>宝付支付作为正规拍照支付公司竟然为非法高利贷提供支付服务，导致本人深陷714高利贷、套路贷，砍头息900，3000宝付支付竟然只打2100，900的砍头息不知道去哪里了，还出现了3次这样的情况，现要求宝付支付退还非法利息，退还收取的非法款项，如不退款本人将投诉至互联网金融举报信息平台，拨打12363至人民银行投诉到底。</t>
  </si>
  <si>
    <t>集体投诉英孚教育退款难</t>
  </si>
  <si>
    <t>http://ts.21cn.com/tousu/show/id/1368277</t>
  </si>
  <si>
    <t>2019/10/17 10:52:15</t>
  </si>
  <si>
    <t>投诉人 文先生        投诉对象  英孚教育        涉诉金额  43 000 元    问题类型    诉求类型投诉详情  深圳市英孚教育，学员终止学习，不退款。并引导家长套路贷款。客服搪塞，不正面解决退款。</t>
  </si>
  <si>
    <t>马上花没借说我逾期</t>
  </si>
  <si>
    <t>http://ts.21cn.com/tousu/show/id/1368276</t>
  </si>
  <si>
    <t>2019/10/17 10:51:52</t>
  </si>
  <si>
    <t>接到一个电话，对方说是催收公司的，接受了马上花贷款平台的委托对我催收，可是没在这个平台借过钱，我要我的借款明细，借了多少钱都没有，只说了让我还多少钱，不还就爆我的通讯录，问他要平台的APP他说平台受银监会风控强制下线，找不到这个APP了，让我把钱打到公司的账户，请求平台帮我核实信息，让他不要曝光我的个人信息！骚扰我和我的家人！。</t>
  </si>
  <si>
    <t>商家不开发票</t>
  </si>
  <si>
    <t>http://ts.21cn.com/tousu/show/id/1368249</t>
  </si>
  <si>
    <t>2019/10/17 10:51:29</t>
  </si>
  <si>
    <t>投诉人刘女士投诉对象天猫商城,九牧官方旗舰店涉诉金额105元问题类型诉求类型投诉详情8月底登记的发票信息，至今发票没有开好，多次询问，每次给的答复都是等，已经将近2个月的时间了，想请求你们帮忙解决~。</t>
  </si>
  <si>
    <t>新橙优品自私扣款</t>
  </si>
  <si>
    <t>http://ts.21cn.com/tousu/show/id/1368274</t>
  </si>
  <si>
    <t>2019/10/17 10:51:10</t>
  </si>
  <si>
    <t>投诉人沈先生投诉对象新橙优品涉诉金额500元问题类型诉求类型投诉详情本人扣款时间9号，昨天又扣了500，不知道是什么原因。</t>
  </si>
  <si>
    <t>钱伴高额服务费，提前结清不给予减免</t>
  </si>
  <si>
    <t>http://ts.21cn.com/tousu/show/id/1368272</t>
  </si>
  <si>
    <t>2019/10/17 10:50:55</t>
  </si>
  <si>
    <t>,挖财涉诉金额8696元问题类型诉求类型投诉详情在钱伴优享借款7700元，已还一期1451.22元，前三期不合理服务费每期770元，现要求还款剩余11期，要求减免两期服务费以及剩余利息进行减免协商，严重违反国家法律法规，收取高额服务费。</t>
  </si>
  <si>
    <t>付款后，10多天不发货</t>
  </si>
  <si>
    <t>http://ts.21cn.com/tousu/show/id/1368271</t>
  </si>
  <si>
    <t>2019/10/17 10:50:50</t>
  </si>
  <si>
    <t>投诉人王先生投诉对象速通卡涉诉金额20元问题类型诉求类型投诉详情速通app上申请更换etc卡，，支付20元邮费后，10多天不发货，几次询问客服都说尽快安排，但是依然未发货。</t>
  </si>
  <si>
    <t>服务费，保险费</t>
  </si>
  <si>
    <t>http://ts.21cn.com/tousu/show/id/1368273</t>
  </si>
  <si>
    <t>2019/10/17 10:50:40</t>
  </si>
  <si>
    <t>已经黄了25期，每个月7380，其中服务费1500多，保险费890，为什么每个月都要收这些费用，服务费是打电话催是吗。</t>
  </si>
  <si>
    <t>敏付支付违法违规为博彩网站提供充值通道</t>
  </si>
  <si>
    <t>http://ts.21cn.com/tousu/show/id/1368269</t>
  </si>
  <si>
    <t>2019/10/17 10:50:39</t>
  </si>
  <si>
    <t>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t>
  </si>
  <si>
    <t>新橙优品超级高利息，前期砍头，借10000到8000，还款15000多</t>
  </si>
  <si>
    <t>http://ts.21cn.com/tousu/show/id/1368270</t>
  </si>
  <si>
    <t>2019/10/17 10:50:37</t>
  </si>
  <si>
    <t>2019年5月23日在新橙优品上借款10000元，实际到账8417.36元，分了6期，每期偿还。</t>
  </si>
  <si>
    <t>退还违约金，罚息</t>
  </si>
  <si>
    <t>http://ts.21cn.com/tousu/show/id/1368268</t>
  </si>
  <si>
    <t>2019/10/17 10:50:16</t>
  </si>
  <si>
    <t>投诉人张先生投诉对象建设银行信用卡,广发银行信用卡涉诉金额22000元问题类型诉求类型投诉详情本人于2016年使用广发建设银行信用卡，中途最低还款，但是广发建设银行收取了我的全额违约金，要求退还部分违约金。</t>
  </si>
  <si>
    <t>多米贷平台催收以恐吓形式催收</t>
  </si>
  <si>
    <t>http://ts.21cn.com/tousu/show/id/1368266</t>
  </si>
  <si>
    <t>2019/10/17 10:49:49</t>
  </si>
  <si>
    <t>通过短信方式进行恐吓收款，严重影响本人的心情以及对该平台的信任。</t>
  </si>
  <si>
    <t>苏宁易购单方面限制会员服务，要求退费</t>
  </si>
  <si>
    <t>http://ts.21cn.com/tousu/show/id/1368265</t>
  </si>
  <si>
    <t>2019/10/17 10:49:47</t>
  </si>
  <si>
    <t>我在2018年12月花费109元开通苏宁super会员，也同时在12月份购买了两单三洋洗衣机，首先我要说明，由于我是房东，是买给出租房用，所以购买了多台，分2单购买，结果苏宁单方面不发货，还强制取消订单，从此，噩梦开始，账号不能领取优惠券，甚至连消费者最基本能享受得普通商品下单付款都无法享受，会员也只是个摆设，所以我要求要么苏宁取消限制我得账号，要么合理退还我所缴纳得会员费。</t>
  </si>
  <si>
    <t>http://ts.21cn.com/tousu/show/id/1368264</t>
  </si>
  <si>
    <t>2019/10/17 10:49:44</t>
  </si>
  <si>
    <t>本人前期从『有鱼粮』ＡＰＰ借款２２００元，后因该平台ＡＰＰ苹果版出现故障无法还款，现有10693691805546833号码向我手机联系人发送催款信息，信息所留电话为４００１０６７７０８，经我打电话询问是一家催收公司，并非『有鱼粮』官方客服，现其在未经本人同意及与本人沟通的情况下，私自盗用本人电话通讯录，并向本人无关人员发送催收信息，现希望『有鱼粮』及催收公司停止侵权行为，向本人道歉，并追究相关催收人员的违法行为。</t>
  </si>
  <si>
    <t>重复扣款，核实清楚竟然以游戏币形式返还多扣的钱</t>
  </si>
  <si>
    <t>http://ts.21cn.com/tousu/show/id/1368263</t>
  </si>
  <si>
    <t>2019/10/17 10:49:21</t>
  </si>
  <si>
    <t>大概14号我在网易旗下阴阳师购买了30元的游戏币，游戏币也确实是到账30元，后来第二天支付宝账单出来了显示60元，而我指纹支付只进行一次，网易并没有60元充值端口，要么30要么68也不能同时购买两份商品，所以绝对是重复扣款，当时我找他们客服反应，只有一个信箱客服回复也很慢客服回答很官方让我去官方网站提供流水截图，我说这个你们的问题为什么要耽误我的时间去提供流水，继续反映不予理会，后面我没办法只能去提供账单流水截图跟账单号，他们核实完后并没有正式道歉，而是在16号把我多付的钱以游戏币形式返还给我，我很气愤这个</t>
  </si>
  <si>
    <t>http://ts.21cn.com/tousu/show/id/1368262</t>
  </si>
  <si>
    <t>2019/10/17 10:48:28</t>
  </si>
  <si>
    <t>投诉人 陈女士        投诉对象  51人品        涉诉金额  7 000 元    问题类型    诉求类型投诉详情  51人品贷 昨天到期 因为没有开工资 无法还款 今天打电话饶我身边的人 和父母 导致无法工作</t>
  </si>
  <si>
    <t>http://ts.21cn.com/tousu/show/id/1368261</t>
  </si>
  <si>
    <t>2019/10/17 10:48:11</t>
  </si>
  <si>
    <t>提现提不出来，退店也退不了，商品没货也下架不了，没货发还罚款。</t>
  </si>
  <si>
    <t>建设银行强行剥夺公民权利</t>
  </si>
  <si>
    <t>http://ts.21cn.com/tousu/show/id/1368260</t>
  </si>
  <si>
    <t>2019/10/17 10:48:07</t>
  </si>
  <si>
    <t>本人17年因失业，建设银行信用卡逾期，当初逾期中请求减免违约金，信用卡中心客服以不能结清为由，不以减少，申请协商退还违约金，信用卡中心让联系分行经理，分行经理以卡片结清为由不能减免违约金，现经朋友咨询可以向建设银行信用卡发起协商诉求，对此本人遇见建设银行霸王条款，还之前客服说不能减免，还完后又说找分行经理，分行经理还不能减免，分行客服经理服务态度恶掠，信用卡中心经理亦未有准则，她说以分行客服经理为准，追求协商本是国家赋予的权利，以各种理由拒绝协商，无视国家法规，蔑视他人公民权利。</t>
  </si>
  <si>
    <t>闪银哼哼瞬瞬催收不给予沟通机会威胁爆通讯录</t>
  </si>
  <si>
    <t>http://ts.21cn.com/tousu/show/id/1368259</t>
  </si>
  <si>
    <t>2019/10/17 10:47:58</t>
  </si>
  <si>
    <t>本人上个月在和哼哼瞬瞬上借款2060元15号到期今天逾期2天，因本人最近资金链困难无法还款，在未逾期是已打过该公司客户电话进去沟通说可以延期，今天哼哼催收打电话给我，要求我还款，我说我没钱想开延期，催收不听我的解释，告诉让我去找家人朋友借，今天不还可能会联系其家人朋友，本人有意还款，我现在实属困难。</t>
  </si>
  <si>
    <t>要求拉人头发展下线</t>
  </si>
  <si>
    <t>http://ts.21cn.com/tousu/show/id/1368258</t>
  </si>
  <si>
    <t>2019/10/17 10:47:52</t>
  </si>
  <si>
    <t>虚假宣传，利用分红大力宣传拉人头发展下线，合作赚取广告费，到最后不分红，跑路，到最后客服联系不上，要求立即有关部门立即调查，免得越多受害者入坑。</t>
  </si>
  <si>
    <t>砍头息！退款</t>
  </si>
  <si>
    <t>http://ts.21cn.com/tousu/show/id/1368257</t>
  </si>
  <si>
    <t>2019/10/17 10:47:31</t>
  </si>
  <si>
    <t>违规收取的砍头息合计1300余元，高利贷吓人，已远远偿还本金利息。</t>
  </si>
  <si>
    <t>投诉易贷在线</t>
  </si>
  <si>
    <t>http://ts.21cn.com/tousu/show/id/1368255</t>
  </si>
  <si>
    <t>2019/10/17 10:47:19</t>
  </si>
  <si>
    <t>，微信聊天说可保证3-7天内帮助办理大额信用卡、提升信用卡额度2-3倍，通过多次确认可以办理大额信用卡、提升额度后，如果办不下来会退款给我，之后为其公司转款1688元，转款后，叫我下载了一个叫易贷在线的app，并且找到了一个叫陈逸铭的技术员对接，递交了申请信用卡的资料，申请没有通过，之后说让我递交征信报告，重新给我包装，再次申请，我没有同意，因为我咨询过银行业务员信用卡没有通过，必须三个月以后才可重新申请，过度的申请会对征信不利，此时我意识到自己上当受骗了，跟他们讲我不办理信用卡了，要求退还当时的1688元</t>
  </si>
  <si>
    <t>现金巴士黑心高利贷</t>
  </si>
  <si>
    <t>http://ts.21cn.com/tousu/show/id/1368256</t>
  </si>
  <si>
    <t>2019/10/17 10:47:14</t>
  </si>
  <si>
    <t>借了现金巴士1000块钱我就拿到了805快剩下的都交砍头息了，一共三期还，上个月第一期我提前还的这个月因为工作太忙忘了逾期了3天今天准备还款一看逾期一天十块钱三天还没到呢直接30快这是不是比高利贷还要黑，我打电话给客服商量能不能把逾期费减了我才逾期不到三天呵呵不行，现金巴士你们这种高利贷还能再黑点吗我今天本来要还第二期的看见这逾期费把我气的不想说什么了，本来今天我要还钱的打电话给客服减免逾期费不行气的老子直接不还了，我他妈还还个屁啊就和你们耗上了看你们能多要我一分钱不。</t>
  </si>
  <si>
    <t>http://ts.21cn.com/tousu/show/id/1368253</t>
  </si>
  <si>
    <t>2019/10/17 10:46:52</t>
  </si>
  <si>
    <t>2019年9月9日通过立刻出行APP提交保证金499退还，一直没有退回。</t>
  </si>
  <si>
    <t>http://ts.21cn.com/tousu/show/id/1368254</t>
  </si>
  <si>
    <t>2019/10/17 10:46:50</t>
  </si>
  <si>
    <t>投诉人黄先生投诉对象豹子贷,上海造艺网络科技,造艺网络科技,银码头涉诉金额200元问题类型诉求类型投诉详情申请了豹子贷，我也不知道什么情况，自动在我卡里扣钱，目前扣了我200，还说还剩98.5未支付。</t>
  </si>
  <si>
    <t>http://ts.21cn.com/tousu/show/id/1368252</t>
  </si>
  <si>
    <t>2019/10/17 10:46:34</t>
  </si>
  <si>
    <t>钱站利息已远远超出了国家法律规定的范围，违法违规平台，望相关部门严查。</t>
  </si>
  <si>
    <t>小赢轰炸式骚扰通讯录亲戚朋友</t>
  </si>
  <si>
    <t>http://ts.21cn.com/tousu/show/id/1368251</t>
  </si>
  <si>
    <t>2019/10/17 10:46:00</t>
  </si>
  <si>
    <t>态度恶劣，威胁暴力，逾期一天电话一小时一个。</t>
  </si>
  <si>
    <t>http://ts.21cn.com/tousu/show/id/1368250</t>
  </si>
  <si>
    <t>2019/10/17 10:45:41</t>
  </si>
  <si>
    <t>拇指下款,海南圣云可网络科技有限公司,新生支付，未借款成功，将其卡里仅有的50元扣走，卡里有多少扣多少，如借款成功，扣298合情合理，简直恶心至极！。</t>
  </si>
  <si>
    <t>高利贷，砍头息，辱骂家人，恐吓</t>
  </si>
  <si>
    <t>http://ts.21cn.com/tousu/show/id/1368248</t>
  </si>
  <si>
    <t>2019/10/17 10:45:34</t>
  </si>
  <si>
    <t>我向随心go借了3000块,900块砍头息，后来因为资金困难暂时还不上，逾期了一些天，现在要我还4000多，实属是高利贷中的高利贷，天天打电话恐吓我，还骂我父母，短信轰炸手机，天天骚扰我通讯录的亲戚朋友。</t>
  </si>
  <si>
    <t>恶意催收，电话骚扰，</t>
  </si>
  <si>
    <t>http://ts.21cn.com/tousu/show/id/1368247</t>
  </si>
  <si>
    <t>2019/10/17 10:44:50</t>
  </si>
  <si>
    <t>嗨钱网于8月左右无法app进行还款，且放款后立即划扣放款本金得20%作为服务费，近几天经常有人打着嗨钱外包催收公司的名字骚扰辱骂我与家人，在我索要是否有嗨钱网授权等资质时说我没资格看等，第一：要求只归还实际放款本金且接受实际放款的利息，第二：停止一切恶意催收，我只认嗨钱app还款，第三：对于这类信息嗨钱肯定恶意销售我的借款信息才导致外界有人联系，第四：我已与微众金融与光华普惠进行联系，对方声称不知晓嗨钱服务费的收取，且金额与嗨钱金额全部不符，对于这类情况让我与嗨钱进行联系沟通进行减免后还款。</t>
  </si>
  <si>
    <t>洋钱罐借款平台恶意催收，威胁家人</t>
  </si>
  <si>
    <t>http://ts.21cn.com/tousu/show/id/1368246</t>
  </si>
  <si>
    <t>2019/10/17 10:44:36</t>
  </si>
  <si>
    <t>本人因资金周转不足在洋钱罐借款平台借款，3000元分6期，第二期1409.16元因资金周转困难第二期逾期2天，客服电话联系后，本人解释后告知尽快处理欠款，并一再强调不会恶意拖欠会尽快处理！但是之该平台暴力催收本人联系人，并威胁本人要上门处理，爆通讯录！对本人造成严重影响！本人已录下该工作人员的通话录音，可供随时取证！请该平台的工作人员立即停止一切骚扰本人及其他亲属通讯录的朋友，并向本人作出道歉，本人也会承诺尽快积极处理欠款。</t>
  </si>
  <si>
    <t>暴力催收，威胁恐吓</t>
  </si>
  <si>
    <t>http://ts.21cn.com/tousu/show/id/1368245</t>
  </si>
  <si>
    <t>2019/10/17 10:44:26</t>
  </si>
  <si>
    <t>投诉人王先生投诉对象平安银行涉诉金额22000元问题类型诉求类型投诉详情因个人资金断裂，导致信用卡逾期，已经多次向平安银行客服95511上述原因，及协商还款诉求，均未有所回应，然后对方催收不予协商，打电话过来态度极其恶劣，各种威胁恐吓，各种隐含侮辱和人身攻击，天天告诉我要去立案，要抓我坐牢，多次向95511投诉解释，最终还是到他们所谓的法务部过来侮，严重影响我的正常工作，且对方未经同意，在法定节假日对我的联系人进行骚扰。</t>
  </si>
  <si>
    <t>交行暴力</t>
  </si>
  <si>
    <t>http://ts.21cn.com/tousu/show/id/1368244</t>
  </si>
  <si>
    <t>2019/10/17 10:44:16</t>
  </si>
  <si>
    <t>投诉人 张女士        投诉对象  交通银行,交行        涉诉金额  12 000 元    问题类型    诉求类型投诉详情  交通银行信用卡。不停打电话骚扰。还发信息……有钱谁不知道还？一天催个不停，我都要烦死了。能不能适可而止。现在还说要上门？我那次没有不还。几百块也是还啊。我特么也不是故意逾期啊。有钱我肯定还啊。这种暴力催收有什么区别？太过分了吧？侵犯隐私权</t>
  </si>
  <si>
    <t>米米罐超高利贷，变相收取高额费用</t>
  </si>
  <si>
    <t>http://ts.21cn.com/tousu/show/id/1368243</t>
  </si>
  <si>
    <t>2019/10/17 10:44:06</t>
  </si>
  <si>
    <t>投诉人杨先生投诉对象米米罐涉诉金额1828元问题类型诉求类型投诉详情在米米罐借款1200元，期限一个月，还款竟然高达1828元，借1200还款1828元也是符合国家利率吗，我的原则就是还本金加合法利息，超过的一分不还！。</t>
  </si>
  <si>
    <t>今借到周健南不销条</t>
  </si>
  <si>
    <t>http://ts.21cn.com/tousu/show/id/1368242</t>
  </si>
  <si>
    <t>2019/10/17 10:43:58</t>
  </si>
  <si>
    <t>投诉人 于波        投诉对象  今借到        涉诉金额  8 000 元    问题类型    诉求类型投诉详情  借款8000到手5600，7天时间。协商还款7000销账，还款后不销条。</t>
  </si>
  <si>
    <t>滴滴不给修改注册城市找客服客服敷衍了事</t>
  </si>
  <si>
    <t>http://ts.21cn.com/tousu/show/id/1368241</t>
  </si>
  <si>
    <t>2019/10/17 10:43:56</t>
  </si>
  <si>
    <t>不知道什么时候出的这个规则4希望滴滴本着对司机负责。</t>
  </si>
  <si>
    <t>购买的机票由于航空公司原因取消</t>
  </si>
  <si>
    <t>http://ts.21cn.com/tousu/show/id/1368240</t>
  </si>
  <si>
    <t>2019/10/17 10:43:36</t>
  </si>
  <si>
    <t>购买10月18号宁波飞武汉航班，收到短信由于航空公司原因取消，现严重影响行程，航空公司说可以改航班但是行程不合适，或者给我1000积分补偿，不是消费者的问题为什么要消费者买单。</t>
  </si>
  <si>
    <t>互联网电话暴力催收</t>
  </si>
  <si>
    <t>http://ts.21cn.com/tousu/show/id/1368239</t>
  </si>
  <si>
    <t>2019/10/17 10:42:08</t>
  </si>
  <si>
    <t>利率协商未完成，网络电话骚扰不断，影响协商进程。</t>
  </si>
  <si>
    <t>玖富万卡高利贷网贷</t>
  </si>
  <si>
    <t>http://ts.21cn.com/tousu/show/id/1368238</t>
  </si>
  <si>
    <t>2019/10/17 10:42:01</t>
  </si>
  <si>
    <t>2017年，我通过广告下载玖富万卡app，通过上面的宣传借款20000元，贷款期限是24个月，分24期还清；借款协议标明是13.6%的年息，我通过app还款计划才得知我要还1572x24=37728，2年利息高达37728-20000=17728，2年利率高达17728/20000=0.8864，即89%！电话客服，告知我除了利息还有服务费，且在我要求提前一次性结清的情况下，客服告知我即使提前结清，服务费不退，还要再收取3%的违约金，明显的霸王条款；我仔细看了之前的贷款前的告知情况，存在明显的误导和欺诈，关</t>
  </si>
  <si>
    <t>马上金融！涉嫌服务欺诈！</t>
  </si>
  <si>
    <t>http://ts.21cn.com/tousu/show/id/1368237</t>
  </si>
  <si>
    <t>2019/10/17 10:41:58</t>
  </si>
  <si>
    <t>我是每个月15号还款日期的，这个月的10号左右我在线申请了延期还款服务，当时显示已经申请延期成功！可是到15号了，短信发过来要求我还款！你们是要干嘛！是故意要我逾期费用吗！这次我要求你们给我一个合理的解释！此次逾期产生的费用我不会给你们了！你们是把APP升级后故意让消费者不能截图！不能录制视频！你们的手段真够卑劣的！。</t>
  </si>
  <si>
    <t>哈罗助力车随意撤停车点收取调度费</t>
  </si>
  <si>
    <t>http://ts.21cn.com/tousu/show/id/1368236</t>
  </si>
  <si>
    <t>2019/10/17 10:41:29</t>
  </si>
  <si>
    <t>2019年10月16有很多停车点，可以正常使用，17号的时候整片区域没有一个停车点，最近的也在河西区了，如果说取消河东区的停车点为什么不提前通知我们，没有收到任何通知直接就取消停车点了，扣我们调度费。</t>
  </si>
  <si>
    <t>中国移动不作为，互相推诿，不给用户解决问题</t>
  </si>
  <si>
    <t>http://ts.21cn.com/tousu/show/id/1368235</t>
  </si>
  <si>
    <t>7月末开始流量一直在家中使用不了，打10086没有解决方案，长春份公司来电告知，现在解决不了问题，没有方案，一直互相推诿。</t>
  </si>
  <si>
    <t>个人投诉</t>
  </si>
  <si>
    <t>http://ts.21cn.com/tousu/show/id/1368234</t>
  </si>
  <si>
    <t>2019/10/17 10:40:59</t>
  </si>
  <si>
    <t>投诉人覃女士投诉对象酷宝支付涉诉金额2994元问题类型诉求类型投诉详情我都不知道这是个什么网站也从没去注册过无故扣出了6笔款项。</t>
  </si>
  <si>
    <t>拼多多恶意冻结店铺资金2.7万多元，要求解冻资金，解除合作。</t>
  </si>
  <si>
    <t>http://ts.21cn.com/tousu/show/id/1364190</t>
  </si>
  <si>
    <t>2019/10/17 10:40:49</t>
  </si>
  <si>
    <t>我是一个拼多多平台的商家，店铺名：木艺水手的小店，店铺ID：875403282，9月2号开始至今，拼多多平台无缘无故冻结我店铺货款270671.06元，包括可提现20671.06元、店铺保证金7000元。</t>
  </si>
  <si>
    <t>豆豆钱为什么多收我钱</t>
  </si>
  <si>
    <t>http://ts.21cn.com/tousu/show/id/1368231</t>
  </si>
  <si>
    <t>2019/10/17 10:40:13</t>
  </si>
  <si>
    <t>投诉人李女士投诉对象豆豆钱涉诉金额980元问题类型诉求类型投诉详情10月16号是我的还款日，但是豆豆钱平台没有短信提醒，让我逾期了，我10月17日还款就多收了我一百元，说是违约金，请问什么违约金要一百，这不高利贷吗！我要求退掉多收的一百元钱，然后道歉并且做出和理的解释。</t>
  </si>
  <si>
    <t>http://ts.21cn.com/tousu/show/id/1368230</t>
  </si>
  <si>
    <t>2019/10/17 10:40:11</t>
  </si>
  <si>
    <t>10月17日，在本人不知情的情况下，个人农业银行卡被无故扣款39元，经查询明细，扣款方为北京诚讯信息咨询有限公司，要求北京诚讯信息咨询有限公司及时全额退款并道歉！卡号是62****************0。</t>
  </si>
  <si>
    <t>被豹子贷以风险评估名义恶意扣款99元</t>
  </si>
  <si>
    <t>http://ts.21cn.com/tousu/show/id/1368228</t>
  </si>
  <si>
    <t>2019/10/17 10:40:09</t>
  </si>
  <si>
    <t>投诉人邵女士投诉对象豹子贷,海南圣云可网络科技有限公司涉诉金额99元问题类型诉求类型投诉详情再次被豹子贷、海南圣云可网络科技有限公司以风险评估名义恶意扣款99元。</t>
  </si>
  <si>
    <t>还呗，天天骚扰</t>
  </si>
  <si>
    <t>http://ts.21cn.com/tousu/show/id/1368229</t>
  </si>
  <si>
    <t>投诉人夏先生投诉对象还呗涉诉金额0元问题类型诉求类型投诉详情已经明确告知不认识马秋莉这个人，但是催收每天打电话骚扰；02066323832这个电话接通过后我说了不认识马秋莉，电话挂了过后就造到电话轰炸。</t>
  </si>
  <si>
    <t>闪银高利贷暴力催收</t>
  </si>
  <si>
    <t>http://ts.21cn.com/tousu/show/id/1368227</t>
  </si>
  <si>
    <t>2019/10/17 10:39:44</t>
  </si>
  <si>
    <t>投诉人 邵先生        投诉对象  Wecash闪银        涉诉金额  2 000 元    问题类型    诉求类型投诉详情  已经和客服协商延期 还打电话给我父母 并且延期费用缴纳后仍然打电话 砍头息 利息高 拖欠期还要催收费 明明一个月到期 第28天就开始收钱</t>
  </si>
  <si>
    <t>银行卡被私自扣费</t>
  </si>
  <si>
    <t>http://ts.21cn.com/tousu/show/id/1368226</t>
  </si>
  <si>
    <t>2019/10/17 10:39:29</t>
  </si>
  <si>
    <t>2019年10月10号，在没有收到任何信息的情况下，仅在银行流水中有记录，我的建设银行卡被无故扣款2000元，我希望能追回被恶意扣款的款项，并且恳请有关部门对于第三方快捷支付加强管理。</t>
  </si>
  <si>
    <t>投诉光大银行恶意恐吓</t>
  </si>
  <si>
    <t>http://ts.21cn.com/tousu/show/id/1368225</t>
  </si>
  <si>
    <t>2019/10/17 10:39:26</t>
  </si>
  <si>
    <t>本人在2011年的时候办理了一张光大银行信用卡，起始额度15000，然后一直用的也不错，从没有逾过期，而今年因为生意不好，一直亏损，然后背上巨大债务，导致信用卡一时半会无能力还款、但是一直都是在有一点还一点，现在温饱问题都解决困难，而今天光大银行信用卡客服人员给我打电话说我信用卡诈骗，我什么时候信用卡诈骗了，我一直有一点还一点，什么时候诈骗了，还说找三方去我老家上门催收全款，我想问一下你们光大银行是加入黑恶势力了吗。</t>
  </si>
  <si>
    <t>钱站恶意骚扰恐吓家人朋友</t>
  </si>
  <si>
    <t>http://ts.21cn.com/tousu/show/id/1368222</t>
  </si>
  <si>
    <t>2019/10/17 10:39:23</t>
  </si>
  <si>
    <t>在钱站总共三笔贷款，还的本金利息加起来早已超过法律规定的最高标准！钱站仍然以债权人身份打包债务，委托各种不法追债公司，以危险恐慌骚扰我家人朋友，造成恶劣影响！希望平台能发挥积极作用，要求他们立即停止骚扰，结束违法借贷合同，道歉，并退回已扣超出法律规定的费用！。</t>
  </si>
  <si>
    <t>美团打车以各种理由拒开发票</t>
  </si>
  <si>
    <t>http://ts.21cn.com/tousu/show/id/1368223</t>
  </si>
  <si>
    <t>2019/10/17 10:39:11</t>
  </si>
  <si>
    <t>美团打车以各种理由推脱开发票，今早已经两次致电美团客服，说是立即发送，但是均未收到。</t>
  </si>
  <si>
    <t>在本日不知道的情况下恶意扣取本人账户里面钱</t>
  </si>
  <si>
    <t>http://ts.21cn.com/tousu/show/id/1368221</t>
  </si>
  <si>
    <t>2019/10/17 10:39:08</t>
  </si>
  <si>
    <t>一般贷款平台都要绑定银行卡，我也没多心然后绑定了。</t>
  </si>
  <si>
    <t>任性付分期虚假宣传</t>
  </si>
  <si>
    <t>http://ts.21cn.com/tousu/show/id/1368220</t>
  </si>
  <si>
    <t>2019/10/17 10:38:59</t>
  </si>
  <si>
    <t>我在这平台申请贷款，可平台诱导消费者购买VIP全属套路申请不通过也不给退款。</t>
  </si>
  <si>
    <t>因身体状况住院不能乘机在飞机起飞前5天申请退票去哪儿网拒绝退款机票费3300元</t>
  </si>
  <si>
    <t>http://ts.21cn.com/tousu/show/id/1368168</t>
  </si>
  <si>
    <t>2019/10/17 10:38:38</t>
  </si>
  <si>
    <t>投诉人张先生投诉对象去哪儿涉诉金额3300元问题类型诉求类型投诉详情2019年9月13日在去哪儿网线上购买2019年9月27日06:15深圳飞往济南机票三张乘机人分别为本人父亲母亲2019年9月22日乘机人自己的母亲突然重病昏迷进入香港大学深圳医院住院治疗无法继续9月27日乘机飞往济南本人2019年9月22日开始多次通过去哪儿网线上进行病退方式退票退费全被去哪儿网各种理由拒绝，相关原件本人异地医保报销已经被农村新农合机构收回存档，去哪儿以本人不能提供原件给去哪儿网存档的理由拒绝退费，去哪儿网以《疾病诊断证明</t>
  </si>
  <si>
    <t>http://ts.21cn.com/tousu/show/id/1368219</t>
  </si>
  <si>
    <t>2019/10/17 10:38:33</t>
  </si>
  <si>
    <t>丰趣海淘从2018年11月开始拖欠员工薪资，2019年初开始强制员工加班，逼迫员工离职；恶意拖欠数十名员工薪资，拖欠员工工资达到上百万，不缴纳社保公积金；员工作为弱势群体在多次与公司协商未果的情况下，继而前往上海普陀区劳动仲裁委员会申请仲裁，经过判决后，丰趣海淘仍未按判决书要求在指定时间发放工资，导致员工生活受到极大影响，希望相关部门可以伸张正义，为弱势群体争取被欠的薪资，谢谢！。</t>
  </si>
  <si>
    <t>钱置宝无法正常还款造成逾期，逾期费用和利息过高</t>
  </si>
  <si>
    <t>http://ts.21cn.com/tousu/show/id/1368217</t>
  </si>
  <si>
    <t>2019/10/17 10:38:24</t>
  </si>
  <si>
    <t>本人在立借钱置宝平台申请了一笔2100的贷款，分4期偿还，每期8天，共计32天，每期还款751，其中本金525元，利息226.8元，总计还款3067，前三期我都已经还清，总计还款2253元，最后一期还款的时候平台不自动扣费也没有了支付方式，多方联系客服无果，造成了逾期，本金525元，逾期一天费用要42元，直到逾期十多天后客服才主动联系我，我想协商解决免除逾期费用无果。</t>
  </si>
  <si>
    <t>投诉闪银恶意骚扰</t>
  </si>
  <si>
    <t>http://ts.21cn.com/tousu/show/id/1368216</t>
  </si>
  <si>
    <t>2019/10/17 10:38:01</t>
  </si>
  <si>
    <t>之前通过闪银平台借款周转多笔均还款结清！最近的两笔借款，共2300元，因个人周转不开逾期了，想延期几日，这两日从早到晚接到闪银的催收方不停的电话骚扰，骚扰电话有20多个！要求闪银，停止对我的电话骚扰，能协商还款日期！。</t>
  </si>
  <si>
    <t>万达贷暴力催收，骚扰我的通讯录</t>
  </si>
  <si>
    <t>http://ts.21cn.com/tousu/show/id/1368215</t>
  </si>
  <si>
    <t>2019/10/17 10:37:46</t>
  </si>
  <si>
    <t>投诉人杨先生投诉对象万达贷,万达普惠,万达集团涉诉金额24000元问题类型诉求类型投诉详情本人在万达集团有一比24000的借款，因暂时资金困难未及时归还，与催收人员沟通延后处理，并承担期间产生的逾期费，但万达贷的催收人员在未得到本人许可的情况下，拨打我通讯录的联系人，对本人造成了极大的伤害，家人也因此事住院，万达贷的催收人员继续对本人进行威胁，如不处理欠款还会继续拨打本人通讯录，请求国家吊销万达贷的放贷资格，并要求万达贷对本人作出道歉。</t>
  </si>
  <si>
    <t>支付宝暴力催收恶意骚扰威胁恐吓</t>
  </si>
  <si>
    <t>http://ts.21cn.com/tousu/show/id/1368214</t>
  </si>
  <si>
    <t>2019/10/17 10:37:41</t>
  </si>
  <si>
    <t>投诉人周女士投诉对象支付宝,支付宝涉诉金额10000元问题类型诉求类型投诉详情自称支付宝委托方，不透露姓名工号公司名称，男.一上午通过网络电话进行数次恶意骚扰客户本人，并且在客户积极协商全额还款的情况下，甚至在中秋和国庆当天都没有停止.与此同时，还威胁恐吓要到客户户籍地进行上门催收和骚扰家人，对客户造成严重影响.请相关部门严肃查处，并给予合理说法.此事客户将追究到底.02161988249，02161988134，02161988593。</t>
  </si>
  <si>
    <t>钱站违约金</t>
  </si>
  <si>
    <t>http://ts.21cn.com/tousu/show/id/1368212</t>
  </si>
  <si>
    <t>2019/10/17 10:37:19</t>
  </si>
  <si>
    <t>投诉人宋女士投诉对象钱站涉诉金额100元问题类型诉求类型投诉详情钱站昨天16日还款日忘记还款今天17日一看违约金高达100元逾期一天违约金就100元太高了这个罚息我接受得了但是接受不了这个违约金要求减免违约金。</t>
  </si>
  <si>
    <t>高利贷/恶性催收威胁性恐吓</t>
  </si>
  <si>
    <t>http://ts.21cn.com/tousu/show/id/1368213</t>
  </si>
  <si>
    <t>2019/10/17 10:37:10</t>
  </si>
  <si>
    <t>投诉人 华先生        投诉对象  立借        涉诉金额  6 500 元    问题类型    诉求类型投诉详情  立借高利贷平台 6500借款三期还9100 申请当日即时沟通多次给予取消 不要下款 ⋯对方不给予取消 坚决不同意 也联系不到客服人员。现在还要恶意催收 是非黑白人生攻击 爆通讯录恶意骚扰他人。 极之不合法不合理 催收人员基于黑势力性质来进行</t>
  </si>
  <si>
    <t>饿了么账户无法正常使用应有的优惠权限</t>
  </si>
  <si>
    <t>http://ts.21cn.com/tousu/show/id/1368211</t>
  </si>
  <si>
    <t>2019/10/17 10:36:14</t>
  </si>
  <si>
    <t>投诉人潘女士投诉对象饿了么涉诉金额0元问题类型诉求类型投诉详情无法使用饿了么超级会员红包、无法享有商品原有的优惠价格，支付前每次都要求语音验证码验证，输入验证码后支付金额就变为原价，验证码后支付金额就变为原价由于下单账户信息异常，建议您更换账户或设备尝试，寻求饿了么客服，给出的回复短信称“由于下单账户信息异常，建议您更换账户或设备尝试”，反馈多次回复的短信内容一致无变化，饿了么违规限制用户权益，导致用户消费后无法享受超级会员权益，要求解除账户信息异常，恢复正常使用。</t>
  </si>
  <si>
    <t>钱站高利贷阴阳合同借2000还3000</t>
  </si>
  <si>
    <t>http://ts.21cn.com/tousu/show/id/1368160</t>
  </si>
  <si>
    <t>2019/10/17 10:35:40</t>
  </si>
  <si>
    <t>本人在钱站借款2000元整，现在APP合同上写的是3000元，请聚投诉帮我反馈给钱站，高利贷公司这样好吗，现在我有意跟你们协商处理掉正常利息差多少我还多少，如果还是这样子不管不问那行我会找到陕西去的，别以为从上海搬走找不到你们，我现在就在警察局阴阳合同高利贷，我请你们负责人联系我正常利息结清掉。</t>
  </si>
  <si>
    <t>5173买的账号被找回客服态度差</t>
  </si>
  <si>
    <t>http://ts.21cn.com/tousu/show/id/1368206</t>
  </si>
  <si>
    <t>2019/10/17 10:35:34</t>
  </si>
  <si>
    <t>投诉人唐东东投诉对象5173涉诉金额600元问题类型诉求类型投诉详情联系他们让我等后来一直没有回复！第二天我到5173找他们人工让我联系了一个客户！这个客户一直很不耐烦！一直让我找另外一个客户！后来我在网上看到他们理赔需要提供申诉记录，这东西属于隐私，我购买来的账号都被找回去了我上哪来去要这些东西！根本不合理啊，我就问这个客户是不是要提供这些，他说让我问游戏官方要！我就纳闷了这东西我是买来的账号！现在被找回，我怎么提供这些根本就是无理的需求又或者说他们5173没办法自己核实账号是否被找回！又怎么出的这个保险</t>
  </si>
  <si>
    <t>现金巴士砍头息，暴力催收</t>
  </si>
  <si>
    <t>http://ts.21cn.com/tousu/show/id/1368203</t>
  </si>
  <si>
    <t>2019/10/17 10:35:31</t>
  </si>
  <si>
    <t>投诉人胡女士投诉对象现金巴士涉诉金额1000元问题类型诉求类型投诉详情现金巴士高利贷！暴力威胁催收！催收人员态度恶劣，造成我严重心理创伤，明确告知其还款时间，要求道歉，严重超过36%的年利率，属于高利贷应该取缔，通过非法催收方式暴力行径，我会通过各种平台维护自己的权益。</t>
  </si>
  <si>
    <t>你我贷搔扰联系人</t>
  </si>
  <si>
    <t>http://ts.21cn.com/tousu/show/id/1368209</t>
  </si>
  <si>
    <t>2019/10/17 10:35:29</t>
  </si>
  <si>
    <t>你我贷昨天到期，可能车间吵听不到电话提醒忘记处理了，今天一早在车间干活太吵几个电话没接，打回去又空号，不到五分钟的时间我老婆就接到电话搔扰了，然后我后来接听电话，一来就叫我还钱，当时好气问他搔扰我家人朋友干嘛，他说你不接电话我就通知她呀，请问这样还有理了，他叫我找朋友借呀，卖了家里的东西呀，反正你还钱就行，请问这个是什么态度，这些催收打电话去搔扰人了还十分有理，他说这是合法的，请问这是你我贷平台说的吗。</t>
  </si>
  <si>
    <t>中国银联广东分公司为高利贷平台提供违规支付渠道</t>
  </si>
  <si>
    <t>http://ts.21cn.com/tousu/show/id/1368208</t>
  </si>
  <si>
    <t>2019/10/17 10:35:26</t>
  </si>
  <si>
    <t>中国银联广东分公司,蜜瓜钱包,热贷,极秒贷，提供支付渠道肆意扣款，本人将实名制举报至央行，支付清算协会，互联网金融协会等多个监管部门。</t>
  </si>
  <si>
    <t>及贷ppmoney阴阳合同高额利息提前结清不能协商处理解决</t>
  </si>
  <si>
    <t>http://ts.21cn.com/tousu/show/id/1368202</t>
  </si>
  <si>
    <t>2019/10/17 10:35:25</t>
  </si>
  <si>
    <t>但现在仍需还款10617元，高利贷，并且合同金额与实际金额不符的阴阳合同，严重违反国家法律规定。</t>
  </si>
  <si>
    <t>月光侠与爱钱进合伙发放高利贷暴力催收</t>
  </si>
  <si>
    <t>http://ts.21cn.com/tousu/show/id/1368204</t>
  </si>
  <si>
    <t>2019/10/17 10:35:20</t>
  </si>
  <si>
    <t>投诉人朱先生投诉对象月光侠分期,爱钱进涉诉金额3000元问题类型诉求类型投诉详情月光侠与爱钱进合伙发放高利贷，导致本人深陷714高利贷、套路贷，砍头息900，3000竟然只打2100，900的砍头息不知道去哪里了，此平台行为已严重违反了2017年12月1日发布的《关于规范整顿“现金贷”业务的通知，该平台的这种做法实际上违反了合同法的明文规定,也违反了现行监管政策，3.15过后还搞新型套路贷，现要求月光侠退还非法利息，退还收取的非法款项，如不退款本人将投诉至互联网金融举报信息平台，拨打12363至人民银行投诉</t>
  </si>
  <si>
    <t>未成功使用业务，在本人不知情的情况扣费</t>
  </si>
  <si>
    <t>http://ts.21cn.com/tousu/show/id/1368207</t>
  </si>
  <si>
    <t>2019/10/17 10:35:16</t>
  </si>
  <si>
    <t>，填写完信息后没看到任何要扣费的提示就说我综合评分不足；然后在本人不知情的情况分批次的扣了三次款一共是298.5元，因此来寻求聚投诉的帮助。</t>
  </si>
  <si>
    <t>http://ts.21cn.com/tousu/show/id/1368200</t>
  </si>
  <si>
    <t>2019/10/17 10:34:58</t>
  </si>
  <si>
    <t>投诉人王先生投诉对象马上金融涉诉金额15000元问题类型诉求类型投诉详情马上金融借款15000元已经还了八期8800元，由于资金周转困难确实没钱，逾期四期，总共现在让还款16800元，之前一期1100多元都还不上，现在一下让还款一万多更还不上，催收给亲朋好友打电话说已经向法院起诉，等恶意骚扰电话！。</t>
  </si>
  <si>
    <t>http://ts.21cn.com/tousu/show/id/1368199</t>
  </si>
  <si>
    <t>2019/10/17 10:34:54</t>
  </si>
  <si>
    <t>投诉人蔡先生投诉对象凡普信,凡普金科涉诉金额75000元问题类型诉求类型投诉详情凡普金科套路贷，利用虚假合同欺瞒受害人，实际借款金额75000，结果被阴阳合同忽悠，分36期，每期3260多，总和接近还款11万，合同里砍头息服务费24000多，并且当初纸质合同没见到，pdf版里有，如下截图，现在还款金额基本清账，但还款途中时常被骚扰，希望与凡普总部取得联系，还清本金后给予销账砍头息见下方合同。</t>
  </si>
  <si>
    <t>交通银行暴力催收，逾期后不断的扣除保险费</t>
  </si>
  <si>
    <t>http://ts.21cn.com/tousu/show/id/1368197</t>
  </si>
  <si>
    <t>2019/10/17 10:34:31</t>
  </si>
  <si>
    <t>投诉人詹先生投诉对象交通银行信用卡涉诉金额6000元问题类型诉求类型投诉详情交通银行暴力催收，不择手段，在本人无奈的的情况下继续从信用卡扣保险费，各种手段暴力催收。</t>
  </si>
  <si>
    <t>强加意外高额保险</t>
  </si>
  <si>
    <t>http://ts.21cn.com/tousu/show/id/1368198</t>
  </si>
  <si>
    <t>2019/10/17 10:34:12</t>
  </si>
  <si>
    <t>本人在2019年7月17日于信用飞借款金额5000元分期三个月，信用飞却另外生成一个1010元为期却只有三个月的意外保险消费账单，借款时并不知情有这1010意外保险，而且反复催收告知我显示在“其他账单”里，实则背后砍头息！现在信用飞屡次催收这个保险账单，还款还有最后一期，本人现要求信用飞撤销该高额保险账单，我偿还最后一期还款。</t>
  </si>
  <si>
    <t>高利，暴击催收</t>
  </si>
  <si>
    <t>http://ts.21cn.com/tousu/show/id/1368196</t>
  </si>
  <si>
    <t>2019/10/17 10:34:10</t>
  </si>
  <si>
    <t>投诉人刘女士投诉对象51即刻有涉诉金额20000元问题类型诉求类型投诉详情我不是不还钱，我现在遇到困难，我一直在想办法，我想贵平台，给我点时间，不要一直骚扰我的家人！我以前一直都按时还得！不要在威胁我说来告诉我居委会！。</t>
  </si>
  <si>
    <t>天天速贷短信轰炸暴力催收</t>
  </si>
  <si>
    <t>http://ts.21cn.com/tousu/show/id/1368183</t>
  </si>
  <si>
    <t>2019/10/17 10:33:47</t>
  </si>
  <si>
    <t>投诉人 侯先生        投诉对象  天天速贷（盐城缘起科技）        涉诉金额  2 500 元    问题类型    诉求类型投诉详情  本人在天天速贷申请一笔贷款 2500 到账1875 后来与他们协商总共还了2300 对方同意销账 昨天对方请了催收公司 对我身边的朋友同事进行电话短信轰炸 严重影响了本人的生活 现要求他们停止轰炸并销账</t>
  </si>
  <si>
    <t>投诉捷信金融电话骚扰</t>
  </si>
  <si>
    <t>http://ts.21cn.com/tousu/show/id/1368195</t>
  </si>
  <si>
    <t>2019/10/17 10:33:41</t>
  </si>
  <si>
    <t>投诉捷信分公司电话骚扰，073189551406.073182983335.，这些电话天天打来说我是不是徐健亮，说我欠款，这个人我根本就不认识，我已经说过很多次，不认识这个人，还是打来，已经严重打扰到我的生活了，这个手机号是我七月份在中国营业厅办理的我电话是134******84。</t>
  </si>
  <si>
    <t>小赢卡贷</t>
  </si>
  <si>
    <t>http://ts.21cn.com/tousu/show/id/1368194</t>
  </si>
  <si>
    <t>2019/10/17 10:33:25</t>
  </si>
  <si>
    <t>小赢卡贷还款良好，从未逾期！希望商量最低还款两个月，因为工作原因谢谢。</t>
  </si>
  <si>
    <t>额度冻结</t>
  </si>
  <si>
    <t>http://ts.21cn.com/tousu/show/id/1368193</t>
  </si>
  <si>
    <t>2019/10/17 10:32:33</t>
  </si>
  <si>
    <t>投诉人郭先生投诉对象马上消费金融涉诉金额900元问题类型诉求类型投诉详情马上消费金融我都按时还款，今天还款以后就给我冻结了。</t>
  </si>
  <si>
    <t>故意不让还款，收取高额逾期费，套路贷高利息，借了2100还3000多。</t>
  </si>
  <si>
    <t>http://ts.21cn.com/tousu/show/id/1368192</t>
  </si>
  <si>
    <t>2019/10/17 10:32:31</t>
  </si>
  <si>
    <t>投诉人茅益清投诉对象立借涉诉金额3000元问题类型诉求类型投诉详情从立借平台的钱置宝借了2100，说是一个月，就是又分成4期7天一期，到期又故意让还不上造成，收取高额逾期费，借2100，结果要还3000多，希望销赃终止合同还清借款客服电话永远打不通”。</t>
  </si>
  <si>
    <t>聚福钱包诱导消费，恶意扣款，要求退款</t>
  </si>
  <si>
    <t>http://ts.21cn.com/tousu/show/id/1368190</t>
  </si>
  <si>
    <t>2019/10/17 10:32:18</t>
  </si>
  <si>
    <t>投诉人龚俊投诉对象聚福钱包涉诉金额548元问题类型诉求类型投诉详情聚福钱包，存在恶意扣款，之前打了客服电话，说是要退款，但每次都是以拖延或者其他理由不能办理，本人电话，180******76被扣款账号：62****************0。</t>
  </si>
  <si>
    <t>薪意贷高利贷,暴力催收</t>
  </si>
  <si>
    <t>http://ts.21cn.com/tousu/show/id/1368189</t>
  </si>
  <si>
    <t>2019/10/17 10:32:01</t>
  </si>
  <si>
    <t>投诉人蔡先生投诉对象薪意贷,畅捷支付涉诉金额2250元问题类型诉求类型投诉详情本人在信用管家申请了薪意贷2250元，分6期，每期10天，每期还款529元左右，共计3170左右，两个月利息将近1000，而且暴力催收，威胁通知家人朋友！畅捷支付为他们提供放款渠道，为高利贷违规放款！本人已经还了四期，本本金差不多已经还完了，要求减免高息部分！。</t>
  </si>
  <si>
    <t>新橙优品半夜催收</t>
  </si>
  <si>
    <t>http://ts.21cn.com/tousu/show/id/1368188</t>
  </si>
  <si>
    <t>2019/10/17 10:31:47</t>
  </si>
  <si>
    <t>投诉人李女士投诉对象新橙优品涉诉金额7000元问题类型诉求类型投诉详情有录音、新橙优品催收半夜22点38分打来电话第一通电话，我告诉他这么晚打扰我休息了我说国家不是不允许晚9点以后打电话吗，他说国家谁规定的，我说我要投诉你、第二遍又打来了，我借了7000元，分6期还款，每期还款1544.2元、6期全还完是9265.2元、超出本金2265.2元、6个月这么高的利息、我现在逾期6天，罚息210元高的离谱、还爆通讯录，我想知道这样暴力催收是不是有个说法。</t>
  </si>
  <si>
    <t>华夏银行信用外包软暴力骚扰</t>
  </si>
  <si>
    <t>http://ts.21cn.com/tousu/show/id/1368187</t>
  </si>
  <si>
    <t>2019/10/17 10:30:32</t>
  </si>
  <si>
    <t>昨天投诉没有说明，不是打电话通知同时，而是公司老板，，之前我一直和他们协商说等我中信银行信用处理了，后面就接着处理他们的， 也就1-2个月的事情就可以了， 而且我一直在上班，也一直在还款都有证据了， 为什么非要把我逼上绝路，我工作丢了，那么是不是就可以能让我有压力，然后就能找到钱还款了， 为什么要这样把人逼上绝路， 联系不到本人吗，为什么要去联系老板，我要到哪里说理去。</t>
  </si>
  <si>
    <t>http://ts.21cn.com/tousu/show/id/1368186</t>
  </si>
  <si>
    <t>2019/10/17 10:30:24</t>
  </si>
  <si>
    <t>闪电借款2019年多了个购买财神黑卡才能下款的通道，我8月份借款两次，一次2500购买财神黑卡400，一次7500，购买财神黑卡1200，都是通过第三方平台收取，总共一万块购买财神黑卡1600，加上本身50条利息500，年利率高达153.3%，已经严重超过国家规定利息36%，纯属高利贷，变相砍头息！要求闪电给出解释道歉，退回购买财神黑卡的总额1600并且下架财神黑卡调整合理的利息！。</t>
  </si>
  <si>
    <t>高额利息和软暴力电话骚扰</t>
  </si>
  <si>
    <t>http://ts.21cn.com/tousu/show/id/1368185</t>
  </si>
  <si>
    <t>2019/10/17 10:30:17</t>
  </si>
  <si>
    <t>停止骚扰，帮我消除不良影响，出具贷款结清证明。</t>
  </si>
  <si>
    <t>爱又米广告骚扰</t>
  </si>
  <si>
    <t>http://ts.21cn.com/tousu/show/id/1368184</t>
  </si>
  <si>
    <t>2019/10/17 10:29:25</t>
  </si>
  <si>
    <t>我在爱又米上面注册以后未获得额度，结果他们天天给我发短信说有额度，，让他们不要发短信他们也不听。</t>
  </si>
  <si>
    <t>收取服务费，咨询费</t>
  </si>
  <si>
    <t>http://ts.21cn.com/tousu/show/id/1368180</t>
  </si>
  <si>
    <t>2019/10/17 10:28:49</t>
  </si>
  <si>
    <t>投诉人黄先生投诉对象随手记涉诉金额8000元问题类型诉求类型投诉详情要求退回服务费跟咨询费1600元，19年8月6号13:59分扣的。</t>
  </si>
  <si>
    <t>闪电借款砍头息</t>
  </si>
  <si>
    <t>http://ts.21cn.com/tousu/show/id/1368181</t>
  </si>
  <si>
    <t>2019/10/17 10:28:37</t>
  </si>
  <si>
    <t>投诉人张女士投诉对象掌众金服涉诉金额1762元问题类型诉求类型投诉详情闪电借款，砍头息共九笔共计1762.7，请平台给予反馈和赔偿。</t>
  </si>
  <si>
    <t>小花钱包中腾信</t>
  </si>
  <si>
    <t>http://ts.21cn.com/tousu/show/id/1368179</t>
  </si>
  <si>
    <t>2019/10/17 10:28:07</t>
  </si>
  <si>
    <t>投诉人张女士投诉对象小花钱包,中腾信涉诉金额30000元问题类型诉求类型投诉详情在小花钱包的借款从未逾期过，希望这次能商量一下最低还款，因为工作的原因！。</t>
  </si>
  <si>
    <t>暴力催收，严重骚扰</t>
  </si>
  <si>
    <t>http://ts.21cn.com/tousu/show/id/1368178</t>
  </si>
  <si>
    <t>2019/10/17 10:27:48</t>
  </si>
  <si>
    <t>投诉人杜女士投诉对象你我贷涉诉金额5000元问题类型诉求类型投诉详情停止对家人的骚扰，停止对家人打电话，如在私自打电话，讲向中国银监会举报。</t>
  </si>
  <si>
    <t>http://ts.21cn.com/tousu/show/id/1368177</t>
  </si>
  <si>
    <t>投诉人金鑫先生投诉对象丰趣海淘涉诉金额23072元问题类型诉求类型投诉详情丰趣海淘无故拖欠员工工资，强制员工加班，公司CEO：任晓煜身背法院20多宗失信判决，值公司重大项目上马当日，却在海南举行盛大婚礼，场面之奢华让人瞠目结舌，殊不知这都是员工血汗钱啊！可乐的员工在多次讨要工资无果后陆续离职，公司之丑恶嘴脸再次凸显，拒绝为员工开具离职证明，强制员工在离职申请上填写“自愿离职”，以此妄想逃避员工赔偿，此手段之丑陋，此行为之泯灭人伦可见一斑，作为帮凶，公司HR处处刁难员工，与老赖任晓煜沆瀣一气，作为弱势群体，员</t>
  </si>
  <si>
    <t>借贷宝催收无休止骚扰我工作生活</t>
  </si>
  <si>
    <t>http://ts.21cn.com/tousu/show/id/1368174</t>
  </si>
  <si>
    <t>2019/10/17 10:27:13</t>
  </si>
  <si>
    <t>投诉人龙涯女士投诉对象借贷宝涉诉金额20000元问题类型诉求类型投诉详情在借贷宝平台上借款，因为资金周转问题导致逾期，已经与债权人协商好每月分期还款2000元，并且我已经履行还款，但是借贷宝催收每天不依不饶的电话骚扰，已经严重影响到了我正常的工作生活，之前也联系过平台的客服，反应过此类问题，也像平台提供骚扰的号码，但是平台否认是其催收，说是债权人个人行为，但是现在每天早上除了第一个电话是平台的号码，中午之后都是一些不能回拨的空号，否则我将我手上的通话记录及电话录音发送至全国扫黑除恶办处理。</t>
  </si>
  <si>
    <t>民航办卡用处不符</t>
  </si>
  <si>
    <t>http://ts.21cn.com/tousu/show/id/1368175</t>
  </si>
  <si>
    <t>2019/10/17 10:27:12</t>
  </si>
  <si>
    <t>半年前去淮安莲水机场坐飞机给人拦着办了卡，结果办了卡于她说的不符合！骗人的。</t>
  </si>
  <si>
    <t>招商银行信用卡中心法务部恐吓软暴力催收</t>
  </si>
  <si>
    <t>http://ts.21cn.com/tousu/show/id/1368173</t>
  </si>
  <si>
    <t>2019/10/17 10:26:57</t>
  </si>
  <si>
    <t>本人由于工作出现问题，几乎没有收入，导致招商银行信用卡逾期三个月未还，跟信用卡中心协商分期事宜，银行不同意我的方案，说要立案起诉，期间招行法务部人员在我后来主动联系他们协商之后，又打电话给我前妻进行催收，期间招商法务部工作人员还提及了用其他信用卡资金取现来偿还招商信用卡的方案，我觉得这个有点不妥，招商银行法务部人员后来还以恐吓威胁的口气报出了我前妻的弟弟和弟媳的工作单位联系方式等信息，说到时要以某种方式联系他们，影响他们工作后果自负，本人也不是恶意逾期，实在是有困难，一下子拿不出全款希望能重新协商个分期久一</t>
  </si>
  <si>
    <t>蜂鸟众包不让提现</t>
  </si>
  <si>
    <t>http://ts.21cn.com/tousu/show/id/1368172</t>
  </si>
  <si>
    <t>2019/10/17 10:26:31</t>
  </si>
  <si>
    <t>投诉人 高先生        投诉对象  饿了么        涉诉金额  199 元    问题类型    诉求类型投诉详情  认证蜂鸟众包交了保证金不给提现 找客服处理已经七天还是处理一直等 也不给时间</t>
  </si>
  <si>
    <t>欺诈客户购买游戏充值卡</t>
  </si>
  <si>
    <t>http://ts.21cn.com/tousu/show/id/1368171</t>
  </si>
  <si>
    <t>2019/10/17 10:26:25</t>
  </si>
  <si>
    <t>买给客户虚假游戏充值卡，用不了京东商城也不管。</t>
  </si>
  <si>
    <t>人人花，未经用户允许，私自扣费</t>
  </si>
  <si>
    <t>http://ts.21cn.com/tousu/show/id/1368170</t>
  </si>
  <si>
    <t>2019/10/17 10:26:19</t>
  </si>
  <si>
    <t>投诉人蒋先生投诉对象盛通网络,人人花涉诉金额288元问题类型诉求类型投诉详情未经用户允许，直接扣费，打电话给客服，态度极差，嬉皮笑脸。</t>
  </si>
  <si>
    <t>微粒贷威胁逼我，我不想活了</t>
  </si>
  <si>
    <t>http://ts.21cn.com/tousu/show/id/1368169</t>
  </si>
  <si>
    <t>2019/10/17 10:26:09</t>
  </si>
  <si>
    <t>投诉人刘女士投诉对象微粒贷涉诉金额600元问题类型诉求类型投诉详情我没说不还，所有违约金我承担，但是现在真的没钱，我和她说的很清楚了，他就是一个劲的说爆我通讯录，联系我家人朋友，如果我想找他们借钱还何必借微粒贷呢，我就是明天可以还都不行吗，你们借我们钱是给我们方便了，但是就不能宽限几天吗。</t>
  </si>
  <si>
    <t>钱站利息高</t>
  </si>
  <si>
    <t>http://ts.21cn.com/tousu/show/id/1368120</t>
  </si>
  <si>
    <t>2019/10/17 10:25:31</t>
  </si>
  <si>
    <t>投诉人高先生投诉对象钱站涉诉金额1000元问题类型诉求类型投诉详情钱站借款1000分3期每期还652.30元利息真高，想取消借款都没有办法，能帮忙取消借款吗。</t>
  </si>
  <si>
    <t>银盛支付刷卡298元未到账</t>
  </si>
  <si>
    <t>http://ts.21cn.com/tousu/show/id/1368129</t>
  </si>
  <si>
    <t>投诉人贺先生投诉对象银盛支付涉诉金额298元问题类型诉求类型投诉详情2019年10月15号，银盛支付股份有限公司旗下推广员给我推荐银盛的POS&amp;nbsp;机，声称免费送机子，以后只收取费率，没用其他费用，从头到尾没有说激活费用一事，2019-10-16日下午收到快递过来的pos&amp;nbsp;机，按照旗下员工发的注册教程视频，注册，并刷了298元，声称激活，而后，发现没有到账，咨询后，说这个298元要刷三十万或者使用三百天以后退还，望相关部门明察，为我们老百姓追回血汗钱，现要求银盛支付股份有限公司立即退还298</t>
  </si>
  <si>
    <t>714高利贷，强行放款。</t>
  </si>
  <si>
    <t>http://ts.21cn.com/tousu/show/id/1368167</t>
  </si>
  <si>
    <t>2019/10/17 10:25:17</t>
  </si>
  <si>
    <t>这个app在填完审批资料后，直接给我银行卡转账2100，而且还款期限只有5天，需要还款3517.26，5天的利息居然超过1400，催收人员态度恶劣，多次打电话骚扰威胁恐吓本人。</t>
  </si>
  <si>
    <t>盗取通讯录，贩卖个人信息，暴力催收</t>
  </si>
  <si>
    <t>http://ts.21cn.com/tousu/show/id/1368166</t>
  </si>
  <si>
    <t>2019/10/17 10:25:14</t>
  </si>
  <si>
    <t>投诉人颜先生投诉对象马上消费金融涉诉金额2100元问题类型诉求类型投诉详情马上消费金融公司非法盗取通讯录，还不承认说是我当时填的就是那个号是我的紧急联系人，我就想知道我2017年贷的款，2018年八月份才有了那个人的电话号码，当时贷款的时候我所填写的紧急联系人我很清楚是谁，再一个我当时不填写紧急联系人贷款会通过吗，我就想不通我2018年八月份才有得那个人的手机号怎么就成了当时贷款时填写的紧急联系人呢，马上消费金融包庇催收进行恶意的盗取通讯录不承认反过头来说是我自己填写的，真的望贵投诉平台给与帮助，我就想不通</t>
  </si>
  <si>
    <t>你我贷高利息逾期几天就骂人</t>
  </si>
  <si>
    <t>http://ts.21cn.com/tousu/show/id/1368165</t>
  </si>
  <si>
    <t>2019/10/17 10:25:11</t>
  </si>
  <si>
    <t>本人因这几天比较忙，逾期了几天155-0514-9059，这个手机号就给我打电话，上来就骂人，本人也不是不还，现只要此人道歉，态度诚恳马上还款。</t>
  </si>
  <si>
    <t>小赢卡贷暴力催收，恐吓，威胁</t>
  </si>
  <si>
    <t>http://ts.21cn.com/tousu/show/id/1368164</t>
  </si>
  <si>
    <t>2019/10/17 10:25:01</t>
  </si>
  <si>
    <t>投诉人汪女士投诉对象小赢卡贷涉诉金额20000元问题类型诉求类型投诉详情因资金周转,所以向小赢卡贷借款20000元,其实也并不是第一次借款,已经借了几次了,从来没有逾期过,这次因为特别情况,逾期了一天不到,结果他们公司人员自称编号为zy00662的女性工作人员,第一句话就是我已经录音了,态度强硬,要求当天10点半之前把欠款缴纳,我说估计得明天,但是他根本不给任何机会,他说还会联系亲戚,朋友,帮忙还帐,后来我就来火了,如果这样不能友好的协商,那我们就走法律路径,他们平台自称年利率为8%，,但是其实利率远远高于</t>
  </si>
  <si>
    <t>违法套路贷款威胁本人还款</t>
  </si>
  <si>
    <t>http://ts.21cn.com/tousu/show/id/1368163</t>
  </si>
  <si>
    <t>2019/10/17 10:24:38</t>
  </si>
  <si>
    <t>本人通过有鱼粮平台借款3000元，此平台为高利贷平台，到手金额只有2390元，分10天一期，共三期，首期本人已还款1800元，后续平台出现问题，无法还款，近日给我通讯录群发逾期信息，后又添加本人微信，要求结清，同时还恐吓本人不还清就移交催收平台，本人已与当地警方联系，确认此平台为违法套路平台，可不予理会，但是他们一再骚扰。</t>
  </si>
  <si>
    <t>钱站吃人不吐骨头</t>
  </si>
  <si>
    <t>http://ts.21cn.com/tousu/show/id/1368162</t>
  </si>
  <si>
    <t>2019/10/17 10:24:00</t>
  </si>
  <si>
    <t>在钱站app借1000块钱，合同写1400元，实际到账1000元，分3个月一期还款493总共还清要1479元，打客服电话取消，硬是不肯取消，逾期一天罚利息120元了，没人敢管吗。</t>
  </si>
  <si>
    <t>友信虚假合同10万合同到手7万，已还10万，还要还多3万</t>
  </si>
  <si>
    <t>http://ts.21cn.com/tousu/show/id/1368161</t>
  </si>
  <si>
    <t>经过我们家人多方面查实，其中友信合同中，借款合同为11.05万元，实际到手金额7万，，目前已经还款28期，还款金额高达100125.48元，其中3万是利息！已经严重超出了国家规定法定利率24%，期间第25期还款逾期一天，滞纳金高达379.05元，每期还款3575.91元-当期逾期还款3954.96元=379.05元，，然后目前合同还有6期要还，还要继续还多2万多，相当于借7万，要还12万，5万的利息，目前该情况将在聚投诉友信平台砍头息，套路贷，以及收取高额的金融服务费未开出任何收款税务发票，为何收取的服务费</t>
  </si>
  <si>
    <t>拍拍贷高利贷软暴力催收</t>
  </si>
  <si>
    <t>http://ts.21cn.com/tousu/show/id/1368159</t>
  </si>
  <si>
    <t>2019/10/17 10:23:11</t>
  </si>
  <si>
    <t>由于本人生病，资金周转困难，款项逾期，深感抱歉，特与贵司催收人员诚意协商还款，延期不等于不还，欠债还钱是应该的，本人从未拒还，5月份我母亲癌症手术已借了近二十万，本人近期也处在病中，血红蛋白低至88，体重急速下降到39公斤，无法正常工作，已处在借钱极度困难的状态，特申请协商部分还款，法外还不外呼人情，但催收人员以‘走流程’威胁，勒令明天必须一次性还1500元，我能理解为这是催收人员的工作职责，但也希望贵司能和用户互相理解一下，我欠债我应该还，但以目前状态只能部分还，公司和我的最终目的都是希望协商把问题解决，</t>
  </si>
  <si>
    <t>投诉滴滴快车司机绕路装傻，走的路线拥堵</t>
  </si>
  <si>
    <t>http://ts.21cn.com/tousu/show/id/1368158</t>
  </si>
  <si>
    <t>2019/10/17 10:22:58</t>
  </si>
  <si>
    <t>投诉人树女士投诉对象滴滴出行涉诉金额26元问题类型诉求类型投诉详情滴滴平台全程有录音，我以下叙述没有一句虚假，今早赶时间打了滴滴快车，告知司机快速通道，司机不听取，在诗僧路交叉路口司机突然左拐行驶，我立马反应过来说师傅路线错了，司机小声嘀咕了下不小心开到105国道了，司机的路线错误耽误我上班时间，这段时间产生的费用为什么我承担，司机固执己见的路线，堵在明珠北路和梅华西路的红绿灯处，导致在这个位置浪费大量时间，我事先告知快速通道，司机却走堵车通道，这种产生的费用我是不会去承担的，我投诉之后，滴滴给出的回复也是</t>
  </si>
  <si>
    <t>豹子贷退款</t>
  </si>
  <si>
    <t>http://ts.21cn.com/tousu/show/id/1368157</t>
  </si>
  <si>
    <t>2019/10/17 10:22:45</t>
  </si>
  <si>
    <t>投诉人 刘先生        投诉对象  造艺科技        涉诉金额  299 元    问题类型    诉求类型投诉详情  豹子贷胡乱扣款，无奈投诉，请求退款。谢谢合作，</t>
  </si>
  <si>
    <t>京东白条暴力催收，骚扰通讯录</t>
  </si>
  <si>
    <t>http://ts.21cn.com/tousu/show/id/1368143</t>
  </si>
  <si>
    <t>2019/10/17 10:22:08</t>
  </si>
  <si>
    <t>投诉人吴女士投诉对象京东白条,京东金融,京东商城涉诉金额5400元问题类型诉求类型投诉详情本人京东白条逾期是不对，有钱肯定还，目前停止以贷养贷了，已经被爆过通讯录，所以之前的工作也辞了，但是京东白条雇第三方催收，打电话骚扰通讯录好友，说我留了她/他的号码为紧急联系人，搞得亲友皆知，亲友受惊吓，本人从未再京东白条填过紧急联系人，请勿骚扰我通讯录亲友！。</t>
  </si>
  <si>
    <t>虚假广告没有流水哪来的收入</t>
  </si>
  <si>
    <t>http://ts.21cn.com/tousu/show/id/1363612</t>
  </si>
  <si>
    <t>2019/10/17 10:22:05</t>
  </si>
  <si>
    <t>投诉人吴先生投诉对象滴滴出行涉诉金额0元问题类型诉求类型投诉详情滴滴出行广告月薪过万，这个流水怎么月薪过万，而且与滴滴客服电话多次联系，想找出问题所在，但滴滴客服敷衍了事并未作出回应，希望通过这个平台能解决问题。</t>
  </si>
  <si>
    <t>卖家发送假的虚假链接，实际付款给了京东平台的商户，现要求京东处理退款赔偿</t>
  </si>
  <si>
    <t>http://ts.21cn.com/tousu/show/id/1368156</t>
  </si>
  <si>
    <t>2019/10/17 10:21:51</t>
  </si>
  <si>
    <t>投诉人赵先生投诉对象京东商城涉诉金额1000元问题类型诉求类型投诉详情微信添加好友说是京东*一千块的商品返利19块钱然后叫我去京东搜索商品浏览几次最后给我发过来一个假的链接和京东是一模一样的我也没想就付款了最后实际付款也是京东收款方但是我第一时间询问客服确没有办法退回这笔款项京东这么大的平台这个问题为什么不从根本上处理好付款的时候也没提示是为好友*之类的订单也没有在我的账户里面显示假链接地址是http://af.lisansui.top/jd1000.html?from=singlemessage第一张是被</t>
  </si>
  <si>
    <t>我自己的淘宝会员名为什么不能改</t>
  </si>
  <si>
    <t>http://ts.21cn.com/tousu/show/id/1368155</t>
  </si>
  <si>
    <t>2019/10/17 10:21:37</t>
  </si>
  <si>
    <t>投诉人张先生投诉对象淘宝网涉诉金额10000元问题类型诉求类型投诉详情您好，作为一名普通的老百姓确实投诉无门，各级企业均不能配合协助，没有办法向贵平台发起请求，希望予以协助，我是淘宝的忠实会员，因为电子商务的普及和互联网的越来越丰富，知道信息安全对于自己的重要性，可惜在注册淘宝时会员名存在一些“敏感信息”，如姓名中的关键字首字母，现在对于在各个环节中都出现了极度不安全的隐患，同时对现今生活造成了更大的烦恼，得知已经有成功案例修改成功，具体操作是向淘宝发起修改会员名的请求后，要求提交身份证正面、反面、手持身份</t>
  </si>
  <si>
    <t>http://ts.21cn.com/tousu/show/id/1368153</t>
  </si>
  <si>
    <t>2019/10/17 10:21:11</t>
  </si>
  <si>
    <t>投诉人 王女士        投诉对象  大力水手        涉诉金额  0 元    问题类型    诉求类型投诉详情  短信骚扰，威胁私贩个人信息，彩信群发裸照</t>
  </si>
  <si>
    <t>创客工具箱为何乱标注我的淘宝帐号被降权</t>
  </si>
  <si>
    <t>http://ts.21cn.com/tousu/show/id/1368154</t>
  </si>
  <si>
    <t>2019/10/17 10:21:02</t>
  </si>
  <si>
    <t>并无恶意违规操作，淘宝官方查询一切正常，可是在创客工具查询却显示降权，请求给个合理解释并恢复账号，我6月份拍下的，10月都没给我发货，商家一直不给我发货，我去淘宝投诉，结果被商家在第三方平台上标了降权，请问贵平台在商家给我淘宝账号降权的时候有去审核此次降权是否真实吗。</t>
  </si>
  <si>
    <t>希望闪电处理我的问题</t>
  </si>
  <si>
    <t>http://ts.21cn.com/tousu/show/id/1368150</t>
  </si>
  <si>
    <t>2019/10/17 10:20:41</t>
  </si>
  <si>
    <t>投诉人杨先生投诉对象掌众金服涉诉金额1700元问题类型诉求类型投诉详情我的借款今天到期。</t>
  </si>
  <si>
    <t>蛋壳公寓不办理退房手续，电话打过去一直关机</t>
  </si>
  <si>
    <t>http://ts.21cn.com/tousu/show/id/1368152</t>
  </si>
  <si>
    <t>2019/10/17 10:20:40</t>
  </si>
  <si>
    <t>投诉人吴先生投诉对象蛋壳公寓涉诉金额0元问题类型诉求类型投诉详情本人于14日申请蛋壳退房手续，到今天app一直显示等待退房管家上门，电话打过去关机，一直没有办理，还一直收到扣款短信，我都退房了还要交钱么，也没人联系我，我办理的21号离开，我想知道是不是哪天你们想办理了，我再大老远坐火车回来再跟你签退房手续，而且一直收到微众银行短信，这是不是影响我在微众银行的信用，请立刻帮我办理退房手续。</t>
  </si>
  <si>
    <t>百事普惠恶意扣款第二次</t>
  </si>
  <si>
    <t>http://ts.21cn.com/tousu/show/id/1368151</t>
  </si>
  <si>
    <t>2019/10/17 10:20:30</t>
  </si>
  <si>
    <t>投诉人陈先生投诉对象上海造艺,百事普惠涉诉金额250元问题类型诉求类型投诉详情在上次投诉退款后本人登陆app查看结果在今天被第二次恶意扣款三次共250元并且还要继续扣款这些都是在未经本人允许的情况下擅自扣款希望能够严查并且退款这是第二次了第一次投诉之后结案这次第二次居然还这样希望能够尽快联系协商解决。</t>
  </si>
  <si>
    <t>淘手游下单不发货，客服电话打不通</t>
  </si>
  <si>
    <t>http://ts.21cn.com/tousu/show/id/1368148</t>
  </si>
  <si>
    <t>2019/10/17 10:19:57</t>
  </si>
  <si>
    <t>下单后两天都不发货，联系客服联系不上，客服电话也打不通。</t>
  </si>
  <si>
    <t>车置宝强制车商付款，车主违约后车置宝不退款</t>
  </si>
  <si>
    <t>http://ts.21cn.com/tousu/show/id/1368147</t>
  </si>
  <si>
    <t>2019/10/17 10:19:48</t>
  </si>
  <si>
    <t>我于2019年10月9日在车置宝平台中标一台大众宝来，车置宝强制要求车商5小时必须付款，付款5天后因车主迟迟不来交车，车置宝取消交易并承诺24小时内退款，但现在已经过去3天了，车置宝并没有退款，客服联系不上，渠道经理只是让等，投诉无门，请贵平台给予帮助。</t>
  </si>
  <si>
    <t>阿里通电话交费后不能打电话，欺诈</t>
  </si>
  <si>
    <t>http://ts.21cn.com/tousu/show/id/1368146</t>
  </si>
  <si>
    <t>2019/10/17 10:19:38</t>
  </si>
  <si>
    <t>阿里通电话交费了不能打电话，平台经常有问题却联系不到客服处理问题。</t>
  </si>
  <si>
    <t>马上金融暴力催收非法催收</t>
  </si>
  <si>
    <t>http://ts.21cn.com/tousu/show/id/1368145</t>
  </si>
  <si>
    <t>2019/10/17 10:19:33</t>
  </si>
  <si>
    <t>首先我声明，在我有钱的前提下，我一定会还，我电话24小时开机，每一个正常的电话我都会接，也不会失联，但是你们一天24小时七八个电话，今天才一上午2个小时，已经3个电话，这已经超出法律规定的合法催收范围了吧，这就是软暴力，对于一个吃饭都成问题的人，你们这样做就能拿到钱了吗，如果后期你们交给第三方爆通讯录，那就没的商量的，这钱是永远不会还的，要不就法院见，我也会收集证据，我就不相信银监会，公安都是摆设，倒不是怕你们爆，我现在孤身一人，欠债还钱的道理我都懂，正常催收我能接受，我不能接受的，是你们无休止的非法催收，</t>
  </si>
  <si>
    <t>融360</t>
  </si>
  <si>
    <t>http://ts.21cn.com/tousu/show/id/1368142</t>
  </si>
  <si>
    <t>2019/10/17 10:18:24</t>
  </si>
  <si>
    <t>投诉人 郑作辉        投诉对象  信用钱包        涉诉金额  800 元    问题类型    诉求类型投诉详情  暴力暴力倕收。客户不管。要命。。。。。。。。。。。</t>
  </si>
  <si>
    <t>高利贷.短信威胁</t>
  </si>
  <si>
    <t>http://ts.21cn.com/tousu/show/id/1368141</t>
  </si>
  <si>
    <t>2019/10/17 10:17:46</t>
  </si>
  <si>
    <t>发短信威胁我人必须道歉，要求只还最后一期本金。</t>
  </si>
  <si>
    <t>招联金融暴力催收，频繁骚扰联系人</t>
  </si>
  <si>
    <t>http://ts.21cn.com/tousu/show/id/1368140</t>
  </si>
  <si>
    <t>2019/10/17 10:15:40</t>
  </si>
  <si>
    <t>招联金融暴力催收，不择手段，频繁骚扰联系人。</t>
  </si>
  <si>
    <t>我来贷恶意催收骚扰</t>
  </si>
  <si>
    <t>http://ts.21cn.com/tousu/show/id/1368139</t>
  </si>
  <si>
    <t>2019/10/17 10:14:55</t>
  </si>
  <si>
    <t>催收不打本人电话，一直打公司电话，给本人工作带来影响，电话催收也不接。</t>
  </si>
  <si>
    <t>美团生活费恐吓威胁，在未与借款人沟通的情况下向借款人通讯录联系人做出骚扰恐吓</t>
  </si>
  <si>
    <t>http://ts.21cn.com/tousu/show/id/1368138</t>
  </si>
  <si>
    <t>2019/10/17 10:14:47</t>
  </si>
  <si>
    <t>美团生活费催收人员在未与借款人取得沟通的情况下，私自向借款人通讯录联系人做出骚扰，并发虚假短信恐吓。</t>
  </si>
  <si>
    <t>http://ts.21cn.com/tousu/show/id/1368137</t>
  </si>
  <si>
    <t>2019/10/17 10:14:42</t>
  </si>
  <si>
    <t>201905社保至今未缴纳，拖欠两个月工资，仲裁亦不支付，公司明明在运营有收入，却搪塞不处理。</t>
  </si>
  <si>
    <t>兴业银行随意发短信骚扰家人</t>
  </si>
  <si>
    <t>http://ts.21cn.com/tousu/show/id/1368136</t>
  </si>
  <si>
    <t>2019/10/17 10:14:37</t>
  </si>
  <si>
    <t>投诉人李女士投诉对象兴业银行信用卡涉诉金额21000元问题类型诉求类型投诉详情兴业银行信用卡逾期了一期！就前天和昨天发了两条短信通知！因为款项要过两天才到账！今天立刻联系家人电话了！严重骚扰到我家人！银行连个电话都不打！就直接短信联系家人！。</t>
  </si>
  <si>
    <t>新橙优品催收欺诈</t>
  </si>
  <si>
    <t>http://ts.21cn.com/tousu/show/id/1368135</t>
  </si>
  <si>
    <t>2019/10/17 10:13:49</t>
  </si>
  <si>
    <t>新橙优品逾期后收取远超国家规定的逾期罚息，催收在说明收取4050元还款后结清，现要求按照借款金额及国家规利率之内结清贷款并出具结清证明，超过国家规定利息的款项退回借款人银行卡。</t>
  </si>
  <si>
    <t>贷上钱旗下指上旅行高利贷</t>
  </si>
  <si>
    <t>http://ts.21cn.com/tousu/show/id/1368133</t>
  </si>
  <si>
    <t>2019/10/17 10:13:35</t>
  </si>
  <si>
    <t>借款3000，到账2100，一个月3期，每期1030，还了两期，本来是高利贷，砍头息，阴阳合同，最后一期协商了第一次支付宝390，第二次400，接清了，还在打电话来骚扰，贷上钱作为高炮倒流平台，真的希望有关部门出面解决。</t>
  </si>
  <si>
    <t>百度贴吧</t>
  </si>
  <si>
    <t>http://ts.21cn.com/tousu/show/id/1368134</t>
  </si>
  <si>
    <t>2019/10/17 10:13:27</t>
  </si>
  <si>
    <t>从来没申请过百度贴吧账号，才申请被注册了，注册了四个账号，找客服，客服叫发邮件，发了邮件快两天了，都没人回复，再联系客服，都是机器人回复，已经没法了，希望通过聚投诉平台联系百度贴吧客服，帮忙处理。</t>
  </si>
  <si>
    <t>360提前还款</t>
  </si>
  <si>
    <t>http://ts.21cn.com/tousu/show/id/1368132</t>
  </si>
  <si>
    <t>2019/10/17 10:12:39</t>
  </si>
  <si>
    <t>借款10000元，借了五天，提前还款要还剩余所有利息。</t>
  </si>
  <si>
    <t>玖富万卡APP高利息</t>
  </si>
  <si>
    <t>http://ts.21cn.com/tousu/show/id/1368131</t>
  </si>
  <si>
    <t>2019/10/17 10:12:20</t>
  </si>
  <si>
    <t>当时急需用钱，在微信看到广告，没办法就去玖富万卡申请了一比1万6的贷款，第一次申请失败，第二次申请失败，我以为第三次还是失败，结果莫名其妙的申请成功，批了1万6的额度，服务费，合同费等等费用分2年还，借的分3年还，利息比借的本金还要高，总共加起来要还3万3，受不了了，我已经本金带利息已经还了1万1，希望通过协商让我还剩下的本金。</t>
  </si>
  <si>
    <t>微众银行暴利催收，恐吓</t>
  </si>
  <si>
    <t>http://ts.21cn.com/tousu/show/id/1368127</t>
  </si>
  <si>
    <t>2019/10/17 10:10:53</t>
  </si>
  <si>
    <t>由于本人投资失败，微粒贷实在无力还款，个人财力情况已经和微粒贷反馈，但是微粒贷采用恐吓，威胁，不断的骚扰本人和单位，工作丢了更加还不起，请平静对话解决。</t>
  </si>
  <si>
    <t>http://ts.21cn.com/tousu/show/id/1368126</t>
  </si>
  <si>
    <t>2019/10/17 10:10:39</t>
  </si>
  <si>
    <t>借1000，还款1500，每天20元的罚息，请问合法吗。</t>
  </si>
  <si>
    <t>误操作向酷我聚星直播充值1000元要求退还</t>
  </si>
  <si>
    <t>http://ts.21cn.com/tousu/show/id/1368124</t>
  </si>
  <si>
    <t>2019/10/17 10:10:28</t>
  </si>
  <si>
    <t>骑单车手机在裤袋里摩擦误打开酷我聚星直播充值页面，并选中充值1000元，因设置了指纹支付，从裤袋里拿出手机时，手指碰到了支付键而支付成功，实际上本人从未看过直播。</t>
  </si>
  <si>
    <t>拍拍贷暴力催收高额利息</t>
  </si>
  <si>
    <t>http://ts.21cn.com/tousu/show/id/1368123</t>
  </si>
  <si>
    <t>2019/10/17 10:10:13</t>
  </si>
  <si>
    <t>投诉人林女士投诉对象拍拍贷涉诉金额600元问题类型诉求类型投诉详情借了很多次发现是高额利息而且逾期立马爆通讯录不把利息调整回去你在爆我也不会还的我之前还你的那些利息够我还款了在催收我可以投诉报警你恶意骚扰不在利率调回来并且道歉前我不会还的。</t>
  </si>
  <si>
    <t>招商银行第三方暴力催收恐吓</t>
  </si>
  <si>
    <t>http://ts.21cn.com/tousu/show/id/1368125</t>
  </si>
  <si>
    <t>2019/10/17 10:10:08</t>
  </si>
  <si>
    <t>招商银行第三方暴力催收，侮辱，恐吓，骚扰我的母亲和家人，我已经还完了本金，还在继续骚扰。</t>
  </si>
  <si>
    <t>态度恶劣恐吓</t>
  </si>
  <si>
    <t>http://ts.21cn.com/tousu/show/id/1368122</t>
  </si>
  <si>
    <t>2019/10/17 10:10:05</t>
  </si>
  <si>
    <t>说是第三方律师事务所，说是通知我必须第二天回户籍地，电话里大声喊叫威胁当事人，我怀疑是暴力催收还是真的是律师。</t>
  </si>
  <si>
    <t>无良的弟滴滴客服，这是要把我的服务分降到0、才甘心吗？</t>
  </si>
  <si>
    <t>http://ts.21cn.com/tousu/show/id/1368121</t>
  </si>
  <si>
    <t>2019/10/17 10:09:38</t>
  </si>
  <si>
    <t>这是本人第一个反馈帖子：http://ts.21cn.com/tousu/show/id/1309380我说的很清楚，滴滴客服让我跟乘客要好评，但是、要好评的结果是什么呢。</t>
  </si>
  <si>
    <t>暴力催收，骚扰家人</t>
  </si>
  <si>
    <t>http://ts.21cn.com/tousu/show/id/1368119</t>
  </si>
  <si>
    <t>2019/10/17 10:09:01</t>
  </si>
  <si>
    <t>投诉人杜女士投诉对象及贷涉诉金额5000元问题类型诉求类型投诉详情停止骚扰，停止对家人打电话，如不停止将向中国银监会举报。</t>
  </si>
  <si>
    <t>闪掌柜原闪管家高息砍头需官方回复并拟定合理息费停止暴力催收</t>
  </si>
  <si>
    <t>http://ts.21cn.com/tousu/show/id/1368118</t>
  </si>
  <si>
    <t>2019/10/17 10:08:56</t>
  </si>
  <si>
    <t>APP进行借款，每次600元，但需强制购买白条申请，占比25%，白条下款后次日直接扣去，利息另付，前后使用10次，每次都是600元，但累计白条已经超过1500元，这个月本人工作调整，发工资时间改变了，所以没有能及时还款，目前还没有人联系我，在此协商，25日我工资发放后，以合理息费还款，同时注销账户，本人今天上午要参加几个会，麻烦官方客服下午下午3点左右或以后能够来电沟通。</t>
  </si>
  <si>
    <t>http://ts.21cn.com/tousu/show/id/1368117</t>
  </si>
  <si>
    <t>2019/10/17 10:08:17</t>
  </si>
  <si>
    <t>本人于2019年4月24日在小鹿情感导师的劝说、游说、诱导下办理3800的追女生服务，当时承诺的很好，结果参加后就给我发很多网上找的视频，让我学习，每天就让我自学，我自学还要你们做什么，这种不良商家，就是打着帮人追回女朋友、追女生的旗号，在人感情受创不理智产生过激行为的时候乘虚而入！请帮我追回这款项，不想便宜给这骗子公司！。</t>
  </si>
  <si>
    <t>借款商户以购买商品为由收取了我除利息外的一笔扣款，我都没收到商品要求提供凭证又说没有相关的凭证，不给予处理。</t>
  </si>
  <si>
    <t>http://ts.21cn.com/tousu/show/id/1368116</t>
  </si>
  <si>
    <t>商丘德龙电子科技有限公司,借贷宝,蚂蚁闪电借，卡号：62****************52019/7/8扣的一笔-1335.46，借了也有好几笔，最近了解到这些扣款应该属于不合利的收取，找客服沟通。</t>
  </si>
  <si>
    <t>闪银奇艺高利贷</t>
  </si>
  <si>
    <t>http://ts.21cn.com/tousu/show/id/1368115</t>
  </si>
  <si>
    <t>2019/10/17 10:08:04</t>
  </si>
  <si>
    <t>闪银奇艺15年开始，在闪银奇艺借钱，闪银利用购物卡等消费名义，1000块钱收取200块钱利息等手段变相高利贷，要求闪银赔付5年来所对付的高利贷金额，作出赔偿。</t>
  </si>
  <si>
    <t>http://ts.21cn.com/tousu/show/id/1368114</t>
  </si>
  <si>
    <t>2019/10/17 10:07:50</t>
  </si>
  <si>
    <t>用欺骗的手段打学校老师电话骗取我和孩子的个人信息。</t>
  </si>
  <si>
    <t>http://ts.21cn.com/tousu/show/id/1368113</t>
  </si>
  <si>
    <t>2019/10/17 10:07:47</t>
  </si>
  <si>
    <t>投诉人陈纯投诉对象小鹿情感涉诉金额2900元问题类型诉求类型投诉详情我跟男朋友两年多快三年一起同居发生了一些琐事闹分手在小鹿平台加到拯爱情感的飞扬老师声称能帮助我但要付款由于他的价格比较贵所以他给我安排了安东老师我表明了钱不够他们说可以分期结果我付款的这10天来基本没怎么帮到我反而隔三差五的跟我要钱我表示没钱还让我去向平台借高利贷。</t>
  </si>
  <si>
    <t>投诉及贷平台砍头利息</t>
  </si>
  <si>
    <t>http://ts.21cn.com/tousu/show/id/1368112</t>
  </si>
  <si>
    <t>2019/10/17 10:07:29</t>
  </si>
  <si>
    <t>投诉人李女士投诉对象及贷涉诉金额1000元问题类型诉求类型投诉详情及贷平台的贷款，贷了一千块钱，只给了我900。</t>
  </si>
  <si>
    <t>借贷宝借条平台利率高于百分之24催收人员还在骚扰我与家人</t>
  </si>
  <si>
    <t>http://ts.21cn.com/tousu/show/id/1368111</t>
  </si>
  <si>
    <t>2019/10/17 10:07:16</t>
  </si>
  <si>
    <t>投诉人赵先生投诉对象借贷宝催收涉诉金额6700元问题类型诉求类型投诉详情多次打电话骚扰我与家人和朋友，都是网络电话找都找不到人。</t>
  </si>
  <si>
    <t>新橙优品套路贷砍头息轰炸通讯录联系人</t>
  </si>
  <si>
    <t>http://ts.21cn.com/tousu/show/id/1368082</t>
  </si>
  <si>
    <t>2019/10/17 10:07:07</t>
  </si>
  <si>
    <t>投诉人黎先生投诉对象新橙优品涉诉金额3000元问题类型诉求类型投诉详情新橙优品在放贷过程中未经允许收取砍头息账单金额与实际到账情况不符，而且到期后骚扰手机通讯录联系人恐吓联系人交款，此举违反国家相关法律.本人已报案并向深圳扫黑办当地银监会以及银监会提交相关投诉材料要求立即停止骚扰与我书面道歉不接受电话沟通只能短信本人应扫黑办和警方要求需要保存聊天记录。</t>
  </si>
  <si>
    <t>钱包易贷恶意p图暴力催收</t>
  </si>
  <si>
    <t>http://ts.21cn.com/tousu/show/id/1368108</t>
  </si>
  <si>
    <t>2019/10/17 10:06:20</t>
  </si>
  <si>
    <t>投诉人张先生投诉对象钱包易贷涉诉金额4000元问题类型诉求类型投诉详情我于2019年一月份在钱包易贷借了9900当时砍头息扣了一千一，一直在还款，由于昨天未接到钱包易贷的电话导致逾期一天。</t>
  </si>
  <si>
    <t>http://ts.21cn.com/tousu/show/id/1368107</t>
  </si>
  <si>
    <t>2019/10/17 10:05:30</t>
  </si>
  <si>
    <t>投诉人杭先生投诉对象天津策诚科技有限公司涉诉金额75576元问题类型诉求类型投诉详情借款与实际到账不符利息超过36%到账52000元分为24期总还款75590.4之前投诉过根本没人理。</t>
  </si>
  <si>
    <t>投诉中汇支付刷卡不到账</t>
  </si>
  <si>
    <t>http://ts.21cn.com/tousu/show/id/1368106</t>
  </si>
  <si>
    <t>投诉人张先生投诉对象中汇支付涉诉金额32000元问题类型诉求类型投诉详情2019年10月15日用中汇支付秒结刷卡48小时都没有到账拨打客服电话没有人接听发邮件不给处理。</t>
  </si>
  <si>
    <t>兴业信用卡被止付</t>
  </si>
  <si>
    <t>http://ts.21cn.com/tousu/show/id/1368105</t>
  </si>
  <si>
    <t>2019/10/17 10:05:23</t>
  </si>
  <si>
    <t>投诉人黄先生投诉对象兴业银行信用卡涉诉金额0元问题类型诉求类型投诉详情没有逾期兴业信用卡然而被止付，要求恢复正常使用，请联系181******94谢谢。</t>
  </si>
  <si>
    <t>中国邮政快递包裹未收到货显示已签收</t>
  </si>
  <si>
    <t>http://ts.21cn.com/tousu/show/id/1368058</t>
  </si>
  <si>
    <t>2019/10/17 10:05:21</t>
  </si>
  <si>
    <t>投诉人房女士投诉对象中国邮政快递,EMS涉诉金额12元问题类型诉求类型投诉详情快递未收到货，确显示已签收，打电话第一天谁给我找找，没有联系我，第二天打电话说找不到了，找不到了为什么要显示已签收，十五号就到了十六号打的电话也没给找，十七号打电话还没找到，十六号莫名其妙签收了。</t>
  </si>
  <si>
    <t>http://ts.21cn.com/tousu/show/id/1368103</t>
  </si>
  <si>
    <t>2019/10/17 10:04:55</t>
  </si>
  <si>
    <t>360借条他不直接联系我，直接骚扰联系人电话。</t>
  </si>
  <si>
    <t>京东金融校园贷威胁教师安全</t>
  </si>
  <si>
    <t>http://ts.21cn.com/tousu/show/id/1368104</t>
  </si>
  <si>
    <t>2019/10/17 10:04:51</t>
  </si>
  <si>
    <t>因工资未发在京东金融借款逾期，导致京东金融暴力催收。</t>
  </si>
  <si>
    <t>微贷恐吓骚扰</t>
  </si>
  <si>
    <t>http://ts.21cn.com/tousu/show/id/1368102</t>
  </si>
  <si>
    <t>2019/10/17 10:03:58</t>
  </si>
  <si>
    <t>这个催收人员恐吓威胁我，说要曝光我，请问谁给他的权力。</t>
  </si>
  <si>
    <t>360借条恶意向通讯录所有人发律师函</t>
  </si>
  <si>
    <t>http://ts.21cn.com/tousu/show/id/1368101</t>
  </si>
  <si>
    <t>2019/10/17 10:03:38</t>
  </si>
  <si>
    <t>借款逾期可以直接走法律程序，去法院起诉，暴打通讯录、威胁恐吓家里面老人已经涉及到黑恶势力的暴力催收，借款本来就是现金贷的信用借款，不要涉及那么多的无辜人员，还是软暴力催收团队自己伪造的呢，现在打疑问号。</t>
  </si>
  <si>
    <t>佰联钱包砍头息高利贷骚扰家人</t>
  </si>
  <si>
    <t>http://ts.21cn.com/tousu/show/id/1368100</t>
  </si>
  <si>
    <t>2019/10/17 10:03:24</t>
  </si>
  <si>
    <t>佰联钱包1200到手744.严重砍头息手段.没经过我的同意骚扰我的家人.以导致跟家人关系不好.中途逾期4天.利息达到13元.刚四天就十三元的利息.并且一直骚扰我的家人.请求相关人员作出解释.。</t>
  </si>
  <si>
    <t>语言攻击，侮辱</t>
  </si>
  <si>
    <t>http://ts.21cn.com/tousu/show/id/1368099</t>
  </si>
  <si>
    <t>2019/10/17 10:02:40</t>
  </si>
  <si>
    <t>语言攻击侮辱，身心伤害，道歉，暴力催收威胁。</t>
  </si>
  <si>
    <t>骚扰鼓动借钱</t>
  </si>
  <si>
    <t>http://ts.21cn.com/tousu/show/id/1368098</t>
  </si>
  <si>
    <t>2019/10/17 10:02:28</t>
  </si>
  <si>
    <t>并且将本人实际情况进行说明，答应好今日17日还款，，在此前多日客服在答应的17号还款的情况下，天天打电话让还钱，需要17号才能还，期间产生的合理合法的罚息，并把这多日的录音及轰炸电话的截图提供给他们。</t>
  </si>
  <si>
    <t>好分期高利贷，恐吓，骚扰，暴力催收，完全就是一个黑网贷</t>
  </si>
  <si>
    <t>http://ts.21cn.com/tousu/show/id/1368097</t>
  </si>
  <si>
    <t>2019/10/17 10:02:05</t>
  </si>
  <si>
    <t>看到此贴的朋友们也有在这个平台受害的同胞，都来顶起。</t>
  </si>
  <si>
    <t>闪银新人通道语言攻击</t>
  </si>
  <si>
    <t>http://ts.21cn.com/tousu/show/id/1368096</t>
  </si>
  <si>
    <t>2019/10/17 10:01:51</t>
  </si>
  <si>
    <t>闪银新人通道客服电话永远打不通，逾期催收语言攻击，态度差，威胁。</t>
  </si>
  <si>
    <t>玖富万卡已经达成还款协议，但次次推脱不作为</t>
  </si>
  <si>
    <t>http://ts.21cn.com/tousu/show/id/1368094</t>
  </si>
  <si>
    <t>2019/10/17 10:01:26</t>
  </si>
  <si>
    <t>我在去年需要资金周转在玖富平台上总共借款19000元左右，现至今已还款一个年度，本金大概还差9300元左右，但是我看了下账单还需要还款20000元，哪来那么高的费用，这一年下来我的压力实在太大，以至于快还不上了，我是以欠债还钱的态度，本金一定要还上的原则，便于2019年10月12号打给玖富客服准备协商还款，通话期间与客服达成一次性还款9899.23元便结清我之前的账务处理，出于自己当时没有足够资金没有能第一时间还上，便给我三个工作日的时间筹集资金，此后为了确保真实性，我在2019年10月14日、15日都有电</t>
  </si>
  <si>
    <t>医美纠纷</t>
  </si>
  <si>
    <t>http://ts.21cn.com/tousu/show/id/1368093</t>
  </si>
  <si>
    <t>2019/10/17 10:01:20</t>
  </si>
  <si>
    <t>我在上海丽质美容门诊部做了隆鼻手术做两次失败，希望有关部门严厉查处。</t>
  </si>
  <si>
    <t>贷款公司联合保险公司不给退保</t>
  </si>
  <si>
    <t>http://ts.21cn.com/tousu/show/id/1368091</t>
  </si>
  <si>
    <t>2019/10/17 10:00:59</t>
  </si>
  <si>
    <t>本人在马上金平台和玖富平台借款，再不知情的情况下被强制投保了众安保险3000多，人保保险5000多，得知后打保险公司电话，不给退保，态度强硬，要我找借款平台，借款平台又说他家不是保险公司，来回踢球，有人管吗。</t>
  </si>
  <si>
    <t>钱站APP砍头息,电话骚扰威胁恐吓</t>
  </si>
  <si>
    <t>http://ts.21cn.com/tousu/show/id/1368090</t>
  </si>
  <si>
    <t>2019/10/17 10:00:58</t>
  </si>
  <si>
    <t>当时我就致电给钱站客服打算退掉这笔贷款,客服回答是不行,这样的砍头息，高利贷我无法接受,,这几日客服不但不解决问题反而一再电话骚扰催收,威胁,恐吓,请还原本金和调整利率我将一次性连本带利归还,否则我将投诉到底.。</t>
  </si>
  <si>
    <t>即有分期工作人员对我造成骚扰</t>
  </si>
  <si>
    <t>http://ts.21cn.com/tousu/show/id/1368092</t>
  </si>
  <si>
    <t>2019/10/17 10:00:55</t>
  </si>
  <si>
    <t>即有分期工作人员在没有经过我的允许下，私自还款！款项到没到我不知道，我只知道不停地骚扰我的家人朋友甚至在上班时间骚扰我本人，导致我无法正常工作！我希望有关部门引起重视！。</t>
  </si>
  <si>
    <t>月光侠分期借款合同和实际借款不一样</t>
  </si>
  <si>
    <t>http://ts.21cn.com/tousu/show/id/1368088</t>
  </si>
  <si>
    <t>2019/10/17 10:00:49</t>
  </si>
  <si>
    <t>投诉人蒋先生投诉对象月光侠分期涉诉金额3000元问题类型诉求类型投诉详情月光侠借款3000，还款4200分三期，利息超高。</t>
  </si>
  <si>
    <t>http://ts.21cn.com/tousu/show/id/1368089</t>
  </si>
  <si>
    <t>该平台承诺借款失败就100%退款，但是失败后，退款难，退款方式让人想不通！我需要立刻退款！！谢谢！！同时引导我不去退款，该平台的地址如下：上海市浦东新区乳山路98号1号楼5楼前台收件人：上海造艺网络技术有限公司，收件人电话：4000144888。</t>
  </si>
  <si>
    <t>今日头条鲁班电商不退押金</t>
  </si>
  <si>
    <t>http://ts.21cn.com/tousu/show/id/1368087</t>
  </si>
  <si>
    <t>2019/10/17 10:00:48</t>
  </si>
  <si>
    <t>9月2日已签收，至今为收到退款。客服邮箱无人回复，没人理睬。</t>
  </si>
  <si>
    <t>http://ts.21cn.com/tousu/show/id/1368086</t>
  </si>
  <si>
    <t>2019/10/17 10:00:26</t>
  </si>
  <si>
    <t>苏宁任性在本人无力偿还欠款，且不清楚我工作其实的情况下对我的生活进行可恶意揣测，例如你身边可以借，在此期间我无数次表示要求停止计息挂账协商每个月还款，催收依然枉顾我的要求，在我有重度抑郁焦虑的情况下继续每天几个电话加重我病情，我现在要求平台停息挂账。</t>
  </si>
  <si>
    <t>京东金融倒流平台活力花威胁爆通讯录</t>
  </si>
  <si>
    <t>http://ts.21cn.com/tousu/show/id/1368085</t>
  </si>
  <si>
    <t>2019/10/17 10:00:09</t>
  </si>
  <si>
    <t>京东金融导流活力花，再能联系本人情况下，威胁12点前不还款就爆本人通讯录，本人逾期三天可以按规定合法合理收取相关费用，为什么非要威胁我，本人已经明示目前在医院，暂不方便还在威胁，没有人能管你们了吗！。</t>
  </si>
  <si>
    <t>哆咪黑卡诱导他人借款激活申请后自动免密扣款199元</t>
  </si>
  <si>
    <t>http://ts.21cn.com/tousu/show/id/1368084</t>
  </si>
  <si>
    <t>2019/10/17 10:00:01</t>
  </si>
  <si>
    <t>本人在哆咪黑卡贷款平台，页面为贷款激活额度,本人于2019.10.17日点击激活额度输入验证码后被自动免密扣款199，此平台属于诱导他人欺诈行为，首先并没有任何提示告知要扣款，自动成为VIP后免密扣款，希望严惩此平台，尽快给我退款！。</t>
  </si>
  <si>
    <t>高利贷变相收费</t>
  </si>
  <si>
    <t>http://ts.21cn.com/tousu/show/id/1368081</t>
  </si>
  <si>
    <t>2019/10/17 09:59:30</t>
  </si>
  <si>
    <t>我在平安普惠贷款100000，分36期还款，当初说提前还款就没有任何费用了，10除以36=每期本金2777.8元，目前还有13期未还，应该还36111，我现在要提前还款给我算下来还要39000多。</t>
  </si>
  <si>
    <t>助力钱包骚扰我</t>
  </si>
  <si>
    <t>http://ts.21cn.com/tousu/show/id/1368080</t>
  </si>
  <si>
    <t>2019/10/17 09:59:08</t>
  </si>
  <si>
    <t>投诉人 梁先生        投诉对象  助力钱包        涉诉金额  0 元    问题类型    诉求类型投诉详情  天天发短信骚扰我 干扰了我的正常生活 请停止对我的骚扰</t>
  </si>
  <si>
    <t>投诉中信银行，欠款协议已还完。后期又说没还完</t>
  </si>
  <si>
    <t>http://ts.21cn.com/tousu/show/id/1368079</t>
  </si>
  <si>
    <t>2019/10/17 09:58:39</t>
  </si>
  <si>
    <t>莫名其妙手里又多出两张副卡来，2017年因为自己发生的交通意外，当时没有来得及还银行钱逾期了，后期银行委托第三方催收公司与我协商每月还8000，还到主卡里面全部还完以后，按照协议我每个月还8000已经全部还完，但后期又告诉我说还错了，要把多还到主卡里的6000元钱打到副卡里面去，按照他的提示，我又把主卡里的钱6000元钱打到副卡里去，但是过了一两个月之后，银行委托第三方又打电话过了，说还欠4000块钱，我搞不懂他们到底是怎么想的，还是说我当时签协议他们自己没有算清楚，我对这一块非常反感，我希望中信银行给我一</t>
  </si>
  <si>
    <t>平安信用卡协商还款时间</t>
  </si>
  <si>
    <t>http://ts.21cn.com/tousu/show/id/1368078</t>
  </si>
  <si>
    <t>2019/10/17 09:58:08</t>
  </si>
  <si>
    <t>投诉人 黄先生        投诉对象  平安银行        涉诉金额  900 元    问题类型    诉求类型投诉详情  因本月工资延迟发放导致逾期 要到本月19号周六才能还款，望理解。请联系我181******94。谢谢</t>
  </si>
  <si>
    <t>http://ts.21cn.com/tousu/show/id/1368076</t>
  </si>
  <si>
    <t>2019/10/17 09:57:59</t>
  </si>
  <si>
    <t>投诉人杨先生投诉对象丰趣海淘涉诉金额100000元问题类型诉求类型投诉详情丰趣海淘从2019年2月份开始，长期持续拖欠我及公司其他同事的工资，涉及总金额超过100万元，涉及人数超过50人，我与公司其他被拖欠工资的同事一起，走了劳动仲裁及法院的强制执行程序，但是效果甚微，丰趣海淘依然拒绝发放拖欠的工资，且态度恶劣，不给员工开具离职证明，不帮员工转移公积金，且到目前为止，公司还在正常运转，公司老板依然逍遥法外，大赚黑心钱。</t>
  </si>
  <si>
    <t>聚富分期恶意扣费298.5不给退</t>
  </si>
  <si>
    <t>http://ts.21cn.com/tousu/show/id/1368077</t>
  </si>
  <si>
    <t>投诉人林先生投诉对象聚富分期涉诉金额299元问题类型诉求类型投诉详情是这样的，15号我下载了那个软件，然后申请了一笔网贷，当时说要298元的信用评估费，卡里没钱就没管，然后呢，就卸载了，到今天，17号我卡里一有钱就给我扣费了，几个意思，软件都卸载了，一有钱就给扣费了，还不给退，。</t>
  </si>
  <si>
    <t>http://ts.21cn.com/tousu/show/id/1368043</t>
  </si>
  <si>
    <t>2019/10/17 09:57:33</t>
  </si>
  <si>
    <t>投诉人朱先生投诉对象丰趣海淘涉诉金额43223元问题类型诉求类型投诉详情丰趣海淘无故拖欠员工工资，强制员工加班，公司CEO：任晓煜身背法院20多宗失信判决，值公司重大项目上马当日，却在海南举行盛大婚礼，场面之奢华让人瞠目结舌，殊不知这都是员工血汗钱啊！可乐的员工在多次讨要工资无果后陆续离职，公司之丑恶嘴脸再次凸显，拒绝为员工开具离职证明，强制员工在离职申请上填写“自愿离职”，以此妄想逃避员工赔偿，此手段之丑陋，此行为之泯灭人伦可见一斑，作为帮凶，公司HR处处刁难员工，与老赖任晓煜沆瀣一气，作为弱势群体，员工</t>
  </si>
  <si>
    <t>有用分期没有解决问题让我结案，第二天联系他们说方案失效</t>
  </si>
  <si>
    <t>http://ts.21cn.com/tousu/show/id/1368075</t>
  </si>
  <si>
    <t>2019/10/17 09:57:28</t>
  </si>
  <si>
    <t>投诉人杨先生投诉对象有用分期涉诉金额8000元问题类型诉求类型投诉详情有用分期当天联系我必须今天解决，我当时在上班，找不到钱，然后第二天联系他们他们说方案失效，要我结案以后再联系他们，你们连问题都没解决我怎么结案，4天了都没联系我，所以我拒绝，希望你们尽快联系我。</t>
  </si>
  <si>
    <t>掌众金融闪电借款</t>
  </si>
  <si>
    <t>http://ts.21cn.com/tousu/show/id/1368074</t>
  </si>
  <si>
    <t>2019/10/17 09:57:12</t>
  </si>
  <si>
    <t>本来已经协商近期还款，但突然天天骚扰我的工作单位，并言语辱骂，导致本人被公司解雇，严重影响了本人生活与工作，。</t>
  </si>
  <si>
    <t>高利贷砍头息电话骚扰威胁</t>
  </si>
  <si>
    <t>http://ts.21cn.com/tousu/show/id/1368073</t>
  </si>
  <si>
    <t>2019/10/17 09:56:27</t>
  </si>
  <si>
    <t>10月12日有事，无意造成逾期却受到电话骚扰家人，今日本人也受到电话威胁，，留有通话录音，通话在此向有用分期提出减息并向本人道歉！！。</t>
  </si>
  <si>
    <t>阳光信用保证保险股份有限公司</t>
  </si>
  <si>
    <t>http://ts.21cn.com/tousu/show/id/1368071</t>
  </si>
  <si>
    <t>2019/10/17 09:55:57</t>
  </si>
  <si>
    <t>投诉人黄光才投诉对象安心贷涉诉金额3600元问题类型诉求类型投诉详情在我不知道的情况下给我上了保险，贷款还要上保险，这不是砍头息高利贷吗。</t>
  </si>
  <si>
    <t>恶意设置账户注销条件，拒绝客户注销请求</t>
  </si>
  <si>
    <t>http://ts.21cn.com/tousu/show/id/1368072</t>
  </si>
  <si>
    <t>2019/10/17 09:55:51</t>
  </si>
  <si>
    <t>国美金融不想使用了，因为有提交身份证和银行卡，客服电话是永远没人接听的，在线客服也要几分钟才回复一下，要求注销就各种打太极，设置各种不合理注销条件.。</t>
  </si>
  <si>
    <t>未按要求放款，存在违规行为</t>
  </si>
  <si>
    <t>http://ts.21cn.com/tousu/show/id/1368070</t>
  </si>
  <si>
    <t>2019/10/17 09:55:34</t>
  </si>
  <si>
    <t>放款一次性给培训机构，国家规定是不能超过3个月。</t>
  </si>
  <si>
    <t>闪银奇异哼哼瞬瞬催收</t>
  </si>
  <si>
    <t>http://ts.21cn.com/tousu/show/id/1368069</t>
  </si>
  <si>
    <t>2019/10/17 09:54:45</t>
  </si>
  <si>
    <t>10月17号，闪银瞬瞬哼哼延期开启，由于微信理财通提现还没到账，没能在催收要求的9点前处理，好言好语跟催收说今天会处理掉，被威胁不立刻处理就会被爆通讯录，骚扰通讯录联系人，态度极其恶劣。</t>
  </si>
  <si>
    <t>小象优品暴力催收高利贷</t>
  </si>
  <si>
    <t>http://ts.21cn.com/tousu/show/id/1368067</t>
  </si>
  <si>
    <t>2019/10/17 09:54:38</t>
  </si>
  <si>
    <t>投诉人 张朋        投诉对象  小象优品        涉诉金额  2 600 元    问题类型    诉求类型投诉详情  小象优品换了个马甲 改名新浪分期 甚至收到小象优品的催收电话 骚扰学校 老师 威胁校园安全 本金两千六 其他费用高达600元 已向相关部门反映校园贷问题 还有录音等相关证据 催收威胁学校</t>
  </si>
  <si>
    <t>邮政储蓄中邮消费不合理催收</t>
  </si>
  <si>
    <t>http://ts.21cn.com/tousu/show/id/1368066</t>
  </si>
  <si>
    <t>2019/10/17 09:54:21</t>
  </si>
  <si>
    <t>投诉人 卫女士        投诉对象  中邮消费金融        涉诉金额  30 000 元    问题类型    诉求类型投诉详情  中邮消费催收人员威胁恐吓。电话02968829693</t>
  </si>
  <si>
    <t>信用花取消订单</t>
  </si>
  <si>
    <t>http://ts.21cn.com/tousu/show/id/1368065</t>
  </si>
  <si>
    <t>2019/10/17 09:53:42</t>
  </si>
  <si>
    <t>本人下载信用花借款2000，没有任何显示说明砍头息是800，在聚投诉平台上面才看到到账1200元，砍头息800，现在还在审核中，希望平台帮忙取消订单，这样的非法高利贷没人敢借，客服点不进去。</t>
  </si>
  <si>
    <t>闪电快贷催收态度恶劣，威胁恐吓。</t>
  </si>
  <si>
    <t>http://ts.21cn.com/tousu/show/id/1368064</t>
  </si>
  <si>
    <t>2019/10/17 09:53:40</t>
  </si>
  <si>
    <t>本人在闪电公积金平台上借了闪电快贷25000元，分12期还，每期2710，一共32520块，利息高的吓人！已还8期，因工资要晚发几天，跟客服协商晚3天还款，催收跟我打电话，暴力威胁今天必须还款，态度非常恶劣。</t>
  </si>
  <si>
    <t>韦博国际英语关门停业，没有给予任何的解决办法，退款也没有明确的时间。</t>
  </si>
  <si>
    <t>http://ts.21cn.com/tousu/show/id/1368062</t>
  </si>
  <si>
    <t>2019/10/17 09:53:16</t>
  </si>
  <si>
    <t>2019年1月份在韦博国际英语处购买了常规英语培训课程，2019年9月购买了雅思培训课程，共交付41200元，至今只上了3节常规英语课程，雅思课程还没进行培训。</t>
  </si>
  <si>
    <t>现金巴士收取高额砍头息</t>
  </si>
  <si>
    <t>http://ts.21cn.com/tousu/show/id/1368061</t>
  </si>
  <si>
    <t>借款2000分三期，现金巴士以会员费形式收取298元砍头息，实际借得1702，要还2180，严重超过国家利率。</t>
  </si>
  <si>
    <t>http://ts.21cn.com/tousu/show/id/1368060</t>
  </si>
  <si>
    <t>2019/10/17 09:52:49</t>
  </si>
  <si>
    <t>2019年9月13日上午网银退票款至今未到达我的账户，联系智行客服电话只是语音循环播放，未能解决。</t>
  </si>
  <si>
    <t>高炮暴力催收逼死人</t>
  </si>
  <si>
    <t>http://ts.21cn.com/tousu/show/id/1368059</t>
  </si>
  <si>
    <t>佑佑分期,肥猫贷,来花花,展鸿科技,聚合支付,汇潮支付,整合支付,云闪付，9月28日应为需要钱急用，在佑佑分期开始借第一笔钱，下款了才知道是3天高炮，到账1100元，到期还1400，还款日当天上午就有催收打电话，态度嚣张，说不还爆通讯录，于是从9月30到处借钱一直续期到现在，早已超过本金和要求归还的数目，10月2日应为实在没钱，就在肥猫贷，上借款，都是1400元，6天后还2000，续借一次3天300元，都是一个公司的，一直续借到现在，已经超过本金，全都是当天催收要求必须还款，不然傉骂爆通讯录，有几次没按规定</t>
  </si>
  <si>
    <t>http://ts.21cn.com/tousu/show/id/1368056</t>
  </si>
  <si>
    <t>2019/10/17 09:51:51</t>
  </si>
  <si>
    <t>白条分期在本人没有确认的情况下，不需要输入密码直接扣除会员费249，这不就是强买强卖吗，去超市买水都需要输入支付密码，所以说，我不需要你们的会员，请退款给我，否则我投诉到底。</t>
  </si>
  <si>
    <t>瑞通宝刷卡钱没到账沟通人员态度恶劣</t>
  </si>
  <si>
    <t>http://ts.21cn.com/tousu/show/id/1368050</t>
  </si>
  <si>
    <t>2019/10/17 09:51:35</t>
  </si>
  <si>
    <t>投诉人罗女士投诉对象瑞银信涉诉金额41080元问题类型诉求类型投诉详情10月5日刷卡金未即时到账询问客服说是因为我收款卡原因需要删除现有卡换另一张到账卡因国庆期间不属于工作日保证10.9日可到账到日期未果询问说因为卡录入日期超时下个工作日到账继续等到顾客货款一直未到账都在协商今日查询依然未到账微信询问说上班就给解决早晨收到河南电话问我多会儿换的卡我要求立即解决对方客服人员生气挂了电话，再打过来问我想解决了不了我说不要问我卡原因找你们自己原因给我解决生气说爱解决不解决拜拜我的诉求一、今日钱款必须到账二、工作人</t>
  </si>
  <si>
    <t>闪银新人通道催收人员打电话威胁</t>
  </si>
  <si>
    <t>http://ts.21cn.com/tousu/show/id/1368055</t>
  </si>
  <si>
    <t>2019/10/17 09:51:33</t>
  </si>
  <si>
    <t>投诉人孙女士投诉对象闪银新人通道涉诉金额3000元问题类型诉求类型投诉详情在闪银新人通道APP借款3000元，扣除手续费500元，每个月需要还1100多，已经还过两期，最后一期由于资金问题逾期了，客服就打电话，说话语气强硬，威胁，请平台处理。</t>
  </si>
  <si>
    <t>恒企诱导消费，霸王条款，不许退费</t>
  </si>
  <si>
    <t>http://ts.21cn.com/tousu/show/id/1367986</t>
  </si>
  <si>
    <t>2019/10/17 09:50:47</t>
  </si>
  <si>
    <t>去年我在网站上看到恒企教育的广告，面就有老师打电话联系我，让我赶快去抓紧报名，后面就没法报了，当时当面给了637元，剩下的5733元，办理了分期分了12期，每期477.75元，而且当时说的是分期，后面就变成了第三方贷款，存在逃税漏税行为，也没有给我开收据，由于每个月负担实在太大，但我也坚持还完了，但是后来发现整体师资水平不高，上课效率低，进度慢，根本不想他们说的那样，很多东西需要自己死记硬背，如果这样，我还报你的机构干什么呢，我还不如自己看书，现在我申请退款，他们却不退款，非要我提交个人重病或者家庭重大变故</t>
  </si>
  <si>
    <t>http://ts.21cn.com/tousu/show/id/1367808</t>
  </si>
  <si>
    <t>2019/10/17 09:50:41</t>
  </si>
  <si>
    <t>豹子贷,上海造艺网络科技,造艺网络科技,银码头，14日由于缺资金维持基本的生活费，故而下载了豹子贷借款软件，根据提示绑定了银行卡，身份证等相关信息，后发现该软件根本无法借到一毛钱！就删除改软件，第一次扣我298元，下午8点左右又扣除我250元，这些钱直接就扣都不知道什么费，而且根本一分钱也没给我借！本人银行卡当时余额只有550多元，相当于扣完了！我现在只有几块钱了！聚投诉帮帮我阿！我要退钱！。</t>
  </si>
  <si>
    <t>唯品会给发错货不给尽快办理退货反而怪客户账号存在安全隐患</t>
  </si>
  <si>
    <t>http://ts.21cn.com/tousu/show/id/1368052</t>
  </si>
  <si>
    <t>2019/10/17 09:49:56</t>
  </si>
  <si>
    <t>投诉人 赵女士        投诉对象  唯品会        涉诉金额  398 元    问题类型    诉求类型投诉详情  在唯品会买的长筒靴子 398元 收到货 是短靴 200左右的 我要求退货 快递员不给退 找客服 客服不管 郁闷了 我需要尽快解决这个问题</t>
  </si>
  <si>
    <t>万达普惠催收爆通讯录恶意恐吓</t>
  </si>
  <si>
    <t>http://ts.21cn.com/tousu/show/id/1368051</t>
  </si>
  <si>
    <t>2019/10/17 09:49:48</t>
  </si>
  <si>
    <t>万达普惠催收人员恶意恐吓、暴打通讯录，影响借款人正常生活，形象，借款人逾期属于正常现象，从来没有逃避不还款。</t>
  </si>
  <si>
    <t>中信银行信用卡协商分期</t>
  </si>
  <si>
    <t>http://ts.21cn.com/tousu/show/id/1368048</t>
  </si>
  <si>
    <t>2019/10/17 09:49:15</t>
  </si>
  <si>
    <t>生意失败，导致逾期，中信银行信用卡严重骚扰家人，透露个人隐私，自称律师的两个人满市场找，见人就问，说是律师。</t>
  </si>
  <si>
    <t>小当家账单到期无法进入还款</t>
  </si>
  <si>
    <t>http://ts.21cn.com/tousu/show/id/1368046</t>
  </si>
  <si>
    <t>2019/10/17 09:49:00</t>
  </si>
  <si>
    <t>而且这个月8日发的可以提前结清的短信里的网页也打不开了。</t>
  </si>
  <si>
    <t>中国农业银行信用卡中心催收</t>
  </si>
  <si>
    <t>http://ts.21cn.com/tousu/show/id/1368049</t>
  </si>
  <si>
    <t>2019/10/17 09:48:57</t>
  </si>
  <si>
    <t>投诉人 李先生        投诉对象  农业银行信用卡        涉诉金额  12 000 元    问题类型    诉求类型投诉详情  无法协商分期还款。各种恐吓和威胁。希望信用卡中心给出完美的解决方案和道歉</t>
  </si>
  <si>
    <t>分期乐外包催收公司违法获取通讯录</t>
  </si>
  <si>
    <t>http://ts.21cn.com/tousu/show/id/1368047</t>
  </si>
  <si>
    <t>2019/10/17 09:48:55</t>
  </si>
  <si>
    <t>如果催收公司或者分期乐公司不能给出解决办法，那只有通过警方解决。</t>
  </si>
  <si>
    <t>限制用户提前结清欠款</t>
  </si>
  <si>
    <t>http://ts.21cn.com/tousu/show/id/1368044</t>
  </si>
  <si>
    <t>2019/10/17 09:48:51</t>
  </si>
  <si>
    <t>10月12号借一笔500元，10月14号借一笔10000元，后资金宽裕要提前还款，第一笔已于10月15号成功还款，还第二笔时却受种种限制，咨询客服说网络问题，连wifi，开还机，卸载软件重新安装，进行多种尝试都不行，打客服电话说是银行卡问题，特意去银行问清楚重新绑进出都无限制的一类帐户银行卡操作还是不能成功还款，反复沟通说是反馈到金融部，看是什么问题24小时后给回复，，希望唯品金融解除全额还款结清限制，不要再故意拖延时间，，不能为了高额利息收益，小额的500元允许结清，大额的就不给结吧，15号还款时1000</t>
  </si>
  <si>
    <t>利息过高提前结清不给减免</t>
  </si>
  <si>
    <t>http://ts.21cn.com/tousu/show/id/1368045</t>
  </si>
  <si>
    <t>2019/10/17 09:48:46</t>
  </si>
  <si>
    <t>因为利息过高，本人想提前结清你我贷借款，但是平台还要收取后面的高额利息。</t>
  </si>
  <si>
    <t>纳什空间北京公司拖欠业主房租</t>
  </si>
  <si>
    <t>http://ts.21cn.com/tousu/show/id/1368042</t>
  </si>
  <si>
    <t>2019/10/17 09:47:22</t>
  </si>
  <si>
    <t>本人位于北京市朝阳区建外soho的房屋，与纳什空间北京公司签订有资产管理协议，从2019年初开始，纳什空间每个月都拖欠房租，2019年9月23日开始至今，拖欠14000元房租，数次催告仍未付款。</t>
  </si>
  <si>
    <t>你我贷ap p没逾期就给家人打电话</t>
  </si>
  <si>
    <t>http://ts.21cn.com/tousu/show/id/1368041</t>
  </si>
  <si>
    <t>2019/10/17 09:47:13</t>
  </si>
  <si>
    <t>我是11号还款，10号给我打电话正常，但是又给我妈妈打电话了，底下有截图，一个是我的通讯录，一个是我妈妈的，我做的标记号码，还有时间，这给我家带来了很大的影响，造成我和妈妈关系不好，因为这个事，我的小吃店都停业一天，要求做出赔偿一天的营业额2000元，给出合理解释，我不希望听到不是我们公司打的电话。</t>
  </si>
  <si>
    <t>洋钱罐不合理催收</t>
  </si>
  <si>
    <t>http://ts.21cn.com/tousu/show/id/1368040</t>
  </si>
  <si>
    <t>2019/10/17 09:46:08</t>
  </si>
  <si>
    <t>本人应还借款1024元，因为周转不过来逾期一周，期间又向对方转账部分费用，后来全额还款并多交了60元作为逾期费用，对方声称逾期费用应交200元，本人觉得极度不合理没有答应，对方打家人电话催收，严重影响本人生活及工作情绪。</t>
  </si>
  <si>
    <t>韦博英语倒闭，没课上，还要继续还款</t>
  </si>
  <si>
    <t>http://ts.21cn.com/tousu/show/id/1368039</t>
  </si>
  <si>
    <t>2019/10/17 09:44:28</t>
  </si>
  <si>
    <t>别忽悠报了课程，上了一年就倒闭了，有些人才刚报1个月的都有，韦博英语大老板没有任何的交代，我们尽要还款，好好一个学习的心，竟然搞成这样，太让人心寒了。</t>
  </si>
  <si>
    <t>要通知我的家人朋友我欠款的事情</t>
  </si>
  <si>
    <t>http://ts.21cn.com/tousu/show/id/1368038</t>
  </si>
  <si>
    <t>2019/10/17 09:44:06</t>
  </si>
  <si>
    <t>招商银行信用卡催收人员，在联系到我的情况下，威胁要通知我的朋友及家人，并且要通知我的所在工作单位。</t>
  </si>
  <si>
    <t>投诉钱站</t>
  </si>
  <si>
    <t>http://ts.21cn.com/tousu/show/id/1368037</t>
  </si>
  <si>
    <t>2019/10/17 09:44:00</t>
  </si>
  <si>
    <t>钱站高利贷，暴力催收，借1000还1600，。</t>
  </si>
  <si>
    <t>微粒贷太度恶劣</t>
  </si>
  <si>
    <t>http://ts.21cn.com/tousu/show/id/1368036</t>
  </si>
  <si>
    <t>2019/10/17 09:43:10</t>
  </si>
  <si>
    <t>投诉人黎先生投诉对象微粒贷涉诉金额1500元问题类型诉求类型投诉详情在微粒贷愈期了几天，催收太度恶劣，准备报警和投诉。</t>
  </si>
  <si>
    <t>出行唯选虚假宣传</t>
  </si>
  <si>
    <t>http://ts.21cn.com/tousu/show/id/1368035</t>
  </si>
  <si>
    <t>2019/10/17 09:43:05</t>
  </si>
  <si>
    <t>今年10月7日在佳木斯机场，自助值机旁边有个穿工服的工作人员推荐出行唯选，宣传说：1，充值1880再赠送1000，可以用来买机票；2，24小时后可登陆账号查询余额；实际结果：1，后续沟通中这位工作人员说充到里面的钱只能抵基建费；2，截止现在登陆小程序仍提示无此电话号码承诺退款至今7个工作日没有收到。</t>
  </si>
  <si>
    <t>投诉大米花花平台放高利贷</t>
  </si>
  <si>
    <t>http://ts.21cn.com/tousu/show/id/1368034</t>
  </si>
  <si>
    <t>2019/10/17 09:42:52</t>
  </si>
  <si>
    <t>投诉人张女士投诉对象大米花花平台涉诉金额2600元问题类型诉求类型投诉详情套路别人借高利贷，借款2600,砍头息1100,借款时间4天，4天后还2600,并且打电话骚扰通讯录人员，发短信恐吓。</t>
  </si>
  <si>
    <t>砍头息，服务费</t>
  </si>
  <si>
    <t>http://ts.21cn.com/tousu/show/id/1368033</t>
  </si>
  <si>
    <t>2019/10/17 09:42:45</t>
  </si>
  <si>
    <t>服务费太高，未还的调整利率，按照国家的标准24%来收取。</t>
  </si>
  <si>
    <t>今天快贷让我先打款，要求退款</t>
  </si>
  <si>
    <t>http://ts.21cn.com/tousu/show/id/1368032</t>
  </si>
  <si>
    <t>2019/10/17 09:42:43</t>
  </si>
  <si>
    <t>我要求自己打给今天快贷公司的钱，全额退款，希望有关部门做出处理，尽快解决。</t>
  </si>
  <si>
    <t>http://ts.21cn.com/tousu/show/id/1368031</t>
  </si>
  <si>
    <t>2019/10/17 09:42:32</t>
  </si>
  <si>
    <t>无故从本人银行卡里扣走288元，并且没有任何的信息提示，也没有注册或者使用其产品。</t>
  </si>
  <si>
    <t>我来数科技上门催收</t>
  </si>
  <si>
    <t>http://ts.21cn.com/tousu/show/id/1368029</t>
  </si>
  <si>
    <t>2019/10/17 09:41:49</t>
  </si>
  <si>
    <t>最近资金真的特别紧张，钱还没凑齐，凑齐了马上就还。</t>
  </si>
  <si>
    <t>来花花砍头息</t>
  </si>
  <si>
    <t>http://ts.21cn.com/tousu/show/id/1368028</t>
  </si>
  <si>
    <t>2019/10/17 09:41:45</t>
  </si>
  <si>
    <t>本人因为缺钱周转，9.22号通过一家小七钱包中介平台下载了来花花，350元，六天还款500元，先后复借和续借了四次，共计利息600元，利息都已经远远超过本金了，之前是通过汇潮支付打的款，最近复借是通过支付宝私人转转账到银行卡，还款是通过支付宝唯一渠道还款，也了解过平台属于双辽市春天支农小额贷款有限公司，因为到期不想通讯录被打扰已经复借多次，希望聚投诉联系上对方公司，为我做主，协商还款！。</t>
  </si>
  <si>
    <t>http://ts.21cn.com/tousu/show/id/1368027</t>
  </si>
  <si>
    <t>2019/10/17 09:41:36</t>
  </si>
  <si>
    <t>恶意拖欠2019年1月2月3月工资，强制加班，仲裁-强制执行-法院介入都被无视，公司至今还在经营，转移公司资产，导致法院无法强制执行，员工无法获得工资。</t>
  </si>
  <si>
    <t>逗逗钱</t>
  </si>
  <si>
    <t>http://ts.21cn.com/tousu/show/id/1368025</t>
  </si>
  <si>
    <t>2019/10/17 09:40:03</t>
  </si>
  <si>
    <t>逗逗钱发信息过来恐吓我，还有发信息我所有身边亲戚好友，。</t>
  </si>
  <si>
    <t>立借不给退款高利息6500三个月还9000</t>
  </si>
  <si>
    <t>http://ts.21cn.com/tousu/show/id/1368023</t>
  </si>
  <si>
    <t>2019/10/17 09:39:38</t>
  </si>
  <si>
    <t>投诉人 樊先生        投诉对象  立借        涉诉金额  9 030 元    问题类型    诉求类型投诉详情  借款当天是不小心点了确认 然后没下款就打客户取消借款 客户说无法取消 下款后发现借了6500分为三期还款 一期3011 需要还款9000高利息</t>
  </si>
  <si>
    <t>韦博英语培训机构倒闭，机构法人跑路，学员被忽悠贷款，先无法上课，到依然还需要每月还贷</t>
  </si>
  <si>
    <t>http://ts.21cn.com/tousu/show/id/1368021</t>
  </si>
  <si>
    <t>2019/10/17 09:39:17</t>
  </si>
  <si>
    <t>投诉人张女士投诉对象韦博英语涉诉金额40000元问题类型诉求类型投诉详情韦博英语培训机构倒闭，机构法人跑路，学员被忽悠贷款，先无法上课，到依然还需要每月还贷。</t>
  </si>
  <si>
    <t>http://ts.21cn.com/tousu/show/id/1368020</t>
  </si>
  <si>
    <t>2019/10/17 09:39:11</t>
  </si>
  <si>
    <t>在此平台投诉处理，过来处理的是第三方催收，你们公司也承诺解决，当初你们承诺的是反回到你们闪电借款，我在处理借款，但是到目前为止，所有的承诺都是假的，还是同一个催收，乱爆通讯录，恶意中伤家人，还有恶意骚扰，打通电话故意恶心人，反复恶心，问什么事也不说就是恶心人，在此平台投诉后，反馈完全无人理会，反而变本加厉，并且给通讯录打电话说是我本人。</t>
  </si>
  <si>
    <t>爱白条违反国家法律，放高利贷，危害社会</t>
  </si>
  <si>
    <t>http://ts.21cn.com/tousu/show/id/1362370</t>
  </si>
  <si>
    <t>2019/10/17 09:39:07</t>
  </si>
  <si>
    <t>凡普金科的爱白条声称利息百分之1点多，但借款2100，3个月要还3000多，实际利率远超国家法律红线，应严查下架该产品，如果以高利贷为主业的凡普金科上市对中国法制社会就是莫大的讽刺。</t>
  </si>
  <si>
    <t>电话骚扰影响工作和生活</t>
  </si>
  <si>
    <t>http://ts.21cn.com/tousu/show/id/1368022</t>
  </si>
  <si>
    <t>投诉人徐涛涛投诉对象中邮消费金融涉诉金额16000元问题类型诉求类型投诉详情我在中邮借款29000，后因为一起案子，钱没有及时拿回，血本无归，造成中邮逾期，在此期间，前前后后还中邮14000-15000左右，还欠一部分，前前后后被中邮所谓的催收和法务部骚扰，一大早九点多就连续打我电话，而且后面，作为邮政银行的一部分，中邮的年利率高达28%，超过了合法利率的范畴，望有关部门进行彻查，我本人非常希望能保持稳定的工作如多挣钱把钱还上，但是中邮一而再的电话骚扰，影响我在老板，同事间的形象，影响我的工作和收入，我真的</t>
  </si>
  <si>
    <t>要求退还罚息跟违约金</t>
  </si>
  <si>
    <t>http://ts.21cn.com/tousu/show/id/1368019</t>
  </si>
  <si>
    <t>2019/10/17 09:38:30</t>
  </si>
  <si>
    <t>投诉人 郑先生        投诉对象  招商银行信用卡        涉诉金额  5 000 元    问题类型    诉求类型投诉详情  要求退还罚息跟违约金，霸王条款，乱扣费用</t>
  </si>
  <si>
    <t>汇潮支付为易秒分期支付渠道，现易秒分期无法打开登陆</t>
  </si>
  <si>
    <t>http://ts.21cn.com/tousu/show/id/1368018</t>
  </si>
  <si>
    <t>2019/10/17 09:38:18</t>
  </si>
  <si>
    <t>投诉人王女士投诉对象汇潮支付涉诉金额1542元问题类型诉求类型投诉详情易秒分期app打不开，无任何联系渠道，汇潮支付为其提供支付渠道，望整改且积极提供联系方式否则导致逾期概不负责。</t>
  </si>
  <si>
    <t>点融魔借乱收利息乱放款</t>
  </si>
  <si>
    <t>http://ts.21cn.com/tousu/show/id/1368017</t>
  </si>
  <si>
    <t>2019/10/17 09:38:11</t>
  </si>
  <si>
    <t>投诉人陈女士投诉对象点融网,魔借涉诉金额7000元问题类型诉求类型投诉详情八月借款的时候我也联系过客服要取消借款结果就是如图联系不到人工打客服电话也联系不到照常放款给我了然后图中那个982.52也是放款下来7000就扣了第一个月还款正常然后图中我10月15号已经把这个月要还的还清了图中写的是我已还414.61还要还982.52问题是我已经还清了这个月的截图都看的明明白白还联系不到客服解决问题意思是到期了我不还这个不清不楚的钱就会算我逾期，我就该吃这个哑巴亏吗有这么坑人的吗乱放款就算了还有这样乱收利息的。</t>
  </si>
  <si>
    <t>用钱宝频繁骚扰本人</t>
  </si>
  <si>
    <t>http://ts.21cn.com/tousu/show/id/1368016</t>
  </si>
  <si>
    <t>2019/10/17 09:38:02</t>
  </si>
  <si>
    <t>用钱宝频繁使用软件电话连续骚扰本人，本人未在用钱宝借款。</t>
  </si>
  <si>
    <t>捷信公司放我一条生路</t>
  </si>
  <si>
    <t>http://ts.21cn.com/tousu/show/id/1368015</t>
  </si>
  <si>
    <t>2019/10/17 09:38:01</t>
  </si>
  <si>
    <t>本人在捷信借款2万块已经还款了差不多3万块，现在还剩下2千多块，该公司天天电话骚扰一天十几个电话，而且还语言威胁说上门催收，我已经答应了近期发工资会还上但该公司还经常电话骚扰对我的生活工作造成了很大影响。</t>
  </si>
  <si>
    <t>零钱提现</t>
  </si>
  <si>
    <t>http://ts.21cn.com/tousu/show/id/1368014</t>
  </si>
  <si>
    <t>2019/10/17 09:37:59</t>
  </si>
  <si>
    <t>投诉人郭女士投诉对象微信支付涉诉金额500元问题类型诉求类型投诉详情零钱无法提现</t>
  </si>
  <si>
    <t>韦博国际英语老板高卫宇跑路</t>
  </si>
  <si>
    <t>http://ts.21cn.com/tousu/show/id/1368012</t>
  </si>
  <si>
    <t>2019/10/17 09:37:43</t>
  </si>
  <si>
    <t>我2019年在广州韦博国际英语报了培训班，交了400800的培训费，其中开始交4080的订金，，剩下的都在有钱花里贷款给够，分期付款，24期，每个月要交1530，现在韦博国际英语已经倒闭了，没能给我提供教育，但是每个月还是要还贷款，，希望这事能引起部门重视，不止我一个受害者，全国各地学员上万，都有同样的遭遇，希望政府能帮忙，把我的贷款停了。</t>
  </si>
  <si>
    <t>西部明珠vip故意隐瞒，误导消费者，</t>
  </si>
  <si>
    <t>http://ts.21cn.com/tousu/show/id/1367971</t>
  </si>
  <si>
    <t>2019/10/17 09:37:41</t>
  </si>
  <si>
    <t>10月16日，也就是昨天，我准备由烟台蓬莱机场飞往上海虹桥机场，刚过安检，看见有几个穿制服的工作人员就过去问了一下登机口位置，因为已经过了安检，我就以为是机场的工作人员，并没有太过警惕，现求助聚投诉为我讨回公道所以现在我要求把卡退回去，西部明珠公司立即全额退回办卡费用，接着他们就开始推销西部明珠会员卡说交1880开通会员赠送1000元，并且用这个卡订机票还可以比其他网上订票便宜，以后订机票可以从这2880元抵扣，在我付款之前一直强调绝对比其他家便宜，绝口不提每次只能用一小部分钱分次分张抵扣，不能全款使用，我</t>
  </si>
  <si>
    <t>http://ts.21cn.com/tousu/show/id/1368013</t>
  </si>
  <si>
    <t>2019/10/17 09:37:22</t>
  </si>
  <si>
    <t>现金巴士高利贷！发p图暴力催收！严重超过36%的年利率，属于高利贷应该取缔，合法的部分我一分不少的会给你们，如果你们用非法的手段超高的利息，通过非法催收方式暴力行径，我会通过各种平台维护自己的权益。</t>
  </si>
  <si>
    <t>有用分期黑卡，利息高</t>
  </si>
  <si>
    <t>http://ts.21cn.com/tousu/show/id/1368011</t>
  </si>
  <si>
    <t>2019/10/17 09:37:18</t>
  </si>
  <si>
    <t>投诉人何先生投诉对象有用分期,有钱用涉诉金额11000元问题类型诉求类型投诉详情黑卡，高利息，不断变换电话号码骚扰，2019年9月3日16点左右，第1期客服联系时说好一次结清人民币11000元，，客服说第1期逾期2天，需要把第1期结清，才可以结清剩余9690.07，第1期人民币1309.93元在2019年9月3日16：24已还有钱用平台，但之后就联系不到还该客服，然后到10月初有钱用变成有用分期，又不停的换客服骚扰我和亲朋好友。</t>
  </si>
  <si>
    <t>拖欠工资并且没有及时解决</t>
  </si>
  <si>
    <t>http://ts.21cn.com/tousu/show/id/1368007</t>
  </si>
  <si>
    <t>2019/10/17 09:36:45</t>
  </si>
  <si>
    <t>投诉人林先生投诉对象海风教育涉诉金额11640元问题类型诉求类型投诉详情海风教育最近有公司变动，很多人员辞职了，本应该每个月15号给我们校园代理发放工资，这个月却没有发，而且也没有解释！昨天有位工作人员打电话给我，让我打海风电话说一下银行卡支行信息，可以两天了。</t>
  </si>
  <si>
    <t>省呗暴力催收骚扰</t>
  </si>
  <si>
    <t>http://ts.21cn.com/tousu/show/id/1368009</t>
  </si>
  <si>
    <t>2019/10/17 09:36:39</t>
  </si>
  <si>
    <t>投诉人李鸣投诉对象省呗,兴业消费金融涉诉金额665元问题类型诉求类型投诉详情本人因资金周转短期出现困难，无法按照约定时间进行还款，已主动联系省呗客服告知具体可在本月21日还款，还款意愿明确并非欺诈，省呗相关催收部门依旧进行恐吓威胁，骚扰本人及家人行为，若不能及时解决该问题，我会将证据一并发到扫黑办及公安。</t>
  </si>
  <si>
    <t>快闪卡贷高利息罚金</t>
  </si>
  <si>
    <t>http://ts.21cn.com/tousu/show/id/1368008</t>
  </si>
  <si>
    <t>2019/10/17 09:36:35</t>
  </si>
  <si>
    <t>投诉人徐先生投诉对象快闪卡贷涉诉金额720元问题类型诉求类型投诉详情每月28号还款1708元，因手机丢失，手机卡是杭州号码，要去当地补办，耽误了18天，扣了2428块钱，多扣了我720块钱，罚息利息高达七分多，如果一百二百的还能接受，这么高的罚息，已经属于高利贷了吧。</t>
  </si>
  <si>
    <t>停止催收及骚扰</t>
  </si>
  <si>
    <t>http://ts.21cn.com/tousu/show/id/1368006</t>
  </si>
  <si>
    <t>2019/10/17 09:36:12</t>
  </si>
  <si>
    <t>1、我跟客服及催收部门沟通多次，并把现在自身情况说明，陷入套路贷这两天无法筹得现金，并商议宽限几天，后，本人通讯录及联系均接到催收电话，严重影响本人的声誉，骚扰到通讯录的朋友及合伙人，导致现在所借钱款无法到账，2、我已向银行办理贷款，不久就会下款，希望贵公司近期停止骚扰，3、我已经于今天把筹得的款项转至贵公司的账户里，我有还款意向及能力，并不存在恶意拖欠及赖账，4、昨天催收部门提到会把我的借款案件转交给地方执法部门，并联系家人协助还款，这对本人的心理造成极大负担和影响，每个人承受的能力不一样，万一哪天脑子那</t>
  </si>
  <si>
    <t>比特矿场崩盘跑路</t>
  </si>
  <si>
    <t>http://ts.21cn.com/tousu/show/id/1368005</t>
  </si>
  <si>
    <t>2019/10/17 09:36:10</t>
  </si>
  <si>
    <t>比特矿场矿场给出的转账银行账号！现在比特矿场崩盘跑路了！希望能追回损失！。</t>
  </si>
  <si>
    <t>聚富分期诱导消费，无故扣款！要求退款！</t>
  </si>
  <si>
    <t>http://ts.21cn.com/tousu/show/id/1368004</t>
  </si>
  <si>
    <t>2019/10/17 09:35:53</t>
  </si>
  <si>
    <t>海南意源达网络科技有限公司，旗下APP‘’聚富分期‘’以小额贷款公司的名义套取了我个人信息，包括银行卡，身份证等，我是本着贷款欲求去上传个人信息，但实则是一家买信用报告的公司，且诱导消费，无故从本人银行卡扣除了298元的费用！而后与客服协商退款未果，强制要求我要去他们公司推荐的公司借款不成功才退款，涉嫌强制消费和诱导消费，我要求该公司退款且删除个人银行卡等个人信息，以免再次发生无故扣款！。</t>
  </si>
  <si>
    <t>点融网app投资项目到期无法退出</t>
  </si>
  <si>
    <t>http://ts.21cn.com/tousu/show/id/1368003</t>
  </si>
  <si>
    <t>2019/10/17 09:35:42</t>
  </si>
  <si>
    <t>点融网投资项目，今年到期的两个项目，无法转让退出，客服当初答应了会在这几个月处理，但结果还是有2万多块钱无法转让退出，已经从7月份拖了到了现在，客服一直就逃避问题，说是市场不好，但当初点融上的交易是写清楚到期可以转让，然后一周内到账。</t>
  </si>
  <si>
    <t>投诉借了呗骚扰</t>
  </si>
  <si>
    <t>http://ts.21cn.com/tousu/show/id/1368002</t>
  </si>
  <si>
    <t>2019/10/17 09:35:32</t>
  </si>
  <si>
    <t>我今天无缘无故被借了呗骚扰，短信轰炸，银监会明确规定禁止骚扰，并且不能影响工作，工作时间不能打电话，而且我不是没有意愿还，是没钱还。</t>
  </si>
  <si>
    <t>高利贷，高额罚息</t>
  </si>
  <si>
    <t>http://ts.21cn.com/tousu/show/id/1368001</t>
  </si>
  <si>
    <t>2019/10/17 09:35:16</t>
  </si>
  <si>
    <t>我在马上消费金融六千多本金逾期两个月左右，收了六百多的利息，还收取了一千多的罚息，利息已经很高了，还要收取这么高的罚息，是不合理的。</t>
  </si>
  <si>
    <t>人人花胡乱扣取相关费用</t>
  </si>
  <si>
    <t>http://ts.21cn.com/tousu/show/id/1367999</t>
  </si>
  <si>
    <t>2019/10/17 09:34:39</t>
  </si>
  <si>
    <t>人人花网贷在本人不知情未同意情况下从本人的银行卡绑卡扣除288人民币，本人需要该平台全额退款，该平台存在欺诈行为，也希望对该平台严肃处理。</t>
  </si>
  <si>
    <t>套路贷套路前期费</t>
  </si>
  <si>
    <t>http://ts.21cn.com/tousu/show/id/1367967</t>
  </si>
  <si>
    <t>2019/10/17 09:34:15</t>
  </si>
  <si>
    <t>本人与今年7月4日用手机操作在网上贷款app名称现金巴士&amp;amp;nbsp;本人并不知道当时扣了我卡里的钱&amp;amp;nbsp;过了半个月以后自己查账单时发现了当时贷款时居然有一笔扣款&amp;amp;nbsp;我本上现金巴士app去看了一下&amp;amp;nbsp;显示是会员费&amp;amp;nbsp;又过了半个月了本人无意中关注中国保险万事通发现自己居然被永安保险过&amp;amp;nbsp;一查就是现金巴士扣我的会员费&amp;amp;nbsp;这明显是现金巴士套路我前期费用&amp;amp;nbsp;而且在我不知情的情况下给我保险。</t>
  </si>
  <si>
    <t>希望不要在打骚扰电话</t>
  </si>
  <si>
    <t>http://ts.21cn.com/tousu/show/id/1367998</t>
  </si>
  <si>
    <t>2019/10/17 09:33:51</t>
  </si>
  <si>
    <t>打骚扰电话，已经打到我在沈阳的工作单位了，我被辞退了，所以我会依法吿他们，。</t>
  </si>
  <si>
    <t>多收费用</t>
  </si>
  <si>
    <t>http://ts.21cn.com/tousu/show/id/1367997</t>
  </si>
  <si>
    <t>2019/10/17 09:33:23</t>
  </si>
  <si>
    <t>投诉人 许先生        投诉对象  玖富        涉诉金额  1 200 元    问题类型    诉求类型投诉详情  他要收我的利息，凭什么还要收这一道保费？这算不算是多余收费？</t>
  </si>
  <si>
    <t>平安普惠骚扰电话</t>
  </si>
  <si>
    <t>http://ts.21cn.com/tousu/show/id/1367996</t>
  </si>
  <si>
    <t>本人从九月中旬开始便频繁接到平安普惠的骚扰电话，未与其公司产生贷款合作的情况下每天从早上，中午，下午或者晚上不同时段都会接到骚扰电话，已经严重影响我的生活，请对其公司作出处罚让其收敛，不要再骚扰本人。</t>
  </si>
  <si>
    <t>招联金融不冻结账户韦博学员陷入培训贷</t>
  </si>
  <si>
    <t>http://ts.21cn.com/tousu/show/id/1367995</t>
  </si>
  <si>
    <t>2019/10/17 09:31:54</t>
  </si>
  <si>
    <t>招联金融至今没有任何的解决方法，韦博学员依然要还贷款，招联金融不应该提前打款给韦博，已违反相关规定，剩下的却要学员承担！而且并没有收到任何纸质签名合同！。</t>
  </si>
  <si>
    <t>来米伽砍头息</t>
  </si>
  <si>
    <t>http://ts.21cn.com/tousu/show/id/1367992</t>
  </si>
  <si>
    <t>2019/10/17 09:30:29</t>
  </si>
  <si>
    <t>之前一直打电话让我借钱，天天打，后来借了5000到账只有4400，每期980多，请还我公道退掉保险并致歉 我现在在朋友面前已经抬不起头 工作在丢了，还6期，因为到期手里紧张还不上，结果逾期一天就要接近100的利息，后来还拨打我通讯录，现在害我马上丢了工作，公司正对我调查中，请还我公道，退掉保险并致歉。</t>
  </si>
  <si>
    <t>浪里白条高利贷</t>
  </si>
  <si>
    <t>http://ts.21cn.com/tousu/show/id/1367993</t>
  </si>
  <si>
    <t>2019/10/17 09:30:26</t>
  </si>
  <si>
    <t>而且利率还没有，利息高的吓人，对利息做出合理解释，下调利率。</t>
  </si>
  <si>
    <t>网商贷爆通讯录</t>
  </si>
  <si>
    <t>http://ts.21cn.com/tousu/show/id/1367991</t>
  </si>
  <si>
    <t>2019/10/17 09:29:30</t>
  </si>
  <si>
    <t>我和我老公因为生意失败欠下的网商贷,我的已经还了一部分,剩下的也协商好了,因为我在上班所以跟我老公在一起的时间很少,今天网商贷打过电话来找我老公,我说我在上班我下班通知他让他给你们回电话,催熟人员态度恶劣的就要让我当时说什么时候还钱,我说你是找他还是找我,他说我作为夫妻招我俩,说我俩欠钱还那么拽,我说我最为紧急联系人只有告知的义务,催收人员说那我打他领导电话,我说那你打吧,他说那我也打你领导电话,我说你有什么权利打我领导电话就挂掉了,请问下如果催收我老公的欠钱有什么权利打我领导电话?如果催我的欠款在我不失联</t>
  </si>
  <si>
    <t>贷上钱收取高额利息，暴力催收，恶意骚扰</t>
  </si>
  <si>
    <t>http://ts.21cn.com/tousu/show/id/1367990</t>
  </si>
  <si>
    <t>2019/10/17 09:28:53</t>
  </si>
  <si>
    <t>以购物为由收取高额利息，暴力催收，恶意骚扰。</t>
  </si>
  <si>
    <t>闪银科技至尊借款暴力催收，威胁借款人</t>
  </si>
  <si>
    <t>http://ts.21cn.com/tousu/show/id/1367988</t>
  </si>
  <si>
    <t>2019/10/17 09:28:31</t>
  </si>
  <si>
    <t>闪银科技催收打电话叫我半小时内还款，目前本人今天下午发工资，协商晚上八点之前肯定还上，被催收拒绝并且辱骂，还威胁本人如果半小时还不上后果自负，态度十分恶劣，本人已经协商今日肯定还款但是催收一只威胁并且辱骂，请求解决，催收号码02066824359。</t>
  </si>
  <si>
    <t>卡牛信用卡管家砍头息</t>
  </si>
  <si>
    <t>http://ts.21cn.com/tousu/show/id/1367989</t>
  </si>
  <si>
    <t>卡牛信用卡管家申请贷款4500元，在本人不知情的情况下恶意扣除540元！解释补偿！。</t>
  </si>
  <si>
    <t>真黑心</t>
  </si>
  <si>
    <t>http://ts.21cn.com/tousu/show/id/1367987</t>
  </si>
  <si>
    <t>2019/10/17 09:28:30</t>
  </si>
  <si>
    <t>你们平台逾期一天要一百多，真黑心，我一直投诉你们从来都不敢正面出来解决，我想协商你们一直不肯。</t>
  </si>
  <si>
    <t>海尔金融，乱报征信</t>
  </si>
  <si>
    <t>http://ts.21cn.com/tousu/show/id/1367985</t>
  </si>
  <si>
    <t>2019/10/17 09:27:20</t>
  </si>
  <si>
    <t>25号还款974元，当时因为平台这比费用有前期问题，有异议，从22号就开始沟通，平台一直推脱，和平台沟通好时间，到28号还款，当时显示还款正常，app上也只显示974元多的金额，我于28号当晚11点40多分还款，卡中金额充足，结果平台问题一直推迟了半个小时多才扣款，平时都是10分钟扣款成功，结果这次却推迟了这么长时间，我这边也收到短信说还款成功，一不是我恶意逾期，而不是我的问题造成还款推迟，况且上报的这个1017也不知道怎么回事，你们这样乱报数据，怎么算是合规平台?所以征信数据可以上报着玩是吗。</t>
  </si>
  <si>
    <t>http://ts.21cn.com/tousu/show/id/1367984</t>
  </si>
  <si>
    <t>2019/10/17 09:26:53</t>
  </si>
  <si>
    <t>此平台属于714高炮，app有超高的砍头息，逾期费也超过了国家规定的红线。</t>
  </si>
  <si>
    <t>情人花贷款私自扣款</t>
  </si>
  <si>
    <t>http://ts.21cn.com/tousu/show/id/1367983</t>
  </si>
  <si>
    <t>2019/10/17 09:26:19</t>
  </si>
  <si>
    <t>情人花借款，在没有本人任何付款操作，没有任何点击的情况下，在16日晚私自扣除银行卡内288元服务费。</t>
  </si>
  <si>
    <t>在门客生活微信公众号上购买的一年配送花卉，可是只送了几周就不配送了</t>
  </si>
  <si>
    <t>http://ts.21cn.com/tousu/show/id/1367982</t>
  </si>
  <si>
    <t>2019/10/17 09:26:04</t>
  </si>
  <si>
    <t>在门客生活微信公众号上购买的一年配送花卉，可是只送了几周就不配送了，申请退款。</t>
  </si>
  <si>
    <t>闪掌柜协商还款</t>
  </si>
  <si>
    <t>http://ts.21cn.com/tousu/show/id/1367981</t>
  </si>
  <si>
    <t>2019/10/17 09:26:03</t>
  </si>
  <si>
    <t>强制收取额外费用</t>
  </si>
  <si>
    <t>http://ts.21cn.com/tousu/show/id/1367980</t>
  </si>
  <si>
    <t>2019/10/17 09:25:37</t>
  </si>
  <si>
    <t>额外收取砍头息，国家规定的最高年利率是36%，贵公司已经超过了不说，你还要强制收取额外费用，这还是第二次借款，还强制收取，请求销账。</t>
  </si>
  <si>
    <t>交通银行客服人员态度语气十分恶劣</t>
  </si>
  <si>
    <t>http://ts.21cn.com/tousu/show/id/1367979</t>
  </si>
  <si>
    <t>2019/10/17 09:25:20</t>
  </si>
  <si>
    <t>交通银行客服工号17909，催收就跟个黑社会一样，态度十分恶劣。</t>
  </si>
  <si>
    <t>虚假广告，忽悠消费者</t>
  </si>
  <si>
    <t>http://ts.21cn.com/tousu/show/id/1367961</t>
  </si>
  <si>
    <t>2019/10/17 09:23:24</t>
  </si>
  <si>
    <t>在腾讯QQ浏览器里面，了解到买腾讯王卡，首充50以上能赠送50话费，我买好的第一天，我充值100话费，居然赠送话费没有到账，我就打电话给联通客服，客服说，有可能延迟到账，截止到今天还是没有到账，我再次打电话给联通客服，今天得到回复，居然是10.1号以后已经取消了赠送话费的活动，本人是10.11购买的卡，是在QQ浏览器上面购买的，上面清清楚楚写上首充值50以上，送50话费，所以，我认为，联通公司和QQ浏览器应该给一个解释。</t>
  </si>
  <si>
    <t>http://ts.21cn.com/tousu/show/id/1367978</t>
  </si>
  <si>
    <t>2019/10/17 09:22:51</t>
  </si>
  <si>
    <t>投诉人李女士投诉对象深圳卫盈智信科技有限公司我来贷涉诉金额30000元问题类型诉求类型投诉详情一言不合就爆通讯录，而且催收人员暴力催收，上门催收，逾期一天就加300或者150逾期费。</t>
  </si>
  <si>
    <t>芜湖韦博英语单方停课</t>
  </si>
  <si>
    <t>http://ts.21cn.com/tousu/show/id/1367976</t>
  </si>
  <si>
    <t>2019/10/17 09:21:12</t>
  </si>
  <si>
    <t>芜湖韦博英语10月10号还出公告正常营业的情况下，12号突然单方停课，造成违约，要求退还剩余未上课款项34650元并赔偿在此期间精神损失及为此事件发生影响的损失。</t>
  </si>
  <si>
    <t>OYO酒店无法入住，还不给退款</t>
  </si>
  <si>
    <t>http://ts.21cn.com/tousu/show/id/1367899</t>
  </si>
  <si>
    <t>2019/10/17 09:21:05</t>
  </si>
  <si>
    <t>10月1日在OYO酒店app下单——柳州山月宾馆一店，当晚入住，宾馆工作人员称早就不与OYO合作了，但是OYO还以低价挂售他们的房间，并且他们无法联系上OYO工作人员，直接未让我入住，我立马打OYO客服电话，想了解是什么情况，但是当晚一直未打通客服电话（打了10几次），于是我又联系了OYO_app上其他酒店询问，发现另外还有好多家酒店也称没有与OYO合作了，但是仍在低价挂售房间，当晚11点多到店后，宾馆工作人员称，早就不与OYO合作了，但是OYO还以低价挂售他们的房间，并且他们无法联系上OYO工作人员，直接</t>
  </si>
  <si>
    <t>拼多多违规处理介入的买卖交易纠纷</t>
  </si>
  <si>
    <t>http://ts.21cn.com/tousu/show/id/1367975</t>
  </si>
  <si>
    <t>2019/10/17 09:20:37</t>
  </si>
  <si>
    <t>我是拼多多平台的商家，买家于2019年10月11日联系我们，反映说收到的货不对，经我们客服核实系发错货，于是立即与买家协商，让买家在后台申请换货，这边收到买家的退货后，便可以重新发货，但是买家执意要求商家先退款，并在拼多多发起了仅退款不退货的申请，商家驳回该申请，要求买家先退货，再换货，随后买家申请平台介入，期间商家没收到任何通知，，直到2019年10月15日才收到拼多多客户端弹出消息提示：该买家的退款成功，随后我们进行申诉，但被驳回问题如下：1.拼多多作为第三方平台，未尽到审慎处理交易纠纷，随意给交易定性</t>
  </si>
  <si>
    <t>小树时代还款不处理账单</t>
  </si>
  <si>
    <t>http://ts.21cn.com/tousu/show/id/1367973</t>
  </si>
  <si>
    <t>2019/10/17 09:19:56</t>
  </si>
  <si>
    <t>小树时代app银行卡不能还款，客服联系不上，电话也没人接，提示用支付宝还款已经还也不处理账单造成逾期，请尽快处理，并消除逾期记录。</t>
  </si>
  <si>
    <t>http://ts.21cn.com/tousu/show/id/1367974</t>
  </si>
  <si>
    <t>2019/10/17 09:19:42</t>
  </si>
  <si>
    <t>我在极速贷贷款2000元，实际到账1400，日息120.在十一天后实在扛不住了，一次性给他还完，在此期间天天威胁我，各种手机骚扰，借款1400，半个月还了3000多，这种高利贷希望能够严惩，打来的电话都显示的是国外的虚拟号码。</t>
  </si>
  <si>
    <t>今天致电捷信客服，告知我欠款还有3万7千多，还了减免后35%的额20012元，为什么现在还要我还3万多。要看到合同结清！</t>
  </si>
  <si>
    <t>http://ts.21cn.com/tousu/show/id/1367972</t>
  </si>
  <si>
    <t>2019/10/17 09:19:36</t>
  </si>
  <si>
    <t>在9月底致电客服，被承诺有减免百分65%，已经把减免的金额还了，今天致电捷信客服，告知我欠款还有3万7千多，还了减免后35%的额20012元，为什么现在还要我还3万多。</t>
  </si>
  <si>
    <t>微拍堂不退保证金</t>
  </si>
  <si>
    <t>http://ts.21cn.com/tousu/show/id/1367970</t>
  </si>
  <si>
    <t>2019/10/17 09:17:28</t>
  </si>
  <si>
    <t>因本人家人看病急需用钱想提前保证金5000，客服说等30天，严重耽误家人治病。</t>
  </si>
  <si>
    <t>滴滴出行对快车司机不公平</t>
  </si>
  <si>
    <t>http://ts.21cn.com/tousu/show/id/1367958</t>
  </si>
  <si>
    <t>2019/10/17 09:16:01</t>
  </si>
  <si>
    <t>投诉人钱先生投诉对象滴滴出行涉诉金额170000元问题类型诉求类型投诉详情滴滴出行做出虚假广告“月入过万&amp;nbsp;工作轻松自由”&amp;nbsp;各种忽悠我们买车跑滴滴.搞合规化&amp;nbsp;双证齐全&amp;nbsp;然而私家车还是照样派单&amp;nbsp;而且跑的流水比我们营运车都好&amp;nbsp;这就是所谓的安全么，公平何在&amp;nbsp;还有滴滴优享凭什么优先派单&amp;nbsp;乘客打快车&amp;nbsp;凭什么免费升级优享&amp;nbsp;快车都要饿死了&amp;nbsp;请给出合理的解释&amp;nbsp;不然我们要通过法律手段维权。</t>
  </si>
  <si>
    <t>闪银至尊逾期威胁爆通讯录</t>
  </si>
  <si>
    <t>http://ts.21cn.com/tousu/show/id/1367969</t>
  </si>
  <si>
    <t>2019/10/17 09:15:05</t>
  </si>
  <si>
    <t>闪银逾期6天，因工资一直没到位，想协商近两三天发工资还上，结果只给到今天下午2.00钟，说如果不处理的话，就该联系的联系，该核实的核实！本人是有还款意愿的，在接到催收电话后，积极周转，还了一小部分，剩余的实在周转不到。</t>
  </si>
  <si>
    <t>北京捷越联合阴阳合同高利贷</t>
  </si>
  <si>
    <t>http://ts.21cn.com/tousu/show/id/1367966</t>
  </si>
  <si>
    <t>2019/10/17 09:13:56</t>
  </si>
  <si>
    <t>本人于2018年11月在河池市捷越联合小贷公司贷款，当时业务员说批了7万，业务员也没有说明情况有什么服务费，先要扣服务费也没有说明合同借款金额多少，明显忽悠误导，贷款7万下款就扣了3477.44砍头息，还有一个80元什么保险费，实际到账66552.56元，合同居然是114,300.00元，现在已经还了10期34770元，还剩余26期90,413.44元未还，问了客服提前还清还需要60000万多，我需要维权，该还多少就多少，我要减免相应的费用。</t>
  </si>
  <si>
    <t>拼多多客服</t>
  </si>
  <si>
    <t>http://ts.21cn.com/tousu/show/id/1367965</t>
  </si>
  <si>
    <t>2019/10/17 09:13:45</t>
  </si>
  <si>
    <t>天理何在，拼多多客服一而再再而三忽悠我，拼多多诱导链接没有任何提示，害我亏了3.5万，我辛苦5年的血汗钱一夜没了，这样我怎么活，媒体在哪里，我真的快活不下去了，一个残疾人叫我去找警察，这是故意为难我，我与套路商家的谈话拼多多处理专员居然知道，这里有不可告知的内幕，求广大人民群众公正，拼多多还众多受害一个公道。</t>
  </si>
  <si>
    <t>于斯钢琴陪练退费</t>
  </si>
  <si>
    <t>http://ts.21cn.com/tousu/show/id/1367964</t>
  </si>
  <si>
    <t>2019/10/17 09:13:02</t>
  </si>
  <si>
    <t>去年购买于斯钢琴陪练课程100节课，还剩33节课时，开始联系班主任说可以退课，后来班主任删了我的微信，现在联系不上任何相关人员，拨打客服4001599299电话打不通，只看到公告告知该机构被收购了！现在涉及未上课程退费，请跟踪解决，尽快退费，谢谢。</t>
  </si>
  <si>
    <t>http://ts.21cn.com/tousu/show/id/1367963</t>
  </si>
  <si>
    <t>2019/10/17 09:12:49</t>
  </si>
  <si>
    <t>2019年3月14向有钱用借款8000，分12月还清，每月还953元，其利息远高于国家规定的年利率的24%，在9月逾期后，催收不停向亲朋好友发短信催款，已近侵犯到个人隐私、现要求调整利率，并道歉。</t>
  </si>
  <si>
    <t>诱导办卡</t>
  </si>
  <si>
    <t>http://ts.21cn.com/tousu/show/id/1367962</t>
  </si>
  <si>
    <t>2019/10/17 09:11:59</t>
  </si>
  <si>
    <t>10月16日，我在三亚凤凰机场办完登机牌，去往登机口的途中，遇到几个穿着机场制服的人问我登机口是哪个，我以为是机场工作人员，就回答了他，然后他说他是全国38家航空公司联盟的，可以预订底价机票，比携程等网站上要便宜200左右，开始说是免费办卡，然后说需要往卡里充1880元，并赠送1500元，当时赶时间，根本没看会员协议，后来发现是代金券，交完钱后，推销人员让我们到贵宾室休息，种种迹象让我觉得其中有诈，然后在网上查询到类似事件很多，于是当场要求推销员退费，他找出各种理由就是不退，并且所有人员全部离开，立马关门，</t>
  </si>
  <si>
    <t>闪银哼哼还款</t>
  </si>
  <si>
    <t>http://ts.21cn.com/tousu/show/id/1367960</t>
  </si>
  <si>
    <t>2019/10/17 09:11:12</t>
  </si>
  <si>
    <t>，但打客服电话打不通，刚接到催收电话以和催收人员说了这件事。</t>
  </si>
  <si>
    <t>http://ts.21cn.com/tousu/show/id/1367959</t>
  </si>
  <si>
    <t>2019/10/17 09:10:47</t>
  </si>
  <si>
    <t>读大学的时候借过达飞金融的钱买过一个手机，还款一年以后逾期了，大约是一年以后有追债公司发函到我家里去了，我就跟那边联系还款了，大概过了三四年突然又有别的追债公司联系我说我的欠款没有还，我当时跟那边说明了情况，那边说去核实以后就没有联系过我了，今天突然接到冒充湖南永雄资产管理有限公司发的信息给我还是说那个事情，我就打电话过去咨询到底是什么情况，那边就跟我一顿噼里啪啦的说还很有调子的说我什么94年的毛都没长齐，什么带侮辱性词汇说了一大堆，我需要达飞金融就此事给我做出合理介绍。</t>
  </si>
  <si>
    <t>百世汇通快递不负责任发错地址不处理</t>
  </si>
  <si>
    <t>http://ts.21cn.com/tousu/show/id/1367957</t>
  </si>
  <si>
    <t>2019/10/17 09:09:44</t>
  </si>
  <si>
    <t>投诉人 梁女士        投诉对象  百世快递        涉诉金额  98 元    问题类型    诉求类型投诉详情  百世汇通发错地址 客服答非所问 拒绝赔偿 只让我等待，</t>
  </si>
  <si>
    <t>点点通app打不开，客服无法接通，还不了款</t>
  </si>
  <si>
    <t>http://ts.21cn.com/tousu/show/id/1367956</t>
  </si>
  <si>
    <t>2019/10/17 09:09:11</t>
  </si>
  <si>
    <t>我于2019年10月15号还款于点点通第三期还款也是最后一期，但是当天点点通没有扣款，客服联系不上，app，登录不上，导致现在逾期两天，诉求点点通必须扣除逾期费用，否则报警处理。</t>
  </si>
  <si>
    <t>http://ts.21cn.com/tousu/show/id/1367954</t>
  </si>
  <si>
    <t>2019/10/17 09:08:46</t>
  </si>
  <si>
    <t>本人接到电话说充值一些钱到相应网站带本人刷单，今天本人才发现该网站为非法博彩网站，云闪付为非法赌博网站提供支付通道，应当承担连带责任。</t>
  </si>
  <si>
    <t>浦发银行信用卡利息一天高达九百多！</t>
  </si>
  <si>
    <t>http://ts.21cn.com/tousu/show/id/1367955</t>
  </si>
  <si>
    <t>2019/10/17 09:08:35</t>
  </si>
  <si>
    <t>昨天浦发银行信用卡发短信说我欠款10014.38，今日发短信说我欠款10948.58元，并恶意骚扰我通讯录的亲朋好友自己公司，给我的生活带来极大的困扰！并且一天九百多利息让我很觉得无法接受，本人很有意向还款，若是继续骚扰我的通讯录则拒绝还款！希望投诉平台能协调，本人有意愿还款，但是希望分36期还款，本现如今资金周转紧张，希望贵行高抬贵手，停息挂账让我有还款的余地！。</t>
  </si>
  <si>
    <t>证大未经同意扣款</t>
  </si>
  <si>
    <t>http://ts.21cn.com/tousu/show/id/1367953</t>
  </si>
  <si>
    <t>2019/10/17 09:05:57</t>
  </si>
  <si>
    <t>证大财富恶劣爆通讯录造成致使家父脑溢血，精神刺激于2019.10.9日去世，，10.13日证大财富未经同意划走账户款项。</t>
  </si>
  <si>
    <t>套路贷款，以各种服务费名义收取高利息，</t>
  </si>
  <si>
    <t>http://ts.21cn.com/tousu/show/id/1367952</t>
  </si>
  <si>
    <t>2019/10/17 09:03:20</t>
  </si>
  <si>
    <t>已各种名义收取服务费，增加利息，借款70000元，每期还款2471.35元，已还14期还款金额34598.9元，剩余28271.28元捷信给出的回复是收取的利息和各种服务费。</t>
  </si>
  <si>
    <t>威胁恐吓态度恶劣黑社会</t>
  </si>
  <si>
    <t>http://ts.21cn.com/tousu/show/id/1367951</t>
  </si>
  <si>
    <t>2019/10/17 09:02:57</t>
  </si>
  <si>
    <t>个人原因，资金出现了些问题，换工作了，每个月还款都是迟了，但是利息一直没少给，没少扣，叫客人去借钱，说什么便宜，这样的公司怎么还会存在的呢！简直跟黑社会一样，车贷的催收，打家人朋友电话，所有的平台我都投诉一遍，希望可以取缔！。</t>
  </si>
  <si>
    <t>月月有钱</t>
  </si>
  <si>
    <t>http://ts.21cn.com/tousu/show/id/1367950</t>
  </si>
  <si>
    <t>2019/10/17 09:02:54</t>
  </si>
  <si>
    <t>投诉人刘先生投诉对象月月有钱涉诉金额1600元问题类型诉求类型投诉详情月月有钱高利贷，1600额度，到账1120，最后还款1648。</t>
  </si>
  <si>
    <t>京东金融不当催收</t>
  </si>
  <si>
    <t>http://ts.21cn.com/tousu/show/id/1367949</t>
  </si>
  <si>
    <t>2019/10/17 09:00:59</t>
  </si>
  <si>
    <t>京东金融又找催收发短信打电话骚扰通讯录好友。</t>
  </si>
  <si>
    <t>韦博英语跑路欠下巨款</t>
  </si>
  <si>
    <t>http://ts.21cn.com/tousu/show/id/1367948</t>
  </si>
  <si>
    <t>2019/10/17 08:58:53</t>
  </si>
  <si>
    <t>投诉人 朱肉先生        投诉对象  韦博英语        涉诉金额  9 000 元    问题类型    诉求类型投诉详情  投诉韦博英语高卫宇捐款跑路。请政府接入调查</t>
  </si>
  <si>
    <t>捷信电话骚扰</t>
  </si>
  <si>
    <t>http://ts.21cn.com/tousu/show/id/1367947</t>
  </si>
  <si>
    <t>2019/10/17 08:58:16</t>
  </si>
  <si>
    <t>能不能不要给我打电话了能不能不要给我打电话了能不能。</t>
  </si>
  <si>
    <t>http://ts.21cn.com/tousu/show/id/1367946</t>
  </si>
  <si>
    <t>2019/10/17 08:57:04</t>
  </si>
  <si>
    <t>还好我的钱都不放在银行卡，要不然我的血汗钱全部你盗走了，真是无语，人心别那么脏，多为你的子孙后代积德吧。</t>
  </si>
  <si>
    <t>浦发银行第三方上门催收</t>
  </si>
  <si>
    <t>http://ts.21cn.com/tousu/show/id/1367944</t>
  </si>
  <si>
    <t>2019/10/17 08:56:19</t>
  </si>
  <si>
    <t>10月16日，我下班回家后，发现银行外包的第三方在我爸爸妈妈的家里等我，跑到隔壁人家去问东问西，还要去找村委会，我也和他们解释了事情的全部过程，还高利贷我已经把我2套房子都卖掉了，带着2孩子借住在我爸爸家，现在国家扫黑除恶，高利贷的人已经拘留了，财产房产都冻结了，公安局的人明确和我说会退赃，我现在手上确实没有那么多钱来一次性还款，能否直接和信用卡中心协商停息挂账，分期还款，第三方的人说今天还要去我爸爸妈妈家，说星期五不还款就报警抓我，我爸爸有高血压，请第三方不要再跑到我爸爸妈妈家去！！！我爸爸为了这个事情已</t>
  </si>
  <si>
    <t>苹果分期app高利贷，汇潮支付违规为其提供支付通道</t>
  </si>
  <si>
    <t>http://ts.21cn.com/tousu/show/id/1367943</t>
  </si>
  <si>
    <t>2019/10/17 08:55:51</t>
  </si>
  <si>
    <t>投诉人徐先生投诉对象苹果分期,汇潮支付涉诉金额2207元问题类型诉求类型投诉详情苹果分期app，在国家扫黑除恶巡视高压态势下依然进行高利贷放款，借款到账1430，5天需要还款2207.92，利息高达780余元，完全是套路贷，违规为其提供支付通道作为支付平台完全无视国家法律法规，汇潮支付为了获得不当得利，违规为其提供支付通道，作为支付平台完全无视国家法律法规，现我要求本金销账，否则我会将相关材料递交沈阳扫网络黑除恶巡视组，连同汇潮支付的材料一并递交。</t>
  </si>
  <si>
    <t>360借条欠款已还清，请解绑我银行卡</t>
  </si>
  <si>
    <t>http://ts.21cn.com/tousu/show/id/1367942</t>
  </si>
  <si>
    <t>2019/10/17 08:55:29</t>
  </si>
  <si>
    <t>投诉人 尚女士        投诉对象  360借条        涉诉金额  0 元    问题类型    诉求类型投诉详情  所有欠款已还清，要求解绑银行卡，结清证明</t>
  </si>
  <si>
    <t>POS刷卡好几天不到帐</t>
  </si>
  <si>
    <t>http://ts.21cn.com/tousu/show/id/1367939</t>
  </si>
  <si>
    <t>2019/10/17 08:54:42</t>
  </si>
  <si>
    <t>14号上午刷的卡，几天了不到账，400电话一直打不通，昨天可以联系上客服，说当天会到账，现在17号了一直没到帐。</t>
  </si>
  <si>
    <t>714超高利贷</t>
  </si>
  <si>
    <t>http://ts.21cn.com/tousu/show/id/1367938</t>
  </si>
  <si>
    <t>2019/10/17 08:54:07</t>
  </si>
  <si>
    <t>花闪云，借款4500元实际到账2812.5元，周期5天，美杜莎借款2500元，实际到账1750元周期5天，由于最近遇到困难，高额利息违约金已高达9199.79元该平台的催收最近打爆我通讯录打电话辱骂亲友，发发辱骂短信。</t>
  </si>
  <si>
    <t>薪意贷高利贷，暴力催收</t>
  </si>
  <si>
    <t>http://ts.21cn.com/tousu/show/id/1367935</t>
  </si>
  <si>
    <t>2019/10/17 08:53:37</t>
  </si>
  <si>
    <t>本人通过信用管家平台在薪意贷上贷款2250，分6期还款，每期10天，一次还款529元左右，总共还款将近3170多，两个月利息将近1000左右，严重超出国家规定利率，堪比高利贷，而且逾期会有工作人员态度恶劣的催收！要求调整利率，协商还款。</t>
  </si>
  <si>
    <t>不知情扣取银行卡费用</t>
  </si>
  <si>
    <t>http://ts.21cn.com/tousu/show/id/1367937</t>
  </si>
  <si>
    <t>2019/10/17 08:53:34</t>
  </si>
  <si>
    <t>按照要求然后绑定了手机号码，然后绑定收款银行卡号，我还没申请借款，就收到了银行扣费299，我都没有输入密码就扣我款了，而且我没有签订什么会员啊或者绿色通道此类的协议。</t>
  </si>
  <si>
    <t>看新闻不小心点了处处广告结果被扣198</t>
  </si>
  <si>
    <t>http://ts.21cn.com/tousu/show/id/1367934</t>
  </si>
  <si>
    <t>2019/10/17 08:52:28</t>
  </si>
  <si>
    <t>投诉人 李先生        投诉对象  有缘网        涉诉金额  198 元    问题类型    诉求类型投诉详情  昨晚加班看新闻时 不小心点了 处处app结果他就自动下载了 接着就被扣了198</t>
  </si>
  <si>
    <t>淘手游APP提现，手机收不到验证码。</t>
  </si>
  <si>
    <t>http://ts.21cn.com/tousu/show/id/1367933</t>
  </si>
  <si>
    <t>2019/10/17 08:50:50</t>
  </si>
  <si>
    <t>10月14日，在淘手游APP出售手游作妖计账号，交易已经成功，所获交易资金现存在淘手游APP，根据淘手游APP相关提现规则，本人全部符合，但提现时，手机收不到任何关于淘手游APP发来的验证码，导致无法提现，每天打客服电话，不予解决问题，现需解决我提现问题。</t>
  </si>
  <si>
    <t>折疯了海淘app以假充真售卖，且不退货</t>
  </si>
  <si>
    <t>http://ts.21cn.com/tousu/show/id/1367931</t>
  </si>
  <si>
    <t>2019/10/17 08:50:01</t>
  </si>
  <si>
    <t>本人于10月12日在公司名下网购平台折疯了海淘app购买了匡威chuck，pop鞋款，收到货物后我自费通过多个平台对该球鞋进行鉴定均显示为假货，在购买前，商家一直以正品为说辞，且以不允许7天内退货的霸王条款，即使收到假鞋也不允许我退货，客服也一直是以机器人的方式重复回答说鞋为海淘正品，拖延时间不允许退货，假货终究是假货希望平台帮帮我。</t>
  </si>
  <si>
    <t>一次性结清费用</t>
  </si>
  <si>
    <t>http://ts.21cn.com/tousu/show/id/1367932</t>
  </si>
  <si>
    <t>2019/10/17 08:49:50</t>
  </si>
  <si>
    <t>投诉人 黄女士        投诉对象  信用钱包        涉诉金额  6 000 元    问题类型    诉求类型投诉详情  我在信用钱包借款6000元 现已还完7期6052元 我要求一次性结清剩余2期和该有的利息</t>
  </si>
  <si>
    <t>http://ts.21cn.com/tousu/show/id/1367930</t>
  </si>
  <si>
    <t>2019/10/17 08:49:48</t>
  </si>
  <si>
    <t>玖富万卡变态收取高额服务费高额利息严重违反国家规定利率标准实际借款5000元要还8000并且玖富万卡在未经本人允许擅自移交我资料给第三方骚扰我通讯录好友家人实施软暴力催收。</t>
  </si>
  <si>
    <t>http://ts.21cn.com/tousu/show/id/1367929</t>
  </si>
  <si>
    <t>2019/10/17 08:49:14</t>
  </si>
  <si>
    <t>京东白天催收人员发短信给非本人以外的通讯录联系人，收到短信的联系人被恐吓造成事故意外需要追诉赔偿。</t>
  </si>
  <si>
    <t>汇潮支付，华农钱庄支付砍头息</t>
  </si>
  <si>
    <t>http://ts.21cn.com/tousu/show/id/1367927</t>
  </si>
  <si>
    <t>2019/10/17 08:46:58</t>
  </si>
  <si>
    <t>华农钱庄高利贷砍头息借款2500，期限5天，砍头息1125，实际到账1375要求销账，正常处理，可以协商还本金，通过借款平台“小七钱包”下载存在砍头息1125借款期限5天放款渠道是：汇潮支付有限公司官方客服QQ:2124673184。</t>
  </si>
  <si>
    <t>拼多多恶意扣款，进一个网站没了142块钱不处理</t>
  </si>
  <si>
    <t>http://ts.21cn.com/tousu/show/id/1367928</t>
  </si>
  <si>
    <t>2019/10/17 08:46:54</t>
  </si>
  <si>
    <t>进了一个浏览器网站无缘无故被扣142也没买东西啥也没买，订单号有没有订单。</t>
  </si>
  <si>
    <t>宜人贷收取砍头息</t>
  </si>
  <si>
    <t>http://ts.21cn.com/tousu/show/id/1367926</t>
  </si>
  <si>
    <t>2019/10/17 08:46:15</t>
  </si>
  <si>
    <t>我于2019年9月26日在宜人贷贷款75000元，宜人贷于9月30日放款75000元，但宜人贷出具的合同为10万元，违法收取高额信息费4000元及前期服务保障金25000元，现我如果一次性还清必须支付102414元，宜人贷已涉嫌收取砍头息。</t>
  </si>
  <si>
    <t>在魔筷星选上买护肤品使用后过敏联系商家不给处理，商家骂人</t>
  </si>
  <si>
    <t>http://ts.21cn.com/tousu/show/id/1367924</t>
  </si>
  <si>
    <t>2019/10/17 08:45:15</t>
  </si>
  <si>
    <t>本人于2019年7月30日通过快手直播平台在魔筷星选上购买了一套护肤品，近期使用产生过敏症状，与其商家进行沟通处理，商家推卸责任，还出现辱骂客户情况，请求官方帮助处理.。</t>
  </si>
  <si>
    <t>微应急高利贷放款，汇潮支付协助放款，违规提供支付通道</t>
  </si>
  <si>
    <t>http://ts.21cn.com/tousu/show/id/1367923</t>
  </si>
  <si>
    <t>2019/10/17 08:42:47</t>
  </si>
  <si>
    <t>微应急，在国家扫黑除恶巡视高压态势下依然进行高利贷放款，借款到账1430，5天需要还款2207.92，利息高达780余元，完全是套路贷，违规为其提供支付通道作为支付平台完全无视国家法律法规，汇潮支付为了获得不当得利，违规为其提供支付通道，作为支付平台完全无视国家法律法规，现我要求本金销账，否则我会将相关材料递交沈阳扫网络黑除恶巡视组，连同汇潮支付的材料一并递交。</t>
  </si>
  <si>
    <t>国美违规提供虚假商户购买人口</t>
  </si>
  <si>
    <t>http://ts.21cn.com/tousu/show/id/1367921</t>
  </si>
  <si>
    <t>2019/10/17 08:41:55</t>
  </si>
  <si>
    <t>国美提供虚假商户购买，本人并未在国美消费购买商品，却有4笔交易记录，望国美给个合理的解释并追回损失。</t>
  </si>
  <si>
    <t>虚假广告宣传</t>
  </si>
  <si>
    <t>http://ts.21cn.com/tousu/show/id/1367920</t>
  </si>
  <si>
    <t>2019/10/17 08:40:46</t>
  </si>
  <si>
    <t>广告宣传月入过万，对公车每天十几个小时有时候才一两百，黑车四五百！！。</t>
  </si>
  <si>
    <t>平安付科技服务有限公司无故扣款5000元</t>
  </si>
  <si>
    <t>http://ts.21cn.com/tousu/show/id/1367916</t>
  </si>
  <si>
    <t>2019/10/17 08:38:38</t>
  </si>
  <si>
    <t>平安付科技服务有限公司无故扣款5000元农行卡号62****************9。</t>
  </si>
  <si>
    <t>街电充电宝丢失又找回还扣除99元</t>
  </si>
  <si>
    <t>http://ts.21cn.com/tousu/show/id/1367917</t>
  </si>
  <si>
    <t>2019/10/17 08:37:35</t>
  </si>
  <si>
    <t>投诉人李先生投诉对象街电涉诉金额99元问题类型诉求类型投诉详情电宝找到了却还要扣99，而且打客服电话没人接，不知道怎么搞的。</t>
  </si>
  <si>
    <t>投诉闪银</t>
  </si>
  <si>
    <t>http://ts.21cn.com/tousu/show/id/1367919</t>
  </si>
  <si>
    <t>投诉人李先生投诉对象Wecash闪银涉诉金额2000元问题类型诉求类型投诉详情本人在闪银借两千实际到账2440扣了560会员费，分三个月还每个月要还700利息高达一千多希望好好管管。</t>
  </si>
  <si>
    <t>小花钱包威胁恐吓泄漏他人信息</t>
  </si>
  <si>
    <t>http://ts.21cn.com/tousu/show/id/1367918</t>
  </si>
  <si>
    <t>投诉人李女士投诉对象小花钱包涉诉金额3000元问题类型诉求类型投诉详情小花钱包暴力催收爆我通讯录群发个人隐私信息泄漏个人身份证信息以及家庭住址。</t>
  </si>
  <si>
    <t>诸葛借米高利贷，汇潮支付协助放款</t>
  </si>
  <si>
    <t>http://ts.21cn.com/tousu/show/id/1367912</t>
  </si>
  <si>
    <t>2019/10/17 08:34:16</t>
  </si>
  <si>
    <t>诸葛借米，在国家扫黑除恶巡视高压态势下依然进行高利贷放款，借款到账1430，5天需要还款2207.92，利息高达780余元，完全是套路贷，违规为其提供支付通道作为支付平台完全无视国家法律法规，汇潮支付为了获得不当得利，违规为其提供支付通道，作为支付平台完全无视国家法律法规，现我要求本金销账，否则我会将相关材料递交沈阳扫网络黑除恶巡视组，连同汇潮支付的材料一并递交。</t>
  </si>
  <si>
    <t>人品贷非法联系本人联系人，涉嫌套用个人隐私</t>
  </si>
  <si>
    <t>http://ts.21cn.com/tousu/show/id/1367911</t>
  </si>
  <si>
    <t>2019/10/17 08:33:15</t>
  </si>
  <si>
    <t>能联系到本人的情况下还要非法拨打联系人，进行恐吓本人。</t>
  </si>
  <si>
    <t>月光侠分期高利贷砍头息</t>
  </si>
  <si>
    <t>http://ts.21cn.com/tousu/show/id/1367910</t>
  </si>
  <si>
    <t>2019/10/17 08:32:11</t>
  </si>
  <si>
    <t>月光侠分期，因本人急用钱，特向该公司借钱，借和申请的时候没有提示要还多少，我觉得应该是正常的，到了钱到账以后我一看账单，一共借了2500，要我3个月还每个月还1260，这不是坑人是什么。</t>
  </si>
  <si>
    <t>捷信金融这到底是不是高利贷？，如何解决？</t>
  </si>
  <si>
    <t>http://ts.21cn.com/tousu/show/id/1367909</t>
  </si>
  <si>
    <t>2019/10/17 08:31:55</t>
  </si>
  <si>
    <t>在捷信金融借21000分24期，每期1437.27，已经还了19期，利息太高了，最近一段时间经济上有困难实在还不起了。</t>
  </si>
  <si>
    <t>http://ts.21cn.com/tousu/show/id/1367907</t>
  </si>
  <si>
    <t>2019/10/17 08:31:28</t>
  </si>
  <si>
    <t>以刷单的名义诱导赌博，致使本人上当受骗，要求退回受损金额。</t>
  </si>
  <si>
    <t>拍拍贷协商一次性还款</t>
  </si>
  <si>
    <t>http://ts.21cn.com/tousu/show/id/1367908</t>
  </si>
  <si>
    <t>2019/10/17 08:31:17</t>
  </si>
  <si>
    <t>本人在2019年1月1日在拍拍贷app中借款8100元，分12期偿还，现在9期共还了8607.54元，远超本金8100元，剩下3期想一次性结清，发现仍需还款2561.43元，计算之后发现年利率竟高达36％，本人因家庭变故实在无法承受如此高额的利息，逾期还面临高额的逾期费用，期间亲朋好友还收到各种骚扰电话，现在希望与拍拍贷平台协商一次性结清欠款，销账处理，并提供结清证明。</t>
  </si>
  <si>
    <t>畅捷支付合伙信用管家薪意贷高利贷砍头息</t>
  </si>
  <si>
    <t>http://ts.21cn.com/tousu/show/id/1367906</t>
  </si>
  <si>
    <t>2019/10/17 08:30:34</t>
  </si>
  <si>
    <t>本人于2019年8月26日在信用管家提供第三方薪意贷借款2250元，分6期的10天一期，每一期还款522.05元，总要还款3132元，远远超过国家规定的年规划百分之36的利息，现已还4期2088元剩最后两期协商还300元做销帐处理，畅捷支付为其高利贷提供支付通道将进一步去中国支付清算协会举报该支付平台违规违法行为。</t>
  </si>
  <si>
    <t>http://ts.21cn.com/tousu/show/id/1367905</t>
  </si>
  <si>
    <t>2019/10/17 08:30:26</t>
  </si>
  <si>
    <t>因本人资金不足，在百事普惠网贷平台贷款，需要绑定银行卡，我当时还没贷款，短信提示扣除了100元，还剩余199未支付，将会在余额充足时扣除，我第一时间投诉，要求退还，百事普惠公司承诺退款，也承诺剩余的199元，不需要在支付，本人要求腿还100元，并且剩余的不需要在支付，。</t>
  </si>
  <si>
    <t>电信诈骗淘宝退款变贷款</t>
  </si>
  <si>
    <t>http://ts.21cn.com/tousu/show/id/1367889</t>
  </si>
  <si>
    <t>2019/10/17 08:28:40</t>
  </si>
  <si>
    <t>第一点这个事情是电信诈骗案，淘宝退款变贷款诈骗，第二我的信息泄露和淘宝有关系，我在哪买的衣服什么时候买的，什么颜色，我的个人信息都知道，淘宝是不是应当承担这个责任，如果我不去买不去使用也不会受骗，不能只看着利息出了问题不去承担，为什么我在操作的过程中你们没有电话通知确认是不是本人操作，确认贷款金额，还有利率再去贷款，这样的案例很多为什么支付宝没有公告告诫我们防止受骗，第五这件事情对我们造成精神上生活上的困扰你们谁会去承担。</t>
  </si>
  <si>
    <t>@银联盗扣</t>
  </si>
  <si>
    <t>http://ts.21cn.com/tousu/show/id/1367904</t>
  </si>
  <si>
    <t>2019/10/17 08:27:55</t>
  </si>
  <si>
    <t>大晚上没经本人同意，直接扣款，不明白资金去向，希望给出解释。</t>
  </si>
  <si>
    <t>洋钱罐乱收费，骚扰</t>
  </si>
  <si>
    <t>http://ts.21cn.com/tousu/show/id/1367903</t>
  </si>
  <si>
    <t>2019/10/17 08:26:41</t>
  </si>
  <si>
    <t>1、乱收费，逾期五天收费罚息87.262、晚上8点之后打我通讯录朋友电话，造成骚扰，属非正常催收。</t>
  </si>
  <si>
    <t>投诉通联支付，特约（小通商城）恶意扣款</t>
  </si>
  <si>
    <t>http://ts.21cn.com/tousu/show/id/1367902</t>
  </si>
  <si>
    <t>2019/10/17 08:26:31</t>
  </si>
  <si>
    <t>该平台盗刷我银行卡累计五次，胆大妄为，若不退款及处罚，本人将24小时内报警。</t>
  </si>
  <si>
    <t>豹子贷恶意扣款</t>
  </si>
  <si>
    <t>http://ts.21cn.com/tousu/show/id/1367900</t>
  </si>
  <si>
    <t>2019/10/17 08:24:16</t>
  </si>
  <si>
    <t>豹子贷利用信用评估恶意扣款而且还扣了两笔，短信显示扣一次，问客服客服还理直气壮的不给退，说要半个月才退。</t>
  </si>
  <si>
    <t>处处app强制扣费</t>
  </si>
  <si>
    <t>http://ts.21cn.com/tousu/show/id/1367901</t>
  </si>
  <si>
    <t>引诱用户开通支付宝免密支付,然后在没有任何提示的情况下,诱导用户免费领取三天体验会员,领取后就自动扣款两次,并且没有任何扣款提示。</t>
  </si>
  <si>
    <t>支付宝微信银联境外赌博网站用你们的支付工具在收集赌资请你们立即巡查关停所有违规违法支付方式</t>
  </si>
  <si>
    <t>http://ts.21cn.com/tousu/show/id/1367870</t>
  </si>
  <si>
    <t>2019/10/17 08:21:42</t>
  </si>
  <si>
    <t>投诉人周先生投诉对象支付宝,微信支付,中国银联涉诉金额0元问题类型诉求类型投诉详情境外赌博网站世外桃源娱乐城长期利用支付宝微信银联钱包等方式，希望支付服务商立即长期排查这个网站，不再为期提供支付服务我也会长期和人民银行反应，希望三大公司立即和我联系,赌博网站网站www.swty2777.com或者http://swty7799.com。</t>
  </si>
  <si>
    <t>my钱包逾期第一天要求下午还款</t>
  </si>
  <si>
    <t>http://ts.21cn.com/tousu/show/id/1367898</t>
  </si>
  <si>
    <t>2019/10/17 08:21:21</t>
  </si>
  <si>
    <t>投诉人 董先生        投诉对象  MY钱包        涉诉金额  1 700 元    问题类型    诉求类型投诉详情  今天my钱包逾期第一天 因为目前人在高铁上 身上只有现金 银行卡内无足够的钱来还款 需要等下午两点左右 高铁到站后 找ATM机存上 ，希望能在下午三点前还款 之前请停止骚扰</t>
  </si>
  <si>
    <t>玖富万卡暴力催收，高利贷</t>
  </si>
  <si>
    <t>http://ts.21cn.com/tousu/show/id/1367896</t>
  </si>
  <si>
    <t>2019/10/17 08:20:13</t>
  </si>
  <si>
    <t>玖富万卡借了10000,已还5780,现在还要还15683,真实吃人不吐骨头。</t>
  </si>
  <si>
    <t>聚富分期非法扣款150元</t>
  </si>
  <si>
    <t>http://ts.21cn.com/tousu/show/id/1367894</t>
  </si>
  <si>
    <t>2019/10/17 08:19:33</t>
  </si>
  <si>
    <t>借款不给借款，直接扣了我150元，放卡里直接给扣了，谁给他的权益，凭什么扣，都好几天了，11号申请的他们平台，16号晚上把我钱给扣了，11号当天就给我拒绝了，为什么还要非法扣我的钱，聚富分期，聚福钱包，拇指下款，这三家都是同一个公司，第三方中介平台。</t>
  </si>
  <si>
    <t>宜信普惠暴力催收诋毁污蔑</t>
  </si>
  <si>
    <t>http://ts.21cn.com/tousu/show/id/1367893</t>
  </si>
  <si>
    <t>2019/10/17 08:19:22</t>
  </si>
  <si>
    <t>宜信普惠赣州分公司放高利贷，暴力催收，协商偿还本金不接受，爆我通讯录，拨打公司、同事电话恶意诋毁本人，说我赌博、吸毒，现老婆逼我离婚，家庭破裂，公司单位已下预警信息，请求聚投诉能严打这样的网贷公司，给我们一个合法权益，给暴力催收人员、公司一个下场。</t>
  </si>
  <si>
    <t>冻结账号为什么要冻结我资产</t>
  </si>
  <si>
    <t>http://ts.21cn.com/tousu/show/id/1367892</t>
  </si>
  <si>
    <t>2019/10/17 08:18:42</t>
  </si>
  <si>
    <t>这不是钱多钱少的问题，不让我们司机线下交易接单可以冻结我账号可以，为什么连我们的辛苦油钱钱都要冻结，这是我们的资产，不是你们的，就想强行霸占我们资产吗。</t>
  </si>
  <si>
    <t>有钱存着不扣款</t>
  </si>
  <si>
    <t>http://ts.21cn.com/tousu/show/id/1367891</t>
  </si>
  <si>
    <t>2019/10/17 08:17:02</t>
  </si>
  <si>
    <t>投诉人王女士投诉对象平安普惠涉诉金额1000元问题类型诉求类型投诉详情app里一直资金充足，平安普惠显示我逾期15天，一直不扣款，本应尝还279.4元账户余额充足，本人在还款日当天就已充值还款，平安普惠不给扣款并产生罚息1.2元！今日本人将罚息补入并申请还款，也一直显示余额不足！要求平安普惠给出解释！本人平安普惠账号是187******37。</t>
  </si>
  <si>
    <t>银行卡恶意盗刷</t>
  </si>
  <si>
    <t>http://ts.21cn.com/tousu/show/id/1367888</t>
  </si>
  <si>
    <t>2019/10/17 08:14:44</t>
  </si>
  <si>
    <t>19年8月13日下午8点5分，被无卡消费550元，蚌埠市福瑞特通讯设备扣除550元，去柜台跟前台沟通，前台让去报警，报警到现在都没有消息，希望该平台能催促银行退款，这是我一个月生活费，上个月吃了一个月馒头，麻烦让银行迅速退款，谢谢。</t>
  </si>
  <si>
    <t>360借条爆通讯录</t>
  </si>
  <si>
    <t>http://ts.21cn.com/tousu/show/id/1367887</t>
  </si>
  <si>
    <t>2019/10/17 08:13:13</t>
  </si>
  <si>
    <t>在不是恶意逾期的情况下，没有经过本人同意骚扰我的朋友和家人，给我造成极大的名誉损失。</t>
  </si>
  <si>
    <t>立借平台爆通讯录</t>
  </si>
  <si>
    <t>http://ts.21cn.com/tousu/show/id/1367886</t>
  </si>
  <si>
    <t>2019/10/17 08:11:43</t>
  </si>
  <si>
    <t>立借催收太牛了，下午打电话打到我朋友那，朋友没理他，马上又打电话过来骂人，上午打电话到亲戚那，又是开口怎么怎么样，不还逾期费又怎么样，既然立借你们平台催收这么牛，爆了本人通讯录，恐吓本人以及朋友亲戚，还说本人没接你们电话，你们就好像来意了，隔两天打电话过来讲下，本人说的很明白，是你们平台解决问题速度太慢，造成的的逾期，怪不得哪个，平台利息高达220%，高炮的高炮，现在想结案，可以啊，你们催收部谁打的电话过来骂人，就叫那个骂人的打电话过来道歉，给本人造成名誉损伤，也要道歉。</t>
  </si>
  <si>
    <t>及贷协商还款</t>
  </si>
  <si>
    <t>http://ts.21cn.com/tousu/show/id/1367885</t>
  </si>
  <si>
    <t>2019/10/17 08:10:48</t>
  </si>
  <si>
    <t>本人于2018年12月11日申请及贷10800元，已还九期，剩余三期协商全还款，屡次打客服电话，让等回话，至今未收到电话，导致逾期，请求处理。</t>
  </si>
  <si>
    <t>http://ts.21cn.com/tousu/show/id/1367884</t>
  </si>
  <si>
    <t>2019/10/17 08:07:23</t>
  </si>
  <si>
    <t>马上金融10月16号还款日期到了，17号逾期一天就暴力催收威胁，因现在资金周转不过来要求延迟一两天处理借款问题，本来一直都是主动按时还款的，。</t>
  </si>
  <si>
    <t>http://ts.21cn.com/tousu/show/id/1367883</t>
  </si>
  <si>
    <t>2019/10/17 08:06:00</t>
  </si>
  <si>
    <t>我于6月从丰趣海淘离职，至今该公司还拖欠我2个月工资，依法维权走的很艰辛从仲裁调节到法院强制执行，老板至今都没有给到工资，法院的工作人员对于这种老赖的行为，也没有强硬的态度，到目前为止丰趣海淘APP还在正常运行，正常盈利，可是老板对于离职员工的工资一点承诺都没有。</t>
  </si>
  <si>
    <t>银生宝为违法网站提供交易平台，请为我挽回损失</t>
  </si>
  <si>
    <t>http://ts.21cn.com/tousu/show/id/1367882</t>
  </si>
  <si>
    <t>2019/10/17 08:05:31</t>
  </si>
  <si>
    <t>投诉人冯先生投诉对象银生宝涉诉金额1200元问题类型诉求类型投诉详情本人平常喜欢玩-玩中国体育彩票，后来收到个陌生人短信，可以在网上投注，不用再去跑实体店买票，于是我听信了这个，后来在违规网站上一直输钱，经过朋友提醒才发觉这是违规赌博网站，希望能帮助追回资金,充值通道是云闪付里面用农业银行卡支付，银生宝为赌博游戏提供推广、支付服务的法律责任:《中华人民共和国刑法》第二百八十七条之二:明知他人利用信息网络实施犯罪，为其犯罪提供互联网接入、服务器托管、网络存储、通讯传输等技术支持，或者提供广告推广、支付结算等帮</t>
  </si>
  <si>
    <t>网站以刷单名义诱导本人赌博，拼多多为赌博网站提供支付通道</t>
  </si>
  <si>
    <t>http://ts.21cn.com/tousu/show/id/1367881</t>
  </si>
  <si>
    <t>2019/10/17 08:04:27</t>
  </si>
  <si>
    <t>如今恍然大悟得知该网站为赌博网站，现在网站的欺诈行为造成本人大量经济损失，拼多多为赌博平台提供支付通道应当承担相应的连带法律责任。</t>
  </si>
  <si>
    <t>美团外卖扣钱不送餐</t>
  </si>
  <si>
    <t>http://ts.21cn.com/tousu/show/id/1367880</t>
  </si>
  <si>
    <t>2019/10/17 08:03:28</t>
  </si>
  <si>
    <t>10月12日本人在美团外卖花费21.6元购餐，两个小时过去了未见外卖小哥，饿得着急却怎么联系不上商家，只能到外边吃饭了，吃过饭后事情多忘记外卖的事情了，15日晚上联系美团客服推诿，现在是钱没有退回来，外卖还没到，道歉的话都没有。</t>
  </si>
  <si>
    <t>薪薪借钱乱扣费</t>
  </si>
  <si>
    <t>http://ts.21cn.com/tousu/show/id/1367879</t>
  </si>
  <si>
    <t>2019/10/17 08:02:50</t>
  </si>
  <si>
    <t>投诉人季女士投诉对象薪薪借钱涉诉金额199元问题类型诉求类型投诉详情本人在2019年10月15日下载了薪薪借钱，绑定了银行卡，发现借不了钱变退出登陆，卸载了，薪薪借款在本人未操作的情况下私自扣款199元整。</t>
  </si>
  <si>
    <t>洋钱罐高利贷，逾期费</t>
  </si>
  <si>
    <t>http://ts.21cn.com/tousu/show/id/1367878</t>
  </si>
  <si>
    <t>2019/10/17 08:01:22</t>
  </si>
  <si>
    <t>本人在洋钱罐平台借款5000元6期要还6000，现最后一期逾期克几天，每天都产生高额逾期费，现在要求减免逾期费用，请有关部门解决一下。</t>
  </si>
  <si>
    <t>情人花乱扣钱</t>
  </si>
  <si>
    <t>http://ts.21cn.com/tousu/show/id/1367877</t>
  </si>
  <si>
    <t>2019/10/17 08:00:45</t>
  </si>
  <si>
    <t>情人花和安庆盛通信息科技有限公司未经本人允许，半夜从走银行卡扣款288，性质恶劣！！！本人已经向当地我12345反应。</t>
  </si>
  <si>
    <t>御剑飞行强行放款高利贷</t>
  </si>
  <si>
    <t>http://ts.21cn.com/tousu/show/id/1367876</t>
  </si>
  <si>
    <t>2019/10/17 07:57:38</t>
  </si>
  <si>
    <t>10月12日御剑飞行无协议强制放款2100，四天16号要求还款3500多，要求协商2100销账停止骚扰，否则备案报警扫黑办。</t>
  </si>
  <si>
    <t>壹心分期高额砍头息套路贷连连支付纵容套路贷</t>
  </si>
  <si>
    <t>http://ts.21cn.com/tousu/show/id/1367875</t>
  </si>
  <si>
    <t>2019/10/17 07:57:17</t>
  </si>
  <si>
    <t>本人在壹心分期APP上借款2100元，实际到账1525，，高达575的砍头息，连连支付为壹心分期提供的支付通道！现在由于债务危机爆发，通讯录被骚扰的不成样子，特来此协商处理，望工作人员尽快与我本人联系！。</t>
  </si>
  <si>
    <t>http://ts.21cn.com/tousu/show/id/1367874</t>
  </si>
  <si>
    <t>2019/10/17 07:55:37</t>
  </si>
  <si>
    <t>投诉人刘先生投诉对象立借,通联支付,深圳市大地信通担保有限公司涉诉金额5500元问题类型诉求类型投诉详情本人由于资金问题在立借平台借款5500元，分12期还款，利息为2000多元，待合同形成后发现前三期还款已达到6985元，为标准的高利贷形式，先家里人了解之后咨询律师后得知这是标准的阴阳合同，为法律所禁止的高利贷，现申请按照国家法定利率还清剩余本金及利息。</t>
  </si>
  <si>
    <t>闪银客服不回复催收无法沟通</t>
  </si>
  <si>
    <t>http://ts.21cn.com/tousu/show/id/1367873</t>
  </si>
  <si>
    <t>2019/10/17 07:55:32</t>
  </si>
  <si>
    <t>投诉人 张女士        投诉对象  Wecash闪银        涉诉金额  2 200 元    问题类型    诉求类型投诉详情  老用户想延期 ，跟客服说了原因之后说帮我反馈 稍后有工作人员联系我 ，客服一点儿也不作为。结果一天也没人联系我 找在线客服 排队排很久结果问了半个多小时也不回复 只有催收的电话打来威胁我 我说明原因 催收说客服说啥在他这里没用</t>
  </si>
  <si>
    <t>左右钱包高利贷，汇潮支付协助放款</t>
  </si>
  <si>
    <t>http://ts.21cn.com/tousu/show/id/1367872</t>
  </si>
  <si>
    <t>2019/10/17 07:54:18</t>
  </si>
  <si>
    <t>左右钱包，在国家扫黑除恶巡视高压态势下依然进行高利贷放款，借款到账1430，5天需要还款2207.92，利息高达780余元，完全是套路贷，违规为其提供支付通道作为支付平台完全无视国家法律法规，汇潮支付为了获得不当得利，违规为其提供支付通道，作为支付平台完全无视国家法律法规，现我要求本金销账，否则我会将相关材料递交沈阳扫网络黑除恶巡视组，连同汇潮支付的材料一并递交。</t>
  </si>
  <si>
    <t>立借平台利息高以及暴力催收</t>
  </si>
  <si>
    <t>http://ts.21cn.com/tousu/show/id/1367871</t>
  </si>
  <si>
    <t>2019/10/17 07:53:41</t>
  </si>
  <si>
    <t>在平台借了6000，借款之前写的是每月等额本息，下款之后就变成前三期都要还2000多，后面9期都是60几块，已经还了第一期，但第二期由于资金周转不过来，在还款日之前有主动提前跟平台客服申请协商还款，遭拒，逾期之后的罚息每天60元，而且还每天打电话给我和我的家人、朋友。</t>
  </si>
  <si>
    <t>月光侠分期超利贷阴阳合同</t>
  </si>
  <si>
    <t>http://ts.21cn.com/tousu/show/id/1367869</t>
  </si>
  <si>
    <t>2019/10/17 07:52:12</t>
  </si>
  <si>
    <t>钱站子产品月光侠分期超利贷，阴阳合同，实际借款四千元期限三个月，合同上面写的是五千元，每个月要还一千七百多，月光侠还堂而皇之的说是正规贷款，要求返还年化百分之24以外多收的利息。</t>
  </si>
  <si>
    <t>滴滴随意扣分</t>
  </si>
  <si>
    <t>http://ts.21cn.com/tousu/show/id/1367868</t>
  </si>
  <si>
    <t>2019/10/17 07:51:17</t>
  </si>
  <si>
    <t>你们滴滴所谓的报备有什么用途，我要求查看桔视。</t>
  </si>
  <si>
    <t>app进不去，自己也不代扣强制逾期。</t>
  </si>
  <si>
    <t>http://ts.21cn.com/tousu/show/id/1367867</t>
  </si>
  <si>
    <t>2019/10/17 07:51:13</t>
  </si>
  <si>
    <t>投诉人 朱先生        投诉对象  蟹老弟        涉诉金额  3 000 元    问题类型    诉求类型投诉详情  无法还款也无法联系，这是他们自己的问题。</t>
  </si>
  <si>
    <t>点点逾期六天，点点方已有三人通过微信找我，但协商无果！在我不知情的情况下，还给我朋友家人打过电话了！</t>
  </si>
  <si>
    <t>http://ts.21cn.com/tousu/show/id/1367866</t>
  </si>
  <si>
    <t>2019/10/17 07:48:27</t>
  </si>
  <si>
    <t>被网贷折磨半年多，深受其害，早已无力偿还，点点借款5500，分六期还清，每期需还1015.23！本次偿还第四期，逾期第六天，点点方三次已微信方式找我，但协商无果！说我不还已违反协议，要将我的个人信息上报投诉，并上传至我户籍所在地村委会处！。</t>
  </si>
  <si>
    <t>暴力催收.打我父母的电话辱骂我父母</t>
  </si>
  <si>
    <t>http://ts.21cn.com/tousu/show/id/1367865</t>
  </si>
  <si>
    <t>2019/10/17 07:48:18</t>
  </si>
  <si>
    <t>菜鸟有钱暴力催收,还款日的当天还没有逾期就进行催收,我积极的和他们沟通,准备协调.但是他们的催收不知道怎么回事想发疯了一样吼起来了.接着还威胁我说要给我奶奶打电话.就在当天晚上就对我奶奶进行了骚扰甚至还进行了辱骂.而且他们的续期利息实在太高,续一期为三天,还款日当天也算,三天就是300元,高的离谱.希望可以协调销账,并且对骚扰我的家人进行道歉！必须道歉！。</t>
  </si>
  <si>
    <t>一个自导自演的垃圾APP说我在你那借钱你连我的信息都提供不了。还被银监会监管？你怎么那么能呢？怎么不被公安局监管？</t>
  </si>
  <si>
    <t>http://ts.21cn.com/tousu/show/id/1367864</t>
  </si>
  <si>
    <t>2019/10/17 07:46:00</t>
  </si>
  <si>
    <t>投诉人 刘振军先生        投诉对象  极速借        涉诉金额  2 950 元    问题类型    诉求类型投诉详情  自己撤销合同。恢复本人征信，声誉。名誉等！</t>
  </si>
  <si>
    <t>比财一直不到账</t>
  </si>
  <si>
    <t>http://ts.21cn.com/tousu/show/id/1367863</t>
  </si>
  <si>
    <t>2019/10/17 07:45:24</t>
  </si>
  <si>
    <t>朋友推荐下了比财app，参加了新手活动，可是提现怎么这么慢啊，不是说好申请成功后最迟3个工作日到账吗。</t>
  </si>
  <si>
    <t>名校贷拒不退还所谓的“咨询费”即砍头息</t>
  </si>
  <si>
    <t>http://ts.21cn.com/tousu/show/id/1367862</t>
  </si>
  <si>
    <t>2019/10/17 07:40:49</t>
  </si>
  <si>
    <t>这两年来每个月不会有在当天有短信或者电话督促还款，而且是晚上十一点半夜间系统维护的时候导致我逾期，根据我国《合同法》第200条明确规定“借款的利息不得预先在本金中扣除，利息预先在本金中扣除的，应当按照实际借款数额返还借款并计算利息，”在此，名校贷声称所扣除的部分费用作为保证金约束用户按时还款，在我国司法规定在借贷过程中不能有砍头息，，如果放款本金中是扣除还款保证金后，把剩余的部分打给借款人，属于变相的砍头息，涉嫌违法！希望有关部门重视起来，让他们退还咨询费。</t>
  </si>
  <si>
    <t>马上金融无缘无故冻结我额度</t>
  </si>
  <si>
    <t>http://ts.21cn.com/tousu/show/id/1367861</t>
  </si>
  <si>
    <t>2019/10/17 07:36:11</t>
  </si>
  <si>
    <t>去年在小米贷款申请了马上金融循环贷，一直正常用着，因为我看他介绍的是循环贷，所以才选择该产品，也一直使用的很好，结果可用额度就被冻结，跟当时介绍的循环贷完全不符，现要求贵公司把我的可用额度解除冻结，让我正常使用，我会正常还款，就算要冻结，怎么连个通知都没有。</t>
  </si>
  <si>
    <t>一秒陛下高利贷，汇潮支付协助放款</t>
  </si>
  <si>
    <t>http://ts.21cn.com/tousu/show/id/1367860</t>
  </si>
  <si>
    <t>2019/10/17 07:36:07</t>
  </si>
  <si>
    <t>一秒陛下在国家扫黑除恶巡视高压态势下依然进行高利贷放款，借款到账1430，5天需要还款2207.92，利息高达780余元，完全是套路贷，违规为其提供支付通道作为支付平台完全无视国家法律法规，汇潮支付为了获得不当得利，违规为其提供支付通道，作为支付平台完全无视国家法律法规，现我要求本金销账，否则我会将相关材料递交沈阳扫网络黑除恶巡视组，连同汇潮支付的材料一并递交。</t>
  </si>
  <si>
    <t>小鱼儿高利贷暴力催收言语威胁</t>
  </si>
  <si>
    <t>http://ts.21cn.com/tousu/show/id/1367858</t>
  </si>
  <si>
    <t>2019/10/17 07:31:47</t>
  </si>
  <si>
    <t>借款2000实际由富友支付划款到账1400，而且和国家严厉打击色714高炮小额贷款没有区别，导致逾期，逾期之后第一次协商只归还本金1400未果，之后就爆我通讯录，我的附加是要求小鱼儿平台给我通讯录打电话进行过催收的亲朋好友打电话解释，之后就没有人再给我打过电话通知我事情的进展，对方还是继续要求我还款1400加200利息，而且平台的借口金额已经从2000涨到了3000多元，她还是已不知情、找不到与我进行协商的人员为理由。</t>
  </si>
  <si>
    <t>京东白条提前扣款</t>
  </si>
  <si>
    <t>http://ts.21cn.com/tousu/show/id/1367857</t>
  </si>
  <si>
    <t>2019/10/17 07:31:37</t>
  </si>
  <si>
    <t>不到还款日当天，就给我扣款，为什么要提前扣款，这样合规吗，要求退还。</t>
  </si>
  <si>
    <t>http://ts.21cn.com/tousu/show/id/1367856</t>
  </si>
  <si>
    <t>2019/10/17 07:29:29</t>
  </si>
  <si>
    <t>2019年10月17日早上4点多突然听到手机很多信息声音，显示的都是您尾号2236卡10月17日04:16快捷支付支出。</t>
  </si>
  <si>
    <t>搜电共享充电宝乱扣费</t>
  </si>
  <si>
    <t>http://ts.21cn.com/tousu/show/id/1367855</t>
  </si>
  <si>
    <t>2019/10/17 07:26:43</t>
  </si>
  <si>
    <t>本人于10月11日晚7点41分在欧米尼商务酒店使用微信支付分免押金借用搜电充电宝一个，14日微信支付分提示搜电充电宝逾期未归还需支付99元遗失费用，于16日下午14点从本人银行卡内扣款99元。</t>
  </si>
  <si>
    <t>快递延误，未经我同意发往监察部</t>
  </si>
  <si>
    <t>http://ts.21cn.com/tousu/show/id/1367854</t>
  </si>
  <si>
    <t>2019/10/17 07:24:48</t>
  </si>
  <si>
    <t>我家人给我发的食品的快递，而且是新鲜食品，都在陕西，最晚第二天到的，现在未经我允许把我的快递寄到上海检察部，导致我的快递食物变质，无法食用。</t>
  </si>
  <si>
    <t>http://ts.21cn.com/tousu/show/id/1367852</t>
  </si>
  <si>
    <t>2019/10/17 07:20:44</t>
  </si>
  <si>
    <t>高利贷，要不协商还款要不法院见，15000本金要还26000多服务包就4500多砍头息。</t>
  </si>
  <si>
    <t>去花花严重存在高利贷砍头息现象</t>
  </si>
  <si>
    <t>http://ts.21cn.com/tousu/show/id/1367851</t>
  </si>
  <si>
    <t>2019/10/17 07:17:19</t>
  </si>
  <si>
    <t>7月18日，借款1600元，实际到账1120元，在本人不知道的情况下分别出现了750元和480元的保险费，疑似高利贷砍头息，类似阴阳合同，要求退还这750元和480元的保费，不想接触高利贷，希望各个平台或者保险公司能够提供一个良好的解决方案，如遇到问题，本人将准备进一步联系其他各大投诉平台，并尝试与12377取得联系。</t>
  </si>
  <si>
    <t>光大银行信用卡霸王条款</t>
  </si>
  <si>
    <t>http://ts.21cn.com/tousu/show/id/1367850</t>
  </si>
  <si>
    <t>2019/10/17 07:16:05</t>
  </si>
  <si>
    <t>投诉人 翟先生        投诉对象  光大银行信用卡中心        涉诉金额  18 000 元    问题类型    诉求类型投诉详情  信用卡逾期是有困难，没有困难谁愿意逾期，</t>
  </si>
  <si>
    <t>投诉贷上钱黑网贷APP</t>
  </si>
  <si>
    <t>http://ts.21cn.com/tousu/show/id/1367848</t>
  </si>
  <si>
    <t>2019/10/17 07:15:33</t>
  </si>
  <si>
    <t>贷上钱，高利贷，借4000，三个月要还5400多，诉求本人愿一次性全额还款，走国家法定利率，并承诺不在与贷上钱高利贷公司合作。</t>
  </si>
  <si>
    <t>退我私自扣款299</t>
  </si>
  <si>
    <t>http://ts.21cn.com/tousu/show/id/1367849</t>
  </si>
  <si>
    <t>就私自扣费支付了50微信和249银行卡里的钱。</t>
  </si>
  <si>
    <t>水莲金条泄露个人隐私</t>
  </si>
  <si>
    <t>http://ts.21cn.com/tousu/show/id/1367847</t>
  </si>
  <si>
    <t>2019/10/17 07:10:47</t>
  </si>
  <si>
    <t>本人在水莲金条借款，因公司内部培训，本人无法使用手机，没能及时接听到电话，水莲金条于是催收发我借款所有信息给公司邮箱，和发短信给联系人，在我咨询过律师，水莲金条的坎头息，换成了还款时的高额利息。</t>
  </si>
  <si>
    <t>华农钱庄虫虫快借非法高利贷砍头息</t>
  </si>
  <si>
    <t>http://ts.21cn.com/tousu/show/id/1367846</t>
  </si>
  <si>
    <t>2019/10/17 07:09:03</t>
  </si>
  <si>
    <t>华农钱庄,虫虫快借,虫虫快借信息科技有限公司,华农钱庄信息科技有限公司,支付宝,蚂蚁金服，虫虫快借合同上标注到账1925，实际扣除利息只有1375.申请时说是30天，借款出来只有5天，3500利息高达2125元，将近百分之70的利息，联系客服无人应答，客服只有qq号2064284813，2124673184，华农钱庄借款金额2500，实际到账1375，存在高利贷，超利贷行为，要求解释说明，并且不允许骚扰通讯录，如果泄露我的隐私将继续投诉。</t>
  </si>
  <si>
    <t>蚂蚁借呗花呗暴力崔收</t>
  </si>
  <si>
    <t>http://ts.21cn.com/tousu/show/id/1367845</t>
  </si>
  <si>
    <t>2019/10/17 07:01:54</t>
  </si>
  <si>
    <t>投诉人柳女士投诉对象蚂蚁借呗,蚂蚁花呗涉诉金额9700元问题类型诉求类型投诉详情本人刚出院没多久，电话打过来就威胁我，恐吓我，要拘留，起诉，要我去跟家人朋友凑，现在我父母亲被恐吓的在医院。</t>
  </si>
  <si>
    <t>支付宝未网上彩票赌博平台提供充值服务</t>
  </si>
  <si>
    <t>http://ts.21cn.com/tousu/show/id/1367843</t>
  </si>
  <si>
    <t>2019/10/17 06:58:31</t>
  </si>
  <si>
    <t>昨天下午无意中翻阅手机网页，看到一个说日赚千元的信息，然后我点cp900.com一个网上彩票赌博平台，2019年10月16日凌晨00:41到00:44向支付宝商户2支出共计3000元，当时显示的是支付宝平台商户，现在我很后悔不该做发财梦，我希望支付宝给个说法。</t>
  </si>
  <si>
    <t>http://ts.21cn.com/tousu/show/id/1367842</t>
  </si>
  <si>
    <t>2019/10/17 06:55:37</t>
  </si>
  <si>
    <t>信用管家推广的高利贷好运金！！9月6号申请金额2250元！分4个七天还款！每期还款772元一个月需要还款3089元！利息高的839元的天价利息！是杭州市名卡有限公司放款！信用管家给高利贷推广！杭州民卡有限公司给高利贷放款！如此大环境下！还能如此黑暗！本人已经还款2316元了！请信用管家与你平台的好运金联系减免利息销账！不然报警！银监会举报！不要说跟你们没关系！借款跟还款都在你们信用管家！。</t>
  </si>
  <si>
    <t>米多点高利贷</t>
  </si>
  <si>
    <t>http://ts.21cn.com/tousu/show/id/1367841</t>
  </si>
  <si>
    <t>2019/10/17 06:55:18</t>
  </si>
  <si>
    <t>米多点借的时候显示借3000还3500，借好后就是分7天4次还款，每次利息500，已经是高利贷了，客服上来就是爆通讯录，要求合法利息还款，已还款1705.5元。</t>
  </si>
  <si>
    <t>交通银行信用卡电话骚扰</t>
  </si>
  <si>
    <t>http://ts.21cn.com/tousu/show/id/1367840</t>
  </si>
  <si>
    <t>2019/10/17 06:48:45</t>
  </si>
  <si>
    <t>交通银行信用卡中心一天一分钟内电话没停过，客服答应还款进去后48小时内可以正常使用卡片，但没到24小时就降额封卡，一天电话几十个，造成严重的精神伤害，无法正常的生活，工作。</t>
  </si>
  <si>
    <t>比财提现不到账</t>
  </si>
  <si>
    <t>http://ts.21cn.com/tousu/show/id/1367839</t>
  </si>
  <si>
    <t>2019/10/17 06:47:39</t>
  </si>
  <si>
    <t>11号提现的，今天17号了提现一直在审核中，是不是骗子公司呀。</t>
  </si>
  <si>
    <t>要实事求是不要误导性宣传</t>
  </si>
  <si>
    <t>http://ts.21cn.com/tousu/show/id/1367838</t>
  </si>
  <si>
    <t>2019/10/17 06:46:45</t>
  </si>
  <si>
    <t>投诉2019年10月16号本人在天河国际机场坐飞机到西宁办事，在东方航空一旁的服务柜台有一位穿着制服的女生很热情的询问我航班信息，接着又问我机票在哪订的，她都直接肯定的回答说这是航空公司搞的活动，保证最低价，以后打电话购票就行，直接扣卡里的钱，她拿出便签和会员本让签字，我登机时间不多了，心里很紧张顾不上看相关说明，但对机场工作人员还是从心里尊重和信任，也没多想就办理了相关手续，接着她就说航空公司为了与高铁竞争，现在推出会员服务，充值1200送1200，以后直接电话订票，从卡里扣机票钱，并强调会比其他任何方式</t>
  </si>
  <si>
    <t>http://ts.21cn.com/tousu/show/id/1367837</t>
  </si>
  <si>
    <t>2019/10/17 06:44:40</t>
  </si>
  <si>
    <t>以我淘宝账号违规为由，让我进行验证，冒充支付宝客服人员陈志伟工号1769进行违规操作。</t>
  </si>
  <si>
    <t>发布虚假广告，诱导用户缴纳会员费结果不通过，请求退还会员费</t>
  </si>
  <si>
    <t>http://ts.21cn.com/tousu/show/id/1367836</t>
  </si>
  <si>
    <t>2019/10/17 06:39:29</t>
  </si>
  <si>
    <t>投诉人陈先生投诉对象小狮省钱涉诉金额99元问题类型诉求类型投诉详情发布虚假广告，诱导用户缴纳会员费结果不通过，请求退还会员费。</t>
  </si>
  <si>
    <t>嗨钱还款不销账</t>
  </si>
  <si>
    <t>http://ts.21cn.com/tousu/show/id/1367835</t>
  </si>
  <si>
    <t>2019/10/17 06:38:13</t>
  </si>
  <si>
    <t>光华普惠还未到还款日期就各种短信电话催收，上一期他们银行卡无法代扣让对公还款，还款之前说好了，还款后会有短信通知，对公还款的会给本期的结清证明，还款后催促多次都说让等，还款信息在对接，这个是通过一个加微信的催收员说的还款后会给结清证明，你们通过这种哄骗的方式骗取还款，本人已经报警，嗨钱本身也已经涉黑违法，你们也逃脱不了。</t>
  </si>
  <si>
    <t>中国建设银行无卡消费扣款</t>
  </si>
  <si>
    <t>http://ts.21cn.com/tousu/show/id/1367834</t>
  </si>
  <si>
    <t>2019/10/17 06:29:34</t>
  </si>
  <si>
    <t>于2019年10.17号凌晨两点半左右分两笔无卡消费，一笔111.66、一笔241.26…希望建行可以给出扣款单位…并追回…虽然涉嫌金额不大…但是这个问题网上一搜很多都是建行无卡消费被无故扣款…希望可以给我们一个答复。</t>
  </si>
  <si>
    <t>恐吓短信</t>
  </si>
  <si>
    <t>http://ts.21cn.com/tousu/show/id/1367833</t>
  </si>
  <si>
    <t>2019/10/17 06:28:38</t>
  </si>
  <si>
    <t>没借的时候天天打电话，借了后发现利息太高了在这个平台借了共5万，还了近2万了，还要还5万多，算下来要还尽8万，再说家里现在出了事情也没钱还，早起诉就起诉，别天天打电话和发通知书仲裁书之类的东西！。</t>
  </si>
  <si>
    <t>我主良缘欺诈消费</t>
  </si>
  <si>
    <t>http://ts.21cn.com/tousu/show/id/1367832</t>
  </si>
  <si>
    <t>2019/10/17 06:28:07</t>
  </si>
  <si>
    <t>一、未给钱之前，不停的打电话让到实体店进行咨询沟通，到店之后，带到小屋不停的疲劳轰炸进行洗脑，期间多次提出考虑一下准备离开，均不让离开，并且更换不同的人员进行疲劳沟通，导致在头昏脑胀的情况下进行了支付二、给钱之后，服务内容和合同明显不符，介绍的对象不但和之前在小屋子拿出的照片不符，而且和之前我提出的要求不符。</t>
  </si>
  <si>
    <t>涉嫌阴阳合同，骚扰家人朋友</t>
  </si>
  <si>
    <t>http://ts.21cn.com/tousu/show/id/1367831</t>
  </si>
  <si>
    <t>2019/10/17 06:25:55</t>
  </si>
  <si>
    <t>一、合同利率是12%，但是真实利率却超过了40%多，客服解释是超出部分是服务费;二、因个人原因逾期，本人也在积极处理账单，51人品催收每天几个电话，最近还每天电话短信不断的骚扰家里的老人，已经违反了关于催收公约，要求贵公司降息、停止骚扰，本人电话畅通、道歉。</t>
  </si>
  <si>
    <t>锁定帐号，愈期一天开始电话短信骚扰</t>
  </si>
  <si>
    <t>http://ts.21cn.com/tousu/show/id/1367830</t>
  </si>
  <si>
    <t>2019/10/17 06:22:24</t>
  </si>
  <si>
    <t>投诉人尹先生投诉对象马上金融安逸花涉诉金额1300元问题类型诉求类型投诉详情每月按时还款，从未愈期，在未任何通知的情况下单方违反合同锁定账户，因上述原因本期未按时还款，愈期一天开始电话短信骚扰并威胁爆通讯录。</t>
  </si>
  <si>
    <t>比财提现一直不到账</t>
  </si>
  <si>
    <t>http://ts.21cn.com/tousu/show/id/1367829</t>
  </si>
  <si>
    <t>2019/10/17 06:21:56</t>
  </si>
  <si>
    <t>参加邀请好友活动邀请2个同事做活动，我也投了不少，体验感还可以，谁知道12号提现到16号还是没有提现到账，比财app说提现到账时间1到3个工作日，我12号提现周一处理。</t>
  </si>
  <si>
    <t>http://ts.21cn.com/tousu/show/id/1367827</t>
  </si>
  <si>
    <t>2019/10/17 06:03:07</t>
  </si>
  <si>
    <t>借2000三个月还2800多，打客服电话就说符合国家要求，那你怎么计算符合的。</t>
  </si>
  <si>
    <t>网贷逾期电话催收</t>
  </si>
  <si>
    <t>http://ts.21cn.com/tousu/show/id/1367826</t>
  </si>
  <si>
    <t>2019/10/17 06:02:29</t>
  </si>
  <si>
    <t>逾期5天就爆通讯录电话恐吓亲朋好友挨个骚扰。</t>
  </si>
  <si>
    <t>凡普信恶意骚扰</t>
  </si>
  <si>
    <t>http://ts.21cn.com/tousu/show/id/1367825</t>
  </si>
  <si>
    <t>2019/10/17 06:00:02</t>
  </si>
  <si>
    <t>使用软件恶意骚扰，全天自动拨号，接听是电子音xx叫你起床去尿尿。</t>
  </si>
  <si>
    <t>捷信利息太高，实在无力承受</t>
  </si>
  <si>
    <t>http://ts.21cn.com/tousu/show/id/1367824</t>
  </si>
  <si>
    <t>2019/10/17 05:59:46</t>
  </si>
  <si>
    <t>2017年十月通过捷信借款29000，分33期，一共要还54000，借的时候详细问过利息，工作人员顾左右而言他，我以为利息不太高，结果每一期还1670，已经还了19期发现本金已经超过，还要还两万，由于本人患有重度抑郁在吃药，已经影响到了工作和日常生活，捷信公司纯属于高利贷，如果逾期还会上门恐吓加爆通讯录。</t>
  </si>
  <si>
    <t>商家拖延不退款</t>
  </si>
  <si>
    <t>http://ts.21cn.com/tousu/show/id/1367822</t>
  </si>
  <si>
    <t>2019/10/17 05:33:42</t>
  </si>
  <si>
    <t>10月17日，货还未到，但淘宝已自动签收，无法，只能申请未收到货退款，商家拒绝，后来申请客服介入，现阶段为商家提供凭证，他们迟迟不肯提供，感觉在拖延时间，我在淘宝购入此物将近半个月，物流更新缓慢，商家态度不好，货也没收到，实在无法了。</t>
  </si>
  <si>
    <t>http://ts.21cn.com/tousu/show/id/1367821</t>
  </si>
  <si>
    <t>2019/10/17 05:22:42</t>
  </si>
  <si>
    <t>借钱时没注意有无砍头息，砍头息后，还的本金利息不符合！。</t>
  </si>
  <si>
    <t>深夜暴打通讯录</t>
  </si>
  <si>
    <t>http://ts.21cn.com/tousu/show/id/1367820</t>
  </si>
  <si>
    <t>2019/10/17 05:12:41</t>
  </si>
  <si>
    <t>捷越联合工作人员白天深夜暴打联系人电话，导致我的联系人无法正常工作和休息。</t>
  </si>
  <si>
    <t>弹个车乱收费，高额利息</t>
  </si>
  <si>
    <t>http://ts.21cn.com/tousu/show/id/1367819</t>
  </si>
  <si>
    <t>2019/10/17 05:08:48</t>
  </si>
  <si>
    <t>退车好久了，客服打电话老是让我还款，让出收费明细又不出，弹个车想要多少就多少。</t>
  </si>
  <si>
    <t>弹个车误导消费者！高利贷公司</t>
  </si>
  <si>
    <t>http://ts.21cn.com/tousu/show/id/1367818</t>
  </si>
  <si>
    <t>2019/10/17 04:53:52</t>
  </si>
  <si>
    <t>本来就是高额利息，乱收费，退车收费让他们出示发票，收费证据也不出示，就知道催款！。</t>
  </si>
  <si>
    <t>淘集集虚拟发货要求退款</t>
  </si>
  <si>
    <t>http://ts.21cn.com/tousu/show/id/1367817</t>
  </si>
  <si>
    <t>2019/10/17 04:53:10</t>
  </si>
  <si>
    <t>10月12号晚上下的单&amp;nbsp;&amp;nbsp;商家用了假的运单号虚拟发货&amp;nbsp;&amp;nbsp;该运单号显示在10月9号就已在异地被签收&amp;nbsp;&amp;nbsp;同时该商品显示已下架&amp;nbsp;&amp;nbsp;联系商家及官方客服均无人理财&amp;nbsp;&amp;nbsp;退款申请提示只能选择退货退款&amp;nbsp;&amp;nbsp;根本就没收到货怎么退货&amp;nbsp;&amp;nbsp;网上查了一下&amp;nbsp;&amp;nbsp;同样情况的人多不胜数&amp;nbsp;&amp;nbsp;虽只有几块钱&amp;nbsp;&amp;nbsp;但如此坑人的平台不被曝光将会有更多人上当。</t>
  </si>
  <si>
    <t>淘豆分期非法扣钱</t>
  </si>
  <si>
    <t>http://ts.21cn.com/tousu/show/id/1367816</t>
  </si>
  <si>
    <t>2019/10/17 04:42:04</t>
  </si>
  <si>
    <t>2019年10月15日晚上11点42左右通过百度浏览器查找网贷App，最后下载一个叫做哪咤闪电借的App，据说是通过率100%，结果没有贷款成功反而推荐一个叫淘豆分期的App，在淘豆分期App填写资料后收到一个验证码，结果把验证码一输入银行卡马上被扣299元，扣款方是杭州广剑科技有限公司，在本人完全不知情的情况下办理该App的会员，期间找客服和打电话对方都直接拒绝，希望聚投诉严查该平台，还消费者一个公告，不要再让更多的人上当受骗。</t>
  </si>
  <si>
    <t>买单侠涉嫌伪造开庭通知</t>
  </si>
  <si>
    <t>http://ts.21cn.com/tousu/show/id/1367815</t>
  </si>
  <si>
    <t>2019/10/17 04:39:42</t>
  </si>
  <si>
    <t>投诉人 詹先生        投诉对象  买单侠        涉诉金额  11 000 元    问题类型    诉求类型投诉详情  涉嫌伪造，造谣。经法院查询无此案件。存在恐吓我家人。</t>
  </si>
  <si>
    <t>套路贷，利息高</t>
  </si>
  <si>
    <t>http://ts.21cn.com/tousu/show/id/1367814</t>
  </si>
  <si>
    <t>2019/10/17 04:27:59</t>
  </si>
  <si>
    <t>本人在借易通申请6400元，分12期还，只到账4500多，无缘无故被扣了差不多两千块钱，现在每期需要还559，利息高，要求平台做出解释，扣的钱什么费用，要求退还。</t>
  </si>
  <si>
    <t>一对一红娘服务</t>
  </si>
  <si>
    <t>http://ts.21cn.com/tousu/show/id/1367813</t>
  </si>
  <si>
    <t>2019/10/17 04:26:58</t>
  </si>
  <si>
    <t>投诉人贺女士投诉对象北京花千树信息科技有限公司南山分公司,世纪佳缘涉诉金额12800元问题类型诉求类型投诉详情10月16日世纪佳缘客服以介绍男士为由，骗我去他们线下实体店，说是去店里认证我的个人信息，查看男士资料，去到店里就被洗脑入会员，全程连哄带骗，态度强硬逼我交会费，交了不到两小时，我想退费，他们拒绝！。</t>
  </si>
  <si>
    <t>闪银哼哼瞬瞬催收骚扰家人</t>
  </si>
  <si>
    <t>http://ts.21cn.com/tousu/show/id/1367812</t>
  </si>
  <si>
    <t>2019/10/17 04:21:26</t>
  </si>
  <si>
    <t>哼哼瞬瞬，不知道是哪一家昨天下午突然打我朋友电话，对我有影响，对人家造成严重骚扰！逾期今天算是第四天，暂时是还不上，但没想过不还赖账！要求停止骚扰，希望可以和平解决！。</t>
  </si>
  <si>
    <t>每天夜晚出来都难接单</t>
  </si>
  <si>
    <t>http://ts.21cn.com/tousu/show/id/1367811</t>
  </si>
  <si>
    <t>2019/10/17 04:14:03</t>
  </si>
  <si>
    <t>每个夜晚出来接单都没单派，跟同行的在一起，人家都接了几单走了，剩下我还在等指派，给电话工作人员，说账号正常，单量甚少，我就不明白了，单少人家都能接几单走了，而我还在等，烦不烦这样，出来熬夜钱没赚到，还连油费都亏了，这样的平台真能让我们司机赚钱吗，而且一直禁止派女乘客的单，这样的平台该倒闭了。</t>
  </si>
  <si>
    <t>100感觉天猫旗舰店虚假满减活动</t>
  </si>
  <si>
    <t>http://ts.21cn.com/tousu/show/id/1367810</t>
  </si>
  <si>
    <t>2019/10/17 04:08:56</t>
  </si>
  <si>
    <t>100感觉天猫旗舰店，首页详细写明满399RMB减80RMB，下单399RMB只能减50RMB，下单499RMB才减80RMB。</t>
  </si>
  <si>
    <t>http://ts.21cn.com/tousu/show/id/1367809</t>
  </si>
  <si>
    <t>2019/10/17 03:56:16</t>
  </si>
  <si>
    <t>于10月9号借款2000元，分3期需总还款3372.19，合同上写着借款2660元，客服电话也说不清是谁收这些钱，客服打电话时不要只响一声，真心希望解决问题。</t>
  </si>
  <si>
    <t>建设银行卡莫名其妙被中兴付扣钱</t>
  </si>
  <si>
    <t>http://ts.21cn.com/tousu/show/id/1367807</t>
  </si>
  <si>
    <t>2019/10/17 03:47:19</t>
  </si>
  <si>
    <t>莫名其妙刚收到客户转账14000，隔几分钟就被扣光了，给个解释，钱去哪了。</t>
  </si>
  <si>
    <t>施工扰民</t>
  </si>
  <si>
    <t>http://ts.21cn.com/tousu/show/id/1367806</t>
  </si>
  <si>
    <t>2019/10/17 03:37:00</t>
  </si>
  <si>
    <t>在揭阳市榕城区渔湖镇渔湖中路保障性住房对面的保利地产几乎每天不间断的施工扰民，严重影响居民日常休息，天天被吵的无法入睡，胸口闷，一直无人处理，希望有关部门加强管理。</t>
  </si>
  <si>
    <t>途虎养车把车主车刮花了，客服和门店没有处理，世态炎凉</t>
  </si>
  <si>
    <t>http://ts.21cn.com/tousu/show/id/1367805</t>
  </si>
  <si>
    <t>2019/10/17 03:28:44</t>
  </si>
  <si>
    <t>10月11号下午把车送去途虎养车工场店“深圳大和路店”，做底盘喷漆，10月12号早上九点半去取车，店员工在把车倒出来的过程中刮碰了后保险杠，店员工提出私了帮我补漆，但我并不同意，因为我的车是全新的原车漆，这是第一次刮碰，我认为除了要帮我修复刮碰处，还需要赔偿我新车折损费和误工费，因为取车出问题，当天去上班迟到了，后续还要送车去修补，各种打客服电话，，我就打了途虎客服电话4001118868进行投诉，接连下来13号14号15号16号，天天打电话催客服进度如何，已经打了不下20通客服电话，得到的结果就是专员在处</t>
  </si>
  <si>
    <t>现金贷款暴力催收</t>
  </si>
  <si>
    <t>http://ts.21cn.com/tousu/show/id/1367804</t>
  </si>
  <si>
    <t>2019/10/17 03:28:09</t>
  </si>
  <si>
    <t>投诉人 余占奎        投诉对象  现金贷款        涉诉金额  3 000 元    问题类型    诉求类型投诉详情  现金贷款暴力催收。逾期三天就爆通讯录，就把人往死路逼</t>
  </si>
  <si>
    <t>钱站不是人</t>
  </si>
  <si>
    <t>http://ts.21cn.com/tousu/show/id/1367803</t>
  </si>
  <si>
    <t>2019/10/17 03:22:44</t>
  </si>
  <si>
    <t>投诉人丁先生投诉对象钱站涉诉金额17000元问题类型诉求类型投诉详情我在钱站借款13000元合同写一万七千多利息已经超过国家标准24％。</t>
  </si>
  <si>
    <t>货拉拉不退保证金</t>
  </si>
  <si>
    <t>http://ts.21cn.com/tousu/show/id/1367802</t>
  </si>
  <si>
    <t>2019/10/17 03:21:12</t>
  </si>
  <si>
    <t>投诉人王梓文投诉对象货拉拉涉诉金额800元问题类型诉求类型投诉详情2019年6月加入货拉拉，到9月24日决定不然退保证金，本来保证金有1000元，被告知有两次车身广告抽查没通过扣我两百就算了，现在还诬陷我用外挂不退保证金，为了骗保证金你们真的什么借口都能找，我24号已经去分公司办理退保，之前做的单也能提现出来，25号看到保证金打到账号也顺便提，谁知第二天提不出来，去分公司查了还说我开挂，我开挂为什么没退保之前你不说，而且钱也能提，偏偏保证金你就不能提，还诬陷我开挂，直到10月8日平台还发信息说我开挂，扣分封</t>
  </si>
  <si>
    <t>http://ts.21cn.com/tousu/show/id/1367800</t>
  </si>
  <si>
    <t>2019/10/17 03:15:59</t>
  </si>
  <si>
    <t>投诉人 王胜波        投诉对象  新橙优品,聚投诉        涉诉金额  3 000 元    问题类型    诉求类型投诉详情  暴力催收恶意稍扰通讯录联系人威胁恐吓家人</t>
  </si>
  <si>
    <t>立借阴阳合同</t>
  </si>
  <si>
    <t>http://ts.21cn.com/tousu/show/id/1367799</t>
  </si>
  <si>
    <t>2019/10/17 03:15:02</t>
  </si>
  <si>
    <t>借款5500元分12期还款前三个月就要还6928换算下来利息全年104%高出国家36%虚假合同。</t>
  </si>
  <si>
    <t>梁山仙域信息技术有限公司乱扣钱</t>
  </si>
  <si>
    <t>http://ts.21cn.com/tousu/show/id/1367797</t>
  </si>
  <si>
    <t>2019/10/17 03:06:29</t>
  </si>
  <si>
    <t>不知道什么贷款把我的资料卖了，这个破贷款给我发了很多信息，我不知道注册了一个绑定了银行卡，但是也没贷款，今晚0点整莫名其妙被扣走了90块钱，要求返还，给我道歉！。</t>
  </si>
  <si>
    <t>魅族16th手机出现绿线，返厂检测费用900元，费用过高放弃维修，收到机器屏幕反而脱胶翘起！</t>
  </si>
  <si>
    <t>http://ts.21cn.com/tousu/show/id/1367796</t>
  </si>
  <si>
    <t>2019/10/17 02:59:59</t>
  </si>
  <si>
    <t>魅族16th手机屏幕出现绿线10月5号返厂检测，说屏幕问题维修费用900元，联系客服说让我再次返厂重装补胶，，个人觉得费用过高放弃维修，13号收到手机后发现屏幕下方脱胶翘起，然后返厂后再次需要付款更换屏幕费用才能维修，意思就是说你不付费维修就给你随便组装，明明是拆机检测没有安装好出现的问题为什么要消费者承担。</t>
  </si>
  <si>
    <t>肥猫贷，高利贷</t>
  </si>
  <si>
    <t>http://ts.21cn.com/tousu/show/id/1367795</t>
  </si>
  <si>
    <t>2019/10/17 02:59:11</t>
  </si>
  <si>
    <t>本人以为缺钱周转，通过一家小七钱包中介平台下载了肥猫贷，但催收员欺骗续期说先还300元，第二天在还1700就可以了，但第二天就联系不上，两天后又换一个催收员，跟催收员沟通不到几句催收员就进行辱骂爆出口，还爆通讯录以我的名义给亲朋好友借钱，本人现已续期1800元，已经超过借款本金，还望聚投诉为我做主，进行销账，开销账证明。</t>
  </si>
  <si>
    <t>唯品会里的唯品花</t>
  </si>
  <si>
    <t>http://ts.21cn.com/tousu/show/id/1367794</t>
  </si>
  <si>
    <t>2019/10/17 02:52:53</t>
  </si>
  <si>
    <t>唯品花本来只要还1080，逾期几天就要还1784还电话打到我家人那，只要我只要他返还我的利息，704今天去算账才发现的。</t>
  </si>
  <si>
    <t>虎牙直播充值错误把100误充成1000了未消费望请求退款</t>
  </si>
  <si>
    <t>http://ts.21cn.com/tousu/show/id/1367793</t>
  </si>
  <si>
    <t>2019/10/17 02:50:39</t>
  </si>
  <si>
    <t>充值错误，把100充成1000了，然后及时联系客户，希望能给予解决，但是客服不予受理，很难过。</t>
  </si>
  <si>
    <t>欺诈，恶意扣款</t>
  </si>
  <si>
    <t>http://ts.21cn.com/tousu/show/id/1367757</t>
  </si>
  <si>
    <t>2019/10/17 02:42:23</t>
  </si>
  <si>
    <t>友缘在线用1元体验3天的会员的方式，在我支付1元的同时，未经过我同意开启支付宝免密支付的协议，两次扣除共168元，并且不给退款。</t>
  </si>
  <si>
    <t>雇佣不明身份人士对家人进行骚扰恐吓</t>
  </si>
  <si>
    <t>http://ts.21cn.com/tousu/show/id/1367792</t>
  </si>
  <si>
    <t>2019/10/17 02:40:49</t>
  </si>
  <si>
    <t>投诉人 张女士        投诉对象  交通银行        涉诉金额  10 000 元    问题类型    诉求类型投诉详情  暴力催收，给身边朋友带来很大的影响。忘贵公司可以处理。谢谢</t>
  </si>
  <si>
    <t>马上金融套取个人信息</t>
  </si>
  <si>
    <t>http://ts.21cn.com/tousu/show/id/1367790</t>
  </si>
  <si>
    <t>2019/10/17 02:39:07</t>
  </si>
  <si>
    <t>马上金融催收员来套路通讯录信息，而且通话过程中一直在套我的个人信息，什么问题都问，还要去核实找我通讯录里面的人来核实，我到底有没有找朋友借钱，并且还恶意骚扰通讯录好友，以叫他们通知我更改信息为由，一直骚扰。</t>
  </si>
  <si>
    <t>http://ts.21cn.com/tousu/show/id/1367789</t>
  </si>
  <si>
    <t>2019/10/17 02:38:13</t>
  </si>
  <si>
    <t>以前我在钱站借了2万合同显示2万6，最近因为资金困难还不起，他们给我说有老友计划我试着点了一下，结果还要再还2万，我之前已经还了8100了，还要继续再还将近3万左右，如果他们不给处理我也可以一直拖着不还，反正做生意赔了，穷人要征信有个屁用，随便不让出行，电话随便你们爆，你们不要脸我也可以不要脸，。</t>
  </si>
  <si>
    <t>西游记之大圣归来超V版虚假宣传，诱导充值！</t>
  </si>
  <si>
    <t>http://ts.21cn.com/tousu/show/id/1367788</t>
  </si>
  <si>
    <t>2019/10/17 02:34:36</t>
  </si>
  <si>
    <t>九妖互娱,西游记之大圣归来,武汉九妖互娱信息技术有限公司，诱导消费者，强制消费，诱导消费！虚假宣传！。</t>
  </si>
  <si>
    <t>卖家虚假发货，恶意强逼退货</t>
  </si>
  <si>
    <t>http://ts.21cn.com/tousu/show/id/1367787</t>
  </si>
  <si>
    <t>2019/10/17 02:31:27</t>
  </si>
  <si>
    <t>卖家一开始说没货，我答复他可以等待，然后他就虚假发货，发了一个快递，我问卖家缺货怎么发的货，卖家不回复我，然后这个快递自动签收，我一点不知道，这种行为明显就是卖家强逼我退货。</t>
  </si>
  <si>
    <t>http://ts.21cn.com/tousu/show/id/1367786</t>
  </si>
  <si>
    <t>2019/10/17 02:27:16</t>
  </si>
  <si>
    <t>马上金融高利贷，暴力催收，催收员来套路通讯录信息，总的借款金额15500元，利息加上罚息总计三期需还16807.27元，年利率49.87%。</t>
  </si>
  <si>
    <t>http://ts.21cn.com/tousu/show/id/1367784</t>
  </si>
  <si>
    <t>2019/10/17 02:22:48</t>
  </si>
  <si>
    <t>虾米在线在未经我本人允许的情况下放款到我银行卡内，5天4000元实际到账2200元，还款4017，暴力催收，骚扰通讯录，威胁恐吓我。</t>
  </si>
  <si>
    <t>来分期APP收期服务费</t>
  </si>
  <si>
    <t>http://ts.21cn.com/tousu/show/id/1367783</t>
  </si>
  <si>
    <t>2019/10/17 02:21:42</t>
  </si>
  <si>
    <t>违规收取服务费，利息又高经常有电话骚扰暴露身份证信息。</t>
  </si>
  <si>
    <t>英孚维权 要求退款（不接受违约金 合同无此项）</t>
  </si>
  <si>
    <t>http://ts.21cn.com/tousu/show/id/1367782</t>
  </si>
  <si>
    <t>2019/10/17 02:20:18</t>
  </si>
  <si>
    <t>英孚教育诱导学员办理信用卡并在没有实体卡的请情况下刷出教育培训费并办理分期！存在严重欺诈行为！要求退款，总部超过答复30天不予退款！霸王条款！。</t>
  </si>
  <si>
    <t>汇潮支付为714高炮提供放款</t>
  </si>
  <si>
    <t>http://ts.21cn.com/tousu/show/id/1367781</t>
  </si>
  <si>
    <t>2019/10/17 02:19:57</t>
  </si>
  <si>
    <t>本人12号经过短信链接下载银猴子，合同金额1006一期，14号一期，17号一期，实际到账1220，今天到期还最后一期，因无力偿还高额且不正规利息。</t>
  </si>
  <si>
    <t>利用包下信用卡为由 诱导客户支付包装费998元</t>
  </si>
  <si>
    <t>http://ts.21cn.com/tousu/show/id/1367772</t>
  </si>
  <si>
    <t>2019/10/17 02:14:05</t>
  </si>
  <si>
    <t>钉子支付公司员工利用包下信用卡为由说最低3-5w额度。</t>
  </si>
  <si>
    <t>宜人贷恶意隐瞒未告知相关款项，砍头息</t>
  </si>
  <si>
    <t>http://ts.21cn.com/tousu/show/id/1367764</t>
  </si>
  <si>
    <t>2019/10/17 02:11:50</t>
  </si>
  <si>
    <t>投诉人靳先生投诉对象宜人贷涉诉金额60000元问题类型诉求类型投诉详情本人于2019.10.12接到宜人贷电销电话，给我推荐贷款，我多次询问提前还款有没有其它费用，他一直表示没有，我多次询问我贷款金额是6万他一直说是，等我贷款下来以后才发现合同金额8万，收取手续费金融服务费20000，当时就给客服打电话反应，我不用了利息太高了，第二天查看提前还款需要还8万多！试问什么贷款一天利息两万呢，我多次跟客服沟通无果必须让我还8万，请求局投诉主持公道。</t>
  </si>
  <si>
    <t>恶意骚扰公司座机和门店座机</t>
  </si>
  <si>
    <t>http://ts.21cn.com/tousu/show/id/1367780</t>
  </si>
  <si>
    <t>2019/10/17 02:10:17</t>
  </si>
  <si>
    <t>本人已离职，不需要你们去骚扰到公司，骚扰到门店。</t>
  </si>
  <si>
    <t>滴滴</t>
  </si>
  <si>
    <t>http://ts.21cn.com/tousu/show/id/1367779</t>
  </si>
  <si>
    <t>2019/10/17 02:10:05</t>
  </si>
  <si>
    <t>10月11日我休息了一天以后钱包里剩了40多块钱，12号我跑了一整天是跑了680元！13号跑了441元！截止14号跑了77元！总共钱包里的钱我就感觉差好多我就给客服打电话，从打电话一直都说订单钱数一点不差，一直问我你说差哪个他好查询，我说我要知道钱差哪了我还用问你呀，客服反复推脱滴滴责任，在我强烈要求下查了将近一个小时查出来！我跑的钱应该共是1198可是我的钱包里就显示1104元，滴滴平台平白无故吃了司机94元！还有这个钱都是显示已经支付成功的，未支付的订单钱一个没有，后来客服一个劲查出来说这个93快多钱没</t>
  </si>
  <si>
    <t>欺诈</t>
  </si>
  <si>
    <t>http://ts.21cn.com/tousu/show/id/1367778</t>
  </si>
  <si>
    <t>2019/10/17 02:09:29</t>
  </si>
  <si>
    <t>投诉人李先生投诉对象友缘在线涉诉金额297元问题类型诉求类型投诉详情有缘在线无缘无故吃钱，我要投诉要求退款。</t>
  </si>
  <si>
    <t>招行信用卡不同意协商，是要逼死我</t>
  </si>
  <si>
    <t>http://ts.21cn.com/tousu/show/id/1367777</t>
  </si>
  <si>
    <t>2019/10/17 02:07:43</t>
  </si>
  <si>
    <t>本人去年办理的招行信用卡，期间一直按时还款从未逾期，在今年8月份的时候，因被骗，用了招行的临时额度和固定额度总计18000，我用临时额度时，我天真的以为临时额度也能最低还款10%，现在逾期快3个月，加上逾期费用一共需要还20067.68元，从逾期前到逾期将近3个月，我一直在积极的和招行客服以及账务部门协商还款，从未想过逃避！奈何招行一直不肯同意协商，不停的拨打我的联系人电话！为了能尽快的还完，我本人现在在国外上班，由于上班不能使用手机，我基本上每天都主动联系招行相关部门协商还款！现在已经产生了2000逾期费</t>
  </si>
  <si>
    <t>亚博网络赌博搜索广告</t>
  </si>
  <si>
    <t>http://ts.21cn.com/tousu/show/id/1367776</t>
  </si>
  <si>
    <t>2019/10/17 02:07:23</t>
  </si>
  <si>
    <t>亚博网络赌博平台，一直都在百度上做搜索广告，晚上上线，早上下线。</t>
  </si>
  <si>
    <t>本人在捷信网贷2018年12月12号，贷款45000元，分54期还款，每月还款1693元，还了11期了本金才还掉4700</t>
  </si>
  <si>
    <t>http://ts.21cn.com/tousu/show/id/1367775</t>
  </si>
  <si>
    <t>2019/10/17 02:07:06</t>
  </si>
  <si>
    <t>投诉人杨女士投诉对象捷信金融涉诉金额13000元问题类型诉求类型投诉详情本人在捷信网贷2018年12月12号，贷款45000元，分54期还款，每月还款1693元，还了11期了本金才还掉4700元，利息还了14000元，打客服电话问他们，就说先还利息，往后每个月的本金会在多还十块钱，我要求他们多还本金，他们不同意，说的每个月还900多块钱的利息，400多块钱的服务费，本金还400多，这样算的话利息也太高了吧，麻烦让他们把我多还的利息转变成还的本金，谢谢。</t>
  </si>
  <si>
    <t>天天十几电话骚扰，严重影响我的正常工作</t>
  </si>
  <si>
    <t>http://ts.21cn.com/tousu/show/id/1367774</t>
  </si>
  <si>
    <t>2019/10/17 02:06:41</t>
  </si>
  <si>
    <t>投诉人 梁先生        投诉对象  360借条        涉诉金额  755 元    问题类型    诉求类型投诉详情  利息高，电话骚扰</t>
  </si>
  <si>
    <t>我在爱钱进名下公司钱站和月光侠贷款结果没注意看合同阳奉阴违改变金额</t>
  </si>
  <si>
    <t>http://ts.21cn.com/tousu/show/id/1367773</t>
  </si>
  <si>
    <t>2019/10/17 02:06:18</t>
  </si>
  <si>
    <t>钱站借2000合同本金变2300多三个月要还2520，另一笔4000合同变5200三个月还5312。</t>
  </si>
  <si>
    <t>关于立即贷乱扣费，砍头息</t>
  </si>
  <si>
    <t>http://ts.21cn.com/tousu/show/id/1367771</t>
  </si>
  <si>
    <t>2019/10/17 02:06:14</t>
  </si>
  <si>
    <t>我在立即贷当时贷款三千，前期付了450的会员费，在逾期期间立即贷公司分多笔从本人银行卡扣款4280，我同意立即贷公司收取法律规定内的逾期费用，要求立即贷退出多余费用并给我销账提供结清证明。</t>
  </si>
  <si>
    <t>承诺退款，不但没退，还把我仅剩的150也扣了</t>
  </si>
  <si>
    <t>http://ts.21cn.com/tousu/show/id/1367770</t>
  </si>
  <si>
    <t>2019/10/17 02:05:53</t>
  </si>
  <si>
    <t>2019年10月12日扣了我50元，我打电话给他们客服反映问题，并且说了不需要，他们也承诺会在今天给我退50元，结果不但没有退款，还把我卡里仅有的150也扣了，这是什么行为啊，天啊，没有王法了，打了三个客服电话，最后这个还说之前的记录查不到了，我的天，这是一群什么样的人，可以这么无耻，这种平台能够生存下来，是有多大的后台，国家一而再再而三的严厉打击这种欺骗消费的商户平台，就是这样的结果，我们的有关部门真的应该提起重视了，光这一个平台投诉的人就有1600多人，想想看，那么多这种类似的平台，我们公民每年有多少人</t>
  </si>
  <si>
    <t>http://ts.21cn.com/tousu/show/id/1367769</t>
  </si>
  <si>
    <t>2019/10/17 02:02:29</t>
  </si>
  <si>
    <t>手机正常使用过程中突然重启并一直处于无限重启的状态，无法使用，由于过保，客服提供不了服务，申请维权维修。</t>
  </si>
  <si>
    <t>及贷套路学堂会员费</t>
  </si>
  <si>
    <t>http://ts.21cn.com/tousu/show/id/1367768</t>
  </si>
  <si>
    <t>2019/10/17 02:00:39</t>
  </si>
  <si>
    <t>本人在2019年9月28日在及贷APP中的申请了一笔10800元的借款，在办理借款申请的后，发现其在下方标注了一款为学堂会员的内容，并且并非本人意愿可以决定是否购买此项服务内容，在借款成功后强行增加1566元，其强行增加的费用行为并非本人的真实意愿，本人要求借款方退还以钱学堂会员费为由而增加的1566元。</t>
  </si>
  <si>
    <t>虚假宣传诱导充值</t>
  </si>
  <si>
    <t>http://ts.21cn.com/tousu/show/id/1367767</t>
  </si>
  <si>
    <t>2019/10/17 02:00:34</t>
  </si>
  <si>
    <t>投诉人徐先生投诉对象福州天盟数码有限公司,王国纪元涉诉金额424元问题类型诉求类型投诉详情强迫消费，诱导儿童充值！充值过于简单！诱导儿童！希望退款。</t>
  </si>
  <si>
    <t>北京英孚教育霸王条款，诱导学员办理信用卡并分期付款</t>
  </si>
  <si>
    <t>http://ts.21cn.com/tousu/show/id/1367766</t>
  </si>
  <si>
    <t>2019/10/17 01:59:23</t>
  </si>
  <si>
    <t>我弟弟在公司楼下接触到英孚教育培训机构的地推活动宣传人员，之后加了微信想初步了解一下，但改机构加了微信之后频繁用网络电话，非真实号码频繁联系我弟弟，催促其到教育机构面聊咨询课程，在8.31号到了机构就开始各种诱导，且和广发银行信用卡卡员合伙给弟弟办信用卡，在当事人都不知道信用卡意味着什么就稀里糊涂办了，且用的秒批功能，在没有实体信用卡的情况下，用虚拟卡当场将培训费1万余元划走，当事人，都没来得及将信用卡协议全部了解清楚并阅读完毕就被催促签字办理，对此英语教育存在严重违操作流程，以及涉嫌欺诈，在了解情况后与其</t>
  </si>
  <si>
    <t>请求腾讯客服联系我</t>
  </si>
  <si>
    <t>http://ts.21cn.com/tousu/show/id/1367765</t>
  </si>
  <si>
    <t>2019/10/17 01:57:11</t>
  </si>
  <si>
    <t>投诉人张先生投诉对象腾讯涉诉金额0元问题类型诉求类型投诉详情我加别人好友。</t>
  </si>
  <si>
    <t>京东金融和江苏润融企业管理咨询服务有限公司不当催收</t>
  </si>
  <si>
    <t>http://ts.21cn.com/tousu/show/id/1367755</t>
  </si>
  <si>
    <t>2019/10/17 01:57:05</t>
  </si>
  <si>
    <t>投诉人曾女士投诉对象京东金融,江苏润融企业管理咨询服务有限公司涉诉金额1900元问题类型诉求类型投诉详情江苏润融企业管理咨询服务有限公司催收受京东金融委托催收盗取用户信息，拨打骚扰电话，严重影响到我的家人和朋友以及我个人的正常生活，特别是家人和朋友，一直在接收到骚扰电话和信息，还存在恶意伪造P图的现象，严重影响了个人的生活，语言图片都极为过分，给户籍地发了虚假法律文件，已经造成了极大影响，本人并未表示不对欠款进行处理，并且也已经有过协商，只是对方未作出回应，请给出合理解释并诚恳道歉，并对相关人员作出相应惩罚</t>
  </si>
  <si>
    <t>立借利息太高</t>
  </si>
  <si>
    <t>http://ts.21cn.com/tousu/show/id/1367763</t>
  </si>
  <si>
    <t>2019/10/17 01:55:07</t>
  </si>
  <si>
    <t>投诉人 叶先生        投诉对象  立借        涉诉金额  5 000 元    问题类型    诉求类型投诉详情  借了五千三期 要还6950 砍头息 利息远远大于国家标准</t>
  </si>
  <si>
    <t>暴击催收骚扰</t>
  </si>
  <si>
    <t>http://ts.21cn.com/tousu/show/id/1367762</t>
  </si>
  <si>
    <t>2019/10/17 01:54:12</t>
  </si>
  <si>
    <t>暴力催收，辱骂亲朋好友p图群发，要求停止骚扰。</t>
  </si>
  <si>
    <t>如期分期不明收费随意划款造成严重影响</t>
  </si>
  <si>
    <t>http://ts.21cn.com/tousu/show/id/1367761</t>
  </si>
  <si>
    <t>2019/10/17 01:52:58</t>
  </si>
  <si>
    <t>本人于10.14日在如期分期平台借款16800元，分12期还，app上显示每期1662.67，总还款金额19952.10元，次日签约账号到账16800元后一直无异常，昨晚为还其他贷款存入1000元，不久后立马划扣840元，导致贷款扣款失败产生逾期失信记录！扣款只有一条短信显示天下信用扣除风险评估费用于加快放款速度，本人从签约到扣款间从未接触或主动索求过该服务！整理了下，我投诉的内容有三点如下：，第一，模糊概念暗度陈仓收费不明，借款合同期签约之时醒目处明确本息总欠款金额19952.10元，下方有写担保等相关费</t>
  </si>
  <si>
    <t>平安银行信用卡不予退还违约金以及罚息。</t>
  </si>
  <si>
    <t>http://ts.21cn.com/tousu/show/id/1367759</t>
  </si>
  <si>
    <t>2019/10/17 01:50:28</t>
  </si>
  <si>
    <t>平安银行信用卡本人确实透支并逾期了，但是期间零零碎碎还的加上最后一次性处理的1万六，卡片已注销停止使用，现要求退还违约金以及罚息，客服声称已经没有我信用卡的任何账单信息，我不相信银行会查不到，我今年才销卡您就没有账单了。</t>
  </si>
  <si>
    <t>投诉今日头条放心购（值点商城）不退还商家保证金和货款</t>
  </si>
  <si>
    <t>http://ts.21cn.com/tousu/show/id/1367758</t>
  </si>
  <si>
    <t>2019/10/17 01:49:21</t>
  </si>
  <si>
    <t>今日头条放心购商城不退还商家保证金还有，平台小二一直官方回复，合同上写道货款将在15个工作日内一次性打款给我，现在已经近两个月也未见动静，并且无法电话沟通，全部邮件或者在线客服（每次咨询都换不同的客服，需要把之前的问题再三重复告之，并且邮件跟在线客服两者之间来回踢球），，2019年，7月入住今日头条的放心购，也就是现在的值点商城，7月到9月货款也被平台压着不打款，9月份询问才知道是2019年需要补签合同，9月合同补签完成，合同上写道，货款将在15个工作日内一次性打款给我，现在已经近两个月也未见动静，并且无法</t>
  </si>
  <si>
    <t>利息不合理</t>
  </si>
  <si>
    <t>http://ts.21cn.com/tousu/show/id/1367756</t>
  </si>
  <si>
    <t>2019/10/17 01:44:09</t>
  </si>
  <si>
    <t>利息高，爆露身份证信息和手机号码信息经常有骚扰电话打过来。</t>
  </si>
  <si>
    <t>拼多多涉嫌为赌博网站充值</t>
  </si>
  <si>
    <t>http://ts.21cn.com/tousu/show/id/1367754</t>
  </si>
  <si>
    <t>2019/10/17 01:37:24</t>
  </si>
  <si>
    <t>涉嫌为赌博网站充值，不予退款，关键不是本人操作，是我老公充值。</t>
  </si>
  <si>
    <t>快捷通-上海信霖信息科技有限公司私自扣款，隐藏条例</t>
  </si>
  <si>
    <t>http://ts.21cn.com/tousu/show/id/1367735</t>
  </si>
  <si>
    <t>2019/10/17 01:35:29</t>
  </si>
  <si>
    <t>投诉人王茜投诉对象上海信霖信息科技有限公司,快捷通支付涉诉金额299元问题类型诉求类型投诉详情我下载一个借款软件，填写结果资料手机号码、银行卡号、联系人，在验证过程中没有提及到扣费项目就被扣费，而且借款页面完成之后出来的是苹果手机的设置指南，严重的欺诈行为，希望尽快处理，否则报警对方账户3****************5户名中国银联无卡快捷支付业务专户。</t>
  </si>
  <si>
    <t>http://ts.21cn.com/tousu/show/id/1367753</t>
  </si>
  <si>
    <t>2019/10/17 01:35:04</t>
  </si>
  <si>
    <t>投诉人何琼投诉对象豹子贷,上海造艺网络科技,造艺网络科技,银码头涉诉金额200元问题类型诉求类型投诉详情分三次扣了我200元还要扣98元，我欠你的。</t>
  </si>
  <si>
    <t>想你分期套路贷</t>
  </si>
  <si>
    <t>http://ts.21cn.com/tousu/show/id/1367752</t>
  </si>
  <si>
    <t>2019/10/17 01:32:24</t>
  </si>
  <si>
    <t>本人10月12号从想你分期上借款2500元实际到账1625，短短的5天还款却要2509元，典型的714高炮，汇潮支付为其提供支付渠道，本人因债务困难实在无力偿还如此高额的借款，希望聚投诉平台能帮助我与想你分期平台协商还款，本人愿意归还本金与实际利息。</t>
  </si>
  <si>
    <t>盛钱包坑激活费</t>
  </si>
  <si>
    <t>http://ts.21cn.com/tousu/show/id/1367751</t>
  </si>
  <si>
    <t>2019/10/17 01:31:24</t>
  </si>
  <si>
    <t>10月16日下午，三个自称是民生银行信用卡业务员以办信用卡为由，找我办理信用卡，我就办理了一个信用卡，然后信用卡办理填表过程中，他就拿出盛钱包的机器，说银行要查流水所以必须刷卡，然后就刷了我198块，欺骗我说这个钱七到十五天全额返还的，结果才知道被骗了，网上一搜发现很多这样的案例。</t>
  </si>
  <si>
    <t>钱站爱白条月光侠高利贷暴力催收</t>
  </si>
  <si>
    <t>http://ts.21cn.com/tousu/show/id/1367749</t>
  </si>
  <si>
    <t>2019/10/17 01:27:11</t>
  </si>
  <si>
    <t>速金服借款2660，实到账2000元，三期利息一共3180元，还没到还款日，你们有看头息倒是说清楚啊，短信明明写的到账2660，为什么实到账只有2000?爱白条借款3330元，实到账2500元，三期共还款3800元，到期后利息太高实在无法还款，而且不给协商，暴力催收，给我的通话记录联系人群发短信，不停骚扰我的联系人，请把账单发给我看，你们钱站的催收疯了还是眼花?。</t>
  </si>
  <si>
    <t>财付通无故扣除我银行卡五百元给腾安基金销售深圳有限公司</t>
  </si>
  <si>
    <t>http://ts.21cn.com/tousu/show/id/1367747</t>
  </si>
  <si>
    <t>2019/10/17 01:22:06</t>
  </si>
  <si>
    <t>本人朱亚东，我的浦发银行借记卡于2019年10月16日被恶意无故扣款了500元，我的银行卡，身份证，电话一直在身上，并且没有收到任何同第三方快捷支付的支付公司签订协议，也从来没有把验证码之类的告知他人，可是微信支付，财付通，腾安基金销售有限公司，易宝支付缺无故扣了我银行卡的钱，并且没有任何解释，也提供不了任何本人同他们公司合作的证据，在这里，我希望能追回被恶意扣款的款项，并且恳请有关部门对于第三方快捷支付加强管理。</t>
  </si>
  <si>
    <t>在没有任何提示情况及确认下扣款</t>
  </si>
  <si>
    <t>http://ts.21cn.com/tousu/show/id/1367746</t>
  </si>
  <si>
    <t>2019/10/17 01:21:46</t>
  </si>
  <si>
    <t>该公司旗下app“聚福钱包”注册账号之后，在没有任何提示及确认情况下，收取了本人100元信用评估费，且在与客服沟通之后，在没有任何经济纠纷下拒绝了我解绑银行卡的正当请求，有着强烈的再次扣强企图，请该公司提供平估资质并退还不正当的收强。</t>
  </si>
  <si>
    <t>我要投诉一个网贷平台（快闪卡贷）利息过高</t>
  </si>
  <si>
    <t>http://ts.21cn.com/tousu/show/id/1367742</t>
  </si>
  <si>
    <t>2019/10/17 01:17:18</t>
  </si>
  <si>
    <t>本人向其平台接9000元之后钱到账就被砍去1200多元的头息这就算了。</t>
  </si>
  <si>
    <t>http://ts.21cn.com/tousu/show/id/1367741</t>
  </si>
  <si>
    <t>2019/10/17 01:15:41</t>
  </si>
  <si>
    <t>本人10月16日凌晨一笔200元收款后，过来30分钟不到就被微信官方永久冻结微信支付账号，向客服联系多次，得到的答复都是模棱两可的，只是回答违反了用户协议，不予以解冻，本人是个游戏陪玩，微信里面有很多客户老板，都是直接微信转账的，用微信都是正常的日常收入，流水也不是很大，只有个别的的是固定的老板的转账红包，其他都是一些零散的老板，当天晚上在yy接单，叫我给他二维码说转账下单，200元，刚打完没多久，微信莫名其妙的就被冻结，我想不通，没有理由，这都是正当的收入，我辛辛苦苦打单子的钱呀，说封就封了，微信这条霸王</t>
  </si>
  <si>
    <t>拍拍贷逾期利息过高，软暴力催收</t>
  </si>
  <si>
    <t>http://ts.21cn.com/tousu/show/id/1367740</t>
  </si>
  <si>
    <t>2019/10/17 01:15:25</t>
  </si>
  <si>
    <t>借款本金9200元，已还了5600元的，剩余3600的本金及利息竟高达26552元；软暴力催收，泄露个人信息，影响我的工作。</t>
  </si>
  <si>
    <t>新生支付有限公司—海南圣云可网络科技有限公司不明扣款</t>
  </si>
  <si>
    <t>http://ts.21cn.com/tousu/show/id/1367739</t>
  </si>
  <si>
    <t>2019/10/17 01:12:56</t>
  </si>
  <si>
    <t>新生支付有限公司—海南圣云可网络科技有限公司于十月五号15:50分扣了我一百块钱，显示是消费，可这个时间点我还在上班根本没空去消费，网络上我也没接触过这个公司，可就莫名其妙多了这一笔消费，我很确定自己银行卡没丢信息也没泄露，我不知道该怎么联系他们，可在我不知情的情况下无故刷走我银行卡的资金我觉得必须严惩，而且我上网查了这个公司也不是第一次这样了。</t>
  </si>
  <si>
    <t>虚假VIP服务</t>
  </si>
  <si>
    <t>http://ts.21cn.com/tousu/show/id/1367703</t>
  </si>
  <si>
    <t>2019/10/17 01:12:53</t>
  </si>
  <si>
    <t>投诉人何先生投诉对象现金分期,苏州锦途网络科技有限公司涉诉金额198元问题类型诉求类型投诉详情诱导借款人办理VIP，并未享受到应有服务，并且无法退款。</t>
  </si>
  <si>
    <t>广东信汇为非法网站提供支付通道</t>
  </si>
  <si>
    <t>http://ts.21cn.com/tousu/show/id/1367738</t>
  </si>
  <si>
    <t>2019/10/17 01:12:38</t>
  </si>
  <si>
    <t>关于进一步加强支付结算管理防范电信网络新型违法犯罪有关事项的通知》，明确规定，第三方支付公司在接入商户时，应做到严格审核工作，不得直接或变相为互联网赌博平台等非法交易提供支付结算服务，广东信汇支付利用云闪付为非法赌博提供支付通道请求追回损失 投诉支付公司。</t>
  </si>
  <si>
    <t>http://ts.21cn.com/tousu/show/id/1367737</t>
  </si>
  <si>
    <t>2019/10/17 01:09:04</t>
  </si>
  <si>
    <t>本人前两天下载了人人花贷款平台在进行一系列的信息认证过后、提示我绑定银行卡、之后便要求生成一份个人信誉评估报告还是什么文件、需要花费288米豆、然而这个米豆并没有明确表示和现金挂钩、当时本人就只认为那个所谓的米豆只是虚拟货币、所以点击了生成文件，当时本人银行卡里并没有钱、然后显示了支付成功、随后便是长时间的审核过程，我也就没有搭理过这个软件、直到两天后，我卡上现金充足了、在我不知情的情况下、直接划扣掉我288现金。</t>
  </si>
  <si>
    <t>保卖车45天不过户</t>
  </si>
  <si>
    <t>http://ts.21cn.com/tousu/show/id/1367736</t>
  </si>
  <si>
    <t>2019/10/17 01:07:31</t>
  </si>
  <si>
    <t>本人2019年8月31日与瓜子二手车官方898创新签署了一份保卖协议，当天支付了70%的首付款，收车和验车人员说如果车卖不出去瓜子会在45天之内以公司名义买下并腾出车指标，大概十五天左右支付了尾款，希望黑猫平台可以给我们老百姓一个公道车卖了的第二天就买了新车，到今天指标不给腾出来严重影响个人生活和工作，希望投诉平台可以给老百姓一个公道，感谢，说车卖给了大使馆的外籍人，上大使馆的牌子，说大概一个星期左右过户，一个星期过后说大概还需一个星期，就这样一拖再拖，多次打电话都是搪塞推脱，最后说联系售后让我等电话，售后</t>
  </si>
  <si>
    <t>在微信ETC助手办理的速通卡不给注销</t>
  </si>
  <si>
    <t>http://ts.21cn.com/tousu/show/id/1367734</t>
  </si>
  <si>
    <t>2019/10/17 01:06:16</t>
  </si>
  <si>
    <t>在微信ETC助手办理的速通卡不给注销，导致我办理新的ETC办理不了，，我人和车在上海，而他们却给我办理北京的ETC。</t>
  </si>
  <si>
    <t>豹子贷平台恶意扣款</t>
  </si>
  <si>
    <t>http://ts.21cn.com/tousu/show/id/1367733</t>
  </si>
  <si>
    <t>2019/10/17 01:04:56</t>
  </si>
  <si>
    <t>投诉人何琼投诉对象豹子贷涉诉金额200元问题类型诉求类型投诉详情未经允许恶意从我卡里分三次扣除了两百元，我这张卡已经不能用了，不敢放钱进去了，希望提高有关部门的重视，我没有在他们平台借款，就扣了我两百元，这种行为是不是可以认为是恶意扣款，或者非法集资。</t>
  </si>
  <si>
    <t>友信普惠套路贷，下款金额和合同借款本金不符，乱收砍头息，乱收高额手续费</t>
  </si>
  <si>
    <t>http://ts.21cn.com/tousu/show/id/1367732</t>
  </si>
  <si>
    <t>2019/10/17 01:04:02</t>
  </si>
  <si>
    <t>http://ts.21cn.com/tousu/show/id/1367731</t>
  </si>
  <si>
    <t>2019/10/17 01:02:46</t>
  </si>
  <si>
    <t>因资金周转需要于18年8月份在恒易贷借款26000元，实到账26000元，签订合同时上面显示总借款26500多元，以为后面是多的利息，就顺利签约，签约完成到还款界面发现合同借款金额变为29000多元，此为阴阳合同，我实借款2600元，24期每期还款1775元，24期利息一共16600元，年华利率接近70%，远超国家规定不得超过36%红线，此乃高利贷违法，，共计还款23075元，剩余期数11期，剩余本金26000÷24×11=11917元，因目前经济能力有限，不能再支付高额利息，故只能还剩余本金加上2%违约金</t>
  </si>
  <si>
    <t>爱奇艺开通会员仍然有广告</t>
  </si>
  <si>
    <t>http://ts.21cn.com/tousu/show/id/1367729</t>
  </si>
  <si>
    <t>2019/10/17 01:01:39</t>
  </si>
  <si>
    <t>爱奇艺开通会员仍然有广告，还提示要开通会员免广告，已经付款开通成功，也刷新了，退了APP，再进去，仍然有广告。</t>
  </si>
  <si>
    <t>http://ts.21cn.com/tousu/show/id/1367728</t>
  </si>
  <si>
    <t>2019/10/17 00:59:30</t>
  </si>
  <si>
    <t>plus，在看抖音视频时突然就陷入了无限重启的状态，虽然平局每天有一次偶尔能出现开机的时候，但是在玩十分钟左右后又变成无限重启的状态，去合肥市庐阳区香港大厦售后检测说是主板问题，超过保修期更换主板需要900块钱，而且说我外屏坏了，主板根不能保修，然后我就没换，这手机二手的也才几百块，900块钱换主板我疯了，本来以为是自己倒霉，后来在网上发现，出现这种问题的人不止我一个，很多拥有这款手机的人都出现了这个问题，花三千多块买一个才有两年多的手机，突然因为硬件问题不能用了，还要自己在900块钱换主板，这件事，确实让</t>
  </si>
  <si>
    <t>乱扣费。</t>
  </si>
  <si>
    <t>http://ts.21cn.com/tousu/show/id/1367727</t>
  </si>
  <si>
    <t>2019/10/17 00:58:22</t>
  </si>
  <si>
    <t>本人投诉湖南省永州市中国移动乱扣费的问题导致本人手机现在，欠费，已致过期空号现本人还信用卡因要用到本机号码，导致现在信用卡逾期多天。</t>
  </si>
  <si>
    <t>爱白条利息与合同不符</t>
  </si>
  <si>
    <t>http://ts.21cn.com/tousu/show/id/1367726</t>
  </si>
  <si>
    <t>2019/10/17 00:57:05</t>
  </si>
  <si>
    <t>投诉人 王女士        投诉对象  爱白条        涉诉金额  2 100 元    问题类型    诉求类型投诉详情  合同借款利息42.5元 实际利息1053.66元 利息高达50％</t>
  </si>
  <si>
    <t>唯品会</t>
  </si>
  <si>
    <t>http://ts.21cn.com/tousu/show/id/1367725</t>
  </si>
  <si>
    <t>2019/10/17 00:56:59</t>
  </si>
  <si>
    <t>投诉人 许女士        投诉对象  唯品会        涉诉金额  5 000 元    问题类型    诉求类型投诉详情  暴力催收 爆通讯录 恐吓家人 发恐吓短信轰炸</t>
  </si>
  <si>
    <t>饿了么多次冻结账号</t>
  </si>
  <si>
    <t>http://ts.21cn.com/tousu/show/id/1367724</t>
  </si>
  <si>
    <t>2019/10/17 00:54:43</t>
  </si>
  <si>
    <t>投诉人白先生投诉对象饿了么涉诉金额0元问题类型诉求类型投诉详情我的账户又被冻结了这已经是第三次了无缘无故冻结我账户前两次的解释是我多次浏览商家这次我刚点开软件账户就被冻结了而且前两次处理的特别慢好几天都订不了餐严重影响我的生活客服每次都是那套话这次必须给我做出合理的解释为什么多次冻结我的账户立刻给我恢复账号。</t>
  </si>
  <si>
    <t>新橙优品恶意催收，骚扰通讯录</t>
  </si>
  <si>
    <t>http://ts.21cn.com/tousu/show/id/1367723</t>
  </si>
  <si>
    <t>2019/10/17 00:54:27</t>
  </si>
  <si>
    <t>投诉人邓女士投诉对象新橙优品涉诉金额4000元问题类型诉求类型投诉详情1，新橙优品合同本金4000，实际到账3367.05，砍头632.95，分六期需还5294.4，利息高达1927.35，严重超出国家规定利率，借款实际本金3367.05，已还四期金额共4192.51，已还够本金利息，现要求销账处理，提供结清证明。</t>
  </si>
  <si>
    <t>钱站砍头息阴阳合同</t>
  </si>
  <si>
    <t>http://ts.21cn.com/tousu/show/id/1367720</t>
  </si>
  <si>
    <t>2019/10/17 00:53:41</t>
  </si>
  <si>
    <t>6月10日，钱站借款9360万，实际到账6000元，砍头息3360元，其中合同中未注明实际到账金额，本人有银行汇款记录流水，砍头息也并未注明此款去向，其中本人向服务方支付443.7元的服务费，同时又向乙方234.28元，北京汇牛公司支付服务费，还款1601*6=9606元，综合年利率高达184.37%，其客服多次通过电话诱导借款，借款前并不知道存在砍头息，现本人已偿还4期，希望钱站公司多退少补该还的一分不少，多还的以及砍头息希望如数退还，此种借款还有三笔，以及结清的三笔，请停止对我本人的通讯录的骚扰，停止对</t>
  </si>
  <si>
    <t>银行信用卡给我们一条活路</t>
  </si>
  <si>
    <t>http://ts.21cn.com/tousu/show/id/1364801</t>
  </si>
  <si>
    <t>2019/10/17 00:53:26</t>
  </si>
  <si>
    <t>至以下信用卡本人和老婆做生意现在亏的连生活费都要靠朋友来维持，又和朋友合伙生意，又亏了700多万啊，从无忧无虑到落魄成这样子，我们很想吗，从来没有逾期过，不是现在生意亏损，谁喜欢逾期谁喜欢欠银行钱，突然从无忧无虑的生活一夜之间就变成了什么都没有，我父母为了我们连他们养老的房子门面全部卖掉来替我们还债，可是还是不够还，可你们银行呢，没有逾期的时候你们银行就一直给我们额度给我们贷款，逾期了个个银行就像什么是的个个说我们诈骗什么什么的，为了要还你们银行信用卡，没办法到处借，甚至借高利贷来还，可是还是没办法，欠太多</t>
  </si>
  <si>
    <t>http://ts.21cn.com/tousu/show/id/1367722</t>
  </si>
  <si>
    <t>2019/10/17 00:52:59</t>
  </si>
  <si>
    <t>投诉人常先生投诉对象钱站涉诉金额14000元问题类型诉求类型投诉详情开始显示的借款金额是18800元，实际将到账金额只有14000，每个月要还款1900多元，共还12个月，严重超出了国家规定的合法利息，并且完全联系不到客服，也没有办法取消切款订单。</t>
  </si>
  <si>
    <t>http://ts.21cn.com/tousu/show/id/1367707</t>
  </si>
  <si>
    <t>2019/10/17 00:50:25</t>
  </si>
  <si>
    <t>本人申请网贷未成功，就莫名奇妙扣掉298.5元。</t>
  </si>
  <si>
    <t>http://ts.21cn.com/tousu/show/id/1367719</t>
  </si>
  <si>
    <t>2019/10/17 00:49:48</t>
  </si>
  <si>
    <t>不知道什么原因扣了我卡里的钱连支付密码都不需要。</t>
  </si>
  <si>
    <t>中国银联无卡支付刷走我1800</t>
  </si>
  <si>
    <t>http://ts.21cn.com/tousu/show/id/1367718</t>
  </si>
  <si>
    <t>2019/10/17 00:49:45</t>
  </si>
  <si>
    <t>21点51分两笔在中国银联云闪付被盗刷1800元本人及时拨打中国银联客服电话，我关键还有对方账号36****************5，我报警了警察让中国银联的工作人员马上止付中国银联的工作人员回答钱已到账无法止付，我真的无语了就是问我有没有收到什么非法短信啊。</t>
  </si>
  <si>
    <t>二十多天了联通华盛电商就是不退款</t>
  </si>
  <si>
    <t>http://ts.21cn.com/tousu/show/id/1367717</t>
  </si>
  <si>
    <t>2019/10/17 00:48:59</t>
  </si>
  <si>
    <t>店家承诺七天无理由退货，然而到现在还没有退款，我与10月2号，10月9号，12号多次与卖家联系，他们一直推脱就是不退。</t>
  </si>
  <si>
    <t>淘宝通过信息层面判断售假，证据确凿资料齐全却被判申诉失败，淘宝店像死店损失大</t>
  </si>
  <si>
    <t>http://ts.21cn.com/tousu/show/id/1367716</t>
  </si>
  <si>
    <t>2019/10/17 00:48:19</t>
  </si>
  <si>
    <t>14:42接受淘宝信息通知‘’通过信息层面判断卖家出售假冒、盗版商品‘’，违规编号：133******75，开放申诉入口，要求提供1、商品条形码；2、物流查询截图/物流底单/收件人身份信息；3、代购资质证明；4；进货清单/小票，成交行为等表明涉嫌发布假冒、盗版商品，当天已经全部上传凭证，然后2019-08-25，回馈结果申诉申诉不成立，原因说明:综合您的账户行为判定申诉不成立，商品信息、店铺信息、成交行为等表明，涉嫌发布假冒、盗版商品，我自己没有去找客服人工审核，也不明白怎么判定我售假，1、我上传了所有凭证</t>
  </si>
  <si>
    <t>滴滴出行的人证的上传初审老是失败</t>
  </si>
  <si>
    <t>http://ts.21cn.com/tousu/show/id/1367715</t>
  </si>
  <si>
    <t>2019/10/17 00:47:55</t>
  </si>
  <si>
    <t>投诉人徐吉祥投诉对象滴滴出行涉诉金额200元问题类型诉求类型投诉详情本人沈阳，于2019年9月22经过交通局下发的人证，取证是30号，取到证件就开始上传信息认证，可直到现在最终不通过初审信息给滴滴客服打电话，也是忽悠司机处理时间72小时，直到现在好多72小时了，滴滴客服回复我信息还把之前申诉问题还抹除这做法对咱们司机真无话可说不解决问题还把我反馈问题抹除沈阳现在限制无证司机的单数，好多次于滴滴客服申诉就是不给解决，希望贵平台帮助解决下这个事情呗首先在这里说声谢谢。</t>
  </si>
  <si>
    <t>北京拉卡拉贷款公司</t>
  </si>
  <si>
    <t>http://ts.21cn.com/tousu/show/id/1367714</t>
  </si>
  <si>
    <t>2019/10/17 00:47:10</t>
  </si>
  <si>
    <t>投诉人 邱先生        投诉对象  拉卡拉        涉诉金额  1 400 元    问题类型    诉求类型投诉详情  因在不知情的情况下，扣走钱。如果我有贷款可以通知我，协调还款。</t>
  </si>
  <si>
    <t>凡普金科-凡普信-套路贷-砍头息-暴力催收</t>
  </si>
  <si>
    <t>http://ts.21cn.com/tousu/show/id/1367713</t>
  </si>
  <si>
    <t>2019/10/17 00:46:39</t>
  </si>
  <si>
    <t>去年8月份，本人在凡普苏州门店借贷11万多，扣除了35700即占了本金44%左右的手续费、服务费等，当时业务员说要提前收取信息服务费等费用，还说利息2分不到诱导我签了合同，且当时一份正式的合同没给我只有电脑随便打印出来的还款记录，上面标注每期本息合计还款3809.1，在没有合同和还款事宜的情况下按时还款了13期，下面新的合同是我近期上APP才了解到的，里面逾期1天就要将近200，之后就不断的有0591、0730开头等一些的自称凡普的工作人员来电话催款和违约金，甚至包括十一期间，催收人员还不辞辛苦的致电慰问，</t>
  </si>
  <si>
    <t>套高利贷，砍头息</t>
  </si>
  <si>
    <t>http://ts.21cn.com/tousu/show/id/1367712</t>
  </si>
  <si>
    <t>2019/10/17 00:41:10</t>
  </si>
  <si>
    <t>有用分期高利贷，砍头息，莫名的加管理费4273，借18000，合同上写着玩借22273，，让我们还24912，我现在已经还了19000，根本没有提示过，天天打电话给我的家人朋友，发信息骚扰我以及我的家人朋友。</t>
  </si>
  <si>
    <t>农行绿森商城购买手机未发货，申请退款4天未有任何回应</t>
  </si>
  <si>
    <t>http://ts.21cn.com/tousu/show/id/1367711</t>
  </si>
  <si>
    <t>2019/10/17 00:40:17</t>
  </si>
  <si>
    <t>通过农行app点进去，10月11日购买了1台iphone11ProMax，512G手机，没有发货状态下，10月12日申请退款4天了，还不给我退，联系农行客服，叫我找绿森客服，根本找不到，怎么找难道要我跑去浙江，当初是相信农行才在农行app里面购买手机，现在不退款，农行一句话叫我找绿森客服，在绿森线客服没反应，电话客服每次系统都说下班。</t>
  </si>
  <si>
    <t>微信号被打标</t>
  </si>
  <si>
    <t>http://ts.21cn.com/tousu/show/id/1367710</t>
  </si>
  <si>
    <t>2019/10/17 00:39:06</t>
  </si>
  <si>
    <t>本人微信号被创客工具箱莫明的打标，因为有微信好友反映我的微信号在创客工具箱被打标狐狸，而且是没法申诉，希望此事能尽快给出说法，恢复我微信的正常使用。</t>
  </si>
  <si>
    <t>http://ts.21cn.com/tousu/show/id/1367706</t>
  </si>
  <si>
    <t>2019/10/17 00:39:01</t>
  </si>
  <si>
    <t>位置情况下连续扣除我两笔99金额账款，分明就是不正当。</t>
  </si>
  <si>
    <t>中金支付信而富企管无故盗刷银行卡余额</t>
  </si>
  <si>
    <t>http://ts.21cn.com/tousu/show/id/1367709</t>
  </si>
  <si>
    <t>2019/10/17 00:38:06</t>
  </si>
  <si>
    <t>中金支付连同信而富无故盗扣银行卡余额，本人于2019年3月30日与中金支付签订支付协议，时至今日并未与该机构发生过任何交易，10月15号早上8点22分无故从我银行卡余额扣款408.7元。</t>
  </si>
  <si>
    <t>信用飞不退保险</t>
  </si>
  <si>
    <t>http://ts.21cn.com/tousu/show/id/1367708</t>
  </si>
  <si>
    <t>2019/10/17 00:34:45</t>
  </si>
  <si>
    <t>2019年07月16日从信用飞借款3000元，无故扣除610元交通工具意外伤害保险，我之前有过投诉，但均未解决，况且投保人上海岱海金融信息服务有限公司投保的承保地在广东，我人一直在内蒙古，然后转接广东省坐席，总是排队挂断，持续有整整一个礼拜，迫使保险在2019年09月16日保险生效，期间你们客服和我协商，说归还款项以后给我退保，受够了，610元为什么要便宜你们这个平台，无故克扣，如果再次从聚投诉平台投诉过后，还是得不到解决的方案，那么，我只能诉讼了。</t>
  </si>
  <si>
    <t>湖北黄石石化加油站拒收人民币</t>
  </si>
  <si>
    <t>http://ts.21cn.com/tousu/show/id/1367705</t>
  </si>
  <si>
    <t>2019/10/17 00:30:54</t>
  </si>
  <si>
    <t>投诉人周国辉投诉对象湖北石化,中国石化,湖北石油涉诉金额20元问题类型诉求类型投诉详情湖北黄石儿童公园加油站，，公然拒收人民币，微信，，支付宝等，强行办理加油卡，推广app加油。</t>
  </si>
  <si>
    <t>闪电借款，恶意骚扰</t>
  </si>
  <si>
    <t>http://ts.21cn.com/tousu/show/id/1367704</t>
  </si>
  <si>
    <t>2019/10/17 00:28:32</t>
  </si>
  <si>
    <t>疯狂用网络电话，每次都骚扰到晚上9点，影响我正常工作，可能工作都要丢了。</t>
  </si>
  <si>
    <t>聚富分期乱扣费</t>
  </si>
  <si>
    <t>http://ts.21cn.com/tousu/show/id/1367702</t>
  </si>
  <si>
    <t>2019/10/17 00:27:39</t>
  </si>
  <si>
    <t>在匹配永道小贷之后一直在放款中，也无法取消！然后在第二晚上天从我建行扣了50元！只要卡上有钱会后期一直扣到299，期间多次打了客服都打不通，联系客服也没用！也不给结果！怀疑聚富分期骗取客户服务费！。</t>
  </si>
  <si>
    <t>有钱进app违法电话骚扰</t>
  </si>
  <si>
    <t>http://ts.21cn.com/tousu/show/id/1367678</t>
  </si>
  <si>
    <t>2019/10/17 00:27:03</t>
  </si>
  <si>
    <t>近期莫名其妙接到自称有钱进app的催收，还要求我还钱，我从来没有在该名称平台申请过任何贷款，再三表示没有借款后，对方各种难听的辱骂我还要我去做小姐，过了电话后几天后打给了我有过电话联系的朋友，并对我联系人进行了非常恶劣的言语侮辱，严重怀疑我的个人信息被该平台违法倒卖和泄露，简直忍无可忍，现在是法治社会，这完全是违法行为，都有留下录音，准备好了去报警，还敢骚扰我我就采取法律手段。</t>
  </si>
  <si>
    <t>微贷网砍头息</t>
  </si>
  <si>
    <t>http://ts.21cn.com/tousu/show/id/1367701</t>
  </si>
  <si>
    <t>2019/10/17 00:26:26</t>
  </si>
  <si>
    <t>微贷网存在砍头息四百元，2000实际到账1600分三期还款2100元，现还剩一期需还款700多元，要求最后一期还款扣除砍头息，还款300元。</t>
  </si>
  <si>
    <t>21cn个人免费邮箱无法正常使用，无法接收邮件。</t>
  </si>
  <si>
    <t>http://ts.21cn.com/tousu/show/id/1367700</t>
  </si>
  <si>
    <t>2019/10/17 00:26:02</t>
  </si>
  <si>
    <t>投诉人欧先生投诉对象21CN涉诉金额0元问题类型诉求类型投诉详情21cn个人免费邮箱无法正常使用，无法接收邮件，希望21cn能尽快恢复邮箱的正常使用，正常收发邮件。</t>
  </si>
  <si>
    <t>马上金融是高利贷</t>
  </si>
  <si>
    <t>http://ts.21cn.com/tousu/show/id/1367699</t>
  </si>
  <si>
    <t>2019/10/17 00:25:30</t>
  </si>
  <si>
    <t>我在马上金融借了6000元分12期还款，已经还了10期了，每期还679元，由于家里的买卖赔了，我又生了二宝，家里就靠老公一个月4000块钱的工资，大儿子刚上初中，所以马上金融的剩下两期逾期了，马上金融每天打十几个电话催款，退一万步讲，我每个月还679元，十个月还了你们8000多元，你们光利息就收了800多了，现在打电话催我再还1400多，这样你们光利息就要2200多元，是不是太黑了，我想请聚投诉帮忙从中调节，请马上金融停止骚扰本人和朋友们，本金已经还够你们了，利钱你们也收了8百多了，再让我还1400元，你们</t>
  </si>
  <si>
    <t>http://ts.21cn.com/tousu/show/id/1367698</t>
  </si>
  <si>
    <t>2019/10/17 00:24:40</t>
  </si>
  <si>
    <t>之前因714高炮，导致资金周转困难，信用卡多次向单位催收导致工作丢失，没有了资金来源，目前经济状况无法一次性偿还，希望银行可分十六期左右，因为别的信用卡也在偿还，工作工资有限，无法承担一次性还款。</t>
  </si>
  <si>
    <t>http://ts.21cn.com/tousu/show/id/1367697</t>
  </si>
  <si>
    <t>2019/10/17 00:23:28</t>
  </si>
  <si>
    <t>本人平常喜欢玩玩中国体育彩票，后来收到个陌生人短信，可以在网上投注，不用再去跑实体店买票，于是我听信了这个，后来在违规网站上一直输钱，经过朋友提醒才发觉这是违规赌博网站，希望能帮助追回资金,充值通道是云闪付里面用邮政银行卡支付，邮政银行卡直接转账，上海瀚银应为赌博游戏提供推广、支付服务的法律责任:《中华人民共和国刑法》第二百八十七条之二:明知他人利用信息网络实施犯罪，为其犯罪提供互联网接入、服务器托管、网络存储、通讯传输等技术支持，或者提供广告推广、支付结算等帮助，情节严重的，处三年以下有期徒刑或者拘役，并</t>
  </si>
  <si>
    <t>砍头息套路贷</t>
  </si>
  <si>
    <t>http://ts.21cn.com/tousu/show/id/1367696</t>
  </si>
  <si>
    <t>2019/10/17 00:20:43</t>
  </si>
  <si>
    <t>以购买手机的方式诱导借款4258到账三千多。</t>
  </si>
  <si>
    <t>爱农驿站还我血汗钱</t>
  </si>
  <si>
    <t>http://ts.21cn.com/tousu/show/id/1367695</t>
  </si>
  <si>
    <t>2019/10/17 00:20:05</t>
  </si>
  <si>
    <t>本人于今年5月份被爱农驿站旗下的商户米格龙电子和哈泰金属制品累计骗去9000于元，本人无法联系到商户，希望爱农驿站给于追回，本人现在身体不舒服，没钱去看病，可以提供医院证明，如果不能帮忙追回我只能联系媒体电视台，曝光爱农驿站和这2个商户。</t>
  </si>
  <si>
    <t>贷上钱砍头息高利贷</t>
  </si>
  <si>
    <t>http://ts.21cn.com/tousu/show/id/1367692</t>
  </si>
  <si>
    <t>2019/10/17 00:17:24</t>
  </si>
  <si>
    <t>我在贷上钱APP上借款为期一周的4000元借款，审批额度4000元，却要求偿还5442.36元贷款，该公司人员称其中1442.36元没有发放到用户的银行账户，而是以贷款通过费的形式购买了1200游戏豆，还有242.36元不知所踪，也就是说，这1442.36元并没有转账到我的银行账户上，再让我自主选择购买1200元游戏金豆，而是被该公司代币的形式作为贷款发放给了我，并要求我以现金形式还款，在此过程中，该公司涉嫌违法收取高额贷款通过费用，直接或间接为“虚拟货币”提供账户开立、登记、交易、清算、结算等产品或服务，</t>
  </si>
  <si>
    <t>自由摩卡信用计划会员购买后无法使用</t>
  </si>
  <si>
    <t>http://ts.21cn.com/tousu/show/id/1367693</t>
  </si>
  <si>
    <t>2019/10/17 00:17:15</t>
  </si>
  <si>
    <t>投诉人张先生投诉对象自由摩卡,信用计划涉诉金额65元问题类型诉求类型投诉详情自由摩卡里的信用计划，提供会员服务，说是买了会员可以一直享受借款，结果借款一次后就一直显示人数已满，今天有发现连入口都没有了！买的会员，没有得到会员的服务，要求全额退款。</t>
  </si>
  <si>
    <t>退还违约金利息</t>
  </si>
  <si>
    <t>http://ts.21cn.com/tousu/show/id/1367691</t>
  </si>
  <si>
    <t>2019/10/17 00:15:45</t>
  </si>
  <si>
    <t>投诉人 王云波        投诉对象  建设银行信用卡        涉诉金额  2 660 元    问题类型    诉求类型投诉详情  违约金利息太高。我只想让退换我一小部分。</t>
  </si>
  <si>
    <t>捷信现金贷变相收高利息</t>
  </si>
  <si>
    <t>http://ts.21cn.com/tousu/show/id/1367689</t>
  </si>
  <si>
    <t>2019/10/17 00:13:20</t>
  </si>
  <si>
    <t>本人贷了21000块，分期还款分了30期捷信公司每月收我1341.17元，算起来还完的话要我40235.1元，其中19235.1是利息和多种管理费和手续费，以其他名义收取高服务费。</t>
  </si>
  <si>
    <t>交通银行违规催收</t>
  </si>
  <si>
    <t>http://ts.21cn.com/tousu/show/id/1367687</t>
  </si>
  <si>
    <t>2019/10/17 00:09:41</t>
  </si>
  <si>
    <t>因个人原因导致信用卡逾期，资金周转不过来，但是每个月都会还一点，02195559先是轰炸我家人一天打几十个电话，接了打，不接也打，我让我家人和催收人员说我会还款不是不还，只是不能一次还清，目前唯一的收入来源就是工资，但是近期催收不知道通过什么手段打电话到我领导那里，我领导找我谈话说催收电话不仅打到了单位，还打给了和我没有交集的大队办公室，造成了很大的不良影响，那这种行为是不是已经违规。</t>
  </si>
  <si>
    <t>银钱包在我不知情情况下刷我499购买VIP要求退款</t>
  </si>
  <si>
    <t>http://ts.21cn.com/tousu/show/id/1367632</t>
  </si>
  <si>
    <t>2019/10/17 00:09:23</t>
  </si>
  <si>
    <t>投诉人桑颖镛投诉对象付临门支付涉诉金额499元问题类型诉求类型投诉详情不知情情况给我刷卡499购买VIP要求退款。</t>
  </si>
  <si>
    <t>网上购票为何不能在网上退票</t>
  </si>
  <si>
    <t>http://ts.21cn.com/tousu/show/id/1367686</t>
  </si>
  <si>
    <t>2019/10/17 00:08:45</t>
  </si>
  <si>
    <t>本人于10月16号在网上购买了一张于10月17号晚八点多甘谷到北京西的火车票，但是由于行程有所改动，，我想要在16号网上十点多退票，但是却告知我不能在网上退票，既然网上可以购买票，为何却不能退，这是一个不合理的现象。</t>
  </si>
  <si>
    <t>支付宝非法为714高炮+砍头贷提供还款通道</t>
  </si>
  <si>
    <t>http://ts.21cn.com/tousu/show/id/1367685</t>
  </si>
  <si>
    <t>2019/10/17 00:08:20</t>
  </si>
  <si>
    <t>投诉人陈女士投诉对象浪花花涉诉金额1600元问题类型诉求类型投诉详情10月12号，通过钱站下载推荐app雪中送炭，然后再由雪中送炭推荐下载花炏艻，在花炏艻遭遇6天一期的714高炮、违法高利贷app浪花花，在浪花花借款1600元，6天后还款，但实际到账1040元，遭遇非法砍头息560元，支付宝为714高炮+高利贷+砍头息公司提供还款渠道希望调查情况，给出解释，并调整利息，最高接受国家规定合法利息，协商还款，并且还款方式是通过支付宝还款，支付宝为714高炮+高利贷+砍头息公司提供还款渠道，希望调查情况，给出解释</t>
  </si>
  <si>
    <t>美团拖欠工资</t>
  </si>
  <si>
    <t>http://ts.21cn.com/tousu/show/id/1367684</t>
  </si>
  <si>
    <t>2019/10/17 00:05:01</t>
  </si>
  <si>
    <t>上海五角场站易及达美团专送外卖，拖欠本人这个月工资，没有按时发放已拖欠3天，而且没有说什么时候发放就一直拖着。</t>
  </si>
  <si>
    <t>财神黑卡砍头息套路贷</t>
  </si>
  <si>
    <t>http://ts.21cn.com/tousu/show/id/1367683</t>
  </si>
  <si>
    <t>2019/10/17 00:04:05</t>
  </si>
  <si>
    <t>年化利率超过国家法定利率，借款之前强制要求购买300元的财神黑卡，不买不让借款，要求掌众金服退还本人购买财神黑卡的300元，上一次投诉闪电借款未解决问题私自申请结案，本人未及时处理导致默认结案，此次投诉不解决问题硬刚到底，休想偷鸡摸狗。</t>
  </si>
  <si>
    <t>及贷变相砍头息高利贷阴阳合同骚扰通讯录</t>
  </si>
  <si>
    <t>http://ts.21cn.com/tousu/show/id/1367682</t>
  </si>
  <si>
    <t>2019/10/17 00:01:54</t>
  </si>
  <si>
    <t>4月30日，在及贷一笔5400元贷款通过审批，放款过程中，及贷直接扣除502.2元的保险费用，而此举在审贷过程中并未提示需购买保险，也没有正规购买保险所应有的流程，更加没有经过我本人的确认和许可，属于强迫捆绑消费，我认为此举及贷业务构成强迫消费及霸王条款，变相砍头息，合同中写借款金额5902.2，实际到账5400，阴阳合同，现要求及贷公司全额退款，2、根据《中华人民共和国合同法》第二百条的规定，“借款的利息不得预先在本金中扣除，利息预先在本金中扣除的，应当按照实际借款数额返还借款并计算利息，每月还款1096</t>
  </si>
  <si>
    <t>立刻出行不退押金499元</t>
  </si>
  <si>
    <t>http://ts.21cn.com/tousu/show/id/1367681</t>
  </si>
  <si>
    <t>2019/10/16 23:59:38</t>
  </si>
  <si>
    <t>7月20号就申请退款，按照说明5-10个工作日后依旧没有退，打客服电话一直没人接，一直没有人工客服联系。</t>
  </si>
  <si>
    <t>http://ts.21cn.com/tousu/show/id/1367680</t>
  </si>
  <si>
    <t>2019/10/16 23:59:00</t>
  </si>
  <si>
    <t>投诉人王翔宇投诉对象钱站涉诉金额75000元问题类型诉求类型投诉详情在钱站APP借款75000元，合同显示金额81000元，现已还款22期共计83437.2元，提前结清仍需36978.31元，利息共计45415.51元！还款日当天多次打电话让我还款，说不还款要挨个打我联系人，希望钱站能给出合理解释并对这笔不合规的借款给予正常本金利息结清！。</t>
  </si>
  <si>
    <t>偷刷我卡里的钱</t>
  </si>
  <si>
    <t>http://ts.21cn.com/tousu/show/id/1367679</t>
  </si>
  <si>
    <t>2019/10/16 23:56:57</t>
  </si>
  <si>
    <t>我银行卡的钱无故被刷走了，请有关部门帮忙处理一下，谢谢。</t>
  </si>
  <si>
    <t>小当家登不上去，还不了款，怀疑套路贷</t>
  </si>
  <si>
    <t>http://ts.21cn.com/tousu/show/id/1367677</t>
  </si>
  <si>
    <t>2019/10/16 23:53:45</t>
  </si>
  <si>
    <t>投诉人庾先生投诉对象小当家涉诉金额2400元问题类型诉求类型投诉详情还有几天就是还款日了，结果软件登不上，客服也没有，通知也没有，怀疑它故意让我逾期。</t>
  </si>
  <si>
    <t>钱站暴力催收，恐吓催收，群发短信，骚扰</t>
  </si>
  <si>
    <t>http://ts.21cn.com/tousu/show/id/1367676</t>
  </si>
  <si>
    <t>2019/10/16 23:51:49</t>
  </si>
  <si>
    <t>钱站的威胁以及骚扰无关，侵权个人隐私，希望有关部门给予处理，暴力催收为什么会如此嚣张！。</t>
  </si>
  <si>
    <t>微贷一直扣银行卡钱产生盗刷风险</t>
  </si>
  <si>
    <t>http://ts.21cn.com/tousu/show/id/1367675</t>
  </si>
  <si>
    <t>2019/10/16 23:50:55</t>
  </si>
  <si>
    <t>第三方也无节制帮扣款，10块也扣，是不给活路和饭钱吗。</t>
  </si>
  <si>
    <t>威胁短信</t>
  </si>
  <si>
    <t>http://ts.21cn.com/tousu/show/id/1367674</t>
  </si>
  <si>
    <t>2019/10/16 23:50:29</t>
  </si>
  <si>
    <t>就是用这种下三滥的手段威胁我，群发短信给我的通讯录好友，爆我通讯录！严重侵犯了我的隐私，也影响到了我的生活。</t>
  </si>
  <si>
    <t>威胁短信，暴力催收</t>
  </si>
  <si>
    <t>http://ts.21cn.com/tousu/show/id/1367669</t>
  </si>
  <si>
    <t>2019/10/16 23:46:09</t>
  </si>
  <si>
    <t>就是这样威胁短信发过来，然后各种发给通讯录好友，我是逾期了，但是没有不还这个钱，只是暂时性的还不上。</t>
  </si>
  <si>
    <t>聚富分期私自扣款</t>
  </si>
  <si>
    <t>http://ts.21cn.com/tousu/show/id/1367658</t>
  </si>
  <si>
    <t>2019/10/16 23:34:03</t>
  </si>
  <si>
    <t>2019年9月1号下载了叫聚富分期的软件，想借款填写银行卡资料后申请不通过，并且没有提示需要评估费299，一周左右开始私自扣除卡内余额我希望平台能给我个解释，并且退款。</t>
  </si>
  <si>
    <t>招呼联金融骚扰恐吓诽谤</t>
  </si>
  <si>
    <t>http://ts.21cn.com/tousu/show/id/1367655</t>
  </si>
  <si>
    <t>2019/10/16 23:32:39</t>
  </si>
  <si>
    <t>本人于10月12日开始接到招联金融的电话，说我亲戚朋友欠钱没还，还问我他的状况，我就想说他住深圳，我住陆丰市，哪知道他怎么样，我就跟招联说我会通知他的，结果他们每天打电话骚扰我，态度还极其恶劣，我就想说是我欠你们钱了吗，我经不住你们招联每天骚扰就拉进黑名单，现在还威胁恐吓我有包庇罪，我是个外卖员，送外卖要跑来跑去哪有空接你们的电话，这不止影响到我的工作，我的身心健康也受到极大伤害。</t>
  </si>
  <si>
    <t>http://ts.21cn.com/tousu/show/id/1367648</t>
  </si>
  <si>
    <t>2019/10/16 23:30:16</t>
  </si>
  <si>
    <t>手机分期，一开始是我经过一手机店然后就有人拉着我让我进店投票领礼品的，我是拒绝的，说了好几篇不需要的，那人硬拦着不让我走，然后我才就去打算给他投一票的，进去之后就步步利诱，刚开始是说我的号码那个分高可以免费送一个手机，不过有条件的不能关机、不能停机的，我当时拒绝了只想赶紧走的，后来他又推荐了别的一个分期套餐，说2999分期12个月利息只要几百块，还完了之后就分一年反2999的话费，我当时感觉还可以就选择分期了，之前还款前一天会有短信提醒的，这个月还款也没有提醒导致逾期了，就今天来了条短信说业务员离职了我才想</t>
  </si>
  <si>
    <t>拍拍贷软暴力催收</t>
  </si>
  <si>
    <t>http://ts.21cn.com/tousu/show/id/1367647</t>
  </si>
  <si>
    <t>2019/10/16 23:30:13</t>
  </si>
  <si>
    <t>投诉人张先生投诉对象拍拍贷涉诉金额7000元问题类型诉求类型投诉详情之前在拍拍贷借过几笔小资金贷款，一直分期在还，最近由于换工作的原因资金困难，导致逾期，该平台从我逾期的第一天起就开始不断催收，我在对方打过来的多通电话里都表明了自己的还款意愿，请求对方宽限一定的还款时间，但对方一点商量的余地都不给，现在也不给我打电话了，每天都电话轰炸我亲戚朋友，并且态度恶劣，我希望对方立马停止这种无意义的行为，这种行为非但解决不了问题而且会让事情恶化，最近更甚，找了催收公司说要上门催收，言语之中全是恶意，如下图。</t>
  </si>
  <si>
    <t>在月光侠分期借款3000元，分三期，提前收取900元，到账2100元，没有任何的提示就扣款900元，合同上面没写</t>
  </si>
  <si>
    <t>http://ts.21cn.com/tousu/show/id/1367636</t>
  </si>
  <si>
    <t>2019/10/16 23:21:53</t>
  </si>
  <si>
    <t>投诉人龚先生投诉对象钱站涉诉金额1000元问题类型诉求类型投诉详情在月光侠分期借款3000元，三期，提前收取900元费用，在页面没有任何提示的情况下，合同没有任何写明的情况下扣款900元，客服说的什么评估价在审核费，请问收取的费用，在哪可以提现出来，在哪里写明，，多次致电客服，客服态度恶劣，阴阳合同，必须退还所有不合理的费用。</t>
  </si>
  <si>
    <t>自由魔卡信用计划退还300元砍头息</t>
  </si>
  <si>
    <t>http://ts.21cn.com/tousu/show/id/1367618</t>
  </si>
  <si>
    <t>2019/10/16 23:09:43</t>
  </si>
  <si>
    <t>信用计划已收取所谓的备用金为名，非法收取砍头息300元，还款日迫于无奈已经还清，现要求自由魔卡里的信用计划退还300元砍头息，我一定维权到底。</t>
  </si>
  <si>
    <t>http://ts.21cn.com/tousu/show/id/1367614</t>
  </si>
  <si>
    <t>2019/10/16 23:06:45</t>
  </si>
  <si>
    <t>投诉人徐绍龙投诉对象捷信金融涉诉金额10000元问题类型诉求类型投诉详情借了10000元分19期还，每期676元，目前已经还了16期，现在失业没有了收入，表示缓几天再还，可是捷信的催收电话不断，严重影响到新的工作了，目前已经还了一万多了，真的是高利贷逼死人的节奏。</t>
  </si>
  <si>
    <t>电信网络质量不达标，而且吃吃不处理，自己网络不好，还怪我访问的网站服务器有问题。</t>
  </si>
  <si>
    <t>http://ts.21cn.com/tousu/show/id/1367603</t>
  </si>
  <si>
    <t>2019/10/16 22:59:34</t>
  </si>
  <si>
    <t>我办理这个宽带有两个月了快，上个月我就发现宽带有问题，由此致电给电信客服热线，客服说给我处理，然后从第二天开始基本每天一个电话，电话内容告诉我他们是售后的，问我问题处理的怎么样满不满意，但是问题也没人给我来解决，也没告诉我要处理这件事情，而且每天还有短信，就是说他们处理完了之类的，跟电话一样，没有处理就开始告诉我让我给他们做出评价，连着差不多有一个星期把，问题没有解决，态度也越来越恶劣了，打电话就说我上的网站有问题，下载的服务器有问题，你怎么不说你公司的产品有问题呢，说着说着他们还不耐烦了，有的时候直接挂电</t>
  </si>
  <si>
    <t>有钱花恶意催款，无故降额</t>
  </si>
  <si>
    <t>http://ts.21cn.com/tousu/show/id/1367600</t>
  </si>
  <si>
    <t>2019/10/16 22:58:28</t>
  </si>
  <si>
    <t>百度有钱花在自己没有给我做出解决的办法，我也投诉几次第三方催款态度恶劣还骚扰我的通讯录，打来电话恐吓我联系人无数次了，还侮辱了我的人生，打回去又不接，我也反映到有钱花的客服，把打电话的号码也给了客服，但到现在还没有给我解决，我从没有不还的意思，我只要求每个月分期还，但等来的确是第三方的催款通知书，而且写上我的联系人的名字和号码，这是什么意思，望有关人员看到后给我一个解析，不是联系人都保密的吗，为什么有钱花把我的联系人透露给第三方催款公司！还屡次骚扰！。</t>
  </si>
  <si>
    <t>直接与信用卡协商还款事宜</t>
  </si>
  <si>
    <t>http://ts.21cn.com/tousu/show/id/1367598</t>
  </si>
  <si>
    <t>2019/10/16 22:58:00</t>
  </si>
  <si>
    <t>你好，我招商信用卡确实有逾期的问题，这是我的不对，所以我要道歉，可是我因为8月份生病住院没有正常上班，也没有收入来源，家庭经济本来就困难，到还款日没有及时还款后产生高额违约金和罚息，招商客服人员一直在和我协商还款事宜，到现在为止，我一直在努力的还着逾期本金，但是我没有能力全部还完逾期和罚息以及违约金，我只能是每个月努力的还，并不是不还，你们可以联系招商查我的账户，我是只要有钱就往里面打款，但是我想说的是因为我一直没有把逾期还完，导致天天产生违约金和罚息，这样下去我是还不完，只是成了恶循环状态，所以想挂账停息</t>
  </si>
  <si>
    <t>退回砍头息</t>
  </si>
  <si>
    <t>http://ts.21cn.com/tousu/show/id/1367592</t>
  </si>
  <si>
    <t>2019/10/16 22:54:01</t>
  </si>
  <si>
    <t>本人于2019年8月8号于网贷平台下载并申请蓝鲸鱼钱包，平台显示借款2000，实际到账1220，砍头息780！借款时间显示5天，实际为4天！于12号到期，到期当头中午，并未逾期情况下，催收变恶言相对，威胁爆通讯录，与之商量下班后处理，不同意，爆我通讯录，无奈之下，续期780一期，与16号又续一期，20号还款1220，短短12天时间，借款到账1220，总还款2780！要求退回多付利息！。</t>
  </si>
  <si>
    <t>梁山仙域信息技术有限公司莫名扣款</t>
  </si>
  <si>
    <t>http://ts.21cn.com/tousu/show/id/1367591</t>
  </si>
  <si>
    <t>2019/10/16 22:52:21</t>
  </si>
  <si>
    <t>投诉人 刘女士        投诉对象  你我花        涉诉金额  288 元    问题类型    诉求类型投诉详情  并没有下载借款app 莫名扣款288元 显示扣款方为梁山仙域信息技术有限公司</t>
  </si>
  <si>
    <t>凡普金科集团有限公司</t>
  </si>
  <si>
    <t>http://ts.21cn.com/tousu/show/id/1367580</t>
  </si>
  <si>
    <t>2019/10/16 22:44:35</t>
  </si>
  <si>
    <t>合同签署借款金额19000元，实际到达帐户金额16000元，强行收取3000元砍头息，并且每期还而外收取高额平台服务费317.3，每次打电话给客服都是搪塞，无法解答，三个工作日会有专员联系，可是一直没有接到所谓专员解答问题，合同上清楚写着还款日，当天18点开始划扣，可是每月1号就有自称凡普催收人员打电话催收，并且发送威胁短信等。</t>
  </si>
  <si>
    <t>年利率超过36%，追回超过部分利息</t>
  </si>
  <si>
    <t>http://ts.21cn.com/tousu/show/id/1367576</t>
  </si>
  <si>
    <t>2019/10/16 22:41:31</t>
  </si>
  <si>
    <t>小象优品借款年利率超过36%，根据国家规定超过36%部分有权追回。</t>
  </si>
  <si>
    <t>联通宽带增值业务乱扣费</t>
  </si>
  <si>
    <t>http://ts.21cn.com/tousu/show/id/1367559</t>
  </si>
  <si>
    <t>2019/10/16 22:31:58</t>
  </si>
  <si>
    <t>现在可以查到的是手机绑定宽带从2018年10月2019年1月份，以小沃科技名义每月扣29月增值业务到，这些业务的订购方式都是行业违规的，都没有短信提醒确认及支付确认！并且单独从手机话费清单当中看不到，必须登入宽带账号才可以看到已扣款情况！。</t>
  </si>
  <si>
    <t>维信卡卡贷高利贷砍头息</t>
  </si>
  <si>
    <t>http://ts.21cn.com/tousu/show/id/1367548</t>
  </si>
  <si>
    <t>2019/10/16 22:27:05</t>
  </si>
  <si>
    <t>本平台涉嫌高利贷和砍头息,我在7月18日在这个平台借款10000元，分6个月每期还款1845.67元，1845.67✖️6等于11074.02这个我还能接受，但是利息也很好，在我不知道情况的时候扣我899元说是什么保险，我没用你给我买保险啊，合同里没有明确，属于砍头息，阴阳合同，我借10000元分6个月还款共还款11973.02元严重的侵害了我的权益，也违反了国家规定的最高百分之二十四利息！要求归还899元。</t>
  </si>
  <si>
    <t>高利贷捷信</t>
  </si>
  <si>
    <t>http://ts.21cn.com/tousu/show/id/1367537</t>
  </si>
  <si>
    <t>2019/10/16 22:21:32</t>
  </si>
  <si>
    <t>希望国家组织能还大家一个公道能给一个公正公平的结果。</t>
  </si>
  <si>
    <t>虚假信息，玩家无法看到数值</t>
  </si>
  <si>
    <t>http://ts.21cn.com/tousu/show/id/1367526</t>
  </si>
  <si>
    <t>2019/10/16 22:15:51</t>
  </si>
  <si>
    <t>我在玩一个朗天游戏公司的游戏热血豪侠，其中游戏中写到vip玩家的vip等级越高，所获得稀有装备的概率越高，最近几个一起玩的朋友就反应说最近装备材料越来越难打到了，然后我就打电话问了朗天游戏的客服，客服告诉我这个是系统设置的没人能碰的，那我就问，为什么不显示出来给我们看，客服无法解答，我消费了好多钱，但最后得到一个无法确认的数值，我觉得这个根本就是游戏公司圈钱，如果这次投诉导致朗天游戏以各种理由封停我账号，我会像法院起诉。</t>
  </si>
  <si>
    <t>拼多多无缘无故乱扣费</t>
  </si>
  <si>
    <t>http://ts.21cn.com/tousu/show/id/1367515</t>
  </si>
  <si>
    <t>2019/10/16 22:06:24</t>
  </si>
  <si>
    <t>拼多多无缘无故扣费，我什么都没买就自己扣费了。</t>
  </si>
  <si>
    <t>招联金融催收比黑社会还不堪入目</t>
  </si>
  <si>
    <t>http://ts.21cn.com/tousu/show/id/1367504</t>
  </si>
  <si>
    <t>2019/10/16 22:00:17</t>
  </si>
  <si>
    <t>从逾期后主动协商还款，直接拒绝，后各种各样的威胁恐吓短信，疯狂骚扰亲友，各种短信群发，导致我患上抑郁症曾一度差点自杀，三天两头发所谓的律师函，催收函到老家，软暴力恐吓年迈且法盲的父母出钱还款，所谓的报警，立案，通缉，坐牢，你们这些催收应该都是孤儿院出来的吧，我手里大把证据，想要我还钱可以，每一个催收挨个给我通讯录里骚扰过的人赔礼道歉，且好好算下的逾期时的未还金额，现在给我利滚利到多少了，@深圳公安，请求公安机关介入，以下为部分暴力催收威胁恐吓的证据。</t>
  </si>
  <si>
    <t>我来贷巨额逾期费用加暴力催收</t>
  </si>
  <si>
    <t>http://ts.21cn.com/tousu/show/id/1365741</t>
  </si>
  <si>
    <t>2019/10/16 21:57:03</t>
  </si>
  <si>
    <t>我来贷逾期几天疯狂打爆通讯录和群发信息，而且高额逾期利息和管理费，逾期一天200利息，逼得我自杀，扫黑办已经接手我的报警！。</t>
  </si>
  <si>
    <t>小花钱包涉嫌暴力催收</t>
  </si>
  <si>
    <t>http://ts.21cn.com/tousu/show/id/1367492</t>
  </si>
  <si>
    <t>2019/10/16 21:53:50</t>
  </si>
  <si>
    <t>在本人贷款逾期当天，小花钱包催收方无视本人沟通协商延期还款请求，频繁骚扰本人电话，爆通讯录，频繁发信息给亲朋好友。</t>
  </si>
  <si>
    <t>高利贷不接受协商暴力催收</t>
  </si>
  <si>
    <t>http://ts.21cn.com/tousu/show/id/1367481</t>
  </si>
  <si>
    <t>2019/10/16 21:48:04</t>
  </si>
  <si>
    <t>投诉人熊力投诉对象维信金科涉诉金额5000元问题类型诉求类型投诉详情朋友在维信金科app借款后因还不起高额的利息费找客服人员协商只还本金和国家规定利息，停止催收人员的暴力骚扰，结果换来客服人员的拒绝。</t>
  </si>
  <si>
    <t>暴力违法催收</t>
  </si>
  <si>
    <t>http://ts.21cn.com/tousu/show/id/1367470</t>
  </si>
  <si>
    <t>2019/10/16 21:44:40</t>
  </si>
  <si>
    <t>七喜猫催收，直接打通讯录并且上来直接骂人，吧通讯录骂了一遍。</t>
  </si>
  <si>
    <t>维信金科旗下维信卡卡收取的咨询费担保费不合理，并且年利率高于24％</t>
  </si>
  <si>
    <t>http://ts.21cn.com/tousu/show/id/1367449</t>
  </si>
  <si>
    <t>2019/10/16 21:33:24</t>
  </si>
  <si>
    <t>投诉人高先生投诉对象维信金科涉诉金额10000元问题类型诉求类型投诉详情当时卡卡贷app里显示的月还款为4300-4500左右，但是借款完成每个月还款为5511，要求按照合同里的利率执行，退还收取的担保费和咨询费，。</t>
  </si>
  <si>
    <t>自动扣款</t>
  </si>
  <si>
    <t>http://ts.21cn.com/tousu/show/id/1367438</t>
  </si>
  <si>
    <t>2019/10/16 21:26:52</t>
  </si>
  <si>
    <t>投诉人李亚楼投诉对象众安保险涉诉金额18元问题类型诉求类型投诉详情不知道咱了被自动扣款了，我没有支付，我不需要那个，没有显示过要支付的方式，。</t>
  </si>
  <si>
    <t>投诉银生宝给赌博商户提供支付业务</t>
  </si>
  <si>
    <t>http://ts.21cn.com/tousu/show/id/1367427</t>
  </si>
  <si>
    <t>2019/10/16 21:20:04</t>
  </si>
  <si>
    <t>投诉人 杨先生        投诉对象  银生宝        涉诉金额  38 500 元    问题类型    诉求类型投诉详情  本人反映 银生宝支付公司给多家商户提供赌博支付结算 勾结违法商户进行诈骗 提供报警立案书</t>
  </si>
  <si>
    <t>北京有缘在我不知情的情况下3次扣除共237元</t>
  </si>
  <si>
    <t>http://ts.21cn.com/tousu/show/id/1367393</t>
  </si>
  <si>
    <t>2019/10/16 21:18:10</t>
  </si>
  <si>
    <t>北京友缘在线网络科技股份公司存在不正当欺诈，本人并未开通支付宝自动扣款，也没下载此软件，就三次通过支付宝扣我钱，2019年9月16号一瞬间被扣款两笔，一笔99，一笔69，2019年10月16号又扣我69，客服说半天不给解决。</t>
  </si>
  <si>
    <t>贷上钱套路贷</t>
  </si>
  <si>
    <t>http://ts.21cn.com/tousu/show/id/1367416</t>
  </si>
  <si>
    <t>2019/10/16 21:17:08</t>
  </si>
  <si>
    <t>贷上钱高利贷公司没有放贷资质违规放贷，不单自己放高利贷还为别的高利贷公司导流狼狈为奸，找到5个被他们骚扰过的亲朋好友可以要求赔偿，我还咨询过律师。</t>
  </si>
  <si>
    <t>招联好期待暴力催收，恐吓骚扰亲朋好友，欺诈顾客先还部分款后可以协商，但随后照样暴力催收</t>
  </si>
  <si>
    <t>http://ts.21cn.com/tousu/show/id/1367415</t>
  </si>
  <si>
    <t>2019/10/16 21:17:03</t>
  </si>
  <si>
    <t>本人曾经在支付宝推广应用程序中使用招联好期待借款14000元并分期，2017年5月在毫无征兆的情况下，招联好期待单方面将额度冻结，要求讲所分期金额一次性还清，其中未到期利息按分期时间一并收取，导致本人生活困难随之逾期，逾期后频繁接到催收恐吓电话，看到招联公司发来的邮件称如实属困难可以协商解决，请加某某号码，本人带着诚意加了邮箱中的微信，对方说先还一部分诚意金，还如后才可以协商解决减免利息，我按照对方的要求还款2000多元，并发送截图确认，但是招联催收确不回复信息了，然后将我删除好友，由于对方不留联系方式，自</t>
  </si>
  <si>
    <t>长安逸动车身锈穿，车门生锈</t>
  </si>
  <si>
    <t>http://ts.21cn.com/tousu/show/id/1367405</t>
  </si>
  <si>
    <t>2019/10/16 21:12:37</t>
  </si>
  <si>
    <t>2012款逸动车身生锈，车门生锈，4S店和厂家推卸责任，据车友群反应，2012.2013.2014三年的车都存在这个问题，这种质量问题对车的安全性能构成威胁，威胁车主的生命，在和当地4S店沟通过程中，4S店极力推卸责任，不愿意承当维修费用，诱导车主自费修车，我所在的开封博奥长安4S店，拒绝更换车门，理由居然是车门曾经外部剐蹭喷漆，但事实上车门是从里边往外锈蚀的，跟钣金喷漆没有任何关系。</t>
  </si>
  <si>
    <t>http://ts.21cn.com/tousu/show/id/1367403</t>
  </si>
  <si>
    <t>2019/10/16 21:11:43</t>
  </si>
  <si>
    <t>宝付支付违规为高利贷，套路贷提供支付通道，小带鱼违法放高利贷，小带鱼一直换马甲，小当家，蟹老弟，期间暴力催收恐吓辱骂，本次诉求宝付支付全额退款，小带鱼赔偿精神损失费，。</t>
  </si>
  <si>
    <t>http://ts.21cn.com/tousu/show/id/1367385</t>
  </si>
  <si>
    <t>2019/10/16 21:06:32</t>
  </si>
  <si>
    <t>宝付支付违规为米米罐提供支付通道，米米罐没有放贷资格，违法放高利贷，借款1000到账650还款1000多，借款1000还款1500多，联系客服协商多次无果，本次诉求，宝付支付全额退款。</t>
  </si>
  <si>
    <t>韦博英语倒闭，众多学员求退款无门，面临没课上仍需还贷款的情况</t>
  </si>
  <si>
    <t>http://ts.21cn.com/tousu/show/id/1367382</t>
  </si>
  <si>
    <t>2019/10/16 21:04:49</t>
  </si>
  <si>
    <t>投诉人麦女士投诉对象韦博国际英语机构涉诉金额100000000元问题类型诉求类型投诉详情广佛韦博英语用与银行以及相关银行合作分期贷款，银行及金融机构在学员报名后一次性付款给韦博，让学员分期还款，现韦博一夜之间倒闭，退款更是困难，没有课程可上又要还贷款的情况。</t>
  </si>
  <si>
    <t>拍拍贷恶意骚扰联系人</t>
  </si>
  <si>
    <t>http://ts.21cn.com/tousu/show/id/1367371</t>
  </si>
  <si>
    <t>2019/10/16 21:00:47</t>
  </si>
  <si>
    <t>投诉人 何良发        投诉对象  拍拍贷        涉诉金额  900 元    问题类型    诉求类型投诉详情  半夜爆通讯录联系人，长期骚扰通讯录联系人。</t>
  </si>
  <si>
    <t>人人贷高利贷，阴阳合同</t>
  </si>
  <si>
    <t>http://ts.21cn.com/tousu/show/id/1367360</t>
  </si>
  <si>
    <t>2019/10/16 20:53:41</t>
  </si>
  <si>
    <t>借60000要还81168.12元，利息太高，并且借款合同跟到账金额不符，已还22期，且还款记录良好，无逾期，要求调整利息！。</t>
  </si>
  <si>
    <t>宜人财富套路太深</t>
  </si>
  <si>
    <t>http://ts.21cn.com/tousu/show/id/1367317</t>
  </si>
  <si>
    <t>2019/10/16 20:51:44</t>
  </si>
  <si>
    <t>投诉人姚先生投诉对象宜人财富涉诉金额24000元问题类型诉求类型投诉详情以贷款的名义进行套路，在合同里的某条条款为借款方在审核通过后由于各种因素导致放款失败如：虚假身份证、虚假银行卡、虚假联系人，此虚假信息会造成系统检测套路贷嫌疑，借款方必须积极配合甲方处理，如不配合，甲方有权向人民法院提起诉讼，并上报中国人民银行征信中心，限制其亲人、子女高消费，体制、教育等，为名义，在贷款放款时在合同动手脚，修改你的银行卡号，导致放款失败，然后安排你联系客服，客服就开始对你进行套路，以保证金为由去向你收取4000元保证金</t>
  </si>
  <si>
    <t>http://ts.21cn.com/tousu/show/id/1367339</t>
  </si>
  <si>
    <t>2019/10/16 20:47:30</t>
  </si>
  <si>
    <t>投诉人 李先生        投诉对象  每日优鲜        涉诉金额  3 000 元    问题类型    诉求类型投诉详情  我的个人累计收益及战队人数如图所示。战队人数498人，累计收益600余元。</t>
  </si>
  <si>
    <t>360借条暴力催收短信恐吓</t>
  </si>
  <si>
    <t>http://ts.21cn.com/tousu/show/id/1367332</t>
  </si>
  <si>
    <t>2019/10/16 20:45:05</t>
  </si>
  <si>
    <t>电话轰炸，短信恐吓催收，暴通讯录，说不还款要报案，严重影响个人的工作生活。</t>
  </si>
  <si>
    <t>请浦发银行给一个合理方案</t>
  </si>
  <si>
    <t>http://ts.21cn.com/tousu/show/id/1367329</t>
  </si>
  <si>
    <t>2019/10/16 20:44:12</t>
  </si>
  <si>
    <t>每天打电话几十个，严重影响我的生活工作家人朋友，停止电话骚扰想通过合理的方式去解决，信用卡额度23000，万用金本金61000合计84000元，电话协议还款，告知需要止卡，三年月供4320，总共合理155520，利息高达70000多，利息之高，让人毛骨悚然。</t>
  </si>
  <si>
    <t>骚扰及发布他人个人信息</t>
  </si>
  <si>
    <t>http://ts.21cn.com/tousu/show/id/1367306</t>
  </si>
  <si>
    <t>2019/10/16 20:37:55</t>
  </si>
  <si>
    <t>该卡中心发布不良信息及泄露他人个人隐私造成对本人骚扰，请相关部门严肃处理！。</t>
  </si>
  <si>
    <t>为违法网站提供渠道</t>
  </si>
  <si>
    <t>http://ts.21cn.com/tousu/show/id/1367304</t>
  </si>
  <si>
    <t>2019/10/16 20:36:48</t>
  </si>
  <si>
    <t>信汇支付,广东信汇电子商务有限公司务,钱宝科技，和支付清算协会沟通得知第三方支付业务应审核客户的相关信息，第三方支付业务公司不得向证券，期货，博彩等机构提供支付结算业务，投诉支付公司广东信汇，钱宝科技，本人被引诱到一个网站充值入47000多，后来发现是网络不正规平台，并非正规的购彩网站，本以为通过云闪付正规线上支付是正规彩票机构，后来才知道是非法赌博平台，通过中国人民银行，中国银联，和支付清算协会沟通得知，第三方支付业务应审核客户的相关信息，第三方支付业务公司不得向证券，期货，博彩等机构提供支付结算业务，作</t>
  </si>
  <si>
    <t>半夜十二点拼多多商家居然能从我的卡里扣款拼多多联系不处理</t>
  </si>
  <si>
    <t>http://ts.21cn.com/tousu/show/id/1367294</t>
  </si>
  <si>
    <t>2019/10/16 20:32:33</t>
  </si>
  <si>
    <t>结果半夜十二点拼多多商户从我卡里居然能扣12000。</t>
  </si>
  <si>
    <t>http://ts.21cn.com/tousu/show/id/1367283</t>
  </si>
  <si>
    <t>2019/10/16 20:27:31</t>
  </si>
  <si>
    <t>贷款2000元，30天以买游戏豆为名收取500多元费用！。</t>
  </si>
  <si>
    <t>得仕机构违规操作帮网络支付通道</t>
  </si>
  <si>
    <t>http://ts.21cn.com/tousu/show/id/1366190</t>
  </si>
  <si>
    <t>2019/10/16 20:21:29</t>
  </si>
  <si>
    <t>你们好！由于我本人在微信上被一个美女拉的进行网赚，说一天可以稳赚一千以上，和支付清算协会沟通得知第三方支付业务应审核客户的相关信息，第三方支付业务公司不得向证券，期货，博彩等机构提供支付结算业务，在一天两头天天叫我，安慰我，问候我，后经一两个月被她沦陷，听她的注册，是Bet365平台,网站是:https://00050.com，链接https://cy990.com本以为通过中国银联正规线上支付是正规彩票机构，后来才知道是非法赌博平台，经过有位警察给我提意见来维权挽回我的损失！由于，有牌照机构:得仕股份有限</t>
  </si>
  <si>
    <t>易宝支付富友支付拉卡拉支付为现金白条平台违规提供支付渠道</t>
  </si>
  <si>
    <t>http://ts.21cn.com/tousu/show/id/1367275</t>
  </si>
  <si>
    <t>2019/10/16 20:20:54</t>
  </si>
  <si>
    <t>本人在现金白条APP借款多次被收取429-529元高额利息不等，合计2515元所以款项均通过易宝支付富友支付拉卡拉支付渠道支付现申请平台方协助处理相关问题。</t>
  </si>
  <si>
    <t>无法提供合同，暴力催收，爆通讯录，盗取个人信息</t>
  </si>
  <si>
    <t>http://ts.21cn.com/tousu/show/id/1367261</t>
  </si>
  <si>
    <t>2019/10/16 20:15:22</t>
  </si>
  <si>
    <t>借款5500元，分12期，但主要还款集中在前三期，前三期应还款总额为8030元，年华利率为224%，因在申请时没有见到合同和还款计划，现需要对方提供电子合同，本人承诺立借提供电子合同后10分钟内处理还款，对方无法提供并威胁恐吓爆通讯录，在今日再次索要无果后，立借已爆通讯录，在开发者信息上面查询到此APP的开发者为深圳合众财富金融，以咨询律师，已报警，并将提供此信息。</t>
  </si>
  <si>
    <t>江南农商银行擅自封卡强迫用户绑定Etc</t>
  </si>
  <si>
    <t>http://ts.21cn.com/tousu/show/id/1365949</t>
  </si>
  <si>
    <t>2019/10/16 20:11:30</t>
  </si>
  <si>
    <t>擅自以不合规的借口封停客户信用卡本人于2019年9月30申请了江南农商银行信用卡Etc信用卡通过并核发，此卡办理时和其他市面常见信用卡一样，未见到“不办理汽车etc设备不允许用卡”的限制，本人认为江南农商银行信用卡中心发行的江南农商银行etc信用卡不存在“不办理汽车etc设备不允许用卡”的限制以为该规定未在任何地方公示，属于擅自违规添加的规定，应予废除，要求江南农商银行信用卡中心解封本人信用卡，并赔礼道歉。</t>
  </si>
  <si>
    <t>支付宝百度糯米商家协助境外不法份子诱导刷单血本无归</t>
  </si>
  <si>
    <t>http://ts.21cn.com/tousu/show/id/1367250</t>
  </si>
  <si>
    <t>2019/10/16 20:10:40</t>
  </si>
  <si>
    <t>投诉人 周迪        投诉对象  百度糯米,支付宝        涉诉金额  3 500 元    问题类型    诉求类型投诉详情  付完款结果货也不发，快两个月了 人也联系不到。感觉被骗了。希望聚诉网帮帮我</t>
  </si>
  <si>
    <t>客服态度不好</t>
  </si>
  <si>
    <t>http://ts.21cn.com/tousu/show/id/1367229</t>
  </si>
  <si>
    <t>2019/10/16 20:04:36</t>
  </si>
  <si>
    <t>造艺科技客服人员在解决问题上语言带有辱骂的情绪，态度严重恶劣。</t>
  </si>
  <si>
    <t>百度有钱花开始商量协商还款，但是资金确实不足了，要求还全额，还要给我上大数据，电话黑名单</t>
  </si>
  <si>
    <t>http://ts.21cn.com/tousu/show/id/1365091</t>
  </si>
  <si>
    <t>2019/10/16 20:01:32</t>
  </si>
  <si>
    <t>1.由于个人原因导致百度有钱花逾期，期间承诺过还款，但是别其他人骗，没有在规定的时间还款，无法正常还款，现威胁恐吓上第三方催收，2.现预计10-15左右到账能处理部分欠款，希望百度有钱花能帮忙协商还款，本人是有意愿还款的，只是现在经济实力无法一次性结清，我也有钱就还了一些，没有说一点不还，现在下一期账单到了，我希望帮我一下，不要给家里人打电话，不要黑我！3.当时办理有钱花的时候提示该额度为循环额度，但是实际还款却并非循环，百度方面虚假广告，误导消费者。</t>
  </si>
  <si>
    <t>拍拍贷暴力催收爆通讯录</t>
  </si>
  <si>
    <t>http://ts.21cn.com/tousu/show/id/1367218</t>
  </si>
  <si>
    <t>2019/10/16 20:01:04</t>
  </si>
  <si>
    <t>说给我个账号让我往里存钱还款、也没给我发账号、然后爆通讯录、。</t>
  </si>
  <si>
    <t>http://ts.21cn.com/tousu/show/id/1367207</t>
  </si>
  <si>
    <t>2019/10/16 19:57:19</t>
  </si>
  <si>
    <t>投诉人王磊投诉对象捷信金融涉诉金额22000元问题类型诉求类型投诉详情2017.9.27号贷的2万2分27期每期1475.59综合起来都4万了，我现在还了22期3万多了，都多还了本金1万了，剩下的部分不还了。</t>
  </si>
  <si>
    <t>http://ts.21cn.com/tousu/show/id/1367195</t>
  </si>
  <si>
    <t>2019/10/16 19:52:15</t>
  </si>
  <si>
    <t>友信信贷高利贷，借5万还7万5国庆期间一直到现在平台不能登录，合同都不提供。</t>
  </si>
  <si>
    <t>http://ts.21cn.com/tousu/show/id/1367184</t>
  </si>
  <si>
    <t>2019/10/16 19:48:49</t>
  </si>
  <si>
    <t>投诉人 陈先生        投诉对象  海宁市铭扬化工有限公司        涉诉金额  153 元    问题类型    诉求类型投诉详情  无故扣款，要求全额返还，并曝光该公司。追究公司法人代表。</t>
  </si>
  <si>
    <t>中邮高利贷并且暴力催收</t>
  </si>
  <si>
    <t>http://ts.21cn.com/tousu/show/id/1367173</t>
  </si>
  <si>
    <t>2019/10/16 19:41:00</t>
  </si>
  <si>
    <t>还乱收逾期费用，昨天连续联系几次客服协商还款，来电的几个人员都态度恶劣挂电话！一直在努力还款和协商还款，但每次都暴力催收，骚扰亲友！，我已经跟国家监管部门举报，请赔偿精神损失费，道歉！，现在被你们搞成这样，我不再主动协商还款！先把你们的违法高利贷问题，和违法骚扰问题解决！。</t>
  </si>
  <si>
    <t>汇潮支付为7.14高炮提供渠道</t>
  </si>
  <si>
    <t>http://ts.21cn.com/tousu/show/id/1367162</t>
  </si>
  <si>
    <t>2019/10/16 19:37:40</t>
  </si>
  <si>
    <t>非法高利贷，暴力催收，借1400元实际要还款2000.6，5天还款，利息已经严重超过了国家规定范围，汇潮支付为其提供支付通道，今天到期，还没逾期就开始暴力催收，辱骂我的家人，给我手机不听的发送验证码短信，还款通道支付宝，收款方为聚合支付，本人愿意归还本金和合法利息，希望通过平台解决问题。</t>
  </si>
  <si>
    <t>浦发银行信用卡违法催收</t>
  </si>
  <si>
    <t>http://ts.21cn.com/tousu/show/id/1367157</t>
  </si>
  <si>
    <t>2019/10/16 19:35:58</t>
  </si>
  <si>
    <t>由于我工程出了事故生意投资失败，亏了不少的钱，导致浦发银行信用卡逾期！期间也一直在积极和银行协商还款问题！我现在出来上班，一个月3000多的工资，每个月除了养两个小孩以外，还有各种支出经常入不敷出！可是浦发银行委外的催收机构在已经联系到本人的情况下，还不断的骚扰我父亲，导致我父亲精神状态不好，我父亲因为我欠款的问题，说要自杀！导致我们一家人精神压力很大，我们也一直都在想办法还款，可是浦发银行委外的催收公司不断的短信电话骚扰，还上门进行恐吓催收，现在导致我们一听到有人按门铃就心慌！严重影响了我们正常的生活和工</t>
  </si>
  <si>
    <t>http://ts.21cn.com/tousu/show/id/1367151</t>
  </si>
  <si>
    <t>2019/10/16 19:33:11</t>
  </si>
  <si>
    <t>在无通知情况下扣款了296块，客服说只要注册认证就同意扣款了。</t>
  </si>
  <si>
    <t>浦发银行催收员工，语言诱导持卡人套现还款，不按流程联系紧急联系人，造成家属病重！</t>
  </si>
  <si>
    <t>http://ts.21cn.com/tousu/show/id/1367148</t>
  </si>
  <si>
    <t>2019/10/16 19:31:56</t>
  </si>
  <si>
    <t>开头的电话拨打我的电话，我有正常接听并解释原因，从未接到过浦发官方电话9开头电话或400开头电话，，频繁联系，造成我不能正常工作生活，并且我也做出了解释为什么没有及时处理款项的原因，国庆假期，财务没有及时回公司上班，并且我有特殊的工作原因在外地出差，不能回到工作地领取工资，会在10月14日或15日的时候解决款项问题，我在此期间从未收到任何官方的短信提示需要我偿还全部款项，即便在2019年10月14日晚发的账单也是将我本月的最低还款计算做逾期累计到次月还款，并在2019年10月15重新给我发了一个短信账单提醒</t>
  </si>
  <si>
    <t>新网银行与魔法现金高利贷合作</t>
  </si>
  <si>
    <t>http://ts.21cn.com/tousu/show/id/1367140</t>
  </si>
  <si>
    <t>2019/10/16 19:28:53</t>
  </si>
  <si>
    <t>因为魔法现金高利贷逾期了1000多，不到一个月，新网银行与他有合作关系，现在已经没有了，直接上了征信。</t>
  </si>
  <si>
    <t>利息高，服务态度差</t>
  </si>
  <si>
    <t>http://ts.21cn.com/tousu/show/id/1367119</t>
  </si>
  <si>
    <t>2019/10/16 19:18:47</t>
  </si>
  <si>
    <t>结果一天能给我打二十几个，说话态度极其恶劣。</t>
  </si>
  <si>
    <t>上海厚权信息科技有限公司设立对公账户从事非法虚假个股期权交易，致使本人损失6万</t>
  </si>
  <si>
    <t>http://ts.21cn.com/tousu/show/id/1363335</t>
  </si>
  <si>
    <t>2019/10/16 19:07:12</t>
  </si>
  <si>
    <t>我叫张晓红我在上海厚权信息科技有限公司一共亏损6万，公司官网http://www.qiquantongsh.com/，都是血汗钱，被这些骗子公司骗走了，也怪自己相信天上掉馅饼的事情，这家公司执照和联系我的业务员身份证都有，微信号就是这个业务员叫李一，给我承诺几天就赚回来，保证书都有，现在已经找不到了之前的联系人了，希望有关部门帮我追回投资款，对该公司做出惩罚，后面才知道这家公司是骗人的，做的都是对赌平台，业务员给我说肯定赚钱叫我投资进去。</t>
  </si>
  <si>
    <t>http://ts.21cn.com/tousu/show/id/1367096</t>
  </si>
  <si>
    <t>2019/10/16 19:05:37</t>
  </si>
  <si>
    <t>自每日优鲜2019年8月22日推出摇钱树活动后，我积极参与，并按照其规则拉人加入战队，截至到2019年10月9日被我拉入战队人数已达200余人，日收益在10-20元之间，日后日均收益应该会稳步增加，因为这当中还包括一些刚刚进入战队，还未产生收益的用户，然而，好景不长，就在10月9日该平台突然通知，摇钱树活动将于2019年10月11日升级规则并下线，届时将不再产生金币，我认为该平台这一做法损害了我的切身利益，希望平台给出一个合理的解释。</t>
  </si>
  <si>
    <t>小象优品暴力催收骚扰通讯录</t>
  </si>
  <si>
    <t>http://ts.21cn.com/tousu/show/id/1367093</t>
  </si>
  <si>
    <t>2019/10/16 19:05:03</t>
  </si>
  <si>
    <t>小象优品催收员工号:1902097暴力催收，爆通讯录，给通讯录发短信，骚扰通讯录人员。</t>
  </si>
  <si>
    <t>扰乱我的正常生活</t>
  </si>
  <si>
    <t>http://ts.21cn.com/tousu/show/id/1367085</t>
  </si>
  <si>
    <t>2019/10/16 19:02:24</t>
  </si>
  <si>
    <t>暴力催收，爆通讯录，不把国家法律法规当回事，扰乱我正常生活，希望借平台给以处理。</t>
  </si>
  <si>
    <t>助借通无故扣费拒绝退款</t>
  </si>
  <si>
    <t>http://ts.21cn.com/tousu/show/id/1367074</t>
  </si>
  <si>
    <t>2019/10/16 18:57:49</t>
  </si>
  <si>
    <t>助借通借款app,本人注册绑卡后借款失败，卸载此软件，本人声明从未勾选任何协议也未购买任何形式的服务，何来的服务费，我这不是欺诈行为么，按照客服所说退款流程，两次申请被拒绝退款，不是缺钱谁想贷款，没有借到钱反而被骗200，这样的黑心平台不该收到惩治么。</t>
  </si>
  <si>
    <t>http://ts.21cn.com/tousu/show/id/1367071</t>
  </si>
  <si>
    <t>2019/10/16 18:57:08</t>
  </si>
  <si>
    <t>用私人号码群发消息给通讯录好友，严重侵犯隐私！！！导致我抑郁症复发，想自杀！就问这些也没人管吗。</t>
  </si>
  <si>
    <t>还款后不处理逾期，爆通讯录</t>
  </si>
  <si>
    <t>http://ts.21cn.com/tousu/show/id/1367052</t>
  </si>
  <si>
    <t>2019/10/16 18:55:02</t>
  </si>
  <si>
    <t>豆豆钱，借款19500元，实际放款18400，不知情的状况下直接扣走1099元的意外保险，每月要求还款1958元，实际合同写着还款1750元，问客服，说还有一个还款合同，是豆豆钱的服务费，他们关闭了我的还款通道联系客服，让我把钱存入公司账号然后代扣，处理逾期，可是我存入后，他们不给处理逾期，说放款方要求全额结清剩余贷款才可以，我已经还了6期，加存公司的4175元就是8期，他们要求我两天必须还清，我说手里目前没有这么多，还按照之前分期可以还，我八月和九月逾期了两期，有钱时手动还款失败，他们关闭了我的还款通道，</t>
  </si>
  <si>
    <t>U钱包是不是高利贷</t>
  </si>
  <si>
    <t>http://ts.21cn.com/tousu/show/id/1367063</t>
  </si>
  <si>
    <t>2019/10/16 18:53:53</t>
  </si>
  <si>
    <t>利息比国家规定的高，电话骚扰，暴力恐吓，希望有关部门管管。</t>
  </si>
  <si>
    <t>合支付为714高炮平台提供支付便利</t>
  </si>
  <si>
    <t>http://ts.21cn.com/tousu/show/id/1367050</t>
  </si>
  <si>
    <t>2019/10/16 18:47:27</t>
  </si>
  <si>
    <t>2019.8.26日财子佳人上借老3000元到财1950元2019.8.31续期费用1140元利息非常之高，如果平台不帮助销账更改利息这种暴力利息一定上报到底，希望平台联系然后调整利息处理。</t>
  </si>
  <si>
    <t>被境外网站刷单充值</t>
  </si>
  <si>
    <t>http://ts.21cn.com/tousu/show/id/1367042</t>
  </si>
  <si>
    <t>2019/10/16 18:43:22</t>
  </si>
  <si>
    <t>支付宝,支特约商户105331000000875,云闪付商家,云商户编号00198009999002,云商户编号943332072780047,云商户编号881100058123626,云：尔志网络,云：赵英水餐饮服务中心，和支付清算协会沟通得知第三方支付业务应审核客户的相关信息，第三方支付公司不得向证券、期货、博彩等机构提供支付结算业务，本人在网上被人诱骗以做兼职，赚流水等理由被人拉进兼职群，以购买彩票方式赚取佣金，这三个网站分别是.澳门永利娱乐场.网址http://m.30309193.com:8888</t>
  </si>
  <si>
    <t>在本人不知情的情况下扣款</t>
  </si>
  <si>
    <t>http://ts.21cn.com/tousu/show/id/1366965</t>
  </si>
  <si>
    <t>2019/10/16 18:39:22</t>
  </si>
  <si>
    <t>投诉人杨先生投诉对象广州银联网络支付涉诉金额199元问题类型诉求类型投诉详情注册完账号之后在不知情的情况下扣款199元开通会员。</t>
  </si>
  <si>
    <t>麦子金服白领贷贷款押金不退换</t>
  </si>
  <si>
    <t>http://ts.21cn.com/tousu/show/id/1367030</t>
  </si>
  <si>
    <t>2019/10/16 18:39:15</t>
  </si>
  <si>
    <t>2017年11月借款60000，白领贷扣除20%押金，到账48000，2018年11月20日提前结清剩余账单，但是白领贷至今未退还20%押金，请求追诉12000押金。</t>
  </si>
  <si>
    <t>http://ts.21cn.com/tousu/show/id/1367009</t>
  </si>
  <si>
    <t>2019/10/16 18:28:56</t>
  </si>
  <si>
    <t>已经还了两期了，现在网贷全部逾期高利贷还不起了，。</t>
  </si>
  <si>
    <t>http://ts.21cn.com/tousu/show/id/1366987</t>
  </si>
  <si>
    <t>2019/10/16 18:27:18</t>
  </si>
  <si>
    <t>在招联分期贷里借了30000，当时签电子合同时没有显示合同内容，只有签字框，不知道合同里说先要支付3%的工本费然后在放款，借款没收到一分钱，问客服为什么出了帐单，回复说是预算，然后还款信息已经出现了，客服回复每月必须还钱。</t>
  </si>
  <si>
    <t>拍拍贷群发短信，对本人造成极大的影响</t>
  </si>
  <si>
    <t>http://ts.21cn.com/tousu/show/id/1366998</t>
  </si>
  <si>
    <t>2019/10/16 18:24:51</t>
  </si>
  <si>
    <t>拍拍贷群发通讯录短信，对本人造成极大影响，冒充公检法，进行威胁，如果这样做你们觉得合法，那我无话可说我会以自己的生命对这样的违法行为进行斗争。</t>
  </si>
  <si>
    <t>多宝分期网贷平台变相收取高利息</t>
  </si>
  <si>
    <t>http://ts.21cn.com/tousu/show/id/1366943</t>
  </si>
  <si>
    <t>2019/10/16 18:21:40</t>
  </si>
  <si>
    <t>9月21日，短短2个月要连本带息居然高达6300余元，不还款骚扰父母及家人，严重影响父母情绪。</t>
  </si>
  <si>
    <t>石榴快贷恶意骚扰</t>
  </si>
  <si>
    <t>http://ts.21cn.com/tousu/show/id/1366094</t>
  </si>
  <si>
    <t>2019/10/16 18:19:21</t>
  </si>
  <si>
    <t>近期朋友通讯录被盗，我本人以及他通讯录中很多人遭到骚扰，其中包括电话骚扰，短信轰炸，微信及支付宝骚扰添加，恶意辱骂，暴力催收等等，甚至朋友的家人还接到了恶意PS的死亡证明，病危通知书等等，严重影响了他身边很多人的正常生活，经核实，朋友并未在该平台贷款，这样的行为已经构成了欺诈，骚扰和诽谤，我们已经向公安机关报案，目前已经立案，要求石榴快贷尽快做出解释，道歉并对被骚扰者赔偿精神损失，我们也会继续收集证据，并考虑在司法机关对该平台提起诉讼。</t>
  </si>
  <si>
    <t>刚才我没有消费把我的249元钱好端端的划走了</t>
  </si>
  <si>
    <t>http://ts.21cn.com/tousu/show/id/1366977</t>
  </si>
  <si>
    <t>2019/10/16 18:17:28</t>
  </si>
  <si>
    <t>我没消费，好端端从我卡里划走249元钱这个卡是我ETC上用的。</t>
  </si>
  <si>
    <t>美利车贷</t>
  </si>
  <si>
    <t>http://ts.21cn.com/tousu/show/id/1366976</t>
  </si>
  <si>
    <t>2019/10/16 18:17:13</t>
  </si>
  <si>
    <t>天天打我朋友亲戚电话，联系我们村委会暴力催收威胁我。</t>
  </si>
  <si>
    <t>http://ts.21cn.com/tousu/show/id/1366921</t>
  </si>
  <si>
    <t>2019/10/16 18:01:17</t>
  </si>
  <si>
    <t>投诉人罗敏投诉对象钱橙无忧,深圳市恒富融创科技有限公司涉诉金额168元问题类型诉求类型投诉详情深圳市恒富创融科技有限公司乱扣我工行卡内金额，合计168元，要求退款赔偿和道歉，对方客服4007628399。</t>
  </si>
  <si>
    <t>阴阳合同砍头贷砍头息</t>
  </si>
  <si>
    <t>http://ts.21cn.com/tousu/show/id/1366888</t>
  </si>
  <si>
    <t>2019/10/16 18:00:30</t>
  </si>
  <si>
    <t>投诉人王继红投诉对象宜人贷涉诉金额59000元问题类型诉求类型投诉详情我于2019年7月16日接到宜人贷客服电话，称其可以给我放款5万至6万，当时正处于缺钱时期就同意了，随后工作人员给办理，说是60000元不好通过，按59000元处理，随后放款59000元，在此期间，工作人员没有告诉我有服务费和保障金之类的费用，我以为我的全部贷款金额只是59000元，合同显示年利率为10%，实际年利率已高达48%，与宜人贷客服协商，说是年利率为25%—29%，完全与合同显示的10%年利率不符，始终坚持其没有触碰法律红线36</t>
  </si>
  <si>
    <t>京东商城不能换开电子发票问题</t>
  </si>
  <si>
    <t>http://ts.21cn.com/tousu/show/id/1366917</t>
  </si>
  <si>
    <t>2019/10/16 17:57:36</t>
  </si>
  <si>
    <t>2019年6月在京东上买了一台电脑，担心后期开票出问题，就提前询问了京东智能客服关于换开发票的问题，京东智能客服回复的是：如需修改发票内容/抬头/税号，可在发票开具365天内点击下方发票换开按钮，选择订单号进行自助修改哦，因此，我也就购买了电脑并且付款！现在我要换开发票，咨询客服却告知若是公司A改成公司B，那么是不支持的，若是智能客服有温馨提示，那么我就可能取消订单或者选择其他渠道购买，何必还有此时发票纠结事项，发票开错而且换开在税务上是一件非常正常的事情，为什么京东商城就不可以，在没有提前履行告知义务的情</t>
  </si>
  <si>
    <t>集体投诉资金不返还</t>
  </si>
  <si>
    <t>http://ts.21cn.com/tousu/show/id/1366916</t>
  </si>
  <si>
    <t>2019/10/16 17:57:11</t>
  </si>
  <si>
    <t>不能反还本金，本金投诉也没有人管，希望纪委介入调查。</t>
  </si>
  <si>
    <t>http://ts.21cn.com/tousu/show/id/1366915</t>
  </si>
  <si>
    <t>2019/10/16 17:56:41</t>
  </si>
  <si>
    <t>因工作是不能玩手机，打电话过来我说晚点还上去，对方不听直接电话骚扰通讯录以及威胁辱骂，。</t>
  </si>
  <si>
    <t>http://ts.21cn.com/tousu/show/id/1366914</t>
  </si>
  <si>
    <t>2019/10/16 17:56:00</t>
  </si>
  <si>
    <t>投诉人 王丹        投诉对象  中信银行        涉诉金额  397 元    问题类型    诉求类型投诉详情  打的快递的慌子骗取我的信息，有人所管吗？有没有人性呢</t>
  </si>
  <si>
    <t>收回我付出的劳务费用</t>
  </si>
  <si>
    <t>http://ts.21cn.com/tousu/show/id/1366911</t>
  </si>
  <si>
    <t>2019/10/16 17:54:52</t>
  </si>
  <si>
    <t>深圳市小窝金融信息服务有限公司廖茂富，骗取牌匾使用，加急制作出来挂上去给应急使用，用完不付款，也不退回牌匾，还不给答复，行为及其恶劣，请求帮忙处理收回劳务费用。</t>
  </si>
  <si>
    <t>http://ts.21cn.com/tousu/show/id/1366868</t>
  </si>
  <si>
    <t>这么高的高利贷没人管，我看到这么多投诉没人理。</t>
  </si>
  <si>
    <t>好易贷砍头息，高利贷</t>
  </si>
  <si>
    <t>http://ts.21cn.com/tousu/show/id/1366910</t>
  </si>
  <si>
    <t>2019/10/16 17:54:42</t>
  </si>
  <si>
    <t>本人于10.12日在好易贷借款3500元，收了尽然高达1050元的服务费用，实际到账2450元整，压力太大无力偿还高额利息，利率早已超过国家标准利率，我希望提前结清贷款，归还本金加合理利息，2600元销账！。</t>
  </si>
  <si>
    <t>立借APP高利贷侵犯个人隐私</t>
  </si>
  <si>
    <t>http://ts.21cn.com/tousu/show/id/1366909</t>
  </si>
  <si>
    <t>2019/10/16 17:53:31</t>
  </si>
  <si>
    <t>投诉人许先生投诉对象立借涉诉金额7000元问题类型诉求类型投诉详情借款5000元利息高达2500多骚扰通讯录好友电话恐吓。</t>
  </si>
  <si>
    <t>小赢卡贷高利贷，提前结清收取高息以及服务费</t>
  </si>
  <si>
    <t>http://ts.21cn.com/tousu/show/id/1366871</t>
  </si>
  <si>
    <t>2019/10/16 17:53:25</t>
  </si>
  <si>
    <t>2月11日开始，针对2万元借款，实际已支付的各类费用为2908.27元，自从本人发现该公司收取的利息率与实际本人承担的利息标准存在巨大差异后，本人从2019年7月起一直跟“小赢”客服沟通协商提前还款，结果该公司客服要求提前结清也需要偿还提前的全部本金和利息，剩余还需要还款4636元，《最高人民法院关于审理民间借贷案件适用法律若干问题的规定》第三十二条第二款规定：“借款人提前偿还借款并主张按照实际借款期间计算利息的，人民法院应予支持，”该公司前述要求严重侵犯消费者的选择权、知情权，属于不公平条款和“霸王条款”</t>
  </si>
  <si>
    <t>朋友借了钱催收乱打骚扰电话</t>
  </si>
  <si>
    <t>http://ts.21cn.com/tousu/show/id/1366908</t>
  </si>
  <si>
    <t>2019/10/16 17:53:14</t>
  </si>
  <si>
    <t>因一个不熟的朋友在你我贷借钱没有还，他们经常打电话骚扰我，态度恶劣，还开口骂人。</t>
  </si>
  <si>
    <t>2年了提现不到账</t>
  </si>
  <si>
    <t>http://ts.21cn.com/tousu/show/id/1366906</t>
  </si>
  <si>
    <t>2019/10/16 17:52:48</t>
  </si>
  <si>
    <t>一般提现都是很快，软件一般只充值，很少提现。</t>
  </si>
  <si>
    <t>网贷弄的我精神崩溃</t>
  </si>
  <si>
    <t>http://ts.21cn.com/tousu/show/id/1366905</t>
  </si>
  <si>
    <t>2019/10/16 17:52:15</t>
  </si>
  <si>
    <t>投诉人王先生投诉对象点点涉诉金额8000元问题类型诉求类型投诉详情深陷网贷中好几年了，现在也都还不起了，点点这个平台利息高，一直给我和我的家里人朋友打电话，造成了骚扰，还发信息恐吓我和我的家人，现在工作都没有心思了，给我和家人带来了精神的压力。</t>
  </si>
  <si>
    <t>广东金湾信息有限公司泄露个人信息</t>
  </si>
  <si>
    <t>http://ts.21cn.com/tousu/show/id/1366904</t>
  </si>
  <si>
    <t>2019/10/16 17:51:48</t>
  </si>
  <si>
    <t>恶劣催收手段，泄露个人通讯录，一天十几个恶意骚扰本人电话跟通讯录的联系人。</t>
  </si>
  <si>
    <t>未知号码</t>
  </si>
  <si>
    <t>http://ts.21cn.com/tousu/show/id/1366903</t>
  </si>
  <si>
    <t>2019/10/16 17:51:42</t>
  </si>
  <si>
    <t>95205572这个95开头的电话，不知道是哪个平台的骚扰电话，不但骚扰本人，还去骚扰本人亲友，严重影响生活，请官方做出惩罚，停掉该号码。</t>
  </si>
  <si>
    <t>http://ts.21cn.com/tousu/show/id/1366902</t>
  </si>
  <si>
    <t>2019/10/16 17:51:19</t>
  </si>
  <si>
    <t>投诉人 李女士        投诉对象  无忧借条        涉诉金额  15 000 元    问题类型    诉求类型投诉详情  阴阳合同 签约时拿走手机 协商提前还款发现还了18期后 本金才还了一万多</t>
  </si>
  <si>
    <t>利息过高，</t>
  </si>
  <si>
    <t>http://ts.21cn.com/tousu/show/id/1366900</t>
  </si>
  <si>
    <t>2019/10/16 17:50:34</t>
  </si>
  <si>
    <t>利息太高了，现在已经还了两万多了，提前还清的话还得需要还三万多，实在是无能力偿还了，。</t>
  </si>
  <si>
    <t>及贷辱骂恐吓电话骚扰暴力催收</t>
  </si>
  <si>
    <t>http://ts.21cn.com/tousu/show/id/1366898</t>
  </si>
  <si>
    <t>2019/10/16 17:50:23</t>
  </si>
  <si>
    <t>暴力催收，骚扰短信骚扰电话，电话辱骂短信辱骂，恐吓我及朋友家人。</t>
  </si>
  <si>
    <t>请求协商还款</t>
  </si>
  <si>
    <t>http://ts.21cn.com/tousu/show/id/1366897</t>
  </si>
  <si>
    <t>2019/10/16 17:49:44</t>
  </si>
  <si>
    <t>我知道现在逾期了，现在已经联系上客服，请求兴业银行能够让我分期还款谢谢。</t>
  </si>
  <si>
    <t>停止外包恐吓催收</t>
  </si>
  <si>
    <t>http://ts.21cn.com/tousu/show/id/1366896</t>
  </si>
  <si>
    <t>2019/10/16 17:49:18</t>
  </si>
  <si>
    <t>而是把我个人信息打包给不同的催收平台公司‭进行骚扰。</t>
  </si>
  <si>
    <t>上海造艺技术公司恶意扣费</t>
  </si>
  <si>
    <t>http://ts.21cn.com/tousu/show/id/1366894</t>
  </si>
  <si>
    <t>2019/10/16 17:49:14</t>
  </si>
  <si>
    <t>下载了一个叫百事普惠的app，去申请借款的，还没申请到贷款，就绑定了银行卡就被扣款299，垃圾，还有没有王法，打客服跟你说一大堆废话，说不能退，扣钱的是上海造艺网络有限公司，是个骗子公司，我朋友也被扣299.客服说15天没有推荐成功就退款，我这都20多天了，打客服说不退，也不管，说一堆理由刁难你。</t>
  </si>
  <si>
    <t>网贷反复催收</t>
  </si>
  <si>
    <t>http://ts.21cn.com/tousu/show/id/1366831</t>
  </si>
  <si>
    <t>2019/10/16 17:48:50</t>
  </si>
  <si>
    <t>投诉人翟女士投诉对象御剑飞行涉诉金额4000元问题类型诉求类型投诉详情御剑飞行，说是让线下还款，以后销账。</t>
  </si>
  <si>
    <t>牛人有品高利砍头息</t>
  </si>
  <si>
    <t>http://ts.21cn.com/tousu/show/id/1366892</t>
  </si>
  <si>
    <t>2019/10/16 17:48:24</t>
  </si>
  <si>
    <t>信用管家下载的牛人有品，借款2200元，一个月分两次还清，每期1122元，但是实际到账金额只有1600元左右，莫名扣除砍头息600多元，现在债务爆发，无力偿还，希望联系我协商还款，一次性偿还本金，不支付不符合法律规定的利息。</t>
  </si>
  <si>
    <t>vivo应用商店提供非法体育购彩平台</t>
  </si>
  <si>
    <t>http://ts.21cn.com/tousu/show/id/1366891</t>
  </si>
  <si>
    <t>2019/10/16 17:48:12</t>
  </si>
  <si>
    <t>我是一名彩民我准备搜索并下载中国体育彩票继续买彩，但是下放出现了一个草根体育说是送彩金1元提现，我就贪图小便宜下载进去以为有免费的彩金可以买彩票，我进去之后客服便是新用户充值500元可以送1000彩金，我也没多想，vivo应用商店提供的软件不会骗人，我就充值进去，我就去买彩票，可是越买越觉得不对劲，我几个月投入了5000进去到最后我才了解发现到这是个非法平台，有牛牛有诈金花有pc根本不是我要的正规平台，vivo提供下载非法平台我需要你给我解释能退款更好。</t>
  </si>
  <si>
    <t>爱又米在未逾期的时间内对借款人进行骚扰，催收</t>
  </si>
  <si>
    <t>http://ts.21cn.com/tousu/show/id/1366889</t>
  </si>
  <si>
    <t>2019/10/16 17:47:38</t>
  </si>
  <si>
    <t>爱又米每个月在临近还款日但未到还款日时候打电话催还款，不分时间，月月如此，已对我正常的工作生活造成不良影响，要求爱又米停止每个月对我的骚扰，没逾期不要打电话给我，要提醒发个短信或者打一个电话都行，你一天打好几个什么意思。</t>
  </si>
  <si>
    <t>玖富万卡欺诈</t>
  </si>
  <si>
    <t>http://ts.21cn.com/tousu/show/id/1366887</t>
  </si>
  <si>
    <t>2019/10/16 17:47:23</t>
  </si>
  <si>
    <t>申请贷款时，强制性从卡里扣取审核费，打电话没人接。</t>
  </si>
  <si>
    <t>http://ts.21cn.com/tousu/show/id/1366886</t>
  </si>
  <si>
    <t>2019/10/16 17:46:28</t>
  </si>
  <si>
    <t>之前跟宁波银行说过目前经济状况，但是银行没有人跟我沟通，今天突然就有个所谓的律师事务所联系我。</t>
  </si>
  <si>
    <t>http://ts.21cn.com/tousu/show/id/1366885</t>
  </si>
  <si>
    <t>2019/10/16 17:46:24</t>
  </si>
  <si>
    <t>，注册之后提示填写有关内容，就填写了，没有发现需要收取什么风险评估费用的条约，后感觉没什么用，就卸载了，9月30号凌晨发现私自从我银行卡里面扣了299元，要求尽快退款，回复我说不会退款，是我自己同意扣款的，纯属捏造，风险评估费是啥。</t>
  </si>
  <si>
    <t>维信卡卡贷到期不下款</t>
  </si>
  <si>
    <t>http://ts.21cn.com/tousu/show/id/1366883</t>
  </si>
  <si>
    <t>2019/10/16 17:44:56</t>
  </si>
  <si>
    <t>我于9月18日申请维信卡卡贷信用卡代还业务，承诺1-15个工作日到账，在第14、15个工作日时有向客服反映，希望尽快到账，但今天已经是第16个工作日，还未到账，希望维信卡卡贷能履行承诺，在今天放款到账。</t>
  </si>
  <si>
    <t>招联金融使用第三方催收发催收短信给我朋友</t>
  </si>
  <si>
    <t>http://ts.21cn.com/tousu/show/id/1366882</t>
  </si>
  <si>
    <t>2019/10/16 17:44:55</t>
  </si>
  <si>
    <t>招联金融恶意催收，发催收短信给我家人朋友，严重骚扰到他们，请立即停止骚扰，我要求催收员亲自对我和我朋友做出赔礼道歉。</t>
  </si>
  <si>
    <t>http://ts.21cn.com/tousu/show/id/1366881</t>
  </si>
  <si>
    <t>2019/10/16 17:44:46</t>
  </si>
  <si>
    <t>投诉人 曾先生        投诉对象  聚福钱包        涉诉金额  299 元    问题类型    诉求类型投诉详情  未经允许扣款不退款 联系客服没有作用不给退款</t>
  </si>
  <si>
    <t>情求宽限还款时间</t>
  </si>
  <si>
    <t>http://ts.21cn.com/tousu/show/id/1366880</t>
  </si>
  <si>
    <t>2019/10/16 17:44:41</t>
  </si>
  <si>
    <t>最近实在困难，这期账单逾期了几天，我并非没有还款意向只是需要宽限两天情求停止骚扰并协商一个合理时间还款。</t>
  </si>
  <si>
    <t>钱站高利贷阴阳合同，暴力催收</t>
  </si>
  <si>
    <t>http://ts.21cn.com/tousu/show/id/1366879</t>
  </si>
  <si>
    <t>2019/10/16 17:44:29</t>
  </si>
  <si>
    <t>本人舒*想在此举报钱站阴阳合同，利息太高以及骚扰，催收人员跟我说你还这200元有什么用，这样公司以为你在挑衅，会怎么怎么样，本人今年5月5日在钱站申请贷款到账金额为8000元，分6期偿还，每期金额需还1893.39元，已还4期共计7573.56元，6期利息为3360.34,基本为每月560元，而合同上写明的借款金额确为10560元，我曾与客服交谈合同问题，客服人员跟我说这是平台收取的服务费，我不太清楚服务费为什么要写在本金里，是为了符合法律承认的年利率百分之24以内吗，在我逾期后，我接到催收人员电话，在我述</t>
  </si>
  <si>
    <t>信用飞捆绑收取高于市场数倍的保险费</t>
  </si>
  <si>
    <t>http://ts.21cn.com/tousu/show/id/1366878</t>
  </si>
  <si>
    <t>2019/10/16 17:43:41</t>
  </si>
  <si>
    <t>本人在2019年5月3日于信用飞借款金额4500元分期三个月，信用飞却另外生成一个850元为期却只有三个月的意外保险消费账单，由于绑定银行卡钱已转出，保险账单未能扣费成功，现在信用飞屡次催收这个保险账单。</t>
  </si>
  <si>
    <t>严重骚扰我的朋友及家人</t>
  </si>
  <si>
    <t>http://ts.21cn.com/tousu/show/id/1366877</t>
  </si>
  <si>
    <t>2019/10/16 17:43:36</t>
  </si>
  <si>
    <t>辱骂我通讯录里面的朋友，威胁我，说要把我的照片发布网上。</t>
  </si>
  <si>
    <t>恒富创融科技旗下钱橙无忧未经本人同意无故扣款</t>
  </si>
  <si>
    <t>http://ts.21cn.com/tousu/show/id/1366876</t>
  </si>
  <si>
    <t>2019/10/16 17:42:45</t>
  </si>
  <si>
    <t>本人由于急用钱，所以前两天下载了恒富创融科技旗下的钱橙无忧app，想借点钱，提交了一系列资料和认证之后，就收到消息银行卡扣钱了，说是168元用来评估，由于卡里余额不足，当时只扣了56元，后来提交借款时又要服务费，由于卡里没钱，所以没有提交成功，昨天往卡里存了九百多块钱，没想到从今天凌晨五点多开始，连续被扣了好几次钱，一次150，一次100，一次84，一次28，一次81，加上之前的56，一共扣了499元，钱没借到反而倒扣了将近五百块，打客服电话一次也没打通过，app上什么也联系不到，现在也不敢往银行卡里存钱了</t>
  </si>
  <si>
    <t>http://ts.21cn.com/tousu/show/id/1366874</t>
  </si>
  <si>
    <t>2019/10/16 17:42:30</t>
  </si>
  <si>
    <t>2019年9月30日在转转优品产生了一个寄卖订单，于9月30日把手机寄去转转优品，因为一直没人买，所以在2019年10月13日申请退回，终于在10月15日拿到了手机，此时手机因为被转转优品私自拆开屏幕，导致屏幕很多气泡，10月15日立即联系转转客服，他们给出的结论是手机本来就有气泡，而且转转优品有手机的验机和拆机视频，我需要他们提供视频，他们不提供，难道我的手机我连知情权也没有吗，完全就是平台大，欺负人，所以来到这里，和广大群众一起投诉转转优品。</t>
  </si>
  <si>
    <t>京东第三方英强科技专营店/杭州英强科技有限公司不履行三包义务</t>
  </si>
  <si>
    <t>http://ts.21cn.com/tousu/show/id/1366872</t>
  </si>
  <si>
    <t>2019/10/16 17:42:26</t>
  </si>
  <si>
    <t>京东商城,京东英强科技专营店,杭州英强科技有限公司，本人于2019年10月12日在京东网购平台，yingqiangbg.jd.com,杭州英强科技有限公司，MAX主板的CPU+主板套装，订单号为105731463389,，本着对其他消费者负责的态度，本人拒绝以在京东售后申请“其他原因”退换货物，商家拒绝本人提出的“质量问题”履行国家规定的三包义务，在此本人特像12315进行投诉，望相关部门重视。</t>
  </si>
  <si>
    <t>http://ts.21cn.com/tousu/show/id/1366870</t>
  </si>
  <si>
    <t>2019/10/16 17:41:49</t>
  </si>
  <si>
    <t>本人在浪里白条借款平台中下载借钱呗，浪里白条与借钱呗两家同属一家公司，而汇潮支付协助两家高利贷砍头息平台发放贷款资金，2019.10.13在借钱呗借款到账1603.8元，6天不到的时间却要还2700！2019.10.14在浪里白条借款到账1565元，6天不到的时间要还2500元！两家同属一家公司，都由汇潮支付提供违法支付通道！利息太高，实在无法承担，请求聚投诉督促汇潮支付联系对方协商还款事宜，谢谢！。</t>
  </si>
  <si>
    <t>捷信金融委托第三方</t>
  </si>
  <si>
    <t>http://ts.21cn.com/tousu/show/id/1366866</t>
  </si>
  <si>
    <t>2019/10/16 17:40:26</t>
  </si>
  <si>
    <t>投诉人 李先生        投诉对象  捷信金融        涉诉金额  373 元    问题类型    诉求类型      投诉详情  捷信第三方冒充司法机关群发短信 导致生活受到干扰</t>
  </si>
  <si>
    <t>欠款逾期多次打电话骚扰轰炸辱骂本人跟家人</t>
  </si>
  <si>
    <t>http://ts.21cn.com/tousu/show/id/1366865</t>
  </si>
  <si>
    <t>2019/10/16 17:40:22</t>
  </si>
  <si>
    <t>不停的骚扰本人，并且打电话各种辱骂，威胁家人恐家人。</t>
  </si>
  <si>
    <t>未经过允许直接扣我299会员费</t>
  </si>
  <si>
    <t>http://ts.21cn.com/tousu/show/id/1366867</t>
  </si>
  <si>
    <t>2019/10/16 17:40:18</t>
  </si>
  <si>
    <t>注册账号，未经过我个人同意允许，直接扣除我299会员费，也没有任何提示说需要缴纳会员费，下载软件直接扣钱！。</t>
  </si>
  <si>
    <t>http://ts.21cn.com/tousu/show/id/1366864</t>
  </si>
  <si>
    <t>2019/10/16 17:40:17</t>
  </si>
  <si>
    <t>借款3500，砍头1400，到账2100，5天。</t>
  </si>
  <si>
    <t>http://ts.21cn.com/tousu/show/id/1366863</t>
  </si>
  <si>
    <t>2019/10/16 17:40:12</t>
  </si>
  <si>
    <t>投诉人劳女士投诉对象新橙优品涉诉金额3000元问题类型诉求类型投诉详情新橙优品高利贷，借3000砍头息300，逾期一天就爆通讯录，一天打好多电话，我受不了才屏蔽的，还款日当天也没短信提醒，我就遗忘了，现逾期罚息那么高，利息也超级高，根本没有渠道协商，也不知道何时征信，对我生活造成困扰。</t>
  </si>
  <si>
    <t>http://ts.21cn.com/tousu/show/id/1366861</t>
  </si>
  <si>
    <t>2019/10/16 17:39:54</t>
  </si>
  <si>
    <t>爆通讯录，不停骚扰我家人，也就500块不到，我工资20号才发，发下来就还钱了，不要再电话骚扰了。</t>
  </si>
  <si>
    <t>714高利息平台砍头息、汇潮支付、快钱支付为其提供支付渠道</t>
  </si>
  <si>
    <t>http://ts.21cn.com/tousu/show/id/1366860</t>
  </si>
  <si>
    <t>2019/10/16 17:39:41</t>
  </si>
  <si>
    <t>葡萄分期,汇潮支付,北京鑫诚俊杰商贸有限公司,快钱支付，从网上链接下载葡萄分期app借款，申请了一笔3000元的7天借款，申请通过后，实际到账2010元，到期后需还款3010.5元，催收人员利用境外电话超出约定时间一分钟即刻转威胁恐吓的态度，与葡萄分期协商销账处理并归还部分超出本金的还款费用。</t>
  </si>
  <si>
    <t>http://ts.21cn.com/tousu/show/id/1366859</t>
  </si>
  <si>
    <t>2019/10/16 17:39:37</t>
  </si>
  <si>
    <t>投诉人翟女士投诉对象旺金福涉诉金额2477元问题类型诉求类型投诉详情有个qq客服，发短信让添加商量，否则各种威胁，加上了，也在支付宝还款了，账一直没销，过段时间又有个客服催收，说是前边那个是骗子，让重新还款。</t>
  </si>
  <si>
    <t>优信二手车不解压绿本</t>
  </si>
  <si>
    <t>http://ts.21cn.com/tousu/show/id/1366857</t>
  </si>
  <si>
    <t>2019/10/16 17:38:41</t>
  </si>
  <si>
    <t>车贷还清，优信迟迟不给绿本！收到短信说客服会进行联系，几个月过去了迟迟没人联系，打电话给客服，每天打十几次从未打通过，完全联系不上这家公司。</t>
  </si>
  <si>
    <t>苏宁自营阿玛尼手表，无法全国联保，没有销售章.</t>
  </si>
  <si>
    <t>http://ts.21cn.com/tousu/show/id/1366856</t>
  </si>
  <si>
    <t>2019/10/16 17:38:37</t>
  </si>
  <si>
    <t>投诉人李先生投诉对象苏宁易购涉诉金额779元问题类型诉求类型投诉详情在苏宁自营买到假手表拒不承认且不作出任何赔偿并且保证国行正品，不执行假一赔三。</t>
  </si>
  <si>
    <t>深圳博民快易贷违法贷款打压老百姓黑心贷</t>
  </si>
  <si>
    <t>http://ts.21cn.com/tousu/show/id/1366826</t>
  </si>
  <si>
    <t>2019/10/16 17:38:16</t>
  </si>
  <si>
    <t>投诉人杜女士投诉对象深圳博民快易贷涉诉金额33901元问题类型诉求类型投诉详情您好，我是2016年3月在深圳海岸城博民快易贷办理贷款20000元整，分18期，每一期需还款金额为1571.客户告知利息为2分3，可是我算了下远远不止，客服告知我他们是等额本息的利息方式来计算的，他们打着等额本息的名头实际用按月还息到期的方式计算利息，！！！！我们每个月都在还本金本金是不断递减的，那么利息也应该不断减少，按本金20000等额本息来算年利率24我应该承担的利息为4012.76按年利率36来算我应该承担的利息为6175</t>
  </si>
  <si>
    <t>你我贷非法高利贷</t>
  </si>
  <si>
    <t>http://ts.21cn.com/tousu/show/id/1366855</t>
  </si>
  <si>
    <t>2019/10/16 17:38:12</t>
  </si>
  <si>
    <t>借了本金8000，实际年华利率35.99%，你我贷利率过高，款项已还9期，已还8400多，过高的利率无法承受。</t>
  </si>
  <si>
    <t>高利贷，暴力催收，威胁</t>
  </si>
  <si>
    <t>http://ts.21cn.com/tousu/show/id/1366854</t>
  </si>
  <si>
    <t>2019/10/16 17:37:57</t>
  </si>
  <si>
    <t>催收人员威胁，不接受协商，软暴力，不接受，打联系人！骚扰正常生活。</t>
  </si>
  <si>
    <t>电话无穷尽骚扰</t>
  </si>
  <si>
    <t>http://ts.21cn.com/tousu/show/id/1366853</t>
  </si>
  <si>
    <t>2019/10/16 17:37:33</t>
  </si>
  <si>
    <t>很粗鲁的确实说一句再骚扰死你们全家，天天打电话骚扰。</t>
  </si>
  <si>
    <t>http://ts.21cn.com/tousu/show/id/1366852</t>
  </si>
  <si>
    <t>2019/10/16 17:37:09</t>
  </si>
  <si>
    <t>由于资金链断裂一时无法还款，省呗就要开始威胁爆通讯录。</t>
  </si>
  <si>
    <t>恐吓催收，爆通讯录</t>
  </si>
  <si>
    <t>http://ts.21cn.com/tousu/show/id/1366849</t>
  </si>
  <si>
    <t>2019/10/16 17:35:14</t>
  </si>
  <si>
    <t>停止爆通讯录，不要每个人的电话都在打，而且打电话催收不是一打就挂，接通后说打很多个电话都没有人接，你这是不给机会也不给解释，钱不是不还，麻烦等我把话说完，我也努力的借钱偿还，请给点时间，给时间麻烦给充足一点，不是像你们催收的说给一个小时，实际只有几十分钟，钱是要还的，也谢谢你们的理解。</t>
  </si>
  <si>
    <t>中腾信没逾期骚扰联系人态度恶劣</t>
  </si>
  <si>
    <t>http://ts.21cn.com/tousu/show/id/1366850</t>
  </si>
  <si>
    <t>2019/10/16 17:35:03</t>
  </si>
  <si>
    <t>今天还款日，从早上八点就开始骚扰，打电话，威胁下午四点不还进去就挨个通讯录联系人打电话，正常贷款到期后还有三天的延期才算逾期，还没逾期就打电话威胁恐吓。</t>
  </si>
  <si>
    <t>直接不派送快递都是这样的？</t>
  </si>
  <si>
    <t>http://ts.21cn.com/tousu/show/id/1366848</t>
  </si>
  <si>
    <t>2019/10/16 17:35:01</t>
  </si>
  <si>
    <t>作为快递最后不派送，还直接理直气壮需要自提。</t>
  </si>
  <si>
    <t>申请浦发信用卡协商还款</t>
  </si>
  <si>
    <t>http://ts.21cn.com/tousu/show/id/1366745</t>
  </si>
  <si>
    <t>2019/10/16 17:34:59</t>
  </si>
  <si>
    <t>投诉人杨先生投诉对象浦发银行涉诉金额327000元问题类型诉求类型投诉详情本人因生意失败所欠浦发银行信用卡万用金工32万多，至今逾期了，之前信用良好，按时还款，现在遇到困难，在卖小吃，每个月都有还几千进去，有还款意愿，并非恶意拖欠，想申请与浦发银行协商还款，打电话沟通，协商还款必须得还个最低106000后才能申请剩下的款项分期，父母年龄大帮不上什么忙，打电话让我去问亲戚朋友借，现在家家都困难，借不到，不按照银行要求的还款要求就要报警，我一个人没有资产，父母帮不上，只能协商个性化还款计划，银行报警的话，我去坐</t>
  </si>
  <si>
    <t>恒易贷违规操作，砍头息，收取高额罚息</t>
  </si>
  <si>
    <t>http://ts.21cn.com/tousu/show/id/1366847</t>
  </si>
  <si>
    <t>恒易贷违规操作，第一，贷款金额14300，实际到账金额12197，第二，逾期一天收取我一百多的高额罚息，跟催收工作人员协调后同意减免，按照工作人员的要求还款后，第二天系统又扣了我逾期费用，找到工作人员沟通均推卸责任。</t>
  </si>
  <si>
    <t>催收人员骂人</t>
  </si>
  <si>
    <t>http://ts.21cn.com/tousu/show/id/1366844</t>
  </si>
  <si>
    <t>2019/10/16 17:34:22</t>
  </si>
  <si>
    <t>我刚接到电话上来就骂我，本想问个清楚而他就把电话挂了。</t>
  </si>
  <si>
    <t>小区建成7个月未建基站，导致小区内部无法使用4G，电话断线。</t>
  </si>
  <si>
    <t>http://ts.21cn.com/tousu/show/id/1366843</t>
  </si>
  <si>
    <t>2019/10/16 17:34:13</t>
  </si>
  <si>
    <t>投诉人 骆先生        投诉对象  中国电信,安徽电信        涉诉金额  199 元    问题类型    诉求类型投诉详情  小区4月建成至今，没有在小区内建设基站。导致小区信号极差。4G无法使用。多次致电。均不解决。敷衍至极。</t>
  </si>
  <si>
    <t>http://ts.21cn.com/tousu/show/id/1366842</t>
  </si>
  <si>
    <t>2019/10/16 17:33:41</t>
  </si>
  <si>
    <t>9月18日在维信卡卡贷上申请信用卡代还，额度为10000元，承诺1—15个工作日会到账，第14、15个工作日打电话给客服，说给我加急，如果没有到账，会进行相应处理，今天第16个工作日还未到账，客服回应给我加急，又得等1-3个工作日。</t>
  </si>
  <si>
    <t>该公司为赌博平台提供支付通道，要求退款</t>
  </si>
  <si>
    <t>http://ts.21cn.com/tousu/show/id/1366841</t>
  </si>
  <si>
    <t>2019/10/16 17:33:26</t>
  </si>
  <si>
    <t>该公司为赌博平台提供支付通道，我原以为通过工商局注册的单位，而且2017年就成立了，是正规的公司。</t>
  </si>
  <si>
    <t>拍拍贷，电话骚扰通讯录，律师函（假冒）短信到处发通讯录</t>
  </si>
  <si>
    <t>http://ts.21cn.com/tousu/show/id/1366839</t>
  </si>
  <si>
    <t>2019/10/16 17:32:39</t>
  </si>
  <si>
    <t>拍拍贷把我通讯录电话都发遍了还电话恐吓家属朋友。</t>
  </si>
  <si>
    <t>电话骚扰不停，该处理的问题不处理</t>
  </si>
  <si>
    <t>http://ts.21cn.com/tousu/show/id/1366838</t>
  </si>
  <si>
    <t>2019/10/16 17:32:33</t>
  </si>
  <si>
    <t>电话骚扰不停，100多块钱的事情，还不是我的问题，一直骚扰该处理的没处理，开启防骚扰模式了要解决提前告知来电号码，服了你们平台了，1分钟8个电话，账号登不上是我的问题，，反馈了不处理一直请催收员骚扰，如果因为100来块钱出现有你们平台的征信问题我就起诉你们看着吧，300还400多我不说什么，处理好账号异常立马还了，最后再说一遍停止骚扰！解决问题的客服电话可以提前告知不然全部归骚扰电话拦截。</t>
  </si>
  <si>
    <t>马上金融逼死人</t>
  </si>
  <si>
    <t>http://ts.21cn.com/tousu/show/id/1366837</t>
  </si>
  <si>
    <t>2019/10/16 17:32:04</t>
  </si>
  <si>
    <t>马上贷我逾期5天，今天给我打电话说如果今天不还就走催收流程，我说等我发工资周转一下就还，一共还有三期，我现在说实话周转不开，非得逼死人嘛，一开始是一个男的接电话，后来又是一个女的，说话这个难听，都有个难处，干嘛这么咄咄逼人。</t>
  </si>
  <si>
    <t>没有借款却被暴力催收群发通讯录</t>
  </si>
  <si>
    <t>http://ts.21cn.com/tousu/show/id/1366835</t>
  </si>
  <si>
    <t>2019/10/16 17:31:51</t>
  </si>
  <si>
    <t>投诉人 过女士        投诉对象  及贷        涉诉金额  0 元    问题类型    诉求类型投诉详情  本人并没有在及贷借款。但是最近却莫名收到来自海南的骚扰电话。接着就是短信群发通讯录。</t>
  </si>
  <si>
    <t>经常接到由泰迪熊提供的陌生电话</t>
  </si>
  <si>
    <t>http://ts.21cn.com/tousu/show/id/1366834</t>
  </si>
  <si>
    <t>2019/10/16 17:31:18</t>
  </si>
  <si>
    <t>这段时间经常接到陌生电话进行推广，影响到我个人生活，泄露用户信息,侵犯他人权益,侵犯个人隐私，请尽快处理。</t>
  </si>
  <si>
    <t>京东物流电视配送电器和签收</t>
  </si>
  <si>
    <t>http://ts.21cn.com/tousu/show/id/1366833</t>
  </si>
  <si>
    <t>2019/10/16 17:30:50</t>
  </si>
  <si>
    <t>投诉人喻欢投诉对象京东物流涉诉金额3363元问题类型诉求类型投诉详情9月19号京东买卖的小米电视，25号送到，我本人是在外地上班，需要10月1号放假才能回家，家里只有我爸和我妈妈，我爸当天上班没在家先说下京东物流签收的过程：配送员送货到家先签收，然后才开始验货，验货也只是把箱子打开一面朝里面看了一眼就结束了，也没有帮我妈妈把电视拿出来检查，也没有帮我们通电来检测电视的好坏，等我10月1号回家通电检测发现电视屏幕是黑屏，不能正常使用，还少了配件，然后联系商家处理，直到10月3日商家还没有处理，我申请了京东介入</t>
  </si>
  <si>
    <t>怪兽充电宝把我一年的收益给黑了</t>
  </si>
  <si>
    <t>http://ts.21cn.com/tousu/show/id/1366829</t>
  </si>
  <si>
    <t>2019/10/16 17:29:06</t>
  </si>
  <si>
    <t>本人是甘肃省临夏回族自治州东乡县致青春网咖的老板，去年冬天，怪兽充电宝的工作人员将一台6口充电宝放在本人门店中，什么合同没签就走了，本人一直以为怪兽的收益是年结，所以也就没有在意，今年中旬，本人听说别的充电宝都是日结或者月结，本人联系不到怪兽的工作人员，就联系了一下怪兽的微信在线客服，过了一两天，消失了半年的怪兽工作人员出现了，说是怪兽一直就没有过收益，只能从今年7月份开始给收益，本人一开始就不同意，但怪兽的工作人员承诺，从七月份开始，每个月收益按时能到账，还给我微信上开了个商户系统，能看见每天的收益，过了</t>
  </si>
  <si>
    <t>无缘无故扣款</t>
  </si>
  <si>
    <t>http://ts.21cn.com/tousu/show/id/1366828</t>
  </si>
  <si>
    <t>2019/10/16 17:28:43</t>
  </si>
  <si>
    <t>投诉人朱先生投诉对象拇指下款涉诉金额298元问题类型诉求类型投诉详情10月16号下午无缘无故的扣了我银行卡里298.5块，打客服电话说买什么服务，本人表示完全不知道买的啥，要求退钱，他不给退。</t>
  </si>
  <si>
    <t>闪银协商还款提前结清</t>
  </si>
  <si>
    <t>http://ts.21cn.com/tousu/show/id/1366825</t>
  </si>
  <si>
    <t>2019/10/16 17:27:57</t>
  </si>
  <si>
    <t>本人学生，无收入，家庭困难，借款时闪银平台收入高额担保费，希望闪银平台能够协商还款减免服务费并退还担保费。</t>
  </si>
  <si>
    <t>http://ts.21cn.com/tousu/show/id/1366820</t>
  </si>
  <si>
    <t>2019/10/16 17:27:40</t>
  </si>
  <si>
    <t>投诉人靳先生投诉对象安庆盛通信息科技服务有限公司,人人花涉诉金额288元问题类型诉求类型投诉详情注册人人花什么都没有做也没有任何提示，跳出来一个需要288米豆才能进行下一步，谁知道直接给扣款288元，我什么都没有做，我也没有贷款任何，什么操作都没有，注册一下，没了288，后来联系这个态度阿，真是无语，这是公司吗，感觉像打进了自由市场，素质一点都没有，专业一点都没有，在线20分钟不回复，打电话过去客服说才20分钟您着什么急，等着吧，严重的欺骗，我一定要维权，全中国可能没有第二个这种公司，垃圾，在这贷款，个人信</t>
  </si>
  <si>
    <t>银行卡被瑞迪讯达通讯录技术扣了199元</t>
  </si>
  <si>
    <t>http://ts.21cn.com/tousu/show/id/1366824</t>
  </si>
  <si>
    <t>2019/10/16 17:27:25</t>
  </si>
  <si>
    <t>投诉人 钟先生        投诉对象  瑞迪讯达通讯录技术        涉诉金额  199 元    问题类型    诉求类型投诉详情  瑞迪讯达无故从我银行卡里扣199元 我要求全额退回！</t>
  </si>
  <si>
    <t>众安保险在投保人不知情的情况捆绑销售保险</t>
  </si>
  <si>
    <t>http://ts.21cn.com/tousu/show/id/1366800</t>
  </si>
  <si>
    <t>2019/10/16 17:27:14</t>
  </si>
  <si>
    <t>一、在小赢卡贷借款时，平台在申请时违规将借款合同与保险合同捆绑到一起，二、客户在操作借款时，操作页面无明显提示需购买保险，且保险费用从借款利息中扣除，关于保险合同的被保人、保障条款、生效时间等一概不知情，并且无任何短信提示三、本人得知名下有笔众安保险的保单，本人要求保险公司依法立刻退还相关保险费用，如不解决，将进一步向12378保监会投诉到底。</t>
  </si>
  <si>
    <t>http://ts.21cn.com/tousu/show/id/1366823</t>
  </si>
  <si>
    <t>2019/10/16 17:26:32</t>
  </si>
  <si>
    <t>每日优鲜平台于2019年8月22日在其小程序/APP上推出摇钱树活动，并宣传“躺赢佣金，走上水果自由道路”！于是，我开始根据其规则拉人加入战队，为其平台进行推广和提高客户使用率，截至到2019年10月9日被我拉入战队人数已达200余人，在此期间该平台一直按照当初约定给我发放金币返利，但是，10月9日该平台突然发布通知告知活动将于2019年10月11日升级规则并下线，届时将不再产生金币，我们认为这样做跟当初的宣传是严重相左的，并且此行为已经损害到了我们的利益！第一，从活动当初的字面意思理解这是一个拉人入队的平</t>
  </si>
  <si>
    <t>恐吓，骂人，吓的家人已经住院，严重影响我的生活</t>
  </si>
  <si>
    <t>http://ts.21cn.com/tousu/show/id/1366822</t>
  </si>
  <si>
    <t>2019/10/16 17:26:21</t>
  </si>
  <si>
    <t>恐吓人，骂人，吓的家里人住院了，严重影响我的生活。</t>
  </si>
  <si>
    <t>http://ts.21cn.com/tousu/show/id/1366821</t>
  </si>
  <si>
    <t>2019/10/16 17:26:20</t>
  </si>
  <si>
    <t>17年10月17在友信公司借钱到手108000元合同金额156000实际需还181000元，共还36期，期数是不能更改的本人已还22期，这种变相的砍头息本人已经无力偿还了希望贵部门管管。</t>
  </si>
  <si>
    <t>恶意中伤，恐吓威胁</t>
  </si>
  <si>
    <t>http://ts.21cn.com/tousu/show/id/1366818</t>
  </si>
  <si>
    <t>2019/10/16 17:24:24</t>
  </si>
  <si>
    <t>恐吓我，我不是不还，有钱又不是不还，催收的估计是脑残，叫我变卖东西来还，我去哪里有东西买。</t>
  </si>
  <si>
    <t>虾米在线高利贷套路贷</t>
  </si>
  <si>
    <t>http://ts.21cn.com/tousu/show/id/1366817</t>
  </si>
  <si>
    <t>2019/10/16 17:24:20</t>
  </si>
  <si>
    <t>虾米在线高利贷套路贷，买卖客户资料贷款时间5天，贷款3000，到账1800，还款3014，属于高利贷的高利贷，希望国家严厉惩处。</t>
  </si>
  <si>
    <t>豆豆钱恐吓，威胁借款人，爆通信录，黑恶催收</t>
  </si>
  <si>
    <t>http://ts.21cn.com/tousu/show/id/1366816</t>
  </si>
  <si>
    <t>2019/10/16 17:24:14</t>
  </si>
  <si>
    <t>黑恶借贷公司维信金科豆豆钱，因自身软件原因造成还款逾期后，命令旗下催收部门进行黑恶催收，暴力恐吓，威胁借款人，并爆通讯录，本人在接听电话答应还款后依然做出如此丧尽天良举动，简直是践踏国家法律，视国家扫黑除恶方针为无物，践踏人权，希望聚投诉能综合所有借款人的投诉，向上海市公安局报警，将维信金科所有涉黑恶的人绳之于法，还借款人一个公道，还社会一个清静！！！。</t>
  </si>
  <si>
    <t>http://ts.21cn.com/tousu/show/id/1366814</t>
  </si>
  <si>
    <t>2019/10/16 17:24:02</t>
  </si>
  <si>
    <t>投诉人叶女士投诉对象MY钱包涉诉金额1375元问题类型诉求类型投诉详情在联系得到我的情况下，他们爆我通讯录，我说没有不还，他说不要还了，就是要打我通讯录，什么要跟我玩玩，太无视法律了。</t>
  </si>
  <si>
    <t>http://ts.21cn.com/tousu/show/id/1366815</t>
  </si>
  <si>
    <t>2019/10/16 17:23:51</t>
  </si>
  <si>
    <t>投诉人施先生投诉对象掌众金服涉诉金额2600元问题类型诉求类型投诉详情借款2600，中间还有个转让费，一转让就变2000多，到手才2000多点，这是变相收费，明显就是高利贷，请作出解释，作出处理。</t>
  </si>
  <si>
    <t>http://ts.21cn.com/tousu/show/id/1366813</t>
  </si>
  <si>
    <t>2019/10/16 17:23:44</t>
  </si>
  <si>
    <t>投诉人李先生投诉对象你我贷涉诉金额5000元问题类型诉求类型投诉详情暴力催收，说要打通讯录里人电话，说要整死我。</t>
  </si>
  <si>
    <t>未经允许扣款</t>
  </si>
  <si>
    <t>http://ts.21cn.com/tousu/show/id/1366812</t>
  </si>
  <si>
    <t>2019/10/16 17:23:18</t>
  </si>
  <si>
    <t>投诉人 付女士        投诉对象  天天有钱        涉诉金额  288 元    问题类型    诉求类型投诉详情  没有经过本人同意扣款 梁山仙域信息技术有限公司帮天天有钱扣款 天天有钱这个APP都查不到 属实蒙 要求退款</t>
  </si>
  <si>
    <t>http://ts.21cn.com/tousu/show/id/1366811</t>
  </si>
  <si>
    <t>2019/10/16 17:23:10</t>
  </si>
  <si>
    <t>借了2500，订单生成后多了一个3天后立马要还的白条费用，我给他们打电话说不清楚，钱不用了退回去，他们说不行，必须还，我有电话录音。</t>
  </si>
  <si>
    <t>及贷恶意骚扰家里人和朋友</t>
  </si>
  <si>
    <t>http://ts.21cn.com/tousu/show/id/1366810</t>
  </si>
  <si>
    <t>2019/10/16 17:22:52</t>
  </si>
  <si>
    <t>投诉人 翟女士        投诉对象  及贷        涉诉金额  10 000 元    问题类型    诉求类型投诉详情  以前就投诉过及贷 后来跟他们协商好了 等我有钱了 我会一次性还完 但是因为上个月家里老人住院 把钱用掉了 没有来的急还款 就十一过后几天 及贷就开始发信息 打电话的骚扰我家里人和周围的朋友 都是在晚上打的电话 电话号码是海南的 电话是198******59 还不敢写真正的名字</t>
  </si>
  <si>
    <t>花转转高利贷恶意逾期</t>
  </si>
  <si>
    <t>http://ts.21cn.com/tousu/show/id/1366809</t>
  </si>
  <si>
    <t>2019/10/16 17:22:50</t>
  </si>
  <si>
    <t>本人9月8日通过花转转平台借款2800元，通过畅捷支付实际到账2800元，分32天共4期每8天返还1022.4元，总计共需归还4089.6元，利息高达1289.6元，远远超过国家规定的标准，归还一期后该APP不能还款，导致逾期，客服联系不上且逾期费用高的离谱，虽后续有催收人员联系，但是不肯免去逾期费用，且态度恶劣，骚扰过联系人，现在要求最后一期直接销账处理！。</t>
  </si>
  <si>
    <t>钱伴停止骚扰，返还高额利息</t>
  </si>
  <si>
    <t>http://ts.21cn.com/tousu/show/id/1366807</t>
  </si>
  <si>
    <t>2019/10/16 17:22:34</t>
  </si>
  <si>
    <t>本人在钱伴平台借款4000元，分六期还款，已还四期，后期还款逾期两天，客服就打电话威胁，说话语气大声呵斥，利息过高，要求退还高额利息。</t>
  </si>
  <si>
    <t>合理情况下一次性结清</t>
  </si>
  <si>
    <t>http://ts.21cn.com/tousu/show/id/1366805</t>
  </si>
  <si>
    <t>2019/10/16 17:22:19</t>
  </si>
  <si>
    <t>本人于2018年底在宜人贷贷款88000元，36期，当时客服联系我的，客服当时说利息底，我也没当回事，等还款时我一看合同吓了一跳，居然要还157969.77，我已还了10期了，压力太大，我自己的货款没办法回笼，现恳请宜人贷平台能从钱难挣的角度和我做出合理的利息一次结清！。</t>
  </si>
  <si>
    <t>凡普金科给之前工作单位朋友打电话说我欠款切催款态度强硬恶劣</t>
  </si>
  <si>
    <t>http://ts.21cn.com/tousu/show/id/1366806</t>
  </si>
  <si>
    <t>2019/10/16 17:22:14</t>
  </si>
  <si>
    <t>凡普金科在10：35左右通过微信联系到我，我并承诺尽快处理欠款后，又给朋友之前工作单位打电话说我欠款不还，并且催收态度恶劣对我及我对象大喊大叫，并发短信说我欠款不还，讨债，伪造事实给我个人心里精神、名誉权等造成极大影响！要求给我造成的影响进行赔偿！。</t>
  </si>
  <si>
    <t>分期乐协商还款</t>
  </si>
  <si>
    <t>http://ts.21cn.com/tousu/show/id/1366804</t>
  </si>
  <si>
    <t>2019/10/16 17:21:20</t>
  </si>
  <si>
    <t>由于实在拿不出钱来还款，自己还是个学生，并且无收入，家庭困难，本人正在筹钱，现在想把这件事解决了，希望平台能够协商还款减免服务费和部分利息。</t>
  </si>
  <si>
    <t>暴力催收及恐吓</t>
  </si>
  <si>
    <t>http://ts.21cn.com/tousu/show/id/1366803</t>
  </si>
  <si>
    <t>2019/10/16 17:21:03</t>
  </si>
  <si>
    <t>本人由于没发工资暂时没钱还导致逾期，已和平台客服沟通过，但是毫无意义每天本人和家人依旧被骚扰，5200分12期归还，已还10期，现在天天发信息给我说要到公司去找我，到我的户籍所在地去找我，发信息嚣张至极！。</t>
  </si>
  <si>
    <t>信用钱包担保费！！</t>
  </si>
  <si>
    <t>http://ts.21cn.com/tousu/show/id/1366802</t>
  </si>
  <si>
    <t>2019/10/16 17:20:52</t>
  </si>
  <si>
    <t>投诉人叶女士投诉对象信用钱包涉诉金额2338元问题类型诉求类型投诉详情我想提前结清！！为什么有担保费！！不明白。</t>
  </si>
  <si>
    <t>支付宝自动扣费购买office365家庭版</t>
  </si>
  <si>
    <t>http://ts.21cn.com/tousu/show/id/1366801</t>
  </si>
  <si>
    <t>2019/10/16 17:20:19</t>
  </si>
  <si>
    <t>下载了试用软件忘记取消订单，但是造成扣款，不需要这个软件，希望可以退款。</t>
  </si>
  <si>
    <t>交通银行恶意催收</t>
  </si>
  <si>
    <t>http://ts.21cn.com/tousu/show/id/1366799</t>
  </si>
  <si>
    <t>2019/10/16 17:19:45</t>
  </si>
  <si>
    <t>交通银行信用卡逾期，我于本月10号就已经连本带息还款完成，但是截止现在一个星期过去了催收短信还一直在发，已经很严重影响我家人的正常工作和生活，期间我与交通银行联系过，反应这个问题，但是没得到解决，我也尝试与交通银行信用卡中心打电话但是怎么都联系不到人工服务，我与催收人员打电话也没打通，。</t>
  </si>
  <si>
    <t>上海翼勋恶意催收，对我破口大骂，威胁我，阴阳合同，砍头息，高利贷</t>
  </si>
  <si>
    <t>http://ts.21cn.com/tousu/show/id/1366798</t>
  </si>
  <si>
    <t>2019/10/16 17:19:21</t>
  </si>
  <si>
    <t>上海翼勋恶意催收，对我破口大骂，我还款，一直对我催收，威胁我，爆我通讯录，骚扰家人，难道没有人管了吗。</t>
  </si>
  <si>
    <t>http://ts.21cn.com/tousu/show/id/1366797</t>
  </si>
  <si>
    <t>2019/10/16 17:19:20</t>
  </si>
  <si>
    <t>捷信利息特别高，而且我在协商期间，家人遭到暴力催收，我现在申请一次性还款，已经还了14期，每期1781共还24934元，而且还需要三个月以后再让我还36600元，我想请问一下这家公司是不是属于高利贷，是不是暴力催收，有关部门能不能管理一下，每天几十个电话的打，已经严重影响到我家人的生活。</t>
  </si>
  <si>
    <t>群利花汇潮支付私自放款</t>
  </si>
  <si>
    <t>http://ts.21cn.com/tousu/show/id/1366795</t>
  </si>
  <si>
    <t>2019/10/16 17:19:12</t>
  </si>
  <si>
    <t>投诉人 隋松林        投诉对象  群利花        涉诉金额  2 000 元    问题类型    诉求类型投诉详情  本人未经允许私自放款 希望群利花 和汇潮支付 给出合理解释</t>
  </si>
  <si>
    <t>交通银行协商还款</t>
  </si>
  <si>
    <t>http://ts.21cn.com/tousu/show/id/1366794</t>
  </si>
  <si>
    <t>2019/10/16 17:19:00</t>
  </si>
  <si>
    <t>9月底我联系交通银行信用卡中心协商还款，我想要在15号开工资的时候还款，因为15号工资没到账，晚了一天，交行就把我的卡给停了，短信提示要我还一万多款钱，随后我又跟银行联系，我跟银行讲我手里钱不多能不能少还，并不是不还，银行工作人员告诉我还5千多，我说能不能再少点，我也就能还2000块，再多我就没生活费了，因为公司发的是半个月的工资，我不能把所有的钱都还了吧，我要求再次协商，给我解决问题！晚上六点后有时间接电话！不要在我工作时间联系我，如果我这份工作没了，就一分钱都还不上了！。</t>
  </si>
  <si>
    <t>注销齐鲁e行etc</t>
  </si>
  <si>
    <t>http://ts.21cn.com/tousu/show/id/1359016</t>
  </si>
  <si>
    <t>2019/10/16 17:18:55</t>
  </si>
  <si>
    <t>联系不到&amp;nbsp;齐鲁e行&amp;nbsp;&amp;nbsp;etc青岛客服&amp;nbsp;&amp;nbsp;希望主动联系&amp;nbsp;&amp;nbsp;一次性告知我&amp;nbsp;&amp;nbsp;注销齐鲁e行etc&amp;nbsp;&amp;nbsp;需要怎么办。</t>
  </si>
  <si>
    <t>http://ts.21cn.com/tousu/show/id/1366793</t>
  </si>
  <si>
    <t>2019/10/16 17:18:32</t>
  </si>
  <si>
    <t>投诉人李先生投诉对象现金借款涉诉金额3000元问题类型诉求类型投诉详情借款3000分六期，共3539现在想一次性还清还需要还六期的利息，向我们借网贷的不可能就一家平台，大多都是以贷养贷，高额的利息真还不起了，每天还要被催收爆，威胁家人，妻离子散，这是不给我们活路啊，投诉也没人关。</t>
  </si>
  <si>
    <t>我来贷工薪贷催款涉嫌威胁</t>
  </si>
  <si>
    <t>http://ts.21cn.com/tousu/show/id/1366792</t>
  </si>
  <si>
    <t>2019/10/16 17:18:11</t>
  </si>
  <si>
    <t>我因借我来数科9900元，十月十五号是还款日，我发工资也是十五号发，因这个月发的工资涉及上个季度的奖金，所以财务部门要核对的时间比较长，导致工资没有如期发放，今天上午收到我来数科催款电话，上午我把详细情况说给他听了，下午又打过来电话，说我今天六点之前不还就打电话给我的亲朋好友，至于我亲朋好友的电话他怎么来的我也不知道，我通讯录里面还有领导，领导知道了又会怎么想，而且我也说了算利息也没关系，我十月十七号一定还进去，你算两天利息也没关系，钱我一定会还而且本来利息就超过了规定利息我借款数是9900分十二期还的话连</t>
  </si>
  <si>
    <t>电信乱收费</t>
  </si>
  <si>
    <t>http://ts.21cn.com/tousu/show/id/1366790</t>
  </si>
  <si>
    <t>2019/10/16 17:18:05</t>
  </si>
  <si>
    <t>电信宽带3个月没用去电信营业厅已销户.归还该公司设备.已交清当月电信费用119，已销户客户电信还在继续扣款3个电信号码已停机还在继续扣话费。</t>
  </si>
  <si>
    <t>平安E贷套路贷，做银行假账，扣取贷款人钱款</t>
  </si>
  <si>
    <t>http://ts.21cn.com/tousu/show/id/1366789</t>
  </si>
  <si>
    <t>2019/10/16 17:18:02</t>
  </si>
  <si>
    <t>今年10月初，在平安E贷app申请了7万元，说要贷款卡上必须要有百分之30至50的流水才可以放款，结果在未经本人同意的情况下转走了本人卡上的14000千元，之后又以流水不足让我再进行转款，共计24000元，收款人的姓名，以及账号我都有保存，还说再11月3号结账后会退回我的钱，。</t>
  </si>
  <si>
    <t>中信银行信用卡变相违规发放贷款并收取高额罚息和违约金</t>
  </si>
  <si>
    <t>http://ts.21cn.com/tousu/show/id/1366791</t>
  </si>
  <si>
    <t>2019/10/16 17:17:56</t>
  </si>
  <si>
    <t>中信银行信用卡违规变相发放贷款，以圆梦金的方式给予客户额度，实则信用贷款，却按照信用卡额度来收取高额罚息和违约金，申请圆梦金后由于资金紧张，长期最低还款，于今年二月开始逾期，至六月还了两万多的最低还款后剩余欠款进行分期，查了详单后发现这比信用贷款按照信用卡方式每月按5%收取罚息，同时还要收取违约金，年利率达120%，近两年账单罚息和违约金已达18000余元，还不包括银行正常收取的费用，严重超过国家法定利率，我就是从银行贷款10万，违约两年也没这么高的费用吧，实则披着银行外衣的高利贷，要求按照国家标准计算利息</t>
  </si>
  <si>
    <t>疯狂骚扰</t>
  </si>
  <si>
    <t>http://ts.21cn.com/tousu/show/id/1366788</t>
  </si>
  <si>
    <t>2019/10/16 17:17:30</t>
  </si>
  <si>
    <t>支付宝疯狂的骚扰帐号里面的收货地址的人的电话。</t>
  </si>
  <si>
    <t>招联金融，不解决投诉问题，采用恐吓的手段恐吓我！章杨清。给我说法！</t>
  </si>
  <si>
    <t>http://ts.21cn.com/tousu/show/id/1366787</t>
  </si>
  <si>
    <t>2019/10/16 17:17:12</t>
  </si>
  <si>
    <t>你们是为了让我不再投诉你们而采用缓解还款的方式欺骗我的。</t>
  </si>
  <si>
    <t>高利息泄露个人信息和家人信息</t>
  </si>
  <si>
    <t>http://ts.21cn.com/tousu/show/id/1366786</t>
  </si>
  <si>
    <t>2019/10/16 17:16:51</t>
  </si>
  <si>
    <t>投诉人 陈先生        投诉对象  广发银行        涉诉金额  68 000 元    问题类型    诉求类型投诉详情  停止外包公司骚扰 与银行这是分期还款 停止个人家人信息泄露</t>
  </si>
  <si>
    <t>我来贷泄漏个人信息威胁</t>
  </si>
  <si>
    <t>http://ts.21cn.com/tousu/show/id/1366784</t>
  </si>
  <si>
    <t>2019/10/16 17:16:01</t>
  </si>
  <si>
    <t>投诉人张先生投诉对象我来数科涉诉金额10000元问题类型诉求类型投诉详情借了一万，分12期，已还四期，之后因个人因素逾期，逾期是本人不对，本人逾期原因是个人替别人银行担保，出现法院冻结个人账户及第三方支付平台，无法处理，线下还款方式失败，现在俗称我来贷委托方发告知函，还有9966.4未还，利息如此高，其所为律师客服态度恶劣，在联系到我的基础上，多次电话联系亲人朋友，包括单位领导，告知本人贷款逾期事项，诽谤，泄漏个人信息，现本人筹钱处理，所谓的律师客服一味打通讯录电话告知起诉材料寄送单位领导而不是个人，这是所</t>
  </si>
  <si>
    <t>招商银行恐吓，催一次还款</t>
  </si>
  <si>
    <t>http://ts.21cn.com/tousu/show/id/1366782</t>
  </si>
  <si>
    <t>2019/10/16 17:15:44</t>
  </si>
  <si>
    <t>我信用卡被停用说因为征信外部原因我理解，可是我一直都有还最低还款，给客服打电话客服也说可以，招商财务部给我打电话让我在一个星期之内还上所有欠款说我银行风险很高，必须全还了，不还要转他们法务部会在起诉名单里，还告诉我会影响以后和各大银行贷款业务，我要是有钱我还会一点点还嘛，我也知道利息高，那钱倒不开让我怎么还，而且我要不是钱出了问题外部征信会不良嘛，你们这样强人所难是不是太…而且我每个月最低都还了又没有逾期为什么要起诉我。</t>
  </si>
  <si>
    <t>未经本人允许扣款</t>
  </si>
  <si>
    <t>http://ts.21cn.com/tousu/show/id/1366783</t>
  </si>
  <si>
    <t>2019/10/16 17:15:37</t>
  </si>
  <si>
    <t>投诉人 付女士        投诉对象  成都安睿旺蜀网络科技有限公司        涉诉金额  198 元    问题类型    诉求类型投诉详情  没有经过本人同意扣款 没有任何短信提醒 直接从卡里扣走198元 要求退款 情况恶略 我现在都觉得钱放在银行卡里不安全</t>
  </si>
  <si>
    <t>小电扣押金</t>
  </si>
  <si>
    <t>http://ts.21cn.com/tousu/show/id/1366781</t>
  </si>
  <si>
    <t>2019/10/16 17:15:35</t>
  </si>
  <si>
    <t>小电充电宝不小心报遗失，然后还回还需支付99元，我认为我可以支付我用的半小时的钱，但拒绝支付99元，而且小电的善后服务接近0。</t>
  </si>
  <si>
    <t>交易猫换绑失败仲裁不理人！</t>
  </si>
  <si>
    <t>http://ts.21cn.com/tousu/show/id/1366780</t>
  </si>
  <si>
    <t>2019/10/16 17:15:05</t>
  </si>
  <si>
    <t>投诉人欧女士投诉对象交易猫,交易猫客服涉诉金额481元问题类型诉求类型投诉详情换绑失败，客服并没有把密码发给我，第一时间仲裁了处理太慢！。</t>
  </si>
  <si>
    <t>立借平台协商不成爆通讯录</t>
  </si>
  <si>
    <t>http://ts.21cn.com/tousu/show/id/1366778</t>
  </si>
  <si>
    <t>2019/10/16 17:14:48</t>
  </si>
  <si>
    <t>投诉人崔先生投诉对象立借涉诉金额6500元问题类型诉求类型投诉详情今下午又打电话过来，还打了朋友电话，协商还款不成利率问题，没讲成，还了第一期3011元，还要收逾期费，没同意就爆通讯录！。</t>
  </si>
  <si>
    <t>http://ts.21cn.com/tousu/show/id/1366777</t>
  </si>
  <si>
    <t>2019/10/16 17:14:27</t>
  </si>
  <si>
    <t>每日虚假宣传，让消费者拉人得返，又突然单方面中断活动。</t>
  </si>
  <si>
    <t>用钱宝爆通讯录乱催收</t>
  </si>
  <si>
    <t>http://ts.21cn.com/tousu/show/id/1366775</t>
  </si>
  <si>
    <t>2019/10/16 17:14:22</t>
  </si>
  <si>
    <t>用钱宝逾期一天乱催收，骚扰亲朋好友，严重影响个人信誉，停止骚扰，想朋友道歉。</t>
  </si>
  <si>
    <t>小木钱包催收不给销账</t>
  </si>
  <si>
    <t>http://ts.21cn.com/tousu/show/id/1366776</t>
  </si>
  <si>
    <t>2019/10/16 17:14:12</t>
  </si>
  <si>
    <t>投诉人薛先生投诉对象小木钱包涉诉金额4000元问题类型诉求类型投诉详情小木钱包APP登录不上无法还款，导致了逾期，后来有催收公司给我打电话，说是APP没法还款了，让我微信或者支付宝转账，转账以后给我销账，结果转账以后，过了一段时间app又能用了，客服又让我还钱，一开始我不同意私下还款，要求必须通过app还款，催收人员就以爆通讯录，短信轰炸等方式逼迫我还款。</t>
  </si>
  <si>
    <t>拍拍贷爆通讯录，收取高额手续费</t>
  </si>
  <si>
    <t>http://ts.21cn.com/tousu/show/id/1366773</t>
  </si>
  <si>
    <t>2019/10/16 17:14:08</t>
  </si>
  <si>
    <t>本人因创业资金周转问题借过两次拍拍贷，第一次于2017年借17000，实际到账金额被克扣了2000多元，实际到账不足本金额，却以本金额计息，第二次借款于2019年1月，因客户款项拖延造成资金周转不力，故借拍拍贷周转，但因款项没有及时到位，一直在东拼西凑还，拍拍贷期间一直骚扰电话不断，并且窃取通讯录信息，不断骚扰我的亲友，生意伙伴，造成目前我业务开展受到阻碍，家人关系不和谐，并于今日接到威胁恐吓电话，故无奈选择投诉。</t>
  </si>
  <si>
    <t>网贷平台下款与合同不符，利息超高</t>
  </si>
  <si>
    <t>http://ts.21cn.com/tousu/show/id/1366771</t>
  </si>
  <si>
    <t>2019/10/16 17:14:01</t>
  </si>
  <si>
    <t>借款2000，合同内写2660实际3期每期需要还款1144。</t>
  </si>
  <si>
    <t>泄漏客户信息</t>
  </si>
  <si>
    <t>http://ts.21cn.com/tousu/show/id/1366772</t>
  </si>
  <si>
    <t>2019/10/16 17:13:53</t>
  </si>
  <si>
    <t>捷信公司工作工作人员自称捷信法务部，用私人电话联系我，私联，为什么工作人员可以不用工作电话联系客户，知道客户隐私还用私人手机暴力催收。</t>
  </si>
  <si>
    <t>小铜钱伙同讯联智付盗刷银行卡</t>
  </si>
  <si>
    <t>http://ts.21cn.com/tousu/show/id/1366770</t>
  </si>
  <si>
    <t>2019/10/16 17:13:32</t>
  </si>
  <si>
    <t>投诉人魏先生投诉对象小铜钱涉诉金额299元问题类型诉求类型投诉详情我根本就没有在他那里贷款，只是注册了，然后就无故扣款。</t>
  </si>
  <si>
    <t>私自扣款</t>
  </si>
  <si>
    <t>http://ts.21cn.com/tousu/show/id/1366769</t>
  </si>
  <si>
    <t>2019/10/16 17:13:25</t>
  </si>
  <si>
    <t>我下载一个借款软件，填写结果资料手机号码、银行卡号、联系人，在验证过程中没有提及到扣费项目就被扣费，而且借款页面完成之后出来的是苹果手机的设置指南，严重的欺诈行为。</t>
  </si>
  <si>
    <t>http://ts.21cn.com/tousu/show/id/1366767</t>
  </si>
  <si>
    <t>2019/10/16 17:13:01</t>
  </si>
  <si>
    <t>每日优鲜开了一个摇钱树的活动，我们刚刚开始有收益，新人刚刚开始下单然后它宣布关停了，损害了我们的个人利益。</t>
  </si>
  <si>
    <t>去哪儿网订酒店，取消扣全款</t>
  </si>
  <si>
    <t>http://ts.21cn.com/tousu/show/id/1366768</t>
  </si>
  <si>
    <t>2019/10/16 17:12:55</t>
  </si>
  <si>
    <t>本人于2019年10月12号在去哪儿网预定了2019年10月24号-26号北京香江戴斯酒店，但是因为身体生病原定的时间去不了，想延后几天，改到29号-31号，然后跟客服沟通被客服告知订单无法更改或者取消，取消扣全款，后又跟酒店方沟通，酒店方明确表示无法取消并让我跟去哪儿沟通，双方踢皮球不给解决，目前给我造成了很大的经济损失，所以现向聚投诉投诉，希望得到帮助，谢谢！。</t>
  </si>
  <si>
    <t>汇通租赁公司合同不明、暴力催收</t>
  </si>
  <si>
    <t>http://ts.21cn.com/tousu/show/id/1366766</t>
  </si>
  <si>
    <t>2019/10/16 17:12:38</t>
  </si>
  <si>
    <t>投诉人冯女士投诉对象汇通租赁涉诉金额50000元问题类型诉求类型投诉详情我要投诉：汇通租赁公司我2016年12月在大新县都信二手车行购买一辆大众速腾8万，支付给车行3.6万，余下贷款3年，当时去南宁办理，然后安装gps定位500元现金是当时给业务员，由于相信本地人，所以他说余下44000贷款，让我签字，当时没有给我任何贷款合同，说合同一个星期后再寄过来给我，然后每个月自动在我的银行卡号扣款2112.73元，今年奔驰事件后自己重新算一下，三年我总共要还76058.28元，我感觉我被套路了，所以我问了卖车给我的</t>
  </si>
  <si>
    <t>维信卡卡贷爆通讯录电话和短信</t>
  </si>
  <si>
    <t>http://ts.21cn.com/tousu/show/id/1366765</t>
  </si>
  <si>
    <t>2019/10/16 17:12:33</t>
  </si>
  <si>
    <t>一开始逾期的时候我就和卡卡贷表明了是有还款医院的，而且多次轰炸本人、紧急联系人、通话记录人员以及我单位电话和短信，我朋友最多一天收到500条的短信轰炸，首先卡卡贷放贷前会强制性要求购买保险已经是很不合理的行为了其次我4000多元贷款逾期一个月逾期费达到将近2000元，，催收人员说我上个月账单6000多元，但我本人现已打不开卡卡贷的App，催收人员也不愿将账单详情发给我看，现像卡卡贷方面申请停止所有暴力催收，只在12:00～21:00期间联系我本人催收，并且退还保险费将年利率调整为国家标准24%以内并允许我停</t>
  </si>
  <si>
    <t>丰修业务员太业余，iPhoneX手机给修坏不承认</t>
  </si>
  <si>
    <t>http://ts.21cn.com/tousu/show/id/1366764</t>
  </si>
  <si>
    <t>2019/10/16 17:12:07</t>
  </si>
  <si>
    <t>投诉人张先生投诉对象丰修涉诉金额8000元问题类型诉求类型投诉详情2019年10月16日上午在丰修公众号下单换电池，费用显示为219元，手机在这之间从未拆机过，下午维修人员到了指定地点，，拆机后换入新电池，测试貌似可以用，然后维修人员装机，装机完成后，发现屏幕失灵，怀疑为电池频率问题，再次拆机换回旧电池，然后将手机归还给我，不多时候手机就出现屏幕失灵、自动点击等情况，维修人员将我的订单取消，致电维修人员，维修人员说可能我手机本来就有问题。</t>
  </si>
  <si>
    <t>有鱼粮暴力催收群发通讯录</t>
  </si>
  <si>
    <t>http://ts.21cn.com/tousu/show/id/1366762</t>
  </si>
  <si>
    <t>2019/10/16 17:12:01</t>
  </si>
  <si>
    <t>之前找有鱼粮app借过2100元，要求一个月还4期，利息已经严重超过国家利息，并且在未与本人联系的情况下群发通讯录。</t>
  </si>
  <si>
    <t>卧龙钱包黑网贷</t>
  </si>
  <si>
    <t>http://ts.21cn.com/tousu/show/id/1366760</t>
  </si>
  <si>
    <t>2019/10/16 17:11:24</t>
  </si>
  <si>
    <t>因为急用钱，今天在卧龙钱包app申请借款，当时合同写的到账1800元，可是到账了才仅有1170，将近630的高额砍头息，收到账款之后知道是这样的高利贷就想退还，一直联系不上客服，肥猫贷客服号码都是打不通的，请今日卧龙钱包的工作人员联系我，到时我会还上1170以及付出国家合法利率内的利息，如果不同意协商，我会到中国互联网金融协会投诉，并且到当地派出所报警立案。</t>
  </si>
  <si>
    <t>小象优品恶意催熟收</t>
  </si>
  <si>
    <t>http://ts.21cn.com/tousu/show/id/1366761</t>
  </si>
  <si>
    <t>2019/10/16 17:11:17</t>
  </si>
  <si>
    <t>说了明天还清，他说不要，还要恶意打通讯录，一直骚扰。</t>
  </si>
  <si>
    <t>钱伴平台客服威胁态度差</t>
  </si>
  <si>
    <t>http://ts.21cn.com/tousu/show/id/1366759</t>
  </si>
  <si>
    <t>2019/10/16 17:11:15</t>
  </si>
  <si>
    <t>客服打电话威胁，态度差，钱伴平台高息扣款，不要再打电话骚扰，威胁爆电话通讯录。</t>
  </si>
  <si>
    <t>平安普惠催收人员骚扰我公司领导同事</t>
  </si>
  <si>
    <t>http://ts.21cn.com/tousu/show/id/1366758</t>
  </si>
  <si>
    <t>2019/10/16 17:11:02</t>
  </si>
  <si>
    <t>这个电话号，给我本人打电话不承认是谁，给我公司打电话说是平安普惠委托委托的，声称要不断骚扰我的领导同事，搞丢我的工作。</t>
  </si>
  <si>
    <t>卡卡贷恶意催收曝光通讯录编造事实</t>
  </si>
  <si>
    <t>http://ts.21cn.com/tousu/show/id/1366732</t>
  </si>
  <si>
    <t>2019/10/16 17:10:44</t>
  </si>
  <si>
    <t>因个人经济出现问题导致卡卡贷逾期了，之前也有找客服协商，未果，今天打开电话说央行给他们反馈，掌握了我和我爱人的银行卡流水，说我涉嫌有能力偿还并恶意拖欠贷款，这并不是事实，首先，我银行卡这几个月肯定没有流水，其次，我至今未婚，哪里来的爱人！简直是满口胡言乱语，电话我都有录音，后续如果需要可以一并上传，挂了我这通电话之后，他马上给我身边的好几个朋友打了电话进行骚扰和威胁，请问你们哪里来的权利这么做，恶意盗取用户通讯录，并且在我能接到电话的情况下曝光我通讯录还恶意编造事实，请问还有没有人能治理了。</t>
  </si>
  <si>
    <t>恶意催费</t>
  </si>
  <si>
    <t>http://ts.21cn.com/tousu/show/id/1366757</t>
  </si>
  <si>
    <t>2019/10/16 17:10:18</t>
  </si>
  <si>
    <t>投诉人 陈女士        投诉对象  拍拍贷        涉诉金额  1 300 元    问题类型    诉求类型投诉详情  给家里有心脏病的老人打电话让老人受到惊吓。</t>
  </si>
  <si>
    <t>http://ts.21cn.com/tousu/show/id/1366756</t>
  </si>
  <si>
    <t>2019/10/16 17:10:13</t>
  </si>
  <si>
    <t>催收人员说要打紧急联系人以外电话，以及单位电话。</t>
  </si>
  <si>
    <t>我的企业在抖音认证没有通过已交了600元的认证费我申请抖音退款但是抖音拒绝退款</t>
  </si>
  <si>
    <t>http://ts.21cn.com/tousu/show/id/1366755</t>
  </si>
  <si>
    <t>2019/10/16 17:09:53</t>
  </si>
  <si>
    <t>我的企业是一个农业公司，为了宣传支持农业事业推广，当我在抖音发布一些农业产品的时候，抖音上提示需要企业认证，所以我对我的企业就进行了企业认证，抖音上显示要出600元钱，我已付了款，结果抖音提示企业认证没有通过，我并联系了抖音到现在为止还没有消息，请求聚投诉为我们公司做主！我代表我们农业公司表示深深的感谢！。</t>
  </si>
  <si>
    <t>好易借催款骂脏话高利</t>
  </si>
  <si>
    <t>http://ts.21cn.com/tousu/show/id/1366754</t>
  </si>
  <si>
    <t>2019/10/16 17:09:49</t>
  </si>
  <si>
    <t>催收打电话爆通讯录骂人说脏话，乱打电话给朋友，骂亲朋好友，。</t>
  </si>
  <si>
    <t>饿了么严重食品安全问题</t>
  </si>
  <si>
    <t>http://ts.21cn.com/tousu/show/id/1366753</t>
  </si>
  <si>
    <t>2019/10/16 17:09:47</t>
  </si>
  <si>
    <t>投诉人贺先生投诉对象饿了么涉诉金额1000元问题类型诉求类型投诉详情曝光米食先生严重食品质量安全问题外卖订购的外婆菜肉泥严重重金属超标饭里面竟出现巨大金属物体形状似石块刀状锋利。</t>
  </si>
  <si>
    <t>http://ts.21cn.com/tousu/show/id/1366734</t>
  </si>
  <si>
    <t>2019/10/16 17:08:51</t>
  </si>
  <si>
    <t>投诉人胡一夫投诉对象钱橙无忧涉诉金额376元问题类型诉求类型投诉详情钱橙无忧app上提交了贷款申请但是要办理会员，于是没有点确定，但是在我不知情的情况下通过，分两次恶意扣了总共376元，打电话给客服也打不进去。</t>
  </si>
  <si>
    <t>360借条的催收威胁我，辱骂我</t>
  </si>
  <si>
    <t>http://ts.21cn.com/tousu/show/id/1366750</t>
  </si>
  <si>
    <t>2019/10/16 17:08:29</t>
  </si>
  <si>
    <t>360借条雇佣其他催收的，辱骂，威胁我，让人很反感，希望有人处理一下。</t>
  </si>
  <si>
    <t>哈士骑押金难退</t>
  </si>
  <si>
    <t>http://ts.21cn.com/tousu/show/id/1366749</t>
  </si>
  <si>
    <t>2019/10/16 17:08:27</t>
  </si>
  <si>
    <t>电池退了之后，押金一直不退，联系相关人员，一直拖，已经半个月了。</t>
  </si>
  <si>
    <t>天猫店铺换货不发货</t>
  </si>
  <si>
    <t>http://ts.21cn.com/tousu/show/id/1366748</t>
  </si>
  <si>
    <t>2019/10/16 17:08:13</t>
  </si>
  <si>
    <t>投诉人 张女士        投诉对象  ROMOSS罗马仕        涉诉金额  69 元    问题类型    诉求类型投诉详情  卖家收到退货不发新货 一直让等带 并且不理人</t>
  </si>
  <si>
    <t>误导我在网站app通过微信扫码支持了苏宁众筹</t>
  </si>
  <si>
    <t>http://ts.21cn.com/tousu/show/id/1366746</t>
  </si>
  <si>
    <t>2019/10/16 17:07:50</t>
  </si>
  <si>
    <t>在网站和app误导充进金额大，钱都是充进苏宁众筹平台，本来想充200的结果五次充进，金额达到2千元，刚充错就向苏宁易购反馈就是没有人处理，每次问的结果都是有专员在处理，我现在在想众筹是不是非法集资，吸金，加上页面没有申请退款，支付金额2000挺后悔的，钱都是辛苦挣来，不容易的，希望能原地返回。</t>
  </si>
  <si>
    <t>就逾期了10天3674元就变成了8000多？浦发银行的这么黑？</t>
  </si>
  <si>
    <t>http://ts.21cn.com/tousu/show/id/1366747</t>
  </si>
  <si>
    <t>2019/10/16 17:07:43</t>
  </si>
  <si>
    <t>免除多出来的4362元请问你们浦发银行的这么黑吗。</t>
  </si>
  <si>
    <t>被扣款</t>
  </si>
  <si>
    <t>http://ts.21cn.com/tousu/show/id/1366744</t>
  </si>
  <si>
    <t>2019/10/16 17:07:30</t>
  </si>
  <si>
    <t>投诉人 万先生        投诉对象  易宝支付        涉诉金额  1 079 元    问题类型    诉求类型投诉详情  银行卡莫名其妙被扣款 非本人交易 显示为易宝特约支付</t>
  </si>
  <si>
    <t>荔枝APP自动勾选同意充值协议，后果程序卡顿时造成直接付款且不予以回退</t>
  </si>
  <si>
    <t>http://ts.21cn.com/tousu/show/id/1366743</t>
  </si>
  <si>
    <t>2019/10/16 17:07:11</t>
  </si>
  <si>
    <t>在荔枝APP内进行充值时，本来想充值30元，使用指纹applepay，但操作时APP出现卡顿，指纹直接付款388元充值，在过程中发现，荔枝APP将下面充值协议勾选☑️直接默认为自动勾选，与其他APP用户操作习惯不同，不知这种情况是否有误导忽略充值协议的嫌疑，，但从消费者自身来讲这种情况很不合理，而且由于卡顿造成的误充也无法退回，觉得不合理。</t>
  </si>
  <si>
    <t>支付宝委外</t>
  </si>
  <si>
    <t>http://ts.21cn.com/tousu/show/id/1366742</t>
  </si>
  <si>
    <t>2019/10/16 17:07:06</t>
  </si>
  <si>
    <t>今天一个自称是支付宝催收的人给我打电话说要我今天下午必修把钱还进去，我就想知道支付宝就是这样对待常用你们软件的客户的么。</t>
  </si>
  <si>
    <t>在即分期平台上办理分期后私人信息泄露</t>
  </si>
  <si>
    <t>http://ts.21cn.com/tousu/show/id/1366736</t>
  </si>
  <si>
    <t>2019/10/16 17:05:54</t>
  </si>
  <si>
    <t>在2019年10月11日在即分期上申请了16000+的分期还款后，从11月12日起就有各种各样的贷款公司打电话骚扰，基本上每天都有贷款公司打电话，对我的生活和心灵造成了严重的影响，要求解释为什么我的信息会被外泄。</t>
  </si>
  <si>
    <t>工资不给</t>
  </si>
  <si>
    <t>http://ts.21cn.com/tousu/show/id/1366735</t>
  </si>
  <si>
    <t>2019/10/16 17:05:40</t>
  </si>
  <si>
    <t>投诉人张先生投诉对象15868162292涉诉金额500元问题类型诉求类型投诉详情需要要回工资，麻烦联系158******92这个人。</t>
  </si>
  <si>
    <t>联通沃易贷爆通讯录并微信骚扰联系人</t>
  </si>
  <si>
    <t>http://ts.21cn.com/tousu/show/id/1366733</t>
  </si>
  <si>
    <t>2019/10/16 17:05:30</t>
  </si>
  <si>
    <t>到处加手机通讯录好友对他们进行骚扰，态度恶劣，该贷款为高利贷。</t>
  </si>
  <si>
    <t>诱导消费者恶意扣费</t>
  </si>
  <si>
    <t>http://ts.21cn.com/tousu/show/id/1366720</t>
  </si>
  <si>
    <t>2019/10/16 17:04:51</t>
  </si>
  <si>
    <t>浏览器看新闻时广告下载了app处处，然后出现一堆真真假假的推荐信息和主动找我联系得陌生人，怀疑都是处处软件虚构出来引诱用户的，然后回复就得开通VIP,同时诱导用户开通了一个零元的体验vip开通了还是没有任何作用，这个操作完全诱导用户免密支付宝，然后发现仍然无法回复，跟他们说的vip不一样，结果悄悄的VIP还是扣费99元，同时就弹出了一堆窗口和语音申请，这个时候用户找关闭按钮时，这时候不管则么按都是个利用第一步诱导用户开通的免密支付，直接未经用户同意，再没有任何提示下又扣68.总共两次支付宝就被扣了168元，</t>
  </si>
  <si>
    <t>小黄车拖延押金退还；</t>
  </si>
  <si>
    <t>http://ts.21cn.com/tousu/show/id/1366731</t>
  </si>
  <si>
    <t>2019/10/16 17:04:20</t>
  </si>
  <si>
    <t>投诉人魏先生投诉对象ofo小黄车涉诉金额199元问题类型诉求类型投诉详情退押金排队几百万人，时效问题也是问题，》中有关“互联网租赁自行车押金最长退款周期不超过2个工作日”的规定。</t>
  </si>
  <si>
    <t>微信支付被永久冻结</t>
  </si>
  <si>
    <t>http://ts.21cn.com/tousu/show/id/1366729</t>
  </si>
  <si>
    <t>2019/10/16 17:04:03</t>
  </si>
  <si>
    <t>本人是在KTV上班的服务员，客人经常消费多少直接会转到我的微信上，有时候客人也会给小费，9月21号那天收了最后一个客人的钱，准备转给老板，就显示账户被冻结，应该是有客人恶意投诉的，然后提现提不了，转账也不行，结果赔了自己一个多月的工资，然后就辞职了，打了多次人工客服，都没有解决，现在自己一个人独自带着孩子，生活很困难，这五千多对我来说是很重要的，希望聚投诉能帮忙解决。</t>
  </si>
  <si>
    <t>钱站贷款高利贷套路贷</t>
  </si>
  <si>
    <t>http://ts.21cn.com/tousu/show/id/1366728</t>
  </si>
  <si>
    <t>2019/10/16 17:04:00</t>
  </si>
  <si>
    <t>钱站APP，借款申请金额跟到账金额是两个不同金额，且分期利息费用超高，远超国家要求。</t>
  </si>
  <si>
    <t>http://ts.21cn.com/tousu/show/id/1366727</t>
  </si>
  <si>
    <t>2019/10/16 17:03:51</t>
  </si>
  <si>
    <t>平台借款2000分9期，要还2551，与客服协商想一次性还款减免利息服务费客服不同意，欠钱还钱应该的，但我提前结清应该给我减免掉后期得利息。</t>
  </si>
  <si>
    <t>维信豆豆砍头利、高利贷、暴力催收</t>
  </si>
  <si>
    <t>http://ts.21cn.com/tousu/show/id/1366725</t>
  </si>
  <si>
    <t>2019/10/16 17:03:12</t>
  </si>
  <si>
    <t>7月4日发放款，实际到账4000元，通过宝付支付被秒扣了399元用于强制捆绑购买保险费用，作为砍头息变相收取高额利息远高国家法定借贷利率，当时申请的时候不知道利息是这么高的，借三个月的利息要748元，还要支付399元的保险费，到9月份本人因资金紧张，到还款日暂时还不了，9月5日，就已经给暴力催收啦，后来我在贵平台上投诉后，他们的客服打电话给我，建议我先把当前的账单还了，再和帮我处理利息的问题，可是，就再也没有人来处理利息的事情啦，到了这个月，我就没有把最后一期还上，他们才有客服和我联系，说帮我申请处理保险费</t>
  </si>
  <si>
    <t>请求火星时代实训基地北京中心及时处理百度有钱花分期取消贷款合同</t>
  </si>
  <si>
    <t>http://ts.21cn.com/tousu/show/id/1366722</t>
  </si>
  <si>
    <t>2019/10/16 17:03:05</t>
  </si>
  <si>
    <t>投诉人王女士投诉对象火星时代教育涉诉金额29800元问题类型诉求类型投诉详情本人之前在北京市海淀区杏石口路81号火星时代报了29800元的影视原画高级班，在外地联系的,老师说要提前留名额要先交500元报名费,我就交了,后期学费是一起扣除500的,但是我只上了试听和正课第一节,因为半工半读发现自己身体受不了,就提出了退学,可是当时的销售老师没有同意,说可以给你先办延期,然后收走了我的合同和学生证,当时我并不知道还有取消程序,后来我几经辗转,一直没有回学校上课,想着也没有什么,学校那边也没有催我,但是后来一直有</t>
  </si>
  <si>
    <t>淘手游不给予换实名验证</t>
  </si>
  <si>
    <t>http://ts.21cn.com/tousu/show/id/1366723</t>
  </si>
  <si>
    <t>投诉人淘手游投诉对象淘手游涉诉金额110元问题类型诉求类型投诉详情我想换实名验证，淘手游不准，但是余额也不能放在淘手游里面吧，放在哪里，那我卖账号，钱收来干嘛，还不如转转，交易猫这种软件，一开始也不知道这淘手游坑人，请求聚投诉帮我解决一下办法谢谢。</t>
  </si>
  <si>
    <t>广发信用卡协商一次性还款</t>
  </si>
  <si>
    <t>http://ts.21cn.com/tousu/show/id/1366724</t>
  </si>
  <si>
    <t>2019/10/16 17:02:57</t>
  </si>
  <si>
    <t>与第三方协商换本金一直不成功，第三方态度强硬，同时受到一定的威胁，明确说不还款会一直骚扰亲朋好友，在这种情形下，怕遭遇催收套路，若是有能力还了催收所说部分金额后，又遭遇继续催收，之前广大的催收对我有这样操作过，所以，现希望与银行直接协商一次性还款，只还本金30000元整，减免所有的滞纳金，违约金，同时出具结清证明，同时，严禁骚扰与欠款无关人员，本人电话一直保持畅通，望催收不要以联系不上为由继续骚扰无关人员，同时尽快协商处理还款事宜。</t>
  </si>
  <si>
    <t>百度金融有钱花恶意骚扰家人和无关人员</t>
  </si>
  <si>
    <t>http://ts.21cn.com/tousu/show/id/1366721</t>
  </si>
  <si>
    <t>2019/10/16 17:02:34</t>
  </si>
  <si>
    <t>百度有钱花工作人员恶意骚扰亲朋好友，家人同事。</t>
  </si>
  <si>
    <t>邮储银行还款后暴力催收</t>
  </si>
  <si>
    <t>http://ts.21cn.com/tousu/show/id/1366726</t>
  </si>
  <si>
    <t>2019/10/16 17:01:35</t>
  </si>
  <si>
    <t>投诉人陈女士投诉对象邮储银行涉诉金额13000元问题类型诉求类型投诉详情邮储信用卡逾期一个多月后联系客服还了最低，还款后三天还接到前单位同事电话称邮储银行催收，后家人联系我告知是南京的私人号码打的电话，后打通联系那人，那人自称是南京秦淮区的律师事务所，我表明已还款后讲是误会，今天又打电话给我家人说我逾期未还，讲我电话关机，我一直都没有关机过，后联系表明已和银行联系，未逾期，要求我还全款，各种威胁，上门，征信问题，多次威胁，说我现在还在逾期状态，不还全款还是征信逾期，多次解释无效后电话录音，要求他交代南京哪家</t>
  </si>
  <si>
    <t>http://ts.21cn.com/tousu/show/id/1366718</t>
  </si>
  <si>
    <t>2019/10/16 17:00:55</t>
  </si>
  <si>
    <t>本人于今日发现每个月被银河互联网电视扣款30元，莫名其妙，本人近期未使用，烦请退款作出解释，不要乱扣费。</t>
  </si>
  <si>
    <t>贷上钱暴力催收，骚扰通讯录</t>
  </si>
  <si>
    <t>http://ts.21cn.com/tousu/show/id/1366717</t>
  </si>
  <si>
    <t>2019/10/16 17:00:36</t>
  </si>
  <si>
    <t>我在货上钱借2500元到期1个月要还2252元其中有665元是强制购买服务！先已经逾期我已经表明会积极还钱，昨天我已经还了1000元，今天一直打电话骚扰.其中有个电话我在工作忙挂断，之后就直接骚扰我的家人.还威胁打电话到公司。</t>
  </si>
  <si>
    <t>钱站贷款坎头息阴阳合同</t>
  </si>
  <si>
    <t>http://ts.21cn.com/tousu/show/id/1366716</t>
  </si>
  <si>
    <t>2019/10/16 17:00:21</t>
  </si>
  <si>
    <t>投诉人李女士投诉对象钱站涉诉金额3960元问题类型诉求类型投诉详情钱站贷款3千，合同里写的3960，分了三期，已经还了两期。</t>
  </si>
  <si>
    <t>好易借骚扰威胁我通讯录</t>
  </si>
  <si>
    <t>http://ts.21cn.com/tousu/show/id/1366715</t>
  </si>
  <si>
    <t>2019/10/16 16:59:56</t>
  </si>
  <si>
    <t>我并没有在好易借平台借款，没有绑定银行卡，好易借平台给我通讯录朋友发消息诽谤我借款，并骚扰我通讯录。</t>
  </si>
  <si>
    <t>微贷多米贷高利贷</t>
  </si>
  <si>
    <t>http://ts.21cn.com/tousu/show/id/1366714</t>
  </si>
  <si>
    <t>2019/10/16 16:59:49</t>
  </si>
  <si>
    <t>投诉人张女士投诉对象微贷,微贷网涉诉金额5000元问题类型诉求类型投诉详情微贷网的多米贷，我借了5000，每个月还920多。</t>
  </si>
  <si>
    <t>http://ts.21cn.com/tousu/show/id/1366713</t>
  </si>
  <si>
    <t>2019/10/16 16:59:31</t>
  </si>
  <si>
    <t>投诉人卢先生投诉对象带上钱涉诉金额5000元问题类型诉求类型投诉详情第一单2500额度实际到账显示购买东西扣除500实际到账2000还2500第二单3000实际到账显示购买东西扣除500实际到账2500还3000。</t>
  </si>
  <si>
    <t>我在微博借款逾期两天，天天骚扰电话不断态度不好骂人</t>
  </si>
  <si>
    <t>http://ts.21cn.com/tousu/show/id/1366712</t>
  </si>
  <si>
    <t>2019/10/16 16:59:09</t>
  </si>
  <si>
    <t>我微博借款一万分六期还款，14号第三期，卡里余额不足扣款失败，我也没说不还，我说我这几天正好有事，等我处理完手头的事情存卡里就还，电话开始骚扰家人朋友，这又不是逾期时间长了一年两年了我不还，导致我现在精神状态不好，如果因为几千逼死我有意义吗。</t>
  </si>
  <si>
    <t>平安普惠恶意骚扰散播</t>
  </si>
  <si>
    <t>http://ts.21cn.com/tousu/show/id/1366708</t>
  </si>
  <si>
    <t>2019/10/16 16:58:19</t>
  </si>
  <si>
    <t>本人账单已还清好几天，今天该公司恶意骚扰我朋友说我没还钱！有毛病吗。</t>
  </si>
  <si>
    <t>为网赌提供服务</t>
  </si>
  <si>
    <t>http://ts.21cn.com/tousu/show/id/1366707</t>
  </si>
  <si>
    <t>2019/10/16 16:58:04</t>
  </si>
  <si>
    <t>身为支付大平台，为其它违法赌博网站提供服务。</t>
  </si>
  <si>
    <t>平安普惠催收人员暴力催收，咄咄逼人，不择手段，不留余地，冒充国家警察，</t>
  </si>
  <si>
    <t>http://ts.21cn.com/tousu/show/id/1366706</t>
  </si>
  <si>
    <t>2019/10/16 16:57:38</t>
  </si>
  <si>
    <t>投诉人 詹先生        投诉对象  平安普惠        涉诉金额  7 000 元    问题类型    诉求类型投诉详情  这个号码冒充国家警察。暴力催收严重损害国家警察形象。</t>
  </si>
  <si>
    <t>钱包易贷砍头息</t>
  </si>
  <si>
    <t>http://ts.21cn.com/tousu/show/id/1366705</t>
  </si>
  <si>
    <t>2019/10/16 16:57:35</t>
  </si>
  <si>
    <t>2019年1月25号在51金包贷借了26700收了砍头息3500多，还有几百服务费加利息，还了8期还不起了，要求退砍头息或减免一部分钱。</t>
  </si>
  <si>
    <t>网贷捆绑销售</t>
  </si>
  <si>
    <t>http://ts.21cn.com/tousu/show/id/1366703</t>
  </si>
  <si>
    <t>2019/10/16 16:57:27</t>
  </si>
  <si>
    <t>投诉人肖广投诉对象豆豆钱涉诉金额60000元问题类型诉求类型投诉详情我媳妇从豆豆钱平台借款两笔，一笔贷款五万，分十二期还，每期还5166元，12期共还61992元，另外一笔贷款是11300元，每期还款1134元，分十二期还，按照等额本息的还法利息和本金越来越少，而且他们平台在我媳妇不知道的情况下给我媳妇买了两笔意外伤害保险，保险公司是永安保险，国家明文规定不准捆绑销售，豆豆钱既然作为上征信的平台还这么肆意妄为！难道平台真的就无视法律的存在嘛！。</t>
  </si>
  <si>
    <t>http://ts.21cn.com/tousu/show/id/1366704</t>
  </si>
  <si>
    <t>2019/10/16 16:57:20</t>
  </si>
  <si>
    <t>投诉人王先生投诉对象广发银行信用卡涉诉金额50000元问题类型诉求类型投诉详情尊敬的广发银行信用卡，本人欠信用卡及分期大概50000左右，我没有逃避，电话也正常使用也经常接到你们电话，也积极的和你们协商，欠钱还钱天经地义，欠的钱我一定会还的，用你们行的信用卡之前也没有逾期过，生意亏损加上我父亲身体不好，不保密个人隐私街坊邻居村委会都询问怎么回事给我父母的精神、声誉、生活带来了很大的影响，最近我父亲精神因承受不住导致心脏病复发，情况很不好，试问谁负起这个责任，停止再次骚扰老人，如果老人有什么意外我真的承担不起</t>
  </si>
  <si>
    <t>卡卡贷砍头息</t>
  </si>
  <si>
    <t>http://ts.21cn.com/tousu/show/id/1366702</t>
  </si>
  <si>
    <t>2019/10/16 16:57:14</t>
  </si>
  <si>
    <t>此平台涉嫌高利率和砍头息，我6月27号在此平台贷款了2500分三个月还每个月还905.83，己经是属于高利贷了能接受，但在我不知情的情况下，我咨询了卡卡贷客服回复我的保险费，到帐2500-299砍头息=2201，这样严重侵犯我的权益了，也不符合国家标准的百分之24。</t>
  </si>
  <si>
    <t>http://ts.21cn.com/tousu/show/id/1366701</t>
  </si>
  <si>
    <t>2019/10/16 16:57:13</t>
  </si>
  <si>
    <t>由于最近经济情况，我无法及时偿还欠款，但我也并非一个电话不接拒绝还款，希望给到时间，我没有跑路，跑路了就联系不到我了，希望不要一直打电话给我，电话里催收的还很凶，威胁我后果自负，对于我的逾期已经对我作出罚息和上征信的处理了，希望不要对于我的家人和我的工作有其他的影响，否则这是在逼我们欠款人失去工作，失去偿还能力，最后可能做出一些危害生命的行为，感谢您能对我的事情处理一下！。</t>
  </si>
  <si>
    <t>牛牛贷高利贷套路贷</t>
  </si>
  <si>
    <t>http://ts.21cn.com/tousu/show/id/1366700</t>
  </si>
  <si>
    <t>2019/10/16 16:56:42</t>
  </si>
  <si>
    <t>投诉人 俞先生        投诉对象  牛牛贷        涉诉金额  2 000 元    问题类型    诉求类型投诉详情  牛牛贷发短信威胁 2000到手1280事先不知道 今天才是账单早上就开始骚扰 还把信息发给我朋友 对本人造成莫大的精神伤害 要求对方做出赔偿</t>
  </si>
  <si>
    <t>捷信金融恶意打电话过来</t>
  </si>
  <si>
    <t>http://ts.21cn.com/tousu/show/id/1366699</t>
  </si>
  <si>
    <t>2019/10/16 16:55:52</t>
  </si>
  <si>
    <t>显示捷信金融公司的电话三天两头打电话过来，影响到我个人生活。</t>
  </si>
  <si>
    <t>爱钱进爱盈宝自动续期问题</t>
  </si>
  <si>
    <t>http://ts.21cn.com/tousu/show/id/1366698</t>
  </si>
  <si>
    <t>2019/10/16 16:55:23</t>
  </si>
  <si>
    <t>投诉人沈先生投诉对象爱钱进涉诉金额2000元问题类型诉求类型投诉详情购买的产品是1个月期限到期自动给我逾期了，我打电话问客服，客服说自己操作的，然后我问他怎么取消客服说自己APP操作，我在APP取消了一次，然后不小心点了一下，最后有取消了，现在第二期到期又给我自动续了一期，打电话问客服客服说只能取消一次，以后再取消算在续期一起，怎么还有这样的，为什么一开始客服不说清楚，为什么硬性自动需求，要求现在客服给我听之前客服录音也不给，也不给出解决方法，就是不行，而且点开APP也是默认的自动续期，我现在只要求退回本金</t>
  </si>
  <si>
    <t>微信投诉团队不受理</t>
  </si>
  <si>
    <t>http://ts.21cn.com/tousu/show/id/1366685</t>
  </si>
  <si>
    <t>2019/10/16 16:55:10</t>
  </si>
  <si>
    <t>有人在微信上跟我说，可以清楚网贷大数据变白户，我就相信了，给了他一千元和手机号码，还有身份证号码，这个微信号拿到钱后隔天说已经完成，然后，我去查的时候，贷款还是不通过，他就说我的信息还没有更新，让我再等，隔天再发微信，就不回了，直接拉黑，后来投诉举报账户，证据确凿，微信三番五次举报，官方都说账号没有违约，我不知道怎么回事，难道是微信维护吗。</t>
  </si>
  <si>
    <t>骚扰，恶意拨打营销电话</t>
  </si>
  <si>
    <t>http://ts.21cn.com/tousu/show/id/1366695</t>
  </si>
  <si>
    <t>2019/10/16 16:54:06</t>
  </si>
  <si>
    <t>恶意出卖个人信息，拨打营销电话，发送垃圾短信，手段之恶劣似黑社会。</t>
  </si>
  <si>
    <t>http://ts.21cn.com/tousu/show/id/1366694</t>
  </si>
  <si>
    <t>2019/10/16 16:53:44</t>
  </si>
  <si>
    <t>投诉人张女士投诉对象造艺科技涉诉金额299元问题类型诉求类型投诉详情豹子贷恶意扣款299元，请求退款，请求退款。</t>
  </si>
  <si>
    <t>无缘无故扣款299</t>
  </si>
  <si>
    <t>http://ts.21cn.com/tousu/show/id/1366693</t>
  </si>
  <si>
    <t>2019/10/16 16:53:30</t>
  </si>
  <si>
    <t>投诉人屈先生投诉对象淘豆分期涉诉金额299元问题类型诉求类型投诉详情淘豆分期怎么无缘无故把我的钱扣走平台进不去，客户联系不上要求退款。</t>
  </si>
  <si>
    <t>为赌博提供支付通道，要求退还款项</t>
  </si>
  <si>
    <t>http://ts.21cn.com/tousu/show/id/1366692</t>
  </si>
  <si>
    <t>2019/10/16 16:52:31</t>
  </si>
  <si>
    <t>易智付,易智付科技有限公司,厦门凯特希贸易有限公司，由于本人相信易智付为正规合法成立的第三方支付机构，以为进行的交易都是合法的，于是陆陆续续从2018年8月到2019年3月期间陆续向该机构充值，如今才发现，该平台和公司是专门为赌博提供支付通道的不合法行为，本人因此损失重大。</t>
  </si>
  <si>
    <t>拼多多不给我注销账号</t>
  </si>
  <si>
    <t>http://ts.21cn.com/tousu/show/id/1366691</t>
  </si>
  <si>
    <t>2019/10/16 16:52:18</t>
  </si>
  <si>
    <t>用了段时间，参与了拼多多“天天领现金”活动，活动达标了，发我2张满500-50的优惠券，发我2张满500-50的优惠券一年内有交易记录，不允许注销，虚假宣传，流氓软件，现申请注销账户，不想继续被伤害，客服回复“一年内有交易记录，不允许注销”；平台自身也找不到注销入口。</t>
  </si>
  <si>
    <t>罗汉分期恶意扣款</t>
  </si>
  <si>
    <t>http://ts.21cn.com/tousu/show/id/1366665</t>
  </si>
  <si>
    <t>2019/10/16 16:52:07</t>
  </si>
  <si>
    <t>在不知情的情况下恶意扣款，要求返还扣款，打客服电话一直推三推四，不解决问题。</t>
  </si>
  <si>
    <t>消费欺诈</t>
  </si>
  <si>
    <t>http://ts.21cn.com/tousu/show/id/1366656</t>
  </si>
  <si>
    <t>2019/10/16 16:51:53</t>
  </si>
  <si>
    <t>本人于2017年分期购了一款手机，总价值2980元分12期，然而有用分期系统变成了18期，利息和本金总额变成了5200多，本金早就还了，现在多出来的利息不还，还经常骚扰我的亲人，恐吓，对我的生活很困扰，导致我的声誉和生活受到了很大的影响，和他们公司沟通过这个事情，他们说不知道18期，你去找之前帮你办理的人。</t>
  </si>
  <si>
    <t>阿里妈妈篡改数据克扣佣金</t>
  </si>
  <si>
    <t>http://ts.21cn.com/tousu/show/id/1366690</t>
  </si>
  <si>
    <t>2019/10/16 16:51:30</t>
  </si>
  <si>
    <t>以下图片1是收到阿里妈妈通知后显示是8月份我有违规，致电询问之后客服表示系统升级造成试问系统升级会造成数据被篡改吗。</t>
  </si>
  <si>
    <t>套路贷拍拍贷暴力催收威胁恐吓</t>
  </si>
  <si>
    <t>http://ts.21cn.com/tousu/show/id/1366689</t>
  </si>
  <si>
    <t>2019/10/16 16:51:12</t>
  </si>
  <si>
    <t>其对象名为李应凯！自称代表拍拍贷！声称我若不还，要让我在网上出名，软暴力恐吓！。</t>
  </si>
  <si>
    <t>捷信高利贷暴力催收</t>
  </si>
  <si>
    <t>http://ts.21cn.com/tousu/show/id/1366688</t>
  </si>
  <si>
    <t>2019/10/16 16:51:03</t>
  </si>
  <si>
    <t>投诉人黄先生投诉对象捷信金融涉诉金额12000元问题类型诉求类型投诉详情在捷信有一万二的贷款，但是已经还了一万五千多了，现在还要还一万一千多，这是个高利贷呀，还有上面催收来了5个人，一个穿捷信工作服的带着4个黑社会的上门，报警人跑了，门口监控录像已经调取存档，今天一天捷信打了11个电话过来，影响了正常工作，不同的工作人员同样的问题，我重复了一遍又一遍，国家法律规定不能超过3个，捷信这是比法律大呀。</t>
  </si>
  <si>
    <t>辱骂威胁客户，泄露客户信息</t>
  </si>
  <si>
    <t>http://ts.21cn.com/tousu/show/id/1366687</t>
  </si>
  <si>
    <t>2019/10/16 16:50:20</t>
  </si>
  <si>
    <t>情况说明：我于10月15号晚签约蛋壳一处合租房，16号早上9点多原先分配的销售人员电话我质问我为什么没有在他那里租，并且态度不是很好，我不想理他当场挂断，过了1分钟，该业务人员用他自己的手机号打过来对我进行辱骂，并说出一些可能威胁的话，然后我电话蛋壳客服进行投诉处理，最后处理结果已电话核实销售人员没有对我辱骂，只是信息核对为由进行推脱处理，一直强调我没有提供证据，作为受害者的我，现在也是有理说不清，但是作为商家再没有认真核清客户的具体情况，仅仅只是一些简单的问询就得出最终结果，是否过于武断，难道必须等到真的</t>
  </si>
  <si>
    <t>轻周转恶意逾期收取高额逾期费</t>
  </si>
  <si>
    <t>http://ts.21cn.com/tousu/show/id/1366676</t>
  </si>
  <si>
    <t>2019/10/16 16:50:06</t>
  </si>
  <si>
    <t>因为平台原因造成逾期&amp;nbsp;现在来催收&amp;nbsp;逾期费接近本金的一倍&amp;nbsp;要求本金销账&amp;nbsp;停止骚扰&amp;nbsp;否则将采取法律手段维护自身利益。</t>
  </si>
  <si>
    <t>即付宝业务收激活费承诺第二天返却不返</t>
  </si>
  <si>
    <t>http://ts.21cn.com/tousu/show/id/1366647</t>
  </si>
  <si>
    <t>2019/10/16 16:49:27</t>
  </si>
  <si>
    <t>业务员推销时说，要刷99元钱激活，第二天到我的银行卡！然而并没有到账！我打客服电话，说系统提示这个99是手续费，不作退还的！。</t>
  </si>
  <si>
    <t>爱又米提前结清没有减免</t>
  </si>
  <si>
    <t>http://ts.21cn.com/tousu/show/id/1366683</t>
  </si>
  <si>
    <t>2019/10/16 16:49:05</t>
  </si>
  <si>
    <t>投诉人唐先生投诉对象爱又米涉诉金额1800元问题类型诉求类型投诉详情本人在爱又米借款4500元，已还4259元，剩余1834元未还，希望爱又米平台能与我协商，一次结清，给予部分金额减免。</t>
  </si>
  <si>
    <t>捷信消费金融有限公司电话骚扰</t>
  </si>
  <si>
    <t>http://ts.21cn.com/tousu/show/id/1366682</t>
  </si>
  <si>
    <t>2019/10/16 16:49:00</t>
  </si>
  <si>
    <t>投诉人黄阳投诉对象捷信消费金融有限公司涉诉金额0元问题类型诉求类型投诉详情两年前在捷信办理了一个分期业务，按时还款后经常收到该公司的骚扰业务电话，我早已明确表示过不再需要该公司的任何业务，该公司到目前为止仍然高频率的来电要求我办理业务，给我生活和工作带来了很大的困扰，强烈谴责该公司流氓行为！！要求该公司停止电话骚扰！！。</t>
  </si>
  <si>
    <t>捷信分期275逾期十五天，逾期费100,</t>
  </si>
  <si>
    <t>http://ts.21cn.com/tousu/show/id/1366681</t>
  </si>
  <si>
    <t>2019/10/16 16:48:53</t>
  </si>
  <si>
    <t>我在捷信公司分期了9999.每个月还款575,已经还了18期，还剩6期，因资金不足自定义还款了300剩275,逾期了十五天逾期费需要交100多，我就想知道275逾期十五天收逾期费100，合理么，我玩投诉捷信公司高利贷，要求延缓还款日期，降低逾期费用，个和降低利息，9999，还24期，每期575,是不是符合国家规定利率利息，每天的催收电话不断导致我无法正常生活，。</t>
  </si>
  <si>
    <t>360借条暴力催收，威胁本人，骚扰父母，爆通讯录</t>
  </si>
  <si>
    <t>http://ts.21cn.com/tousu/show/id/1366684</t>
  </si>
  <si>
    <t>2019/10/16 16:48:48</t>
  </si>
  <si>
    <t>我应暂时无还款能力360借条已逾期，他们对我进行暴力催收，威胁本人，诱骗本人去借贷还贷，企图诱骗本人说出不还款的承诺录音，骚扰我父母，爆通讯录，我每次电话沟通表示一定还款时催收根本不听，不停地诱骗本人借贷还款，360已严重影响我的生活工作，我要求360立即停止任何骚扰和威胁，不得再骚扰我父母和通讯录，我有录音但这边不知道怎么上传。</t>
  </si>
  <si>
    <t>招商银行信用卡暴击催收</t>
  </si>
  <si>
    <t>http://ts.21cn.com/tousu/show/id/1366679</t>
  </si>
  <si>
    <t>2019/10/16 16:48:32</t>
  </si>
  <si>
    <t>投诉人 吴女士        投诉对象  招商银行信用卡        涉诉金额  11 650 元    问题类型    诉求类型投诉详情  暴力催收，骚扰家人，打电话态度恶劣。要求协商</t>
  </si>
  <si>
    <t>收取高额利息费</t>
  </si>
  <si>
    <t>http://ts.21cn.com/tousu/show/id/1366678</t>
  </si>
  <si>
    <t>2019/10/16 16:48:30</t>
  </si>
  <si>
    <t>我每个月月都有还本金加利息，总算下来交通银行信用卡中心客服跟我说的是一万一天收我五块钱怎么算都高出来太多，要求交通银行退回我本人的利息。</t>
  </si>
  <si>
    <t>恶意拖欠工资</t>
  </si>
  <si>
    <t>http://ts.21cn.com/tousu/show/id/1366680</t>
  </si>
  <si>
    <t>2019/10/16 16:48:14</t>
  </si>
  <si>
    <t>投诉人珈先生投诉对象上海国嵩人才劳务公司,上海市南桥镇西渡肖塘国嵩劳务涉诉金额30000元问题类型诉求类型投诉详情我们是上海奉贤区南桥镇西渡肖塘国嵩人才派遣到上海丽丰路珈蓝化妆品的派遣工，说的每月十五号准时发工资，可是一直给我们推脱，问他们不给我们合理解释！也不说啥时候发工资！。</t>
  </si>
  <si>
    <t>超级高利贷嗨包</t>
  </si>
  <si>
    <t>http://ts.21cn.com/tousu/show/id/1366674</t>
  </si>
  <si>
    <t>2019/10/16 16:48:11</t>
  </si>
  <si>
    <t>投诉人雷先生投诉对象嗨包涉诉金额2100元问题类型诉求类型投诉详情嗨包app高利贷砍头息，实际到账2100砍头息达到1400！需还款3517.26，借款实际时间4天支付高达1400元的费用！并且逾期一天就高达2100多的逾期费用，这是绝对的已经触犯国家规定法律，望聚投诉平台可以尽快处理。</t>
  </si>
  <si>
    <t>发票问题</t>
  </si>
  <si>
    <t>http://ts.21cn.com/tousu/show/id/1366673</t>
  </si>
  <si>
    <t>能不能把授权书给我看一下，我怀疑这好像是假货，我去百度上看了看。</t>
  </si>
  <si>
    <t>维信豆豆钱高利贷催收涉嫌伪造虚假短信恐吓</t>
  </si>
  <si>
    <t>http://ts.21cn.com/tousu/show/id/1366672</t>
  </si>
  <si>
    <t>2019/10/16 16:48:08</t>
  </si>
  <si>
    <t>投诉人 邢磊        投诉对象  豆豆钱        涉诉金额  10 000 元    问题类型    诉求类型投诉详情  恶意向通话记录朋友圈推送虚假恐吓短信。恶意把通话记录联系人曝光。恶意恐吓催收</t>
  </si>
  <si>
    <t>大黄花app暴利催收威胁</t>
  </si>
  <si>
    <t>http://ts.21cn.com/tousu/show/id/1366670</t>
  </si>
  <si>
    <t>2019/10/16 16:46:58</t>
  </si>
  <si>
    <t>投诉人 刘洪超        投诉对象  大黄花        涉诉金额  2 000 元    问题类型    诉求类型投诉详情  骚扰通讯录。到处散播我欠钱不还。侮辱恐吓</t>
  </si>
  <si>
    <t>省呗恶意骚扰</t>
  </si>
  <si>
    <t>http://ts.21cn.com/tousu/show/id/1366669</t>
  </si>
  <si>
    <t>2019/10/16 16:46:24</t>
  </si>
  <si>
    <t>不给我本人打电话.一直骚扰第三方.我的家人.严重影响正常生活…我也沟通过.说几天发工资还款.他们说走法律程序.起诉我.既然要起诉我了.为什么还要骚扰第三方.我的家人.还骂人.严重影响我的生活.而且我还跟他们说了.我逾期的的这段时间。</t>
  </si>
  <si>
    <t>银盛通</t>
  </si>
  <si>
    <t>http://ts.21cn.com/tousu/show/id/1365545</t>
  </si>
  <si>
    <t>2019/10/16 16:46:11</t>
  </si>
  <si>
    <t>投诉人姚远投诉对象银盛通银盛支付涉诉金额298元问题类型诉求类型投诉详情银盛通业务员向我推荐免费pos机，刷卡后才说有298押金，一年之内刷满60万返还，不然就2年返还，之后给银盛通银盛支付打电话客服没人接通，和业务员说话也不回，钱不知道去了哪里希望能够得到解决，返还我的298元，谢谢平台，。</t>
  </si>
  <si>
    <t>及贷利息超过36%并且暴力催收威胁恐吓</t>
  </si>
  <si>
    <t>http://ts.21cn.com/tousu/show/id/1366668</t>
  </si>
  <si>
    <t>2019/10/16 16:45:51</t>
  </si>
  <si>
    <t>本人在及贷平台申请贷款12500元，总还款需要19900多元，利息就是7000多元，本人已经还了5期将近11000元，最近一期逾期遭到及贷平台催收人员的恐吓电话和威胁短信，现本人要求平台更改利息销账，涉及威胁恐吓我本人及我的联系人我会报警处理。</t>
  </si>
  <si>
    <t>解决发件问题！</t>
  </si>
  <si>
    <t>http://ts.21cn.com/tousu/show/id/1366667</t>
  </si>
  <si>
    <t>2019/10/16 16:45:23</t>
  </si>
  <si>
    <t>本139邮箱未违规发送任何邮件，今天测试发件被检测垃圾邮箱，连123都发不了，回复处理不满意。</t>
  </si>
  <si>
    <t>被恶意催收而且暴力催收</t>
  </si>
  <si>
    <t>http://ts.21cn.com/tousu/show/id/1366666</t>
  </si>
  <si>
    <t>2019/10/16 16:45:12</t>
  </si>
  <si>
    <t>投诉人 崔女士        投诉对象  还呗        涉诉金额  22 000 元    问题类型    诉求类型投诉详情  被恶意催收 而且暴力催收 ，电话不停骚扰我和我的家人</t>
  </si>
  <si>
    <t>http://ts.21cn.com/tousu/show/id/1366663</t>
  </si>
  <si>
    <t>2019/10/16 16:44:25</t>
  </si>
  <si>
    <t>总共要还8700多，与客服协商一次性结清也要付12期的利息加12期得服务费。</t>
  </si>
  <si>
    <t>旺卡猫乱收费</t>
  </si>
  <si>
    <t>http://ts.21cn.com/tousu/show/id/1366662</t>
  </si>
  <si>
    <t>2019/10/16 16:43:56</t>
  </si>
  <si>
    <t>我收到了旺卡猫的借款短信，链接进去要收费！完了不是给借款！是给你一大堆借款平台！而且还不给退款！。</t>
  </si>
  <si>
    <t>dada英语申请退款，拖了一个月了还不处理</t>
  </si>
  <si>
    <t>http://ts.21cn.com/tousu/show/id/1366661</t>
  </si>
  <si>
    <t>2019/10/16 16:43:25</t>
  </si>
  <si>
    <t>投诉人张女士投诉对象哒哒英语涉诉金额7000元问题类型诉求类型投诉详情dada英语一直不退款！！！一直拖，拖了一个月了。</t>
  </si>
  <si>
    <t>态度恶劣，严重骚扰通讯录</t>
  </si>
  <si>
    <t>http://ts.21cn.com/tousu/show/id/1366660</t>
  </si>
  <si>
    <t>2019/10/16 16:43:08</t>
  </si>
  <si>
    <t>催收人员态度恶劣，威胁我，造成我严重心理创伤，明确告知其还款时间，可对方还在骚扰通讯录。</t>
  </si>
  <si>
    <t>钱站有砍头息</t>
  </si>
  <si>
    <t>http://ts.21cn.com/tousu/show/id/1366659</t>
  </si>
  <si>
    <t>2019/10/16 16:42:54</t>
  </si>
  <si>
    <t>当时实际借款为5000然后钱站打款6600从我银行卡立刻划走一笔砍头息1500，我按最高国家贷款利率算都已还超出要求不在还剩余部分按照正常利率还款。</t>
  </si>
  <si>
    <t>银行信用卡催收威胁恐吓辱骂</t>
  </si>
  <si>
    <t>http://ts.21cn.com/tousu/show/id/1366658</t>
  </si>
  <si>
    <t>2019/10/16 16:42:28</t>
  </si>
  <si>
    <t>投诉人 李先生        投诉对象  民生银行信用卡        涉诉金额  0 元    问题类型    诉求类型投诉详情  打电话威胁 辱骂 骚扰我刚动完手术的家人，</t>
  </si>
  <si>
    <t>多次打电话推销贷款</t>
  </si>
  <si>
    <t>http://ts.21cn.com/tousu/show/id/1366657</t>
  </si>
  <si>
    <t>2019/10/16 16:41:53</t>
  </si>
  <si>
    <t>最近每天都会接到电话又是问问题又是核实情况，本人根本就没有贷款意向，已经拒绝多次，还是每天都会接到陌生电话办理贷款。</t>
  </si>
  <si>
    <t>闪银哼哼和瞬瞬</t>
  </si>
  <si>
    <t>http://ts.21cn.com/tousu/show/id/1366601</t>
  </si>
  <si>
    <t>2019/10/16 16:39:56</t>
  </si>
  <si>
    <t>投诉人麦先生投诉对象Wecash闪银涉诉金额2300元问题类型诉求类型投诉详情闪银奇异旗下的哼哼和瞬瞬，不停的打电话给我的家人，给我家里带来极大的困扰，还给我以前的公司的人打电话，不停的暴力催收，对我本人名誉受损，如果再这样，我会立即报警。</t>
  </si>
  <si>
    <t>还呗app用我的名字发虚假催款短信给借款人通讯录的人，我根本没在还呗借款，影响到了我的声誉</t>
  </si>
  <si>
    <t>http://ts.21cn.com/tousu/show/id/1366654</t>
  </si>
  <si>
    <t>2019/10/16 16:39:53</t>
  </si>
  <si>
    <t>本人的朋友李莎在还呗app有一笔贷款逾期，还呗的催款人员催债无果就用我的名字发短信给李莎通讯录里的人，说我在还呗app贷了款不还，实际上我根本没在还呗app借款，催收人员故意发虚假短信给别人，对我声誉完成影响，同时我还经常会接到还呗app的催款电话。</t>
  </si>
  <si>
    <t>http://ts.21cn.com/tousu/show/id/1366655</t>
  </si>
  <si>
    <t>10月12号通过他们平台的微信黄河票务公众号，购买4张南京演唱会门票，之后才知道除了猫眼有票，其它票务都没有票，但是他们说他们有票，欺骗消费者，交了预定金，之后发现不对劲，申请退款，他们却霸王条款扣去我200多手续费，这个平台就是骗子，没有票还骗消费者有票，交了定金，以后退款都不是全额，给他们客服打过电话，他们客服说是全额退款，最后为啥不一致那，骗子，骗子！。</t>
  </si>
  <si>
    <t>暴力催收无关亲友导致家庭混乱，老人忧心忡忡</t>
  </si>
  <si>
    <t>http://ts.21cn.com/tousu/show/id/1366652</t>
  </si>
  <si>
    <t>2019/10/16 16:39:20</t>
  </si>
  <si>
    <t>投诉人刘旸投诉对象世联金融涉诉金额1210元问题类型诉求类型投诉详情世联金融催收人员打本人及妻子和本人母亲电话催收就罢了，还打不经常来往的亲戚电话导致家庭矛盾，老人听说了还为此发了病。</t>
  </si>
  <si>
    <t>招联金融非法暴力催收！威胁并侵犯个人权利！！！！</t>
  </si>
  <si>
    <t>http://ts.21cn.com/tousu/show/id/1366651</t>
  </si>
  <si>
    <t>2019/10/16 16:39:09</t>
  </si>
  <si>
    <t>招联金融无视国家法律规定，用第三方催收人员毫无底线地进行暴力催收，发威胁个人隐私和安全的短信！用呼死你软件！恶意中伤，暴力催收恶劣！！！！。</t>
  </si>
  <si>
    <t>http://ts.21cn.com/tousu/show/id/1366650</t>
  </si>
  <si>
    <t>2019/10/16 16:38:52</t>
  </si>
  <si>
    <t>本人于今年五月份在网上看到学习考一级消防工程师证，期间有嗨学工作人员打电话推荐咖啡易融分期付款业务，我办理了，学习几天发现不是嗨学工作人员说的那样，想退学退款，却无法联系他们。</t>
  </si>
  <si>
    <t>砍头息，暴力催收，骚扰通讯录</t>
  </si>
  <si>
    <t>http://ts.21cn.com/tousu/show/id/1366649</t>
  </si>
  <si>
    <t>2019/10/16 16:38:23</t>
  </si>
  <si>
    <t>及贷智享贷，借了3000，一个月要还3522.逾期一天102.6贷款，当时只提示了要还3100块，每天3块钱利息，现在莫名其妙的要还3600多，国家根本不保护这样的利率，我刚刚也去派出所报案了，也立案了，派出所和我说了这个是典型的套路贷，还打电话骚扰无关人员，泄露隐私，合同规定不可暴力滋扰，要求只还本金，逾期不对，因为不合理所以才逾期。</t>
  </si>
  <si>
    <t>协商处理</t>
  </si>
  <si>
    <t>http://ts.21cn.com/tousu/show/id/1366648</t>
  </si>
  <si>
    <t>2019/10/16 16:37:45</t>
  </si>
  <si>
    <t>尊敬的银行，本人欠信用卡，我没有逃避，电话也正常使用也经常接到你们电话，也积极的和你们协商，欠钱还钱天经地义，欠的钱我一定会还的，用你们行的信用卡之前也没有逾期过，生意亏损加上我父亲身体不好，，2014年父亲患有心脏病、冠心病、心脏做支架手术，后续陆陆续续心脏病复发住院，到现在每天都在吃药、2018年父亲右眼急性青光眼、白内障目前银镜视力为零前后花了不少钱，导致目前资金困难，多次主动协商无果，现在交给第三方每天几十个电话，紧急联系人不是我父母的情况下找到我父母电话天天电话骚扰父母及哥哥姐姐等家人，严重影响他</t>
  </si>
  <si>
    <t>骚扰我亲戚朋爆通讯录</t>
  </si>
  <si>
    <t>http://ts.21cn.com/tousu/show/id/1366645</t>
  </si>
  <si>
    <t>2019/10/16 16:37:05</t>
  </si>
  <si>
    <t>投诉人强女士投诉对象小赢卡贷涉诉金额220元问题类型诉求类型投诉详情本金2000全部换完了，剩下每个月220就是利息，不想还了。</t>
  </si>
  <si>
    <t>http://ts.21cn.com/tousu/show/id/1366646</t>
  </si>
  <si>
    <t>2019/10/16 16:37:04</t>
  </si>
  <si>
    <t>投诉人 李女士        投诉对象  你我金融        涉诉金额  1 000 元    问题类型    诉求类型投诉详情  在你我金融借款还剩最后一期 无力偿还要求协商处理</t>
  </si>
  <si>
    <t>http://ts.21cn.com/tousu/show/id/1366643</t>
  </si>
  <si>
    <t>2019/10/16 16:37:03</t>
  </si>
  <si>
    <t>投诉人 龙先生        投诉对象  拍拍贷        涉诉金额  900 元    问题类型    诉求类型投诉详情  通讯录电话轰炸 骚扰亲戚朋友 恐吓-威胁</t>
  </si>
  <si>
    <t>退回高额逾期费</t>
  </si>
  <si>
    <t>http://ts.21cn.com/tousu/show/id/1366644</t>
  </si>
  <si>
    <t>现金巴士无放贷资格八月份仍然进行放贷，借2千元，先交298的会员费、加速费，，诱导用户签订阴阳合同，合同中分三个月还款，每个月728元，app则显示每个月还728元，本人已连续借了10几期，之前都按时归还，但本期开始我已经无力还款，晚还了10几天，登陆app后发现每天逾期费用高达20元，严重超出我国民间借贷规定中的利息要求，后催收每隔两天就打电话要求还款，本人与催收协商数次要求减免逾期费用，催收态度强硬坚决不协商，并说出你不逾期就不用交这个费用，逾期了就必须交，这不是霸王条款，逼我筹钱还款，整个逾期费400</t>
  </si>
  <si>
    <t>唯品金融唯品花金额不符催收骚扰</t>
  </si>
  <si>
    <t>http://ts.21cn.com/tousu/show/id/1366638</t>
  </si>
  <si>
    <t>2019/10/16 16:36:15</t>
  </si>
  <si>
    <t>投诉人杨女士投诉对象唯品金融,唯品会涉诉金额1000元问题类型诉求类型投诉详情本人于唯品会消费分期，近两个月换工作资金周转困难，与客服也解释了实际情况，并且承诺还款，期间唯品会客服持续骚扰，邮寄崔缴函到家中，严重影响到我的个人生活，该平台催收人员质问我是不是在江苏，态度及其不好，口口声声说自己是合法的，并且要求我去借钱还款，本人现在有一笔大概逾期十天左右的订单金额是五百多元，但是一直收到说我欠款八百多，逾期已超过四十几天，客服说会与之前的累计，但我之前的欠款已还清，凭什么算在当期账单中，请唯品会与唯品金融作</t>
  </si>
  <si>
    <t>http://ts.21cn.com/tousu/show/id/1366637</t>
  </si>
  <si>
    <t>2019/10/16 16:36:06</t>
  </si>
  <si>
    <t>投诉人 全昆坤        投诉对象  聚富分期        涉诉金额  299 元    问题类型    诉求类型投诉详情  要求退款 我不要什么会员了 我要求退款 就是骗子 我要求退款就行</t>
  </si>
  <si>
    <t>钱站真是高利贷</t>
  </si>
  <si>
    <t>http://ts.21cn.com/tousu/show/id/1366640</t>
  </si>
  <si>
    <t>2019/10/16 16:36:05</t>
  </si>
  <si>
    <t>钱站超高利息，属于高利贷，超期一天还有个违约金，还有电话骚扰朋友，要求调整利息停止骚扰别人。</t>
  </si>
  <si>
    <t>白领贷联合人保保险强制交保险</t>
  </si>
  <si>
    <t>http://ts.21cn.com/tousu/show/id/1366636</t>
  </si>
  <si>
    <t>2019/10/16 16:35:59</t>
  </si>
  <si>
    <t>做贷款被强制交了保险，现在要求退保，没人处理。</t>
  </si>
  <si>
    <t>http://ts.21cn.com/tousu/show/id/1366635</t>
  </si>
  <si>
    <t>2019/10/16 16:35:41</t>
  </si>
  <si>
    <t>投诉人 韦先生        投诉对象  宜信普惠        涉诉金额  22 700 元    问题类型    诉求类型投诉详情  高利贷，砍头息，电话骚扰。高而利息和违约金保险费等。</t>
  </si>
  <si>
    <t>恶意催收骚扰家人</t>
  </si>
  <si>
    <t>http://ts.21cn.com/tousu/show/id/1366634</t>
  </si>
  <si>
    <t>2019/10/16 16:35:11</t>
  </si>
  <si>
    <t>恶意骚扰家人要求立即停止骚扰做出道歉，利息要按国家规定的来换。</t>
  </si>
  <si>
    <t>达内以招聘名义实则是忽悠人进去贷款培训</t>
  </si>
  <si>
    <t>http://ts.21cn.com/tousu/show/id/1366616</t>
  </si>
  <si>
    <t>2019/10/16 16:35:07</t>
  </si>
  <si>
    <t>当时在招聘网上看见广州天河达内招聘设计师进去之后被那些老师忽悠说培训之后出来当设计有最少56千以上然后就被忽悠了贷款2万5千多去培训还有5千多是手续费你们真的恶心培训完4个月之后找了几个月工作最后才找到一份三四千的到最后老板还拖欠工资跑路搞得我无力还达内的贷款，我现在已经还了一万我不求退回我只想撤掉剩下的贷款，达内忽悠人贷款培训的新闻最少都有十几条吧！！。</t>
  </si>
  <si>
    <t>http://ts.21cn.com/tousu/show/id/1366633</t>
  </si>
  <si>
    <t>2019/10/16 16:34:53</t>
  </si>
  <si>
    <t>钱站平台是接到他们客服电话，接收消息链接之后下载的平台，之前借款过，但是提前取消掉了；后续他们客服电话说有4000额度，利率已经调整过，于2019年9月17日借款4000元，但是实际下来借款3个月，还款每月2460多元，相当于借款4000，还款7380元，严重的高利贷行为，现申请投诉调整利率提前结束3个月的还款，本人愿意承担500元以内，2019.9.17到2019.10.17为期一个月的费用。</t>
  </si>
  <si>
    <t>点点不断骚扰无辜的我</t>
  </si>
  <si>
    <t>http://ts.21cn.com/tousu/show/id/1366632</t>
  </si>
  <si>
    <t>2019/10/16 16:34:26</t>
  </si>
  <si>
    <t>因为客户欠了点点的钱，催收人员不断往我手机上打电话骚扰，行为极其恶劣，害我电话都不敢接了，打扰我正常生活，现在要求他们立即停止骚扰并道歉。</t>
  </si>
  <si>
    <t>交通银行信用卡中心暴力催收</t>
  </si>
  <si>
    <t>http://ts.21cn.com/tousu/show/id/1366628</t>
  </si>
  <si>
    <t>2019/10/16 16:33:59</t>
  </si>
  <si>
    <t>交通银行信用卡中心催收人员，给我亲朋好友打电话暴力催收，逾期4天，已经和客服说了19号左右我钱到了就还款，催收人员给我单位打电话，已经严重影响我的工作，给我母亲家里打固定电话，已经把我母亲气生病了。</t>
  </si>
  <si>
    <t>投诉成都泰瑞亚科技有限公司涉嫌非法集资恶意欺诈用户</t>
  </si>
  <si>
    <t>http://ts.21cn.com/tousu/show/id/1366630</t>
  </si>
  <si>
    <t>2019/10/16 16:33:49</t>
  </si>
  <si>
    <t>QAQGAME平台与2019年5月开始骗取用户支付88元获得永久加速器，权限有1年的QG会员与每周一次的发放邀请码邀请新人功能，以及永久免费加速服务，本人就与7月17号充值88元开通服务，随后不久，QAQ以系统升级为由，把加速线路改为收费线路与免费线路，之前充值用户包括88用户均获赠不等收费加速时长，赠送收费加速时长规则见下图；然后再次与10月15日以受到开发区分局处罚为由，取消了之前承诺的赠送收费加速时长，因用户反应激烈，与当晚凌晨再次更新规则，8月15-9月23充值88的用户赠送180天加速卡，之前赠送</t>
  </si>
  <si>
    <t>及贷智享贷变相收取砍头息</t>
  </si>
  <si>
    <t>http://ts.21cn.com/tousu/show/id/1366627</t>
  </si>
  <si>
    <t>2019/10/16 16:33:38</t>
  </si>
  <si>
    <t>今年八月份在及贷客服的介绍下使用了及贷智享贷，申请了500元的借款本以为放款金额为五百结果到账银行卡后只有四百元到账后立马归还了515元进去。</t>
  </si>
  <si>
    <t>越权催收，未经允许爆通讯录</t>
  </si>
  <si>
    <t>http://ts.21cn.com/tousu/show/id/1366626</t>
  </si>
  <si>
    <t>2019/10/16 16:33:17</t>
  </si>
  <si>
    <t>在能联系到本人的情况下未经允许多次爆通讯录，我是具有完全民事能力的成年人，家人也没有为我的事情做解释的义务！而且一天内多次联系本人，严重干扰到我的生活。</t>
  </si>
  <si>
    <t>http://ts.21cn.com/tousu/show/id/1366625</t>
  </si>
  <si>
    <t>2019/10/16 16:32:40</t>
  </si>
  <si>
    <t>投诉人白晓文投诉对象聚富分期涉诉金额250元问题类型诉求类型投诉详情10月16号没经过我同意自动从我银行卡扣了我250元钱支付密码都没用直接扣除然后告诉我什么风险评估费用我想问他们有风险评估资质么。</t>
  </si>
  <si>
    <t>京东白条被盗刷却让我自己还款</t>
  </si>
  <si>
    <t>http://ts.21cn.com/tousu/show/id/1366624</t>
  </si>
  <si>
    <t>2019/10/16 16:32:33</t>
  </si>
  <si>
    <t>7月5号凌晨，我媳妇的京东白条被盗刷我们早上就去报警了，然后就联系京东金融，京东金融说要我们给提供警方录的笔录证据我们按照要求提供了之后京东白条告知我们这个钱要我自己换不在赔付范围但是按照警方的说法这个钱不是我们花的我们不能还，我自己也是认为是这样的现在京东开始进行催收骚扰我们每次都会向催收解释这个情况请平台帮助处理解决，谢谢。</t>
  </si>
  <si>
    <t>马上金融威胁恐吓</t>
  </si>
  <si>
    <t>http://ts.21cn.com/tousu/show/id/1366623</t>
  </si>
  <si>
    <t>2019/10/16 16:32:30</t>
  </si>
  <si>
    <t>收到马上金融131******65,185******50电话威胁暴力恐吓，表示他们是马上金融的人，要上门要挟家人。</t>
  </si>
  <si>
    <t>http://ts.21cn.com/tousu/show/id/1366622</t>
  </si>
  <si>
    <t>2019/10/16 16:32:13</t>
  </si>
  <si>
    <t>投诉人熊先生投诉对象拍拍贷涉诉金额11000元问题类型诉求类型投诉详情本人于2019年1月份在拍拍贷借款11000元分12期返还，本人第一期2月28日还款1215.12元，第二期还款1215.12元，第三期还款1254.25元，到5月份第四期的时候本人对拍拍的合同和利率问题提出很大质疑，本人提出要求提前还款，都被告知无法提前还款，后来强烈要求下，拍拍贷工作人员给与我对公账户让我把所谓的协商还款金额8950，本人对该还款金额当时有质疑，因为着急提前还款而没有提出！，打至拍拍贷账户，本人当天打至拍拍账户！也就是</t>
  </si>
  <si>
    <t>钱站高利贷虚假合同</t>
  </si>
  <si>
    <t>http://ts.21cn.com/tousu/show/id/1366621</t>
  </si>
  <si>
    <t>2019/10/16 16:31:45</t>
  </si>
  <si>
    <t>投诉人任先生投诉对象钱站涉诉金额3000元问题类型诉求类型投诉详情本人于9月9日在钱站借款本金3000元，分三期还款，三个月还款金额1481.41元，1480元，1480元，共计4441.41元，而合同中体现的借款本金为4200元，现已拒绝偿还第三期款项，催收人员电话轰炸手机通讯录亲戚、朋友，黑心商家！。</t>
  </si>
  <si>
    <t>关于上海维信荟智金融科技有限公司涉嫌套路贷等违规线索的实名举报</t>
  </si>
  <si>
    <t>http://ts.21cn.com/tousu/show/id/1366619</t>
  </si>
  <si>
    <t>2019/10/16 16:31:15</t>
  </si>
  <si>
    <t>维信金科,卡卡贷,上海维信荟智金融科技有限公司，本人郝XXX，身份证号XXXXXXXXXXXX，分别于2019年6月14日与9月12日向上海维信荟智金融科技有限公司，申请两笔小额贷款，具体两笔借款情况下文详细陈述，现因屡次主动还款失败，导致被迫逾期，产生了许多不必要麻烦，使本人及家人大量精力时间浪费在解决还款纠纷上，身心疲惫，同时依据本人其中一笔借款9月账单还款出现类似情况的事实，并结合身边大量亲朋在此平台借款都发生还款日被套路的问题事实的存在，本人初步怀疑微信金科公司存在还款日设置障碍迫使客户逾期收取高额</t>
  </si>
  <si>
    <t>多宝分期高利贷两个月利息高的吓人</t>
  </si>
  <si>
    <t>http://ts.21cn.com/tousu/show/id/1366618</t>
  </si>
  <si>
    <t>2019/10/16 16:30:57</t>
  </si>
  <si>
    <t>投诉人鲁女士投诉对象多宝分期,手机借钱涉诉金额6397元问题类型诉求类型投诉详情本人于2019-8-22在多宝分期平台的手机借款app中借4000元，每期还款1599.25元，由于当时着急用钱，没有注意，分四期每期15天，两个月分四期我共计要还6397元，已经属于超高利贷，还了3期，已经还够本金及超高利息总额还了4797.75，10月20还需要还1599.25，不打算姑息如此高利贷了，在APP商城也没有这个手机借款了，因为高利贷还款当天就有态度极其恶劣的催收打电话，说不还钱就通知家人朋友，爆通讯录，这是第二</t>
  </si>
  <si>
    <t>及贷催收</t>
  </si>
  <si>
    <t>http://ts.21cn.com/tousu/show/id/1366617</t>
  </si>
  <si>
    <t>2019/10/16 16:30:09</t>
  </si>
  <si>
    <t>及贷借款2万元，分24期还款，每期还款1384，已经还款6期，由于近期没有收入来源资金紧张，逾期11天，每天催收人员短信沟通还款事情，我申请减免金额，但是催收人员只申请减免21元，我还是无力还款，就威胁我要开始暴力催收我，上个月逾期就是爆通讯录，泄露我个人隐私，群发借款短信，造成我精神压力太大，父母也住院，不敢出门见朋友，我也没说不还款，只是申请减免金额，不同意就威胁态度恶劣，要求处理我的借款减免。</t>
  </si>
  <si>
    <t>http://ts.21cn.com/tousu/show/id/1366614</t>
  </si>
  <si>
    <t>2019/10/16 16:30:05</t>
  </si>
  <si>
    <t>之前已经跟客服联系过了，已经说明本人最近资金困难，需要晚几天处理欠款，可该平台一直在打电话骚扰本人和家人，已经对我和家人造成影响，并且发信息威胁恐吓。</t>
  </si>
  <si>
    <t>一起联名举报联系我</t>
  </si>
  <si>
    <t>http://ts.21cn.com/tousu/show/id/1366612</t>
  </si>
  <si>
    <t>2019/10/16 16:29:55</t>
  </si>
  <si>
    <t>投诉人谷先生投诉对象畅捷支付涉诉金额30000元问题类型诉求类型投诉详情畅捷支付顶风作案，315过后畅捷支付一直还在违规为套路贷714高炮提供支付渠道，畅捷支付初了忽悠就是在忽悠拖延，到最后就是不处理。</t>
  </si>
  <si>
    <t>http://ts.21cn.com/tousu/show/id/1366611</t>
  </si>
  <si>
    <t>2019/10/16 16:29:43</t>
  </si>
  <si>
    <t>8月份工资至今未发，原本每月20号为发工资日，但是公司至今未发放，问之前领导也说不知道，不能给一个准确的时间，还在一直拖，没有理由的拖，也不说明是什么情况，能拖就拖，公司还有大部分人也是这个情况，也是一直未发工资，但是公司却对我们不理不睬。</t>
  </si>
  <si>
    <t>钱站套路贷骚扰通讯录</t>
  </si>
  <si>
    <t>http://ts.21cn.com/tousu/show/id/1366613</t>
  </si>
  <si>
    <t>2019/10/16 16:29:41</t>
  </si>
  <si>
    <t>投诉人 董嘉玮        投诉对象  钱站        涉诉金额  2 197 元    问题类型    诉求类型投诉详情  钱站app显示额度1400 实际到账1200 合同显示借款本金2197 恶意催收 骚扰联系人</t>
  </si>
  <si>
    <t>乱扣费我250元</t>
  </si>
  <si>
    <t>http://ts.21cn.com/tousu/show/id/1366610</t>
  </si>
  <si>
    <t>2019/10/16 16:29:38</t>
  </si>
  <si>
    <t>投诉人吴先生投诉对象聚福钱包,海南普德龙网络科技有限公司涉诉金额250元问题类型诉求类型投诉详情聚福钱包和海南普德龙网络科技有限公司，在我不知情的情况下私自从我卡上扣我250元，要求退款道歉。</t>
  </si>
  <si>
    <t>超级砍头息</t>
  </si>
  <si>
    <t>http://ts.21cn.com/tousu/show/id/1366609</t>
  </si>
  <si>
    <t>2019/10/16 16:29:09</t>
  </si>
  <si>
    <t>投诉人徐先生投诉对象石榴快贷涉诉金额3000元问题类型诉求类型投诉详情他这个利息太高了，借了一次第二次还那么高而且是砍头息时间只有5天，当天还要算进去。</t>
  </si>
  <si>
    <t>通善、友信信贷、华夏信财砍头息，爆通讯录</t>
  </si>
  <si>
    <t>http://ts.21cn.com/tousu/show/id/1366608</t>
  </si>
  <si>
    <t>拼多多推卸责任不作为</t>
  </si>
  <si>
    <t>http://ts.21cn.com/tousu/show/id/1366607</t>
  </si>
  <si>
    <t>2019/10/16 16:29:07</t>
  </si>
  <si>
    <t>本人从拼多多购买苹果手机7p，商家说是官换机国行手机，最后由于手机出问题解锁id需要验证购买信息，然后商家逃避责任直接关店，跟拼多多投诉说明情况，拼多多客服说要苹果手机开具证明，可是这个亲记得iMEI号查出来的手机跟商家的所有都不匹配怎么开具证明！这不是在推卸责任吗，盒子是假的没有条形码，没有收据没有发票，内存不匹配，版本不匹配，那么请你们告诉我这是什么手机呢。</t>
  </si>
  <si>
    <t>智行火车票app不兑现退款</t>
  </si>
  <si>
    <t>http://ts.21cn.com/tousu/show/id/1366593</t>
  </si>
  <si>
    <t>2019/10/16 16:28:50</t>
  </si>
  <si>
    <t>10月2日，智行短信提醒有当日出行车次，但上app查看，仍无法看到该订单；直至10月2日晚，，app上就显示有这个订单，给消费者造成直接经济损失1082元；多次沟通后，客服同意退还70%票价，并明确国庆假期结束后7个工作日内，将退款返还消费者，现已16日，退款仍未兑现，且当日app一直无法联系客服智行app第一次由于自身技术原因，导致消费者无法在app查询到订单，进而未能及时取消订单，引起消费者经济损失；而后逾期不兑现退款承诺，属二次欺骗。</t>
  </si>
  <si>
    <t>甲上佳绞肉机质量问题</t>
  </si>
  <si>
    <t>http://ts.21cn.com/tousu/show/id/1366606</t>
  </si>
  <si>
    <t>2019/10/16 16:28:25</t>
  </si>
  <si>
    <t>2019年10月13日收到网购甲上佳绞肉机一台，回家开箱发现机盖破损，遂与物流单号所注客服章丽156******18联系，同意再发机盖；后对机器按说明书通电试验，结果只动了一下，后面停了约20小时后再试依然么欸有动作，再与客服章丽联系，并按其要求拍摄视频给她，但对方态度强硬，拒不承认是机器的质量问题，我于是提出退货，她说邮寄费要我自理，我拒绝。</t>
  </si>
  <si>
    <t>http://ts.21cn.com/tousu/show/id/1366604</t>
  </si>
  <si>
    <t>2019/10/16 16:27:56</t>
  </si>
  <si>
    <t>平台借7800砍头息1800到账6000，分九期，每期955。</t>
  </si>
  <si>
    <t>无法还款又不扣款</t>
  </si>
  <si>
    <t>http://ts.21cn.com/tousu/show/id/1366603</t>
  </si>
  <si>
    <t>2019/10/16 16:27:51</t>
  </si>
  <si>
    <t>10.15日银行卡里有钱，抱金猪也没有自动扣款app也无法打开，请抱金猪尽快联系本人进行协商还款。</t>
  </si>
  <si>
    <t>淘宝卖家出售违禁品，淘宝不处理，多次举报投诉未果</t>
  </si>
  <si>
    <t>http://ts.21cn.com/tousu/show/id/1366602</t>
  </si>
  <si>
    <t>2019/10/16 16:27:47</t>
  </si>
  <si>
    <t>淘宝网,掌柜名tb05992151,掌柜名tb407432938，该两店铺出售校园代跑违禁品，该校园跑步软件为本公司所有，app是为了响应国家全民健身的号召，为校园学生提供校园阳光跑的辅助运动类软件，该软件运行4年多来，从未向学生及家长收取过任何费用，其运营费用是由南京市政府和高校共同承担的，也无须向学生收取费用，已向淘宝做出举报，但淘宝却多次未处理，也无任何处罚，现要求淘宝对此店铺做处罚处理。</t>
  </si>
  <si>
    <t>http://ts.21cn.com/tousu/show/id/1366600</t>
  </si>
  <si>
    <t>2019/10/16 16:26:44</t>
  </si>
  <si>
    <t>马上金融旗下安逸花，威胁本人说打包合同给催收公司，说让他们上门催收，爆通讯录。</t>
  </si>
  <si>
    <t>高利贷砍头息威胁软暴力</t>
  </si>
  <si>
    <t>http://ts.21cn.com/tousu/show/id/1366599</t>
  </si>
  <si>
    <t>2019/10/16 16:25:46</t>
  </si>
  <si>
    <t>致聚投诉工作人员：您们好！本人在2016年间在深圳前海达飞金融服务有限公司分期买过一张电动车，我按时还款，还清了本次账单，过了一年时间，既有分期工作人员推销我有20000的贷款额度，可以使用，因为当时经济困难就同意贷款13000，分24期还款，钱到账建设银行62****************3，到账金额13000.可是我登录既有分期公众号上面看：合同显示贷款金额14300，每月还款1010，我也没说，一直还款到2019年9月，合计总还款17470元整，因受整体大环境影响，经济不好，已经好几个月没发工资，就</t>
  </si>
  <si>
    <t>娱乐平台</t>
  </si>
  <si>
    <t>http://ts.21cn.com/tousu/show/id/1366597</t>
  </si>
  <si>
    <t>2019/10/16 16:25:33</t>
  </si>
  <si>
    <t>投诉人 王城        投诉对象  33彩票        涉诉金额  24 000 元    问题类型    诉求类型投诉详情  本人被其公司代理骗了，到其公司玩。因为喝多了酒把手术钱输了24000。我希望能封查其网站。把钱退款，，www.33.cc。他们网站。</t>
  </si>
  <si>
    <t>http://ts.21cn.com/tousu/show/id/1366595</t>
  </si>
  <si>
    <t>2019/10/16 16:25:26</t>
  </si>
  <si>
    <t>还没贷款就收取前期费用，一绑卡就自动扣费100元，请求退款！。</t>
  </si>
  <si>
    <t>中大互联教育退学费处理不及时，踢皮球没有人处理</t>
  </si>
  <si>
    <t>http://ts.21cn.com/tousu/show/id/1366596</t>
  </si>
  <si>
    <t>2019/10/16 16:25:19</t>
  </si>
  <si>
    <t>8月份开始咨询的成人自考，说是半托管的，也说快不能报名了，就交了定金500元，后来在有钱花上面办理了教育分期是8400元，跟着也报名了自考，可是后来家里有特殊情况，不能参加考试了，就想着把学费退一下，9月17那天，先咨询了班主任，说什么给我反应一下，后面再问一句话也不说，就咨询了报名时的老师，劝我们，不要放弃考试什么的，实在没办法还是决定退学费，虽然老师态度还可以，可是过去一个月了，问题根本没有得到解决，也没人跟我联系说退学费的事，昨天报名老师问我收到费用没有，后面我说没有就让我今天咨询班主任，去问班主任吧</t>
  </si>
  <si>
    <t>钱站恶意催收，客服一边说协商，催收人员继续恶意催收满嘴胡话</t>
  </si>
  <si>
    <t>http://ts.21cn.com/tousu/show/id/1366594</t>
  </si>
  <si>
    <t>2019/10/16 16:24:41</t>
  </si>
  <si>
    <t>1、今天客服人员对我的诉求进行协商，叫我进行等待，2、催收人员不理会客服部门，继续催收。</t>
  </si>
  <si>
    <t>群发短信爆通讯录，利息逾期费用高到离谱</t>
  </si>
  <si>
    <t>http://ts.21cn.com/tousu/show/id/1366592</t>
  </si>
  <si>
    <t>2019/10/16 16:24:14</t>
  </si>
  <si>
    <t>已经群发到各个通讯录里面严重影响我信誉，强烈要求对此平台做出处罚，谢谢！。</t>
  </si>
  <si>
    <t>航联贵宾有限公司诱导消费者消费</t>
  </si>
  <si>
    <t>http://ts.21cn.com/tousu/show/id/1366591</t>
  </si>
  <si>
    <t>2019/10/16 16:23:13</t>
  </si>
  <si>
    <t>春秋航空打印机票时，身穿机场工作服的服务人员上前询问我在哪里订票，订票价格，我回复在官网或者携程，该工作人员介绍说，现在有一个航携畅行，是国内航空公司组成的联盟，在该平台电话订票，定的机票比外面所有平台都便宜，预存1880，会再送一些金额在卡里面，可以享受VIP贵宾候机室，给自己或者亲人定都可以，当时反复跟工作人员确认，关于如何抵扣预存款和赠送款，回复是：每次购买机票，比如票面价格是700元，赠送金额每次可抵扣金额不等，有可能50，也可能100，2019年10月中，我打电话打算定合肥到呼和浩特的机票，飞猪上</t>
  </si>
  <si>
    <t>拍拍贷恶意拨打通讯录电话催收</t>
  </si>
  <si>
    <t>http://ts.21cn.com/tousu/show/id/1366590</t>
  </si>
  <si>
    <t>2019/10/16 16:22:38</t>
  </si>
  <si>
    <t>投诉人丁先生投诉对象拍拍贷涉诉金额12000元问题类型诉求类型投诉详情拍拍贷恶意拨打用户通讯录，催收，并且带有侮辱性词语。</t>
  </si>
  <si>
    <t>360摄像头质量问题不给解决</t>
  </si>
  <si>
    <t>http://ts.21cn.com/tousu/show/id/1366588</t>
  </si>
  <si>
    <t>2019/10/16 16:22:03</t>
  </si>
  <si>
    <t>2018年3月从淘宝买了一部360摄像头，10月开始频繁离线，问了客服只给了解决方案，没说频繁离线可以申请质保换货，过了质保期才说不能换了，按照淘宝客服给的电话，拨打360售后，被告知已经超期，且第一次反馈问题的时间只能以打电话的时间为准，不能以第一次通过淘宝客服的渠道反馈问题时间为准，不管是上述质保期可换新，还是问题反馈的计算时点，作为消费者都不知情。</t>
  </si>
  <si>
    <t>http://ts.21cn.com/tousu/show/id/1366586</t>
  </si>
  <si>
    <t>2019/10/16 16:21:49</t>
  </si>
  <si>
    <t>每日优鲜的摇钱树活动没有任何说明情况下突然下线，在活动规则中没有一条涉及活动结束时间，在这种情况下如果要提前终止活动，必须有足够时间提前公示征得消费者同意，但是他们却突然终止活动，造成我辛苦拉的人，还没有得到任何返利，严重侵害了我作为消费者的权益，强烈要求每日优鲜按照活动规则继续摇钱树活动，如果要终止活动，也必须在保障我们消费者权益的前提下给我们一个合理的补偿。</t>
  </si>
  <si>
    <t>投诉玖富万卡高额手续费利息</t>
  </si>
  <si>
    <t>http://ts.21cn.com/tousu/show/id/1366585</t>
  </si>
  <si>
    <t>2019/10/16 16:21:44</t>
  </si>
  <si>
    <t>本人借款18000元手续费要我9968，本人意愿一次性还清，还要我两千多利息一直拖不处理让我逾期了，要求尽快处理。</t>
  </si>
  <si>
    <t>人人贷偷改银行卡号</t>
  </si>
  <si>
    <t>http://ts.21cn.com/tousu/show/id/1366561</t>
  </si>
  <si>
    <t>2019/10/16 16:21:42</t>
  </si>
  <si>
    <t>在微信上叫我下载人人贷，然后上传已经，后面审核好了他叫我交会费799交了后说申请更高级的1499，说会打款，等我去看款下来了，他们却投改了我的银行卡号，还骗我这授权委托书还要交什么保证金40%。</t>
  </si>
  <si>
    <t>用钱宝暴力催收</t>
  </si>
  <si>
    <t>http://ts.21cn.com/tousu/show/id/1366584</t>
  </si>
  <si>
    <t>2019/10/16 16:21:18</t>
  </si>
  <si>
    <t>用钱宝暴力催收，催收电话一天十多个，我家借1500借款上写2000。</t>
  </si>
  <si>
    <t>KC网络电话无法使用</t>
  </si>
  <si>
    <t>http://ts.21cn.com/tousu/show/id/1366583</t>
  </si>
  <si>
    <t>2019/10/16 16:21:04</t>
  </si>
  <si>
    <t>在手机自带商城里面下载的KC网络电话，下载注册成功后，没有免费试用，需要充值，充值成功后，KC网络电话无法征程拨出，联系在线客服，没有回复消息，打客服电话没有接听。</t>
  </si>
  <si>
    <t>商品退回商家不退款平台不处理</t>
  </si>
  <si>
    <t>http://ts.21cn.com/tousu/show/id/1366582</t>
  </si>
  <si>
    <t>2019/10/16 16:20:52</t>
  </si>
  <si>
    <t>投诉人石先生投诉对象YY涉诉金额68元问题类型诉求类型投诉详情联系商家没有人理我平台不处理无限拖延傲慢爱理不理。</t>
  </si>
  <si>
    <t>进去不小心点下提额扣了168元钱</t>
  </si>
  <si>
    <t>http://ts.21cn.com/tousu/show/id/1366581</t>
  </si>
  <si>
    <t>2019/10/16 16:19:32</t>
  </si>
  <si>
    <t>进去不小心点下提额扣了168元钱给客服打电话暂停服务了。</t>
  </si>
  <si>
    <t>http://ts.21cn.com/tousu/show/id/1366505</t>
  </si>
  <si>
    <t>2019/10/16 16:19:30</t>
  </si>
  <si>
    <t>2019.9.19日，因上半年置换房产加上装修，资金欠缺，自称平安银行的工作人员到电话给我爱人，称他们银行有4-6里的信用贷，无抵押，让我们下载平安普惠的APP，上传资料就可以贷款出来，过程太过繁琐，跟他们的工作人员约定在他们公司上海浦东张杨路的办公地点帮我进行操作，见面后，我就把手机给他们的工作人员帮我提交资料，过程中从未提及利息，需要签字的时候递给我让我签下字，中间我跟我爱人询问了几次到底是几厘利息，他说这是信用贷，根据个人信用来决定的，要看最终审核的利息，现在他也不清楚，后面因为他们平安只认工行扣款，</t>
  </si>
  <si>
    <t>http://ts.21cn.com/tousu/show/id/1366575</t>
  </si>
  <si>
    <t>2019/10/16 16:18:41</t>
  </si>
  <si>
    <t>之前急用钱，在网站申请贷款，网站分流，引导下载了微应急app，审核通过后，可以借款2207，到账1430，5天还款，5天后，手里的钱不够还款，提示可以展期，增加5天还款时间，续期费770，支付完毕后，显示收款方为青岛可味餐饮管理有限公司。</t>
  </si>
  <si>
    <t>http://ts.21cn.com/tousu/show/id/1366577</t>
  </si>
  <si>
    <t>2019/10/16 16:18:36</t>
  </si>
  <si>
    <t>17.6.18购买的惠普暗影精灵2plus笔记本电脑使用不到一年电池就鼓包。</t>
  </si>
  <si>
    <t>714套路贷多宝鱼</t>
  </si>
  <si>
    <t>http://ts.21cn.com/tousu/show/id/1366573</t>
  </si>
  <si>
    <t>2019/10/16 16:18:09</t>
  </si>
  <si>
    <t>多宝鱼，是714套路贷平台今天三月份在该平台之前借款三次，每次到账1050，7天后扣款1500，如不退还，将在国家信访，及当地市场监督管理局等部门发起持续投诉。</t>
  </si>
  <si>
    <t>你我贷平台暴力催收</t>
  </si>
  <si>
    <t>http://ts.21cn.com/tousu/show/id/1366574</t>
  </si>
  <si>
    <t>2019/10/16 16:18:01</t>
  </si>
  <si>
    <t>投诉人 马先生        投诉对象  你我贷        涉诉金额  10 000 元    问题类型    诉求类型投诉详情  你我贷公司 因我个人近期资金周转不动 工程款项没有回款 所以逾期了 但是你我贷公司多次打电话威胁 还打到亲属那恐吓 后来打我公司电话去了 说脏话骂人</t>
  </si>
  <si>
    <t>嘿号吧套路</t>
  </si>
  <si>
    <t>http://ts.21cn.com/tousu/show/id/1366572</t>
  </si>
  <si>
    <t>2019/10/16 16:17:47</t>
  </si>
  <si>
    <t>投诉人王先生投诉对象嘿号吧涉诉金额165元问题类型诉求类型投诉详情充了165准备买个号然后客服说发货系统坏了叫我申请退款然后叫我赶紧提现不提现少了他不管然后最少要300才能提现我准备再充150进去提现但是我看到别人说的跟我一模一样我都不敢充了我怕充了那不回来了这种平台没人管管嘛。</t>
  </si>
  <si>
    <t>活力花逾期罚金高于法律规定，且电话短信轰炸，恐吓家属</t>
  </si>
  <si>
    <t>http://ts.21cn.com/tousu/show/id/1366578</t>
  </si>
  <si>
    <t>2019/10/16 16:17:34</t>
  </si>
  <si>
    <t>投诉人戴先生投诉对象活力花涉诉金额2000元问题类型诉求类型投诉详情本人在活力花平台贷了2000块钱，分三期还款，因老板不给结工资，导致逾期26天，活力花平台收取294.32元罚金，且短信，电话，恐吓家属，暴力催收。</t>
  </si>
  <si>
    <t>http://ts.21cn.com/tousu/show/id/1366579</t>
  </si>
  <si>
    <t>投诉人曾先生投诉对象中信银行信用卡涉诉金额103456元问题类型诉求类型投诉详情本人多次跟中信银行信用卡中心催收人员保持沟通还款事宜，中信银行信用卡中心催收人员在明知本人手机24小时开机，无欠费的情况下，不打电话与本人沟通，直接联系本人亲属，朋友，给我名誉造成重大损失，2019年10月06日11时左右中信银行信用卡中心一名男性用075536612852打我手机，并且在我多次接电话都不予讲话，故意耽误本人时间，本人无奈挂断电话，此后多次打电话骚扰我，最后我无奈接电话，此人说话态度恶劣，服务差，让我等着坐牢等侮</t>
  </si>
  <si>
    <t>通联支付首刷变会员不退押金</t>
  </si>
  <si>
    <t>http://ts.21cn.com/tousu/show/id/1366571</t>
  </si>
  <si>
    <t>2019/10/16 16:16:49</t>
  </si>
  <si>
    <t>通联支付客服人员来电话说要换POS机，邮寄费99元押金机器激活后给退还，机器到手后激活首刷100元无故变成会员，激活后押金也不给退，客服不作为、互相推诿，这是欺瞒顾客。</t>
  </si>
  <si>
    <t>投诉翰银科技不受理。客服不受理。Qq客服还不加我</t>
  </si>
  <si>
    <t>http://ts.21cn.com/tousu/show/id/1366570</t>
  </si>
  <si>
    <t>2019/10/16 16:16:38</t>
  </si>
  <si>
    <t>通过网址链接给别的赌博平台，理财平台做帐，要求贵公司退款谢谢。</t>
  </si>
  <si>
    <t>要求停止骚扰</t>
  </si>
  <si>
    <t>http://ts.21cn.com/tousu/show/id/1366569</t>
  </si>
  <si>
    <t>2019/10/16 16:15:50</t>
  </si>
  <si>
    <t>投诉人 陈先生        投诉对象  招联金融        涉诉金额  0 元    问题类型    诉求类型投诉详情  招联催熟人员，打公司，同事电话。威胁，恐吓，严重影响了正常生活。要求立即停止骚扰</t>
  </si>
  <si>
    <t>还款失败导致逾期</t>
  </si>
  <si>
    <t>http://ts.21cn.com/tousu/show/id/1366568</t>
  </si>
  <si>
    <t>2019/10/16 16:15:48</t>
  </si>
  <si>
    <t>9月17号还款日手上有钱，但是钱还不进去，一直都是还款失败，然后联系客服电话一直打不通，发消息给客服QQ也没人回复，到今天10月16号，导致逾期29天，这段时间内我一直尝试联系客服，联系不上，客服那边也没有主动联系过我！。</t>
  </si>
  <si>
    <t>立刻出行保证金退不了</t>
  </si>
  <si>
    <t>http://ts.21cn.com/tousu/show/id/1366567</t>
  </si>
  <si>
    <t>2019/10/16 16:15:26</t>
  </si>
  <si>
    <t>客服已经联系不上，押金从7月份到现在一直显示审核中。</t>
  </si>
  <si>
    <t>如期分期砍头息高额风险评估费高利贷</t>
  </si>
  <si>
    <t>http://ts.21cn.com/tousu/show/id/1366121</t>
  </si>
  <si>
    <t>2019/10/16 16:15:17</t>
  </si>
  <si>
    <t>联合如期分期收取客户高额砍头息，借款15600元，下款后立即扣除了两笔费用，一笔风险评估费1482元，一笔担保费用780元，总共2262元，算起来借款到手才13338元，每个月却要还款1543.91元，分12期，一共要还18526.92元，利息算起来要5188.92元，利息超过了年利率36%，这个风险评估费用和担保费我认为是捆绑销售，这种费用应该是看客户意愿，而不是强行捆绑，我要求退回这两笔风险评估费和担保费。</t>
  </si>
  <si>
    <t>拼多多恶意扣压货款和保证金，理由推托</t>
  </si>
  <si>
    <t>http://ts.21cn.com/tousu/show/id/1366566</t>
  </si>
  <si>
    <t>2019/10/16 16:15:03</t>
  </si>
  <si>
    <t>拼多多恶意扣压我货款，电商平台拼多多，以商品不符合，冻结商家货款不合法，。</t>
  </si>
  <si>
    <t>暴力催收未告知本人直接打通讯录</t>
  </si>
  <si>
    <t>http://ts.21cn.com/tousu/show/id/1366564</t>
  </si>
  <si>
    <t>2019/10/16 16:14:12</t>
  </si>
  <si>
    <t>在未告知本人的情况下直接打通讯录，暴力催收，不接受协商，在本人还没有说完的情况下直接挂电话了，砍头息特别多，借款必须买产品。</t>
  </si>
  <si>
    <t>小狮省钱请退会费</t>
  </si>
  <si>
    <t>http://ts.21cn.com/tousu/show/id/1366519</t>
  </si>
  <si>
    <t>2019/10/16 16:13:45</t>
  </si>
  <si>
    <t>投诉人林先生投诉对象洞狮网络科技上海有限公司,微贷网,小狮贷涉诉金额99元问题类型诉求类型投诉详情小狮省钱app欺骗消费者，发表假信息叫我买卡没有什么用，要求退卡，惩黑除恶，下面附图。</t>
  </si>
  <si>
    <t>无故扣钱</t>
  </si>
  <si>
    <t>http://ts.21cn.com/tousu/show/id/1366563</t>
  </si>
  <si>
    <t>2019/10/16 16:13:21</t>
  </si>
  <si>
    <t>莫名其妙的扣钱，没有密码，没有验证码，这是为什么。</t>
  </si>
  <si>
    <t>快闪卡贷年利率超80%</t>
  </si>
  <si>
    <t>http://ts.21cn.com/tousu/show/id/1366560</t>
  </si>
  <si>
    <t>2019/10/16 16:13:17</t>
  </si>
  <si>
    <t>本人2019.6.27在该平台借款10000元。</t>
  </si>
  <si>
    <t>钱站阴阳合同，暴力恐吓，砍头息，</t>
  </si>
  <si>
    <t>http://ts.21cn.com/tousu/show/id/1366559</t>
  </si>
  <si>
    <t>2019/10/16 16:13:08</t>
  </si>
  <si>
    <t>投诉人张先生投诉对象钱站涉诉金额4000元问题类型诉求类型投诉详情我只在钱站借了款，合同显示5800元结果到账只有4000块钱，然后我跟他们客服沟通希望减免一下，结果被催收的骂了，然后催收的把我亲戚朋友的电话都打了，还威胁我给我孩子老师打电话，然后这边投诉的，象征性的联系一下，没接到电话，结果就要求结案，什么都没处理就要求结案，后面继续暴力恐吓催收吗。</t>
  </si>
  <si>
    <t>拼多多随意扣押货款</t>
  </si>
  <si>
    <t>http://ts.21cn.com/tousu/show/id/1366562</t>
  </si>
  <si>
    <t>2019/10/16 16:13:07</t>
  </si>
  <si>
    <t>拼多多真优秀，本来我正常提现我的货款，都快到我的账户了，拼多多手真长，又给拉回去了，回去以后就关在小黑屋，不见天日，说是查看咯站内信，有东西吗，工单有吗，什么都没有，不要一句审查就扣押货款，难道我们不做生意吗，我们的损失谁来补偿。</t>
  </si>
  <si>
    <t>北京恒发软通科技有限公司业务员收钱不给发短信，要求退钱，还拉黑，打了客服电话，不处理，说业务员请假。再问就说离职了。</t>
  </si>
  <si>
    <t>http://ts.21cn.com/tousu/show/id/1366558</t>
  </si>
  <si>
    <t>2019/10/16 16:12:44</t>
  </si>
  <si>
    <t>北京恒发软通科技有限公司承接群发短信业务，9月19充值1200元，有账单截图；保证不能发，就退款，结果确实发送不成功，要求退款，基本不回复，10月8日联系上说一周处理，16号联系拉黑微信，联系不上。</t>
  </si>
  <si>
    <t>钱站收取高额逾期费</t>
  </si>
  <si>
    <t>http://ts.21cn.com/tousu/show/id/1366557</t>
  </si>
  <si>
    <t>2019/10/16 16:12:26</t>
  </si>
  <si>
    <t>钱站在本人逾期一天准备还款的情况下，显示高额逾期费用，本期应还本金1729.15元，逾期一天总额变成2566.48元，除本金外，其中收费过高项目包含逾期利息92.98元，期缴服务费485.72元，逾期罚息27.84元，逾期违约金230.79元，，综上，由于逾期费用比例过高导致单笔利率达到48%，超出国家法定利率范围，存在违法乱收逾期费现象。</t>
  </si>
  <si>
    <t>你我贷暴力催收，要爆通讯录</t>
  </si>
  <si>
    <t>http://ts.21cn.com/tousu/show/id/1366555</t>
  </si>
  <si>
    <t>2019/10/16 16:12:19</t>
  </si>
  <si>
    <t>你我贷暴力催收，要暴通讯录，要联系手机储存号录所有人，对他人进行骚扰！。</t>
  </si>
  <si>
    <t>淘手游客服乱操作导致账号卖不出去</t>
  </si>
  <si>
    <t>http://ts.21cn.com/tousu/show/id/1366556</t>
  </si>
  <si>
    <t>2019/10/16 16:12:18</t>
  </si>
  <si>
    <t>卖出，本人账号此前未绑定手机，只用微信登陆，转移账号的时候淘手游客服让我先绑定自己的账号，此时我提出疑问，绑了手机后会否换不了绑，淘手游客服给我答复不会，然后我绑定了手机，提供手机和密码让淘手游客服登陆，此后他发现无法更换绑定手机，咨询我能否连同微信号一并出售，我不同意出售微信账号，并且该游戏绑定了我的微信和电话，出售微信账号的同时要出售电话才行，所以根本不可行，因为淘手游客服的失误导致我的账号无法售出，本来直接绑定买家的电话即可完成交易，客服让我先绑自己的手机导致无法完成交易，我要求淘手游赔偿我的损失，因</t>
  </si>
  <si>
    <t>存在阴阳合同，高利贷，砍头息多项违法行为</t>
  </si>
  <si>
    <t>http://ts.21cn.com/tousu/show/id/1366540</t>
  </si>
  <si>
    <t>2019/10/16 16:12:05</t>
  </si>
  <si>
    <t>投诉人张女士投诉对象钱站涉诉金额9500元问题类型诉求类型投诉详情在钱站一共借钱2笔，之前投诉过一次，客服打来电话也只是含糊不清说没有违法，实际下款金额本金与合同金额本金严重不否，根据民间借贷法规定，年化率需按照实际下款金额计算，而钱站存在砍头息，高利贷，已超过国家法律规定的36%，多次协商无果，并存在阴阳合同，证据确凿已截图，打电话问客服含糊不清，还有违法收取服务费现象，请严肃处理。</t>
  </si>
  <si>
    <t>百度有钱花高利贷阴阳合同</t>
  </si>
  <si>
    <t>http://ts.21cn.com/tousu/show/id/1366553</t>
  </si>
  <si>
    <t>2019/10/16 16:11:51</t>
  </si>
  <si>
    <t>因为资金问题，本人在百度有钱花借款3000元分期12期的第四期逾期，就在今天打算在百度贴吧app中还款时发现逾期金额700多，分期本金由250变成500，但依旧是分期12期，那么算下来本金就是6000，　　而我随后下载有钱花app用同账号登录显示同样是本金3000，第四期还款逾期但是本金依旧还是250元。</t>
  </si>
  <si>
    <t>捷信金融套路贷，提前还款客服就挂机</t>
  </si>
  <si>
    <t>http://ts.21cn.com/tousu/show/id/1366551</t>
  </si>
  <si>
    <t>2019/10/16 16:11:31</t>
  </si>
  <si>
    <t>2017年12月接到捷信销售电话，提示我办理贷款，当时缺钱借了一万四千元周转，客服明确表明用满三个月可以提前还款，半年后准备提前还款，给客服打电话，只要说提前还款客服就挂机，因为这件事一直没有还款，期间接到过很多催收电话，已经对我的正常生活造成影响，也给我身边的人打过电话，对我的名誉造成了严重影响，期间还收到过短信，让我去法院开庭审判，我去法院工作人员说我并没有被起诉过，我给发短信的电话回拨，无人接听，期间我还过部分，现在跟我说还要多还五千罚息才能销账。</t>
  </si>
  <si>
    <t>鸿运当头平台暴力催收</t>
  </si>
  <si>
    <t>http://ts.21cn.com/tousu/show/id/1366549</t>
  </si>
  <si>
    <t>2019/10/16 16:10:53</t>
  </si>
  <si>
    <t>这个平台我是在网上广告看到的，直接网页下载的，鸿运网址https://7w2.cn/cc60下载连接，这个平台现在ios系统下载不了，只能用安卓的，注册之后看到是砍头息高炮套路贷就没有再申请，但是填写资料的时候填写过银行卡号，平台没经过我同意就自动放款了，只给了两千四然后五天后要还款四千，放款方是安徽省鸿运当头科技有限公司，网络套路高息贷款，借款四千，实际到账只有2400，五天过后要求偿还4000，APP平台上申请之后自动放款，不管借款人同意与否直接放款，后来经过和该平台催收人员沟通后，分多次偿还已经还清本</t>
  </si>
  <si>
    <t>既然承认是平台过失，就该负责任解决</t>
  </si>
  <si>
    <t>http://ts.21cn.com/tousu/show/id/1366547</t>
  </si>
  <si>
    <t>2019/10/16 16:10:23</t>
  </si>
  <si>
    <t>我在京东购买了电子书，订单号125299697，其中梨园舞蹈形态基础这个商品，本来是有配套视频的，京东电子书一向对于实物书籍有配套音视频的相应电子书描述的都很规范，如果对应的电子书不能提供配套音视频，商品详情会说明，能提供音视频的电子书，会在正文里提供下载链接，而梨园舞蹈这个商品页面详情并没有说不能提供配套视频，基于京东电子书商品详情描述一直以来的规范性，我购买了这个商品，于是询问客服核实，客服说有视频但供应商不能提供，既然不能提供，按照京东电子书描述的规范，就该在页面详情说明，可是没有，说明是京东的过失，</t>
  </si>
  <si>
    <t>http://ts.21cn.com/tousu/show/id/1366548</t>
  </si>
  <si>
    <t>2019/10/16 16:10:13</t>
  </si>
  <si>
    <t>一直显示可提现为负数，还不给处理，不让体现，联系他们人也联系不到，。</t>
  </si>
  <si>
    <t>贷上钱暴力催收，骚扰通讯录好友，</t>
  </si>
  <si>
    <t>http://ts.21cn.com/tousu/show/id/1366546</t>
  </si>
  <si>
    <t>2019/10/16 16:10:04</t>
  </si>
  <si>
    <t>贷款2500元，还款3250元，一个月利息750元，与平台无法协商，逾期一天就开始骚扰我的通讯录，朋友给我打电话了，催收人员说明天还会继续骚扰，这种平台还受到法律保护的吗，口口声声说互联网仲裁，上征信什么的是真的吗，一个月750的利息都没法沟通，态度十分强硬，。</t>
  </si>
  <si>
    <t>http://ts.21cn.com/tousu/show/id/1366545</t>
  </si>
  <si>
    <t>2019/10/16 16:09:42</t>
  </si>
  <si>
    <t>投诉人郭女士投诉对象造艺科技涉诉金额50元问题类型诉求类型投诉详情豹子贷恶意扣款了50元，请求退款，谢谢聚投诉。</t>
  </si>
  <si>
    <t>搜狐视频app活动奖品7个月了不发放</t>
  </si>
  <si>
    <t>http://ts.21cn.com/tousu/show/id/1366544</t>
  </si>
  <si>
    <t>2019/10/16 16:09:29</t>
  </si>
  <si>
    <t>，在搜狐视频app里参加他们的一个抽奖活动，，抽中一个神秘大礼盒，奖品页面显示工作人员30个工作日联系发奖，等待至6月13日还没人联系，就加入了搜狐视频官方反馈群找客服反映问题，回复说已反馈，会排期安排发货，但至今还毫无消息，期间多次联系均回复已反馈，会催一下，距离参加活动已经7月有余，希望尽快落实发放奖品。</t>
  </si>
  <si>
    <t>随意扣用户卡面的钱，霸王条款</t>
  </si>
  <si>
    <t>http://ts.21cn.com/tousu/show/id/1366542</t>
  </si>
  <si>
    <t>2019/10/16 16:09:15</t>
  </si>
  <si>
    <t>拒不退款，服务态度恶劣，霸王条款，在用户不知情的情况下随意扣用户银行卡里面的钱。</t>
  </si>
  <si>
    <t>360金融互联网消费金融冒充公检法，骚扰亲属，高收高额利息</t>
  </si>
  <si>
    <t>http://ts.21cn.com/tousu/show/id/1366508</t>
  </si>
  <si>
    <t>2019/10/16 16:08:45</t>
  </si>
  <si>
    <t>2019年10月16日接到一座机号码0756-6288810打来的电话，其自称广东法务部调查科的，告知我，我的表哥在360借款逾期，让我通知他还款，随后给我发了一条短信，让我通知王勇回电话，我告知表哥后，表哥回电给所谓的法务部，向其说明情况，我表哥也积极主动回了电话过去，那边也一直坚持称自己是法务部的，其后，我老公也与其联系，法务部王助理告知是2017年借的款，现在逾期3000元，因为我深信其是法务部的，我一直担心害怕，表哥犯了法，我中午才在因为做完检查回家，因为焦虑等问题，我身体不好，医生一直让我保持情绪</t>
  </si>
  <si>
    <t>http://ts.21cn.com/tousu/show/id/1366539</t>
  </si>
  <si>
    <t>2019/10/16 16:08:38</t>
  </si>
  <si>
    <t>钱站变相收费，砍头息，希望有关部门能关注一下。</t>
  </si>
  <si>
    <t>程咬金借款高利贷套路贷</t>
  </si>
  <si>
    <t>http://ts.21cn.com/tousu/show/id/1366538</t>
  </si>
  <si>
    <t>2019/10/16 16:08:36</t>
  </si>
  <si>
    <t>2019年7月16日借款1306到账九百多，因为资金困难所以选择续期，而每期续期费用掐头去尾也就五天时间费用高达364.续期费用两个月时间都已经三千多啦……远远的已经超过了本金，真的无力偿还啦，希望程咬金联系我让我归还本金，高额的砍头息和续期费用真的承担不起啦。</t>
  </si>
  <si>
    <t>浦发银行信用卡电话轰炸骚扰本人以及家人</t>
  </si>
  <si>
    <t>http://ts.21cn.com/tousu/show/id/1366427</t>
  </si>
  <si>
    <t>2019/10/16 16:07:42</t>
  </si>
  <si>
    <t>投诉人肖女士投诉对象浦发信用卡涉诉金额0元问题类型诉求类型投诉详情本人的浦发信用卡10号是最后还款日，因资金周转不开，导致逾期了，于14号也就是逾期的第四天，被021-38开头的电话轰炸不下二十次，当时以为是乱七八糟的电话,所以没接，到15号的时候，我的家人跟我反馈说也有这个02138开头的电话轰炸她，都打了十几次，我一直都想不通这些电话是什么电话，所以不敢接，与此同时我于16日.上午把浦发信用卡账单最低还款给还上了，并且收到了他们的短信，短信里留的电话正是轰炸我的电话，到这个时候我才知道原来这几天不停骚扰</t>
  </si>
  <si>
    <t>高利贷！变相砍头息</t>
  </si>
  <si>
    <t>http://ts.21cn.com/tousu/show/id/1366537</t>
  </si>
  <si>
    <t>借款1000分3期还，已还两期，每期596，两期加起来有1196，请提前结清。</t>
  </si>
  <si>
    <t>摇钱花原名小赢钱包欺诈分期利息。</t>
  </si>
  <si>
    <t>http://ts.21cn.com/tousu/show/id/1366536</t>
  </si>
  <si>
    <t>2019/10/16 16:07:39</t>
  </si>
  <si>
    <t>app使用额度含利息为5476.47元，摇钱花号称还款后额度实时恢复，里面有个分期的功能，客户经理跟我通电话说是从第三投资方借钱还进摇钱花，从而产生分期的利息，5476.47元分期10月利息高达864.35元，这比高利贷还高的利息也就算了，额度又没有实时恢复，本来我5476.47元还完就可以了，被摇钱花app欺诈分期实时恢复额度，而让我平白无故的多出864.35元利息，找客服爱答不理，根本无心能解决问题，最后让客服经理联系我，客服经理联系我之后，态度很明确，就是我这864.35元出定了，除非一次性还款，之前</t>
  </si>
  <si>
    <t>海尔微波炉不按照时间发货</t>
  </si>
  <si>
    <t>http://ts.21cn.com/tousu/show/id/1366535</t>
  </si>
  <si>
    <t>2019/10/16 16:07:32</t>
  </si>
  <si>
    <t>我问客服问什么买到达就告诉我不满意就退款，我想问一下那耽误我的时间怎么算，而且退款还得1-3天，我要求尽快给我送到手，告诉我没办法就得按照时间送。</t>
  </si>
  <si>
    <t>闪银</t>
  </si>
  <si>
    <t>http://ts.21cn.com/tousu/show/id/1366534</t>
  </si>
  <si>
    <t>2019/10/16 16:06:43</t>
  </si>
  <si>
    <t>我真是服了，目前我没有能力偿还他的这比钱了故意让逾期。</t>
  </si>
  <si>
    <t>我已经倾家荡产，家里只有二姐有钱，我们一家求二姐，她一分都没借给我？</t>
  </si>
  <si>
    <t>http://ts.21cn.com/tousu/show/id/1366533</t>
  </si>
  <si>
    <t>2019/10/16 16:06:24</t>
  </si>
  <si>
    <t>如果我二姐肯帮我，我就还清信用卡了，她电话156******90，巫明兰。</t>
  </si>
  <si>
    <t>借款金额和实际到账不符，利息太高</t>
  </si>
  <si>
    <t>http://ts.21cn.com/tousu/show/id/1366531</t>
  </si>
  <si>
    <t>2019/10/16 16:06:14</t>
  </si>
  <si>
    <t>投诉人李先生投诉对象钱站涉诉金额1000元问题类型诉求类型投诉详情钱站app上申请的借款金额显示1250元，但是实际到账1000元，分六期总共要还1606，这个利息也太高了，而且借款金额和实际到账金额出入太大，已经跟客服联系沟通在24小时内申请取消，已经按客服要求存入账户余额1037.5元，说这样就可以结清此笔借款，希望给我取消，销账。</t>
  </si>
  <si>
    <t>反复借了几次，还的钱比本多了</t>
  </si>
  <si>
    <t>http://ts.21cn.com/tousu/show/id/1366528</t>
  </si>
  <si>
    <t>2019/10/16 16:04:23</t>
  </si>
  <si>
    <t>在贷上钱平台反复借了几次，借了还，还了借，套去不止现在的本金了，现在不还最后一次借的本金贷上钱平台也不亏本了。</t>
  </si>
  <si>
    <t>拒绝发放离职员工工资</t>
  </si>
  <si>
    <t>http://ts.21cn.com/tousu/show/id/1366527</t>
  </si>
  <si>
    <t>2019/10/16 16:04:03</t>
  </si>
  <si>
    <t>本人离职当日核算工资说会按照底薪发放，15号工资发放日，询问人事，直接说违反公司要求拒绝发放没有薪资。</t>
  </si>
  <si>
    <t>处理一半后续退款至今没人处理</t>
  </si>
  <si>
    <t>http://ts.21cn.com/tousu/show/id/1366525</t>
  </si>
  <si>
    <t>2019/10/16 16:03:03</t>
  </si>
  <si>
    <t>投诉人周女士投诉对象升学教育涉诉金额7563元问题类型诉求类型投诉详情只电话沟通说会处理，没有明确具体时间，至今没人处理退款事情。</t>
  </si>
  <si>
    <t>分期乐爆通讯录</t>
  </si>
  <si>
    <t>http://ts.21cn.com/tousu/show/id/1366526</t>
  </si>
  <si>
    <t>2019/10/16 16:02:51</t>
  </si>
  <si>
    <t>投诉人 葛女士        投诉对象  分期乐        涉诉金额  0 元    问题类型    诉求类型投诉详情  爆通讯录 恐吓 侵犯隐私 我前几期一直按期归还 这个月手头里紧张 就爆通讯录</t>
  </si>
  <si>
    <t>投诉南京天丰大厦黑中介红满园置业</t>
  </si>
  <si>
    <t>http://ts.21cn.com/tousu/show/id/1366523</t>
  </si>
  <si>
    <t>我们与2019年3月6号在新街口天丰大厦1618南京红满园置业咨询有限公司签订了，租赁合同，押1付6，提前一个月支付下一次房租，我们与2019年9月30通过代理人，口头与他们公司提出退租，他们要求节后处理，节后2019年10月14，代理人微信提出退租归还钥匙，红满园收取钥匙后，约定16号交接，16号，联系不上后，微信语音拨打，告知没办法退租，因为合同约定必须他们同意才可以退租。</t>
  </si>
  <si>
    <t>桓昌桓易贷乱扣款，骚扰家人</t>
  </si>
  <si>
    <t>http://ts.21cn.com/tousu/show/id/1366522</t>
  </si>
  <si>
    <t>2019/10/16 16:02:50</t>
  </si>
  <si>
    <t>投诉人张先生投诉对象桓昌桓易贷涉诉金额1000元问题类型诉求类型投诉详情我每月十五号是还款日，前个月是十五号下午七点左右在App存款后它们没扣，第二天早上说我逾期了。</t>
  </si>
  <si>
    <t>圆通快递包裹一直停在一个地方起码有一天半了</t>
  </si>
  <si>
    <t>http://ts.21cn.com/tousu/show/id/1366524</t>
  </si>
  <si>
    <t>2019/10/16 16:02:49</t>
  </si>
  <si>
    <t>10月13日晚，通过丰巢选择圆通从南京寄食品到南通，10月15号早上就显示已经在南通如东县了，快递员不知道所填写的众发禽业有限公司在哪儿，和收件人打电话后，收件人如实告知是袁庄镇那边，约定第二天到，直到10月16号下午还显示在原地方，期间拨打圆通客服电话两次，客服说催一下，下午等了3小时依旧在原地方，主要食品是鲜花饼，延误会变质，实在不明白为何一直不处理，我只想让我的东西快点到手，有这么难吗，下图为截止到10月16日下午16：00的物流状态查询。</t>
  </si>
  <si>
    <t>网贷高炮</t>
  </si>
  <si>
    <t>http://ts.21cn.com/tousu/show/id/1366520</t>
  </si>
  <si>
    <t>2019/10/16 16:01:58</t>
  </si>
  <si>
    <t>我只能还本金希望你们帮帮我我还不了那么高的利息。</t>
  </si>
  <si>
    <t>盗刷，无故扣款</t>
  </si>
  <si>
    <t>http://ts.21cn.com/tousu/show/id/1366517</t>
  </si>
  <si>
    <t>2019/10/16 16:01:03</t>
  </si>
  <si>
    <t>十六号下午我的短信出现招商银行扣款198,这是严重的盗刷行为。</t>
  </si>
  <si>
    <t>钱站就是高利贷</t>
  </si>
  <si>
    <t>http://ts.21cn.com/tousu/show/id/1366518</t>
  </si>
  <si>
    <t>2019/10/16 16:00:59</t>
  </si>
  <si>
    <t>借了1000元，分3期还需要500多的利息。</t>
  </si>
  <si>
    <t>http://ts.21cn.com/tousu/show/id/1366516</t>
  </si>
  <si>
    <t>2019/10/16 16:00:43</t>
  </si>
  <si>
    <t>借2800分一个月四期要还4000多，我已经还了三期，本金已经还够了，要求销账。</t>
  </si>
  <si>
    <t>新橙优品催收联系人</t>
  </si>
  <si>
    <t>http://ts.21cn.com/tousu/show/id/1366515</t>
  </si>
  <si>
    <t>2019/10/16 16:00:31</t>
  </si>
  <si>
    <t>投诉人 魏刚        投诉对象  新橙优品        涉诉金额  5 000 元    问题类型    诉求类型投诉详情  新橙优品 电话 微信 不停骚扰当事人 通讯录联系人 威胁 沟通态度相当恶劣 贷款5000 到账4500 同时每月还款915.28 存在砍头息 并且威胁会拨打手机联系人 下午电话不停的骚扰当时及手机通讯录联系人 给老人造成很大的心理阴影 恐吓家人 因为态度不好 家里有病人 以及其他同事 朋友全部电话骚扰</t>
  </si>
  <si>
    <t>中国建设银行快贷催收疯狂打电话</t>
  </si>
  <si>
    <t>http://ts.21cn.com/tousu/show/id/1366514</t>
  </si>
  <si>
    <t>2019/10/16 16:00:25</t>
  </si>
  <si>
    <t>投诉人林女士投诉对象建设银行涉诉金额5300元问题类型诉求类型投诉详情这个电话是建行快贷催收部，一直骚扰打电话，已经在积极凑钱还款了。</t>
  </si>
  <si>
    <t>微粒贷不顾本人家里父母情况，不一次性解决就上门</t>
  </si>
  <si>
    <t>http://ts.21cn.com/tousu/show/id/1366513</t>
  </si>
  <si>
    <t>2019/10/16 15:59:51</t>
  </si>
  <si>
    <t>因为本人之前出现意外造成微粒贷逾期，但是当清醒过来后就一直努力赚钱还钱，没有逃避，上月本人也还了5千，只留了1千的生活费，现在微粒贷打电话来，要一次还清，不还清就要上门，跟他说明了我家里的情况，我也表明了不会逃避，努力赚钱还款，但是他说什么也不愿意，不能一次性付清就要上门处理，也不知道哪里查的，能找到我4年前的同事，连我自己也没有那个同事的联系方式，就不断骚扰别人，又说要开庭，现在又说跟当地警方去我家。</t>
  </si>
  <si>
    <t>我来贷虚假合同，且不能提前还款，收取高额利息</t>
  </si>
  <si>
    <t>http://ts.21cn.com/tousu/show/id/1366512</t>
  </si>
  <si>
    <t>2019/10/16 15:59:38</t>
  </si>
  <si>
    <t>我来贷变相收取高额利息，阴阳合同，合同标记利息与实际收取利息不同，是典型的欺骗违法行为，而且不能提前还款，要求我来贷立刻道歉，且减免相关违法利息。</t>
  </si>
  <si>
    <t>盼达用车不退还押金</t>
  </si>
  <si>
    <t>http://ts.21cn.com/tousu/show/id/1366511</t>
  </si>
  <si>
    <t>2019/10/16 15:59:34</t>
  </si>
  <si>
    <t>投诉人曾先生投诉对象盼达用车涉诉金额1000元问题类型诉求类型投诉详情盼达用车不退还押金，开始打电话的时候说15个工作日退还押金，现在差不多3个多月了，一直打客服电话，都是敷衍说加快处理现在电话也不接了。</t>
  </si>
  <si>
    <t>即付宝首刷一百不到账</t>
  </si>
  <si>
    <t>http://ts.21cn.com/tousu/show/id/1366507</t>
  </si>
  <si>
    <t>2019/10/16 15:58:24</t>
  </si>
  <si>
    <t>一个姓唐的即付宝业务员过来跟我推销POS机，结果他跟我说如果你第二天到，假如说你刷了钱，那个公司倒闭了，你那个钱就出不来了 顿时我就无语了 然后我就叫他跟我解决这个事情，他说12点左右给我答复后面就一直没有理我 后来我就跟他说，要么你就退我90块 就算了，这事儿我也就不说啥了但是他压根儿就不理我，我打投诉电话有点敷衍，就是说会查，然后就没有然后了 我就只要求他们全额退款 及加强员工培养 不要骗来骗去的，我听见他跟我说即付宝刷卡手续费只需万分之0.0055，然后我就按照他跟我说的步骤在即付宝APP上面注册了然</t>
  </si>
  <si>
    <t>马上金融违规获取个人信息</t>
  </si>
  <si>
    <t>http://ts.21cn.com/tousu/show/id/1366506</t>
  </si>
  <si>
    <t>2019/10/16 15:58:22</t>
  </si>
  <si>
    <t>投诉人夏先生投诉对象马上消费金融涉诉金额3800元问题类型诉求类型投诉详情不知道马上金融哪里搞到的信息知道我在目前的公司上班，知道打电话给我公司了之后本人积极与其协商，不了与其协商不成，态度恶劣非要限本人一个小时处理完，未果本人联系客服协商，本人答应了晚上八点之前解决，跟客服打完电话之后催收公司又打电话到办公室进行催收，本人已经答应了解决这个问题，为什么还要打电话给公司呢。</t>
  </si>
  <si>
    <t>汇潮支付违规为高利贷，714提供支付通道</t>
  </si>
  <si>
    <t>http://ts.21cn.com/tousu/show/id/1366504</t>
  </si>
  <si>
    <t>2019/10/16 15:57:59</t>
  </si>
  <si>
    <t>本人13日通过短信链接下载大米花花，借款2600，借款期限5天，实际到账1560，砍头息1040，远超合法利息几千倍，现要求支付合法利息销账，如合法要求得不到满足，将走银联，公安程序。</t>
  </si>
  <si>
    <t>5个工作日内退回押金</t>
  </si>
  <si>
    <t>http://ts.21cn.com/tousu/show/id/1366503</t>
  </si>
  <si>
    <t>2019/10/16 15:57:26</t>
  </si>
  <si>
    <t>6月16日用车后，本人未缴纳用车费用，一个月后，系统自动从押金中代扣用车费用219元，2019年10月3日在盼达平台申请退回剩余押金781元，多次致电客服,客服人员说会跟进,并且已经和客服核实用车过程中没有产生任何违章记录，直到现在都还没退回,致电客服只要提到押金的问题就模棱两可的回答，一直问下去的话直接挂电话。</t>
  </si>
  <si>
    <t>http://ts.21cn.com/tousu/show/id/1366502</t>
  </si>
  <si>
    <t>2019/10/16 15:57:23</t>
  </si>
  <si>
    <t>暴力催收，打电话去给我家人辱骂亲人，态度恶劣。</t>
  </si>
  <si>
    <t>http://ts.21cn.com/tousu/show/id/1366500</t>
  </si>
  <si>
    <t>2019/10/16 15:57:14</t>
  </si>
  <si>
    <t>投诉人 刘先生        投诉对象  好易贷        涉诉金额  0 元    问题类型    诉求类型投诉详情  超高利息，砍头息的套路贷！！！！！！！！</t>
  </si>
  <si>
    <t>违规收费</t>
  </si>
  <si>
    <t>http://ts.21cn.com/tousu/show/id/1366501</t>
  </si>
  <si>
    <t>2019/10/16 15:56:57</t>
  </si>
  <si>
    <t>本人于去年开始在公众号闪掌柜借款，到今年一共借过几次，该平台强制客户如果需要借款必须要担保凭证，说白了就是变相收取服务费用，从你的借款金额里面扣除，第一次听说需要担保的，既然需要担保，那贵平台是否需要承担担保责任呢，账单我不还，既然贵平台做担保，那请贵平台承担担保责任。</t>
  </si>
  <si>
    <t>广州银行信用卡骚扰他人</t>
  </si>
  <si>
    <t>http://ts.21cn.com/tousu/show/id/1366333</t>
  </si>
  <si>
    <t>2019/10/16 15:56:44</t>
  </si>
  <si>
    <t>投诉人武先生投诉对象广州银行信用卡涉诉金额30000元问题类型诉求类型投诉详情广州银行信用卡邮寄信件给公司法人，给当事人造成精神负担，也给他人带来了麻烦，请广州银行信用卡中心以后不要在骚扰无关人员。</t>
  </si>
  <si>
    <t>网络高利贷非法催收</t>
  </si>
  <si>
    <t>http://ts.21cn.com/tousu/show/id/1366498</t>
  </si>
  <si>
    <t>2019/10/16 15:56:24</t>
  </si>
  <si>
    <t>对本人骚扰，催收语言进行辱骂，拨打家人电话，并说要上门暴力催收。</t>
  </si>
  <si>
    <t>骚扰通讯录群发污秽短信</t>
  </si>
  <si>
    <t>http://ts.21cn.com/tousu/show/id/1366497</t>
  </si>
  <si>
    <t>2019/10/16 15:56:18</t>
  </si>
  <si>
    <t>群发通讯污秽短信，辱骂通讯录里的人，并且电话轰炸。</t>
  </si>
  <si>
    <t>我会还的，就是能不能宽限到晚上，最晚到明天17号晚上</t>
  </si>
  <si>
    <t>http://ts.21cn.com/tousu/show/id/1366495</t>
  </si>
  <si>
    <t>2019/10/16 15:56:04</t>
  </si>
  <si>
    <t>总共四笔账单逾期，不是恶意逾期，真的是资金周转有问题，因为本来是10到15号发工资，可是这个月到今天16号了还没发工资，有客服打电话来我和她协商晚上之前一定还进去，然后客服只说给我到3点，可是我说3点不一定能发，可是工资到现在都还没发，他们客服就一直打电话给我，可是我在上班，刚刚实在没空接，我可以拉工资流水证明我不是故意逾期的。</t>
  </si>
  <si>
    <t>http://ts.21cn.com/tousu/show/id/1366496</t>
  </si>
  <si>
    <t>2019/10/16 15:55:59</t>
  </si>
  <si>
    <t>没有经本人同意，直接就扣款，恶意扣款，恶意扣款。</t>
  </si>
  <si>
    <t>左右钱包和汇潮支付高利违规</t>
  </si>
  <si>
    <t>http://ts.21cn.com/tousu/show/id/1366494</t>
  </si>
  <si>
    <t>2019/10/16 15:55:44</t>
  </si>
  <si>
    <t>左右钱包高利贷，已经续过一期，现在不给协商！！麻烦联系我协商处理！。</t>
  </si>
  <si>
    <t>拼多多扣押商家货款并且随意关店</t>
  </si>
  <si>
    <t>http://ts.21cn.com/tousu/show/id/1366493</t>
  </si>
  <si>
    <t>2019/10/16 15:55:15</t>
  </si>
  <si>
    <t>为何在没有任何通知的情况之下，对店铺做出三级处罚，站内信的通知都没有，也没有任何的原因解释，拼多多就是这样处理问题的吗，在工单信息出现之后，我们已经很及时的和买家进行了电话联系，并诚恳的道歉，对店铺的客服，也做出了很严厉的批评以及处罚，在和买家联系的同时，已经解释和了解了事情的原因，买家也接受了我们道歉，现在拼多多无故处罚，全店下架，能给出一个合理的解释吗，本来我的货款都要到我的银行卡里了，又给撤回去，还不能提现，拼多多就这么缺钱吗。</t>
  </si>
  <si>
    <t>拼多多不尊重事实强行把货款退款给客户</t>
  </si>
  <si>
    <t>http://ts.21cn.com/tousu/show/id/1366479</t>
  </si>
  <si>
    <t>2019/10/16 15:54:33</t>
  </si>
  <si>
    <t>投诉人曾先生投诉对象拼多多涉诉金额32元问题类型诉求类型投诉详情客户下单一份芋头，明明写了买5斤送约5斤带箱9-10斤，快递核实也是够重量，本身商品没有任何问题，客户以净重不是10斤为理由，向拼多多退款，拼多多不看我上传的证据，直接给客户退了，我按照规格发货，没有任何问题，却被拼多多强行把货款退了，凭什么，客户还辱骂我们，拼多多退了还不让申诉。</t>
  </si>
  <si>
    <t>怀疑拼多多客服串通</t>
  </si>
  <si>
    <t>http://ts.21cn.com/tousu/show/id/1366492</t>
  </si>
  <si>
    <t>2019/10/16 15:54:10</t>
  </si>
  <si>
    <t>拼多多客服说，单子是别人下的的单子，我没有权利要求退款，这还有没有天理，我付的钱在你平台出事了，你说我没权限退款，还有严重怀疑串通，拼多多客服稳住受害者心态，与店家谋私，。</t>
  </si>
  <si>
    <t>http://ts.21cn.com/tousu/show/id/1366491</t>
  </si>
  <si>
    <t>2019/10/16 15:53:58</t>
  </si>
  <si>
    <t>本人在你我贷借款15000，从2018年10月份到2019年8月份共还款16500元，因还剩最后一笔借款没有及时还上就爆我通讯录，骚扰我家人，朋友，恐吓我已还够本金。</t>
  </si>
  <si>
    <t>高额砍头息借款2400，到账1800</t>
  </si>
  <si>
    <t>http://ts.21cn.com/tousu/show/id/1366490</t>
  </si>
  <si>
    <t>2019/10/16 15:53:36</t>
  </si>
  <si>
    <t>使用合和旅游借款2400，实际到账1800，扣了600多的手续费，还款延期十天利息就600多。</t>
  </si>
  <si>
    <t>魔音钱包利息过高</t>
  </si>
  <si>
    <t>http://ts.21cn.com/tousu/show/id/1366489</t>
  </si>
  <si>
    <t>2019/10/16 15:53:09</t>
  </si>
  <si>
    <t>魔音钱包阴阳合同，砍头息600元，购物商城里面的产品都很廉价，高利贷，期间app打不开，又莫名其妙变成分期还款，有客服打电话给我，我说app打不开，她问我为什么不联系客服，今天又有客服打电话，同样的app打不开，但是一直电话微信骚扰并威胁移交给催收，逾期不是我的原因造成的，而且我到手的本金只有1292元，付款方是畅捷支付。</t>
  </si>
  <si>
    <t>中信银行信用卡骚扰通讯录</t>
  </si>
  <si>
    <t>http://ts.21cn.com/tousu/show/id/1366487</t>
  </si>
  <si>
    <t>2019/10/16 15:52:35</t>
  </si>
  <si>
    <t>中信外包公司白天上班给我打电话，有时候上班没时间接电话，加了微信，说在微信沟通，不回我微信，就是打电话，说了电话不方便接，就给通讯录打电话，一直打，给我造成困扰，要求换人沟通，别爆通讯录。</t>
  </si>
  <si>
    <t>光大银行威胁恐吓</t>
  </si>
  <si>
    <t>http://ts.21cn.com/tousu/show/id/1366486</t>
  </si>
  <si>
    <t>2019/10/16 15:52:24</t>
  </si>
  <si>
    <t>怎么确定我已经没有处理能力了，我说过不还款了吗。</t>
  </si>
  <si>
    <t>浦发银行和微众银行恶意催收</t>
  </si>
  <si>
    <t>http://ts.21cn.com/tousu/show/id/1366485</t>
  </si>
  <si>
    <t>2019/10/16 15:50:53</t>
  </si>
  <si>
    <t>投诉微粒贷和浦发银行信用卡催收，恶意骚扰本人前单位同事和公司客服，诋毁本人。</t>
  </si>
  <si>
    <t>太高太高的高利贷</t>
  </si>
  <si>
    <t>http://ts.21cn.com/tousu/show/id/1366484</t>
  </si>
  <si>
    <t>2019/10/16 15:50:48</t>
  </si>
  <si>
    <t>借2000分三期还每期还11920..66的利息太高。</t>
  </si>
  <si>
    <t>陕西航携畅行商旅诱导消费者消费</t>
  </si>
  <si>
    <t>http://ts.21cn.com/tousu/show/id/1366483</t>
  </si>
  <si>
    <t>2019/10/16 15:50:04</t>
  </si>
  <si>
    <t>罗汉分期app不经本人同意乱扣费</t>
  </si>
  <si>
    <t>http://ts.21cn.com/tousu/show/id/1366482</t>
  </si>
  <si>
    <t>投诉人王立伟投诉对象广州秉他科技有限公司涉诉金额198元问题类型诉求类型投诉详情无论你公司如何辩解，用户说被你们欺骗了，就是被你们欺骗了，故意用更加显眼地选项对用户造成了极大的迷惑性，这就是客观事实，不允许你公司继续狡辩，你公司APP的提交界面中:在提交之前，有两个选项，第二个选项是支付198元，此选项是故意迷惑用户的，让用户以为“只要不选中这个选项，就不需要花钱”，这就是典型的欺骗和违规，之后，用户的银行卡直接被此公司划去198元。</t>
  </si>
  <si>
    <t>付款后没发货，订单虚假</t>
  </si>
  <si>
    <t>http://ts.21cn.com/tousu/show/id/1365048</t>
  </si>
  <si>
    <t>2019/10/16 15:49:48</t>
  </si>
  <si>
    <t>付款后与实际购买不一样，未发货，订单涉嫌网赌平台充钱。</t>
  </si>
  <si>
    <t>平安银行信用卡恶意伪造法律文书，暴利催收</t>
  </si>
  <si>
    <t>http://ts.21cn.com/tousu/show/id/1366481</t>
  </si>
  <si>
    <t>2019/10/16 15:49:37</t>
  </si>
  <si>
    <t>本人破产，信用卡实在无力偿还，刚逾期时不断打电话要求协商，客服反馈会有工作人员来电话沟通的，不过一直没有人来电，后面不断打电话客服，客服意见是再等一段时间，逾期三个月后会有工作人员来电协商的，14号本人收到短信说起诉我了，16号法院开庭，今天早上本人一大早去法院，根本就没有这个案件，今天下午又收到一个自称平安银行委托的法务人员来电，就是不断的恐吓，普通话都说的不利索，请求平安银行立刻停止这种下三烂的手段，对话解决问题。</t>
  </si>
  <si>
    <t>暴力催收。骚扰通讯录，</t>
  </si>
  <si>
    <t>http://ts.21cn.com/tousu/show/id/1366480</t>
  </si>
  <si>
    <t>2019/10/16 15:49:07</t>
  </si>
  <si>
    <t>投诉人李庆柱投诉对象翼支付涉诉金额1953元问题类型诉求类型投诉详情第一期正常还款1148元，第二期因资金链断裂，造成逾期，现平台不仅收取逾期利息，还要收取催收费用，逾期利息已超过年化24%利率，并且该平台在未经本人同意的情况下，擅自拨打本人通讯录，已对本人工作生活造成极大的影响，现要求平台停止侵权，本人也曾表明不是不还款，而是资金周转确实出现问题从而造成逾期，只要是合法利息，本人会如数归还！。</t>
  </si>
  <si>
    <t>微博借钱泄露我个人银行账户</t>
  </si>
  <si>
    <t>http://ts.21cn.com/tousu/show/id/1366475</t>
  </si>
  <si>
    <t>2019/10/16 15:47:46</t>
  </si>
  <si>
    <t>投诉人黎先生投诉对象新浪微博涉诉金额600元问题类型诉求类型投诉详情微博借钱平台催收将我银行账号泄露给别人，泄露我的隐私。</t>
  </si>
  <si>
    <t>提前还清减免利息</t>
  </si>
  <si>
    <t>http://ts.21cn.com/tousu/show/id/1366476</t>
  </si>
  <si>
    <t>2019/10/16 15:47:39</t>
  </si>
  <si>
    <t>你我贷变相收取高利息，根本就是高利贷，还巧立名目，收取高额平台服务费，和贷款管理费，以此来掩盖高利贷的事实，相当于变相收取高额利息，已经还了三期3387，提前结清还要4600多元，简直就是变相讹诈，要求你我贷立即道歉，并且减免不应收取的违法利息。</t>
  </si>
  <si>
    <t>投诉银联为违法平台提供支付通道</t>
  </si>
  <si>
    <t>http://ts.21cn.com/tousu/show/id/1366474</t>
  </si>
  <si>
    <t>2019/10/16 15:47:02</t>
  </si>
  <si>
    <t>投诉人黄俊斌投诉对象中国银联涉诉金额62000元问题类型诉求类型投诉详情本人于八月份底到十月份初阴差阳错被一个赌博网站电话忽悠进去说跟我说投注返利结果发现是赌博网站然后提现不给提损失了好几万现在要求投诉银联为这些平台提供支付通道。</t>
  </si>
  <si>
    <t>http://ts.21cn.com/tousu/show/id/1366472</t>
  </si>
  <si>
    <t>2019/10/16 15:46:44</t>
  </si>
  <si>
    <t>我在来分期平台借了1000元，分了久期，目前已经还了一期，还款日是16号，在16号00点之前都不算逾期，刚开始以为是打电话提醒我，后来，每隔几小时就打电话，每次说完就挂，完全不听我们讲话，这已经对我形成了骚扰，影响了我的生活和工作。</t>
  </si>
  <si>
    <t>群发短信本人身份证号码信息</t>
  </si>
  <si>
    <t>http://ts.21cn.com/tousu/show/id/1366471</t>
  </si>
  <si>
    <t>2019/10/16 15:46:32</t>
  </si>
  <si>
    <t>投诉人阮先生投诉对象布丁小贷涉诉金额1500元问题类型诉求类型投诉详情群发本人身份证信息骚扰亲朋好友侮辱本人恐吓本人。</t>
  </si>
  <si>
    <t>窃取个人信息，非法催收</t>
  </si>
  <si>
    <t>http://ts.21cn.com/tousu/show/id/1366473</t>
  </si>
  <si>
    <t>2019/10/16 15:46:30</t>
  </si>
  <si>
    <t>光大银行信用卡中心联系手机里我八百年没有联系的联系人，窃取了我的个人通讯录信息。</t>
  </si>
  <si>
    <t>拼多多恶意扣压货款，冻结资金。解释敷衍</t>
  </si>
  <si>
    <t>http://ts.21cn.com/tousu/show/id/1366469</t>
  </si>
  <si>
    <t>2019/10/16 15:46:19</t>
  </si>
  <si>
    <t>投诉人 袁先生先生        投诉对象  拼多多        涉诉金额  60 000 元    问题类型    诉求类型投诉详情  提现显示网络繁忙</t>
  </si>
  <si>
    <t>平台罚款</t>
  </si>
  <si>
    <t>http://ts.21cn.com/tousu/show/id/1366470</t>
  </si>
  <si>
    <t>2019/10/16 15:46:16</t>
  </si>
  <si>
    <t>投诉人虞先生投诉对象滴滴出行,滴滴钱包涉诉金额3276元问题类型诉求类型投诉详情平台给予的解释是作弊，钱的去向是系统扣了，既然系统怀疑订单有问题就即使告知司机，而不是司机跑了后没有钱，我们司机没有损害平台利益，而亲平台秤此机会压榨司机钱财，3000多对于一个普通家庭而言可以还车贷，房贷，娃的奶粉钱了，滴滴给我解释不合理，他可以说我任意一比订单都纯在异常或作弊，反正我们又联系不到乘客，现在我要求滴滴方退款，如还是以态度强硬无法退款本人将用法律或媒体方式处理。</t>
  </si>
  <si>
    <t>今日头条放心借泄露客户隐私骚扰无关人员</t>
  </si>
  <si>
    <t>http://ts.21cn.com/tousu/show/id/1366468</t>
  </si>
  <si>
    <t>2019/10/16 15:46:01</t>
  </si>
  <si>
    <t>投诉人卢先生投诉对象今日头条涉诉金额0元问题类型诉求类型投诉详情今接到一个电话，说我亲人在今日头条放心借平台借钱不还，要求我建议她本人尽快处理，请问，我有收你们工资了吗。</t>
  </si>
  <si>
    <t>钱包易贷砍头息，高利贷</t>
  </si>
  <si>
    <t>http://ts.21cn.com/tousu/show/id/1366467</t>
  </si>
  <si>
    <t>2019/10/16 15:45:21</t>
  </si>
  <si>
    <t>投诉人李先生投诉对象钱包易贷,长治银行涉诉金额4600元问题类型诉求类型投诉详情本人在钱包易贷借款，我在钱包易贷借了4600元、到账4600，分12个还款，每期还款424元，后来客服打电话让我缴纳一笔征信管理费，我没有理会，第一次还款居然要还606元砍头息、然后还要还424元，一查看是什么贷款管理费、钱包易贷虚假宣传，诱导用户，12期要还5136元加上砍头息606元、总共就是要还5742元、这样的利息，还能记录在中国人民银行征信系统，超出国家规定百分之36的利息，这样的高利贷还能上中国人民银行征信、还是说有</t>
  </si>
  <si>
    <t>天天金钱恶意扣款</t>
  </si>
  <si>
    <t>http://ts.21cn.com/tousu/show/id/1366465</t>
  </si>
  <si>
    <t>2019/10/16 15:45:04</t>
  </si>
  <si>
    <t>天天金钱恶意扣款，虚假广告，进去之后提现变成了购买风控报告。</t>
  </si>
  <si>
    <t>凡普信贷恶心扣钱</t>
  </si>
  <si>
    <t>http://ts.21cn.com/tousu/show/id/1366464</t>
  </si>
  <si>
    <t>2019/10/16 15:45:02</t>
  </si>
  <si>
    <t>后期接到客服电话，诱导我做老友计划，老友计划典型套路贷，利滚利，只是用新合同掩盖之前不合法合同，今天还款日，又一个客服打来，说给我有减免红包，我卡里存上钱以后，直接全额扣走，凡普催收电话一会一个样，全是虚拟电话，一人说个样，满走跑火车，欺骗老白姓血汗钱。</t>
  </si>
  <si>
    <t>手工定制店被淘宝根据信息层面判定售假扣分封店找不到小二找不到任何平台可联系的人</t>
  </si>
  <si>
    <t>http://ts.21cn.com/tousu/show/id/1366463</t>
  </si>
  <si>
    <t>2019/10/16 15:44:37</t>
  </si>
  <si>
    <t>1、淘宝网在2019年10月15日处罚我一款产品，通过信息层面判定售假扣分并且删除扣分，扣24分，然后全店产品下架，扣除保证金500，违规编号153******80，2、我们是做球鞋定制的，所有鞋子都是由买家自己提供，我们的类目也放到了定制类目，也没有放在鞋类类目，我们的产品标题，详情页和产品解释都有注明买家需要提供鞋子，我们不提供鞋子，如果提供鞋子的话也是正品，并提供购买正品截图给买家，而买家以防万一也自己去专业平台检验鞋子，结果都是正品，并无售假，3、我们买的鞋子，都是从识货上转到阿里系天猫平台的一些港</t>
  </si>
  <si>
    <t>现金巴士违规放贷，收取砍头息，逾期费用过高催收不断</t>
  </si>
  <si>
    <t>http://ts.21cn.com/tousu/show/id/1366462</t>
  </si>
  <si>
    <t>2019/10/16 15:44:34</t>
  </si>
  <si>
    <t>现金巴士无放贷资格八月份仍然进行放贷，借一千元，先交168的会员费、加速费，，诱导用户签订阴阳合同，合同中分三个月还款，每个月339.18元，app则显示每个月还366元，本人第一期已按时还款，第二期因工资拖欠原因逾期了几天，登陆app后发现每天逾期费用高达10元，严重超出我国民间借贷规定中的利息要求，后催收每隔两天就打电话要求还款，本人与催收协商数次要求减免逾期费用，催收态度强硬坚决不协商，并说出你不逾期就不用交这个费用，逾期了就必须交，这不是霸王条款，请求现金巴士给个说法，停止骚扰，退回已支付的168元</t>
  </si>
  <si>
    <t>多宝分期高利贷阴阳合同</t>
  </si>
  <si>
    <t>http://ts.21cn.com/tousu/show/id/1366458</t>
  </si>
  <si>
    <t>2019/10/16 15:42:40</t>
  </si>
  <si>
    <t>投诉人潘女士投诉对象多宝分期涉诉金额4000元问题类型诉求类型投诉详情在手机借款软件点到多宝分期贷款当时申请时额度是四千元，并没有说明利息是多少，现四千元要还二千利息，超于国家规定的，本人现在已经还了三期，故举报该平台高利贷款要求撤销第四期还款，并结清账单。</t>
  </si>
  <si>
    <t>广发信用卡高额罚息和违约金</t>
  </si>
  <si>
    <t>http://ts.21cn.com/tousu/show/id/1366456</t>
  </si>
  <si>
    <t>2019/10/16 15:42:37</t>
  </si>
  <si>
    <t>广发银行委托第三方催收，态度极其恶劣，在电话里对待老人采用威胁，恐吓的方式，第三方人员上门对我母亲身心造成了很大的影响，并且在我账单还上之后第三方还打电话给我母亲，说以后我孩子可能大学都上不了，上学工作都会影响到，害我母亲因为心急加上生气，陆续住了两次院，我希望广发银行给我一个明确的回答，而不是只是电话上的抱歉和很遗憾。</t>
  </si>
  <si>
    <t>接8000还11500多！</t>
  </si>
  <si>
    <t>http://ts.21cn.com/tousu/show/id/1366454</t>
  </si>
  <si>
    <t>2019/10/16 15:42:15</t>
  </si>
  <si>
    <t>借8000要还一万一千五百多，超过百分之36年利率，商家说有各种服务费，分期12期现已还了10期，一共还了9000多，协商在还500结清，催收人员不行，说要开始从我身边的人开始调查我！。</t>
  </si>
  <si>
    <t>你我贷雇佣第三方，威胁恐吓，暴击催收</t>
  </si>
  <si>
    <t>http://ts.21cn.com/tousu/show/id/1366453</t>
  </si>
  <si>
    <t>2019/10/16 15:41:50</t>
  </si>
  <si>
    <t>投诉人冷雪冰投诉对象你我贷涉诉金额10000元问题类型诉求类型投诉详情你我贷平台，雇佣第三方，对我进行污辱，威胁，恐吓，每天用不同的电话进行骚扰，还发信息恐吓威胁我，扬言对所有亲戚朋友进行骚扰，并有辱骂性语言。</t>
  </si>
  <si>
    <t>百万钱包变相高利贷</t>
  </si>
  <si>
    <t>http://ts.21cn.com/tousu/show/id/1366460</t>
  </si>
  <si>
    <t>2019/10/16 15:41:29</t>
  </si>
  <si>
    <t>投诉人易先生投诉对象百万钱包涉诉金额10256元问题类型诉求类型投诉详情本人于2019年7月20日申请的百万钱包里的小百贷，现在发现其每月还的1204元经计算已达到年化利率36%的红线，但是百万钱包依旧向本人收取长达6期的担保费312每期，共计1872元，这是变相的高利贷，本人要求取消担保费用并退回多收取的1248元担保费。</t>
  </si>
  <si>
    <t>微粒贷催收无辜骚扰通讯录联系人，发下流信息</t>
  </si>
  <si>
    <t>http://ts.21cn.com/tousu/show/id/1366452</t>
  </si>
  <si>
    <t>微粒贷第三方工作人员摄取别人通讯录，打电话对我进行下作语言侮辱！望有关部门给我一个明确说法。</t>
  </si>
  <si>
    <t>捷信金融高利贷服务客户做作、毫无诚信</t>
  </si>
  <si>
    <t>http://ts.21cn.com/tousu/show/id/1366459</t>
  </si>
  <si>
    <t>投诉人金先生投诉对象捷信金融涉诉金额20000元问题类型诉求类型投诉详情本人已经多次致电捷信要求提前结清，而客服已后续未联系到我为由拒绝。</t>
  </si>
  <si>
    <t>豆豆钱恶意爆通讯录，威胁</t>
  </si>
  <si>
    <t>http://ts.21cn.com/tousu/show/id/1366451</t>
  </si>
  <si>
    <t>2019/10/16 15:41:19</t>
  </si>
  <si>
    <t>投诉人何猷投诉对象豆豆钱涉诉金额10000元问题类型诉求类型投诉详情恶意爆通讯录，威胁手机关联的店铺，还上了征信，这是正规平台的手段吗。</t>
  </si>
  <si>
    <t>中腾信暴力催收爆通讯录</t>
  </si>
  <si>
    <t>http://ts.21cn.com/tousu/show/id/1366450</t>
  </si>
  <si>
    <t>2019/10/16 15:41:09</t>
  </si>
  <si>
    <t>中腾信暴力催收，爆通许录，违反催收原则，对被害人造成声誉影响。</t>
  </si>
  <si>
    <t>你我贷借款暴力催收无休止骚扰</t>
  </si>
  <si>
    <t>http://ts.21cn.com/tousu/show/id/1366448</t>
  </si>
  <si>
    <t>2019/10/16 15:40:34</t>
  </si>
  <si>
    <t>你我贷借款雇佣第三方催收机构骚扰辱骂暴力催收。</t>
  </si>
  <si>
    <t>好易借骚扰通讯录</t>
  </si>
  <si>
    <t>http://ts.21cn.com/tousu/show/id/1366449</t>
  </si>
  <si>
    <t>2019/10/16 15:40:24</t>
  </si>
  <si>
    <t>投诉人 黄女士        投诉对象  好易借        涉诉金额  2 000 元    问题类型    诉求类型投诉详情  好易借群发短信骚扰通讯录 侮辱人 请停止</t>
  </si>
  <si>
    <t>聚福钱包扣款后无后续应该给的服务</t>
  </si>
  <si>
    <t>http://ts.21cn.com/tousu/show/id/1366447</t>
  </si>
  <si>
    <t>2019/10/16 15:40:17</t>
  </si>
  <si>
    <t>在扣费后说匹配贷款对象包下款,然后匹配了永道小贷一直在放款中,也不能取消.就一直卡着已经一个多月时间。</t>
  </si>
  <si>
    <t>退回信用卡罚金</t>
  </si>
  <si>
    <t>http://ts.21cn.com/tousu/show/id/1366446</t>
  </si>
  <si>
    <t>2019/10/16 15:39:37</t>
  </si>
  <si>
    <t>投诉人岑先生投诉对象建设银行信用卡涉诉金额1000元问题类型诉求类型投诉详情信用卡罚金退回，投诉到底。</t>
  </si>
  <si>
    <t>分期乐乱收取综合费用</t>
  </si>
  <si>
    <t>http://ts.21cn.com/tousu/show/id/1366442</t>
  </si>
  <si>
    <t>2019/10/16 15:39:23</t>
  </si>
  <si>
    <t>家人在分期乐套现多笔，综合费用有的超过本金64%，现家人无力偿还，要求调整费用。</t>
  </si>
  <si>
    <t>读秒</t>
  </si>
  <si>
    <t>http://ts.21cn.com/tousu/show/id/1366443</t>
  </si>
  <si>
    <t>2019/10/16 15:39:14</t>
  </si>
  <si>
    <t>电话轰炸催收骚扰语言侮辱恐吓骂人我家人要求有关部门取缔这个平台。</t>
  </si>
  <si>
    <t>去哪儿网拿去花威胁暴力催收</t>
  </si>
  <si>
    <t>http://ts.21cn.com/tousu/show/id/1366441</t>
  </si>
  <si>
    <t>2019/10/16 15:39:04</t>
  </si>
  <si>
    <t>本人因经济这半年来因发生了一些事情，经济这方面变得非常困难，导致拿去花确实出现了一段时间的逾期，金额也不大，三个月加起来大概1088左右，刚刚接到客服的电话说要求我五点之前必须归还，否则她们会采取下一步流程，包括曝光通讯录之类的，我本人的意思是会积极还款，但是确实在这两个小时之内做不到全额还款，希望贵公司能够给予理解和协商，威胁曝光通讯录这件事就有点过分了，希望能够得到妥善解决。</t>
  </si>
  <si>
    <t>http://ts.21cn.com/tousu/show/id/1366439</t>
  </si>
  <si>
    <t>2019/10/16 15:39:03</t>
  </si>
  <si>
    <t>我希望你我贷官方能联系一下我，我现在因为催收打我通讯录电话，打到我公司，我工作也没了，我父母也每天接到很多电话，严重影响了日常生活。</t>
  </si>
  <si>
    <t>网贷时被要求支付6998元</t>
  </si>
  <si>
    <t>http://ts.21cn.com/tousu/show/id/1366171</t>
  </si>
  <si>
    <t>2019/10/16 15:38:53</t>
  </si>
  <si>
    <t>投诉人杨女士投诉对象中企创富涉诉金额6998元问题类型诉求类型投诉详情我在中企创富上进行贷款，一开始要求支付1000的工本费，之后说流水不够，要刷流水，又支付了5998的流水费用，说放款时一起打进账户，结果告知我，流水没有刷够，还要再支付八千多的流水费用，现在告诉我，如果我不继续支付，账户冻结的钱也不能返回给我，到期后仍旧要还款。</t>
  </si>
  <si>
    <t>天津金城随意扣款</t>
  </si>
  <si>
    <t>http://ts.21cn.com/tousu/show/id/1366440</t>
  </si>
  <si>
    <t>2019/10/16 15:38:43</t>
  </si>
  <si>
    <t>1、正规持牌机构，我今天一看，吓死人，逾期费用400元，还收了我的砍头利息！！2、随意和宝付支付蛇鼠一窝，随意划扣，防不胜防！！！。</t>
  </si>
  <si>
    <t>上海寻梦信息科技有限公司划扣银行卡里面的钱扣款不予退款</t>
  </si>
  <si>
    <t>http://ts.21cn.com/tousu/show/id/1366139</t>
  </si>
  <si>
    <t>2019/10/16 15:38:21</t>
  </si>
  <si>
    <t>投诉人李先生投诉对象上海寻梦信息科技有限公司涉诉金额5994元问题类型诉求类型投诉详情2019年10月15日晚上20:01到21:03上海寻梦信息技术有限公司分4次分别划扣我银行卡共计5994元，当时显示的是拼多多平台商户，后来我看银行扣款信息收款方是上海寻梦信息技术有限公司。</t>
  </si>
  <si>
    <t>钱伴高利贷</t>
  </si>
  <si>
    <t>http://ts.21cn.com/tousu/show/id/1366437</t>
  </si>
  <si>
    <t>2019/10/16 15:38:15</t>
  </si>
  <si>
    <t>本人在钱伴平台借了8000元，分6期还，每期还1573.33元，总的需要还9439.98元，总的利息费1439.98元，这合法吗，已经还了一期，由于个人经济有限，第二期还了810，逾期了11天，我也是没办法，催收员打电话来说今天下午四点在不还就要上报征信，我不是有意不还，不想还，而是没有能力，只能赚钱，赚多少还多少，第二期还的810元，我都是分了好几次还，希望贵公司能给我时间，我有多少就还多少，我也在努力。</t>
  </si>
  <si>
    <t>http://ts.21cn.com/tousu/show/id/1366435</t>
  </si>
  <si>
    <t>2019/10/16 15:37:18</t>
  </si>
  <si>
    <t>借了14400还这个钱的一倍～真的没有办法还下去了，我现在只能协商着给本金～本金还差2700。</t>
  </si>
  <si>
    <t>没有在该平台贷款却让我还款</t>
  </si>
  <si>
    <t>http://ts.21cn.com/tousu/show/id/1366434</t>
  </si>
  <si>
    <t>2019/10/16 15:37:04</t>
  </si>
  <si>
    <t>没有在该平台贷款，给我发信息，打电话让我还款2925.16元，还问我今天能处理不，一脸懵！。</t>
  </si>
  <si>
    <t>玖富万卡</t>
  </si>
  <si>
    <t>http://ts.21cn.com/tousu/show/id/1366432</t>
  </si>
  <si>
    <t>2019/10/16 15:36:40</t>
  </si>
  <si>
    <t>投诉人魏先生投诉对象玖富涉诉金额9400元问题类型诉求类型投诉详情说了要提前结清结果不处理天天还来催收骚扰恐吓。</t>
  </si>
  <si>
    <t>深圳市恒富创融科技有限公司恶意扣我银行卡的钱</t>
  </si>
  <si>
    <t>http://ts.21cn.com/tousu/show/id/1366431</t>
  </si>
  <si>
    <t>2019/10/16 15:36:30</t>
  </si>
  <si>
    <t>投诉人林先生投诉对象深圳市恒富创融科技有限公司涉诉金额196元问题类型诉求类型投诉详情2019年10月9日下午4:47分，恶意扣我银行卡2次56元，共112元，我要求深圳市恒富创融科技有限公司无条件足额退还我的钱共196元整。</t>
  </si>
  <si>
    <t>飞贷催收爆通讯录</t>
  </si>
  <si>
    <t>http://ts.21cn.com/tousu/show/id/1366430</t>
  </si>
  <si>
    <t>2019/10/16 15:36:24</t>
  </si>
  <si>
    <t>国家新规，2019年借款人逾期，贷款平台不得暴力催收，不得爆通讯录，恐吓，辱骂，但飞贷的催收部门视而不见，又不是不接电话，找不到人，又不是我家人借的，还骚扰家人，把国家法律当儿戏，爆通讯录我的家人朋友，还泄露我借款信息，已经违反了国家的法律法规，还影响每天的工作，有心还款的，变成生活的恐慌，希望这次的投诉能让更多的知道，不是不想还款，是这些所谓的暴力催收，无法忍受，谁还想还款，有的选择逃避。</t>
  </si>
  <si>
    <t>快钱支付为多个高利贷平台提供支付业务</t>
  </si>
  <si>
    <t>http://ts.21cn.com/tousu/show/id/1366428</t>
  </si>
  <si>
    <t>2019/10/16 15:36:03</t>
  </si>
  <si>
    <t>快钱支付作为第三方支付公司，多次为714高利贷套路贷平台提供支付渠道，本人将实名举报快钱支付，将证据链完整递交于央行北京总部及银保监会以及在支付清算协会实名制举报，违法违规为高利贷提供支付渠道。</t>
  </si>
  <si>
    <t>招联金融冻结额度</t>
  </si>
  <si>
    <t>http://ts.21cn.com/tousu/show/id/1366429</t>
  </si>
  <si>
    <t>招联金融无故冻结额度，一直正常还款，还剩几期的时候，额度不可用，客服让我一次性结清就可用了，结清后额度变成0。</t>
  </si>
  <si>
    <t>宜人贷APP严重违反监管部门下发的《关于规范整顿“现金贷”业务的通知》，收取高额砍头息2.8万余元</t>
  </si>
  <si>
    <t>http://ts.21cn.com/tousu/show/id/1366425</t>
  </si>
  <si>
    <t>2019/10/16 15:35:34</t>
  </si>
  <si>
    <t>本人在宜人贷APP借款15万元，宜人贷通过阴阳合同、砍头息的方式，签署合同金额17.85万元，违规收取信息咨询服务费28571.43万元，严重违反监管部门下发的《关于规范整顿“现金贷”业务的通知》。</t>
  </si>
  <si>
    <t>微博借钱骚扰</t>
  </si>
  <si>
    <t>http://ts.21cn.com/tousu/show/id/1366424</t>
  </si>
  <si>
    <t>2019/10/16 15:35:33</t>
  </si>
  <si>
    <t>每次都骚扰到家人朋友，还款当天并不能还款，还不能提前，强迫逾期，然后暴打通讯录。</t>
  </si>
  <si>
    <t>恶意群发信息</t>
  </si>
  <si>
    <t>http://ts.21cn.com/tousu/show/id/1366421</t>
  </si>
  <si>
    <t>2019/10/16 15:35:05</t>
  </si>
  <si>
    <t>投诉人花先生投诉对象卡卡贷涉诉金额700元问题类型诉求类型投诉详情前期爆通讯录骂人，客服说处理，一直没有处理，现在又群发通讯录，。</t>
  </si>
  <si>
    <t>http://ts.21cn.com/tousu/show/id/1366262</t>
  </si>
  <si>
    <t>2019/10/16 15:34:54</t>
  </si>
  <si>
    <t>花转转平台樱桃小借高利贷协商无果</t>
  </si>
  <si>
    <t>http://ts.21cn.com/tousu/show/id/1366419</t>
  </si>
  <si>
    <t>2019/10/16 15:34:36</t>
  </si>
  <si>
    <t>通过花转转平台申请的樱桃小借，因上个月19号开始平台原因，不能还款，期间通过多种方式联系客服，都无法联系上，借款2800.到账2800，28天还款，每7天一期，每期还款金额1022.46元，属于高利贷，平台造成逾期，每天逾期费用高达65元，已超出国家合规贷款利息范围，联系客服协商逾期费用全免和本金加580元利息结清，客服均不处理，理由都是没有权限不给处理问题，所以逾期费用一直在增加，期间也发起投诉，但都没人联系处理，且花转转催收人员每天骚扰本人催还款。</t>
  </si>
  <si>
    <t>发信息侮辱家人</t>
  </si>
  <si>
    <t>http://ts.21cn.com/tousu/show/id/1366418</t>
  </si>
  <si>
    <t>2019/10/16 15:34:30</t>
  </si>
  <si>
    <t>高利贷，不符合国家规定，暴力催收，侮辱信息。</t>
  </si>
  <si>
    <t>http://ts.21cn.com/tousu/show/id/1366416</t>
  </si>
  <si>
    <t>2019/10/16 15:34:23</t>
  </si>
  <si>
    <t>快贷宝快来借，砍头息，是由富友支付公司支付。</t>
  </si>
  <si>
    <t>汇收宜欺诈、恶意扣押、全额退款</t>
  </si>
  <si>
    <t>http://ts.21cn.com/tousu/show/id/1366417</t>
  </si>
  <si>
    <t>2019/10/16 15:34:08</t>
  </si>
  <si>
    <t>类似于pos机以百分之59加3手续费作为第三方软件可以还刷个人信用卡，以便解决个人信用卡资金周转紧张的一个平台！2019年7月2日上午点48分，刷本人信用卡8746元提现到本人银行卡，短信提醒刷卡成功，等了几十分钟，也没到账，在登陆app发现以订单不存在方式拒绝了资金转入的交易，至今历时2个多月还未到账，就打客服电话，结果所有电话全是虚假信息，百度才知道很多跟我一样以处理中为借口扣押他人现金！我觉得这就是平台恶意扣押资金并转入自己平台，再以处理中的方式恶意扣押资金！希望聚投诉尽快处理，万分感谢。</t>
  </si>
  <si>
    <t>高利贷，黑平台</t>
  </si>
  <si>
    <t>http://ts.21cn.com/tousu/show/id/1366414</t>
  </si>
  <si>
    <t>2019/10/16 15:33:33</t>
  </si>
  <si>
    <t>我在好分期借了2700，分期还，利息700多，总共要还3400多，目前已经逾期1一个多月。</t>
  </si>
  <si>
    <t>不按要求随意划扣银行卡资金</t>
  </si>
  <si>
    <t>http://ts.21cn.com/tousu/show/id/1366399</t>
  </si>
  <si>
    <t>2019/10/16 15:33:08</t>
  </si>
  <si>
    <t>投诉人王先生投诉对象涨盈普惠涉诉金额298元问题类型诉求类型投诉详情该机构以推荐贷款平台为主要业务，承诺不帮助得到款项不收费，最后没有完成相应的服务，就随意扣除费用，而且没有提前提示，该机构授信额度6000最后匹配机构1500，而且该机构推荐机构还要在收费且是不退还费用，也没有客服通知，直接扣除，要求还回扣除金额。</t>
  </si>
  <si>
    <t>罗汉分期不经本人同意乱扣费</t>
  </si>
  <si>
    <t>http://ts.21cn.com/tousu/show/id/1366413</t>
  </si>
  <si>
    <t>2019/10/16 15:32:52</t>
  </si>
  <si>
    <t>在不知情情况下扣除银行卡198元，并且未进行借款，无论你公司如何辩解，用户说被你们欺骗了，就是被你们欺骗了，故意用更加显眼地选项对用户造成了极大的迷惑性，这就是客观事实，不允许你公司继续狡辩，你公司APP的提交界面中:在提交之前，有两个选项，第二个选项是支付198元，此选项是故意迷惑用户的，让用户以为“只要不选中这个选项，就不需要花钱”，这就是典型的欺骗和违规，之后，用户的银行卡直接被此公司划去198元。</t>
  </si>
  <si>
    <t>高利贷，砍头息，阴阳合同</t>
  </si>
  <si>
    <t>http://ts.21cn.com/tousu/show/id/1366412</t>
  </si>
  <si>
    <t>2019/10/16 15:32:26</t>
  </si>
  <si>
    <t>投诉人张女士投诉对象钱站,及贷涉诉金额61000元问题类型诉求类型投诉详情钱站，及贷，阴阳合同，高利贷，我在钱站贷款55000但是合同是72600元，当时打款给我72600元后立即扣除17600元，分期24个月，我现在已经偿还了9期33940.26元，但是现在还要我偿还53000真的是看着让人触目惊心，按照这个计算总共金额需要偿还90501.36元，这完全属于高利贷，阴阳合同，另外及贷也是借款6000元，但是合同是6745.92元，下款之后直接扣除745.92元分期12个月，目前已经偿还了7期4917.01</t>
  </si>
  <si>
    <t>腾讯会员重复扣费</t>
  </si>
  <si>
    <t>http://ts.21cn.com/tousu/show/id/1366410</t>
  </si>
  <si>
    <t>2019/10/16 15:31:32</t>
  </si>
  <si>
    <t>我在2019/6/18晚上购买了一年的腾讯会员，但是腾讯每7月/8月/9月/10月，还是每个月对我进行了15元的扣款！请求退还我这四个月的扣款60元！。</t>
  </si>
  <si>
    <t>拼多多无故冻结店铺资金，不让提现</t>
  </si>
  <si>
    <t>http://ts.21cn.com/tousu/show/id/1366408</t>
  </si>
  <si>
    <t>2019/10/16 15:31:01</t>
  </si>
  <si>
    <t>无缘无故冻结我资金不让提现，我们打售后客服电话，一直以各种理由推脱，拖着不退款,冻结我帐户资金已经超过40天，一直拖着不解决，我们做生意需要资金周转，一直扣着我们资金不让提现，拼多多是不是想吞了我货款。</t>
  </si>
  <si>
    <t>http://ts.21cn.com/tousu/show/id/1366407</t>
  </si>
  <si>
    <t>2019/10/16 15:30:53</t>
  </si>
  <si>
    <t>我说明了逾期的原因，他们高利贷，借5000还10000，我也表示会想办法解决，钱站催收不依不饶，暴力催收，骚扰我通讯录，已经违法了，我朋友说再打的话就报警，钱站催收根本无视法律，还一直打，眼里根本没有法律。</t>
  </si>
  <si>
    <t>我点开会员服务，退出来直接扣款了</t>
  </si>
  <si>
    <t>http://ts.21cn.com/tousu/show/id/1366406</t>
  </si>
  <si>
    <t>2019/10/16 15:30:13</t>
  </si>
  <si>
    <t>我点开看会员协议，退出来的时候直接扣款了，没有让我确认扣款，恶意营销。</t>
  </si>
  <si>
    <t>花转转、樱桃小借</t>
  </si>
  <si>
    <t>http://ts.21cn.com/tousu/show/id/1366405</t>
  </si>
  <si>
    <t>2019/10/16 15:29:55</t>
  </si>
  <si>
    <t>借款3000，到账2100，，分四期还，每期790，，到期后APP打不开，客服电话一直打不进去，！10月16号催收开始催收，态度恶劣，希望下架产品，严惩高利贷！。</t>
  </si>
  <si>
    <t>http://ts.21cn.com/tousu/show/id/1366404</t>
  </si>
  <si>
    <t>2019/10/16 15:29:15</t>
  </si>
  <si>
    <t>投诉人 田先生        投诉对象  玖富万卡        涉诉金额  20 000 元    问题类型    诉求类型投诉详情  借款2万 需要还款28000多元 这个是不是高利贷</t>
  </si>
  <si>
    <t>拖欠员工工资</t>
  </si>
  <si>
    <t>http://ts.21cn.com/tousu/show/id/1366402</t>
  </si>
  <si>
    <t>2019/10/16 15:28:35</t>
  </si>
  <si>
    <t>9月30日辞工，现在10月15号了都没拿到8月份和9月份的工资。</t>
  </si>
  <si>
    <t>智行火车票在不知情况下收入40元服务费要求退费</t>
  </si>
  <si>
    <t>http://ts.21cn.com/tousu/show/id/1366398</t>
  </si>
  <si>
    <t>2019/10/16 15:27:53</t>
  </si>
  <si>
    <t>2019年10月2日15点21分在智行网抢票，买了两张火车票，单张票价是63.5元，共127元，收费时收取167元，多收40元，并没有给消费者明显的提示，扣费时才发现扣费不对，此行为带有隐形强制消费行为，不合理，要求退还多扣费用。</t>
  </si>
  <si>
    <t>铂爵旅拍言不符实虚假宣传</t>
  </si>
  <si>
    <t>http://ts.21cn.com/tousu/show/id/1366397</t>
  </si>
  <si>
    <t>2019/10/16 15:27:49</t>
  </si>
  <si>
    <t>1、前期售前对整个拍摄过程讲解不清，只给看客片，没有涉及后期选片，相册材质问题，以及相册保质问题，2、合同中未明确标出相册材质，后期选片师沟通不顺畅，3、后期选片师多次暗示不多加精修片不加钱就不能升级换质量好一些的相册，沟通很久，争吵很久后，选片师又说一张纸360元人民币，我想知道360元一页纸是否合理，4、拍摄前期，衣服的搭配，鞋子都没有考虑周到，直到拍摄时，化妆师助理随意的拿了一双皮鞋穿上，腰带也没有搭配，都是一些特别劣质的腰带，全程也没有更换别的腰带，除了我自己带的一根，5，化妆师敷衍，新郎的造型，化</t>
  </si>
  <si>
    <t>小花钱包威胁打通讯录</t>
  </si>
  <si>
    <t>http://ts.21cn.com/tousu/show/id/1366395</t>
  </si>
  <si>
    <t>2019/10/16 15:27:33</t>
  </si>
  <si>
    <t>小花钱包，因为资金困难，所以账单逾期了两期，催收打电话通知处理，中午的时候就处理了一期，下午打电话来和催收协商最迟给到明天能处理好，催收威胁说他们公司对态度和时间有明确规定，不在规定时间内处理好就打通讯录的，还说自己是正规的，银行都规定不允许打通讯录，还那么嚣张的威胁～而且阴阳合同，每次还了钱，都不是页面显示的，聚投诉不管就银监会吧，报警都可以，电话都有录音。</t>
  </si>
  <si>
    <t>招商银行威胁不联系本人</t>
  </si>
  <si>
    <t>http://ts.21cn.com/tousu/show/id/1366396</t>
  </si>
  <si>
    <t>2019/10/16 15:27:30</t>
  </si>
  <si>
    <t>投诉人 张女士        投诉对象  招商银行信用卡        涉诉金额  40 000 元    问题类型    诉求类型投诉详情  没联系本人还款 直接骚扰通讯录的人 威胁 恐吓 暴力催收</t>
  </si>
  <si>
    <t>信号不好</t>
  </si>
  <si>
    <t>http://ts.21cn.com/tousu/show/id/1366394</t>
  </si>
  <si>
    <t>2019/10/16 15:27:22</t>
  </si>
  <si>
    <t>经常4g没有信号，3g又拖不动，给客户打了电话一直没有解决，不知道怎么回事。</t>
  </si>
  <si>
    <t>来分期暴力催收，骚扰通讯录，恐吓威胁，态度恶劣</t>
  </si>
  <si>
    <t>http://ts.21cn.com/tousu/show/id/1366392</t>
  </si>
  <si>
    <t>2019/10/16 15:26:50</t>
  </si>
  <si>
    <t>投诉人胡先生投诉对象来分期涉诉金额200元问题类型诉求类型投诉详情来分期暴力催收，骚扰联系人，轰炸通讯录，态度极其恶劣。</t>
  </si>
  <si>
    <t>闪银奇异电话骚扰暴力催收</t>
  </si>
  <si>
    <t>http://ts.21cn.com/tousu/show/id/1366391</t>
  </si>
  <si>
    <t>2019/10/16 15:26:47</t>
  </si>
  <si>
    <t>电话骚扰通讯录，威胁恐吓好友，朋友都给我打电话了，。</t>
  </si>
  <si>
    <t>随意扣款r欺诈消费者</t>
  </si>
  <si>
    <t>http://ts.21cn.com/tousu/show/id/1366393</t>
  </si>
  <si>
    <t>2019/10/16 15:26:45</t>
  </si>
  <si>
    <t>随意扣款欺诈消费者，要求退款，随意扣款298.5元，霸王条款，客服态度推诿，一点责任心都没有。</t>
  </si>
  <si>
    <t>投诉中国联合网络通信有限公司给赌博网站提供充值通道</t>
  </si>
  <si>
    <t>http://ts.21cn.com/tousu/show/id/1366390</t>
  </si>
  <si>
    <t>2019/10/16 15:26:40</t>
  </si>
  <si>
    <t>投诉中国联合网络通信有限公司给赌博网站提供支付通道。</t>
  </si>
  <si>
    <t>投诉淘豆分期乱扣钱</t>
  </si>
  <si>
    <t>http://ts.21cn.com/tousu/show/id/1366387</t>
  </si>
  <si>
    <t>2019/10/16 15:25:35</t>
  </si>
  <si>
    <t>淘豆分期非法扣款，扣除本人299员会员费，没有经过本人允许，没有支付密码就扣款，要求全额退款，不然投诉到底，银保监会投诉！。</t>
  </si>
  <si>
    <t>频繁骚扰电话家人，恐吓</t>
  </si>
  <si>
    <t>http://ts.21cn.com/tousu/show/id/1366365</t>
  </si>
  <si>
    <t>2019/10/16 15:25:14</t>
  </si>
  <si>
    <t>电话打来被移动骚扰拦截了，就疯狂给家里打电话，你们这样道德吗。</t>
  </si>
  <si>
    <t>左右钱包5天高利贷砍头息</t>
  </si>
  <si>
    <t>http://ts.21cn.com/tousu/show/id/1366384</t>
  </si>
  <si>
    <t>2019/10/16 15:24:58</t>
  </si>
  <si>
    <t>10月17日到期，在APP上没有联系客服，只有QQ，但是长期不在线，请聚投诉平台协助处理！因本人债务爆发，无力偿还如此之高的利息，现本人愿偿还本金+合理利息解决此事并销账处理。</t>
  </si>
  <si>
    <t>微信支付商户平台提现权限关闭</t>
  </si>
  <si>
    <t>http://ts.21cn.com/tousu/show/id/1366385</t>
  </si>
  <si>
    <t>2019/10/16 15:24:57</t>
  </si>
  <si>
    <t>投诉人易恩斌投诉对象微信支付商业版涉诉金额15061元问题类型诉求类型投诉详情2019年07月27日收款28日发现没有提现到账.查看微信商业版发现交易拦截提示“涉嫌交易异常”与客服联系说可以违约申诉.然后按照流程至今天2019年10月16日申诉了8次都是维持原判.。</t>
  </si>
  <si>
    <t>卡宾男鞋官方旗舰店存在欺诈消费者行为</t>
  </si>
  <si>
    <t>http://ts.21cn.com/tousu/show/id/1366386</t>
  </si>
  <si>
    <t>在该店铺买了一双鞋后迟迟不愿意发货，还欺骗我说现在仓库没有货，但是在淘宝上却正常上架，顾客可以正常购买，然后用另一个号进行购买询问后，发现这个商家言辞凿凿的说能买就是有货，反复确认有货，因此认为该商家在欺诈消费者，按照法律进行3倍实际消费金额的索赔。</t>
  </si>
  <si>
    <t>无故骚扰无关人员态度差</t>
  </si>
  <si>
    <t>http://ts.21cn.com/tousu/show/id/1366383</t>
  </si>
  <si>
    <t>2019/10/16 15:24:10</t>
  </si>
  <si>
    <t>投诉人张先生投诉对象你我贷涉诉金额0元问题类型诉求类型投诉详情你我贷无脑催收员1.三土这个字请仔细查查清楚是不是多音字人名都读不准怎么好意思腆着个大脸盘子电话东打西打，文化水平低就不要装文化人在这儿跟人顶嘴你有文化有能力有学历也不至于做网贷催收这种天天被人骂薪资还不高的低等工作了2.借款人当时拿本人手机号作为紧急联系人的时候你我贷平台没有经过任何审核无脑催收员还跟这儿顶嘴审核电话没接过你有什么资格跟这儿顶嘴，最近几年通话记录你们有那个实力我授权尔等调查看看有没有你们所谓的审核电话，借款人2017年6月离开本</t>
  </si>
  <si>
    <t>闪贷至尊借款暴力催收</t>
  </si>
  <si>
    <t>http://ts.21cn.com/tousu/show/id/1366382</t>
  </si>
  <si>
    <t>2019/10/16 15:23:48</t>
  </si>
  <si>
    <t>催收人员侮辱恐吓我以及我的家人朋友给他们的正常生活带来严重伤害要求闪银做出道歉。</t>
  </si>
  <si>
    <t>滴滴网约车司机绕路造成化疗手术延误</t>
  </si>
  <si>
    <t>http://ts.21cn.com/tousu/show/id/1366380</t>
  </si>
  <si>
    <t>2019/10/16 15:23:12</t>
  </si>
  <si>
    <t>2019年8月18日9点我通过滴滴平台预约滴滴网约车，9点28分该车到达起点成都水碾河路14号附1号蜀都花园东北门，出发前往终点：成都武侯区长寿南路15号四川省肿瘤医院东门，本次坐车原因是我父亲是癌症患者做化疗手术，该手术需要预约时间，因本人在上班，故只有我77岁父亲75岁妈妈69岁的小姨坐该车，该车司机见乘客均为老人便在双桥子立交故意绕路直到被我父母发现后，才返回原路前往终点，但在科华路立交又故意不下立交前往人南立交绕路，因为这2次绕路时间耽搁，我父亲错过了化疗手术，，因错过化疗手术，造成我父亲病情加重，</t>
  </si>
  <si>
    <t>薪薪借钱强行扣款199元</t>
  </si>
  <si>
    <t>http://ts.21cn.com/tousu/show/id/1366379</t>
  </si>
  <si>
    <t>2019/10/16 15:23:01</t>
  </si>
  <si>
    <t>之前应该注册过小额贷款，但是看到里面都是推荐平台，注册过就删除了，今天突然恶意扣款我199元的所谓的会员服务，我根本就不知情！！请早点处理，必须全额退款。</t>
  </si>
  <si>
    <t>闪银至尊贷高利贷</t>
  </si>
  <si>
    <t>http://ts.21cn.com/tousu/show/id/1366381</t>
  </si>
  <si>
    <t>2019/10/16 15:22:53</t>
  </si>
  <si>
    <t>1.本人于闪银借款5000元，分六个月，每个月还款达到970元，合计需还近六千，2.闪银利息不合理，本人暂时无能力继续偿还了，多次致电协商电话不通，3.本人目前只能结清剩余本息部分，罚息实在太高，无力偿还，4.征信已经被搞花了，请闪银协助商量还款事宜，谢谢！。</t>
  </si>
  <si>
    <t>花呗暴力催收</t>
  </si>
  <si>
    <t>http://ts.21cn.com/tousu/show/id/1366377</t>
  </si>
  <si>
    <t>2019/10/16 15:22:30</t>
  </si>
  <si>
    <t>投诉人 邱先生        投诉对象  支付宝        涉诉金额  4 060 元    问题类型    诉求类型投诉详情  态度强硬恶劣强加威胁， 还款时间没有协商余地 当天电话当天必须还 多次骚扰朋友 同事</t>
  </si>
  <si>
    <t>砍头息，威胁。骂人</t>
  </si>
  <si>
    <t>http://ts.21cn.com/tousu/show/id/1366375</t>
  </si>
  <si>
    <t>2019/10/16 15:21:22</t>
  </si>
  <si>
    <t>广告说3000利息就几十块，结果借3000，已经还完2期，打电话给客服协商还款，结果直接打爆通讯录威胁家人，辱骂家人。</t>
  </si>
  <si>
    <t>微信商用收款码收的款冻结</t>
  </si>
  <si>
    <t>http://ts.21cn.com/tousu/show/id/1366374</t>
  </si>
  <si>
    <t>2019/10/16 15:21:10</t>
  </si>
  <si>
    <t>我和我老婆赚钱养家不容易，麻烦加急处理，找不到其它的处理办法，客服不好联系。</t>
  </si>
  <si>
    <t>退还诺信用计划会员费</t>
  </si>
  <si>
    <t>http://ts.21cn.com/tousu/show/id/1366373</t>
  </si>
  <si>
    <t>2019/10/16 15:20:51</t>
  </si>
  <si>
    <t>我要求退会员费，但是平台说没有备付金，不能退给我，每次问都是拖，让多等几天。</t>
  </si>
  <si>
    <t>现金巴士会员费变相砍头</t>
  </si>
  <si>
    <t>http://ts.21cn.com/tousu/show/id/1366372</t>
  </si>
  <si>
    <t>2019/10/16 15:20:18</t>
  </si>
  <si>
    <t>现金巴士借款，诱导会员费，借款两次，扣除会员费400，要求退换会员权益就是加速放款?无实质性的东西，不合理。</t>
  </si>
  <si>
    <t>捷信金融电话轰炸</t>
  </si>
  <si>
    <t>http://ts.21cn.com/tousu/show/id/1366370</t>
  </si>
  <si>
    <t>2019/10/16 15:19:49</t>
  </si>
  <si>
    <t>不是不还有钱肯定不会逾期天天打电话没完没了。</t>
  </si>
  <si>
    <t>月光侠分期高利贷，借3200要还5300元</t>
  </si>
  <si>
    <t>http://ts.21cn.com/tousu/show/id/1366369</t>
  </si>
  <si>
    <t>2019/10/16 15:19:45</t>
  </si>
  <si>
    <t>投诉人尹金华投诉对象月光侠分期涉诉金额3200元问题类型诉求类型投诉详情这是我见过最厉害的高利贷，砍头息，合同上面写了800，是借了款才看见，而且他们的客服电话，能打进去就等于中奖，我也不想当老赖，国家规定利息我能接受，这个利息我也还不起。</t>
  </si>
  <si>
    <t>淘豆分期未经允许私自扣除银行卡内199元</t>
  </si>
  <si>
    <t>http://ts.21cn.com/tousu/show/id/1366368</t>
  </si>
  <si>
    <t>2019/10/16 15:19:12</t>
  </si>
  <si>
    <t>淘豆分期在未经我同意的情况下恶意引导我购买VIP并擅自扣除我卡里199元，属于欺诈，我要求淘豆分期立刻退款并道歉。</t>
  </si>
  <si>
    <t>还款套路</t>
  </si>
  <si>
    <t>http://ts.21cn.com/tousu/show/id/1366366</t>
  </si>
  <si>
    <t>2019/10/16 15:18:45</t>
  </si>
  <si>
    <t>正常还款，这次还了就变贷款超市希望恢复借款。</t>
  </si>
  <si>
    <t>你我贷利息过高，无法减免提前结清</t>
  </si>
  <si>
    <t>http://ts.21cn.com/tousu/show/id/1366364</t>
  </si>
  <si>
    <t>2019/10/16 15:18:12</t>
  </si>
  <si>
    <t>本人2019年4月因个人资金原因向你我贷借款30000元，分12期，由于本人网贷较多，现已无力承担还款，本人还款意愿强烈，也不想以后出现逾期和还不起的情况出现，所以我带着诚意向客服协商沟通一次性结清并减免一定费用，我个人情况也向客服说明了，最近资金周转困难，但是客服给我答复无法减免费用，我借30000块钱到现在5个月，已经还了本金加上各项息费15000多元，现在还需要我还23000多，这个费用太高无法接受，如果你我贷还不愿意协商减免费用，我会向相关部门进行投诉，并一分钱不还，直到协商满意为止。</t>
  </si>
  <si>
    <t>王者钱包高利贷砍头息</t>
  </si>
  <si>
    <t>http://ts.21cn.com/tousu/show/id/1366361</t>
  </si>
  <si>
    <t>2019/10/16 15:17:36</t>
  </si>
  <si>
    <t>王者钱包由汇潮支付提供支付渠道，借款日期仅为五天，超级高利贷砍头息，实际到账1860元，利息1153.2元，在国家如此加大力度打击套路贷期间，仍有不法分子变本加厉顶风而上，王法何在。</t>
  </si>
  <si>
    <t>给我结清证明</t>
  </si>
  <si>
    <t>http://ts.21cn.com/tousu/show/id/1366360</t>
  </si>
  <si>
    <t>2019/10/16 15:17:28</t>
  </si>
  <si>
    <t>9月20日，本人已还20期，加上2018年1月19日多扣的一期，总共已还21期，合计金额：21期*2066.63元/期=43399.23元，另本人在10月8日，通过上海公安局浦东分局，提供的对公账户转入350元到证大账上，合计=43399.23+350=43749.23元，然这段时间，上海证大财富一直有所谓的工作人员，打电话给我，让我继续还款，而且还胡搅蛮缠、素质低、不讲理，本人已经录音，我也有跟他们沟通在已还24%的基层上，再还1000块，但是要出具结清证明给我，竟然不同意…呵呵，在今天，另个所谓的工作人</t>
  </si>
  <si>
    <t>中邮消费，邮政储蓄银行，泄露个人信息，倒卖个人信息</t>
  </si>
  <si>
    <t>http://ts.21cn.com/tousu/show/id/1366362</t>
  </si>
  <si>
    <t>2019/10/16 15:17:21</t>
  </si>
  <si>
    <t>今天接到一个贵阳的手机号176******87，说我在大学期间办理了邮政储蓄银行旗下中邮消费的贷款，还报出了我的身份证以及学校名字，还说身份证是我的，但办理的号码不是我本人，还威胁我说这个会上传到我的征信，都已经录音了，现在有几点需要中邮消费以及邮政储蓄银行给我回复，①我跟邮政储蓄银行这个中邮消费没有半点合作过的印象，征信也没有显示任何合作过的记录，为什么会有我的身份证，②本人手机号码使用快10年，并没有更换，为什么现在才告诉我有这东西，③我没有办理这些大学生贷款，为什么你们有权利上传这些到我的征信，⑤你们</t>
  </si>
  <si>
    <t>恶意操作导致商品中断服务</t>
  </si>
  <si>
    <t>http://ts.21cn.com/tousu/show/id/1366358</t>
  </si>
  <si>
    <t>2019/10/16 15:17:15</t>
  </si>
  <si>
    <t>投诉人张先生投诉对象北京万邦保屏科技涉诉金额7999元问题类型诉求类型投诉详情在符合退货的商品上恶意沾上胶水，说是划痕导致无法正常享受服务。</t>
  </si>
  <si>
    <t>http://ts.21cn.com/tousu/show/id/1366357</t>
  </si>
  <si>
    <t>2019/10/16 15:16:47</t>
  </si>
  <si>
    <t>本人在豆豆在借钱，已经偿还到最后一期，但是不知道他们利息那么高，在2019年10月16号下午爆我通讯录，我希望他们能缓几天，我也不是借钱不还，现在资金紧张。</t>
  </si>
  <si>
    <t>洋钱灌暴力催收，骚扰通讯录</t>
  </si>
  <si>
    <t>http://ts.21cn.com/tousu/show/id/1366355</t>
  </si>
  <si>
    <t>2019/10/16 15:16:26</t>
  </si>
  <si>
    <t>洋钱灌一直骚扰本人通讯录的人，给别人很大骚扰，利息高于国家法律标准，分期不合理不平均。</t>
  </si>
  <si>
    <t>轻周转高额手续费及平台方恶意逾期</t>
  </si>
  <si>
    <t>http://ts.21cn.com/tousu/show/id/1366354</t>
  </si>
  <si>
    <t>2019/10/16 15:16:16</t>
  </si>
  <si>
    <t>8月19日借，借款2100，要还3067.2元，手续费高达967.2元，因平台原因还款失败，平台方恶意收取逾期费用高达1050元，32天/4期，要还1022.4元每期，含本金700+手续费322.4元，，已还0期，因平台原因还款失败，平台方恶意收取逾期费用高达3310元！要求：停止非法罚息，调整借贷利率，免除非法手续费！联系本人处理本金及合法利息还款。</t>
  </si>
  <si>
    <t>有钱花恶意催收</t>
  </si>
  <si>
    <t>http://ts.21cn.com/tousu/show/id/1366353</t>
  </si>
  <si>
    <t>2019/10/16 15:16:13</t>
  </si>
  <si>
    <t>本人5月份在有钱花尊享贷借款40000元，结果款还进去后就无故给我把额度关了！导致我资金链断裂无法还款，我通过客服协商等我领工资后还款，客服态度恶劣拒绝协商，后不断打电话骚扰！恐吓、威胁本人在12点前不处理的话就爆通讯录！严重影响本人的生活工作！对我工作造成很大影响，如果工作因此丢了这个损失谁来赔。</t>
  </si>
  <si>
    <t>华夏银行信用卡年费问题</t>
  </si>
  <si>
    <t>http://ts.21cn.com/tousu/show/id/1366351</t>
  </si>
  <si>
    <t>2019/10/16 15:15:32</t>
  </si>
  <si>
    <t>本人还款时发现9月被扣年费380，与华夏银行信用卡客服沟通，对方告知需积分较上一年度递增1万以上，才能办理免年费，且消费不一定就积分，最初办理时承诺每年消费满五次即免年费，并无类似积分递增约定，要求返还自本人办卡以来所有不合理扣除的年费本金及利息，并保证后续严格履行每年消费五次即免年费的约定。</t>
  </si>
  <si>
    <t>拇指下款恶意捆绑快捷支付，乱扣钱</t>
  </si>
  <si>
    <t>http://ts.21cn.com/tousu/show/id/1366350</t>
  </si>
  <si>
    <t>2019/10/16 15:15:23</t>
  </si>
  <si>
    <t>本人因近期需要资金周转，在拇指下款这个软件上面注册，填写信息，申请贷款时，在此软件并没有明确告知的情况下，银行卡被恶意开通免密支付，快捷支付，被拇指下款扣除200元，单笔都是100元，为了安全赶紧转移的卡上的余额，拇指下款在没有明确说明时，误导消费者填写资料，查什么信息费用，也没有说明会直接扣款，你填写完资料提交直接扣款！还开通了自动免密支付！要求，拇指下款停止此行为，退回相关扣款。</t>
  </si>
  <si>
    <t>钱包易贷砍头息！</t>
  </si>
  <si>
    <t>http://ts.21cn.com/tousu/show/id/1366349</t>
  </si>
  <si>
    <t>2019/10/16 15:15:00</t>
  </si>
  <si>
    <t>本人在2019年2.18日在钱包易贷申请借款，实际申请4000元到账然后被所谓的管理费扣走527.24！实际到手3472.76元！这是赤裸裸的砍头息，请钱包易贷客服能协商还款最后金额！。</t>
  </si>
  <si>
    <t>网商园分销软件不完善</t>
  </si>
  <si>
    <t>http://ts.21cn.com/tousu/show/id/1366348</t>
  </si>
  <si>
    <t>2019/10/16 15:14:50</t>
  </si>
  <si>
    <t>我在网商园分销平台拿货，在有效退货期申请退货，客服审核通过了我的退货申请，然后我就把我的货发快递退回去，在10月15日晚上我查询退货详情的时候不小心触碰了撤消退货申请，没有二次确认的情况下就给我撤消了退货，现在以我订单超过15天为由不让我退货，本人觉得网商园分销平台app不完善造成我的损失，为什么撤消退货没有二次确认就撤消了我的退货，请网商园给出解释尽快处理。</t>
  </si>
  <si>
    <t>恢复账户权限，给予补偿</t>
  </si>
  <si>
    <t>http://ts.21cn.com/tousu/show/id/1366347</t>
  </si>
  <si>
    <t>2019/10/16 15:14:28</t>
  </si>
  <si>
    <t>16年在不知情的情况下，逾期了花呗借呗各1000左右，3到6个月内才接到催款信息，导致逾期，本人对此并不知情，收到信息后积极还款，并拨打人工客服处理此事，人工客服说可以申诉，保持良好记录，可现在都三年了，借呗花呗关闭，芝麻分也未能恢复，可是当初客服说的是可以保持良好记录，帮我申诉，我希望支付宝能恢复账户权限，给予补偿，请明察。</t>
  </si>
  <si>
    <t>华泰证券违规开户</t>
  </si>
  <si>
    <t>http://ts.21cn.com/tousu/show/id/1366344</t>
  </si>
  <si>
    <t>2019/10/16 15:13:23</t>
  </si>
  <si>
    <t>本人之前在第三方悬赏平台在华泰证券靖江人民中路营业部开设个人账户并挂靠在靖江人民中路营业部某客户经理名下，开户半个月后得知当时开户人员并非华泰证券职员，故在9月30致电华泰证券客服进行需要销户及违规开户的投诉，当日上午该证券公司靖江人民中路营业部人员给我回电，给出的回复是该开户流程无营业部无关，并非营业部所授权，该客户经理也并不知情，本人对于这样的回复完全不接受，当日希望继续与该客户经理沟通并多次致电该营业部来电号码未有人接听，打去总部客服转告该营业部回电，也并没有人给我回电，因国庆长假，本人于10月8日再</t>
  </si>
  <si>
    <t>马上消费金融不对客户负责任</t>
  </si>
  <si>
    <t>http://ts.21cn.com/tousu/show/id/1366343</t>
  </si>
  <si>
    <t>2019/10/16 15:12:58</t>
  </si>
  <si>
    <t>马上消费不愿核实电话录音内容，并且提供特别多记录，就算这样！仔细想想并且咨询了律师朋友，为什么会出现马上消费金融不在事前通知到位，而是做事后诸葛亮，为了众多消费者的权益得到保护，希望大家都可以来维护我们个人利益！。</t>
  </si>
  <si>
    <t>支付宝，为非法网站及商户提供支付接口</t>
  </si>
  <si>
    <t>http://ts.21cn.com/tousu/show/id/1366341</t>
  </si>
  <si>
    <t>2019/10/16 15:12:14</t>
  </si>
  <si>
    <t>微信莫名添加我微信，说做兼职领佣金，我答应了，他给我下发链接下载了App注册了，他说你完成单数金额达到5000就有500佣金，我开始尝试性坐下，小金额刷单，结果他后面的单子就要是设置好了的，金额多少我都得付，发现他那个链接是博彩的，支付通道是支付宝，我看是支付宝也没犹疑，后面充值金额感觉越来越大，我不敢做了，就选择把佣金还有充值资金全部提出，结果提不了，微信加我的人也把我删了，支付宝成立了，也没处理商户，还推脱责任。</t>
  </si>
  <si>
    <t>山东企聘人力资源有限公司合作欺诈</t>
  </si>
  <si>
    <t>http://ts.21cn.com/tousu/show/id/1366340</t>
  </si>
  <si>
    <t>本公司与2019年9月30日与山东企聘人力资源有限公司签署关于委托山东企聘人力资源有限公司推荐求职者合同，合同签署前销售人员曾明确说明第一周邀约1-3次，每次3-5人，现已经过去两周的时间，山东企聘人力资源有限公司只是推荐了三个人到本公司面试，并且还存在对于应聘人员胡说上班时间，让自由应聘人员以托儿的形式来到本公司面试，已经违反了签署合同“乙方的权利和义务”中第四条中的内容，并且先山东企聘人力资源有限公司从销售人员到客服人员拒接我公司所有电话，现希望山东企聘人力资源有限公司接触与我公司的所签署的合同，接触合</t>
  </si>
  <si>
    <t>平安银行信用卡收取高额违约金和利息</t>
  </si>
  <si>
    <t>http://ts.21cn.com/tousu/show/id/1366342</t>
  </si>
  <si>
    <t>2019/10/16 15:12:06</t>
  </si>
  <si>
    <t>投诉人陈先生投诉对象平安银行信用卡涉诉金额10000元问题类型诉求类型投诉详情平安银行信用卡收取高额违约金和利息，要求退还2017年至2019年所以违约金和利息。</t>
  </si>
  <si>
    <t>随心go暴力催收骚扰通讯录</t>
  </si>
  <si>
    <t>http://ts.21cn.com/tousu/show/id/1366338</t>
  </si>
  <si>
    <t>2019/10/16 15:11:55</t>
  </si>
  <si>
    <t>投诉人 陈先生        投诉对象  随心go        涉诉金额  700 元    问题类型    诉求类型投诉详情  骚扰通讯录朋友，以前就骚扰过，现在又骚扰</t>
  </si>
  <si>
    <t>http://ts.21cn.com/tousu/show/id/1366145</t>
  </si>
  <si>
    <t>投诉人蒋女士投诉对象宜信普惠涉诉金额60000元问题类型诉求类型投诉详情我老公在宜信宜人贷被套路，现在我老公出事，宜信联系不上他联系我要求我给他还钱，说是前面一笔还有几万没结清，还有44000多的咨询管理费，我想问你们怎么咨询怎么管理要这么高的费用，后来协商结清说可以帮我申请结清，但必须把前面的逾期的钱先还掉，说还掉就可以把我申请减免这些所谓的管理费，我就按要求把前面两期连逾期费还了，但后面又来跟我说只能减免8000，说我提供资料不行，今天又来打电话给我要求我还钱，我想问我老公贷款没我签名，你们凭什么来要求</t>
  </si>
  <si>
    <t>快闪卡贷高利贷,砍头息，不解决砍头息的问题</t>
  </si>
  <si>
    <t>http://ts.21cn.com/tousu/show/id/1366339</t>
  </si>
  <si>
    <t>2019/10/16 15:11:45</t>
  </si>
  <si>
    <t>投诉人熊先生投诉对象快闪卡贷,晋商消费金融,小闪分期涉诉金额20000元问题类型诉求类型投诉详情本人于2019年8月申请快闪卡贷，合同金20000元6期，初审成功到提现到签约最后到账app内都对砍头息只字未提，到账金额为20000，由现在每月需要还款4271.58，一共需要还款25629.48，借款18040半年期还款25629.48，利息高达7589.48，年利率=。</t>
  </si>
  <si>
    <t>畅捷支付为高利贷提供放款渠道</t>
  </si>
  <si>
    <t>http://ts.21cn.com/tousu/show/id/1366337</t>
  </si>
  <si>
    <t>2019/10/16 15:11:29</t>
  </si>
  <si>
    <t>本人2019年8月29日在信用管家里面申请了一款叫做薪意贷的贷款，借款3000元到账2250元，分6期，10天一期，每期要还款522.05元，利息远远超过国家规定的年利率36%，现已还4期2088元，放款方为畅捷支付，要求后面两期协商结清销帐。</t>
  </si>
  <si>
    <t>牛牛贷超级利息还恐吓威胁</t>
  </si>
  <si>
    <t>http://ts.21cn.com/tousu/show/id/1366336</t>
  </si>
  <si>
    <t>2019/10/16 15:11:28</t>
  </si>
  <si>
    <t>一直发消息恐吓威胁，要求停止骚扰，做出道歉。</t>
  </si>
  <si>
    <t>拍拍贷暴力催收、冒充公检法</t>
  </si>
  <si>
    <t>http://ts.21cn.com/tousu/show/id/1366308</t>
  </si>
  <si>
    <t>2019/10/16 15:10:26</t>
  </si>
  <si>
    <t>催收人员不断骚扰我通讯录联系人，给我亲人朋友不断的打电话，对我造成极大的伤害！更厉害的是冒充公检法，发布诉讼开庭公告！还威胁给我公司打电话，让我丢掉工作！。</t>
  </si>
  <si>
    <t>我来贷借款不能提前还款减息</t>
  </si>
  <si>
    <t>http://ts.21cn.com/tousu/show/id/1366332</t>
  </si>
  <si>
    <t>2019/10/16 15:09:43</t>
  </si>
  <si>
    <t>投诉人唐先生投诉对象我来数科涉诉金额19000元问题类型诉求类型投诉详情打电话给人工客服，说不能提前还款，要我一期一期还，每期利息不高，服务费很高，我要求减少服务费我要提前还款，找客户说2月起系统升级不接受提前还款，借款合同没有列明和告知。</t>
  </si>
  <si>
    <t>美团生意贷请让我分期还款</t>
  </si>
  <si>
    <t>http://ts.21cn.com/tousu/show/id/1366331</t>
  </si>
  <si>
    <t>2019/10/16 15:09:25</t>
  </si>
  <si>
    <t>投诉人高女士投诉对象美团金融涉诉金额10000元问题类型诉求类型投诉详情我因这两年生意不好美团商家开店宝有一美团生意贷扶持中小企业资金，共贷款了10万分两笔每笔五万，9月10月家中生意出现重大变故，多次和美团协商我有强烈还款意愿，并且现在应该只欠10月也就是当月的两笔共一万块的款项，当初我还了一笔五千多说好是还清上个月的全部款项，但是美团故意扣款选择还清10月的其中一笔导致我9月份账单拖延到现在，美团态度恶劣我是正规商家用美团多年，带给美团不少利益，现在不仅威胁我还恶劣催收给店里多次打电话威胁店里协助还款，</t>
  </si>
  <si>
    <t>分期12期，借款到账第8天要求还款。事先无任何通知已经告知</t>
  </si>
  <si>
    <t>http://ts.21cn.com/tousu/show/id/1366330</t>
  </si>
  <si>
    <t>2019/10/16 15:09:07</t>
  </si>
  <si>
    <t>投诉人胡先生投诉对象钱站涉诉金额5000元问题类型诉求类型投诉详情在钱站第二次借款。</t>
  </si>
  <si>
    <t>北京英龙华辰科技有限公司不发货，且多收费用。</t>
  </si>
  <si>
    <t>http://ts.21cn.com/tousu/show/id/1366329</t>
  </si>
  <si>
    <t>2019/10/16 15:09:01</t>
  </si>
  <si>
    <t>9月18日，在中国银行聪明购商城预购apple手机iphone11的128g绿色手机，订单为9月20日起10个工作日发货，约定办理24免息分期，订单金额为5999元人民币，免除优惠积分等实际信用卡支付5872.62元，目前情况:1.截止10月16日，至今未收到手机；2.9月15日信用卡账单显示，分期单月支付262元，超出实际分期245元，24个月需要多支付408元，中国银行客服宣称账单和银行无关，需要商户处理的；3.商户电话4001115380永远无法接通，不是在通话中就是接通当时挂断，本人无法同商户进行通</t>
  </si>
  <si>
    <t>钱包易贷恶意盗取我的信息私自骚扰通讯录</t>
  </si>
  <si>
    <t>http://ts.21cn.com/tousu/show/id/1366328</t>
  </si>
  <si>
    <t>2019/10/16 15:08:31</t>
  </si>
  <si>
    <t>宁夏钱包金服小额贷款有限公司旗下的钱包易贷，自己的平台倒闭，钱包易贷APP点击账单还款就跳转不明广告无法进行还款，导致逾期，一名来自安徽安庆176******78的催收恶意盗取我的信息，不合理沟通，并且私自骚扰本人亲朋好友，威胁私发本人个人信息，严重受到影响到我的日常生活。</t>
  </si>
  <si>
    <t>来分期厦门银行无法开据结清证明</t>
  </si>
  <si>
    <t>http://ts.21cn.com/tousu/show/id/1366327</t>
  </si>
  <si>
    <t>2019/10/16 15:08:22</t>
  </si>
  <si>
    <t>投诉人张先生投诉对象来分期,厦门银行涉诉金额600元问题类型诉求类型投诉详情3月28日在来分期上借款一笔，9月25日已经全部还款，现在已经过了20天，由于银行贷款需要结清证明，联系来分期办理了加急出结清证明，说好的当天处理，发到我邮箱，之后一直了无音讯，再打电话过去就改口说还要十五个工作日，说回复我也一直了无音讯，厦门银行也是一样说要来分期授权，一直拖延无人处理，不管问什么客服就是一直重复一句耐心等待，简直无语了，网上好多投诉无门的，但是真的是急需这个证明哎。</t>
  </si>
  <si>
    <t>高利贷暴力催收威胁</t>
  </si>
  <si>
    <t>http://ts.21cn.com/tousu/show/id/1366324</t>
  </si>
  <si>
    <t>2019/10/16 15:08:08</t>
  </si>
  <si>
    <t>我在融360平台贷款18000，分12期，现已还款5期，还了一万多了，年利息高达将近7000块，逾期几天还产生高额的逾期费用，每天骚扰电话，威胁短信，打电话骚扰通讯录里面的亲友，苦不堪言，真是天下乌鸦一般黑，放高利贷的都没得一个不是流氓，高利贷的毒瘤不出，百姓永无安宁之日！高利贷一直忍痛在还，可是电话骚扰亲友，这种违法行为谁来管！目无王法！。</t>
  </si>
  <si>
    <t>被法院判决二次贷金额与事时不符</t>
  </si>
  <si>
    <t>http://ts.21cn.com/tousu/show/id/1366326</t>
  </si>
  <si>
    <t>2019/10/16 15:08:04</t>
  </si>
  <si>
    <t>我北京朝阳区人民法院判决书！判了欠了北京恒元信业信息技术有限公司72706.22元！与我在借北京玖富时代投资顾问有限公司借款金额不符！我当时借款合同是五万元！贷款到我账户四万，玖富扣了三个月本息，工作人员要了二千元现在法院判决我还款858446元加逾期利息年利率10%。</t>
  </si>
  <si>
    <t>懒财金服到期不兑付</t>
  </si>
  <si>
    <t>http://ts.21cn.com/tousu/show/id/1366322</t>
  </si>
  <si>
    <t>2019/10/16 15:07:47</t>
  </si>
  <si>
    <t>6月，本人从网上看到北京懒财信息科技有限公司的懒财网推出“懒财宝”项目介绍，宣传称这是一款随存随取、按秒计息、年化收益率8%、同银行一样安全的活期理财产品，并承诺是由阳光保险承保，并且用户资金由第三方全权托管，保障资金安全，根本丢不了，满足用户100%流动性，就下载了懒财网APP交易平台，从2017年，为了尽快取回钱来就全按懒财网给划分的期限转了“懒计划”，今年“懒计划”先后到期仍取不出钱，绝大部分被改成“项目直投”，并未有钱到账可以取出，申请排队转出也一年了，一天只处理几笔甚至没有，至今仍取不出钱，希望能</t>
  </si>
  <si>
    <t>浦发银行信用卡违规收取费用</t>
  </si>
  <si>
    <t>http://ts.21cn.com/tousu/show/id/1366321</t>
  </si>
  <si>
    <t>2019/10/16 15:07:27</t>
  </si>
  <si>
    <t>投诉人陈先生投诉对象浦发信用卡涉诉金额681元问题类型诉求类型投诉详情使用浦发银行信用卡强行被收取违约金利息。</t>
  </si>
  <si>
    <t>http://ts.21cn.com/tousu/show/id/1366320</t>
  </si>
  <si>
    <t>2019/10/16 15:07:06</t>
  </si>
  <si>
    <t>来分期逾期每天催收电话已经严重的影响了我的生活，还威胁我要准备好钱等他们上门催收我不是不还就是手上没钱怎么还，等有钱了肯定还现要求停止暴力催收，并协商还款日期。</t>
  </si>
  <si>
    <t>活力花暴力催收</t>
  </si>
  <si>
    <t>http://ts.21cn.com/tousu/show/id/1366318</t>
  </si>
  <si>
    <t>2019/10/16 15:06:54</t>
  </si>
  <si>
    <t>投诉人 曹先生        投诉对象  活力花        涉诉金额  2 800 元    问题类型    诉求类型投诉详情  客服恐吓 借款收取保险费用 强制分期 手续费偏高</t>
  </si>
  <si>
    <t>http://ts.21cn.com/tousu/show/id/1366317</t>
  </si>
  <si>
    <t>投诉人 杨女士        投诉对象  原子贷         涉诉金额  8 000 元    问题类型    诉求类型投诉详情  投诉举报小象优品 不给我本人打电话 爆我通讯录 对我个人造成了影响 干涉到我的生活</t>
  </si>
  <si>
    <t>汇联汇理财退出不给解释</t>
  </si>
  <si>
    <t>http://ts.21cn.com/tousu/show/id/1366316</t>
  </si>
  <si>
    <t>2019/10/16 15:05:25</t>
  </si>
  <si>
    <t>投诉人 王先生        投诉对象  汇联汇理财        涉诉金额  30 000 元    问题类型    诉求类型投诉详情  汇联汇理财15号宣布良性退出 但是客服联系不上所有通讯方式全部打不通 在本平台投资了3万元也得不到解释 就怕他们转移资金跑路 都是我们的血汗钱</t>
  </si>
  <si>
    <t>光大银行的催收直接可以宣判别人刑事拘留吗？</t>
  </si>
  <si>
    <t>http://ts.21cn.com/tousu/show/id/1366263</t>
  </si>
  <si>
    <t>2019/10/16 15:05:13</t>
  </si>
  <si>
    <t>投诉人余女士投诉对象光大银行涉诉金额10000元问题类型诉求类型投诉详情光大银行的催收可以不用法院，自己就可以宣判别人是刑事拘留，而且还到处宣扬，我想请问一下，催收到处宣扬是否可以不用负责，所作所为是光大银行默许的吗，还有我的额度是一万，账单却出来两万多，请问光大银行这是什么操作，账单上的金额是由你们随便弄的吗，至少给出一个解释吧。</t>
  </si>
  <si>
    <t>无借款，隐形收费</t>
  </si>
  <si>
    <t>http://ts.21cn.com/tousu/show/id/1366315</t>
  </si>
  <si>
    <t>2019/10/16 15:05:00</t>
  </si>
  <si>
    <t>在不知情的情况下，被恶意扣款168元，希望下架此产品。</t>
  </si>
  <si>
    <t>http://ts.21cn.com/tousu/show/id/1366314</t>
  </si>
  <si>
    <t>2019/10/16 15:04:04</t>
  </si>
  <si>
    <t>在协商好的情况下暴力催收，电话短信骚扰，严重侵犯个人信息以及个人名誉权。</t>
  </si>
  <si>
    <t>U卡贷误导客户，区别对待胡乱收费</t>
  </si>
  <si>
    <t>http://ts.21cn.com/tousu/show/id/1366220</t>
  </si>
  <si>
    <t>2019/10/16 15:03:26</t>
  </si>
  <si>
    <t>，之前身边的一位朋友以及网上的帖子显示，该公司可以减免最后一期，当时客户说最后一期给我减免，现在却又有客服来催我还款，说什么我当时没说办结清，这不是在玩文字游戏和误导么。</t>
  </si>
  <si>
    <t>http://ts.21cn.com/tousu/show/id/1366313</t>
  </si>
  <si>
    <t>2019/10/16 15:03:16</t>
  </si>
  <si>
    <t>投诉人苏先生投诉对象你我贷涉诉金额1800元问题类型诉求类型投诉详情本人2018年12月向你我贷公司申请借款6000元，已正常归还6343.43，仍需1816.45，因为个人原因逾期5天，中间一直有积极与你我贷公司协商沟通，在明确向你我贷催收人员表明已经致电客服，等待客服回电中的情况下，催收人员电话里讲不管我是什么身份，今天2019.10.16下午4点之前不见有处理，将对着我的通讯录所有人一个一个打电话过去，并且表示所造成的后果由他个人负责，现要求你我贷公司：1立刻停止催收人员侵权行为，3要求你我贷提供委托</t>
  </si>
  <si>
    <t>投诉滴滴司机跑路</t>
  </si>
  <si>
    <t>http://ts.21cn.com/tousu/show/id/1366311</t>
  </si>
  <si>
    <t>2019/10/16 15:03:03</t>
  </si>
  <si>
    <t>投诉人 蒋女士        投诉对象  滴滴出行        涉诉金额  65 元    问题类型    诉求类型投诉详情  要求对司机经济处罚。哪怕一块钱，不罚款不长记性！</t>
  </si>
  <si>
    <t>浦发银行信用卡中心暴力催收</t>
  </si>
  <si>
    <t>http://ts.21cn.com/tousu/show/id/1366310</t>
  </si>
  <si>
    <t>2019/10/16 15:02:55</t>
  </si>
  <si>
    <t>我是逾期了没错，但我今天已经还了最低还款额，浦发催收人员态度相当恶劣恐吓必须全款结清否则天天打单位电话，就在刚才，催收跟我说好4点前还，刚挂完电话就又骚扰单位，我问了客服说我是可以还最低还款额的，但催收太他妈牛逼了一直威胁。</t>
  </si>
  <si>
    <t>已经说好还款时间，电话骚扰通讯录</t>
  </si>
  <si>
    <t>http://ts.21cn.com/tousu/show/id/1366309</t>
  </si>
  <si>
    <t>2019/10/16 15:02:35</t>
  </si>
  <si>
    <t>投诉人陆先生投诉对象招联金融涉诉金额460元问题类型诉求类型投诉详情15号招联金融已经来电话约点好还款时间是16号下午6点前，16号上午招联金融已联系不上本人为由打通讯录好友，但是我从来没有接到过招联金融的电话，已经说好还款时间为何还要骚扰到别人。</t>
  </si>
  <si>
    <t>众惠财产互相保险社</t>
  </si>
  <si>
    <t>http://ts.21cn.com/tousu/show/id/1366306</t>
  </si>
  <si>
    <t>2019/10/16 15:01:49</t>
  </si>
  <si>
    <t>2019-05-14在豆豆钱借款强制捆绑中购买了，借款人意外险2019款”的产品现在想申请退保是合法合理，但客服给了霸王条款：要求提前还清豆豆钱剩余的八期贷款，提请还款无利息减免并且利息高于国家规定并且还捆绑了另外一个保险，要付出远高于保险金额才能退到保险，根据国家法律规定：投保人有权利退保，退保金额按照未使用的投保天数进行退费，所以我要退保，你就得给我退，不能自己单方面违反国家法律制度制定霸王条款，请众惠保险速速退款，每拖延一天，我退到的保险费就少一天。</t>
  </si>
  <si>
    <t>退押金500</t>
  </si>
  <si>
    <t>http://ts.21cn.com/tousu/show/id/1366307</t>
  </si>
  <si>
    <t>2019/10/16 15:01:35</t>
  </si>
  <si>
    <t>本人注册了快狗打车，缴纳了押金500，退押金没人理，客服没人接电话。</t>
  </si>
  <si>
    <t>速想购（速想惠）平台暴力催收、骚扰亲朋好友，爆通讯录，要求停止骚扰</t>
  </si>
  <si>
    <t>http://ts.21cn.com/tousu/show/id/1366305</t>
  </si>
  <si>
    <t>2019/10/16 15:01:29</t>
  </si>
  <si>
    <t>最后一期已经逾期了，他们就对我展开暴力催收，威胁我本人，骚扰我父母，爆我的通讯录，丝毫不顾及别人的感受，其行为无耻至极！不仅如此，平台还收取不正常的高额罚息，我并没有逃避不还，只是暂时没有还款能力，我会连本带息全部还清，平台的催收和骚扰已经严重影响了我的生活和工作，并毁坏了我的名誉，我要求速想购，平台立即停止任何骚扰和威胁，不得再骚扰我父母和通讯录朋友！。</t>
  </si>
  <si>
    <t>立借群发短信</t>
  </si>
  <si>
    <t>http://ts.21cn.com/tousu/show/id/1366304</t>
  </si>
  <si>
    <t>2019/10/16 15:00:55</t>
  </si>
  <si>
    <t>之前接过催收电话，也加过催收微信，但是他们以联系不上我，说我改地址为名群发通讯录，对我造成严重影响，贷款分12期，第一期就要还5300，前三期一共要还1万5。</t>
  </si>
  <si>
    <t>还款系统异常</t>
  </si>
  <si>
    <t>http://ts.21cn.com/tousu/show/id/1366303</t>
  </si>
  <si>
    <t>2019/10/16 15:00:22</t>
  </si>
  <si>
    <t>还款日系统出问题，第二天催收打电话反馈系统问题，让我找客服解决！客服电话打不进，也没有人接，催收态度恶劣，一直拨打骚扰电话！并且给我一个账户，让我打钱，我说要核实，他就一个劲的催收。</t>
  </si>
  <si>
    <t>http://ts.21cn.com/tousu/show/id/1366300</t>
  </si>
  <si>
    <t>2019/10/16 14:59:33</t>
  </si>
  <si>
    <t>投诉人袁女士投诉对象平安普惠涉诉金额6000元问题类型诉求类型投诉详情贷款6000，每月连保险费还350左右，提前还款按钮手机上找不到。</t>
  </si>
  <si>
    <t>360借条暴力催收辱骂。带有黑社会性质</t>
  </si>
  <si>
    <t>http://ts.21cn.com/tousu/show/id/1366299</t>
  </si>
  <si>
    <t>2019/10/16 14:59:19</t>
  </si>
  <si>
    <t>本人在360借条逾期几天，在能联系到本人的情况下，没问本人同意，用本人家人威胁我，我如有不从，继续爆力催收。</t>
  </si>
  <si>
    <t>宝付支付协助高炮扣款</t>
  </si>
  <si>
    <t>http://ts.21cn.com/tousu/show/id/1366298</t>
  </si>
  <si>
    <t>2019/10/16 14:58:55</t>
  </si>
  <si>
    <t>本人被高炮贷款扣取不符合国家标准的高额砍头息，是由宝付支付协助扣款的，7,8,9月陆续扣收高额砍头息，长期被收高额砍头利息，是由宝付支撑协助不合法，合计1770元，要求处理解决退赔，若无处理我将通过12363和信访申诉。</t>
  </si>
  <si>
    <t>闪管家威胁</t>
  </si>
  <si>
    <t>http://ts.21cn.com/tousu/show/id/1366297</t>
  </si>
  <si>
    <t>2019/10/16 14:58:33</t>
  </si>
  <si>
    <t>闪管家逾期，今天催收打电话让两个小时内处理，那不然后果自负。</t>
  </si>
  <si>
    <t>http://ts.21cn.com/tousu/show/id/1366295</t>
  </si>
  <si>
    <t>2019/10/16 14:57:55</t>
  </si>
  <si>
    <t>投诉人 刘剑        投诉对象  带上钱        涉诉金额  2 000 元    问题类型    诉求类型投诉详情  我的电话135******55。集体投诉，不相信没有讲理的地方。</t>
  </si>
  <si>
    <t>要求携程去哪儿艺龙下线本酒店</t>
  </si>
  <si>
    <t>http://ts.21cn.com/tousu/show/id/1366294</t>
  </si>
  <si>
    <t>2019/10/16 14:57:50</t>
  </si>
  <si>
    <t>投诉人 沈先生        投诉对象  去哪儿,艺龙,携程        涉诉金额  0 元    问题类型    诉求类型投诉详情  要求携程 去哪儿 艺龙下线本酒店。我已联系过客服。客服说没有权限给我下线。只能关房</t>
  </si>
  <si>
    <t>网贷利息太高</t>
  </si>
  <si>
    <t>http://ts.21cn.com/tousu/show/id/1366293</t>
  </si>
  <si>
    <t>2019/10/16 14:57:44</t>
  </si>
  <si>
    <t>投诉人陈杰投诉对象玖富涉诉金额34000元问题类型诉求类型投诉详情本人在玖富万卡借钱，所借玖富万卡18600元，分36期还完，费用就有13916.55，加起来我要还3万多。</t>
  </si>
  <si>
    <t>通讯录群发短信，泄露个人隐私</t>
  </si>
  <si>
    <t>http://ts.21cn.com/tousu/show/id/1366292</t>
  </si>
  <si>
    <t>2019/10/16 14:57:30</t>
  </si>
  <si>
    <t>投诉人邱先生投诉对象拍拍贷涉诉金额4336元问题类型诉求类型投诉详情群发我通讯录好友这条短信，泄露我个人隐私，造成恶劣影响。</t>
  </si>
  <si>
    <t>北京友缘在线科技有限公司涉嫌欺诈用户要求退款</t>
  </si>
  <si>
    <t>http://ts.21cn.com/tousu/show/id/1366290</t>
  </si>
  <si>
    <t>2019/10/16 14:57:26</t>
  </si>
  <si>
    <t>甚至今日给我发送这种短信，而且无法退订，霸王条款，坚决抵制！！。</t>
  </si>
  <si>
    <t>拼多多恶意扣款</t>
  </si>
  <si>
    <t>http://ts.21cn.com/tousu/show/id/1366288</t>
  </si>
  <si>
    <t>2019/10/16 14:57:17</t>
  </si>
  <si>
    <t>投诉人朱先生投诉对象拼多多涉诉金额5644元问题类型诉求类型投诉详情当时一个陌生人加我微信说是刷单有佣金，我就信了，点开他的链接，下载了APP，他说你点击APP链接在拼多多付款，给我刷单刷流水，金额是他设置好了的，他说流水达到5000就有500佣金，我充值了进去，钱就提不出来了，他把我删了，App也进不去了，总共18笔订单，5000多金额，拼多多表示我的钱被付到别的拼多多账号去了，不是我的，所以我账号不显示，拼多多表示反馈给我处理退款，一直未得到解决以下所说全部属实，绝无虚构，。</t>
  </si>
  <si>
    <t>给我通讯录群发消息骂我母亲暴力催收打电话给我通录讯里的人而且骂人骂人毒恶用呼死你电话轰炸我通录讯里的人</t>
  </si>
  <si>
    <t>http://ts.21cn.com/tousu/show/id/1366289</t>
  </si>
  <si>
    <t>2019/10/16 14:57:13</t>
  </si>
  <si>
    <t>投诉人赵先生投诉对象擎天柱涉诉金额1900元问题类型诉求类型投诉详情暴力催收给我通讯录群发信息骂我母亲，完打电话给我通录讯里的人而且骂人骂人毒恶用呼死你电话轰炸我通录讯里的人。</t>
  </si>
  <si>
    <t>投诉小象优品高利贷要求一次性结清并减免超出的利息</t>
  </si>
  <si>
    <t>http://ts.21cn.com/tousu/show/id/1366287</t>
  </si>
  <si>
    <t>2019/10/16 14:56:02</t>
  </si>
  <si>
    <t>利率超过国家规定，并且要求一次性结清也不减免利息，我要求该公司减免一次性结清的利息并且赔偿我前两期多还的利息，否则本人将拒绝还款并通过司法途径维护我个人的权益。</t>
  </si>
  <si>
    <t>暴力催收，超级高利贷，每天不停电话骚扰，严重影响本人工作！</t>
  </si>
  <si>
    <t>http://ts.21cn.com/tousu/show/id/1366286</t>
  </si>
  <si>
    <t>2019/10/16 14:55:42</t>
  </si>
  <si>
    <t>本人之前在中邮消费金融网贷借了17000元，一直按时还款，后来9月因为家里父母生病，周转不来，但依旧尽力在努力还款，中邮开始一天打六到七个电话，如果在不还钱，打电话通知家人，在不行，打本人电话通讯录里面的人，中邮消费金融每次都用不知道什么电话打过来，昨天打电话到我的工作单位，本人告知偿还一部分，也履行承诺，今天中邮又打电话来，直接打到我单位，态度恶劣，直接质疑我还款意愿，同时恐吓我要打我的通讯录，家人，朋友，让他们来“监督我”，让本人的名誉受损，还有一个重点，中邮消费金融利息比高利贷还要高，已经超出国家规定</t>
  </si>
  <si>
    <t>在5173平台购买账号后被找回客服置之不理不积极帮买家挽回损失</t>
  </si>
  <si>
    <t>http://ts.21cn.com/tousu/show/id/1366283</t>
  </si>
  <si>
    <t>2019/10/16 14:55:15</t>
  </si>
  <si>
    <t>投诉人冯英豪投诉对象5173游戏交易涉诉金额350元问题类型诉求类型投诉详情半个月之前在5173购买游戏账号昨天却发现被找回了找客服承认账号是被找回状态但也只是称给卖家打了电话未接就没有处理了没有任何解决措施现在需要平台退款并拿出处罚措施。</t>
  </si>
  <si>
    <t>中腾信金融公司贷款签订阴阳合同</t>
  </si>
  <si>
    <t>http://ts.21cn.com/tousu/show/id/1366285</t>
  </si>
  <si>
    <t>2019/10/16 14:55:12</t>
  </si>
  <si>
    <t>从中腾信金融信息服务公司借款金额46000，分36期还，但是后来才发现签订的合同金额是64000，实际到账金额46000，阴阳合同，这样利息按照64000来算，完全高于国家规定，属违法行为，希望中腾信公司按照合同金额及相关规定的利息计算。</t>
  </si>
  <si>
    <t>迅捷视频无法转换视频格式</t>
  </si>
  <si>
    <t>http://ts.21cn.com/tousu/show/id/1366282</t>
  </si>
  <si>
    <t>2019/10/16 14:55:09</t>
  </si>
  <si>
    <t>投诉人张先生投诉对象互盾科技涉诉金额48元问题类型诉求类型投诉详情我于2019年10月16日下载迅捷视频用于视频格式转换，因为免费的转换只限于2分钟之内，所以我充值48元开通会员用于转换视频，但是多次尝试都不能转换为我需要的格式，显示转换失败，所以提出投诉。</t>
  </si>
  <si>
    <t>小象优品催收态度恶劣，爆通讯录</t>
  </si>
  <si>
    <t>http://ts.21cn.com/tousu/show/id/1366284</t>
  </si>
  <si>
    <t>2019/10/16 14:55:01</t>
  </si>
  <si>
    <t>小象催收态度恶劣，已承诺马上还款的情况下不停骚扰本人及家属。</t>
  </si>
  <si>
    <t>投诉滴滴出行和强生出租车司机恶意绕路多收费用</t>
  </si>
  <si>
    <t>http://ts.21cn.com/tousu/show/id/1366281</t>
  </si>
  <si>
    <t>2019/10/16 14:54:38</t>
  </si>
  <si>
    <t>投诉人汪女士投诉对象滴滴出行涉诉金额141元问题类型诉求类型投诉详情时间：2019-10-1222:14，搭乘滴滴出行提供的出租车服务，于22:55到达，打车费用141元，比平时相同行程的打车费用贵了近一半，平时10点多从相同的出发地到目的地，费用都是100元以内，联系滴滴出行的客服反馈这个情况，滴滴出行的客服从14号到现在16号，给出的结果是让我联系出租车所属公司，滴滴出行没办法对出租车司机的行程和收费负责，并且一再弱化我提出的投诉请求，强行理解为反馈，目前投诉如下：1、滴滴出行作为一个平台，没办法对用户</t>
  </si>
  <si>
    <t>现金速递说退钱一直不退</t>
  </si>
  <si>
    <t>http://ts.21cn.com/tousu/show/id/1366197</t>
  </si>
  <si>
    <t>2019/10/16 14:53:43</t>
  </si>
  <si>
    <t>投诉人 范先生        投诉对象  现金速递        涉诉金额  3 000 元    问题类型    诉求类型投诉详情  10月11日 接到自称是现金速递的工作人员电话 说平台已经决定退还我购买黑卡的费用。可是时至今日还是没有收到。客服也联系不上。真是拿消费者当儿戏。。</t>
  </si>
  <si>
    <t>希望该公司尽快退回押金500</t>
  </si>
  <si>
    <t>http://ts.21cn.com/tousu/show/id/1366280</t>
  </si>
  <si>
    <t>2019/10/16 14:53:40</t>
  </si>
  <si>
    <t>之前面试时候说500押金随时都可以退的，后来没有过几天我想离开了，说不能退，要等3个月才能退。</t>
  </si>
  <si>
    <t>光大信用卡中心</t>
  </si>
  <si>
    <t>http://ts.21cn.com/tousu/show/id/1366203</t>
  </si>
  <si>
    <t>2019/10/16 14:53:36</t>
  </si>
  <si>
    <t>2019.10.16日上午接到光大信用卡的客服电话，说因使用信用卡良好，可以免费提升为光大信用卡白金卡，享受种种服务，因为我的邮寄地址更改，建议我把联系地址重新改为现在的地址，下午1点再给我致电，下午1点多打电话过来，语速太快根本听不清，前期说升级光大信用卡白金卡所能享受的种种特级服务，后期又说扣免费，我犹豫了客服又说不开卡就没事，后来又说做个小调查问我身体状况，后来问我是否了解，一句都没听清，最后挂断电话之后手机提示扣费300元是光大e务室，同时也希望我们支持的信用卡，不要莫名其妙的打着升级的旗号做一些客</t>
  </si>
  <si>
    <t>蜜瓜钱包借款APP是714高利贷平台</t>
  </si>
  <si>
    <t>http://ts.21cn.com/tousu/show/id/1366278</t>
  </si>
  <si>
    <t>2019/10/16 14:53:15</t>
  </si>
  <si>
    <t>蜜瓜钱包是一款典型714高利贷平台，由轻借管家平台导流，以虚假额度和广告吸引用户贷款，APP申请页面的借款金额与期限和实际申请成功后的金额期限严重不符，当用户完成APP上的审核后，贷款额度为2200元，实际到账1430元，借款期限7天，到期还款2207.92元，年化利率已超过国家规定的36%高利贷红线的上千倍，并且在还款到期日，其客服人员催还贷款带有威胁恐吓的性质，并且会推荐客户其他高利贷平台去借款来还钱，让用户以贷养贷，进入债台高筑的状态，现本人实名制举报该平台，平台名称蜜瓜钱包，网址链接：https:/</t>
  </si>
  <si>
    <t>公众号下单后不发货不退款</t>
  </si>
  <si>
    <t>http://ts.21cn.com/tousu/show/id/1366141</t>
  </si>
  <si>
    <t>2019/10/16 14:53:14</t>
  </si>
  <si>
    <t>该公众下单购买后无法预约消费，联系不到客服，不退款。</t>
  </si>
  <si>
    <t>http://ts.21cn.com/tousu/show/id/1366277</t>
  </si>
  <si>
    <t>2019/10/16 14:53:01</t>
  </si>
  <si>
    <t>投诉人郑先生投诉对象淘集集涉诉金额2000元问题类型诉求类型投诉详情于2019年09月07日申请退店，至今并未收到退款，也未表明什么时候进行退款，认为平台存在涉嫌恶意圈集资金不退还，在此发起投诉要求迅速处理退款。</t>
  </si>
  <si>
    <t>交通银行信用卡乱扣钱</t>
  </si>
  <si>
    <t>http://ts.21cn.com/tousu/show/id/1366276</t>
  </si>
  <si>
    <t>2019/10/16 14:52:35</t>
  </si>
  <si>
    <t>投诉人田女士投诉对象交通银行涉诉金额2500元问题类型诉求类型投诉详情交通银行信用卡无规定私自扣除用户钱，打客服电话，好享贷款扣过了说没扣，下月重复扣除两次，每次还进去就扣掉，没有扣除明细，打客服电话客服人员说的驴头不对马嘴，说的净是不知道的霸王条款，说我还进去就之后就刷出来用了，请问我还进去的钱还不能消费吗。</t>
  </si>
  <si>
    <t>http://ts.21cn.com/tousu/show/id/1366275</t>
  </si>
  <si>
    <t>2019/10/16 14:52:21</t>
  </si>
  <si>
    <t>打电话给身边的同事朋友，严重影响生活，也影响我的日常生活。</t>
  </si>
  <si>
    <t>投诉滴滴出行客服应付和拖延问题40多天不处理</t>
  </si>
  <si>
    <t>http://ts.21cn.com/tousu/show/id/1366274</t>
  </si>
  <si>
    <t>2019/10/16 14:51:48</t>
  </si>
  <si>
    <t>滴滴出行APP小桔租车驾驶证上传认证问题，需要人工处理，客服说3-7个工作日处理完成，多次发相关证件及视频给滴滴官方邮箱，滴滴说3-7天处理，但截至目前，已经拖了40多天扔未处理解决！每次打电话咨询客服都是一句等待处理应付了事！此诉求只想向滴滴方要一个解决问题的态度和具体时间！。</t>
  </si>
  <si>
    <t>招联金融爆通讯录，发威胁短信</t>
  </si>
  <si>
    <t>http://ts.21cn.com/tousu/show/id/1366273</t>
  </si>
  <si>
    <t>2019/10/16 14:51:35</t>
  </si>
  <si>
    <t>投诉人孙先生投诉对象招联金融涉诉金额850元问题类型诉求类型投诉详情招联金融多次骚扰家人朋友，并发威胁短信，电话曾沟通尽快还款，但是招联所作所为，已严重影响到我个人工作生活，个人名誉的损害，态度恶劣，招联至国家法律不顾，多次骚扰我家人朋友，是什么行为。</t>
  </si>
  <si>
    <t>众惠财产相互保险社黑社会性质？</t>
  </si>
  <si>
    <t>http://ts.21cn.com/tousu/show/id/1366272</t>
  </si>
  <si>
    <t>2019/10/16 14:51:13</t>
  </si>
  <si>
    <t>在维信金科旗下的维信卡卡贷借款，强制购买众惠财产相互保险社，银监会投诉找不到，打客服投诉，用私人号码给我打电话，态度强硬，要退保没人处理。</t>
  </si>
  <si>
    <t>网贷被恶意爆通讯录以保险名义收取砍头息！</t>
  </si>
  <si>
    <t>http://ts.21cn.com/tousu/show/id/1366269</t>
  </si>
  <si>
    <t>2019/10/16 14:51:07</t>
  </si>
  <si>
    <t>投诉人王先生投诉对象信用飞涉诉金额6000元问题类型诉求类型投诉详情因为逾期未还款，客服人员加微信说话极度态度恶劣，未有效好好沟通，爆通讯录，给本人和家人朋友同事生活工作造成极大困扰，强烈要求停止该行为。</t>
  </si>
  <si>
    <t>浦发银行信用卡和万用金暴力催收</t>
  </si>
  <si>
    <t>http://ts.21cn.com/tousu/show/id/1366271</t>
  </si>
  <si>
    <t>2019/10/16 14:50:57</t>
  </si>
  <si>
    <t>投诉人张先生投诉对象浦发信用卡涉诉金额23000元问题类型诉求类型投诉详情因为个人做生意亏损造成浦发银行信用卡逾期，我浦发银行信用卡额度是六千，万用金当时分期24期，已经还了二十期，现在信用卡额度加上万用金加在一块是23000多，逾期时间九十多天，电话一直都有接听，也一直在解释我逾期的原因，不管什么原因欠钱是肯定要还的，中间银行的电话只要打过来的基本都在接，今天下午突然一个第三方的打电话过来，张嘴闭嘴跟家里老人说好，问家里老人有没有高血压心脏病，说话很难听，我都有录音，还说要上门，上村委，带警察，请浦发银行</t>
  </si>
  <si>
    <t>不知情之下。在维信卡卡贷。给我买了两份保险。</t>
  </si>
  <si>
    <t>http://ts.21cn.com/tousu/show/id/1366270</t>
  </si>
  <si>
    <t>2019/10/16 14:50:56</t>
  </si>
  <si>
    <t>投诉人 许景枢        投诉对象  维信卡卡贷。        涉诉金额  11 000 元    问题类型    诉求类型投诉详情  要求该公司，乱买保险的钱退回来。电话又不接，只有电话来催还款0</t>
  </si>
  <si>
    <t>闪银奇异重复扣款无人解决</t>
  </si>
  <si>
    <t>http://ts.21cn.com/tousu/show/id/1366267</t>
  </si>
  <si>
    <t>2019/10/16 14:50:43</t>
  </si>
  <si>
    <t>投诉人杨雪迎投诉对象Wecash闪银涉诉金额600元问题类型诉求类型投诉详情闪银奇异重复扣款，本人在闪银上贷了1300，利息90，我主动还款的前提下闪银奇异仍重复扣款，找客服没人理！。</t>
  </si>
  <si>
    <t>万达优学空间恭睿舞房违规无证教学，要求退回学费</t>
  </si>
  <si>
    <t>http://ts.21cn.com/tousu/show/id/1366265</t>
  </si>
  <si>
    <t>2019/10/16 14:50:33</t>
  </si>
  <si>
    <t>2018.10.26在万达集团旗下优学空间恭睿舞房购买了少儿舞蹈卡，价格6800元96课时，2019.5.12开始使用，现发现这间舞房是打着咨询公司的旗号违法经营舞蹈教育机构的，但恭睿舞房负责人王建芳的霸王条款只肯退余款的70%，寻求万达帮助，负责人也是一位包庇，对投诉不作为，由于舞房是非法经营，所以不知道哪天就会被停业，还请求有关部门可以伸出援手，尽早帮我解决问题，让商家退出未使用的全额学费，谢谢！。</t>
  </si>
  <si>
    <t>银行协商还款</t>
  </si>
  <si>
    <t>http://ts.21cn.com/tousu/show/id/1366266</t>
  </si>
  <si>
    <t>2019/10/16 14:50:22</t>
  </si>
  <si>
    <t>欠信用卡30000，跟银行协商过，银行不同意免息，打银行信用卡中心直接打不进去，后面第三方催收的说他们能做主，本来想着尽快协商好，每个月还一点，减免一点利息，他们就说不用还了，还了没用，今天就说要起诉我，让我等着法院传票。</t>
  </si>
  <si>
    <t>京东金融，360借条，钱站暴力催收</t>
  </si>
  <si>
    <t>http://ts.21cn.com/tousu/show/id/1366264</t>
  </si>
  <si>
    <t>2019/10/16 14:49:05</t>
  </si>
  <si>
    <t>每天不停的打电话骚扰，导致目前无法正常工作。</t>
  </si>
  <si>
    <t>民生银行信用卡暴力催收不是机主</t>
  </si>
  <si>
    <t>http://ts.21cn.com/tousu/show/id/1366261</t>
  </si>
  <si>
    <t>2019/10/16 14:49:01</t>
  </si>
  <si>
    <t>投诉人刘女士投诉对象民生银行信用卡涉诉金额10000元问题类型诉求类型投诉详情2个月前买的手机号，不是叶斌本人，多次打电话问，已告知不是叶斌，还问我叫什么名字，不提供就说会让警察来抓我，跟我有什么关系，已告诉是新买的手机号，还问我叫什么名字，家庭住址，严重影响我的工作。</t>
  </si>
  <si>
    <t>深圳国银盛达非法代偿</t>
  </si>
  <si>
    <t>http://ts.21cn.com/tousu/show/id/1366260</t>
  </si>
  <si>
    <t>2019/10/16 14:48:15</t>
  </si>
  <si>
    <t>在深圳普惠快信贷的手机分期，中途由于手机出现质量问题，找商家沟通未果，已还大半年，一期未还，普惠电话催收，经沟通两期分成每期每月来还，深圳普惠直接扣款两期，导致后面一期扣款不足，剩余三期未还，后期普惠语言恐吓催收，电话骚扰，暴力催收，普惠本金已还足，三年后发现征信被深圳国银盛达非法代偿了，成了一笔呆账，征信坏掉。</t>
  </si>
  <si>
    <t>http://ts.21cn.com/tousu/show/id/1366258</t>
  </si>
  <si>
    <t>2019/10/16 14:47:56</t>
  </si>
  <si>
    <t>逾期一天短信威胁恐吓，爆通讯录，对生活造成了严重影响。</t>
  </si>
  <si>
    <t>拼多多无故冻结我资金不让提现</t>
  </si>
  <si>
    <t>http://ts.21cn.com/tousu/show/id/1366259</t>
  </si>
  <si>
    <t>2019/10/16 14:47:45</t>
  </si>
  <si>
    <t>投诉人张小苹女士投诉对象拼多多涉诉金额433755元问题类型诉求类型投诉详情货品被下架，资金被冻结，客户不级明确说法，只说违规操作。</t>
  </si>
  <si>
    <t>宝付支付为高利贷平台提供第三方支付服务</t>
  </si>
  <si>
    <t>http://ts.21cn.com/tousu/show/id/1366257</t>
  </si>
  <si>
    <t>2019/10/16 14:47:38</t>
  </si>
  <si>
    <t>要求宝付支付约束通过其的平台不要再发放高利贷，退还收取我超过国家年利率百分之三十六的所有利息。</t>
  </si>
  <si>
    <t>要求拇指下款退还所有服务费</t>
  </si>
  <si>
    <t>http://ts.21cn.com/tousu/show/id/1366256</t>
  </si>
  <si>
    <t>2019/10/16 14:47:15</t>
  </si>
  <si>
    <t>投诉人豆先生投诉对象拇指下款涉诉金额249元问题类型诉求类型投诉详情建议此平台立刻退还本人所有服务费，没有任何服务凭什么收取服务费。</t>
  </si>
  <si>
    <t>http://ts.21cn.com/tousu/show/id/1366255</t>
  </si>
  <si>
    <t>2019/10/16 14:46:52</t>
  </si>
  <si>
    <t>投诉人符超投诉对象尚德机构涉诉金额998元问题类型诉求类型投诉详情申请退款一直申请不过，客服的意思就是让我继续交钱然后走考试理赔过程，我想终止分期，尚德就一直各种理由推脱。</t>
  </si>
  <si>
    <t>新生支付通过银联划扣我银行卡两笔84合计168的钱</t>
  </si>
  <si>
    <t>http://ts.21cn.com/tousu/show/id/1366254</t>
  </si>
  <si>
    <t>2019/10/16 14:46:48</t>
  </si>
  <si>
    <t>本人不知情情况下被新生支付扣掉两笔84块钱，一共168元，经查询，新生支付有限公司通过银联划扣，收款方为桂林航空有限公司。</t>
  </si>
  <si>
    <t>世纪佳缘上海静安寺门店已同意全额退款，等待了4个多月仍未退，请极速退款</t>
  </si>
  <si>
    <t>http://ts.21cn.com/tousu/show/id/1366250</t>
  </si>
  <si>
    <t>2019/10/16 14:45:52</t>
  </si>
  <si>
    <t>投诉人王女士投诉对象世纪佳缘涉诉金额12100元问题类型诉求类型投诉详情以下内容属实，如有捏造虚构事实本人承担法律！我是2018年12月30日在世纪佳缘静安寺店，南京西路1788广场27楼2704、2705的世纪佳缘，我说身上没钱，她们就让我刷信用卡，刷花呗套现什么的，最后凑够了12100元，承诺我服务期限6个月见6个人，可是2019年1月初签合同的时候，服务人员说交了这么点钱只能服务2个月面见2个人，我当时立马拒绝执行此合同，并申请退款，于2019年6月份索要退款，从购买到索要退款期间没有进行任何服务，门</t>
  </si>
  <si>
    <t>催收辱骂</t>
  </si>
  <si>
    <t>http://ts.21cn.com/tousu/show/id/1366251</t>
  </si>
  <si>
    <t>2019/10/16 14:45:41</t>
  </si>
  <si>
    <t>投诉人于先生投诉对象捷信金融涉诉金额15000元问题类型诉求类型投诉详情捷信存在欺骗消费者行为，隐藏高额的服务费，我一万五的本金，光一些服务费加起来就超过了本金，这些是我都不知道的，本来借款就是因为困难，这些不合理啊告诉我们的服务费这么高，我们要是知道这些高额的服务费，再苦也不会借，这就是典型的高利贷行为，而且现在出现了对我辱骂的行为，辱骂我的父母，其态度开始恶劣起来，一个自称是万通公司的人，冒充捷信法务，这种催收公司他有注册催收这个业务的执照吗，他合法吗，，反应情况捷信也是不正面对待处理问题，希望监管部门</t>
  </si>
  <si>
    <t>微粒贷催收人员威胁恐吓</t>
  </si>
  <si>
    <t>http://ts.21cn.com/tousu/show/id/1366249</t>
  </si>
  <si>
    <t>2019/10/16 14:45:38</t>
  </si>
  <si>
    <t>她说她是催收人员因为我有逾期，我已经和她说明我的情况，今天用qq威胁恐吓我，暴力催收，一个微众银行联系过，不会这么做，请对此催收人员做出处罚。</t>
  </si>
  <si>
    <t>网络虚假代报名</t>
  </si>
  <si>
    <t>http://ts.21cn.com/tousu/show/id/1366248</t>
  </si>
  <si>
    <t>2019/10/16 14:45:37</t>
  </si>
  <si>
    <t>他和嗨学网应该是合作的，嗨学网的销售帮他介绍给我，说帮我符合条件，我要求全额退款。</t>
  </si>
  <si>
    <t>爆我通讯录侵犯个人隐私权</t>
  </si>
  <si>
    <t>http://ts.21cn.com/tousu/show/id/1366247</t>
  </si>
  <si>
    <t>2019/10/16 14:45:25</t>
  </si>
  <si>
    <t>投诉人阳先生投诉对象钱站涉诉金额2000元问题类型诉求类型投诉详情钱站催收部门随意骚扰我的通讯录好友，严重违反了《互联网金融逾期债务催收自律公约》中第三条互联网逾期债务催收的债务基本原则是遵纪守法，规范审慎，保护隐私，严格自律第十条从业机构应切实实际保护债权人，债务人及相关当事人隐私，不得非法泄露个人信息，不得采用非法手段或通过非法途径获取个人信息第十三条债务催收对象应符合法律法规有关要求，不得骚扰无关人员，第十七条催收人员应在恰当时间开展债务催收活动，不得频繁致电骚扰债务人及其他人员，第十八条催收人员不得</t>
  </si>
  <si>
    <t>分期乐平台乐黑卡无权益</t>
  </si>
  <si>
    <t>http://ts.21cn.com/tousu/show/id/1366245</t>
  </si>
  <si>
    <t>2019/10/16 14:45:22</t>
  </si>
  <si>
    <t>投诉人朱先生投诉对象分期乐涉诉金额199元问题类型诉求类型投诉详情分期乐额度无法使用，开通乐黑卡无任何权益，要求退款。</t>
  </si>
  <si>
    <t>微贷网小米金融</t>
  </si>
  <si>
    <t>http://ts.21cn.com/tousu/show/id/1366243</t>
  </si>
  <si>
    <t>2019/10/16 14:44:58</t>
  </si>
  <si>
    <t>本人在小米袋欠款，特殊原因没及时还款，对方对我进行辱骂和恐吓。</t>
  </si>
  <si>
    <t>乐宝宝</t>
  </si>
  <si>
    <t>http://ts.21cn.com/tousu/show/id/1366244</t>
  </si>
  <si>
    <t>2019/10/16 14:44:49</t>
  </si>
  <si>
    <t>投诉人李先生投诉对象乐宝宝涉诉金额656元问题类型诉求类型投诉详情借款8000元，前三期还了7000+，看似分12期其实变相高利贷，借款之前并未说明是这种还款方式，逾期后联系不到客服，本来最后俩期是328元一期，逾期费用在不断增长，联系不上客服来解决问题，还打通讯录说欠3000块。</t>
  </si>
  <si>
    <t>嘀嗒出行提交资料多次驳回不通过解释模糊不清</t>
  </si>
  <si>
    <t>http://ts.21cn.com/tousu/show/id/1366242</t>
  </si>
  <si>
    <t>因长期要过异地业务经朋友介绍下载了嘀嗒出行注册申请认证车主却被多次驳回，说号码不行我换了号码，后来又提示数据异常，现在又是系统机制，又是内部审核，具体什么原因缺一直没有回复，这是什么鬼，你不通过就算了各种理由难道我还要把人也换了，有病么，流氓软件骗取资料吧，一开始没通过我也没注意，前两天通过朋友提醒才发现自从提交了资料后每天都收到各种推销电话，希望本平台可以给予帮助，曝光下他们的行为，保护下我们合法的权益。</t>
  </si>
  <si>
    <t>退钱</t>
  </si>
  <si>
    <t>http://ts.21cn.com/tousu/show/id/1366186</t>
  </si>
  <si>
    <t>2019/10/16 14:44:16</t>
  </si>
  <si>
    <t>打过去了6000，希望能全额退还给我，这钱也是我借的。</t>
  </si>
  <si>
    <t>你我贷恶意催收，不给机会，严重骚扰！</t>
  </si>
  <si>
    <t>http://ts.21cn.com/tousu/show/id/1366240</t>
  </si>
  <si>
    <t>2019/10/16 14:43:54</t>
  </si>
  <si>
    <t>投诉人谢先生投诉对象你我贷涉诉金额1000元问题类型诉求类型投诉详情你我贷恶意催收，群发短信，我由于住院导致逾期还款，他成天给我的朋友亲戚打电话骚扰，恶意辱骂！威胁，严重影响了我的生活，我只求给我一点时间，让我度过这个难关，希望聚投诉能帮我！有钱了我第一时间结清！。</t>
  </si>
  <si>
    <t>宝付与高炮惠花花合作谋取不当得利，违规提供支付通道，不配合调查，拒不提供流水，赔偿我损失</t>
  </si>
  <si>
    <t>http://ts.21cn.com/tousu/show/id/1366110</t>
  </si>
  <si>
    <t>2019/10/16 14:43:46</t>
  </si>
  <si>
    <t>宝付支付与714高炮惠花花合作，套取我资金，在我不知情的情况下，宝付短短三个月扣取我利息3106元，而本金最高才两千元，典型的套路贷，高利贷，而宝付支付居然跟这种套路贷，高利贷公司合作，丝毫不顾及法律法规，谋取不当得利，作为支付平台，未尽审慎职责，专门跟714高炮合作，还拒不配合，拒绝提供商户信息，导致维权万般艰难，现要求宝付及惠花花，退还我多支付的利息。</t>
  </si>
  <si>
    <t>拼多多涉嫌虚假引流价格欺诈并擅自退款侵权事件</t>
  </si>
  <si>
    <t>http://ts.21cn.com/tousu/show/id/1366238</t>
  </si>
  <si>
    <t>2019/10/16 14:43:32</t>
  </si>
  <si>
    <t>该订单于2019-10-9日在拼多多平台拍下付款，咨询商品时商户，领军食品专营店企业注册号91350181MA3325MY8U，并未告知商品缺货，且两次进行商品链接推送引导消费者进行购买，在商户推送的商品链接中我拍下商品，于次日被商户擅自填写退货申请单方面违约要求我退款，在我拒绝并询问理由后给出商品没货，拒不发货，同时该商户删除我的购买链接商品，将该商品以更高的价格重新上架，当日我即向拼多多官方售后进行投诉，平台给出的处理意见是让我耐心等待，平台会催促要求该商户进行商品补寄发货，期间售后专员电话告知请不要联</t>
  </si>
  <si>
    <t>翼钱包高利贷，砍头息</t>
  </si>
  <si>
    <t>http://ts.21cn.com/tousu/show/id/1366239</t>
  </si>
  <si>
    <t>2019/10/16 14:43:20</t>
  </si>
  <si>
    <t>本人于2019年9月28日在翼钱包平台申请借款1250元，实际到账875元，连连银通转账，期限为8天，资金周转不开到期办理的延期，延期费用405元，期限为7天，13日到期致电翼钱包客服协商还款销账，客服表示没有先例不协商，现本人已无力偿还如此高额利息！本人申明：借款为本人自愿，本人也明确表示还款意愿，但对超过国家规定的利息也可以说不，希望翼钱包平台能尽快回复！。</t>
  </si>
  <si>
    <t>平安普惠隐瞒高额贷款服务费，虚报利息，做长还款周期，</t>
  </si>
  <si>
    <t>http://ts.21cn.com/tousu/show/id/1366237</t>
  </si>
  <si>
    <t>2019/10/16 14:42:48</t>
  </si>
  <si>
    <t>2017年8月在平安普惠app申请贷款，随后业务员与我联系，银行审核后批款14万但只要了12万分24期还，还款期间都正常还款无拖欠，还完24期后进平安普惠app申请结清是发现还款周期为36期，而且业务员也隐瞒了高额的服务费和保险费也低报利息，经过核算这笔贷款的综合利息已超过国家规定的最高点，今年国庆节前几天已向客服投诉，告知5个工作日内会有工作人员联系我，现已过去大半个月没有收到任何消息！！！。</t>
  </si>
  <si>
    <t>春夏秋冬商旅VIP卡使用时与宣传不符</t>
  </si>
  <si>
    <t>http://ts.21cn.com/tousu/show/id/1366193</t>
  </si>
  <si>
    <t>2019/10/16 14:42:46</t>
  </si>
  <si>
    <t>2018年7月在大连机场候机时，被劝说办理了春夏秋冬商旅网VIP卡，缴费1580元，推荐的时候说机场有各种VIP服务，不用过安检，有专用的VIP候机室，买票方便优惠等等，现在不但联系不到客服，机场内的一切服务全部停止，客服电话根本无法联系，鉴于跟当时办卡时候宣传的极为不符，在此我郑重要求，空港易行，春夏秋冬商旅网将我办卡费用全额退回。</t>
  </si>
  <si>
    <t>http://ts.21cn.com/tousu/show/id/1301230</t>
  </si>
  <si>
    <t>2019/10/16 14:42:26</t>
  </si>
  <si>
    <t>投诉人刘女士投诉对象百事普惠涉诉金额100元问题类型诉求类型投诉详情注册了百事普惠，未经许可盗刷扣款，甚至卸载以后仍然在扣款，银行卡不能有钱，有就扣走。</t>
  </si>
  <si>
    <t>月光侠分期高利贷恐吓威胁</t>
  </si>
  <si>
    <t>http://ts.21cn.com/tousu/show/id/1366236</t>
  </si>
  <si>
    <t>2019/10/16 14:42:07</t>
  </si>
  <si>
    <t>投诉人 李女士        投诉对象  月光侠分期        涉诉金额  2 100 元    问题类型    诉求类型投诉详情  打电话态度强硬 不给协商 恐吓 威胁</t>
  </si>
  <si>
    <t>活力花暴力催收，严重泄露个人隐私及社交信息</t>
  </si>
  <si>
    <t>http://ts.21cn.com/tousu/show/id/1366233</t>
  </si>
  <si>
    <t>2019/10/16 14:40:18</t>
  </si>
  <si>
    <t>虽然说已经还清了这个平台的借款，但我没想到这个公司的催收居然用这种下三滥的手段来对本人进行催收，而且这个催收的年龄是19岁，女性，一个年纪轻轻的女孩，竟然做这种无耻的勾当，其催收行为，令人发指昨天晚上，我用百度搜索，想知道除了本人之外，还有哪些网友曾经在这个平台借款逾期了之后，遭到这个公司的催收电话骚扰，然后就看了一些有关投诉催收的网站以及内容，果然还是有的，而且有很多位，当我看到其中有一位网友投诉了关于这个平台的催收，说是该公司的催收用这种手段去威胁恐吓借款人，这种行为非常之下作，其催收方式就是关注了借款</t>
  </si>
  <si>
    <t>威胁，打通讯录道歉</t>
  </si>
  <si>
    <t>http://ts.21cn.com/tousu/show/id/1366232</t>
  </si>
  <si>
    <t>2019/10/16 14:40:16</t>
  </si>
  <si>
    <t>投诉人宋女士投诉对象佰仟金融涉诉金额5000元问题类型诉求类型投诉详情2015年11月分期购买的，苹果手机，每个月380元，2018年7月之前都是按时还，还差4个月，逾期第一个月，就给通讯录所有人打电话，每天打无数个电话，现在又发信息律师信。</t>
  </si>
  <si>
    <t>乐刷POS不退押金</t>
  </si>
  <si>
    <t>http://ts.21cn.com/tousu/show/id/1366230</t>
  </si>
  <si>
    <t>2019/10/16 14:39:26</t>
  </si>
  <si>
    <t>乐刷的业务员来我店里推销POS机，交了1500的押金，说的3年后退，但是现在乐刷不承认说收据后面又写必须3年刷满300万流水才能退，而且当时业务员也没说必须刷，在19年9月我也打电话给以前的给我办POS机的业务员说了这情况，他也承认了这件事，也承认了当时的情况还说乐刷公司就是这样，没办法退，还说必须要把他们公司人找到才能退，还说最多能退50%，后面乐刷的工作人员联系我说也不能退只能退30%的机器折损费，问公司地址也说四川没有公司，但联系我的号码就是成都号，难道你一个四川的跑深圳乐刷去用四川号做业务号码，后面</t>
  </si>
  <si>
    <t>支付宝、中国银联、商银信、中国农业银行为非法网站及商户提供支付接口、支付服务，涉嫌合伙欺诈，导致大量用户蒙受巨大损失。</t>
  </si>
  <si>
    <t>http://ts.21cn.com/tousu/show/id/1366231</t>
  </si>
  <si>
    <t>2019/10/16 14:39:07</t>
  </si>
  <si>
    <t>投诉人 张女士        投诉对象  支付宝,商银信,农业银行        涉诉金额  300 000 元    问题类型    诉求类型投诉详情  支付宝投诉成立 没有任何解决办法，要求款项追回</t>
  </si>
  <si>
    <t>黑套路贷</t>
  </si>
  <si>
    <t>http://ts.21cn.com/tousu/show/id/1366228</t>
  </si>
  <si>
    <t>2019/10/16 14:37:03</t>
  </si>
  <si>
    <t>投诉人杨畅投诉对象新大陆支付涉诉金额20000元问题类型诉求类型投诉详情贷款20000，我卡号填错了，贷款未到账，要我支付4000验证金，说我不交，钱也是我还，而且还要影响我的生活，工作，子女。</t>
  </si>
  <si>
    <t>新兰德开大宣传，虚假宣传</t>
  </si>
  <si>
    <t>http://ts.21cn.com/tousu/show/id/1366227</t>
  </si>
  <si>
    <t>2019/10/16 14:36:46</t>
  </si>
  <si>
    <t>我之前在电脑上看到广告，带领操作股票的微信，我加了微信后，对方说是新兰德的助理，他们说公司操作的都是大涨，后来给我拉进来微信群，后来我观察了一下，发现真不错，后来助理天天问我要不要加入，时间一长就动心了。</t>
  </si>
  <si>
    <t>砍头</t>
  </si>
  <si>
    <t>http://ts.21cn.com/tousu/show/id/1366225</t>
  </si>
  <si>
    <t>2019/10/16 14:36:28</t>
  </si>
  <si>
    <t>借款3000元，分3期归还，实际到账2100元，到期还款金额3166.97元，望贵公司调整利率。</t>
  </si>
  <si>
    <t>小花钱包高额利息费用，催收说要骚扰家人朋友</t>
  </si>
  <si>
    <t>http://ts.21cn.com/tousu/show/id/1366226</t>
  </si>
  <si>
    <t>2019/10/16 14:36:17</t>
  </si>
  <si>
    <t>其中借款5000元，合同上显示是6252，合计需要共还款6563.03，已经超过国家法定标准，现在资金周转不开，想有宽限天数，产生逾期费用会付，催收人员不同意，说要骚扰家人，让今天必须还款。</t>
  </si>
  <si>
    <t>畅捷支付为714套路贷提供清结算通道</t>
  </si>
  <si>
    <t>http://ts.21cn.com/tousu/show/id/1366223</t>
  </si>
  <si>
    <t>2019/10/16 14:35:59</t>
  </si>
  <si>
    <t>畅捷支付为714套路贷杭州亿胜网络科技有限公司提供清结算通道，审核不严，应承担相应连带责任，并且该企业现在正在准备跑路，已申请简易注销程序，请赶快对接，同时我也将投诉12315说明情况，如不退款，升级投诉到底，不排除上访。</t>
  </si>
  <si>
    <t>http://ts.21cn.com/tousu/show/id/1366222</t>
  </si>
  <si>
    <t>2019/10/16 14:35:05</t>
  </si>
  <si>
    <t>投诉人张先生投诉对象安庆盛通信息科技服务有限公司,人人花涉诉金额198元问题类型诉求类型投诉详情人人花未经我同意无故扣我198元，绑银行卡时只是提示需0.1元绑卡，没有提要扣198元。</t>
  </si>
  <si>
    <t>高额利息，暴力催收疯狂骚扰，短信炸弹</t>
  </si>
  <si>
    <t>http://ts.21cn.com/tousu/show/id/1366221</t>
  </si>
  <si>
    <t>2019/10/16 14:34:20</t>
  </si>
  <si>
    <t>一分钟几十条垃圾短信，爆通讯录，暴力催收，高额利息，严重影响正常工作，生活。</t>
  </si>
  <si>
    <t>信用钱包</t>
  </si>
  <si>
    <t>http://ts.21cn.com/tousu/show/id/1366219</t>
  </si>
  <si>
    <t>2019/10/16 14:33:21</t>
  </si>
  <si>
    <t>投诉人 郑作辉        投诉对象  信用钱包        涉诉金额  800 元    问题类型    诉求类型投诉详情  停止电话，在吹。一毛钱都不会给。。。。。。。。。。</t>
  </si>
  <si>
    <t>银生宝违约不退保证金</t>
  </si>
  <si>
    <t>http://ts.21cn.com/tousu/show/id/1366218</t>
  </si>
  <si>
    <t>2019/10/16 14:33:11</t>
  </si>
  <si>
    <t>6月12日开始，向银生宝公司提交履约所需要的材料，对方通过QQ在线客服也已经确认收到材料，但一直没有退回保证金，从19年6月起连续追讨至10月份，依然无明确的付款时间与正面的原因，而拒绝付款，希望银生宝公司相关负责人给予正面的回应，及履行双方约定条款退回保证金。</t>
  </si>
  <si>
    <t>严重骚扰本人工作</t>
  </si>
  <si>
    <t>http://ts.21cn.com/tousu/show/id/1366217</t>
  </si>
  <si>
    <t>2019/10/16 14:32:33</t>
  </si>
  <si>
    <t>投诉人廖先生投诉对象拍拍贷涉诉金额0元问题类型诉求类型投诉详情不停拨打本人工作单位号码，引起行政部对我的投诉，导致本人工作辞职，仍然继续骚扰工作单位。</t>
  </si>
  <si>
    <t>钱水艇app前期没经同意乱收取费用</t>
  </si>
  <si>
    <t>http://ts.21cn.com/tousu/show/id/1366216</t>
  </si>
  <si>
    <t>2019/10/16 14:32:20</t>
  </si>
  <si>
    <t>钱水艇app前期没经同意直接扣取不知明目费用，现在要求退还。</t>
  </si>
  <si>
    <t>微贷网借10万还了一年提前还款还要还94000元，不还就拖车！简直不亚于抢劫！！！</t>
  </si>
  <si>
    <t>http://ts.21cn.com/tousu/show/id/1366215</t>
  </si>
  <si>
    <t>2019/10/16 14:32:08</t>
  </si>
  <si>
    <t>投诉人李先生投诉对象微贷网涉诉金额100000元问题类型诉求类型投诉详情2018年10月本人在微贷网车抵贷10万元实际到账98261元，当时我给客户经理说了钱用一年还清！客户经理也答应了，每月还款4111元，现在我还了刚好一年了，想提前还清欠款！微贷网客服要求我还款94000多元！如果不还就拖车，希望政府整治微贷网这样的抢劫式的黑网贷！给我们借款人一个公正的结果！。</t>
  </si>
  <si>
    <t>麦子金服暴力催收强制提前结清</t>
  </si>
  <si>
    <t>http://ts.21cn.com/tousu/show/id/1366214</t>
  </si>
  <si>
    <t>2019/10/16 14:31:40</t>
  </si>
  <si>
    <t>麦子金服催收不合理催收人肉信息打非提供联系人的电话，告知上门，伴随威胁沟通愿意结掉逾期的款项接下来正常还款，遭到拒绝，全程没提供任何证据证明自己是麦子的员工，非常不合理！。</t>
  </si>
  <si>
    <t>51人品贷高利贷，暴力催收，侮辱人格</t>
  </si>
  <si>
    <t>http://ts.21cn.com/tousu/show/id/1366212</t>
  </si>
  <si>
    <t>2019/10/16 14:31:22</t>
  </si>
  <si>
    <t>2018年5月14日因资金问题在51人品贷借款22800，第一个月2849.24元，以后每个月还款1253.24元，利息太高，对方还恶意催收，侮辱，恐吓，实在是太嚣张，对方电话156******18。</t>
  </si>
  <si>
    <t>注销账号</t>
  </si>
  <si>
    <t>http://ts.21cn.com/tousu/show/id/1366211</t>
  </si>
  <si>
    <t>2019/10/16 14:30:53</t>
  </si>
  <si>
    <t>投诉人梅先生投诉对象微贷网涉诉金额0元问题类型诉求类型投诉详情本人在微贷网里的借款，已全部结清，打电话要求微贷网删除个人信息和注销账号，微贷网客服说删除不了个人信息和注销不了账号，在微贷网app上面个人页面，更多服务的隐私协议里面，条款写的清清楚楚，可以删除个人信息和注销账号，请微贷网好好看清楚，难道你们公司写的条款都是忽悠人的吗。</t>
  </si>
  <si>
    <t>张飞出行押金退款慢</t>
  </si>
  <si>
    <t>http://ts.21cn.com/tousu/show/id/1366210</t>
  </si>
  <si>
    <t>2019/10/16 14:30:24</t>
  </si>
  <si>
    <t>交押金的时候立马就要，退押金的时候就得等，为什么不能立马退，着急用钱才退的现在还让等10来天。</t>
  </si>
  <si>
    <t>拇指下款无故扣费</t>
  </si>
  <si>
    <t>http://ts.21cn.com/tousu/show/id/1366208</t>
  </si>
  <si>
    <t>2019/10/16 14:29:30</t>
  </si>
  <si>
    <t>10月16日14点，拇指贷款app发来短信，在我不知情的情况下，扣除本人浦发银行卡299元现金。</t>
  </si>
  <si>
    <t>软暴力催收骚扰</t>
  </si>
  <si>
    <t>http://ts.21cn.com/tousu/show/id/1366205</t>
  </si>
  <si>
    <t>2019/10/16 14:29:04</t>
  </si>
  <si>
    <t>投诉人 杨先生        投诉对象  招联金融        涉诉金额  300 元    问题类型    诉求类型投诉详情  电话骚扰。朋友 亲朋 村单位 暴力催收。</t>
  </si>
  <si>
    <t>交通银行信用卡</t>
  </si>
  <si>
    <t>http://ts.21cn.com/tousu/show/id/1366207</t>
  </si>
  <si>
    <t>2019/10/16 14:28:55</t>
  </si>
  <si>
    <t>投诉人翟女士投诉对象交通银行信用卡涉诉金额9000元问题类型诉求类型投诉详情说本人信用卡存在风险，可是我不知道存在什么样的风险，并没有人给我打电话告诉我，我恢复用卡也恢复不了，打电话就让直接销卡，也找不到客服。</t>
  </si>
  <si>
    <t>借呗结清证明开具问题</t>
  </si>
  <si>
    <t>http://ts.21cn.com/tousu/show/id/1366206</t>
  </si>
  <si>
    <t>2019/10/16 14:28:53</t>
  </si>
  <si>
    <t>十月12申请的借呗结清证明，到今天支付宝还没有给我开具，打电话问客服一直说提交上去了。</t>
  </si>
  <si>
    <t>http://ts.21cn.com/tousu/show/id/1366201</t>
  </si>
  <si>
    <t>2019/10/16 14:28:13</t>
  </si>
  <si>
    <t>友信变相高利贷，高额砍头息，暴力催收，骚扰通讯录好友，恐吓！。</t>
  </si>
  <si>
    <t>京东漏洞无人管，消费者屡上当</t>
  </si>
  <si>
    <t>http://ts.21cn.com/tousu/show/id/1366127</t>
  </si>
  <si>
    <t>2019/10/16 14:27:55</t>
  </si>
  <si>
    <t>在微信上认识的一个网友，叫我帮他在京东上买一个商品，购买后立马微信返款给我给我一个小红包，我点链接进去是微信京东的页面，有详情页商铺，能够正常跳转到京东app里面，甚至能够看到我的账号和代收货品，因为商品是桌椅套装价值1000支持七天无理由退货，我查询过该店铺确实是存在京东商城里的我就付款了，付款完后没有看到填写收货地址的栏目，我就意识到可能有问题，发信息过去说是付款订单出错给我一个所谓客服的qq小号，加上以后也不回复，我立马登陆京东app没看到该消费记录，我立刻打电话给京东客服提供了付款单号，京东客服查询</t>
  </si>
  <si>
    <t>广发银行高额利息</t>
  </si>
  <si>
    <t>http://ts.21cn.com/tousu/show/id/1366199</t>
  </si>
  <si>
    <t>2019/10/16 14:27:54</t>
  </si>
  <si>
    <t>投诉人杨女士投诉对象广发银行信用卡涉诉金额20000元问题类型诉求类型投诉详情广发银行误导办分期。</t>
  </si>
  <si>
    <t>达飞即有分期高利高贷，骚扰，威胁</t>
  </si>
  <si>
    <t>http://ts.21cn.com/tousu/show/id/1366196</t>
  </si>
  <si>
    <t>2019/10/16 14:27:40</t>
  </si>
  <si>
    <t>投诉人胡女士投诉对象即有分期涉诉金额2000元问题类型诉求类型投诉详情当初借了8000.商品贷5000还的只剩1000多没还了，一下涨到4000多，而且连账单都看不到，合同也没有，当初协商不成，现在发律师函诽谤，威胁。</t>
  </si>
  <si>
    <t>威胁恐吓已经严重影响生活</t>
  </si>
  <si>
    <t>http://ts.21cn.com/tousu/show/id/1366200</t>
  </si>
  <si>
    <t>2019/10/16 14:27:35</t>
  </si>
  <si>
    <t>在还款期间假冒律师对我弟弟生活已经严重造成骚扰，我们会依法上诉。</t>
  </si>
  <si>
    <t>如期分期还没到还款日就一上午就催收5个电话</t>
  </si>
  <si>
    <t>http://ts.21cn.com/tousu/show/id/1366198</t>
  </si>
  <si>
    <t>2019/10/16 14:27:34</t>
  </si>
  <si>
    <t>10月16日，我一上午接到了如期分期的系统催收电话5通，几乎是挂了不到一个小时又有，全部都是系统语音的声音，而且打电话给如期分期的客服，对方态度也不好，说我不欠款怎么会给我打电话，态度也很不好，甚至说因为我是女的，所以他们的系统想调戏我一下。</t>
  </si>
  <si>
    <t>http://ts.21cn.com/tousu/show/id/1366194</t>
  </si>
  <si>
    <t>2019/10/16 14:27:03</t>
  </si>
  <si>
    <t>投诉人刘先生投诉对象现金巴士涉诉金额1000元问题类型诉求类型投诉详情“在现金巴士借款1000元。</t>
  </si>
  <si>
    <t>投诉钱站爱钱进</t>
  </si>
  <si>
    <t>http://ts.21cn.com/tousu/show/id/1366192</t>
  </si>
  <si>
    <t>2019/10/16 14:27:00</t>
  </si>
  <si>
    <t>钱站高利贷，借款75000，需要还14万多,要求提前结清.并且降低费率.强烈要求下架APP。</t>
  </si>
  <si>
    <t>京东白条催收暴力</t>
  </si>
  <si>
    <t>http://ts.21cn.com/tousu/show/id/1366191</t>
  </si>
  <si>
    <t>2019/10/16 14:26:29</t>
  </si>
  <si>
    <t>不知道哪里来的催收，上来就跟我没好言语，威胁我。</t>
  </si>
  <si>
    <t>强制购买商品才能借款，暴力催收，言语威胁</t>
  </si>
  <si>
    <t>http://ts.21cn.com/tousu/show/id/1366189</t>
  </si>
  <si>
    <t>2019/10/16 14:26:22</t>
  </si>
  <si>
    <t>信而富每次借款必须购买商品才能进行借款，2500的借款额度要买200-500不等的商品才可以，利息照常收取，催收打电话发短信威胁，之前投诉的时候客服打电话让撤销，现在是变本加厉，不但不处理催收人员的恶行反而更加严重，。</t>
  </si>
  <si>
    <t>无法开具百度有钱花贷款结清证明</t>
  </si>
  <si>
    <t>http://ts.21cn.com/tousu/show/id/1366188</t>
  </si>
  <si>
    <t>2019/10/16 14:25:45</t>
  </si>
  <si>
    <t>投诉人许女士投诉对象有钱花涉诉金额0元问题类型诉求类型投诉详情本人因办理公积金贷款业务，打印个人征信显示有钱花贷款审批，银行要求开具无贷证明，我仅开通了百度有钱花1500元额度，未借贷款，并已于2019年10月9号向百度有钱花提交申请，开具百度有钱花无贷款证明电子版至我的邮箱，客服每次都是口头表示加急处理，多次沟通无果，后客服专员于10月15日回复尚需等待盖章，今天10月16日依然没消息，由于此结清证明对我非常重要，同时百度有钱花办事效率过低，若拖延则会无故造成本人数万元贷款损失，恳请有关部门涉入处理解决。</t>
  </si>
  <si>
    <t>平安银行信用卡短信骚扰</t>
  </si>
  <si>
    <t>http://ts.21cn.com/tousu/show/id/1366187</t>
  </si>
  <si>
    <t>2019/10/16 14:25:24</t>
  </si>
  <si>
    <t>投诉人王飞虎投诉对象平安银行涉诉金额1000元问题类型诉求类型投诉详情别人欠平安银行信用卡，你天天给我发什么信息。</t>
  </si>
  <si>
    <t>恐吓，暴力催收，骚扰家人。</t>
  </si>
  <si>
    <t>http://ts.21cn.com/tousu/show/id/1366184</t>
  </si>
  <si>
    <t>2019/10/16 14:24:44</t>
  </si>
  <si>
    <t>投诉人 李先生        投诉对象  活力花        涉诉金额  1 490.07 元    问题类型    诉求类型投诉详情  暴力催收，骚扰家人。</t>
  </si>
  <si>
    <t>省呗恶意催收</t>
  </si>
  <si>
    <t>http://ts.21cn.com/tousu/show/id/1366185</t>
  </si>
  <si>
    <t>2019/10/16 14:24:35</t>
  </si>
  <si>
    <t>投诉人贾先生投诉对象省呗涉诉金额17000元问题类型诉求类型投诉详情给我众多朋友发骚扰短信，我不知道是我电话打不通还是怎么回事，不给我打电话，给我亲朋好友一直打电话，这个短信留的电话打过去多少次没人接，找我协商有必要这样，是有难度的事情，你们这些做想想对我这样的负债人是好的解决办法。</t>
  </si>
  <si>
    <t>10月15日20点乱扣款</t>
  </si>
  <si>
    <t>http://ts.21cn.com/tousu/show/id/1366183</t>
  </si>
  <si>
    <t>2019/10/16 14:24:03</t>
  </si>
  <si>
    <t>10月15日20点整时，从我建设银行卡上扣款1025.91元人民币，在我完全不知道款项去项，当天所有欠款都以提前还清，却无故多扣我款。</t>
  </si>
  <si>
    <t>新橙分期催收人员恶意预留本人号码作为本部催收号码</t>
  </si>
  <si>
    <t>http://ts.21cn.com/tousu/show/id/1366182</t>
  </si>
  <si>
    <t>2019/10/16 14:23:51</t>
  </si>
  <si>
    <t>本人号码一直正常使用，今天接到陌生来电称自己有什么欠款信息预留的手机号码是我本人的，沟通后对方给我发来自己收到的信息，发送号码为1069061691130，内容是说有新橙分期欠款，说报案文书和相关函件已经发送户籍地做好应诉准备，预留手机号码为我的私人号码，本人未从事催收行业，后续不断有陌生来电询问欠款，已对本人工作生活造成严重困扰，新橙分期给客户发送催收短信恶意预留他人号码，请给出合理解释。</t>
  </si>
  <si>
    <t>还款完成情况下恶意划转窃取客户卡内资金</t>
  </si>
  <si>
    <t>http://ts.21cn.com/tousu/show/id/1366179</t>
  </si>
  <si>
    <t>2019/10/16 14:23:40</t>
  </si>
  <si>
    <t>投诉人卢先生投诉对象新橙优品涉诉金额1200元问题类型诉求类型投诉详情还款日还款完成情况下恶意划转卡内其他资金，构成网络盗窃，已经向司法机关报警立案。</t>
  </si>
  <si>
    <t>http://ts.21cn.com/tousu/show/id/1366180</t>
  </si>
  <si>
    <t>2019/10/16 14:23:31</t>
  </si>
  <si>
    <t>自动弹出来免费试用三天！根本没说之后自动扣费！这不是引诱欺骗消费者吗！。</t>
  </si>
  <si>
    <t>蓝猫吧APP盗刷信用卡</t>
  </si>
  <si>
    <t>http://ts.21cn.com/tousu/show/id/1366178</t>
  </si>
  <si>
    <t>2019/10/16 14:23:26</t>
  </si>
  <si>
    <t>本人2019年10月12号在懒猫吧APP使用代还信用卡,但是交了钱之后他们不进行操作,他们公司就是骗钱公司,骗取别人的手续费,乱扣别人信用卡的钱,他们公司叫懒猫生活,APP名字叫懒猫吧,打客服不接电话,微信客服也不回复,希望聚投诉帮忙让他们公司联系我,追回我的损失,要不然我天天都会来发一次投诉...。</t>
  </si>
  <si>
    <t>360借条爆通讯录故意骚扰第三方</t>
  </si>
  <si>
    <t>http://ts.21cn.com/tousu/show/id/1366177</t>
  </si>
  <si>
    <t>2019/10/16 14:22:59</t>
  </si>
  <si>
    <t>360借条在本人未失联情况下，故意去骚扰无关第三方联系人，给本人通讯录联系人带来困扰，国家明令禁止平台骚扰与债务无关第三方，要求360借条道歉并停止骚扰！。</t>
  </si>
  <si>
    <t>友信暴力催收，利息不合法，要求减免部分利息</t>
  </si>
  <si>
    <t>http://ts.21cn.com/tousu/show/id/1366176</t>
  </si>
  <si>
    <t>2019/10/16 14:22:51</t>
  </si>
  <si>
    <t>具体的数字，但是绝对是阴阳合同，还另外收手续费，根本没有这么多到的，说什么平台费用要先扣除一部分，一共分36期，每期还4294.36元，反正一共要还15万多，利息高得要命，之前协商减免利息，直接一句就说不能减免。</t>
  </si>
  <si>
    <t>OYO酒店APP欺诈消费者</t>
  </si>
  <si>
    <t>http://ts.21cn.com/tousu/show/id/1366128</t>
  </si>
  <si>
    <t>2019/10/16 14:22:46</t>
  </si>
  <si>
    <t>在OYO酒店APP平台下单预订酒店，到店后被告知酒店并没有与之合作，而且平台自动显示已入住该酒店，打客服电话永远打不通，打通后客服敷衍说给予退款，一连十几天都没收到退款。</t>
  </si>
  <si>
    <t>兴业银行信用卡收取逾期费用高</t>
  </si>
  <si>
    <t>http://ts.21cn.com/tousu/show/id/1366174</t>
  </si>
  <si>
    <t>2019/10/16 14:21:40</t>
  </si>
  <si>
    <t>投诉人叶囡囡投诉对象兴业银行信用卡涉诉金额29777元问题类型诉求类型投诉详情9.28日收到兴业银行信用卡短信提醒10.2到期还款，本人于10.2日当天及时还款，错还卡号，有错还卡号和及时还款记录，并不是恶意拖欠，在此期间本人生宝宝刨腹产住院，有入院记录和出院记录，没有发现错还信用卡，过了还款日兴业银行信用卡没有及时再次提醒或通知还款，等到本人发现错还卡号已经产生逾期费和违约金，因无意错还卡号导致信用卡逾期上征信，这是本人不能接受的，和兴业银行信用卡协商处理，兴业银行信用卡没有给出满意答复，欠款29777元</t>
  </si>
  <si>
    <t>浦发银行信用卡周周有惊喜活动需要抢兑，发短信误导客户直接领取，导致客户没有领到相关权益</t>
  </si>
  <si>
    <t>http://ts.21cn.com/tousu/show/id/1366173</t>
  </si>
  <si>
    <t>2019/10/16 14:21:29</t>
  </si>
  <si>
    <t>投诉人房先生投诉对象浦发信用卡涉诉金额0元问题类型诉求类型投诉详情浦发银行周周有惊喜活动，客户刷够相关周数即可领取相关礼品，礼品有限，实际需要抢兑，浦发信用卡中心再给达标客户短信通知则是直接领取，且每人限领取一份，严重误导客户，致使客户去领取的时候已经没有相关礼品，。</t>
  </si>
  <si>
    <t>爆通讯严重影响我得生活</t>
  </si>
  <si>
    <t>http://ts.21cn.com/tousu/show/id/1366172</t>
  </si>
  <si>
    <t>2019/10/16 14:21:08</t>
  </si>
  <si>
    <t>爆通讯录，骚扰我的亲朋好友，爆出我得身份证号码，还有我的地址，还加我老婆的微信号，严重影响了我得生活，。</t>
  </si>
  <si>
    <t>平安银行暴力催收，上门恐吓威协家人，伪造公函。</t>
  </si>
  <si>
    <t>http://ts.21cn.com/tousu/show/id/1366170</t>
  </si>
  <si>
    <t>2019/10/16 14:20:56</t>
  </si>
  <si>
    <t>平安银行信用卡专享备用金利率过高，无法偿还，与银行协商分期还款银行不接受，派人上门恐吓威协，给家里有病老人造成了一定的心理伤害。</t>
  </si>
  <si>
    <t>骚扰电话不断</t>
  </si>
  <si>
    <t>http://ts.21cn.com/tousu/show/id/1366168</t>
  </si>
  <si>
    <t>2019/10/16 14:20:23</t>
  </si>
  <si>
    <t>2018年捷信分期了两部手机，没有逾期已经全部还清，期间不断打电话推销业务，明确拒绝不需要，还是不断骚扰，拉黑了一个地区的号码，另一个地区号码立马打过来，严重影响我正常生活，请求处理。</t>
  </si>
  <si>
    <t>百事普惠下载软件，只要银行卡有钱就扣款</t>
  </si>
  <si>
    <t>http://ts.21cn.com/tousu/show/id/1366167</t>
  </si>
  <si>
    <t>2019/10/16 14:20:15</t>
  </si>
  <si>
    <t>下载软件时没有说要扣款，下载后过4天突然银行卡自动扣款，没有任何提示，并且客服告诉我只要有钱就会扣款。</t>
  </si>
  <si>
    <t>逾期八天协商16号还款被爆通讯录</t>
  </si>
  <si>
    <t>http://ts.21cn.com/tousu/show/id/1366166</t>
  </si>
  <si>
    <t>2019/10/16 14:19:28</t>
  </si>
  <si>
    <t>本人在活力花借款4000元，一共三期每期偿还1453元，在第二期时逾期8天，因没发工资与催收协商16号做账单处理，在协商过程中催收对我进行恐吓，及人格侮辱，态度极差，和爆通讯录，对我亲戚好友造成骚扰，对我生活造成严重影响，逾期利息超高，要求贵公司做出合理的解释并道歉。</t>
  </si>
  <si>
    <t>暴力催收威胁人身安全</t>
  </si>
  <si>
    <t>http://ts.21cn.com/tousu/show/id/1366165</t>
  </si>
  <si>
    <t>投诉人朱鹏投诉对象微粒贷涉诉金额35000元问题类型诉求类型投诉详情微众银行委托机构暴力催收严重影响我单位办公，严重影响我工作和生活。</t>
  </si>
  <si>
    <t>到了还款日链接和App上不去也联系不到客服</t>
  </si>
  <si>
    <t>http://ts.21cn.com/tousu/show/id/1366164</t>
  </si>
  <si>
    <t>2019/10/16 14:19:23</t>
  </si>
  <si>
    <t>上不了平台还不了款，产生逾期费我这边概不负责，如果影响我个人信用，我这边要求小当家承担法律责任！。</t>
  </si>
  <si>
    <t>钱包易贷催收员骚扰无关人员散布色情信息</t>
  </si>
  <si>
    <t>http://ts.21cn.com/tousu/show/id/1366163</t>
  </si>
  <si>
    <t>2019/10/16 14:19:10</t>
  </si>
  <si>
    <t>投诉人 边先生        投诉对象  钱包易贷        涉诉金额  0 元    问题类型    诉求类型投诉详情  我不是欠款人本人。可能我媳妇儿弄过这个东西。钱包易贷的人打来电话自称是夜总会。让我转告我媳妇儿去上班什么的。一些侮辱性话题不多说。据我所知贵平台是长治银行的吧。这是银行的人干的事儿吗？一个个的都没爹娘媳妇儿的是吧？给我个处理方式。如果需要录音我随时可以提供。</t>
  </si>
  <si>
    <t>钱站阴阳霸王合同</t>
  </si>
  <si>
    <t>http://ts.21cn.com/tousu/show/id/1366162</t>
  </si>
  <si>
    <t>2019/10/16 14:18:48</t>
  </si>
  <si>
    <t>放款前还款明细隐瞒，虚假宣传还款红包，还款时恶意冻结，打电话客服不解决。</t>
  </si>
  <si>
    <t>你我贷真恶心</t>
  </si>
  <si>
    <t>http://ts.21cn.com/tousu/show/id/1366161</t>
  </si>
  <si>
    <t>2019/10/16 14:18:26</t>
  </si>
  <si>
    <t>你我贷逾期十多天就各种电话骚扰我家里人，请停止你们的骚扰，资金周转过来我会自己还进去的，麻烦不要一直骚扰我家里人。</t>
  </si>
  <si>
    <t>恶意催收，爆通讯录</t>
  </si>
  <si>
    <t>http://ts.21cn.com/tousu/show/id/1366160</t>
  </si>
  <si>
    <t>2019/10/16 14:18:05</t>
  </si>
  <si>
    <t>为经过我的同意，擅自爆通讯录，恶意催收，侵犯我的隐私权。</t>
  </si>
  <si>
    <t>http://ts.21cn.com/tousu/show/id/1366159</t>
  </si>
  <si>
    <t>2019/10/16 14:18:04</t>
  </si>
  <si>
    <t>借款2000元一个月！到还款日需要多还款560元，其中自动购买游戏币500元！利息68元，每逾期一天利息20元！逾期一天就开始打电话爆通讯录！爆完我这边通讯录又不经过我老婆同意，开始爆她手机通讯录！已经严重影响到个人生活和亲朋好友！其中最过分的是未经我老婆同意私自查询爆通讯录电话！强烈要求其产品下架并向本人道歉！。</t>
  </si>
  <si>
    <t>恶意消费，让顾客转钱进银行卡里，偷偷摸摸的转到定期还不跟用户说</t>
  </si>
  <si>
    <t>http://ts.21cn.com/tousu/show/id/1366156</t>
  </si>
  <si>
    <t>2019/10/16 14:17:51</t>
  </si>
  <si>
    <t>今天中午12点我去泰州海陵区的建设银行办理储蓄卡业务，帮我办理的大堂经理态度特别差，办完以后跟我说要转钱进去，不转钱就收我的手续费，我当时拒绝了，后来就恐吓我说一些乱七八糟的东西，12.20她用她的电脑帮我操作，直接将我的钱转进定期，期间并未跟我说过，走之前还翻了白眼，太垃圾了。</t>
  </si>
  <si>
    <t>网贷方再正常交涉中给通讯录打电话</t>
  </si>
  <si>
    <t>http://ts.21cn.com/tousu/show/id/1366157</t>
  </si>
  <si>
    <t>2019/10/16 14:17:38</t>
  </si>
  <si>
    <t>小象客服再继续协商中未经同意的情况下给通讯录好友打催还电话，严重影响个人声誉，不积极协商删除微信。</t>
  </si>
  <si>
    <t>剑御飞行</t>
  </si>
  <si>
    <t>http://ts.21cn.com/tousu/show/id/1366155</t>
  </si>
  <si>
    <t>2019/10/16 14:17:28</t>
  </si>
  <si>
    <t>投诉人赵女士投诉对象剑御飞行涉诉金额2100元问题类型诉求类型投诉详情已经投诉一次了，有关部门没给解决，这种高利贷，扫黑除恶，管都不管，侮辱、恐吓、威胁，群发恶心的信息，让所有通讯录里面的人都知道我欠钱，发我是个卖淫的，这种高利贷催收回家不管吗。</t>
  </si>
  <si>
    <t>维信卡卡贷不合理保险费</t>
  </si>
  <si>
    <t>http://ts.21cn.com/tousu/show/id/1366154</t>
  </si>
  <si>
    <t>2019/10/16 14:17:21</t>
  </si>
  <si>
    <t>维信卡卡贷，借款在我不知情的情况下，强制买的保险，要求退保，请处理。</t>
  </si>
  <si>
    <t>来用借款APP砍头息</t>
  </si>
  <si>
    <t>http://ts.21cn.com/tousu/show/id/1366152</t>
  </si>
  <si>
    <t>2019/10/16 14:15:30</t>
  </si>
  <si>
    <t>投诉人葛先生投诉对象来用涉诉金额1650元问题类型诉求类型投诉详情借1500到账1000还1600多砍头息高利贷，逾期了马上打联系人电话，要求安正常利息还款。</t>
  </si>
  <si>
    <t>天津银行客服无人接听电话</t>
  </si>
  <si>
    <t>http://ts.21cn.com/tousu/show/id/1366151</t>
  </si>
  <si>
    <t>2019/10/16 14:15:26</t>
  </si>
  <si>
    <t>天津银行信用卡办理时说没有年费，近日收到账单年费80元，拨打客服电话4006960296十余次，人工无人接听，连挂失人工都无人接听，希望客服可以联系我。</t>
  </si>
  <si>
    <t>客服态度不好利息高</t>
  </si>
  <si>
    <t>http://ts.21cn.com/tousu/show/id/1366150</t>
  </si>
  <si>
    <t>2019/10/16 14:15:19</t>
  </si>
  <si>
    <t>贷款三千多，现在需要还款六千多，典型的高利贷，本人无理偿还。</t>
  </si>
  <si>
    <t>证大小贷公司恶意催收</t>
  </si>
  <si>
    <t>http://ts.21cn.com/tousu/show/id/1366149</t>
  </si>
  <si>
    <t>2019/10/16 14:15:06</t>
  </si>
  <si>
    <t>本人2017年在证大财富小贷公司借款3.6万元，到现在已经还款了5.2万元，在今年的8月证大财富也倒闭了，老板被抓了，可是还是有证大财富的人打电话，发短信，骚扰我，威胁我，让我还款，我本金都已经还完了，利息还了2万多，问一下什么利息这么高，这就是非法公司，请求帮助销账，别再骚扰我。</t>
  </si>
  <si>
    <t>你我贷爆我通讯录，还短信验证码轰炸我手机</t>
  </si>
  <si>
    <t>http://ts.21cn.com/tousu/show/id/1366148</t>
  </si>
  <si>
    <t>2019/10/16 14:14:53</t>
  </si>
  <si>
    <t>逾期一天，催收打电话来态度恶劣，爆我通讯录，还短信验证码轰炸我手机，要求立即停止骚扰！。</t>
  </si>
  <si>
    <t>平安普惠爆通迅录</t>
  </si>
  <si>
    <t>http://ts.21cn.com/tousu/show/id/1366146</t>
  </si>
  <si>
    <t>2019/10/16 14:13:47</t>
  </si>
  <si>
    <t>投诉人姚恭炎投诉对象平安普惠,及贷，维信豆豆涉诉金额10000元问题类型诉求类型投诉详情本人已多次与客服商量让其起诉还款，但其至之不理，现爆通讯录，包括骚扰，请平台处理。</t>
  </si>
  <si>
    <t>虚假承诺就业，维护权益</t>
  </si>
  <si>
    <t>http://ts.21cn.com/tousu/show/id/1366144</t>
  </si>
  <si>
    <t>2019/10/16 14:13:36</t>
  </si>
  <si>
    <t>投诉人刘先生投诉对象达内涉诉金额24300元问题类型诉求类型投诉详情本人在达内8月份学完UED毕业，至今未就业！1月份，一直在了解学一门技术，看过达内官网之后，他们一直约我进行面谈，2月份太原学府中心进行面谈，他们说学四个月，包就业，当时承诺有平安保险两个月内就不了业理赔，并且高薪工作，没钱可以进行分期付款，并且当时正好遇到优惠活动，学费可以进行优惠，由于包就业，高薪工作诱惑，进行了分期付款！两个月内就不了业进行赔付！再学习的过程中又了解到包就业变成了推荐就业，然而，在学完之后去了上海，所谓的推荐就业两个月</t>
  </si>
  <si>
    <t>360贷款平台</t>
  </si>
  <si>
    <t>http://ts.21cn.com/tousu/show/id/1366143</t>
  </si>
  <si>
    <t>2019/10/16 14:13:16</t>
  </si>
  <si>
    <t>360平台客服恶意催收，恐吓侮辱，气焰嚣张，平台收取高额息费！。</t>
  </si>
  <si>
    <t>滴滴公司不履行承诺</t>
  </si>
  <si>
    <t>http://ts.21cn.com/tousu/show/id/1366142</t>
  </si>
  <si>
    <t>2019/10/16 14:12:57</t>
  </si>
  <si>
    <t>投诉人徐先生投诉对象滴滴出行涉诉金额12000元问题类型诉求类型投诉详情本人兼职滴滴司机，2019年9月10号左右被当地运管查扣车辆，按照滴滴客服要求配合运管部门接受处理之后，咨询客服罚款是否还有援助，得到肯定答复缴纳罚金之后，却被滴滴客服告知援助上限为10000元，与我按滴滴要求配合运管处理所缴纳的罚款少2000元！！！我一个月跑滴滴都没有2000，现在按滴滴的要求遵纪守法的进行配合处理却要自己承担损失，请问滴滴你们的标准究竟是怎样，！如果滴滴在我们当地属于非法营运，我个人属于无证司机，平台大可不必派单给</t>
  </si>
  <si>
    <t>有一个上海的电话天天打电话骚扰</t>
  </si>
  <si>
    <t>http://ts.21cn.com/tousu/show/id/1366140</t>
  </si>
  <si>
    <t>2019/10/16 14:11:39</t>
  </si>
  <si>
    <t>我也不知道是哪个平台，每天不同电话要吗是来分期，但是态度恶劣，还威胁，最近真的没有钱还在在家，带宝宝，虽然数额不多，但是由于中介的那个人没有跟我明情况，说不用还过了一个月才跟我要还的，我只还了一期，下个月一定全部还上。</t>
  </si>
  <si>
    <t>维信卡卡贷收取咨询费担保费不合理，年利率已经超过24%</t>
  </si>
  <si>
    <t>http://ts.21cn.com/tousu/show/id/1366138</t>
  </si>
  <si>
    <t>2019/10/16 14:11:22</t>
  </si>
  <si>
    <t>当时卡卡贷app里显示的月还款为4300-4500左右，但是借款完成每个月还款为5511，要求按照合同里的利率执行，退还收取的担保费和咨询费，。</t>
  </si>
  <si>
    <t>卡卡贷高利贷，收取高额保险费，高额逾期费用，暴力催收</t>
  </si>
  <si>
    <t>http://ts.21cn.com/tousu/show/id/1366137</t>
  </si>
  <si>
    <t>2019/10/16 14:10:53</t>
  </si>
  <si>
    <t>卡卡贷涉嫌高利贷，贷款三万分六期还总还款要33740，另外又扣去了一千多保险费，本人已经还了前五期还款金额为28140，实在没有能力还最后一期，目前已经逾期了十多天，催收一天打好几个电话，在能联系上本人的情况下之前有个给好几个联系人打过电话，已经对本人生活造成骚扰，欠债还钱天经地义没说不还，今天同催收人员协商还款确实是已经没有能力还钱，协商归还本金，已经扣除的保险费用就不追究了，没想到没有商量的余地，催收马上就给通讯录联系人群发信息说本人欠款信息，完全没有道理可讲，！现要求联系本人协商还款本人只愿意归还本金</t>
  </si>
  <si>
    <t>上海造艺网络技术有限公司恶意扣款</t>
  </si>
  <si>
    <t>http://ts.21cn.com/tousu/show/id/1366135</t>
  </si>
  <si>
    <t>2019/10/16 14:10:41</t>
  </si>
  <si>
    <t>投诉人王丽娟女士投诉对象造艺技术涉诉金额299元问题类型诉求类型投诉详情本人10月5号注册了聚富分期，只是填写了资料，打客服说是征信报告的费用，但是接收无任何短信或者报告之类填的信息反馈，当时银行卡钱没有那么多分2次划走，注册是用来贷款的，不是给你做什么信用报告的，而且在申请借款的过程中，没有任何信息说明会收这个费用，然后擅自划扣客户的钱，我一定会追究到底，看看网上有多少投诉这家金融公司的，严重欺骗了消费者，上海造艺的百事普惠，在未经本人允许并且本人没有输入付款密码的情况下分二次共扣除本人299元，并且不予</t>
  </si>
  <si>
    <t>放款与实际借款金额不符</t>
  </si>
  <si>
    <t>http://ts.21cn.com/tousu/show/id/1366134</t>
  </si>
  <si>
    <t>2019/10/16 14:10:33</t>
  </si>
  <si>
    <t>投诉人 牛先生        投诉对象  水莲金条        涉诉金额  10 000 元    问题类型    诉求类型投诉详情  本人借款一万元实际放款到手七千。由于工厂倒闭暂时不发工资导致还款出现问题。催收打电话让我找朋友借款。而且还说不还就上征信。</t>
  </si>
  <si>
    <t>交通银行软暴力催收</t>
  </si>
  <si>
    <t>http://ts.21cn.com/tousu/show/id/1366132</t>
  </si>
  <si>
    <t>2019/10/16 14:09:53</t>
  </si>
  <si>
    <t>交通银行，爆我通讯录，严重电话骚扰，软暴力催收。</t>
  </si>
  <si>
    <t>催收人员电话短信骚扰亲戚朋友，打电话到公司骚扰</t>
  </si>
  <si>
    <t>http://ts.21cn.com/tousu/show/id/1366133</t>
  </si>
  <si>
    <t>2019/10/16 14:09:47</t>
  </si>
  <si>
    <t>投诉人陈女士投诉对象招联金融涉诉金额5800元问题类型诉求类型投诉详情催收人员随意发短信打电话骚扰周围亲戚朋友，给大家生活造成很大影响。</t>
  </si>
  <si>
    <t>欠款逾期5天轰炸骚扰家人朋友</t>
  </si>
  <si>
    <t>http://ts.21cn.com/tousu/show/id/1366130</t>
  </si>
  <si>
    <t>2019/10/16 14:08:56</t>
  </si>
  <si>
    <t>各种骚扰白天骚扰到晚上家人那边也不停的对其恐吓。</t>
  </si>
  <si>
    <t>经常被捷信公司的电话骚扰</t>
  </si>
  <si>
    <t>http://ts.21cn.com/tousu/show/id/1366126</t>
  </si>
  <si>
    <t>2019/10/16 14:06:55</t>
  </si>
  <si>
    <t>捷信消费金融有限公司对我进行骚扰将近两年，这两年持续对我进行骚扰，基本每天电话不断。</t>
  </si>
  <si>
    <t>拍拍贷暴力催收，威胁恐吓</t>
  </si>
  <si>
    <t>http://ts.21cn.com/tousu/show/id/1366056</t>
  </si>
  <si>
    <t>2019/10/16 14:06:54</t>
  </si>
  <si>
    <t>拍拍贷客服人员冒充公检法律师，称已提起诉讼，让法院冻结我的个人财产，同时提交深圳市福田公安局分局经济犯罪调查科备案，立案进行全国挂网追讨，还要申请逮捕令，我想就此事咨询下拍拍贷公司，你们公司是否有权利申请逮捕我，我是犯了什么罪了，需要用到，工作人员联系到我，直接说，走司法程序，我还没说什么呢，直接说通知父母，亲属，村委，同时还联系到村委，村书记，还要让我家庭名誉受损，我想再次问下，是谁给你们权利获取我的通讯录，我的紧急联系人是谁，你有什么权利联系我的亲朋好友。</t>
  </si>
  <si>
    <t>事实不清，理由不足情况下，冻结我的资金出去，要求还我清白，解冻资金</t>
  </si>
  <si>
    <t>http://ts.21cn.com/tousu/show/id/1366125</t>
  </si>
  <si>
    <t>2019/10/16 14:06:34</t>
  </si>
  <si>
    <t>本人由于被误导，导致账号密码被他人利用，进行违规操作，这点我承认是我的防范意识不强，进而导致我的淘宝账号被封，同时限制了我的支付宝账号支付功能，我现在有充足的证据证明非我本人的操作，然后客服依旧根据系统的保定，依旧对我这样限制，导致我支付宝余额无法提现，导致贷款即将逾期，我就想问，为何我自己的，来路清晰，合法合规的一笔个人财产，为何要冻结。</t>
  </si>
  <si>
    <t>你我贷套路贷收取高额服务费</t>
  </si>
  <si>
    <t>http://ts.21cn.com/tousu/show/id/1366124</t>
  </si>
  <si>
    <t>2019/10/16 14:05:53</t>
  </si>
  <si>
    <t>你我贷,你我贷互联网金融,恒丰银行,宝付支付，你我贷收取高额服务费，借款4000元，服务费高达1200，属于非法高利贷，我联系客服协商客服说是短信提示还款的费用，完全超出合理收费，变相收取高额利息，我要求提前结清，按国家规定的合理利息来算，他们的扣款方一个是宝付一个是你我贷金融，联系宝付的客服他们也不受理这个事情。</t>
  </si>
  <si>
    <t>520情感挽回忽悠人，服务态度差没有任何效果</t>
  </si>
  <si>
    <t>http://ts.21cn.com/tousu/show/id/1366123</t>
  </si>
  <si>
    <t>2019/10/16 14:05:33</t>
  </si>
  <si>
    <t>瑶:事情经过：我9月20号找到520情感咨询机构，他们说我的挽回案例属于3级的，比较简单挽回，适合3980元的套餐，先行交1000元定金，有效果之后再交尾款2980元，这个导师给我打电话说因为我的尾款没有补齐，导致很多挽回方案没有办法实施，所以，他只能等我尾款补齐才能指导，这就是他们公司第一次违约，明明合同标明，有效果才交尾款的，而且当时是说他们的导师都是有十几年挽回经验的国家心理咨询师证的，虽然到现在我也没有看到他们的证件长什么样子，但是介入他们的导师之后，两个星期还是没有任何效果，比以前两个人的关系更加</t>
  </si>
  <si>
    <t>农行绿森逾期不发货</t>
  </si>
  <si>
    <t>http://ts.21cn.com/tousu/show/id/1366122</t>
  </si>
  <si>
    <t>2019/10/16 14:05:18</t>
  </si>
  <si>
    <t>本人于9月20日早9点32分付款在支付5590.76元，由于投诉金额只能填写整数，故我填写了5590元，套餐二，在预计发货期内没有发货，联系客服说改为黑，白色会早点发货，然后72小时过去了，联系客服，依旧是耐心等待，会尽快处理这样的官方回答。</t>
  </si>
  <si>
    <t>玖富万卡保费退还</t>
  </si>
  <si>
    <t>http://ts.21cn.com/tousu/show/id/1366063</t>
  </si>
  <si>
    <t>2019/10/16 14:04:30</t>
  </si>
  <si>
    <t>投诉人陈正投诉对象珠海玖富消金科技有限公司涉诉金额16900元问题类型诉求类型投诉详情本人陈正于2019年9月15日在玖富万卡贷款APP申请贷款，额度16900元，后申请几次失败，卸载了APP，实际到账13000元+保费3900元，保费直接扣除的，，然后觉得事情不对，联系玖富客服说明情况，客服说7天内可以取消借款的，需要还款16900元，现至今玖富万卡都没有退还3900元，联系客服一直是推脱说是要等，没办法了只能求助了，帮帮我。</t>
  </si>
  <si>
    <t>小花钱包骚扰</t>
  </si>
  <si>
    <t>http://ts.21cn.com/tousu/show/id/1366120</t>
  </si>
  <si>
    <t>2019/10/16 14:03:47</t>
  </si>
  <si>
    <t>投诉人陈女士投诉对象小花钱包,中腾信涉诉金额0元问题类型诉求类型投诉详情没完没了骚扰我们这种无辜躺在别人通讯录里面的人，口气还非常粗暴，告知不认识还一直打电话，要求停止骚扰！。</t>
  </si>
  <si>
    <t>车主邦app充电收停车费</t>
  </si>
  <si>
    <t>http://ts.21cn.com/tousu/show/id/1366118</t>
  </si>
  <si>
    <t>2019/10/16 14:03:25</t>
  </si>
  <si>
    <t>通过停车场介绍用车主邦旗下快电App充电,,,充完电之后停车场工作人员要收停车费,说这app不属于充电免费范围...然而我打给客服的时候说让我先把停车费交了,之后会有人联系我返还,至今一直没有,。</t>
  </si>
  <si>
    <t>小花钱包 暴力催收 骚扰同事家人 高利贷 砍头息</t>
  </si>
  <si>
    <t>http://ts.21cn.com/tousu/show/id/1366117</t>
  </si>
  <si>
    <t>2019/10/16 14:03:21</t>
  </si>
  <si>
    <t>投诉人吴先生投诉对象晓花上海互联网金融信息有限公司涉诉金额10000元问题类型诉求类型投诉详情实际到账五千合同金额6284.22暴力催收骚然家人同事。</t>
  </si>
  <si>
    <t>你我贷借款是高利贷</t>
  </si>
  <si>
    <t>http://ts.21cn.com/tousu/show/id/1366116</t>
  </si>
  <si>
    <t>2019/10/16 14:03:16</t>
  </si>
  <si>
    <t>投诉人黄媛媛投诉对象你我贷涉诉金额16000元问题类型诉求类型投诉详情2019.2.17号在你我贷借款平台借款，当时没有写清利息，头两个月还2803.98，后期每个月都要还1613.58，这个利率已经超过国家标准了，还剩4期，要求调整利率，调整还款金额。</t>
  </si>
  <si>
    <t>骚扰家人，骚扰本人</t>
  </si>
  <si>
    <t>http://ts.21cn.com/tousu/show/id/1366119</t>
  </si>
  <si>
    <t>2019/10/16 14:03:14</t>
  </si>
  <si>
    <t>投诉人王先生投诉对象交通银行信用卡涉诉金额2000元问题类型诉求类型投诉详情给我打电话都是响十几秒，掏出手机接都来不及，给家人朋友打骚扰电话。</t>
  </si>
  <si>
    <t>永恒优享依然在微信公众号上非法发放高利贷</t>
  </si>
  <si>
    <t>http://ts.21cn.com/tousu/show/id/1366115</t>
  </si>
  <si>
    <t>2019/10/16 14:03:05</t>
  </si>
  <si>
    <t>本人之前在永恒优享借款几次，砍头息部分高达3400元左右，协商退还1700元对方不肯退还违法所得，现在依然在微信公众号上非法放贷，请聚投诉严惩。</t>
  </si>
  <si>
    <t>浦发信用卡催收</t>
  </si>
  <si>
    <t>http://ts.21cn.com/tousu/show/id/1366111</t>
  </si>
  <si>
    <t>2019/10/16 14:02:35</t>
  </si>
  <si>
    <t>因为投资生意失败现欠下浦发信用卡50000，万用金10000，这段时间我一直在想办法搞钱，现在在工地打工，一个月工资10000，可是不是月发，而是年发，我也是特别想把钱还上，现在每天睡觉都不踏实，我一个95年的，我不想以后我的生活因为征信出现什么问题，导致我在社会上什么也干不了，现在每天催收的打十几个电话，我不是不接，而是我在干活，在架体上，我不可能因为这几万块钱人身出现什么意外，我才95年，我还有大把的时间挣钱，现在请求浦发银行把我的信用卡分期，我每期还款，。</t>
  </si>
  <si>
    <t>投诉卡牛信用卡管家套路贷</t>
  </si>
  <si>
    <t>http://ts.21cn.com/tousu/show/id/1366112</t>
  </si>
  <si>
    <t>2019/10/16 14:02:21</t>
  </si>
  <si>
    <t>于2019年10月15日在卡牛APP上申请瑞贷，总贷额度6000元，立马没有任何通知预警扣取高额费用1020元，当时本人蒙了，也不知道什么情况！用银行app查询明细才发现是卡牛的操作！立马想问清楚卡牛客服什么问题这样扣钱！感觉自己是上当了！问了也没用、肯定非常多的官方说法！今天偶然看到很多投诉的借此我也在聚投诉平台说明下情况！卡牛在*上的广告以事实证明完全是套路！虚假宣传！行为操作违规违法，完全不合理！在当事人无违规违约情形下自行操作他人财产！完全没有任何预警，实属违法行为！等同盗取他人财产一般！希望公众平</t>
  </si>
  <si>
    <t>好分期暴力催收</t>
  </si>
  <si>
    <t>http://ts.21cn.com/tousu/show/id/1366108</t>
  </si>
  <si>
    <t>2019/10/16 14:01:28</t>
  </si>
  <si>
    <t>疯狂暴力催收，没有协商的余地，电话轰炸，家人威胁，我还钱肯定会还，你也不至于搞得我要跑了怎么样的。</t>
  </si>
  <si>
    <t>御剑飞行协商还款</t>
  </si>
  <si>
    <t>http://ts.21cn.com/tousu/show/id/1366109</t>
  </si>
  <si>
    <t>2019/10/16 14:01:09</t>
  </si>
  <si>
    <t>投诉人倪先生投诉对象御剑飞行涉诉金额2100元问题类型诉求类型投诉详情10月12日申请的御剑飞行点审核以后直接到账了2100实际账单金额是3500，利息太高麻烦协商处理。</t>
  </si>
  <si>
    <t>暴力催收阴阳合同砍头息高利贷</t>
  </si>
  <si>
    <t>http://ts.21cn.com/tousu/show/id/1366107</t>
  </si>
  <si>
    <t>2019/10/16 14:00:51</t>
  </si>
  <si>
    <t>凡普金科借款34200到手24000合同却是按34200计息钱站26400到手20000合同却是按26400计息。</t>
  </si>
  <si>
    <t>http://ts.21cn.com/tousu/show/id/1366106</t>
  </si>
  <si>
    <t>2019/10/16 14:00:47</t>
  </si>
  <si>
    <t>已明确表示不认识此人，多次致电，态度差，诋毁，说，要不要教我们做人，不是我们班主任。</t>
  </si>
  <si>
    <t>玖富万卡恶意收费，高利贷</t>
  </si>
  <si>
    <t>http://ts.21cn.com/tousu/show/id/1366105</t>
  </si>
  <si>
    <t>2019/10/16 14:00:44</t>
  </si>
  <si>
    <t>投诉人李女士投诉对象玖富涉诉金额8000元问题类型诉求类型投诉详情之前在玖富万卡借了8000元，后面想提前还款居然还要多收我除了利息之外的其他不明费用，我找客服协商，但是对方却不依，并且后期客服还打电话恐吓，麻烦贵公司帮忙联系一下这个公司的人，本人并不是恶意拖欠，而是对方明明就是高利贷，协商还不依，真不明白像这种公司居然还能上征信，国家是怎么监控的！！！这是高利贷！！！！利息多出好几倍好吧！！！！这是逼死老百姓的节奏！！！。</t>
  </si>
  <si>
    <t>http://ts.21cn.com/tousu/show/id/1366104</t>
  </si>
  <si>
    <t>2019/10/16 14:00:40</t>
  </si>
  <si>
    <t>投诉人周女士投诉对象百度有钱花涉诉金额24000元问题类型诉求类型投诉详情每天不停的打电话，短信，微信形式微信恐吓我及我的家人，在今年扫黑除恶的形势下，将原来的百度有钱花更名为小满金融。</t>
  </si>
  <si>
    <t>http://ts.21cn.com/tousu/show/id/1366102</t>
  </si>
  <si>
    <t>2019/10/16 13:59:36</t>
  </si>
  <si>
    <t>投诉人甘先生投诉对象平安银行信用卡涉诉金额570元问题类型诉求类型投诉详情平安银行信用卡，不接受协商还款，暴力催收骚扰身边的家人。</t>
  </si>
  <si>
    <t>支付宝的钱被盗了，付款成功想要追回</t>
  </si>
  <si>
    <t>http://ts.21cn.com/tousu/show/id/1366070</t>
  </si>
  <si>
    <t>2019/10/16 13:59:32</t>
  </si>
  <si>
    <t>被路人骗了扫了不该扫的二维码&amp;nbsp;结果钱一笔笔的全没有了，想让支付宝平台帮忙追回&amp;nbsp;，那可是我的救命钱。</t>
  </si>
  <si>
    <t>米兔3C儿童电话手表充电故障，更换期内小米拒绝更换</t>
  </si>
  <si>
    <t>http://ts.21cn.com/tousu/show/id/1366101</t>
  </si>
  <si>
    <t>2019/10/16 13:59:13</t>
  </si>
  <si>
    <t>9月16日，我对此日期提出异议，客户告知可以先把故障产品寄回检测，再确定如何售后，并在盒中附纸张说明该手表从出售到报修并未超出小米承诺的15天免费更换期，客服于10月5日建立维修工单：AS1910053505952，10月10日，我收到小米售后中心寄回产品，并未更换，也没有联系我进行沟通，纸质工单上出具的保修方案是“维修”，且寄回产品因包装问题屏幕出现大量划痕，我再次与4001005678联系，客服收到反馈后告知我没有更换的原因是因为在小米系统中显示该商品出售时间为9月16日，已超出15天更换期，并告知我可</t>
  </si>
  <si>
    <t>马上金融威胁上门催收爆通讯录</t>
  </si>
  <si>
    <t>http://ts.21cn.com/tousu/show/id/1366100</t>
  </si>
  <si>
    <t>2019/10/16 13:59:05</t>
  </si>
  <si>
    <t>别名安逸花，由于资金困难，短时间还不进去，前几天催收说可以还200，我还了，今天他们说跟外包的催收公司开视频会议进行催收，上门催收，到时上门费用我自己承担，还说爆我通讯录的电话，把通讯录的号码和名字都念出来威胁恐吓我，让我准备好，等待上门催收，说实话，有钱谁不想还，可是资金困难，也有好好协商，可是一直在威胁我，跟我核对地址，户籍，直接说上门催收，让我承担上门的费用，严重影响我的生活。</t>
  </si>
  <si>
    <t>铁友APP没有提示性捆绑消费</t>
  </si>
  <si>
    <t>http://ts.21cn.com/tousu/show/id/1366099</t>
  </si>
  <si>
    <t>2019/10/16 13:59:03</t>
  </si>
  <si>
    <t>本人于2019年10月16日下午使用该app购买火车票，付款时并未留意选项信息，后购买回程票再次付款时发现铁友存在强制捆版消费行为，应对捆版消费的10元酒店优惠券费用进行退还。</t>
  </si>
  <si>
    <t>农业网点不让领卡</t>
  </si>
  <si>
    <t>http://ts.21cn.com/tousu/show/id/1366097</t>
  </si>
  <si>
    <t>2019/10/16 13:58:41</t>
  </si>
  <si>
    <t>农业网申7月份通过，农业百般阻扰，说个人工作是私企，卡不让领，我个人工作老实踏地，另干有服装店，有营业执照，本人持原身份证，复印件，原营业执照，复印件，工作证明，去领卡，工作人员说，证件不属于填写单位的证明，但是我个人工作证明是公司，让我出房产证明，我现在的房子是去世的公公，因盖房子的原因，房产证还没有更改我跟我老公名字，现在又说不算我们的资产，我开有大队证明，网点银行又说，这没有用，我个人投诉，总行已经通过，网点不得已任何理由阻止。</t>
  </si>
  <si>
    <t>http://ts.21cn.com/tousu/show/id/1366098</t>
  </si>
  <si>
    <t>2019/10/16 13:58:33</t>
  </si>
  <si>
    <t>百事普惠恶意扣款150元，请求退款，谢谢聚投诉。</t>
  </si>
  <si>
    <t>骚扰我家里人</t>
  </si>
  <si>
    <t>http://ts.21cn.com/tousu/show/id/1366095</t>
  </si>
  <si>
    <t>2019/10/16 13:57:38</t>
  </si>
  <si>
    <t>投诉人 庄女士        投诉对象  苏宁易购        涉诉金额  0 元    问题类型    诉求类型投诉详情  骚扰我家里人</t>
  </si>
  <si>
    <t>平安银行暴利催收以为威胁人</t>
  </si>
  <si>
    <t>http://ts.21cn.com/tousu/show/id/1366093</t>
  </si>
  <si>
    <t>2019/10/16 13:56:58</t>
  </si>
  <si>
    <t>平安银行信用卡卡催收电话，打电话说处理了，因为刚交了房租就想先还部分，之后隔两天还剩余的部分，平安银行工作人员就说不还就上门，之后挂了我电话就打电话到我们公司，打电话给我们经理，各种暴利催收电话不断。</t>
  </si>
  <si>
    <t>农行app绿森商城里购买iphone11promax不发货不退款</t>
  </si>
  <si>
    <t>http://ts.21cn.com/tousu/show/id/1366092</t>
  </si>
  <si>
    <t>2019/10/16 13:56:49</t>
  </si>
  <si>
    <t>本人于9月16日在农行app的绿森商城里以信用卡分期的形式购买一台iphone11，绿森商城承诺10个工作日之内发货，但是到10月11日依然没有发货出来，于是我申请退款，系统显示2-3个工作日款就会退回，但是已经5天了，退款还没有退回，从下单到今天已经一个月了，眼看信用卡就要结算了，到时候有利息产生绿森你能赔吗，商家此举就是恶意占用消费者的资金，赚取利息，无良无德，我希望商家尽快解决，早日退款并赔偿占用我一万元一个月的利息。</t>
  </si>
  <si>
    <t>易行商旅工作人员诱导欺诈办卡，申请退卡困难重重</t>
  </si>
  <si>
    <t>http://ts.21cn.com/tousu/show/id/1365978</t>
  </si>
  <si>
    <t>2019/10/16 13:56:43</t>
  </si>
  <si>
    <t>7月22日，在通辽机场等候乘机时，一位身穿制服的工作人员拦下我，询问我去什么地方，就开始给我介绍易行商旅卡，说易行商旅卡可以走机场快速通道、免费VIP休息室且买机票还有折扣，但需预交1500元开卡费，通过柜台服务人员的支付宝账号扫描付款办理的，办卡期间服务人员并未具体说明此卡是用于优惠券抵扣，是不是可以一次买票全额付款她告知是可以的，让消费者误以为用该卡可有优惠且就用里面的现金进行扣款，本人于2017年8月上网查询易行商旅有关信息，才发现网上很多人说每次只抵扣几十块，有些机场的贵宾休息区是免费的但有些是需要</t>
  </si>
  <si>
    <t>你我贷高利息</t>
  </si>
  <si>
    <t>http://ts.21cn.com/tousu/show/id/1366090</t>
  </si>
  <si>
    <t>2019/10/16 13:56:01</t>
  </si>
  <si>
    <t>你我贷贷后管理费如此之高，我于2月23日你我贷复贷借了一笔6300元，前三期还款1091，后9期还款587，8月29日又借了一笔加贷3200元，前两期还款762元，后10期282元，不知你我贷如此高的贷后管理费给我管理了什么。</t>
  </si>
  <si>
    <t>玖富叮当高利贷，阴阳合同</t>
  </si>
  <si>
    <t>http://ts.21cn.com/tousu/show/id/1366089</t>
  </si>
  <si>
    <t>2019/10/16 13:55:34</t>
  </si>
  <si>
    <t>投诉人边女士投诉对象玖富叮当涉诉金额50000元问题类型诉求类型投诉详情本人于2017年11月和2018年分别在玖富叮当借款，金额是41500元和6800元，现在还了近一年半，之前贷款的时候没有合同，下款后才有的合同，最近几个月和律师朋友和金融朋友聊天，才知道玖富叮当涉嫌阴阳合同和高利贷，已经高于国家法定利息很多，最近没有再还，之前在聚投诉投诉投诉后，有客服和我协商提前结清，才能减免利息，但协商金额已经超出本人还款能力，只想重新规划还款金额，按照国家法定利息还款，多余一分也不会还。</t>
  </si>
  <si>
    <t>前同事借钱填我电话为联系人，你我贷最近一年对我频繁电话骚扰。</t>
  </si>
  <si>
    <t>http://ts.21cn.com/tousu/show/id/1366088</t>
  </si>
  <si>
    <t>2019/10/16 13:55:27</t>
  </si>
  <si>
    <t>投诉人谢先生投诉对象你我贷涉诉金额0元问题类型诉求类型投诉详情前同事郑楠，手机号186******60，石家庄市人，2018年在你我贷平台借款，在未经本人允许情况下私自填写本人手机号为借款联系人，然后近一年内频繁接到你我贷公司的催收电话，催收人员态度恶劣，大声呵斥，并以电话骚扰为要挟，骚扰电话严重影响本人的情绪及精神状态，对本人的生活及工作造成严重影响。</t>
  </si>
  <si>
    <t>小闪分期原快闪卡贷催收态度恶劣，威胁</t>
  </si>
  <si>
    <t>http://ts.21cn.com/tousu/show/id/1366087</t>
  </si>
  <si>
    <t>2019/10/16 13:55:02</t>
  </si>
  <si>
    <t>投诉人付先生投诉对象闪分期涉诉金额12000元问题类型诉求类型投诉详情我在小闪分期原快闪卡贷里面贷款12000，强行扣除保险费，到账10000，六期每期还款2412.典型的高利贷，我没说不还，今天逾期催收打电话态度不好，说话难听，直接不给你协商的机会，虽没有直接说爆电话什么的手段，但是已经很明显的提到职业了，意思就是想骚扰！为什么不能好好协商，如果是这个态度那么不好意思，反正我已经有110的备案，如果出现任何的事故和意外，他们这是间接的害人！。</t>
  </si>
  <si>
    <t>豹子贷恶意扣款299</t>
  </si>
  <si>
    <t>http://ts.21cn.com/tousu/show/id/1366086</t>
  </si>
  <si>
    <t>2019/10/16 13:54:08</t>
  </si>
  <si>
    <t>投诉人蔡女士投诉对象造艺科技涉诉金额299元问题类型诉求类型投诉详情豹子贷恶意扣款299，投诉请求退款，谢谢聚投诉。</t>
  </si>
  <si>
    <t>http://ts.21cn.com/tousu/show/id/1366085</t>
  </si>
  <si>
    <t>2019/10/16 13:53:51</t>
  </si>
  <si>
    <t>10月16日，账单到期，他们联系我了，我说你们下款都没经过我的同意，我只是提交了资料，为什么就直接到账了，他们不承认说必须还3500.说不还，就上门催收，打家人电话，我说我就到账了2100.，还是不知情的情况下，她们说没得商量，必须还3500，希望聚投诉可以帮我解决这个问题，2100我可以还给他们，但是还有的1400这个我不应该给他们。</t>
  </si>
  <si>
    <t>万达贷恶意骚扰</t>
  </si>
  <si>
    <t>http://ts.21cn.com/tousu/show/id/1366084</t>
  </si>
  <si>
    <t>2019/10/16 13:53:33</t>
  </si>
  <si>
    <t>投诉人孔先生投诉对象万达贷涉诉金额30000元问题类型诉求类型投诉详情5月份万达贷逾期至今，上周末协商过一次，但本周一晚上再通电话后，就还款问题又出现分歧并双方都情绪激动挂断电话，今日早晨，万达贷工作人员对我母亲饭店进行骚扰，将我母亲饭店周围商铺座机全部拨打一遍，对我母亲名誉和心理造成伤害，对周围商铺造成骚扰，今日中午又一男性所谓万达贷工作人员与我进行通话，扬言今日不还款就继续搞我，继续搞我母亲饭店，一直让生意做不下去关门为止，对我个人怎样无所谓，但诋毁我母亲确实太可恶。</t>
  </si>
  <si>
    <t>zol商城经销售欺诈消费</t>
  </si>
  <si>
    <t>http://ts.21cn.com/tousu/show/id/1366083</t>
  </si>
  <si>
    <t>2019/10/16 13:52:46</t>
  </si>
  <si>
    <t>15日下午四点左右在中关村在线商城支付一款1259元三星A9star非合约机，到晚上六点多打电话过来说是运营商定制版，需要绑定卡使用两年改手机卡消费套餐，或者加钱重新买不绑卡手机，不给办理退货，然后协商加200元微信转账换为此款手机的公开版，从中关村在线APP上查询订单显示订单状态卖家已经发货，但快递单号为虚假订单号，与卖家沟通要求告知订单号，卖家以库房未给他发订单号为由不发订单号，从昨晚上给中关村商城打投诉电话一直打不通，后面我在网上寻求同样的案例解决方式，发现有很多跟我一样在中关村商城购买手机被骗且官方</t>
  </si>
  <si>
    <t>在拼多多月丽莎内衣店买到假货，本人打算法律诉讼，拼多多不提供商家营业执照，并且拼多多让我寄回假货，并且不予退款。</t>
  </si>
  <si>
    <t>http://ts.21cn.com/tousu/show/id/1366010</t>
  </si>
  <si>
    <t>2019/10/16 13:52:36</t>
  </si>
  <si>
    <t>投诉人张先生投诉对象拼多多涉诉金额349元问题类型诉求类型投诉详情本人在拼多多月丽莎内衣店购买塑身内衣，收到假货，投诉1：拼多多不提供商家营业执照，拼多多要求退回假货，导致本人无法保留法律诉讼的证据，拼多多有意偏袒售假商家，证据：如最后两张图所示，防伪二维码是售假商家自己造的假冒网站，防伪数字码到官网查询后是假货，。</t>
  </si>
  <si>
    <t>http://ts.21cn.com/tousu/show/id/1366082</t>
  </si>
  <si>
    <t>2019/10/16 13:52:21</t>
  </si>
  <si>
    <t>本人由于资金问题在立借平台借款13000，分6期还款，利息为8140元，待合同形成后发现前四期还款已达到15420元，且其中包含出本息之外的费用，为标准的高利贷形式，先家里人了解之后，咨询律师后得知这是标准的阴阳合同，为法律所禁止的高利贷，现申请按照国家法定利率还清剩余本金及利息。</t>
  </si>
  <si>
    <t>因为小当家链接无法使用，一绑定带扣，到现在也没扣款，导致逾期，本人不承担逾期费用，导致信誉受损，小当家承当全责</t>
  </si>
  <si>
    <t>http://ts.21cn.com/tousu/show/id/1366081</t>
  </si>
  <si>
    <t>2019/10/16 13:51:56</t>
  </si>
  <si>
    <t>投诉人李女士投诉对象小当家涉诉金额920元问题类型诉求类型投诉详情产生逾期费用，本人不承担对本人信誉受损，小当家将承担法律责任。</t>
  </si>
  <si>
    <t>网贷平台骚扰联系人。用呼死你骚扰</t>
  </si>
  <si>
    <t>http://ts.21cn.com/tousu/show/id/1366079</t>
  </si>
  <si>
    <t>2019/10/16 13:51:42</t>
  </si>
  <si>
    <t>我来数科,招联金融,爱又米,挖财,月光侠分期,苏宁金融,Wecash闪银,金钱贷,金柯贷，委托第三方首先泄露本人信息，然后疯狂骚扰家人朋友，呼死你短信电话都使用，严重影响了本人以及家人朋友的正常生活，如不正确处理本人将投诉12135，国家反黑组，金融投诉平台，网上视频微博等途径曝光这些平台！。</t>
  </si>
  <si>
    <t>要求工商银行信用卡恢复额度，追回违约金，呆泄金</t>
  </si>
  <si>
    <t>http://ts.21cn.com/tousu/show/id/1366078</t>
  </si>
  <si>
    <t>2019/10/16 13:50:32</t>
  </si>
  <si>
    <t>投诉人杨先生投诉对象工商银行信用卡涉诉金额2000元问题类型诉求类型投诉详情额度降为0.违约金，罚息不断产生，分期也做不成。</t>
  </si>
  <si>
    <t>http://ts.21cn.com/tousu/show/id/1365879</t>
  </si>
  <si>
    <t>2019/10/16 13:50:04</t>
  </si>
  <si>
    <t>投诉人黄女士投诉对象小闪分期,快闪卡贷,联仲网络涉诉金额1470元问题类型诉求类型投诉详情2018年10月21号在快闪卡贷现已更名为小闪分期借款15000元，到账后就被扣掉1470元，一直有和快闪沟通为什么要扣钱，他们一直推脱不是保险费，直到9月底他们才给出保险单号，才查到是人民保险公司的保险，查到后说保单是只有一个月过期了不能退，当初在不知情下购买的保险，要求返回，不然投诉到底，。</t>
  </si>
  <si>
    <t>借呗结清证明一直开不出来</t>
  </si>
  <si>
    <t>http://ts.21cn.com/tousu/show/id/1366077</t>
  </si>
  <si>
    <t>2019/10/16 13:49:48</t>
  </si>
  <si>
    <t>投诉人何晨投诉对象蚂蚁金服涉诉金额0元问题类型诉求类型投诉详情我要在银行申请房贷，但是征信上有我之前借呗上的借款记录，银行让我开具结清证明，我的借呗已经结清全部欠款，手机上无法自主开具结清证明，我就给客服打电话，当时就说很着急，客服说给我加急，但是加急了好几天了也没见开好结清证明，我11号申请的开具电子证明，到目前为止客服的回答一直是申请已经提交上去，每次打电话都只说加急了，我问具体进度也答不上来，就是让我耐心等待，但是银行那边很着急用，客服一直处理不了，我等的很着急。</t>
  </si>
  <si>
    <t>砍头息高利贷</t>
  </si>
  <si>
    <t>http://ts.21cn.com/tousu/show/id/1366076</t>
  </si>
  <si>
    <t>2019/10/16 13:49:45</t>
  </si>
  <si>
    <t>投诉人朱先生投诉对象钱站涉诉金额2600元问题类型诉求类型投诉详情钱站借款合同写2600元世纪到手金额2000元3个月要还2800。</t>
  </si>
  <si>
    <t>恐吓催收</t>
  </si>
  <si>
    <t>http://ts.21cn.com/tousu/show/id/1366074</t>
  </si>
  <si>
    <t>2019/10/16 13:49:26</t>
  </si>
  <si>
    <t>本人在钱站借款两笔，分别已还22期和12期，每期要还4200，现逾期4天就产生快600的违约金，工作人员催收已告知由于资金遇到困难一时还不上在想办法向朋友借，现工作人员要我提供朋友的号码给他核实，现在联系我朋友进行催收，请禁止这种爆通讯录催收行为。</t>
  </si>
  <si>
    <t>达内教育不给退课退费</t>
  </si>
  <si>
    <t>http://ts.21cn.com/tousu/show/id/1366075</t>
  </si>
  <si>
    <t>2019/10/16 13:49:19</t>
  </si>
  <si>
    <t>投诉人柯先生投诉对象达内涉诉金额30752元问题类型诉求类型投诉详情2019年5底月，我在深圳明知达内报名了web全栈专业，在百度有钱花上面贷款了30752的学费分两年还清，前期还得是每个月的利息大概不到300只有，后期分一年还清本金学费大概每月2000元人民币，开始学习之后给了我一个网站的账号，我进去学习但是发现全是基础的课程，本人已经工作一年了，想退课，第一次退课，但是达内那边不予理睬，工作忙了两个月之后，中途也跟达内那边试图沟通过好几次，我现在这种情况，几乎她们都是爱理不理，或者说理了也没有帮我解决问</t>
  </si>
  <si>
    <t>360借条暴力催收，威胁恐吓，不经允许联系我亲朋好友</t>
  </si>
  <si>
    <t>http://ts.21cn.com/tousu/show/id/1366073</t>
  </si>
  <si>
    <t>2019/10/16 13:49:14</t>
  </si>
  <si>
    <t>10月12日，应还535.31元，由于所在公司拖欠我3月工资未按时发放，导致我无法按期归还，今天有自称360借条客服，工号005打电话态度及其恶劣，威胁，恐吓，带有侮辱性语言，同一人，使用不同地区电话恶意骚扰！要求禁止骚扰，道歉！。</t>
  </si>
  <si>
    <t>宜人贷砍头息，一天内爆通讯录</t>
  </si>
  <si>
    <t>http://ts.21cn.com/tousu/show/id/1366071</t>
  </si>
  <si>
    <t>2019/10/16 13:49:03</t>
  </si>
  <si>
    <t>宜人贷，阴阳合同，砍头息高，一天内爆通讯录，我通讯里的人都报完了。</t>
  </si>
  <si>
    <t>本人被魔借平台暴力催收借2000还12000</t>
  </si>
  <si>
    <t>http://ts.21cn.com/tousu/show/id/1366072</t>
  </si>
  <si>
    <t>2019/10/16 13:48:58</t>
  </si>
  <si>
    <t>投诉人姬先生投诉对象魔借涉诉金额2000元问题类型诉求类型投诉详情本人于2017年底借款2000元因为生病无力偿还，现在他让我还12000我协商还款2800元他现在要到我家来短信威胁恐吓我的家人。</t>
  </si>
  <si>
    <t>好运金砍头息</t>
  </si>
  <si>
    <t>http://ts.21cn.com/tousu/show/id/1366069</t>
  </si>
  <si>
    <t>2019/10/16 13:48:17</t>
  </si>
  <si>
    <t>投诉人 魏先生        投诉对象  好运金        涉诉金额  3 000 元    问题类型    诉求类型投诉详情  好运金借3000，砍头息750。到账2250元。</t>
  </si>
  <si>
    <t>成都立刻出行不退押金不接电话</t>
  </si>
  <si>
    <t>http://ts.21cn.com/tousu/show/id/1366068</t>
  </si>
  <si>
    <t>2019/10/16 13:48:07</t>
  </si>
  <si>
    <t>我于2018年八月二十五号用车，今年结束用车后交清所有费用，账户还有95元，20个工作日后没有任何违章，于8月24在app上提出退回保证金的申请，到现在10月11系统显示还处于审核状态，与app上提出的保证金退还是用车结束后20个工作日后没有任何欠费没有任何违章即会在5-10个工作日退回保证金。</t>
  </si>
  <si>
    <t>立借高利贷，提前结清不减免，费用不透明，不合理</t>
  </si>
  <si>
    <t>http://ts.21cn.com/tousu/show/id/1366067</t>
  </si>
  <si>
    <t>2019/10/16 13:47:12</t>
  </si>
  <si>
    <t>立借借款7500，三期还10425，利息远远超过国家标准。</t>
  </si>
  <si>
    <t>http://ts.21cn.com/tousu/show/id/1366066</t>
  </si>
  <si>
    <t>2019/10/16 13:47:10</t>
  </si>
  <si>
    <t>未经允许私自对我进行扣款299元，协商无果。</t>
  </si>
  <si>
    <t>高息暴力催收</t>
  </si>
  <si>
    <t>http://ts.21cn.com/tousu/show/id/1366065</t>
  </si>
  <si>
    <t>2019/10/16 13:45:36</t>
  </si>
  <si>
    <t>2019年8月份到九月份我父亲生病住院一个月，花了家里几万块钱，等出院以后没钱了，我在钱站借了一千八百块钱，分三期还，一期就要还一千多，三期下来要还三千多，还款日期到了才知道利息这么高，逾期一天又是一百多，而且那卡不能用了，先重办一个在还款说，还没等我办好就打电话催收，还骚扰我家人和朋友，还恐吓我朋友和家人，我想说的是本想还款的，但是现在你们这样做我没办法还了，等处理好了在还吧，。</t>
  </si>
  <si>
    <t>支付宝花呗支付16300元打电话给客服冻结，现在石沉大海，了无音讯</t>
  </si>
  <si>
    <t>http://ts.21cn.com/tousu/show/id/1366043</t>
  </si>
  <si>
    <t>2019/10/16 13:45:23</t>
  </si>
  <si>
    <t>2019年05月20日在微信群里认识了该骗子，本人是一个宝妈，当时宝宝五个月，由于想减轻家庭压力，所以想刷单赚一点钱，当时加了他微信，告诉我做的是支付宝刷单，然后他就分享了一个二维码给我，告诉我不用支付，最后会收到一个短信验证，由于第一次操作，不太懂，然后信以为真，根据他说的操作了，就出现了支付成功的一个页面，上面显示我支付了9300元，为什么钱出去了，他告诉我是我操作失误，让我在操作一次，我就有点害怕了，我说我没有那么多钱了，他让我去借，而我没有借到，他又发了一个7000元的码让我扫，说刷完这一个就把钱退</t>
  </si>
  <si>
    <t>借贷还款问题</t>
  </si>
  <si>
    <t>http://ts.21cn.com/tousu/show/id/1366064</t>
  </si>
  <si>
    <t>2019/10/16 13:44:41</t>
  </si>
  <si>
    <t>为什么提前还款、给我失败、打客服电话一直忙。</t>
  </si>
  <si>
    <t>新浪钱包利息高的吓人</t>
  </si>
  <si>
    <t>http://ts.21cn.com/tousu/show/id/1366062</t>
  </si>
  <si>
    <t>2019/10/16 13:44:15</t>
  </si>
  <si>
    <t>借款12000元6个月就收利息2166元，提前还款利息还是照样收取，等于我借一天利息就是2166，跟宣传的日利率0.04根本不符合。</t>
  </si>
  <si>
    <t>现代金控无故调整费率坑害使用者</t>
  </si>
  <si>
    <t>http://ts.21cn.com/tousu/show/id/1366061</t>
  </si>
  <si>
    <t>2019/10/16 13:44:07</t>
  </si>
  <si>
    <t>本人于一代理手中购买现代金控pos机一台，押金299元，，承诺一年内刷够88万退押金，在开户购买六七个月后，金控公司无故调整提高费率，致使无法继续使用，现要求金控公司退还押金。</t>
  </si>
  <si>
    <t>请求借据商行返还账户余额</t>
  </si>
  <si>
    <t>http://ts.21cn.com/tousu/show/id/1366060</t>
  </si>
  <si>
    <t>2019/10/16 13:42:22</t>
  </si>
  <si>
    <t>由于去年有借款的需要在借据商行充值了30元，中途用过1次，服务费10元，尚有余额20，今天我加了平台客服QQ要求返还余额20元，对方要求我提供身份证照片我不能接受，因为涉及我的隐私还有现在信息泄露严重，对方说这是流程还有平台没有提现功能要提供收款码给他，我想说的是收款码也有我的名字怎么确认不了我就是本人呢。</t>
  </si>
  <si>
    <t>阴阳合同</t>
  </si>
  <si>
    <t>http://ts.21cn.com/tousu/show/id/1366058</t>
  </si>
  <si>
    <t>2019/10/16 13:40:49</t>
  </si>
  <si>
    <t>修改合同，按照国家认可的利率是多少我给多少。</t>
  </si>
  <si>
    <t>马上消费金融暴力催收，还要来家里拉横幅</t>
  </si>
  <si>
    <t>http://ts.21cn.com/tousu/show/id/1366057</t>
  </si>
  <si>
    <t>2019/10/16 13:40:44</t>
  </si>
  <si>
    <t>扬言要上门拉横幅，提供聊天记录，严重影响个人生活。</t>
  </si>
  <si>
    <t>通联支付宏萨信息科技有限公司恶意扣款</t>
  </si>
  <si>
    <t>http://ts.21cn.com/tousu/show/id/1366055</t>
  </si>
  <si>
    <t>2019/10/16 13:36:48</t>
  </si>
  <si>
    <t>投诉人 姚女士        投诉对象  通联支付,宏萨信息科技        涉诉金额  296 元    问题类型    诉求类型投诉详情  通联支付莫名扣款296元 我并没有任何消费 如果不是主动看交易记录还不知道 要求退款赔偿</t>
  </si>
  <si>
    <t>腾讯会员乱扣费</t>
  </si>
  <si>
    <t>http://ts.21cn.com/tousu/show/id/1366054</t>
  </si>
  <si>
    <t>2019/10/16 13:36:28</t>
  </si>
  <si>
    <t>会员，结果很多电影都是收费才能看的，我就关闭了，结果每个月都来扣费30元，我上个月就已经特地关闭确认过的了，这个月还来扣费，客服还死不承认，不负责，我要求退回30。</t>
  </si>
  <si>
    <t>没借钱。来一催收上来就要爆通讯录</t>
  </si>
  <si>
    <t>http://ts.21cn.com/tousu/show/id/1366053</t>
  </si>
  <si>
    <t>2019/10/16 13:36:14</t>
  </si>
  <si>
    <t>投诉人 陈女士        投诉对象  每天花        涉诉金额  0 元    问题类型    诉求类型投诉详情  从未有过借款。甚至没听过这个app。但是却接到了号称催收人员电话 问客服电话。说没有。问合同。说没有</t>
  </si>
  <si>
    <t>申请减免</t>
  </si>
  <si>
    <t>http://ts.21cn.com/tousu/show/id/1366052</t>
  </si>
  <si>
    <t>2019/10/16 13:36:07</t>
  </si>
  <si>
    <t>本人借款3000实际到账1860，5天时间要还，高利贷砍头息，申请减免，愿意还本金加合法的利息。</t>
  </si>
  <si>
    <t>投诉泉州银行违规违法为境外博彩平台提供充值通道</t>
  </si>
  <si>
    <t>http://ts.21cn.com/tousu/show/id/1366051</t>
  </si>
  <si>
    <t>2019/10/16 13:35:57</t>
  </si>
  <si>
    <t>平台处理恶意评价不合理</t>
  </si>
  <si>
    <t>http://ts.21cn.com/tousu/show/id/1366050</t>
  </si>
  <si>
    <t>2019/10/16 13:35:30</t>
  </si>
  <si>
    <t>我在10月15日有一笔订单被乘客恶意评价打了低星，第二天系统更新服务分的时候判定此投诉和差评无效，然而仍旧扣除了我的星级，既然判定了无效差评为什么还要扣我的星级，滴滴公司欺骗和压榨司机的行为真让人感到恶心，打电话反馈，客服给我的回答是近100单的用户体验评价，试问我15日当天还是5星怎么到了16日就变成了4.97星，我每一笔订单都认认真真的去服务乘客，乘客一个恶意评价你们就扣我星级，影响我的接单和后续乘客的情况，我本是一个兢兢业业的优质司机，现在扣了我的星级，在乘客看来我就是一个有问题的司机，这严重影响到了</t>
  </si>
  <si>
    <t>钱站威胁还款</t>
  </si>
  <si>
    <t>http://ts.21cn.com/tousu/show/id/1366045</t>
  </si>
  <si>
    <t>2019/10/16 13:33:06</t>
  </si>
  <si>
    <t>投诉钱站:在钱站上借款500元分三个月分期还款共700+每期还款211.04，10月13号是还款日当天由于工作忙导致没有及时还款然后我14去还款钱站app让我还322元，逾期一天要扣100元逾期费，然后我给客服打电话沟通只还本金211.04元，客服说给找别的部门给我打电话协商，我等了几天也没有电话协商，15号钱站给我发短息，说我恶意拖欠、还不起、还威胁我要短息通知通讯录里面亲戚朋友，我没有说过不还他们，14号我就给他们客服打电话了说我还他们本金逾期费不还，他们不处理还发短息来威胁我，希望聚投诉能给我一个公平</t>
  </si>
  <si>
    <t>闪银协商处理</t>
  </si>
  <si>
    <t>http://ts.21cn.com/tousu/show/id/1366044</t>
  </si>
  <si>
    <t>2019/10/16 13:32:59</t>
  </si>
  <si>
    <t>投诉人 郑先生        投诉对象  Wecash闪银        涉诉金额  3 000 元    问题类型    诉求类型投诉详情  闪银至尊借款利息太高，催收电话频繁。个人资金非常困难，要求推迟延后还款时间</t>
  </si>
  <si>
    <t>骚扰我的朋友侵犯个人信息高利贷</t>
  </si>
  <si>
    <t>http://ts.21cn.com/tousu/show/id/1366041</t>
  </si>
  <si>
    <t>2019/10/16 13:32:31</t>
  </si>
  <si>
    <t>投诉人郑先生投诉对象钱站涉诉金额1400元问题类型诉求类型投诉详情他们是高利贷逾期第一天就打爆我的通讯录朋友。</t>
  </si>
  <si>
    <t>平安普惠i贷还款难</t>
  </si>
  <si>
    <t>http://ts.21cn.com/tousu/show/id/1366042</t>
  </si>
  <si>
    <t>2019/10/16 13:32:30</t>
  </si>
  <si>
    <t>投诉人徐先生投诉对象平安普惠涉诉金额3600元问题类型诉求类型投诉详情我申请贷款手机号和银行卡都不用了，贷款还款还不了，每次都是打电话给客服提交银行卡扣款失败，导致我逾期，想申请修改贷款手机号都改不了，，我只想把这欠款还了撤销征信问题。</t>
  </si>
  <si>
    <t>http://ts.21cn.com/tousu/show/id/1366040</t>
  </si>
  <si>
    <t>2019/10/16 13:32:10</t>
  </si>
  <si>
    <t>投诉人宁女士投诉对象闪电借款,掌众金服涉诉金额1369元问题类型诉求类型投诉详情在闪电借款多次借款每次以购买商品然后低价转让的名义收取高额砍头息，借款1300到帐只有1030，还款1369，几次的砍头息已经远远超过本金，应现在遇到困难要求平台协商这期本金加合规利息延期还款，平台不同意还骂人，不处理我只能接着向上投诉，我相信国家总有人会管的。</t>
  </si>
  <si>
    <t>http://ts.21cn.com/tousu/show/id/1366039</t>
  </si>
  <si>
    <t>2019/10/16 13:32:02</t>
  </si>
  <si>
    <t>投诉人梁先生投诉对象你我贷涉诉金额9600元问题类型诉求类型投诉详情昨天已经跟客服协商过明天十七号处理现在有催收打电话来说今天五天前还不上就打紧急联系人。</t>
  </si>
  <si>
    <t>我想退学，尚德机构他们不予许</t>
  </si>
  <si>
    <t>http://ts.21cn.com/tousu/show/id/1366038</t>
  </si>
  <si>
    <t>2019/10/16 13:31:49</t>
  </si>
  <si>
    <t>2019年8月在网上看到的尚德机构网站，于是我就点进去获得销售老师的微信，当时我没那么多钱，只用支付宝扫码支付方式支付了1336元现金作为首付，于是业务员帮我再第三方贷款平台上申请4342元贷款分12期的方式报名的，后来自己经济压力太大了，无力分期还款，想申请退学，就跟他们对接申请退学，但被告知不能退学，说要经过尚德的审核才能退学，当时报名时并没有纸质条款和说明，连含糊带过提出来没有，合同也没有，协议中都是霸王条款，条件极其不合理，我去看了《中华人民共和国消费者权益保护法》第十六条：经营者向消费者提供商品或</t>
  </si>
  <si>
    <t>暴力催收，电话辱骂，短信轰炸</t>
  </si>
  <si>
    <t>http://ts.21cn.com/tousu/show/id/1366036</t>
  </si>
  <si>
    <t>2019/10/16 13:31:29</t>
  </si>
  <si>
    <t>投诉人刘福投诉对象深圳普惠快信涉诉金额2300元问题类型诉求类型投诉详情暴力催收，恐吓，高利贷，短信轰炸，电话辱骂，已经遭到严重骚扰，请求作出赔偿，平台关闭，避免更多人上当受骗，。</t>
  </si>
  <si>
    <t>http://ts.21cn.com/tousu/show/id/1366035</t>
  </si>
  <si>
    <t>2019/10/16 13:30:09</t>
  </si>
  <si>
    <t>投诉人许女士投诉对象玖富万卡涉诉金额10000元问题类型诉求类型投诉详情单号是他们客服给我的，我在保险公司查不到。</t>
  </si>
  <si>
    <t>中信银行乱扣费</t>
  </si>
  <si>
    <t>http://ts.21cn.com/tousu/show/id/1366033</t>
  </si>
  <si>
    <t>2019/10/16 13:29:54</t>
  </si>
  <si>
    <t>信用卡信息发过来说卡片升级成白金卡，我答应升级了，说一般会提额，后来在网上发现很多人上当了，被扣了二千年费，额度不变，我联系人工客服，一直说“繁忙，联系不上”，发短信，答非所问，今天却收到升级，被扣钱了，本来就7千额度，还扣二千，什么鬼，雪上加霜。</t>
  </si>
  <si>
    <t>投诉白领贷超高利息，请求退还多支付的利息钱。</t>
  </si>
  <si>
    <t>http://ts.21cn.com/tousu/show/id/1366034</t>
  </si>
  <si>
    <t>2019/10/16 13:29:47</t>
  </si>
  <si>
    <t>投诉人梁先生投诉对象白领贷,麦子金服,麦子金服财富涉诉金额20000元问题类型诉求类型投诉详情2018年06月11日在白领贷借款20000，在2019年01月10日提前结清，总共支付给白领贷平台25580.53，借款时间：5个月借款额外支付利息部分：5580.53利率：约为66.97%国家规定利率不应超过24%所以2000是我应该支付的，我无异议，但是超出的部分请退还本人3580.83元，从上面的事实证明了白领贷平台已经严重违反国家法律规定收取高利息，是十恶不做的高利贷公司，本人20000使用了短短五个月，</t>
  </si>
  <si>
    <t>新橙优品高利贷砍头息</t>
  </si>
  <si>
    <t>http://ts.21cn.com/tousu/show/id/1366032</t>
  </si>
  <si>
    <t>2019/10/16 13:29:31</t>
  </si>
  <si>
    <t>本人于2019年5月21日在新橙优品借款6000元，实际到账5050元，分6期偿还，每期1323.6，算起我已经偿还完本金，利息高达2800元！你们超出国家的规定如此之多！必须调整利率，销清账户！。</t>
  </si>
  <si>
    <t>神马借套路贷收取高额逾期费并威胁、暴力催收</t>
  </si>
  <si>
    <t>http://ts.21cn.com/tousu/show/id/1366031</t>
  </si>
  <si>
    <t>2019/10/16 13:29:11</t>
  </si>
  <si>
    <t>本人8月26号通过信用管家里的神马借借款3000元，8月27号神马借通过畅捷支付放款3000元到我尾号2773的建设银行储蓄卡内，这3000元借款一共需要还款4期，每期还款1000多，4期共计4000多，超过借款本金1000多元，该利息不符合国家法定借款利率，属于高利贷，神马借放款后，第一期我正常还款，第二期的时候因为神马借的问题造成还款失败，期间拨打神马借客服一直无法打通，两天前接到020-62342803得第三方催收电话，告知其是神马借问题造成我逾期后，让我与客服联系，我与客服联系后客服只答应减免逾期费</t>
  </si>
  <si>
    <t>投诉人人贷阴阳合同</t>
  </si>
  <si>
    <t>http://ts.21cn.com/tousu/show/id/1366030</t>
  </si>
  <si>
    <t>2019/10/16 13:29:05</t>
  </si>
  <si>
    <t>阴阳合同，我已经还4741元要求还最后的278元，正好5000元终止合同，利息。</t>
  </si>
  <si>
    <t>我在点点来钱APP绑定了银行卡莫名被扣了90这个变相非法集资</t>
  </si>
  <si>
    <t>http://ts.21cn.com/tousu/show/id/1365969</t>
  </si>
  <si>
    <t>2019/10/16 13:28:39</t>
  </si>
  <si>
    <t>投诉人翟先生投诉对象点点来钱,新生支付有限公司,梁山仙域技术信息有限公司涉诉金额90元问题类型诉求类型投诉详情我在点点来钱APP上面申请贷款结果绑定了银行莫名其妙被扣了90，最后我要求退款他们客服让我先去贷款，必须要审核失败才能给我退钱，这时候我意识到他们是骗子了说款不贷了直接退我钱，让我提供扣费信息和身份证号码已经姓名电话号码我都提供了就是不给我退钱，像这种变相非法集资的公司应该进行严惩不贷！以下图片就是我在企信宝找到投诉他们公司乱扣费的相关证据！以及我打建设银行的客服电话询问的扣钱公司分别叫新生支付有限</t>
  </si>
  <si>
    <t>在信用管家并没有没结清的贷款，收到催收电话让我还款</t>
  </si>
  <si>
    <t>http://ts.21cn.com/tousu/show/id/1366029</t>
  </si>
  <si>
    <t>2019/10/16 13:28:30</t>
  </si>
  <si>
    <t>投诉人杜先生投诉对象信用管家涉诉金额0元问题类型诉求类型投诉详情接到一个电话170******15说我在信用管家有没结清的贷款，要爆我通讯录，但是我在该平台并没有没结清的贷款。</t>
  </si>
  <si>
    <t>有用分期，高利贷，威胁，恐吓</t>
  </si>
  <si>
    <t>http://ts.21cn.com/tousu/show/id/1366028</t>
  </si>
  <si>
    <t>2019/10/16 13:28:23</t>
  </si>
  <si>
    <t>之前在有用分期借了九千，多还了六千，当时就感觉利息很高，无奈法律意识淡薄，不懂得用法律来保护自身的利益吃了个哑巴亏，然后把这个app给卸载了，以后坚决不用了，但是由于经济问题19年1月份不得已又在平台上借了一万五千四百元，每月还款1867，分十二期，算下来要多还七千零四块，我准备就用一个月全部就还了，这些都不说过了一个月他们app上显示我四五期款项都逾期，每期和第一期都一样一天加二十，到现在除了本金还让我多还一万多，我分十二期，这还没有一年，最近他们也不给我打短信，一直给我亲戚还有我老婆发，冒充公检法，说我</t>
  </si>
  <si>
    <t>http://ts.21cn.com/tousu/show/id/1366025</t>
  </si>
  <si>
    <t>2019/10/16 13:26:44</t>
  </si>
  <si>
    <t>投诉人陈女士投诉对象你我贷涉诉金额250元问题类型诉求类型投诉详情因套路贷立案，资金周转严重困难，向你我贷客服提出延期几天还款，客服不但不处理，而且十分支持其暴力催收行为，催收人员恐吓本人，30分钟电话轰炸32个，向有关客服反应，客服竟说无法处理。</t>
  </si>
  <si>
    <t>交通银行暴力催收，恶意骚扰亲朋好友</t>
  </si>
  <si>
    <t>http://ts.21cn.com/tousu/show/id/1366024</t>
  </si>
  <si>
    <t>2019/10/16 13:25:34</t>
  </si>
  <si>
    <t>恶意骚扰亲朋好友，态度恶劣，恐吓，骚扰亲朋好友的亲朋好友。</t>
  </si>
  <si>
    <t>3年10万公里减震漏油不给换</t>
  </si>
  <si>
    <t>http://ts.21cn.com/tousu/show/id/1366023</t>
  </si>
  <si>
    <t>2019/10/16 13:25:16</t>
  </si>
  <si>
    <t>3年10万公里减震漏油不给与更换，还说什么不达标，坏了就是坏了。</t>
  </si>
  <si>
    <t>爱钱进高利贷</t>
  </si>
  <si>
    <t>http://ts.21cn.com/tousu/show/id/1366022</t>
  </si>
  <si>
    <t>2019/10/16 13:25:11</t>
  </si>
  <si>
    <t>投诉人唐先生投诉对象爱钱进,爱白条,月光侠分期涉诉金额4500元问题类型诉求类型投诉详情月光侠分期，借款2394，到账1800，分3期，爱白条，借款2100，分3期，共需还款3153元，这两个平台都是爱钱进的，连到期还款短信都是同一个，本人还是学生，希望取消借款归还本金，10月14日已在派出所备案。</t>
  </si>
  <si>
    <t>快贷钱伴高利贷爆通讯录</t>
  </si>
  <si>
    <t>http://ts.21cn.com/tousu/show/id/1366021</t>
  </si>
  <si>
    <t>2019/10/16 13:24:53</t>
  </si>
  <si>
    <t>投诉人 孙先生        投诉对象  钱伴        涉诉金额  4 000 元    问题类型    诉求类型投诉详情  打爆我通讯录。每天十几个电话骚扰。要求停止</t>
  </si>
  <si>
    <t>桔子分期交了会员费不能借款</t>
  </si>
  <si>
    <t>http://ts.21cn.com/tousu/show/id/1366020</t>
  </si>
  <si>
    <t>2019/10/16 13:24:33</t>
  </si>
  <si>
    <t>先是要交会员费才能提额，交了199元办了会员，不但没有提额，直接审核未通过。</t>
  </si>
  <si>
    <t>淘发卡跑路不结算</t>
  </si>
  <si>
    <t>http://ts.21cn.com/tousu/show/id/1366019</t>
  </si>
  <si>
    <t>2019/10/16 13:24:29</t>
  </si>
  <si>
    <t>投诉人 蔡先生        投诉对象  淘发卡        涉诉金额  94 元    问题类型    诉求类型投诉详情  淘发卡网页无法打开 客服不回消息</t>
  </si>
  <si>
    <t>卖假货，质量问题不给换</t>
  </si>
  <si>
    <t>http://ts.21cn.com/tousu/show/id/1366017</t>
  </si>
  <si>
    <t>2019/10/16 13:22:59</t>
  </si>
  <si>
    <t>才买十几天就出现这种情况，客服不给解决，不给换货，说不是质量问题，卖假货！。</t>
  </si>
  <si>
    <t>拍拍贷骚扰通讯录</t>
  </si>
  <si>
    <t>http://ts.21cn.com/tousu/show/id/1366016</t>
  </si>
  <si>
    <t>2019/10/16 13:22:37</t>
  </si>
  <si>
    <t>投诉人涂先生投诉对象拍拍贷涉诉金额700元问题类型诉求类型投诉详情拍拍贷今天早上联系家人现在又打电话威胁给通讯录所有人打电话。</t>
  </si>
  <si>
    <t>http://ts.21cn.com/tousu/show/id/1366014</t>
  </si>
  <si>
    <t>2019/10/16 13:21:53</t>
  </si>
  <si>
    <t>投诉人陈女士投诉对象钱站涉诉金额860元问题类型诉求类型投诉详情钱站暴力催收，爆我通讯录给我家人和朋友乱打电话，不仅骚扰我还骚扰我朋友和家人，还发短信恐吓我，钱站这个app跟地痞流氓没区别，太可怕了。</t>
  </si>
  <si>
    <t>恶意爆通讯录</t>
  </si>
  <si>
    <t>http://ts.21cn.com/tousu/show/id/1366013</t>
  </si>
  <si>
    <t>2019/10/16 13:21:44</t>
  </si>
  <si>
    <t>投诉人杨先生投诉对象多小米涉诉金额2146元问题类型诉求类型投诉详情那次我多小米逾期了，便有个人加我微信说要还款，不还款就打联系人电话，我那时候没有钱，变后面拖了，然后一直打我电话催款，我也没有接，然后昨天上午我收到一条群发短信说我恶意逾期，晚上6点多向我几个朋友打了电话骚扰他们，目前欠款已经还清，我要求多小米爆我通讯录，骚扰我朋友，打扰了我正常生活作出道歉与赔偿。</t>
  </si>
  <si>
    <t>要钱快平台收取高额砍头息，套路贷</t>
  </si>
  <si>
    <t>http://ts.21cn.com/tousu/show/id/1366012</t>
  </si>
  <si>
    <t>2019/10/16 13:21:39</t>
  </si>
  <si>
    <t>要求快借款收取高额砍头息，快钱支付提供通道！要求退还多余费用。</t>
  </si>
  <si>
    <t>没上课，达内不退款，特别坑</t>
  </si>
  <si>
    <t>http://ts.21cn.com/tousu/show/id/1366011</t>
  </si>
  <si>
    <t>2019/10/16 13:21:36</t>
  </si>
  <si>
    <t>深圳宝安达内科技有限公司，一开始我是以找工作去的然后那边就让我去面试，在面试途中开始骗我，说现在属于公司内部招人，公司有培训老师教，培训完考核就可以在本公司上班，然后也可以安排到别的公司上班，然后就忽悠我试用期最低4k-6k工资，转正后6k-8k我们这边有很多人，被忽悠了，后来说前面4个月免费学习，然后要下载一个软件申请教育基金，开课上了2天家里有事就没有去了，现在就是我这个课程不想学了，希望聚投诉能帮我解决我的退款问题，万分感激！。</t>
  </si>
  <si>
    <t>苹果极速id贷高炮</t>
  </si>
  <si>
    <t>http://ts.21cn.com/tousu/show/id/1366009</t>
  </si>
  <si>
    <t>2019/10/16 13:20:48</t>
  </si>
  <si>
    <t>投诉人 刘亚        投诉对象  极速id贷        涉诉金额  1 000 元    问题类型    诉求类型投诉详情  苹果id贷恶意高炮平台，盗取个人信息。恶意催收，</t>
  </si>
  <si>
    <t>http://ts.21cn.com/tousu/show/id/1366008</t>
  </si>
  <si>
    <t>2019/10/16 13:20:15</t>
  </si>
  <si>
    <t>本人在今年3月至9月期间，在网上QQ群被人诱骗以做兼职，赚流水等理由被人拉进兼职群，说以购买彩票方式赚取佣金，后来才知道是非法赌博平台，通过中国人民银行，中国银联，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希望聚投诉工作人</t>
  </si>
  <si>
    <t>学慧网霸王条款，维权无门</t>
  </si>
  <si>
    <t>http://ts.21cn.com/tousu/show/id/1366007</t>
  </si>
  <si>
    <t>2019/10/16 13:20:07</t>
  </si>
  <si>
    <t>2017年五月，在网上搜索到继续教育的培训机构，后去了他们的朝阳校区，销售人员告知报名缴费参加自考，可一直在他们的平台学习，当时交了学费4500的学费，报名了汉语言文学本科自考的学习，现在两年过去了，学慧网居然停止了我账号观看直播的权限，只能看过去的回播，联系客服，他们说当时的服务协议上是这样的规定的，可是当初销售并没有告知网上学习分直播和回播两种，更没有看什么服务协议，当时交钱后只给了张发票而已，现在对我停止了直播服务，又拿出什么服务协议来解释，简直就是霸王条款，我要求学慧网，要不就继续提供直播服务，要不</t>
  </si>
  <si>
    <t>黑网贷</t>
  </si>
  <si>
    <t>http://ts.21cn.com/tousu/show/id/1366005</t>
  </si>
  <si>
    <t>2019/10/16 13:19:24</t>
  </si>
  <si>
    <t>涉诉金额4000元问题类型诉求类型投诉详情网上借了好分期4000块要还五千多利息太高希望提前还款把利息减少。</t>
  </si>
  <si>
    <t>http://ts.21cn.com/tousu/show/id/1366002</t>
  </si>
  <si>
    <t>2019/10/16 13:18:20</t>
  </si>
  <si>
    <t>投诉人杨先生投诉对象钱站涉诉金额11520元问题类型诉求类型投诉详情本人于2019年8月318日，在钱站APP借款6000，分6期还清，成功后发现每月竟然要还1988.33，总计11929.98，严重超过国家法定的利率，本人要求提前还清借款，偿还一个月的国家法定利息和剩余6000本金，已经还了一个月的费用1922.20元，图片是账户实际到账和，合同出借金额。</t>
  </si>
  <si>
    <t>未经允许私自扣钱</t>
  </si>
  <si>
    <t>http://ts.21cn.com/tousu/show/id/1366000</t>
  </si>
  <si>
    <t>2019/10/16 13:18:16</t>
  </si>
  <si>
    <t>投诉人王先生投诉对象解决投诉对象安庆盛通信息科技服务有限,安庆盛通信息科技服务有限涉诉金额90元问题类型诉求类型投诉详情我就在平台上面填了个资料，没有签订什么代扣协议，。</t>
  </si>
  <si>
    <t>小赢卡贷利息逆天</t>
  </si>
  <si>
    <t>http://ts.21cn.com/tousu/show/id/1366003</t>
  </si>
  <si>
    <t>2019/10/16 13:18:15</t>
  </si>
  <si>
    <t>投诉人梁晓玉投诉对象小赢卡贷涉诉金额30000元问题类型诉求类型投诉详情一共3万的贷款已经还款29511元还需要还9487.06元，一年息贷款，属于高利贷，本人现在没有能力偿还，但是鉴于上次晚几天还款，小赢卡袋暴击催收，本人协商无过。</t>
  </si>
  <si>
    <t>钱伴高利贷，砍头息，暴力催收，威胁骚扰</t>
  </si>
  <si>
    <t>http://ts.21cn.com/tousu/show/id/1365999</t>
  </si>
  <si>
    <t>2019/10/16 13:18:11</t>
  </si>
  <si>
    <t>本人于2019-5-16在钱伴借款5000元分六期，现在有高额服务费和砍头息，每期需还款983元，本人已还款4期，要求协商还款本金及法定利息，退回高额服务费，停止电话骚扰。</t>
  </si>
  <si>
    <t>导致逾期，易秒分期没有还款渠道，没有客服电话，导致逾期</t>
  </si>
  <si>
    <t>http://ts.21cn.com/tousu/show/id/1366001</t>
  </si>
  <si>
    <t>2019/10/16 13:18:04</t>
  </si>
  <si>
    <t>投诉人吴女士投诉对象易秒分期涉诉金额1800元问题类型诉求类型投诉详情App无效，找不到还款渠道，找不到客服，网路上的又都是骗子，导致逾期产生利息，未提供新的还款渠道未主动联系我，我也找不到联系方式，望解决，且对此易秒分期无作为，未提供新的还款渠道，未主动联系我，我也找不到联系方式，望解决。</t>
  </si>
  <si>
    <t>http://ts.21cn.com/tousu/show/id/1365997</t>
  </si>
  <si>
    <t>2019/10/16 13:17:33</t>
  </si>
  <si>
    <t>我都在借钱花App填写资料，然后绑了个卡，过了一会就直接在我卡里扣钱198我都不知情。</t>
  </si>
  <si>
    <t>投诉我来贷还款还不上导致逾期</t>
  </si>
  <si>
    <t>http://ts.21cn.com/tousu/show/id/1365996</t>
  </si>
  <si>
    <t>2019/10/16 13:17:14</t>
  </si>
  <si>
    <t>从2019年10月12号开始每天都在给我来贷还款。</t>
  </si>
  <si>
    <t>网贷公司暴力催收</t>
  </si>
  <si>
    <t>http://ts.21cn.com/tousu/show/id/1365994</t>
  </si>
  <si>
    <t>2019/10/16 13:17:10</t>
  </si>
  <si>
    <t>投诉人赵长亮投诉对象洋钱罐涉诉金额3000元问题类型诉求类型投诉详情洋钱罐借款暴力催收爆通讯录影响个人生活恐吓亲朋好友。</t>
  </si>
  <si>
    <t>桔子分期，借款不到20天就要求还款，</t>
  </si>
  <si>
    <t>http://ts.21cn.com/tousu/show/id/1365995</t>
  </si>
  <si>
    <t>2019/10/16 13:17:00</t>
  </si>
  <si>
    <t>桔子分期，借款不到20天就要求还款，我9月23号下单，催收打电话说我11号下单，我银行卡流水都是23号。</t>
  </si>
  <si>
    <t>立借阴阳合同、高利贷</t>
  </si>
  <si>
    <t>http://ts.21cn.com/tousu/show/id/1365992</t>
  </si>
  <si>
    <t>2019/10/16 13:16:15</t>
  </si>
  <si>
    <t>本人由于资金问题在立借平台借款10000元，分12期还款，利息为3600元，待合同形成后发现前三期还款已达到12598元，为标准的高利贷形式，先家里人了解之后，咨询律师后得知这是标准的阴阳合同，为法律所禁止的高利贷，现申请按照国家法定利率还清剩余本金及利息。</t>
  </si>
  <si>
    <t>平安银行信用卡扰乱我生活和上班</t>
  </si>
  <si>
    <t>http://ts.21cn.com/tousu/show/id/1365991</t>
  </si>
  <si>
    <t>2019/10/16 13:15:35</t>
  </si>
  <si>
    <t>投诉人路先生投诉对象平安信用卡催收涉诉金额20000元问题类型诉求类型投诉详情平安银行信用卡催收经常打我公司人事座机电话威胁我还恐吓我甚至羞辱我。</t>
  </si>
  <si>
    <t>小花钱包暴力催收、砍头息、高利贷</t>
  </si>
  <si>
    <t>http://ts.21cn.com/tousu/show/id/1365989</t>
  </si>
  <si>
    <t>2019/10/16 13:15:05</t>
  </si>
  <si>
    <t>投诉人俞女士投诉对象小花钱包涉诉金额49163元问题类型诉求类型投诉详情本人于2019年4月29日在小花钱包申请借款50000元，实际到账40000元，并被小花钱包强制分为15期还款49136元，已还3期，还到第四期的时候，发现剩余还款金额并未相应减少，如果提前全额还款，依旧存在15期的利息费，如果分期慢慢还，但核算每期的还款数，总数又多了一万多的钱，就等于我借了40000元，实际要在一年中还款60000多元！！！本人被诱导借贷，已将立案通知书以及其他平台借贷平台证明交给小花钱包，然而对方并不同意协商，依旧</t>
  </si>
  <si>
    <t>希望与拍拍贷协商还款</t>
  </si>
  <si>
    <t>http://ts.21cn.com/tousu/show/id/1365988</t>
  </si>
  <si>
    <t>2019/10/16 13:14:48</t>
  </si>
  <si>
    <t>之前和拍拍有过协商，没有协商成功，这次主动要求找他们协商，希望有效果。</t>
  </si>
  <si>
    <t>爆通讯录恐吓</t>
  </si>
  <si>
    <t>http://ts.21cn.com/tousu/show/id/1365987</t>
  </si>
  <si>
    <t>2019/10/16 13:14:44</t>
  </si>
  <si>
    <t>投诉人 王先生        投诉对象  搜狗输入法        涉诉金额  1 200 元    问题类型    诉求类型投诉详情  暴力吹收，打我亲朋好友电话威胁。有我信息，侵犯我个人隐私</t>
  </si>
  <si>
    <t>宝付支付，快钱支付为白鲸信用里的全民现金现金提供支付通道</t>
  </si>
  <si>
    <t>http://ts.21cn.com/tousu/show/id/1365985</t>
  </si>
  <si>
    <t>2019/10/16 13:14:10</t>
  </si>
  <si>
    <t>投诉人孟先生投诉对象白鲸信用,全民现金涉诉金额700元问题类型诉求类型投诉详情本人7月9日在白鲸信用里的全民现金借款2100元到账1400元，7月15日还款2100元。</t>
  </si>
  <si>
    <t>拍拍贷高利息超过国家标准4000变20000多</t>
  </si>
  <si>
    <t>http://ts.21cn.com/tousu/show/id/1365984</t>
  </si>
  <si>
    <t>2019/10/16 13:13:53</t>
  </si>
  <si>
    <t>因为我本人原因导致欠款很多，目前在家带孩子，，没有工作，暂时没有还款能力，也多次联系平台客服说明还款意愿，但是平台催收人员不是嘲讽就是威胁，并且骚扰我通讯录里的人，给我造成很大困扰，这些我暂且可以忍，但我本人联系方式从未更换，亲人朋友你们也都骚扰过了，今天又发短信到我们村的村委会的工作人员手机上，这些人与我毫无关系，夜根本都不认识我，我想问一下这是要做什么，适可而止，不然我也是会追究你们的法律责任的，这样随便把我的隐私透露给陌生人，严重损害我的个人名誉，一年现在利息超出国家保护的，5000就一年多变成了。</t>
  </si>
  <si>
    <t>http://ts.21cn.com/tousu/show/id/1365983</t>
  </si>
  <si>
    <t>2019/10/16 13:13:43</t>
  </si>
  <si>
    <t>投诉人吴女士投诉对象梧桐诚选涉诉金额11000元问题类型诉求类型投诉详情开通转让后没有到账，折价百分之二十后还是迟迟没到账，还有3000元锁定了，等11月份才能转让。</t>
  </si>
  <si>
    <t>支付宝转账功能被限制</t>
  </si>
  <si>
    <t>http://ts.21cn.com/tousu/show/id/1365981</t>
  </si>
  <si>
    <t>2019/10/16 13:13:14</t>
  </si>
  <si>
    <t>投诉人王先生投诉对象支付宝涉诉金额0元问题类型诉求类型投诉详情有一笔1900的交易、是我卖掉我二手物品的交易、由于物品原因被买家恶意投诉、请恢复我账号使用。</t>
  </si>
  <si>
    <t>利息太高还不起了</t>
  </si>
  <si>
    <t>http://ts.21cn.com/tousu/show/id/1365980</t>
  </si>
  <si>
    <t>2019/10/16 13:12:58</t>
  </si>
  <si>
    <t>投诉人王毅投诉对象捷信金融涉诉金额42000元问题类型诉求类型投诉详情捷信金融的利息太高还不起希望调节尽快处理。</t>
  </si>
  <si>
    <t>速金服借款合同与实际到账不符</t>
  </si>
  <si>
    <t>http://ts.21cn.com/tousu/show/id/1365979</t>
  </si>
  <si>
    <t>2019/10/16 13:12:46</t>
  </si>
  <si>
    <t>投诉人张先生投诉对象速金服涉诉金额2660元问题类型诉求类型投诉详情短信发过来写着2660打到卡里，实际只到2000。</t>
  </si>
  <si>
    <t>好易贷高利贷催收威胁通讯录</t>
  </si>
  <si>
    <t>http://ts.21cn.com/tousu/show/id/1365977</t>
  </si>
  <si>
    <t>2019/10/16 13:12:01</t>
  </si>
  <si>
    <t>投诉人 郭先生        投诉对象  好易贷        涉诉金额  3 000 元    问题类型    诉求类型投诉详情  高利贷 超过国家36利率 要求彻查 打电话威胁朋友 已报警</t>
  </si>
  <si>
    <t>转转签收三天不验机</t>
  </si>
  <si>
    <t>http://ts.21cn.com/tousu/show/id/1365976</t>
  </si>
  <si>
    <t>2019/10/16 13:11:07</t>
  </si>
  <si>
    <t>14号验机中心就签收了，今天16号验机中心还不验机，催客服没用，效率太低了，手机每天在贬值，等你报告出来我还得赔钱卖，损失转转赔偿我。</t>
  </si>
  <si>
    <t>立刻出行退押金</t>
  </si>
  <si>
    <t>http://ts.21cn.com/tousu/show/id/1365975</t>
  </si>
  <si>
    <t>2019/10/16 13:11:03</t>
  </si>
  <si>
    <t>才能查询是否有车，交保证金之后发现全市网点无车，进行退款，直至今日2019年10月16日还在审核中，已近超出该公司规定的保证金协议，贵公司违反保证金合同。</t>
  </si>
  <si>
    <t>http://ts.21cn.com/tousu/show/id/1365973</t>
  </si>
  <si>
    <t>2019/10/16 13:10:49</t>
  </si>
  <si>
    <t>投诉人李先生投诉对象玖富万卡涉诉金额4000元问题类型诉求类型投诉详情请给我合理解释，出示利率表，请平台介入，催促玖富公司，又不是还不起，我是还得一头雾水，何来的费用分期，给我截图看看，有这1198元的费用打到我卡了。</t>
  </si>
  <si>
    <t>http://ts.21cn.com/tousu/show/id/1365712</t>
  </si>
  <si>
    <t>2019/10/16 13:10:01</t>
  </si>
  <si>
    <t>投诉人张先生投诉对象钱站涉诉金额19221元问题类型诉求类型投诉详情合同金额没有到账。</t>
  </si>
  <si>
    <t>中银e贷协商还款</t>
  </si>
  <si>
    <t>http://ts.21cn.com/tousu/show/id/1365972</t>
  </si>
  <si>
    <t>2019/10/16 13:10:00</t>
  </si>
  <si>
    <t>投诉人梁晓玉投诉对象中国银行涉诉金额94000元问题类型诉求类型投诉详情18年9月份借的每月出利息，19年9月一次还清，因为自己经济出现问题，只能偿还5万多还剩下4万多无法完成还款，希望中国银行本着以人为本。</t>
  </si>
  <si>
    <t>http://ts.21cn.com/tousu/show/id/1365967</t>
  </si>
  <si>
    <t>2019/10/16 13:08:08</t>
  </si>
  <si>
    <t>投诉人 林先生        投诉对象  海风教育        涉诉金额  11 640 元    问题类型    诉求类型投诉详情  海风教育拖欠工资，原定每个月15号号发放。现在一句话都没说，就这样搁置</t>
  </si>
  <si>
    <t>乱收费用</t>
  </si>
  <si>
    <t>http://ts.21cn.com/tousu/show/id/1365968</t>
  </si>
  <si>
    <t>2019/10/16 13:08:04</t>
  </si>
  <si>
    <t>审核通过前没要求交工本费，审核通过后，签合同，才要求交3％工本费。</t>
  </si>
  <si>
    <t>小蜂鸟借款砍头息</t>
  </si>
  <si>
    <t>http://ts.21cn.com/tousu/show/id/1365966</t>
  </si>
  <si>
    <t>2019/10/16 13:07:57</t>
  </si>
  <si>
    <t>在融360里面申请小蜂鸟借款，收取高额砍头息，要求退还。</t>
  </si>
  <si>
    <t>新浪趣用分期暴力催收</t>
  </si>
  <si>
    <t>http://ts.21cn.com/tousu/show/id/1365963</t>
  </si>
  <si>
    <t>2019/10/16 13:07:21</t>
  </si>
  <si>
    <t>投诉人 房女士        投诉对象  趣用微博        涉诉金额  4 000 元    问题类型    诉求类型投诉详情  侵犯个人隐私，爆通讯录。希望有关部门严查。高利贷，窃取他人隐私</t>
  </si>
  <si>
    <t>http://ts.21cn.com/tousu/show/id/1365965</t>
  </si>
  <si>
    <t>涉嫌高利贷，套路贷违规收费，打客服电话解决不了。</t>
  </si>
  <si>
    <t>套路贷乱扣费退款！</t>
  </si>
  <si>
    <t>http://ts.21cn.com/tousu/show/id/1365962</t>
  </si>
  <si>
    <t>2019/10/16 13:07:09</t>
  </si>
  <si>
    <t>投诉人 李先生        投诉对象  人人花,情人花        涉诉金额  288 元    问题类型    诉求类型投诉详情  莫名其妙扣我288 我什么操作都没有 求还一个公道</t>
  </si>
  <si>
    <t>无故扣我银行卡里的钱</t>
  </si>
  <si>
    <t>http://ts.21cn.com/tousu/show/id/1365961</t>
  </si>
  <si>
    <t>2019/10/16 13:06:59</t>
  </si>
  <si>
    <t>无缘无故扣我卡里的钱，没有密码没有验证码怎么扣的钱，，盗窃我银行卡里的钱。</t>
  </si>
  <si>
    <t>套路催收</t>
  </si>
  <si>
    <t>http://ts.21cn.com/tousu/show/id/1365959</t>
  </si>
  <si>
    <t>2019/10/16 13:05:43</t>
  </si>
  <si>
    <t>在支付宝花呗和借呗每个月都有逾期，但是基本每个月都有还清，现在说发一封涵件给我，要我带身份证或者家人带户口本去去村委会签收！我说直接寄给我，她说是对公文件！不能直接发本人！请问你什么对公文件，请你给我一个合理解释！就是想让全村人都知道我欠你支付宝钱！虽然一千多块！。</t>
  </si>
  <si>
    <t>骚扰，恐吓</t>
  </si>
  <si>
    <t>http://ts.21cn.com/tousu/show/id/1365958</t>
  </si>
  <si>
    <t>2019/10/16 13:05:24</t>
  </si>
  <si>
    <t>民生银行催收部门一天打很多电话骚扰，我虽然在工作不方便接听，有时候没接到，直接发信息到我朋友手机上，严重侵犯个人隐私权，还恐吓，伪造法院立案等证据，我不是不还只是现在为难，你们也不用赶尽杀绝吧，。</t>
  </si>
  <si>
    <t>恶意刷流水扣我钱</t>
  </si>
  <si>
    <t>http://ts.21cn.com/tousu/show/id/1365932</t>
  </si>
  <si>
    <t>2019/10/16 13:05:22</t>
  </si>
  <si>
    <t>&amp;nbsp;一开始先是刷单兼职&amp;nbsp;后面让我们支付宝扫码转账&amp;nbsp;充值进彩票平台&amp;nbsp;一开始588无法提现&amp;nbsp;又让我充值1588&amp;nbsp;后面直接冻结我让我无法退款&amp;nbsp;恳求给个处理方式！&amp;nbsp;平台是新网易彩票&amp;nbsp;已截图了&amp;nbsp;&amp;nbsp;共计1588和一个388，给后面的人一个警告希望能给后面的人一个警告希望能给后面的人一个警告希望能给后面的人一个警告。</t>
  </si>
  <si>
    <t>平安银行信用卡催收态度恶劣</t>
  </si>
  <si>
    <t>http://ts.21cn.com/tousu/show/id/1365956</t>
  </si>
  <si>
    <t>2019/10/16 13:04:52</t>
  </si>
  <si>
    <t>先是催收态度极其恶劣，后是短信威胁恐吓！要求道歉！。</t>
  </si>
  <si>
    <t>合理协商，不要一味恐吓威胁</t>
  </si>
  <si>
    <t>http://ts.21cn.com/tousu/show/id/1365957</t>
  </si>
  <si>
    <t>投诉人唐先生投诉对象你我贷涉诉金额618元问题类型诉求类型投诉详情恐吓、骚扰、威胁、一直有说会还款只是需要点时间却一直微信威胁。</t>
  </si>
  <si>
    <t>来分期电话骚扰严重</t>
  </si>
  <si>
    <t>http://ts.21cn.com/tousu/show/id/1365955</t>
  </si>
  <si>
    <t>2019/10/16 13:04:21</t>
  </si>
  <si>
    <t>投诉人 蒋威威        投诉对象  来分期        涉诉金额  258 元    问题类型    诉求类型投诉详情  来分期没有任何逾期 来分期电话骚扰严重 本人账单10月16号还款 也就是说北京时间10月16号 23点59分前任意时间还款都行 而来分期做的就是一个小时来一个电话 不接又打来 希望来分期停止对本人的行为 做出整改</t>
  </si>
  <si>
    <t>好分期阴阳合同，高利贷，提前催收</t>
  </si>
  <si>
    <t>http://ts.21cn.com/tousu/show/id/1365954</t>
  </si>
  <si>
    <t>2019/10/16 13:04:19</t>
  </si>
  <si>
    <t>1.我于2019年七月分别在好分期贷款两笔，分别在5000.2800，按照他的合同来5000的年利率百分之12，2800的年利率百分之10.2，都是等额本息，分期十二个月，但是当我仔细看合同发现完全不对，合同上写的利率还款金额跟实际的都不一样，欺骗客户，阴阳合同，再用央行的换算方式发现对方就是高利贷，借7800，利息2700，每期还款后本金未减少，还把我不同两期借款合并，自己还规定了逾期利息，简直可怕，2.18号才是我的还款日，从周一也就是前三天每天不停打骚扰电话给我说我过还款日要还钱了，就是骚扰客户，我要</t>
  </si>
  <si>
    <t>协商分期付款</t>
  </si>
  <si>
    <t>http://ts.21cn.com/tousu/show/id/1365953</t>
  </si>
  <si>
    <t>2019/10/16 13:03:53</t>
  </si>
  <si>
    <t>投诉人 全昆坤        投诉对象  支付宝        涉诉金额  10 000 元    问题类型    诉求类型投诉详情  我不是不还 是现在没有钱还 我希望支付宝花呗 可以给我分期的机会 我不希望打电话给我的家人 我会努力上班来还款的 请给我分期</t>
  </si>
  <si>
    <t>捷信暴力催收上门威胁，严重影响生活</t>
  </si>
  <si>
    <t>http://ts.21cn.com/tousu/show/id/1365952</t>
  </si>
  <si>
    <t>2019/10/16 13:03:48</t>
  </si>
  <si>
    <t>捷信金融暴力催收发放高利贷，暴力催收还要上门威胁本人，借款借款38000元，算下来光利息都要38000这是赤裸裸的高利贷，置国家法律于不顾，严重影响本人生活并且骚扰联系人使本人精神奔溃，望平台能公正处理。</t>
  </si>
  <si>
    <t>中腾信暴力催收</t>
  </si>
  <si>
    <t>http://ts.21cn.com/tousu/show/id/1365951</t>
  </si>
  <si>
    <t>2019/10/16 13:03:22</t>
  </si>
  <si>
    <t>去年年底，我以我的名义，帮老公贷笔款，但是因为家里出现变故，老家房子卖掉，还欠几十万，每天债务暴力催收，恐吓我，导致了我患了重度抑郁症，现在病情越来越严重，中腾信不断的发短信威胁，我也说过自己的情况，自己一个人还抚养一个孩子，现在老公又找不到人，我希望平台不要再对我家人和朋友进行骚扰，我也无法承受这些压力。</t>
  </si>
  <si>
    <t>微博钱包公然威胁恐吓我</t>
  </si>
  <si>
    <t>http://ts.21cn.com/tousu/show/id/1365948</t>
  </si>
  <si>
    <t>2019/10/16 13:01:33</t>
  </si>
  <si>
    <t>投诉人朱先生投诉对象微博借钱涉诉金额2000元问题类型诉求类型投诉详情微博钱包已经逾期两年以上，多次协商分多少期还，可是一直拒绝，最近威胁恐吓我，威胁恐吓家里人，希望做出赔偿合理合法协商，加微信186******10。</t>
  </si>
  <si>
    <t>http://ts.21cn.com/tousu/show/id/1365947</t>
  </si>
  <si>
    <t>2019/10/16 13:01:06</t>
  </si>
  <si>
    <t>10-6号8点29分我打了一辆滴滴，由于司机未准时给我拨打电话导致时间延长，于是上车我就问了句为什么不给我打电话，司机说，现在都不打电话，我说:你告诉我那个司机不打电话,我前些日子打滴滴司机师傅还打电话到你这里就不打了，司机:你不是看到消息了吗,我:谁打完滴滴时时刻刻还关注滴滴啊，打完滴滴都后台了好么，司机:我草:我:你怎么还骂人,司机:谁骂你了，口头禅懂么,我:我说你得家跟你父母也这样口头禅你妈说句话你也对着你妈妈我草一句，司机:说我喝酒了，我:说我还没喝酒,然后司机说我脾气大，我请问我全程说的难道不是事</t>
  </si>
  <si>
    <t>芒果筹自身平台原因造成客户无法还款造成逾期</t>
  </si>
  <si>
    <t>http://ts.21cn.com/tousu/show/id/1365946</t>
  </si>
  <si>
    <t>投诉人王女士投诉对象芒果筹涉诉金额4000元问题类型诉求类型投诉详情轻周转里的芒果筹平台，本人于19就开始等待平台扣款，到晚上八点钟都未等到自动扣款的短信，于是进行主动还款！但是根本还不上！打了几个客服电话，无人接听！20日早上九点开始打电话打了近三十个电话才打通客服电话，花了五分钟才告诉我一个QQ客服号码！发了无数验证请求都无法通过！后又打了几十个客服电话还是无人接听！此后几天一直尝试主动还款，但是APP原因，一直还不上，截止至13号才有人进行催收，我说需要跟客服协商逾期费用，他们平台导致的逾期费用凭什么</t>
  </si>
  <si>
    <t>退还费用</t>
  </si>
  <si>
    <t>http://ts.21cn.com/tousu/show/id/1365945</t>
  </si>
  <si>
    <t>2019/10/16 13:00:28</t>
  </si>
  <si>
    <t>投诉人 陈先生        投诉对象  成都易捷金融,宜贷网        涉诉金额  470 000 元    问题类型    诉求类型投诉详情  去年在易捷金融房抵贷款47万。各种坎头息，保证金。到手40万。还了5个月后，提前结清还了49万。要求其退还费用。</t>
  </si>
  <si>
    <t>http://ts.21cn.com/tousu/show/id/1365943</t>
  </si>
  <si>
    <t>2019/10/16 12:59:50</t>
  </si>
  <si>
    <t>我在易借平台上借了钱，分3期，前两期都还上了，还有最后一期1472元没还，逾期3天，催收人员威胁，恐吓，说2点之前就暴通讯录，一个一个的打，直到还钱为止，说话很难听，没有商量的余，地严重影响到我的工作和生活，我的诉求是停止对我和我家人的骚扰，调整利息，作出处罚，下架产品。</t>
  </si>
  <si>
    <t>http://ts.21cn.com/tousu/show/id/1365944</t>
  </si>
  <si>
    <t>2019/10/16 12:59:38</t>
  </si>
  <si>
    <t>我这边是最近手头上不方便，不是说不还钱，只是要等我这几天缓过来，我这边就还钱进去。</t>
  </si>
  <si>
    <t>农业银行ATM现金存款不到账</t>
  </si>
  <si>
    <t>http://ts.21cn.com/tousu/show/id/1365942</t>
  </si>
  <si>
    <t>2019/10/16 12:59:20</t>
  </si>
  <si>
    <t>去ATM存款，显示机器错误，银行暂存，为什么机器的错误，银行的错误，后果延时要客户承担，农业银行客服未解决，打了10来个电话，这个推那个，那个又给你电话！国家银行就这么恶心吗！为什么延时要我自己承担时间！我就是寸100也是现金存款，也要实时到账！。</t>
  </si>
  <si>
    <t>充值后注销账户，不给退款。</t>
  </si>
  <si>
    <t>http://ts.21cn.com/tousu/show/id/1365745</t>
  </si>
  <si>
    <t>2019/10/16 12:59:10</t>
  </si>
  <si>
    <t>安徽泡泡云信息技术有限公司该公司是销售短信群发，和发送催收短信的，充值后，因为渠道发送不了，让其操作退款，业务员善做主张私自把钱又给充值到另外一个账号里，后来要求退款，说有人充值就把钱给我退回来，后来直接把账号给注销了，让其退款业务员一直说自己不在那个公司做了，一直拒绝退款，从七月份开始到十月一直找各种理由拒绝退款，交了钱账号不让用，又不给退款，而且还要我继续充值，这个公司已经骗了好多人，希望给出解释，全额退款，并且做出赔偿。</t>
  </si>
  <si>
    <t>砍头息714高利贷</t>
  </si>
  <si>
    <t>http://ts.21cn.com/tousu/show/id/1365941</t>
  </si>
  <si>
    <t>2019/10/16 12:58:48</t>
  </si>
  <si>
    <t>投诉人朱先生投诉对象金鸡下蛋又名金贝备,聚合支付，云闪付涉诉金额1400元问题类型诉求类型投诉详情借1400六天还款2000！因为之前没有那么多钱还全额还款！已经展期了六次共计展期费1800元！已经超过了本金！现已无力支付！。</t>
  </si>
  <si>
    <t>暴力催收，阴阳合同</t>
  </si>
  <si>
    <t>http://ts.21cn.com/tousu/show/id/1365940</t>
  </si>
  <si>
    <t>2019/10/16 12:58:46</t>
  </si>
  <si>
    <t>投诉人何先生投诉对象先花一亿元涉诉金额3000元问题类型诉求类型投诉详情先花一亿元、请贵公司停止对我的骚扰、请问为什么有欠款的时候也是提前很多天高频轰炸、没欠款的时候也要高频轰炸，很多人在高空作业给你一直打电话过来高频轰炸、你知道影响多大么，请贵公司立即停止对我的骚扰、又没欠款、贵公司凭什么骚扰我的生活、请立即与我联系解释清楚、并停止骚扰！并把前期900元推还本人！。</t>
  </si>
  <si>
    <t>国美易卡暴力催收态度恶劣并且盗取个人信息，希望给予相应的处理。</t>
  </si>
  <si>
    <t>http://ts.21cn.com/tousu/show/id/1365938</t>
  </si>
  <si>
    <t>2019/10/16 12:57:18</t>
  </si>
  <si>
    <t>投诉人何先生投诉对象国美易卡涉诉金额10000元问题类型诉求类型投诉详情国美易卡暴力催收，而且我已经表示次日就还款但是他们在没有客户同意和不知情的情况下私自盗取个人信息并且打电话过去影响到客户的生活和工作，而且在打电话过程中带有威胁性和恐吓性，服务人员态度也极其恶劣。</t>
  </si>
  <si>
    <t>兴业银行未经本人允许，将个人信息出售</t>
  </si>
  <si>
    <t>http://ts.21cn.com/tousu/show/id/1365935</t>
  </si>
  <si>
    <t>2019/10/16 12:56:11</t>
  </si>
  <si>
    <t>投诉人刘女士投诉对象兴业银行信用卡涉诉金额7000元问题类型诉求类型投诉详情手机联系人中，多人收到类似信息，该行为并未与我本人沟通，给本人生活造成非常严重的骚扰。</t>
  </si>
  <si>
    <t>花转转高利贷，平台恶意逾期，协商不处理问题</t>
  </si>
  <si>
    <t>http://ts.21cn.com/tousu/show/id/1365936</t>
  </si>
  <si>
    <t>2019/10/16 12:56:10</t>
  </si>
  <si>
    <t>通过信用管家注册的花转转，因上个月19号开始平台原因，不能还款，期间通过多种方式联系客服，都无法联系上，借款2800.到账2800.28天还款，每7天一期，每期还款金额1022.46元，属于高利贷，平台造成逾期，每天逾期费用高达65元，已超出国家合规贷款利息范围，联系客服协商逾期费用全免和本金加400元利息结清，客服均不处理，理由都是没有权限，抛气球式的不给处理问题，所以逾期费用一直在增加，期间也发起投诉，但都没人联系处理，花转转平台对于投诉无视，请聚投诉人员仔细核查给予帮助！花转转下载链接在百度可以下载t</t>
  </si>
  <si>
    <t>凡普电话轰炸严重影响正常工作生活</t>
  </si>
  <si>
    <t>http://ts.21cn.com/tousu/show/id/1365934</t>
  </si>
  <si>
    <t>2019/10/16 12:55:17</t>
  </si>
  <si>
    <t>投诉人孟先生投诉对象凡普信涉诉金额3000元问题类型诉求类型投诉详情凡普信逾期电话轰炸本人电话通讯录好友上班公司电话持续不断严重影响本人及同事朋友的正常工作和生活。</t>
  </si>
  <si>
    <t>高利息罚金</t>
  </si>
  <si>
    <t>http://ts.21cn.com/tousu/show/id/1365931</t>
  </si>
  <si>
    <t>2019/10/16 12:54:19</t>
  </si>
  <si>
    <t>现在要求部分退回，银监会从2017年1月1日发布可以申请退回一年罚金违约金，你们问问自己的良心有没有退回给人家，我不是无中生有。</t>
  </si>
  <si>
    <t>前程无忧无故擅自扣我银行卡钱，我又没借钱</t>
  </si>
  <si>
    <t>http://ts.21cn.com/tousu/show/id/1365933</t>
  </si>
  <si>
    <t>2019/10/16 12:54:11</t>
  </si>
  <si>
    <t>投诉人 任先生        投诉对象  前程无忧        涉诉金额  168 元    问题类型    诉求类型投诉详情  前程无忧 app我没借款，怎么扣我银行卡钱，</t>
  </si>
  <si>
    <t>盛京银行海航卡积分被清零</t>
  </si>
  <si>
    <t>http://ts.21cn.com/tousu/show/id/1365930</t>
  </si>
  <si>
    <t>2019/10/16 12:54:09</t>
  </si>
  <si>
    <t>投诉人彭玮投诉对象盛京银行涉诉金额6500元问题类型诉求类型投诉详情本人于2019年6月申请盛京银行发行的海航白金信用卡并缴交年费1000元，按其申请页面的积分规则是10:1兑换海南航空金鹏积分，然而在7月21日本人账户被扣除信用卡积分1250270，按理是可以兑换125027海航金鹏积分的，但是海航金鹏积分迟迟不到账，因此致电盛京银行客服，客服回复结果是因为超过单笔兑换上限，确实有单笔兑换上限6万这一说也有年度兑换总上限24万的规定，但是根本没有说明单月兑换上限就是6万，超过6万上限的积分要做清零处理，根</t>
  </si>
  <si>
    <t>上海翰银为赌博输平台提供收款渠道导致个人损失60余万，请求瀚银为我退款挽回经济损失</t>
  </si>
  <si>
    <t>http://ts.21cn.com/tousu/show/id/1365929</t>
  </si>
  <si>
    <t>2019/10/16 12:53:44</t>
  </si>
  <si>
    <t>投诉人朱先生投诉对象瀚银科技涉诉金额640000元问题类型诉求类型投诉详情本人在网上被人诱骗以做兼职，赚流水等理由被人拉进兼职群，以购买彩票方式赚取佣金，后来才知道是非法赌博平台。</t>
  </si>
  <si>
    <t>一点钱分期骚扰家人及朋友，恐吓家人</t>
  </si>
  <si>
    <t>http://ts.21cn.com/tousu/show/id/1365927</t>
  </si>
  <si>
    <t>2019/10/16 12:52:21</t>
  </si>
  <si>
    <t>因个创业失败原因，现没有资金来还这个款，请求协商还款，没逾期之前打电话给平台协商，平台不给协商，因为父母年龄也大了，也没什么收入，父亲一身病，一点钱分期的催收人员，打电话给我母亲讲要去我家里看看，并且恐吓我母亲，现在要求平台，亲自打电话给我家人道歉，然后再来协商还款问题，我本人不会选择逃避在你公司所欠债务，现在要求止息协商还款，本人做事本人承担，因为分3期还实在没办法还，因为不止欠你家一家贷款。</t>
  </si>
  <si>
    <t>微信买手机，寄了配件给我，没手机</t>
  </si>
  <si>
    <t>http://ts.21cn.com/tousu/show/id/1365926</t>
  </si>
  <si>
    <t>2019/10/16 12:52:03</t>
  </si>
  <si>
    <t>投诉人陈女士投诉对象微信涉诉金额1500元问题类型诉求类型投诉详情这个人是老家的，但是只见过一次，因为年初在他这买手有给我寄，后面七月初说有一只手机出售，问我要不要，我就要了，支付1500元，结果收到手机配件以及钢化膜，就是没有手机，然后找他，他两天没回复，加上在顺丰查到他还有在寄快递，所以我第二天直接报警，我跟他说我去报警了，他就回复我，跟我说他手机丢了，卡去补办才看到我信息，后面我信了，他去查监控，让我这边撤销报警申请，我就撤销了，后面因为沟通不成，我又去报警了，他在警局说一个星期给我答复，结果一直拖，</t>
  </si>
  <si>
    <t>京东金融暴力催收出卖个人信息给第三方</t>
  </si>
  <si>
    <t>http://ts.21cn.com/tousu/show/id/1365924</t>
  </si>
  <si>
    <t>2019/10/16 12:51:08</t>
  </si>
  <si>
    <t>因个人经济问题逾期一个月才还款京东白条，结果催收人员要上家门且伪造律师函。</t>
  </si>
  <si>
    <t>宜人贷砍头费，超高利息</t>
  </si>
  <si>
    <t>http://ts.21cn.com/tousu/show/id/1365923</t>
  </si>
  <si>
    <t>2019/10/16 12:51:00</t>
  </si>
  <si>
    <t>投诉人铁睿投诉对象宜人贷涉诉金额20000元问题类型诉求类型投诉详情本人于2018年5月份在宜人贷借贷20000元人民币，借款期限为24个月，实际到账为17000元左右，明目张胆的砍头息，合同金额却显示为23529.41元，加之利息总还款额高达28506元,通过计算，其实际年利率已经超过60%，远远超过国家认定的高利贷标准，其中有过一次逾期，逾期当天其催收人员给本人打了将近40通电话，并且骚扰了我的同学，朋友，严重影响了本人的正常工作生活及名誉，希望有关部门予以重视，对其恶意催收，变本加利的做法给予其处罚，</t>
  </si>
  <si>
    <t>希望尽快退款重新下单</t>
  </si>
  <si>
    <t>http://ts.21cn.com/tousu/show/id/1365922</t>
  </si>
  <si>
    <t>2019/10/16 12:50:46</t>
  </si>
  <si>
    <t>因为今天要离开大理了希望尽快退款能重新下单在大理途虎店进行机油保养。</t>
  </si>
  <si>
    <t>华夏银行不协商还款</t>
  </si>
  <si>
    <t>http://ts.21cn.com/tousu/show/id/1365920</t>
  </si>
  <si>
    <t>2019/10/16 12:49:42</t>
  </si>
  <si>
    <t>投诉人田祖龙投诉对象华夏银行信用卡涉诉金额17000元问题类型诉求类型投诉详情信用卡额度14700元，由于卡片已暂停使用，一时间凑不齐那么多钱一次性还完，所以打电话和银行协商制定还款方案，但是每次打电话去都是说帮我登记好，会有专人联系我，但是一个月内已经打了三四个电话去让他们登记，时间过去一个月也没有回复，本月账单出来了，需要还款17000多，多了将近3000块钱的利息违约金。</t>
  </si>
  <si>
    <t>暴力催收，恐吓，威胁，骚扰</t>
  </si>
  <si>
    <t>http://ts.21cn.com/tousu/show/id/1365919</t>
  </si>
  <si>
    <t>2019/10/16 12:48:58</t>
  </si>
  <si>
    <t>打电话上来就骂街，给我家人打电话也骂街，进行骚扰，我都快疯啦，我有录音，催收人员收他们就是黑贷，还有王法吗，这么嚣张的催收法律不管吗。</t>
  </si>
  <si>
    <t>畅捷支付协助高炮扣款</t>
  </si>
  <si>
    <t>http://ts.21cn.com/tousu/show/id/1365918</t>
  </si>
  <si>
    <t>2019/10/16 12:48:43</t>
  </si>
  <si>
    <t>本人郭欣欣，电话186******23，卡号62****************2工行卡，被高炮贷款扣取不符合国家标准的高额砍头息，是由畅捷通协助扣款的，分别从去年2018年12月开始至2019年1月陆续扣收高额砍头息，举例借款1500，到账1050，一周到期若无全款利息450元，长期被收，是由畅捷支付支撑协助不合法，合计450元被收取了7笔，合计3150元，要求处理解决退赔，若无处理我将通过12363和信访申诉。</t>
  </si>
  <si>
    <t>锁定帐户骚扰威胁</t>
  </si>
  <si>
    <t>http://ts.21cn.com/tousu/show/id/1365917</t>
  </si>
  <si>
    <t>2019/10/16 12:48:21</t>
  </si>
  <si>
    <t>每月按时还款从未愈期，在未任何通知的情况下单方面违反合同锁定帐户，因上述原因，本期帐单未按时还款，愈期一天电话短信骚扰，威胁爆通讯录。</t>
  </si>
  <si>
    <t>凤凰智信喜鹊快贷暴力催收阴阳合同高利贷</t>
  </si>
  <si>
    <t>http://ts.21cn.com/tousu/show/id/1365806</t>
  </si>
  <si>
    <t>2019/10/16 12:47:48</t>
  </si>
  <si>
    <t>投诉人桂先生投诉对象喜鹊快贷涉诉金额15000元问题类型诉求类型投诉详情2019年8月份我当时急用钱在给你花app里面的喜鹊快贷借了一笔10000元的贷款，当时借的时候app上面显示借10000分12期利息就是1000多，但是我点确认借款审核一通过了就变成我借13000多，总的我要还15000多，但是我到手金额只是10000，分了12期，我要还15000多，感觉被套路了，还有我还第一期我没有逾期还款当天就一直打电话来叫我还钱，还说要爆我通讯录，反正态度恶劣，希望聚投诉能帮助我，商量停止骚扰，改善态度，整改利</t>
  </si>
  <si>
    <t>要求取消订单</t>
  </si>
  <si>
    <t>http://ts.21cn.com/tousu/show/id/1365916</t>
  </si>
  <si>
    <t>2019/10/16 12:47:46</t>
  </si>
  <si>
    <t>是这样的，之前因为太傻被人骗光了钱财，于是想先贷点周转一下，今天改软件给我发了一条信息，点开下载之后填写资料，贷一万，但钱我提不了，就要还款，然后让给我取消订单，说要赔付百分之三十违约金，而在我签字之前，我没有看见过合同，签了才知道的，现在客服还将我移走了，要求取消订单以下内容仅投诉平。</t>
  </si>
  <si>
    <t>合利宝违规为第三方发放高利贷</t>
  </si>
  <si>
    <t>http://ts.21cn.com/tousu/show/id/1365915</t>
  </si>
  <si>
    <t>2019/10/16 12:47:14</t>
  </si>
  <si>
    <t>合利宝支付作为正规拍照支付公司竟然为非法高利贷提供支付服务，导致本人深陷714高利贷、套路贷，砍头息900，3000合利宝竟然只打2100，900的砍头息不知道去哪里了，现要求合利宝支付退还非法利息，退还收取的非法款项，如不退款本人将投诉至互联网金融举报信息平台，拨打12363至人民银行投诉到底。</t>
  </si>
  <si>
    <t>平安普惠不予注销账号</t>
  </si>
  <si>
    <t>http://ts.21cn.com/tousu/show/id/1365914</t>
  </si>
  <si>
    <t>2019/10/16 12:46:21</t>
  </si>
  <si>
    <t>平安普惠不给注销账号，不注销就是侵犯个人隐私，请予以注销账号！！！。</t>
  </si>
  <si>
    <t>多米贷胡律师真是业务多电话号码也多到数不清</t>
  </si>
  <si>
    <t>http://ts.21cn.com/tousu/show/id/1365913</t>
  </si>
  <si>
    <t>2019/10/16 12:46:19</t>
  </si>
  <si>
    <t>多米贷不停暴力催收，利息高的离谱，现又发这样的消息告诉我负法律责任，呵呵，我倒要看看国家怎么惩治你们这高利贷机构的，已报警备案，人家都要搬出胡律师了，我得去公安局自首，我欠多米贷高利贷了，胡律师开恩，放我一条生路，话说，借贷平台论坛上都收到该胡律师的消息，而且电话号码还都不一致，胡律师真是手机号多。</t>
  </si>
  <si>
    <t>白条分期套路</t>
  </si>
  <si>
    <t>http://ts.21cn.com/tousu/show/id/1365866</t>
  </si>
  <si>
    <t>2019/10/16 12:46:11</t>
  </si>
  <si>
    <t>投诉人李先生投诉对象白条分期涉诉金额249元问题类型诉求类型投诉详情急用钱看到白条分期平台贷款，当时一进去给的额度是5000，但是要开通会员，当时以为开通会员就会给下款，结果开通会员没有要任何的密码，直接就扣走了，并且也没有给任何的消费额度，简直就是欺骗&amp;amp;nbsp;欺诈行为。</t>
  </si>
  <si>
    <t>拇指下款未经允许私自从银行卡里面扣钱</t>
  </si>
  <si>
    <t>http://ts.21cn.com/tousu/show/id/1365911</t>
  </si>
  <si>
    <t>2019/10/16 12:46:02</t>
  </si>
  <si>
    <t>拇指下款私自从我银行卡里面扣除298元充值到该APP的小银券里面，我根本就不知道要扣款，10月11日绑定了银行卡，15日晚上把我钱扣了，APP界面根本就没说说明要扣款，这跟强盗有什么区别，我要求立即给我返还，不接受任何解释，如果该平台今天不处理我就向公安机关和银监会举报投诉，一定维权到底！。</t>
  </si>
  <si>
    <t>尚德机构不予退款</t>
  </si>
  <si>
    <t>http://ts.21cn.com/tousu/show/id/1365910</t>
  </si>
  <si>
    <t>2019/10/16 12:46:01</t>
  </si>
  <si>
    <t>投诉人柳女士投诉对象尚德机构涉诉金额7900元问题类型诉求类型投诉详情去年在尚德机构老师的引导下报名了课程，后来发现时间不够用也没有精力考试，在没有看过学习过任何课程的情况下，尚德不同意退款。</t>
  </si>
  <si>
    <t>广发信用卡分期突然不占额度超额使用账单有异</t>
  </si>
  <si>
    <t>http://ts.21cn.com/tousu/show/id/1365908</t>
  </si>
  <si>
    <t>2019/10/16 12:45:55</t>
  </si>
  <si>
    <t>本人持有广发信用卡快两年，消费喜欢分期，与银行保持良好的互利关系，每次消费都是分期的，所有信用卡消费都是占用额度的，之前广发也是，突然在去年年底突然消费不占额度了，并未有通知，本人也是在今年四月份的时候觉得账单很奇怪致电才知道这回事，导致超额消费具体多少也不知道，在今年四五月份的时候，还了近六千上去，不会这么多，不能分期也就是这个开始才不能的，然后致电广发信用卡，客服告知我还差两万五千多未还，卡额度只有一万五，，在六七月份资金周转有点困难，致电广发信用卡商量还款事宜，客服说已经记录后台五个工作日内会有工作人</t>
  </si>
  <si>
    <t>信用管家神马借之前通过聚投诉协商一致不执行。</t>
  </si>
  <si>
    <t>http://ts.21cn.com/tousu/show/id/1365909</t>
  </si>
  <si>
    <t>投诉人左丹阳投诉对象信用管家,神马借,广州睿科信息科技有限公司涉诉金额2625元问题类型诉求类型投诉详情本人于2019年8月29日在信用管家平台向神马借，借款人名币2625元，每七天一期还款895元，四期合计3600元，严重超过国家法定利息，在聚投诉上投诉后协商还款，达成一致，还款本金2625元加100利息费用，截至目前，对方未履行承诺，我已还款2800元，仍然未销账，请平台帮助，销账并处理。</t>
  </si>
  <si>
    <t>嗨包app借款平台畸高利息及滞纳金，暴击催收，威胁恐吓</t>
  </si>
  <si>
    <t>http://ts.21cn.com/tousu/show/id/1365907</t>
  </si>
  <si>
    <t>2019/10/16 12:45:54</t>
  </si>
  <si>
    <t>10月15日到期，各种威胁恐吓短信</t>
  </si>
  <si>
    <t>人人车速卖宝服务费 拖延退款 未到账</t>
  </si>
  <si>
    <t>http://ts.21cn.com/tousu/show/id/1365912</t>
  </si>
  <si>
    <t>2019/10/16 12:45:53</t>
  </si>
  <si>
    <t>，于2019年1月19日缴纳速卖宝服务费4600元2019年3月6日申请速卖宝退款4600元，3月7日提交申请速卖宝退款退款专员同意退款并且向人人车财务申请打款，告知我耐心等待，之后无回复现在已经是2019年10月16日。</t>
  </si>
  <si>
    <t>催收人打电话到公司骚扰，给亲友打电话发短信骚扰</t>
  </si>
  <si>
    <t>http://ts.21cn.com/tousu/show/id/1365905</t>
  </si>
  <si>
    <t>2019/10/16 12:45:51</t>
  </si>
  <si>
    <t>投诉人陈女士投诉对象及贷涉诉金额1391元问题类型诉求类型投诉详情催收人员打电话到公司骚扰辱骂，还给亲朋好友打电话骚扰，严重影响本人工作和周围朋友的工作生活。</t>
  </si>
  <si>
    <t>严重骚扰我的亲朋好友</t>
  </si>
  <si>
    <t>http://ts.21cn.com/tousu/show/id/1365903</t>
  </si>
  <si>
    <t>2019/10/16 12:45:24</t>
  </si>
  <si>
    <t>投诉人 喻女士        投诉对象  360借条        涉诉金额  8 232 元    问题类型    诉求类型投诉详情  严重骚扰。还不停的打电话给我亲戚朋友。电话中不停的恐吓</t>
  </si>
  <si>
    <t>http://ts.21cn.com/tousu/show/id/1365901</t>
  </si>
  <si>
    <t>2019/10/16 12:44:58</t>
  </si>
  <si>
    <t>投诉人陈先生投诉对象我来贷涉诉金额20000元问题类型诉求类型投诉详情我来贷利息又高，还不能提前结算，我来贷利息又高，还不能提前结算。</t>
  </si>
  <si>
    <t>恒昌公司通过黑社会暴力催收</t>
  </si>
  <si>
    <t>http://ts.21cn.com/tousu/show/id/1365899</t>
  </si>
  <si>
    <t>2019/10/16 12:44:54</t>
  </si>
  <si>
    <t>恒昌公司高利贷，合同金额与实际借款不符，利用所谓的委外的做法实际通过黑社会暴力催收，威胁恐吓。</t>
  </si>
  <si>
    <t>故意让消费者逾期</t>
  </si>
  <si>
    <t>http://ts.21cn.com/tousu/show/id/1365902</t>
  </si>
  <si>
    <t>2019/10/16 12:44:48</t>
  </si>
  <si>
    <t>投诉人江先生投诉对象兴业消费金融,小鲨e贷涉诉金额2003元问题类型诉求类型投诉详情多次打人工电话都是打不通，接通之后都是说用户原因，明明卡里有钱还扣款失败，主动还款也是显示失败，主动在APP不下于十次的主动还款，还是没成功，逾期以后都是用户的问题，电话打进去比什么都难打，打不进去为什么要设置个破号码来坑害用户。</t>
  </si>
  <si>
    <t>平安普惠暴力催收无视监管，爆通讯录</t>
  </si>
  <si>
    <t>http://ts.21cn.com/tousu/show/id/1365898</t>
  </si>
  <si>
    <t>2019/10/16 12:44:10</t>
  </si>
  <si>
    <t>平安普惠晚了两天还款多次电话骚扰，爆通讯录，发信息给亲人朋友，暴力威胁、恐吓。</t>
  </si>
  <si>
    <t>牛人有品骚扰电话</t>
  </si>
  <si>
    <t>http://ts.21cn.com/tousu/show/id/1365897</t>
  </si>
  <si>
    <t>2019/10/16 12:42:33</t>
  </si>
  <si>
    <t>在牛人有品借款2200，实际到账1584，分两期还款，每期还款1122，已在10月8号协商还清了，今天还有电话打来说已逾期，app上面都已经显示结清了，为何还有催款电话。</t>
  </si>
  <si>
    <t>投诉淘宝身份信息被盗用开通店铺，多次联系客服不予处理</t>
  </si>
  <si>
    <t>http://ts.21cn.com/tousu/show/id/1365895</t>
  </si>
  <si>
    <t>2019/10/16 12:42:06</t>
  </si>
  <si>
    <t>多次联系淘宝客服，客服要不是转接其他客服继续敷衍，要不就是说处理不了我去查过那个盗用我信息开店的淘宝账号根本就没用通过实名认证的，没有通过实名认证的支付宝，淘宝是如何让他冒充我开店铺的，我这个个人信息在2009年就被盗取注册了淘宝和支付宝。</t>
  </si>
  <si>
    <t>畅捷支付现控达人套路贷</t>
  </si>
  <si>
    <t>http://ts.21cn.com/tousu/show/id/1365893</t>
  </si>
  <si>
    <t>2019/10/16 12:41:35</t>
  </si>
  <si>
    <t>我爱人在现控达人借了钱，额度为2800，一个月内分四期还每期还1000多这也没什么，因为当时真的急用钱，但还了一期后第二期就找不到还款通道了，也找不到客服和催收，导致无法还款，我们不是躲着不还，而是根本联系不到借款公司的任何人，又没办法还款！一直在等联系，结果一个多月之后，前几天联系到我们要求偿还7000多，催收加了微信我们说明了缘由但还是恶语相向，大口谩骂还打电话给家里人，我不知道这些套路贷款是怎么出现的，国家为什么不去制止，在投诉上也看了很多朋友都跟我的情况一下，畅捷支付为这种套路贷提供非法支付通道，豌</t>
  </si>
  <si>
    <t>骚扰我的家人，恶意诽谤，让我无法安心工作生理的心理都受到了伤害</t>
  </si>
  <si>
    <t>http://ts.21cn.com/tousu/show/id/1365892</t>
  </si>
  <si>
    <t>2019/10/16 12:41:09</t>
  </si>
  <si>
    <t>对我的家人进行恶意骚扰和对我人格侮辱和爆我的通讯录，让我无法安心工作。</t>
  </si>
  <si>
    <t>宜人贷黑社会本质，恐吓、敲诈</t>
  </si>
  <si>
    <t>http://ts.21cn.com/tousu/show/id/1365890</t>
  </si>
  <si>
    <t>2019/10/16 12:40:52</t>
  </si>
  <si>
    <t>宜人贷高利贷用追加贷款套路我，累加贷款利率，使利率达到年化48%，本人被迫还完本金和一万块的利息后，本人被迫停止还款，强制与他们协商，但宜人贷不予协商，各种办法恐吓威胁，公开威胁已获得同事手机号，要让我在同事面前没法做人，我已录音，不敢走法律程序，只是蝇营狗苟干些龌龊的勾当，现在声明：如果你们做这些违法行为，那我宁可把钱给被骚扰的人发红包，也一分不给你们。</t>
  </si>
  <si>
    <t>情人花恶意扣款</t>
  </si>
  <si>
    <t>http://ts.21cn.com/tousu/show/id/1365891</t>
  </si>
  <si>
    <t>2019/10/16 12:40:45</t>
  </si>
  <si>
    <t>恶意退款，恶意退款，恶意退款，恶意退款，恶意退款。</t>
  </si>
  <si>
    <t>蛋壳公寓手持身份证照片</t>
  </si>
  <si>
    <t>http://ts.21cn.com/tousu/show/id/1365889</t>
  </si>
  <si>
    <t>2019/10/16 12:40:19</t>
  </si>
  <si>
    <t>投诉人 张先生        投诉对象  蛋壳公寓        涉诉金额  500 元    问题类型    诉求类型投诉详情  说好七天之内退款，现在联系不到，杳无音讯</t>
  </si>
  <si>
    <t>喜鹊快贷</t>
  </si>
  <si>
    <t>http://ts.21cn.com/tousu/show/id/1365888</t>
  </si>
  <si>
    <t>2019/10/16 12:40:01</t>
  </si>
  <si>
    <t>上门暴力催收，打爆我的通讯录打给我的亲戚和朋友，以恐吓、侮辱，谩骂的语言进行攻击，要求他们停止骚扰。</t>
  </si>
  <si>
    <t>玖富万卡提前结清后说余款退还到富有金账户，至今没有收到退款</t>
  </si>
  <si>
    <t>http://ts.21cn.com/tousu/show/id/1365886</t>
  </si>
  <si>
    <t>2019/10/16 12:38:24</t>
  </si>
  <si>
    <t>9月28日，本人打电话申请玖富万卡提前结清，当时借了5000元用了不到一个月，经过协商玖富万卡告知我在10月8日结清需还款5150元，先在APP上结清，退还差价，本人于10月1日在APP上还款567.54元，又于10月8日在app上还款5997.37元，后打电话向客服说明已还清，客服说10个工作日内把差价1454.91元退款到富有金账户，今天已经是第九个工作日了，中间曾打电话询问玖富万卡的客服说是10个工作日内必退还到富有金，本人看到有人一个月都没有退，打三次客服电话都敷衍我，我这边他们客服给我打电话的录音</t>
  </si>
  <si>
    <t>阿里妈妈乱扣淘宝卖家佣金，虽承诺返还实际一直推诿拖延违背承诺</t>
  </si>
  <si>
    <t>http://ts.21cn.com/tousu/show/id/1365885</t>
  </si>
  <si>
    <t>2019/10/16 12:38:22</t>
  </si>
  <si>
    <t>6月1日，有两笔订单交易金额共计4万元，被阿里妈妈总共扣了4000元佣金，6月10日被我发现后就和阿里妈妈多次交涉，并按其要求通过邮箱提供了相关材料，阿里妈妈分别于6月26日和7月5日发我手机短信，承认系统扣费错误，并承诺“将在订单确认收货后的3个月月底以冻结款的名义返还”，我多次要求核对多扣金额，但是阿里妈妈一直未能明确多扣的金额数目，分享有礼佣金费率按其网页说明应该按通用计划1.5%，实际系统出错按自选计划10%错扣了，多扣了8.5%即3400元，这两笔订单是6月6日确认收货，按其承诺应该于9月底返款，</t>
  </si>
  <si>
    <t>联动云租车押金不能提前退还，本人急需用钱</t>
  </si>
  <si>
    <t>http://ts.21cn.com/tousu/show/id/1365887</t>
  </si>
  <si>
    <t>2019/10/16 12:38:11</t>
  </si>
  <si>
    <t>本人急用钱，使用车辆无违章无故障，本人申请退还本人押金！。</t>
  </si>
  <si>
    <t>保费没退</t>
  </si>
  <si>
    <t>http://ts.21cn.com/tousu/show/id/1365884</t>
  </si>
  <si>
    <t>2019/10/16 12:36:06</t>
  </si>
  <si>
    <t>我让他们退他们就一天拖一天现在都半个多月了。</t>
  </si>
  <si>
    <t>现控达人app故意致人逾期索要高额逾期费</t>
  </si>
  <si>
    <t>http://ts.21cn.com/tousu/show/id/1365727</t>
  </si>
  <si>
    <t>2019/10/16 12:36:03</t>
  </si>
  <si>
    <t>第三期9.27号还款时，在他们app里无法还款，支付宝对公账户也被封无法还款，客服电话当晚打不通，第二天打通电话后告知我没有问题，让我去app联系客服，在app联系客服后，没人回复，之后再也没有消息，10.12号打电话告知我逾期多天，让我缴纳逾期费1600余元，并告知可以减免逾期费，但是逾期不是我方主观原因造成的，而且逾期后联系不到他们，等10多天后她们才主动联系我，这是故意让我们缴纳高额逾期费。</t>
  </si>
  <si>
    <t>被网贷爆通讯录</t>
  </si>
  <si>
    <t>http://ts.21cn.com/tousu/show/id/1365882</t>
  </si>
  <si>
    <t>2019/10/16 12:34:07</t>
  </si>
  <si>
    <t>由于特殊原因无法及时还款导致逾期，遭受被爆通讯录，骚扰影响亲友，借款时还有砍头息，说是400保险费。</t>
  </si>
  <si>
    <t>保险费以交说是没交又私自交纳不给客户通知，先全款交清就索要保险费</t>
  </si>
  <si>
    <t>http://ts.21cn.com/tousu/show/id/1365881</t>
  </si>
  <si>
    <t>2019/10/16 12:33:51</t>
  </si>
  <si>
    <t>投诉人赵婧投诉对象弹个车涉诉金额5300元问题类型诉求类型投诉详情保险费用之前打电话问以交清，后续有说我没交，没有打电话咨询我就擅自选保险公司，现全款交清了，不给过户给绿本，希望相关部门主持公道。</t>
  </si>
  <si>
    <t>快闪卡贷砍头息、高额利息</t>
  </si>
  <si>
    <t>http://ts.21cn.com/tousu/show/id/1113226</t>
  </si>
  <si>
    <t>2019/10/16 12:33:33</t>
  </si>
  <si>
    <t>投诉人赖女士投诉对象快闪卡贷涉诉金额10101元问题类型诉求类型投诉详情2019年4月11日因公司资金周转不过来，上快闪卡贷平台申请借贷¥12000，放款¥10101.16，秒扣¥1898.84，，算下来实际到账10101.16，6个月到期还清本金与利息一共要¥16342.10，问快闪卡贷客服，没能给出合法的解释，也无法查询到所谓扣款保单，快闪卡贷到期还款也没有按规定自动扣取签约的银行卡，app一直显示还款失败还剩3次机会，导致第一期的还款逾期，随着我公司业务收入不稳定，面临破产，家人资助了我2500还贷，</t>
  </si>
  <si>
    <t>钱币币</t>
  </si>
  <si>
    <t>http://ts.21cn.com/tousu/show/id/1365800</t>
  </si>
  <si>
    <t>2019/10/16 12:33:05</t>
  </si>
  <si>
    <t>投诉人许女士投诉对象御剑飞行涉诉金额2100元问题类型诉求类型投诉详情暴利恐吓威胁，还没到期就先恐吓，要求停止，简直就是大头利3750到手2100，5天。</t>
  </si>
  <si>
    <t>苏宁金融不合理保险费</t>
  </si>
  <si>
    <t>http://ts.21cn.com/tousu/show/id/1365880</t>
  </si>
  <si>
    <t>2019/10/16 12:33:01</t>
  </si>
  <si>
    <t>投诉人张明亮投诉对象苏宁金融涉诉金额630元问题类型诉求类型投诉详情个人贷款不合理，恶意收取保费，请求处理赔偿，严重影响国家规定。</t>
  </si>
  <si>
    <t>用银行资金放贷收取高息</t>
  </si>
  <si>
    <t>http://ts.21cn.com/tousu/show/id/1365878</t>
  </si>
  <si>
    <t>2019/10/16 12:31:46</t>
  </si>
  <si>
    <t>爆力崔收，违规收集用户通讯录，！！！！！！！！！！！！！！！！！！。</t>
  </si>
  <si>
    <t>凡普金科钱站暴利催收高利贷</t>
  </si>
  <si>
    <t>http://ts.21cn.com/tousu/show/id/1365877</t>
  </si>
  <si>
    <t>2019/10/16 12:31:45</t>
  </si>
  <si>
    <t>投诉人陈先生投诉对象钱站,凡普信涉诉金额2500元问题类型诉求类型投诉详情电话后没有回应了，一股无所谓的态度，借款2000，分期三个月，每个月还款886，三个月利息658，年综合利率200%，严重超出国家规定的36%的法律红线，要求降低利率费用。</t>
  </si>
  <si>
    <t>微粒贷外包催债公司对我工作单位骚扰</t>
  </si>
  <si>
    <t>http://ts.21cn.com/tousu/show/id/1365876</t>
  </si>
  <si>
    <t>2019/10/16 12:30:27</t>
  </si>
  <si>
    <t>微粒贷外包催债公司对我工作单位进行严重的电话骚扰轰炸，威胁恐吓，已经导致系统无法正常运行，我单位已收集相关有利证据，如微粒贷涉事单位继续咎由自取，我方启动法律程序对其进行诉讼，并赔偿相关损失。</t>
  </si>
  <si>
    <t>把还多了钱给我退回来</t>
  </si>
  <si>
    <t>http://ts.21cn.com/tousu/show/id/1365874</t>
  </si>
  <si>
    <t>2019/10/16 12:30:11</t>
  </si>
  <si>
    <t>投诉人刘先生投诉对象捷信金融涉诉金额14000元问题类型诉求类型投诉详情我借了14000分了42期提前结清还了25期上逾期费用一起22000请把多余钱退还于我。</t>
  </si>
  <si>
    <t>闪银哼哼瞬瞬强制购物，变相收取砍头息</t>
  </si>
  <si>
    <t>http://ts.21cn.com/tousu/show/id/1365875</t>
  </si>
  <si>
    <t>2019/10/16 12:30:10</t>
  </si>
  <si>
    <t>投诉人唐先生投诉对象Wecash闪银,哼哼,瞬瞬涉诉金额3000元问题类型诉求类型投诉详情网银哼哼瞬瞬变相收取砍头息，联系客服协商延期无人理会。</t>
  </si>
  <si>
    <t>闪电借款够买了黑卡却不能借款</t>
  </si>
  <si>
    <t>http://ts.21cn.com/tousu/show/id/1365873</t>
  </si>
  <si>
    <t>2019/10/16 12:30:05</t>
  </si>
  <si>
    <t>投诉人李女士投诉对象闪电借款涉诉金额1500元问题类型诉求类型投诉详情今天在闪电借款APP花1500买购买了黑卡可以借9400元，但是借款时却一直提醒额度抢完。</t>
  </si>
  <si>
    <t>好易借砍头息严重，不到7天900多</t>
  </si>
  <si>
    <t>http://ts.21cn.com/tousu/show/id/1365870</t>
  </si>
  <si>
    <t>2019/10/16 12:29:29</t>
  </si>
  <si>
    <t>借2100还3814，实际能用的时间只有六天，砍头息太严重，无力偿还，希望能减免砍头息部分，放款支付机构是易宝支付。</t>
  </si>
  <si>
    <t>金东暴力催收</t>
  </si>
  <si>
    <t>http://ts.21cn.com/tousu/show/id/1365869</t>
  </si>
  <si>
    <t>2019/10/16 12:29:12</t>
  </si>
  <si>
    <t>投诉人钟女士投诉对象金东白条涉诉金额4000元问题类型诉求类型投诉详情本人因刚生孩子导致资金断了联系金东白条逾期，和金东说了原因暂时还不上需要时间处理客服不行，期间请每个月也有还只是还不上那么多一下子一次还了一点然后交给了第三方第三方暴力催收报通讯录.....跟客服沟通钱会还给我时间处理因为刚生完小孩现在暂时不能做事断了金急来源需要时间处理客服不理会还叫我和催收谈，但是他们不同意...还继续骚扰我的我现在母乳期这样被骚扰真的受不了。</t>
  </si>
  <si>
    <t>小树贷款</t>
  </si>
  <si>
    <t>http://ts.21cn.com/tousu/show/id/1365867</t>
  </si>
  <si>
    <t>2019/10/16 12:28:55</t>
  </si>
  <si>
    <t>投诉人张先生投诉对象小树时代涉诉金额5000元问题类型诉求类型投诉详情我在小树贷款上借的钱，每个月都按时还款，这次扣款了显示我未还款，到现在说我逾期，我都不敢一次性还清，我怕又不算。</t>
  </si>
  <si>
    <t>http://ts.21cn.com/tousu/show/id/1365865</t>
  </si>
  <si>
    <t>2019/10/16 12:28:27</t>
  </si>
  <si>
    <t>投诉人卿先生投诉对象京东亚洲一号成都新都物流园成都市新都区涉诉金额150元问题类型诉求类型投诉详情因为七月24号那一天工资未补发，已拖欠两三个月。</t>
  </si>
  <si>
    <t>珍爱网胁迫办理线下会员</t>
  </si>
  <si>
    <t>http://ts.21cn.com/tousu/show/id/1365864</t>
  </si>
  <si>
    <t>2019/10/16 12:28:03</t>
  </si>
  <si>
    <t>1.半胁迫性质不交钱不让走，让开通微粒贷和花呗2.给钱了，未完成应完成的服务。</t>
  </si>
  <si>
    <t>莫名扣款</t>
  </si>
  <si>
    <t>http://ts.21cn.com/tousu/show/id/1365863</t>
  </si>
  <si>
    <t>2019/10/16 12:27:56</t>
  </si>
  <si>
    <t>莫名扣费，打电话说在线人工客服退款，但是没有客服在我线。</t>
  </si>
  <si>
    <t>招商银行委托第三方上门骚扰</t>
  </si>
  <si>
    <t>http://ts.21cn.com/tousu/show/id/1365862</t>
  </si>
  <si>
    <t>2019/10/16 12:27:02</t>
  </si>
  <si>
    <t>招商银行委托第三方处理我在招商银行信用卡欠款，第三方言语蛮横，态度强硬要上门催收，和他说月底还2000进去，这个月还4000不同意，坚持要上门！联系招商银行客服后说给我反馈，一直我接到工作人员的反馈，任由第三方自己处理！招商那边一句话也没有。</t>
  </si>
  <si>
    <t>滴滴出行忽视车主不同的问题，合并处理。</t>
  </si>
  <si>
    <t>http://ts.21cn.com/tousu/show/id/1365860</t>
  </si>
  <si>
    <t>2019/10/16 12:26:37</t>
  </si>
  <si>
    <t>投诉人赵先生投诉对象滴滴出行涉诉金额300元问题类型诉求类型投诉详情滴滴出行忽视车主不同的问题，合并处理，按导航走违章不处理，投诉率增加不处理，在热区不派单不处理，逃避，忽视各种问题。</t>
  </si>
  <si>
    <t>我要维权，小二误判，判决买家全额退款！我要维权！定制商品在没有质量问题下，无理由申请退款</t>
  </si>
  <si>
    <t>http://ts.21cn.com/tousu/show/id/1365858</t>
  </si>
  <si>
    <t>2019/10/16 12:26:29</t>
  </si>
  <si>
    <t>投诉人刘女士投诉对象淘宝网涉诉金额2948元问题类型诉求类型投诉详情定制产品，淘宝买卖双方有约定时间，可是还没有到时间，买家以个人店铺装修风格有变，不要了，申请退款，但是定制商品已经做好的情况下，卖家是有权拒绝退款的，可是因为还没有到双方约定时间还不能发货，买家申请退款，卖家没有入口拒绝退款，卖家打电话咨询了淘宝热线的小二，被告知目前情况下还没有发货，淘宝后台小二无法介入，让我先点击发货，然后与买家协商，不行让小二介入，我按照小二的指引操作，可是小二在判决却与卖家未按约定时间发货拒绝了，判决买家赢，全款退款</t>
  </si>
  <si>
    <t>恒昌公司旗下恒易贷暴力催收</t>
  </si>
  <si>
    <t>http://ts.21cn.com/tousu/show/id/1365859</t>
  </si>
  <si>
    <t>2019/10/16 12:26:19</t>
  </si>
  <si>
    <t>恒昌公司勾结北京立世律师事务所，对本人软暴力催收，而这公司的史开国律师根本不配做律师，恒昌公司砍头息，暴力催收，是名副其实的吸血鬼。</t>
  </si>
  <si>
    <t>小米金融打电话给我家里人直接说我知道你家地址进行威胁</t>
  </si>
  <si>
    <t>http://ts.21cn.com/tousu/show/id/1365857</t>
  </si>
  <si>
    <t>2019/10/16 12:26:02</t>
  </si>
  <si>
    <t>小米金融对我的家人朋友进行骚扰，恐吓我家里人说我知道你家的地址，欺骗我朋友说我逾期了一千期。</t>
  </si>
  <si>
    <t>快闪卡带高利贷砍头息</t>
  </si>
  <si>
    <t>http://ts.21cn.com/tousu/show/id/1365856</t>
  </si>
  <si>
    <t>2019/10/16 12:25:23</t>
  </si>
  <si>
    <t>我在2019年6月30日在快闪卡贷借款10000元，到账后马上被扣除980，分六期还款，每月还款2135.79，相当于我借9020元，还款12814.74，利息远超出国家规定的年利率百分之36，必须降低利率！退还保费！。</t>
  </si>
  <si>
    <t>http://ts.21cn.com/tousu/show/id/1365855</t>
  </si>
  <si>
    <t>2019/10/16 12:24:49</t>
  </si>
  <si>
    <t>实际到账2700缺要还4100百多，这不算高利贷，我还是一个学生希望能给我减免高额利息，他们说是征信报告费，敢问什么费用这么高，我压力太大了，作为一名学生真的承受不住。</t>
  </si>
  <si>
    <t>骚扰暴力催收</t>
  </si>
  <si>
    <t>http://ts.21cn.com/tousu/show/id/1365854</t>
  </si>
  <si>
    <t>贷上钱贷了两笔钱，一次3000还3880，一次4000还5040，两次强制性购买游戏豆1550元，个人不还豆子钱协商不成现在他们暴通讯录所有联系人，强烈要求下架，不还豆子钱，因为那豆子钱没任何用处，逾期现在每天加20利息，豆子钱也是变相高利贷。</t>
  </si>
  <si>
    <t>新意花小木钱包高利贷</t>
  </si>
  <si>
    <t>http://ts.21cn.com/tousu/show/id/1365852</t>
  </si>
  <si>
    <t>2019/10/16 12:24:03</t>
  </si>
  <si>
    <t>本人在新意花小木钱上有两笔借款，一笔2100，一笔2800，都是分四期共32天，2100那笔共还款3次总金额2300多，早已超出借款本金以及合法利息，要求第四期销账处理，另外一笔2800，本人还款一期1022.4，要求归还剩余1800后结清销账处理，但是新意花小木钱包迟迟不给我答复，并且APP无法正常还款，导致我逾期，我无力承担这高额逾期费用。</t>
  </si>
  <si>
    <t>投诉翼勋暴力催收</t>
  </si>
  <si>
    <t>http://ts.21cn.com/tousu/show/id/1365853</t>
  </si>
  <si>
    <t>2019/10/16 12:23:58</t>
  </si>
  <si>
    <t>2017年在翼勋借款到账11万，中间都是按时还款，后来翼勋这边不知道怎么回事就联系不上还款也还不进去，一直到现在突然有人联系要求还款，说补齐欠款，因为家庭原因和工作原因无法还款那么多，催收人员不依不饶，天天骚扰，给家里人朋友和单位同事频繁打电话辱骂，我是有还款意向只是暂时困难，也在想办法，但是如果这样催收那还不如不还，等着你们费尽周折去起诉。</t>
  </si>
  <si>
    <t>钱橙无忧恶意从银行卡扣款</t>
  </si>
  <si>
    <t>http://ts.21cn.com/tousu/show/id/1365851</t>
  </si>
  <si>
    <t>2019/10/16 12:23:42</t>
  </si>
  <si>
    <t>恶意从本人银行卡扣除168元所谓的风险检测报告。</t>
  </si>
  <si>
    <t>滴滴出行虚假宣传！！</t>
  </si>
  <si>
    <t>http://ts.21cn.com/tousu/show/id/1365590</t>
  </si>
  <si>
    <t>2019/10/16 12:23:02</t>
  </si>
  <si>
    <t>投诉人罗先生投诉对象滴滴出行涉诉金额10000元问题类型诉求类型投诉详情滴滴出行宣传可以月入过万！上班自由！可实际情况呐，一天开13个小时车，流水200！！去掉成本吃屎都难！。</t>
  </si>
  <si>
    <t>百度有钱花骚扰</t>
  </si>
  <si>
    <t>http://ts.21cn.com/tousu/show/id/1365849</t>
  </si>
  <si>
    <t>2019/10/16 12:22:39</t>
  </si>
  <si>
    <t>尊敬的21CN聚投诉工作人员您好：我借过闪电借款，360借条，闪银，钱站借款平台，但是我借了以后除了360借条的钱还在分期还款以外，其他平台都还完了，还完以后我再也不想借网贷了，但是最近老收到百度有钱花的短信骚扰，对我产生极大的困扰。</t>
  </si>
  <si>
    <t>超高利息的网贷</t>
  </si>
  <si>
    <t>http://ts.21cn.com/tousu/show/id/1365848</t>
  </si>
  <si>
    <t>我填写了福利到手APP的借贷资料，没确定借款也不了解金额，就直接放款3000，五天的周期，结果到账1830，收取了超高利息。</t>
  </si>
  <si>
    <t>蟹老弟借款砍头息套路贷</t>
  </si>
  <si>
    <t>http://ts.21cn.com/tousu/show/id/1365847</t>
  </si>
  <si>
    <t>2019/10/16 12:22:33</t>
  </si>
  <si>
    <t>蟹老弟借款收取高额砍头息，套路贷，要求退还。</t>
  </si>
  <si>
    <t>西安银行</t>
  </si>
  <si>
    <t>http://ts.21cn.com/tousu/show/id/1365846</t>
  </si>
  <si>
    <t>2019/10/16 12:22:28</t>
  </si>
  <si>
    <t>投诉人杜静投诉对象西安银行涉诉金额1000元问题类型诉求类型投诉详情本人再西安银行京东金融贷的款，打征信报告，才发现有几期逾期，和他们客服沟通之后，他客服让我去打汇款账单看看怎么回事，我的账单是在当天还的京东系统显示第二天还的，客服说你把资料发过来给你上报看看能处理吗，过了几天客服回电话说我们这个已给你修改，过一个月可以打征信报告，我等了半个月，又给客服打电话说是不是确定给我修改了问了好多次都说修改了，确定，聊了好多次，我才把首付款给交上，一个月了，我去打征信报告还没有更新，有和客服打电话问这个情况，客服说</t>
  </si>
  <si>
    <t>要求退我买保险的钱</t>
  </si>
  <si>
    <t>http://ts.21cn.com/tousu/show/id/1365845</t>
  </si>
  <si>
    <t>2019/10/16 12:22:12</t>
  </si>
  <si>
    <t>本人在活力花平台上，借了三笔钱，在本人不知道的情况下，活力花公司帮我买了保险。</t>
  </si>
  <si>
    <t>微粒贷诱导还款不履行承诺</t>
  </si>
  <si>
    <t>http://ts.21cn.com/tousu/show/id/1365843</t>
  </si>
  <si>
    <t>2019/10/16 12:21:49</t>
  </si>
  <si>
    <t>微粒贷催收工号678254诱导我全额还款，告诉我全额还款后可以再拿出来周转，我说我可以还当期因为我还有别的需要还，她就诱导我全额说一定可以全额拿出来，于是我全额还款后电话打不通联系不到客服没人给我作出一个解释，目前造成本人多方逾期而我又没有多余的钱处理这些。</t>
  </si>
  <si>
    <t>石榴快袋借款利息过高超过国家规定</t>
  </si>
  <si>
    <t>http://ts.21cn.com/tousu/show/id/1365841</t>
  </si>
  <si>
    <t>2019/10/16 12:21:34</t>
  </si>
  <si>
    <t>借款利息过高5天高炮石榴快袋信息科技有限公司。</t>
  </si>
  <si>
    <t>广发信用卡整天打电话骚扰，也不接受协商还款</t>
  </si>
  <si>
    <t>http://ts.21cn.com/tousu/show/id/1365842</t>
  </si>
  <si>
    <t>2019/10/16 12:21:24</t>
  </si>
  <si>
    <t>本人在国外出差，不方便接电话，广发信用卡一天打一堆电话骚扰还联系家人，也不接受协商还款，最近这段时间确实经济困难，需要协商延期或者进行分期处理，否则都快撑不住了。</t>
  </si>
  <si>
    <t>无法提前结清所有欠款，且工作人员回复无法处理。</t>
  </si>
  <si>
    <t>http://ts.21cn.com/tousu/show/id/1365840</t>
  </si>
  <si>
    <t>2019/10/16 12:21:06</t>
  </si>
  <si>
    <t>投诉人 代先生        投诉对象  我来数科        涉诉金额  9 561.78 元    问题类型    诉求类型投诉详情  其他平台都可以提前还，你们就不可以。</t>
  </si>
  <si>
    <t>投诉滴滴</t>
  </si>
  <si>
    <t>http://ts.21cn.com/tousu/show/id/1365838</t>
  </si>
  <si>
    <t>2019/10/16 12:21:01</t>
  </si>
  <si>
    <t>我的资格证在8月12号就考过了，一直到现在都没有审核通过，现在派单已经开始倾斜，直接影响我的收入，这个时间也太长了。</t>
  </si>
  <si>
    <t>苏宁易购任性付催收问题</t>
  </si>
  <si>
    <t>http://ts.21cn.com/tousu/show/id/1365839</t>
  </si>
  <si>
    <t>2019/10/16 12:20:49</t>
  </si>
  <si>
    <t>投诉人刘女士投诉对象苏宁金融涉诉金额750元问题类型诉求类型投诉详情之前在苏宁易购任性付分期购买商品，到期还款，自动划扣失败，后手动处理～期间因银行问题退回欠款，后再次手动操作，电话催收说未收到款项，但本人银行卡确实有支出项目～昨天在未接到催收人员电话的情况下，苏宁方面就晚间给第三方联系人电话，而且还是两个联系人，直接严重影响骚到两位联系人的夜间休息～我想问一下，就算联系也应该先于本人联系，也不能说越过去当事人，直接找第三方人，而且还是夜间，难道不用考虑别人休息的问题吗，！！！你们催收上夜班，难道也要让无关</t>
  </si>
  <si>
    <t>拍拍贷逾期费用高得吓人</t>
  </si>
  <si>
    <t>http://ts.21cn.com/tousu/show/id/1365836</t>
  </si>
  <si>
    <t>2019/10/16 12:20:39</t>
  </si>
  <si>
    <t>因本人这两个月都是15号左右比较忙忘记还款，系统也没有自动扣款，卡里一直有钱的，造成逾期一天，510元逾期一天，费用就要25元，已经连续两个月这样子，要求退还逾期费用。</t>
  </si>
  <si>
    <t>暴力催收合同欺诈高利贷</t>
  </si>
  <si>
    <t>http://ts.21cn.com/tousu/show/id/1365835</t>
  </si>
  <si>
    <t>2019/10/16 12:20:28</t>
  </si>
  <si>
    <t>于2017年11月29号从捷信贷款23000元分33期每期1316.08元已还12期，今年2月份出车祸第一时间告知捷信延迟还款不予通过，到4月份逾期，期间查询了贷款合同发现不合理的收费，后收到催收电话现在要求我全部结清还需还款24855元，和着我还的12期连利息都没还完，我借款2.3万元出去本金利息加服务费就要20865，今天收到催收电话语气恶劣态度嚣张还要威胁我上门，本人已申请法律援助，等待你们起诉，在合规的利率上还款，2.3万元的贷款竟然要9000多的管理费，不合理的利息收费本人一分都不会承担，法院判决</t>
  </si>
  <si>
    <t>淘集集货款钱</t>
  </si>
  <si>
    <t>http://ts.21cn.com/tousu/show/id/1365832</t>
  </si>
  <si>
    <t>2019/10/16 12:20:13</t>
  </si>
  <si>
    <t>投诉人 黄先生        投诉对象  淘集集        涉诉金额  1 961 元    问题类型    诉求类型投诉详情  我七月份的提现的货款到现在都还没提出来</t>
  </si>
  <si>
    <t>拼多多平台商户误导宣传虚假信息获取钱财在赌博网站赌博</t>
  </si>
  <si>
    <t>http://ts.21cn.com/tousu/show/id/1365834</t>
  </si>
  <si>
    <t>2019/10/16 12:20:07</t>
  </si>
  <si>
    <t>说投资500每天可以分红30到88为由，在拼多多进行充值，实则是赌博游戏，前后一共骗取1300多元，拼多多平台10天了都没给处理，也没回复。</t>
  </si>
  <si>
    <t>中信银行委托第三方可使用带有威胁催收</t>
  </si>
  <si>
    <t>http://ts.21cn.com/tousu/show/id/1365830</t>
  </si>
  <si>
    <t>2019/10/16 12:20:04</t>
  </si>
  <si>
    <t>本人使用中信银行信用卡已经快两年了，由于个人原因，近期资金短缺并需出差，周转不开，态度相当差，并联系我的通讯录里的人，带有威胁性联系家人，侮辱家人，上门催款等各种方式，第三方并说中信银行已允许并同意第三方可使用不同手段，欠钱是我不对，我也在努力筹集资金，但是，你们明目张胆违规，催收视国家法律不顾，给我个人以及家人影响！。</t>
  </si>
  <si>
    <t>花转转樱桃小借套路贷</t>
  </si>
  <si>
    <t>http://ts.21cn.com/tousu/show/id/1365828</t>
  </si>
  <si>
    <t>2019/10/16 12:19:25</t>
  </si>
  <si>
    <t>我9月在花转转樱桃小借借款2100元，到账1600元。</t>
  </si>
  <si>
    <t>请退机票差价</t>
  </si>
  <si>
    <t>http://ts.21cn.com/tousu/show/id/1365827</t>
  </si>
  <si>
    <t>2019/10/16 12:19:24</t>
  </si>
  <si>
    <t>订单号：10627545680，提前2个月在携程预定国际机票，但并没有享受到提前订票的优惠，机票价格下调了￥337/人，共计￥1011，强烈要求携程退还差价，携程只会讲责任推给航司，但本人之前遇到过同样情况，当时机票是通过航司预定，航司直接给予处理，并让我享受了低价机票。</t>
  </si>
  <si>
    <t>小黑鱼科技代你还要求我带着身份证复印件，户口本，照片，去我当地分局，我到了，联系不到他们</t>
  </si>
  <si>
    <t>http://ts.21cn.com/tousu/show/id/1365826</t>
  </si>
  <si>
    <t>2019/10/16 12:19:10</t>
  </si>
  <si>
    <t>4月在小黑鱼代你还借款12000元，分6期，每期2300多，而且必须购买保险和会员才能借钱，用了几次了，之前的保险也都没退过，因为6月爷爷重病去世，家里管亲戚朋友借了很多钱，实在这两个月无力偿还，而且小黑鱼预期一天，逾期管理费用200多，利息费用一个多月也有200多，严重超过国家规定，家里在9月底把房子卖了，要到11月底或12月才能拿到房款，具体也和小黑鱼客服进行过协商，今天小黑鱼催收给我来电话，让我在三个小时内准备户口本，照片，身份证复印件到当地公安分局，我也来了，现在一直联系不到小黑鱼那边，我把录音和具</t>
  </si>
  <si>
    <t>被京东金融电话骚扰</t>
  </si>
  <si>
    <t>http://ts.21cn.com/tousu/show/id/1365825</t>
  </si>
  <si>
    <t>2019/10/16 12:18:30</t>
  </si>
  <si>
    <t>本人未在京东金融借款天天被骚扰说我紧急联系人请京东调查个人信息泄露原因。</t>
  </si>
  <si>
    <t>银生宝袒护非法商户，为境外赌博网站提供支付清算渠道</t>
  </si>
  <si>
    <t>http://ts.21cn.com/tousu/show/id/1365824</t>
  </si>
  <si>
    <t>2019/10/16 12:17:47</t>
  </si>
  <si>
    <t>以购买彩票方式赚取佣金，后来才知道是非法赌博平台，和支付清算协会沟通得知第三方支付业务应审核客户的相关信息，第三方支付公司不得向证券、期货、博彩等机构提供支付结算业务，其中80000元是经过银生宝进入的境外非法网站，导致我损失惨重，26号至今我多次联系银生宝，银生宝对我的投诉不作为，不处理，也从来没有主动联系过我来处理这件事情，主动积极的调查介入这件事情，完全不履行一个合法的公众公司所负的社会责任，本人通过中国人民银行，中国银联，和支付清算协会沟通得知，第三方支付业务应审核客户的相关信息，第三方支付公司不得</t>
  </si>
  <si>
    <t>自由魔卡贷款砍头费套路贷</t>
  </si>
  <si>
    <t>http://ts.21cn.com/tousu/show/id/1365823</t>
  </si>
  <si>
    <t>2019/10/16 12:17:44</t>
  </si>
  <si>
    <t>在自由魔卡平台借款、每次借款2000元都需要支付500元平台会员费！等于实际到账1500元还款2060！借了大概有10次！感觉遇到了套路贷！。</t>
  </si>
  <si>
    <t>交通银行暴力催收恐吓</t>
  </si>
  <si>
    <t>http://ts.21cn.com/tousu/show/id/1365820</t>
  </si>
  <si>
    <t>2019/10/16 12:17:18</t>
  </si>
  <si>
    <t>交通银行去年在没有逾期情况下，把我的卡停了，之前几个月都有还最低，后来由于个人被套路贷坑的几乎家破人亡，资金周转不过来，逾期几个月，之间也还了点，银行的钱到什么时候都得还，希望给我一点时间，协商还款，减免违约金。</t>
  </si>
  <si>
    <t>小当家能不能出现！！！！</t>
  </si>
  <si>
    <t>http://ts.21cn.com/tousu/show/id/1365821</t>
  </si>
  <si>
    <t>马上就到还款日了！前一个星期前就已经投诉小当家，主动还款都还不了！！！故意造成顾客逾期的情况特别恶劣！现在强烈要求聚投诉跟进一下可以吗，大家都是想还款再也不涉及网贷平台了！如果有知道小当家联系方式的也可以下方留言。</t>
  </si>
  <si>
    <t>马上金融安逸花暴力催收严重骚扰</t>
  </si>
  <si>
    <t>http://ts.21cn.com/tousu/show/id/1365822</t>
  </si>
  <si>
    <t>2019/10/16 12:17:11</t>
  </si>
  <si>
    <t>我因上班时间未能接听电话，安逸花工作人员对我电话轰炸，一个小时内十几个电话，严重违反催收公约的一天不超三个催收电话，这种行为严重影响到我工作。</t>
  </si>
  <si>
    <t>信而富无端扣款183.94，本人无任何操作</t>
  </si>
  <si>
    <t>http://ts.21cn.com/tousu/show/id/1365819</t>
  </si>
  <si>
    <t>2019/10/16 12:17:09</t>
  </si>
  <si>
    <t>本人于2019年10月16号早上9点05分，收到银行卡扣费183.94元，扣款方是信而富企管，本人确保无任何操作，与信而富没有任何业务来往！要求返还全部金额。</t>
  </si>
  <si>
    <t>融360伙同短贷王收取高额砍头息</t>
  </si>
  <si>
    <t>http://ts.21cn.com/tousu/show/id/1365817</t>
  </si>
  <si>
    <t>2019/10/16 12:16:37</t>
  </si>
  <si>
    <t>短贷王借款，收取高额砍头息购买商品，套路贷，要求退还。</t>
  </si>
  <si>
    <t>贷上钱以购买游戏豆为由收取高额费用，并且骚扰家人</t>
  </si>
  <si>
    <t>http://ts.21cn.com/tousu/show/id/1365815</t>
  </si>
  <si>
    <t>2019/10/16 12:16:32</t>
  </si>
  <si>
    <t>贷上钱收取贷款金额30%的金额为购买游戏豆，但是游戏豆并没有到帐或者看到有地方用，贷上钱变相收取费用，并且在正常联系情况下打电话到联系人恐吓联系人，以及对本人名誉造成危害。</t>
  </si>
  <si>
    <t>闪银哼哼瞬瞬强制购物</t>
  </si>
  <si>
    <t>http://ts.21cn.com/tousu/show/id/1365816</t>
  </si>
  <si>
    <t>2019/10/16 12:16:22</t>
  </si>
  <si>
    <t>闪银哼哼瞬瞬借款强制购物，强制购买担保凭证，收取砍头息。</t>
  </si>
  <si>
    <t>客服不处理，不反馈，无视投诉，敷衍对待</t>
  </si>
  <si>
    <t>http://ts.21cn.com/tousu/show/id/1365814</t>
  </si>
  <si>
    <t>2019/10/16 12:15:42</t>
  </si>
  <si>
    <t>由于对于7月的还款有纠纷，9月拨打平安银行进行询问并希望对方能积极协商处理，平安银行委派了一名姓由的经理来和我沟通，两次沟通对方故意在晚上8,9点钟进行，且在明确表示自己没有权限处理的情况下翻来覆去重复他无权进行操作的话来回1个多小时，严重浪费客户的休息时间，我让对方转达有权限处理的人员前来沟通处理，但对方迟迟不愿意，同时在9月底告知已将此事上报银监会，会安排三方协调，但是至今为止没有任何第三方来和我协调，严重怀疑此说法的真实性，同时我也向他告知了由于负责我这笔贷款业务的客服经理对于贷后服务的不作为，导致可</t>
  </si>
  <si>
    <t>快闪卡贷（小闪分期）与中国人保合作，以借款名义兜售保险，收取高额砍头息费用</t>
  </si>
  <si>
    <t>http://ts.21cn.com/tousu/show/id/1365813</t>
  </si>
  <si>
    <t>2019/10/16 12:15:33</t>
  </si>
  <si>
    <t>快闪卡贷,中国人民保险集团,中国光大银行苏州分行,小闪分期，本人在2019年4月24日在快闪卡贷现改名为小闪分期平台借款15000元，月还款3000元，分六期还完，本息合计18000元，然而放款时却发现只到账了12626.45元，余下的2373.55元被快闪卡贷强行购买了中国人保的两份保险业务，其中一份为“保福满屋”城市家庭组合保险，金额为2220元，而另外一份保险为个人贷款保证保险，也就是所谓的“代偿”，金额为153.55元，本人实在难以理解，借款时为何要捆绑销售保险业务，况且已经购买了个人贷款保证保险，</t>
  </si>
  <si>
    <t>http://ts.21cn.com/tousu/show/id/1365812</t>
  </si>
  <si>
    <t>2019/10/16 12:14:58</t>
  </si>
  <si>
    <t>投诉人 梁先生        投诉对象  钱站        涉诉金额  2 000 元    问题类型    诉求类型投诉详情  借款2000 三个月一共要还3600 现在已经还了两期2400了 利息费真的太高了</t>
  </si>
  <si>
    <t>软件问题造成预期客服电话打不通</t>
  </si>
  <si>
    <t>http://ts.21cn.com/tousu/show/id/1365811</t>
  </si>
  <si>
    <t>2019/10/16 12:13:30</t>
  </si>
  <si>
    <t>本人在钱老哥心意贷平台贷款2800元到账金额，分4期还每7天为一期，每一期还1026元，以还完三期第四期因平台问题造成无法登入客服电话不通造成逾期，现投诉！。</t>
  </si>
  <si>
    <t>快递损坏不处理</t>
  </si>
  <si>
    <t>http://ts.21cn.com/tousu/show/id/1365810</t>
  </si>
  <si>
    <t>2019/10/16 12:13:20</t>
  </si>
  <si>
    <t>外包装完好，内部调料全部损坏，打电话给客服投诉五六天，没有一点处理结果，一推再推，现在打客服电话直接打不进。</t>
  </si>
  <si>
    <t>伪造律师函，群发律师函</t>
  </si>
  <si>
    <t>http://ts.21cn.com/tousu/show/id/1365809</t>
  </si>
  <si>
    <t>2019/10/16 12:13:13</t>
  </si>
  <si>
    <t>高利息，砍头息，骚扰家人和朋友，伪造律师函还群发通讯录。</t>
  </si>
  <si>
    <t>360放款确认/拒绝短信凌晨发送，损害个人利益！</t>
  </si>
  <si>
    <t>http://ts.21cn.com/tousu/show/id/1365808</t>
  </si>
  <si>
    <t>2019/10/16 12:12:54</t>
  </si>
  <si>
    <t>10.15日晚十点于360借条测试额度26000元，360借条16日凌晨5分左右自动打款并发送确认/撤销短信，严重违背生物钟作息，时间太晚，且时间太短，额度告知短信中含有不会自动打款言语。</t>
  </si>
  <si>
    <t>申请与洋钱罐协商还款</t>
  </si>
  <si>
    <t>http://ts.21cn.com/tousu/show/id/1365805</t>
  </si>
  <si>
    <t>2019/10/16 12:12:27</t>
  </si>
  <si>
    <t>投诉人刘先生投诉对象洋钱罐,现金借款涉诉金额5000元问题类型诉求类型投诉详情洋钱罐借款5000元，之前经济困难有逾期，从来都是想有钱了立马还上，5000元，已还2290.还要再还4350才能结清，利息1600多元，申请协商减免。</t>
  </si>
  <si>
    <t>马上金融说我恶意拖欠还款</t>
  </si>
  <si>
    <t>http://ts.21cn.com/tousu/show/id/1365804</t>
  </si>
  <si>
    <t>2019/10/16 12:11:55</t>
  </si>
  <si>
    <t>我在马上贷申请20000,分24期还款，一月还1330,这次第八期了，这月做生意赔了，没能力还款，马上贷催款的天天催，说几句就把电话挂断了，语速特别快，核实完身份那头就把电话挂了，然后给我紧急联系人我打电话，说我不配合他们，明明都是他们主动挂电话，我每次都有录音的，请你们马上贷对我这个个别案例一个特殊通道谢谢，我不想再接到所谓的催收的那些业务员的恶心口气的电话，刚才有一个什么部门的，说的不清楚，说要给我合同盖章，走下一个流程，我现在没能力还款，也没说不还，现在你们就算起诉我，我也拿不出来！现在一千多我还不上</t>
  </si>
  <si>
    <t>上海微客来侵占客户后台充值红包金额</t>
  </si>
  <si>
    <t>http://ts.21cn.com/tousu/show/id/1365802</t>
  </si>
  <si>
    <t>2019/10/16 12:11:41</t>
  </si>
  <si>
    <t>我于2018年10月17日给上海微客来红包二维码后台，，我一直在平台上用该公司提供的二维码贴纸进行红包扫码活动，就在今年2019年9月在登录平台时，平台显示密码错误，就在平台QQ客服进行咨询，说公司决定把我们后台停了，但是我通过他们公司运营部索要的后台充值剩余金额额为8021.6元，数据来源于2019年9月20日早上11:41分，双方进行交涉，要求我公司缴纳6000元才能继续使用该账户，随后就各种推脱，官方400电话也不接我的，和我联系的工作人员电话也长时间关机，QQ客服人员也没有回复，我在网上搜索该公司后</t>
  </si>
  <si>
    <t>信息骚扰</t>
  </si>
  <si>
    <t>http://ts.21cn.com/tousu/show/id/1365803</t>
  </si>
  <si>
    <t>2019/10/16 12:11:36</t>
  </si>
  <si>
    <t>微众银行从各方面发信息给我，说我不欠款会怎么样怎么样，每天都发，他们催收人员我已经说的很清楚目前没经济能力还款，需要等3到4个月，每天发信息已经弄的我精神分裂，我总不能去偷去抢，如果你要通知到公司可以，我难不住，没有工作就更没钱还，你们也就别指望还钱了，还有你们发的信息我都留着了，等打官司我拿出来。</t>
  </si>
  <si>
    <t>玖富万卡不合理保险费</t>
  </si>
  <si>
    <t>http://ts.21cn.com/tousu/show/id/1365801</t>
  </si>
  <si>
    <t>2019/10/16 12:11:28</t>
  </si>
  <si>
    <t>不合规网贷，请仔细审核，要求全额赔付我保费。</t>
  </si>
  <si>
    <t>松紧贷恐吓短信暴力催收</t>
  </si>
  <si>
    <t>http://ts.21cn.com/tousu/show/id/1365799</t>
  </si>
  <si>
    <t>2019/10/16 12:10:57</t>
  </si>
  <si>
    <t>恐吓短信，砍头利息，暴力催收，影响生活工作。</t>
  </si>
  <si>
    <t>投诉麦子金服不退咨询费</t>
  </si>
  <si>
    <t>http://ts.21cn.com/tousu/show/id/1365796</t>
  </si>
  <si>
    <t>2019/10/16 12:10:34</t>
  </si>
  <si>
    <t>我在麦子金服旗下的产品：名校贷白领贷，申请了6万元借款，到账48000元，其中12000元麦子金服变相的砍头息，以咨询费名义扣押，现我在有逾期后结清了该笔贷款，麦子金服不退还该12000元，请贵平台帮忙处理这种非法行为。</t>
  </si>
  <si>
    <t>MY钱包提前还款</t>
  </si>
  <si>
    <t>http://ts.21cn.com/tousu/show/id/1365798</t>
  </si>
  <si>
    <t>2019/10/16 12:10:33</t>
  </si>
  <si>
    <t>以及2019.09.16借款三次，如今前2次已经全部结清，今天为第三次借款的第一期还款日，打算提前结清，在客服致电我提醒今天是还款日之后我向客服反馈需要提前结清，并按照相关条款处理利息问题，客服表示即使提前还款也需要全部缴付，现3500元借款1个月提前结清需要还款4200多元，请问这符合哪条法律法规。</t>
  </si>
  <si>
    <t>汇中超高利贷，阴阳合同，贷款欺诈，天价砍头息</t>
  </si>
  <si>
    <t>http://ts.21cn.com/tousu/show/id/1365797</t>
  </si>
  <si>
    <t>2019/10/16 12:10:27</t>
  </si>
  <si>
    <t>投诉人龚先生投诉对象重庆汇中小额贷款公司,汇中利通,汇中普惠财富,汇中金科涉诉金额81200元问题类型诉求类型投诉详情2018年4月17日在连云港市海州区线下汇中门店借款八万元整，当时业务员约定利息11.7%，后来到账发现被骗，他们到账前扣除7017咨询费，850元审核费，13396服务费，共捏造各种名义违规收取砍头息21263元，但是到手金额只有五万元整，他们签订合同却是81263元，且还款金额是按照81263元本息进行计算，后来发现不对多次交涉，他们却要求必须按照81263进行全额还款，意思就是我借款到</t>
  </si>
  <si>
    <t>希望可以债务重组，分期还款</t>
  </si>
  <si>
    <t>http://ts.21cn.com/tousu/show/id/1365794</t>
  </si>
  <si>
    <t>2019/10/16 12:10:21</t>
  </si>
  <si>
    <t>本人由于经营不善，生意失败，导致中信银行的账单无法正常还款，看着利息一天天的增长，实在承受不住压力，希望银行可以重组分期，在我的能力范围内每月按时还款。</t>
  </si>
  <si>
    <t>http://ts.21cn.com/tousu/show/id/1365792</t>
  </si>
  <si>
    <t>2019/10/16 12:09:10</t>
  </si>
  <si>
    <t>暴力催收，我承诺今天还款，昨天已经协商好了，我只要他们给我道歉，不但没有，还一直威胁，辱骂我，还在不停的骚扰我的家人和朋友。</t>
  </si>
  <si>
    <t>杭银消费金融金利贷骚扰家人</t>
  </si>
  <si>
    <t>http://ts.21cn.com/tousu/show/id/1365793</t>
  </si>
  <si>
    <t>2019/10/16 12:09:03</t>
  </si>
  <si>
    <t>近期不断给家里亲人、朋友、同事电话催款骚扰，添加亲友微信，侵犯个人隐私。</t>
  </si>
  <si>
    <t>浦发银行信用卡电话轰炸</t>
  </si>
  <si>
    <t>http://ts.21cn.com/tousu/show/id/1365790</t>
  </si>
  <si>
    <t>2019/10/16 12:07:36</t>
  </si>
  <si>
    <t>本人在浦发银行申请了一张信用卡，因为个人原因导致逾期，现在卡片已经失效，无法登录还款，导致现在催收中心每天给我父亲进行电话轰炸，严重扰乱了家人的生活，现在要求浦发银行信用卡中心停止电话轰炸，本人承诺会于2019年11月15号之前还款！。</t>
  </si>
  <si>
    <t>闪银至尊借款暴力催收</t>
  </si>
  <si>
    <t>http://ts.21cn.com/tousu/show/id/1365789</t>
  </si>
  <si>
    <t>2019/10/16 12:06:53</t>
  </si>
  <si>
    <t>10月9日到期，今天闪银的催收电话打来，要求12点前必须还款，我告知催收工作人员本人已在向朋友借款，借款到帐后将马上归还欠款，催收人员称“这是你个人的问题，12点准时对账”，这是你个人的问题你也不想你的借款被你的家人、朋友知道吧？并核对本人的工作单位、联系人电话是否准确，威胁“你也不想你的借款被你的家人、朋友知道吧，”催收工作人员态度恶劣，存在威胁的行为，要求立即停止对本人及联系人的骚扰！。</t>
  </si>
  <si>
    <t>暴力催收，骚扰亲朋好友</t>
  </si>
  <si>
    <t>http://ts.21cn.com/tousu/show/id/1365787</t>
  </si>
  <si>
    <t>2019/10/16 12:06:32</t>
  </si>
  <si>
    <t>暴力催收，威胁恐吓，爆家人亲戚朋友电话使无法正常工作生活，违法违规，强烈要求停止一切违法行为，给出合适解释，整治违法平台，还我们一个合理解释，威胁我说不怕举报使劲举报请问你们视法律于何方，社会的毒瘤请你们停止一切违法行为！你们这样的无道德底线不怕遭报应吗，依次我们强烈要求跟进金融协会发布的条约，停止你们的暴力行为，停止你们的违法行为，停止你们的无道德底线，停止侮辱长辈，停止谩骂亲戚朋友还我们一个和谐的工作环境！。</t>
  </si>
  <si>
    <t>爆通讯录，恐吓威胁</t>
  </si>
  <si>
    <t>http://ts.21cn.com/tousu/show/id/1365788</t>
  </si>
  <si>
    <t>2019/10/16 12:06:25</t>
  </si>
  <si>
    <t>投诉人刘先生投诉对象51人品涉诉金额15000元问题类型诉求类型投诉详情51人品贷，整天爆我通讯录，给所有人打电话说我设定的联系人是他们，每天不停短信骚扰，电话骚扰，上次投诉没有任何结果，不知道还能在哪里投诉。</t>
  </si>
  <si>
    <t>饿了吗食品安全问题赔偿不合理</t>
  </si>
  <si>
    <t>http://ts.21cn.com/tousu/show/id/1365786</t>
  </si>
  <si>
    <t>2019/10/16 12:05:40</t>
  </si>
  <si>
    <t>本人在饿了么平台点餐，用餐过程中发现餐食里有瓜子壳，让人十分恶心，这已是今年第二次在外卖里吃出异物了，然而饿了么保险只赔付原价，不符合食品安全问题赔偿标准。</t>
  </si>
  <si>
    <t>京东白条外包催收公司态度恶劣威胁</t>
  </si>
  <si>
    <t>http://ts.21cn.com/tousu/show/id/1365785</t>
  </si>
  <si>
    <t>2019/10/16 12:05:03</t>
  </si>
  <si>
    <t>京东催期还未还款共额共5000多，已还1700，外包催收态度恶劣不好协商处理，最后一句话你欠不用还了，我不知道是否威胁我意思，还是它真的代表京东不用我呢。</t>
  </si>
  <si>
    <t>信用钱包提前还款要求减免一些</t>
  </si>
  <si>
    <t>http://ts.21cn.com/tousu/show/id/1365783</t>
  </si>
  <si>
    <t>2019/10/16 12:04:41</t>
  </si>
  <si>
    <t>前段时间急用钱，在信用钱包上借了4000分9期还的，现在想把钱提前还了，可是要收担保费，希望聚投诉平台能帮忙说一下把担保费减掉！。</t>
  </si>
  <si>
    <t>乱意扣款</t>
  </si>
  <si>
    <t>http://ts.21cn.com/tousu/show/id/1365781</t>
  </si>
  <si>
    <t>2019/10/16 12:04:32</t>
  </si>
  <si>
    <t>莫名其妙扣款，打电话给客服服务差，强烈要求退款。</t>
  </si>
  <si>
    <t>闪管家停止骚扰，退还借款砍头息</t>
  </si>
  <si>
    <t>http://ts.21cn.com/tousu/show/id/1365780</t>
  </si>
  <si>
    <t>2019/10/16 12:03:34</t>
  </si>
  <si>
    <t>9月15日通过云南国际信托有限公司到账1000元，扣139担保费，不肯协商还款，天天电话骚扰，到手本金861，一个月还款1060，希望贵司按国家正常费率还款销账，谢谢，并停止骚扰。</t>
  </si>
  <si>
    <t>买买乐购套路贷</t>
  </si>
  <si>
    <t>http://ts.21cn.com/tousu/show/id/1365779</t>
  </si>
  <si>
    <t>2019/10/16 12:03:19</t>
  </si>
  <si>
    <t>投诉人曾女士投诉对象买买乐购涉诉金额17445元问题类型诉求类型投诉详情我在买买乐购借款10000，分36期，现在已经还了30期，第一期还了604.08第二期开始都是580.75。</t>
  </si>
  <si>
    <t>投诉小黑鱼</t>
  </si>
  <si>
    <t>http://ts.21cn.com/tousu/show/id/1365778</t>
  </si>
  <si>
    <t>2019/10/16 12:02:55</t>
  </si>
  <si>
    <t>投诉人 于先生        投诉对象  小黑鱼科技        涉诉金额  2 400 元    问题类型    诉求类型投诉详情  本人是小黑鱼客户、现由于个人原因 今天暂时无法还款、但有还款意愿 下周内本人会把欠款还清！受到三方催收威胁 侮辱！现想和小黑鱼内部人员沟通还款时间</t>
  </si>
  <si>
    <t>立马进钱属于套路贷而且账单还款日无法还款，导致用户逾期。</t>
  </si>
  <si>
    <t>http://ts.21cn.com/tousu/show/id/1298565</t>
  </si>
  <si>
    <t>2019/10/16 12:02:18</t>
  </si>
  <si>
    <t>投诉人胡膏先生投诉对象立马进钱涉诉金额2800元问题类型诉求类型投诉详情借款2800元，分四期，周期仅为8天，每期还款1022.4元，合计还款总额4089.6元，贷款综合年利率为525.34%，属于砍头息的高利贷，而且到期无法还款，主动还款也不扣款，更换银行卡卡也无法还款，导致账单逾期增加逾期费用！。</t>
  </si>
  <si>
    <t>白领贷不合理保险</t>
  </si>
  <si>
    <t>http://ts.21cn.com/tousu/show/id/1365774</t>
  </si>
  <si>
    <t>2019/10/16 12:02:17</t>
  </si>
  <si>
    <t>名校贷，不合理保险费，现在我要求退保，请处理。</t>
  </si>
  <si>
    <t>http://ts.21cn.com/tousu/show/id/1365777</t>
  </si>
  <si>
    <t>2019/10/16 12:02:13</t>
  </si>
  <si>
    <t>投诉人 小希女士        投诉对象  玖富        涉诉金额  14 400 元    问题类型    诉求类型投诉详情  我再玖富万卡借了14400 将近快要还10000多的利息～</t>
  </si>
  <si>
    <t>银行卡无缘无故被恶意扣款</t>
  </si>
  <si>
    <t>http://ts.21cn.com/tousu/show/id/1365776</t>
  </si>
  <si>
    <t>2019/10/16 12:02:12</t>
  </si>
  <si>
    <t>投诉人 王振超        投诉对象  海南圣云可网络科技有限公司        涉诉金额  298 元    问题类型    诉求类型投诉详情  无缘无故被恶意扣款 本人毫不知情 希望退款</t>
  </si>
  <si>
    <t>骚扰加威胁，严重扰乱正常生活</t>
  </si>
  <si>
    <t>http://ts.21cn.com/tousu/show/id/1365772</t>
  </si>
  <si>
    <t>2019/10/16 12:02:06</t>
  </si>
  <si>
    <t>欠平安银行信用卡3万左右，已经还了2万多，现银行让第三方催收，不断骚扰本人的妻子单位，频繁打骚扰电话，威胁恐吓，盗用泄露个人信息，肆意在单位宣传欠款不还等行为，妻子已经从原来单位辞职，现在重新换了新单位，第三方还是找到新单位信息，不断打电话去新单位，严重影响个人生活！现在想和平安银行信用卡直接协商剩余欠款还款问题，但还是由第三方对接加骚扰威胁，投诉平安银行信用卡这种无良行为，严重影响家人正常生活，现在要求和平安银行信用卡工作人员来协商剩余欠款问题，第三方催收请退出，不要骚扰家里人！第三方是怎么频繁知道个人信</t>
  </si>
  <si>
    <t>心寒啊，我需要结清证明</t>
  </si>
  <si>
    <t>http://ts.21cn.com/tousu/show/id/1365775</t>
  </si>
  <si>
    <t>2019/10/16 12:02:02</t>
  </si>
  <si>
    <t>我要给我结清证明，我需要办贷款，几百块钱被你上征信，。</t>
  </si>
  <si>
    <t>高利贷，恶意催收拒不沟通</t>
  </si>
  <si>
    <t>http://ts.21cn.com/tousu/show/id/1365771</t>
  </si>
  <si>
    <t>2019/10/16 12:01:53</t>
  </si>
  <si>
    <t>投诉人 徐先生        投诉对象  速金服        涉诉金额  1 900 元    问题类型    诉求类型      投诉详情  恶意催收拒不沟通，高利贷。借一千要还1900还不能沟通</t>
  </si>
  <si>
    <t>http://ts.21cn.com/tousu/show/id/1365770</t>
  </si>
  <si>
    <t>2019/10/16 12:01:47</t>
  </si>
  <si>
    <t>投诉人 耿先生        投诉对象  任性分期        涉诉金额  299 元    问题类型    诉求类型投诉详情  客服不受理，而且拒不返还恶意扣费的钱。客服推脱责任</t>
  </si>
  <si>
    <t>大麦网张杰演唱会取消不退钱</t>
  </si>
  <si>
    <t>http://ts.21cn.com/tousu/show/id/1365769</t>
  </si>
  <si>
    <t>2019/10/16 12:01:44</t>
  </si>
  <si>
    <t>客服没有任何回应，12号的演唱会取消快一个礼拜了，还没有任何退款消息。</t>
  </si>
  <si>
    <t>快贷平台阻碍注销账户</t>
  </si>
  <si>
    <t>http://ts.21cn.com/tousu/show/id/1365768</t>
  </si>
  <si>
    <t>2019/10/16 12:00:57</t>
  </si>
  <si>
    <t>让我进行一下操作注销账户需要您提供一个常用邮箱，这边会在2个工作日内发送邮件给您，您需要提供正反面身份证照片跟手持身份证半身照，并打印账号注销申请表，本人签字认可回复我们，在收到您的回复邮件后的7个工作日内处理，注销成功之后您就再也无法注册使用平台及相关的产品，邮件中需要提供以下2张照片：1.身份证的正反面照片2.本人手持身份证的上半身合照，合照放大之后，证件上的信息需清晰可见，合照中的字体不能是反的，，证件具体信息及五官不能被遮挡，感谢您的支持！。</t>
  </si>
  <si>
    <t>http://ts.21cn.com/tousu/show/id/1365765</t>
  </si>
  <si>
    <t>2019/10/16 12:00:55</t>
  </si>
  <si>
    <t>之前应该注册过小额贷款，但是看到里面都是推荐平台，注册过就删除了，今天突然恶意扣款我199元的所谓的会员服务，我根本就不知情！！请早点处理，必须全额退款，！！。</t>
  </si>
  <si>
    <t>聚福钱包扣款298.5元，不退还！</t>
  </si>
  <si>
    <t>http://ts.21cn.com/tousu/show/id/1365767</t>
  </si>
  <si>
    <t>2019/10/16 12:00:50</t>
  </si>
  <si>
    <t>聚福钱包10月12日晚上十点自动扣款298.5元，主动联系客服不给及时退款！。</t>
  </si>
  <si>
    <t>平安银行恶意毁谤</t>
  </si>
  <si>
    <t>http://ts.21cn.com/tousu/show/id/1365766</t>
  </si>
  <si>
    <t>2019/10/16 12:00:47</t>
  </si>
  <si>
    <t>平安信用卡中心恶意招揽暴力催收对其家人进行辱骂。</t>
  </si>
  <si>
    <t>正合普惠要求强制结清暴力催收</t>
  </si>
  <si>
    <t>http://ts.21cn.com/tousu/show/id/1365764</t>
  </si>
  <si>
    <t>2019/10/16 12:00:16</t>
  </si>
  <si>
    <t>17年11月结款，从未逾期，前两天打电话来，要求强制结清，但是询问团贷网专案组并未有比通知，一直打电话骚扰家人和单位。</t>
  </si>
  <si>
    <t>钱站高利贷阴阳合同恶意催收</t>
  </si>
  <si>
    <t>http://ts.21cn.com/tousu/show/id/1365763</t>
  </si>
  <si>
    <t>2019/10/16 12:00:12</t>
  </si>
  <si>
    <t>今天还款日早上十点就电话打来一直催着要钱，说了在上班，中午下班了处理，电话一直打一直没停，请问你们是什么意思。</t>
  </si>
  <si>
    <t>狗移动天天短信骚扰人</t>
  </si>
  <si>
    <t>http://ts.21cn.com/tousu/show/id/1365744</t>
  </si>
  <si>
    <t>2019/10/16 12:00:05</t>
  </si>
  <si>
    <t>投诉人李超投诉对象广东移动涉诉金额0元问题类型诉求类型投诉详情狗养的………………！移动吃屎！！！！！！！。</t>
  </si>
  <si>
    <t>http://ts.21cn.com/tousu/show/id/1365760</t>
  </si>
  <si>
    <t>2019/10/16 11:59:49</t>
  </si>
  <si>
    <t>暴力催收爆通讯录威胁恐吓</t>
  </si>
  <si>
    <t>http://ts.21cn.com/tousu/show/id/1365759</t>
  </si>
  <si>
    <t>2019/10/16 11:57:58</t>
  </si>
  <si>
    <t>360借条暴力催收，爆我通讯录，联系我所有的联系人，并且威胁恐吓我的联系人，严重的骚扰了我和我联系人的生活，我会在明天22点之前处理好账单，如果在此期间再有催收爆我通讯录我会去银监会投诉的！。</t>
  </si>
  <si>
    <t>瓜子二手车恶意影响消费者正常生活</t>
  </si>
  <si>
    <t>http://ts.21cn.com/tousu/show/id/1365701</t>
  </si>
  <si>
    <t>2019/10/16 11:57:42</t>
  </si>
  <si>
    <t>瓜子二手车与本人2018年5.31号签订一份他们的保卖电子协议，之后因瓜子方过错，因不在协议的退车范围内，找借口想降低原约定价格给我本人，本人没有同意，要求退车并由相关负责人对我进行解释和道歉或进行经济赔偿，之后3天左右瓜子工作人员将车开来给我，但并没有相关负责人员对我解释道歉也未进行赔偿，因其签完签完协议预付我94000元保证金，我未归还他们，因我像他们要求的事并未履行，之后又3-4次瓜子工作人员前来协商，但未有一次有能做主的人来与我协商，最后一次他们宿迁地区新调来负责人与达成协议，但未签协议，但有协商时</t>
  </si>
  <si>
    <t>http://ts.21cn.com/tousu/show/id/1365757</t>
  </si>
  <si>
    <t>2019/10/16 11:57:12</t>
  </si>
  <si>
    <t>投诉人欧阳先生投诉对象钱站涉诉金额7480元问题类型诉求类型投诉详情2019年1月30日通过其中钱站APP申请了一笔3000元三期的贷款，总还3600多元，因为应急就感觉利息可以勉强接受，每月按时还，还清后再2019年5月1日申请了第二笔，也是金额为3000元的贷款，因为当时以为跟第一笔的一样就没有在意，每月也按时扣款，之前多收的钱我都不想说现在我要提前结清欠款并且愿意支付合理的利息，工作人员却说这是审核服务费，我都有电话录音，态度蛮横，还警告我这是最后一次联系我还款，不然会采取其他措施让我还款，之前工作人</t>
  </si>
  <si>
    <t>小米钱包存在欺诈行为</t>
  </si>
  <si>
    <t>http://ts.21cn.com/tousu/show/id/1365758</t>
  </si>
  <si>
    <t>2019/10/16 11:57:07</t>
  </si>
  <si>
    <t>小米钱包虚假宣传让消费者办理小米零钱领取22元优惠券可以抵扣话费或者其它东西，支付前确实有显示可以抵扣，但是输入支付密码完成后，并没有一分钱的抵扣，所以存在欺诈，反应给客服也不处理1.要求小米公司进行全额退款进行赔偿2，希望媒体曝光小米公司是欺诈公司3.希望工商部门严厉整治小米公司。</t>
  </si>
  <si>
    <t>http://ts.21cn.com/tousu/show/id/1365756</t>
  </si>
  <si>
    <t>2019/10/16 11:56:46</t>
  </si>
  <si>
    <t>我在你我贷借款上借了9000目前还了7000多，剩下的1300利息实在还不起了。</t>
  </si>
  <si>
    <t>你我贷高利贷暴力威胁催收</t>
  </si>
  <si>
    <t>http://ts.21cn.com/tousu/show/id/1365755</t>
  </si>
  <si>
    <t>2019/10/16 11:56:20</t>
  </si>
  <si>
    <t>今天逾期第一天、一上午开始打了很多个电话、第一通电话我就表明今天会还款、但是在上班需要等晚上下班后才有时间周转、催收人员态度恶劣、表示要爆通讯录让我通讯录的人帮我还款！超高利息本来准备慢慢还完就算了、现在我必须要投诉，改变利率，只还本金和合法利率、打电话那个催收的来道歉。</t>
  </si>
  <si>
    <t>得仕杉德为境外博彩网站提供充值通道</t>
  </si>
  <si>
    <t>http://ts.21cn.com/tousu/show/id/1365754</t>
  </si>
  <si>
    <t>2019/10/16 11:55:54</t>
  </si>
  <si>
    <t>投诉人宋先生投诉对象得仕,杉德支付涉诉金额200000元问题类型诉求类型投诉详情为境外博彩网站提供充值通道，违反福利彩票的宗旨，非法敛财。</t>
  </si>
  <si>
    <t>京东白条威胁性催收</t>
  </si>
  <si>
    <t>http://ts.21cn.com/tousu/show/id/1365753</t>
  </si>
  <si>
    <t>2019/10/16 11:55:41</t>
  </si>
  <si>
    <t>于本人在京东金融逾期，在可以和本人联系到的情况下，多次和京东协商未果，骚扰本人亲朋好友各种威胁要求还款导致本人名誉收到非常严重损害，京东催收表示要让我名誉扫地，联系村委宣传，暴力催收，异地电话不断轰炸，，不然你们这种暴力催收手段我保留法律追究权利！。</t>
  </si>
  <si>
    <t>乱扣费用</t>
  </si>
  <si>
    <t>http://ts.21cn.com/tousu/show/id/1365752</t>
  </si>
  <si>
    <t>2019/10/16 11:55:38</t>
  </si>
  <si>
    <t>没有确认订单以及电话联系私自改派，私自扣款。</t>
  </si>
  <si>
    <t>被投诉对象认定为低价而遭知识产权投诉</t>
  </si>
  <si>
    <t>http://ts.21cn.com/tousu/show/id/1365632</t>
  </si>
  <si>
    <t>2019/10/16 11:55:22</t>
  </si>
  <si>
    <t>投诉人黄女士投诉对象淘宝网,金稻旗舰店涉诉金额0元问题类型诉求类型投诉详情我店在淘宝店上销售金稻的洁面仪，大概因为出售定价低于品牌方的价格要求，而被以侵犯知识产权名义被投诉，说我盗用图片，首先，淘宝网未跟我沟通核实问题就直接删除了商品链接我表示不满，其次，我是从金稻品牌官方专营店里代销的本款，图片在金稻品牌官方专营店正常使用，如有侵权，是不是该提前告知我，让我整改，或者是处罚金稻品牌官方专营店，毕竟我不是故意用这些图片，而是供货方使用这些图，我们作为分销商才会认为他们商品页面中的图片我们也可以正常使用！下面</t>
  </si>
  <si>
    <t>钱橙无忧未经客户同意随意扣费</t>
  </si>
  <si>
    <t>http://ts.21cn.com/tousu/show/id/1365749</t>
  </si>
  <si>
    <t>2019/10/16 11:54:55</t>
  </si>
  <si>
    <t>下载软件进去后绑卡未经我同意直接扣款168元。</t>
  </si>
  <si>
    <t>李万一欠款，发短信到我手机上面，致电客服说会反馈专员与我联系，专员否认有这么一个客户叫李万一</t>
  </si>
  <si>
    <t>http://ts.21cn.com/tousu/show/id/1365750</t>
  </si>
  <si>
    <t>2019/10/16 11:54:44</t>
  </si>
  <si>
    <t>近一年多次收到关于李万一在招联的欠款电话以及短信，本人多次致电招联客服解释不认识，先如今连续几天收到关于李万一在招联欠款的短信，与今日致电客服，客服说会反馈转接专员处理，转接后工作人员否认有李万一这个客服！多次给我发送短信其中有冒充公检法等短信，冒充国家公务员，需要给我做出一个合理解释！今日我上传近日收到的短信内容，如果不解释不处理，我将投诉至银促会，以及把冒充公检法发送的逮捕短信和通话录音至派出所。</t>
  </si>
  <si>
    <t>微粒贷外包催贷公司骚扰工作单位</t>
  </si>
  <si>
    <t>http://ts.21cn.com/tousu/show/id/1365748</t>
  </si>
  <si>
    <t>2019/10/16 11:54:31</t>
  </si>
  <si>
    <t>微粒贷外包催债公司对我单位进行电话轰炸，软暴力，导致公司电话系统瘫痪。</t>
  </si>
  <si>
    <t>http://ts.21cn.com/tousu/show/id/1365747</t>
  </si>
  <si>
    <t>2019/10/16 11:54:30</t>
  </si>
  <si>
    <t>众安保险在我不知情的情况下，私自给我办了3分保险，共1886.15元，行为恶劣，希望有关部门严惩，并撤销保险退款给我。</t>
  </si>
  <si>
    <t>易安保险联合高利贷捆绑销售保险</t>
  </si>
  <si>
    <t>http://ts.21cn.com/tousu/show/id/1365742</t>
  </si>
  <si>
    <t>2019/10/16 11:53:08</t>
  </si>
  <si>
    <t>一、在及贷借款时，平台在申请时违规将借款合同与保险合同捆绑到一起，二、客户在操作借款时，操作页面无明显提示需购买保险，且保险费用从借款利息中扣除，关于保险合同的被保人、保障条款、生效时间等一概不知情，注：相关证据图片后面全部附上如不解决，将进一步向12378保监会投诉到底。</t>
  </si>
  <si>
    <t>收取高额服务费</t>
  </si>
  <si>
    <t>http://ts.21cn.com/tousu/show/id/1365743</t>
  </si>
  <si>
    <t>2019/10/16 11:52:52</t>
  </si>
  <si>
    <t>投诉人 谷先生        投诉对象  有用分期        涉诉金额  16 100 元    问题类型    诉求类型投诉详情  收取高额服务费，想把服务费去掉，，，，，</t>
  </si>
  <si>
    <t>樱桃小借套路贷，高额砍头息，巨额逾期费</t>
  </si>
  <si>
    <t>http://ts.21cn.com/tousu/show/id/1365740</t>
  </si>
  <si>
    <t>2019/10/16 11:52:19</t>
  </si>
  <si>
    <t>拒绝接受还本金，坚持让我还高额逾期费，恐吓，打通讯录。</t>
  </si>
  <si>
    <t>新网银行自己的问题，造成逾期，推卸责任</t>
  </si>
  <si>
    <t>http://ts.21cn.com/tousu/show/id/1365739</t>
  </si>
  <si>
    <t>2019/10/16 11:51:51</t>
  </si>
  <si>
    <t>新网银行自己的问题不支持招商银行还款，之前一直好好的，也不电话提前通知，现在逾期了，造成我逾期，违约金还得我承担，对不起，这个事情不给我个满意的答复，这个钱我还就不还了，最可恨的我想还款公众号都进不去。</t>
  </si>
  <si>
    <t>http://ts.21cn.com/tousu/show/id/1365665</t>
  </si>
  <si>
    <t>2019/10/16 11:51:50</t>
  </si>
  <si>
    <t>投诉人陈先生投诉对象玖富万卡涉诉金额28000元问题类型诉求类型投诉详情玖富万卡在未通知借款人的情况下，制造虚假合同，擅自添加修改借款账单让借款人还款，借款后借款人不仅需要偿还本金及正常利息，还需支付服务费以及服务费利息，以各种方式变相收取高额费用，欺骗借款人，每月偿还本金、利息、服务费以及服务费利息，按照分期等额本息方式计算，实际偿还总利息超过国家规定标准年利率。</t>
  </si>
  <si>
    <t>小花钱包逾期暴力催收</t>
  </si>
  <si>
    <t>http://ts.21cn.com/tousu/show/id/1365737</t>
  </si>
  <si>
    <t>2019/10/16 11:51:27</t>
  </si>
  <si>
    <t>因为最近发生了点状况，小花钱包逾期了几天，跟客服和催收人员解释了让宽容几天，工资发了一定还上，可是小花钱包不听解释未经允许给我家人朋友亲戚每天打电话骚扰，还发短信。</t>
  </si>
  <si>
    <t>兴业信用卡暴力催收</t>
  </si>
  <si>
    <t>http://ts.21cn.com/tousu/show/id/1365738</t>
  </si>
  <si>
    <t>2019/10/16 11:51:20</t>
  </si>
  <si>
    <t>本人由于工资不按时发放资金周转不过来导致兴业信用卡没及时还上，但期间一直有借银行催收电话，但最近催收越来越暴力，经常威胁恐吓本人要开庭起诉要联系家人，有意外情况等等...本人心理及生活已经受到严重影响，但是本人已经努力想办法还。</t>
  </si>
  <si>
    <t>http://ts.21cn.com/tousu/show/id/1365736</t>
  </si>
  <si>
    <t>2019/10/16 11:50:39</t>
  </si>
  <si>
    <t>合同写3990元实际到手3000元，当时只注意利率，没想到还有个阴阳合同，违法砍头息，我希望能按照正常，合法的利率进行归还，或者把剩下的990元补发给我。</t>
  </si>
  <si>
    <t>投诉度小满金融</t>
  </si>
  <si>
    <t>http://ts.21cn.com/tousu/show/id/1365735</t>
  </si>
  <si>
    <t>2019/10/16 11:50:24</t>
  </si>
  <si>
    <t>然后今天突然给我来条短信让我今天之内必须还上。</t>
  </si>
  <si>
    <t>信用钱包骚扰家人</t>
  </si>
  <si>
    <t>http://ts.21cn.com/tousu/show/id/1365733</t>
  </si>
  <si>
    <t>2019/10/16 11:50:08</t>
  </si>
  <si>
    <t>投诉人李鹏投诉对象信用钱包涉诉金额3000元问题类型诉求类型投诉详情信用钱包短信微信骚扰家人，以报警处理，希望有关部门重视，坚决打击这种套路贷，高利贷！。</t>
  </si>
  <si>
    <t>通联支付，分付君恶意扣款</t>
  </si>
  <si>
    <t>http://ts.21cn.com/tousu/show/id/1365734</t>
  </si>
  <si>
    <t>2019/10/16 11:50:02</t>
  </si>
  <si>
    <t>通联支付，分付君，在本人不知情的情况下恶意扣款。</t>
  </si>
  <si>
    <t>不能提前结清，借款利息高于24%</t>
  </si>
  <si>
    <t>http://ts.21cn.com/tousu/show/id/1365730</t>
  </si>
  <si>
    <t>2019/10/16 11:49:52</t>
  </si>
  <si>
    <t>高利贷，现需要调整利率，在不收服务费用，提前还清手续费的前提下，如我提前还清账单，还清以后，请给我开结清证明。</t>
  </si>
  <si>
    <t>宜信普惠恶意催收</t>
  </si>
  <si>
    <t>http://ts.21cn.com/tousu/show/id/1365729</t>
  </si>
  <si>
    <t>2019/10/16 11:48:42</t>
  </si>
  <si>
    <t>恶意催收，竟然打电话到公司投诉我骚扰我没办法正常生活。</t>
  </si>
  <si>
    <t>http://ts.21cn.com/tousu/show/id/1365728</t>
  </si>
  <si>
    <t>2019/10/16 11:48:33</t>
  </si>
  <si>
    <t>没能力一下还完！想着先还一点！不还款电话还没那么多！刚还款进去电话就不断！一会二十个电话了！不让还了吗。</t>
  </si>
  <si>
    <t>情人花借款app</t>
  </si>
  <si>
    <t>http://ts.21cn.com/tousu/show/id/1365702</t>
  </si>
  <si>
    <t>今天收到一条短信，点开进入让下载一款名为情人花的app，下载后让注册登记，填写个人信息，在本人无知的情况下就填写了个人信息及银行卡号，结果被他们不知道用什么手段划走我银行卡内288元，多次索要退回，他们都不给退。</t>
  </si>
  <si>
    <t>我来贷2天预期费用200元</t>
  </si>
  <si>
    <t>http://ts.21cn.com/tousu/show/id/1365726</t>
  </si>
  <si>
    <t>2019/10/16 11:48:23</t>
  </si>
  <si>
    <t>昨日已进行支付宝还款因为我来贷一直微信余额还款我来贷已停止微信还款我不知道，昨日还款之后我来贷说我预期2天要200的预期费用这和高炮有啥区别。</t>
  </si>
  <si>
    <t>爱又米高利贷</t>
  </si>
  <si>
    <t>http://ts.21cn.com/tousu/show/id/1365725</t>
  </si>
  <si>
    <t>2019/10/16 11:48:01</t>
  </si>
  <si>
    <t>1、爱又米虚假宣传，号称循环借款，却无法续借2、高利贷，1年左右时间，循环利息已有六七千之多，如首期资金管理费、担保费、手续费亦有两三千。</t>
  </si>
  <si>
    <t>http://ts.21cn.com/tousu/show/id/1365724</t>
  </si>
  <si>
    <t>2019/10/16 11:47:28</t>
  </si>
  <si>
    <t>申请退还押金已经三个月了，一直没收到退款，客服也联系不上。</t>
  </si>
  <si>
    <t>轻松贷是套路贷</t>
  </si>
  <si>
    <t>http://ts.21cn.com/tousu/show/id/1365617</t>
  </si>
  <si>
    <t>2019/10/16 11:47:06</t>
  </si>
  <si>
    <t>后来轻松通过两万借款！等放款的时候说我账号错误，我一看合同账号被他们改了一个数字！我找客服处理就说资金冻结了，需要提供本人身份证，银行卡解冻，然后电话给我说还要打百分之二十的资金到卡里，不然的话我要承担两万的损失！因为我原因导致的，我说不处理，就恐吓我，让我有本事报警，他们也会找法务处理！摆明就有问题！。</t>
  </si>
  <si>
    <t>平安普惠协商</t>
  </si>
  <si>
    <t>http://ts.21cn.com/tousu/show/id/1365722</t>
  </si>
  <si>
    <t>2019/10/16 11:46:54</t>
  </si>
  <si>
    <t>投诉人 王先生        投诉对象  平安普惠        涉诉金额  1 765 元    问题类型    诉求类型投诉详情  货款没结账 合作那么久了 不能商量吗 这周末就能处理了</t>
  </si>
  <si>
    <t>众安保险未经本人同意私自上保险</t>
  </si>
  <si>
    <t>http://ts.21cn.com/tousu/show/id/1365721</t>
  </si>
  <si>
    <t>2019/10/16 11:46:38</t>
  </si>
  <si>
    <t>众安保险在未经我同意的情况下，私自上保险，行为恶劣，。</t>
  </si>
  <si>
    <t>淘宝系统售假误判，申诉材料齐全居然依然处罚</t>
  </si>
  <si>
    <t>http://ts.21cn.com/tousu/show/id/1365546</t>
  </si>
  <si>
    <t>2019/10/16 11:46:21</t>
  </si>
  <si>
    <t>投诉人张先生投诉对象淘宝网涉诉金额5000元问题类型诉求类型投诉详情违规如下违规时间：2019-10-1323:13违规案例：，成交行为等表明涉嫌发布假冒、盗版商品仅凭系统判定就把商品删除了，300多订单未经过卖家之手，全部退款，已发货的订单，买家一旦申请退货退款，系统随即同意退款，致使买家不用退货就能收到退款，通过信息层面判断卖家出售假冒、盗版商品违规原因：商品信息、店铺信息、成交行为等表明，涉嫌发布假冒、盗版商品仅凭系统判定就把商品删除了，300多订单未经过卖家之手，全部退款，已发货的订单，买家一旦申请</t>
  </si>
  <si>
    <t>威胁辱骂，上门崔收，还要打人</t>
  </si>
  <si>
    <t>http://ts.21cn.com/tousu/show/id/1365719</t>
  </si>
  <si>
    <t>2019/10/16 11:46:16</t>
  </si>
  <si>
    <t>恒易贷委托第三方上门威胁辱骂，打人，口气非常嚣张，随口就骂。</t>
  </si>
  <si>
    <t>http://ts.21cn.com/tousu/show/id/1365720</t>
  </si>
  <si>
    <t>2019/10/16 11:46:15</t>
  </si>
  <si>
    <t>对方多次打电话给亲朋好友打骚扰电话，高血压都犯了。</t>
  </si>
  <si>
    <t>联动pos押金不退</t>
  </si>
  <si>
    <t>http://ts.21cn.com/tousu/show/id/1365718</t>
  </si>
  <si>
    <t>2019/10/16 11:44:44</t>
  </si>
  <si>
    <t>投诉人崔熙麟熙麟投诉对象联动优势涉诉金额300元问题类型诉求类型投诉详情2019年2月18日开户当时承诺押金300元刷卡达标120万退回2019年8月达标后多次联系代理及其公司都以公司破产支付公司不给退为由拒绝退还押金要求退还押金300元。</t>
  </si>
  <si>
    <t>凡普信催收恐吓，威胁</t>
  </si>
  <si>
    <t>http://ts.21cn.com/tousu/show/id/1365717</t>
  </si>
  <si>
    <t>2019/10/16 11:44:19</t>
  </si>
  <si>
    <t>凡普信催收暴力催收，发恐吓信息，要我家里爸妈和孩子准备好钱等他们，严重的事情黑社会性质，希望对这种暴力犯罪行为给予严惩。</t>
  </si>
  <si>
    <t>火鸟教育腾讯课堂旗下鼎晟商学院虚假宣传课程质量差不完整霸王条款不予退款</t>
  </si>
  <si>
    <t>http://ts.21cn.com/tousu/show/id/1365714</t>
  </si>
  <si>
    <t>2019/10/16 11:44:09</t>
  </si>
  <si>
    <t>10月2号我通过随风老师分享的直播链接从微信进去看了他们的直播课程，直播课程内容完后，直播老师很热心的帮我们诊断店铺之后开始宣传他们课程，说没货源的他们有蓝海产品，前期不会的他们带，现在她要招收3名弟子，原价3888的课程学费现在给你们优惠1000元，只要领了她的优惠券现在只要2888元，不想当她徒弟的不要领，宣传完她说还有没有人想要诊断店铺，我就是在这时候开始上当的吧，她也帮我诊断了店铺，之后她说想不想当她徒弟，我说想，她在直播课程下发的优惠券我领不了，她就主动加了我微信，给了我优惠券链接，课程报名链接，</t>
  </si>
  <si>
    <t>无故扣取银行卡168元</t>
  </si>
  <si>
    <t>http://ts.21cn.com/tousu/show/id/1365713</t>
  </si>
  <si>
    <t>2019/10/16 11:44:02</t>
  </si>
  <si>
    <t>深圳市恒富创融有限责任公司于2019年10月16号早上10:29分无故扣取本人银行卡168元。</t>
  </si>
  <si>
    <t>http://ts.21cn.com/tousu/show/id/1365715</t>
  </si>
  <si>
    <t>2019/10/16 11:43:54</t>
  </si>
  <si>
    <t>说是逾期时间较长，联系不到本人就会联系紧急联系人催收还款，今天才第一天逾期，微信上给我发了消息后马上就给我紧急联系人打了电话要求还款，给我的家人造成了严重心理负担，导致我已和家里闹翻，基本我的这个状态是已经极其恶劣，不排除会对社会造成恶意影响，心理想法严重感觉扭曲，想报复麦子金服的催收人员，希望能不再骚扰家人，可以好好协商，不要走上不归路，以至于没人活得下去。</t>
  </si>
  <si>
    <t>御剑飞行恶意欺诈高利贷</t>
  </si>
  <si>
    <t>http://ts.21cn.com/tousu/show/id/1365711</t>
  </si>
  <si>
    <t>2019/10/16 11:43:19</t>
  </si>
  <si>
    <t>未经同意该平台就下款2100，显示借款3500，第五天就催款还款3517，5天砍头息1400元，16日和该平台协商还完2100本金以及合法利息，被拒绝，希望该平台改变利率，协商解决，也希望国家解决此类非法平台。</t>
  </si>
  <si>
    <t>消除纠纷产生的逾期记录</t>
  </si>
  <si>
    <t>http://ts.21cn.com/tousu/show/id/1365710</t>
  </si>
  <si>
    <t>2019/10/16 11:42:49</t>
  </si>
  <si>
    <t>因为商品贷款问题产生借还款纠纷，现在该公司已经按要求退货退款，逾期的第一天催收人员就打电话跟我说要我还款我就很明确的告知我要求退款退货，当时我也没有得到相应还有的权利，工作人员就告诉我不可以退，一直到10月该公司的法律顾问联系我要求我还款，我也明确的告知，也是协商未果，我才寻求投诉，现在该投诉已经得到解决，但是并没有撤销逾期记录。</t>
  </si>
  <si>
    <t>淘宝售假违规，按照淘宝规则提供真实有效凭证，然而申诉不成立</t>
  </si>
  <si>
    <t>http://ts.21cn.com/tousu/show/id/1365709</t>
  </si>
  <si>
    <t>2019/10/16 11:42:41</t>
  </si>
  <si>
    <t>本人是淘宝集市商家，于2019年10月2日收到淘宝的信息层面售假违规处罚，在整理好相关凭证后于2019年10月18日10时18分提交材料给淘宝，月2019年10时29分，收到申诉收到申诉结果通知申诉不成立，然而点开违规详情显示申诉仍在审核中，请问审核小二是先给审核结果然后再审核材料吗，从提交——接待——审核——结果通知合计用了十分钟时间，完全不相信有认真对待我的申诉材料，申诉材料包含：发票，发票补开证明，经销商授权，经销商证明函发票开具方：江苏天马网络科技集团有限公司另：幸运叶子官方旗舰店，隶属于江苏天马网</t>
  </si>
  <si>
    <t>http://ts.21cn.com/tousu/show/id/1365708</t>
  </si>
  <si>
    <t>2019/10/16 11:42:32</t>
  </si>
  <si>
    <t>从你我贷借了9000，还了7000多，还差1300还清，利息实在还不起。</t>
  </si>
  <si>
    <t>京东购买的手机卡</t>
  </si>
  <si>
    <t>http://ts.21cn.com/tousu/show/id/1365679</t>
  </si>
  <si>
    <t>2019/10/16 11:42:29</t>
  </si>
  <si>
    <t>购买手机卡，商品详情页面写着首充50元送30元流量专用话费，周五激活，周天问客服，回答周末不到，又等到周二，回答晚上让我查看，今天周三还没有到，问客服，客服又改口回答三到五个工作日才到，刚才看商品页面已经没有我买的这个卡种，问联通客服，客服回答我这个就是普通大王卡，商家回复我办的卡为大王卡升级版，大旺卡，实际查询不到。</t>
  </si>
  <si>
    <t>拼多多无故冻结资金和店铺不让提现</t>
  </si>
  <si>
    <t>http://ts.21cn.com/tousu/show/id/1365707</t>
  </si>
  <si>
    <t>2019/10/16 11:42:09</t>
  </si>
  <si>
    <t>投诉人彭先生投诉对象拼多多涉诉金额29000元问题类型诉求类型投诉详情拼多多无故冻结我店铺和资金也没有违规工单让我倾家荡产也没任何答复还我血汗钱。</t>
  </si>
  <si>
    <t>牛牛贷砍头息高利贷暴力催收威胁恐吓</t>
  </si>
  <si>
    <t>http://ts.21cn.com/tousu/show/id/1365705</t>
  </si>
  <si>
    <t>2019/10/16 11:42:08</t>
  </si>
  <si>
    <t>投诉人张女士投诉对象牛牛贷涉诉金额2000元问题类型诉求类型投诉详情10月16日在牛牛贷申请借款2000元，实际到账1280元，付款方汇潮支付有限公司，今日到期要还2000元，且催收发短信打电话要求今日中午12:00前必须还款，并威胁恐吓不还款要给我通讯录群发短信，要求按国家标准利率调整还款金额，并对我本人道歉！如对我亲人朋友造成任何不良影响，一切免谈！走司法程序仲裁！催收人员电话152******35。</t>
  </si>
  <si>
    <t>立即贷改名为立即借，高利贷</t>
  </si>
  <si>
    <t>http://ts.21cn.com/tousu/show/id/1365704</t>
  </si>
  <si>
    <t>2019/10/16 11:41:52</t>
  </si>
  <si>
    <t>立即贷后来改名为立即借，是广州2345互连网小额贷款有限公司，从2019年1月9号第一次借款2000元，实际到账只有1760元，还有240的会员费借款时间是14天，1月26号还清2000元，之后2000元又借了2次，这两次实际到账1740元，会员费为260元，14天还款2000元，额度涨到2500元实际到账2200元，会员费300元，14天还款2500元，之后又涨到3100元，实际到账2695元，会员费为405元，14天还款3126.2元，最后一次额度3400元，实际到账2955元，会员费为445元，14天</t>
  </si>
  <si>
    <t>非法网贷</t>
  </si>
  <si>
    <t>http://ts.21cn.com/tousu/show/id/1365703</t>
  </si>
  <si>
    <t>2019/10/16 11:41:44</t>
  </si>
  <si>
    <t>投诉人 王先生        投诉对象  网贷        涉诉金额  0 元    问题类型    诉求类型投诉详情  发现非法高利贷一个 借款5000到账3000 六天周期的</t>
  </si>
  <si>
    <t>华夏信用卡软暴力催收</t>
  </si>
  <si>
    <t>http://ts.21cn.com/tousu/show/id/1365700</t>
  </si>
  <si>
    <t>2019/10/16 11:41:17</t>
  </si>
  <si>
    <t>本人华夏信用卡确实逾期，之前他们打电话我也说了等中信银行信用卡处理完了再来处理，也就1-2个月之内的事情，并没有说不处理，后来再次打电话逼着要还，还说来公司或者家里问情况，去村里找主任之类的话软暴力瞎呼我，后来到处打电话去公司先同事和领导叫他们转告我，工作也丢了，脸面也丢了，请问华夏银行信用卡你们请的第3方所谓合法的催收公司这样合理吗，跟他们沟通说我电话打不通所以打公司的，请问是真的打不通吗我可以发他们打电话给我的记录，每次打电话都有侮辱我说什么我我们这些社会最低层人之类的证据录音都有，请问欠款的人都是社会</t>
  </si>
  <si>
    <t>http://ts.21cn.com/tousu/show/id/1365699</t>
  </si>
  <si>
    <t>2019/10/16 11:40:58</t>
  </si>
  <si>
    <t>暴力催收真的很可恨……难道银监局都是摆设吗。</t>
  </si>
  <si>
    <t>情人花网络贷款app胡乱扣款</t>
  </si>
  <si>
    <t>http://ts.21cn.com/tousu/show/id/1365698</t>
  </si>
  <si>
    <t>2019/10/16 11:40:57</t>
  </si>
  <si>
    <t>情人花网络贷款app特约安庆盛通信息科技有限公司在本人不知情情况下从本人卡里划扣288元，现申请退款，请予以支持。</t>
  </si>
  <si>
    <t>闪到、米融长期无法登录也无法还款，APP好了请通知我下载还款</t>
  </si>
  <si>
    <t>http://ts.21cn.com/tousu/show/id/1365697</t>
  </si>
  <si>
    <t>2019/10/16 11:40:50</t>
  </si>
  <si>
    <t>315曝光后无法下载登录APP还款、担心长期预期了引起不必要麻烦，app恢复了清联系我。</t>
  </si>
  <si>
    <t>高炮太坑人</t>
  </si>
  <si>
    <t>http://ts.21cn.com/tousu/show/id/1365694</t>
  </si>
  <si>
    <t>2019/10/16 11:39:37</t>
  </si>
  <si>
    <t>投诉人李先生投诉对象V客钱包涉诉金额1600元问题类型诉求类型投诉详情我借款时候显示2500，实际到账1600，而且联系不到客服，到了还款日让我还2500，那900多哪里去了。</t>
  </si>
  <si>
    <t>拼多多商家未按约定时间发货</t>
  </si>
  <si>
    <t>http://ts.21cn.com/tousu/show/id/1365693</t>
  </si>
  <si>
    <t>2019/10/16 11:39:33</t>
  </si>
  <si>
    <t>商家未按约定发货，希望赔偿我无门槛20红包。</t>
  </si>
  <si>
    <t>深圳市桔子创意有限公司欺诈消费者忽然失联找不到任何可以联系的方式</t>
  </si>
  <si>
    <t>http://ts.21cn.com/tousu/show/id/1365692</t>
  </si>
  <si>
    <t>2019/10/16 11:39:27</t>
  </si>
  <si>
    <t>本人于6月25日找深圳市桔子创意有限公司做百度百科词条，该公司未完成我所提出的需求就在7月20日左右失去联系，不理会我所发的任何信息，联系该公司官网的工作人员，，也是回复了一句话，过了两天就不回复也不再提供我所需要的服务，该公司已经涉嫌欺诈消费者，不退款不理人也不提供相应的服务。</t>
  </si>
  <si>
    <t>你我贷逾期一天爆通讯录</t>
  </si>
  <si>
    <t>http://ts.21cn.com/tousu/show/id/1365690</t>
  </si>
  <si>
    <t>2019/10/16 11:38:59</t>
  </si>
  <si>
    <t>本人于你我贷APP的972元借款在2019年10月15日逾期一天后，于10月16日早上9点04分后开始收到你我贷催收人员4通电话，本人跟催收协商下午五点前还款，催收不但不同意，而且态度恶劣，执意要求10点前必须处理，并且威胁电话联系本人亲友，后经亲友反应，你我贷在能联系到本人、并且未取得本人同意的前提下联系本人亲友并散布个人借款信息。</t>
  </si>
  <si>
    <t>农村取暖问题</t>
  </si>
  <si>
    <t>http://ts.21cn.com/tousu/show/id/1365689</t>
  </si>
  <si>
    <t>2019/10/16 11:37:53</t>
  </si>
  <si>
    <t>我是保定市徐水县正村乡于坊村村民，从17年乡村改造天然气，积极参与后从17年每个户口本领取一个壁挂炉，结果数量不够，没办法又自己从新安装的燃煤炉子，到了18年还是迟迟没有解决，后来听别人说需要自己买，可这是当初是因为相关政策改造，现在无人问津，请贵平台帮忙解决，我代替于坊村父老乡亲感激不尽。</t>
  </si>
  <si>
    <t>途虎订单取消不退款</t>
  </si>
  <si>
    <t>http://ts.21cn.com/tousu/show/id/1365532</t>
  </si>
  <si>
    <t>2019/10/16 11:37:49</t>
  </si>
  <si>
    <t>投诉人张先生投诉对象途虎涉诉金额389元问题类型诉求类型投诉详情2019-10-15日18点22分在途虎APP下单购买汽车胎压监测，因后考虑安装原装的胎压监测，于2019年10月15日22:30分左右申请取消订单后，客服承诺1-3个工作日退款，但是于2019-10-16日查询未收款退款，再次询问客服，客服承诺1-3个工作日退款，，客服总是搪塞不退款，我当天取消订单，货都还没发，要我一直等，他们这是霸王条款，现投诉希望得到帮助，谢谢！。</t>
  </si>
  <si>
    <t>http://ts.21cn.com/tousu/show/id/1365688</t>
  </si>
  <si>
    <t>2019/10/16 11:37:11</t>
  </si>
  <si>
    <t>714高炮，借400到账300元14天还520元，一直循环用着还不起了，爆通讯录，恐吓家人，到现在我心理还害怕。</t>
  </si>
  <si>
    <t>垃圾货拉拉，坑钱</t>
  </si>
  <si>
    <t>http://ts.21cn.com/tousu/show/id/1365687</t>
  </si>
  <si>
    <t>2019/10/16 11:37:03</t>
  </si>
  <si>
    <t>楼底下有个货拉拉师傅和他协商搬运费都协商好了，在网上叫货拉拉，让师傅抢了叫一次被别人抢一次，叫一次被别人抢一次，叫了三次都没抢到，最后就取消了订单，一共交了三，回到最后是线下交易的，没有走过平台，平台上面写的是退款，一般十到24小时到账，现在我这个都半个月了，还没有到账，打他们客服，他们客服说我发布虚假广告。</t>
  </si>
  <si>
    <t>http://ts.21cn.com/tousu/show/id/1365686</t>
  </si>
  <si>
    <t>2019/10/16 11:35:57</t>
  </si>
  <si>
    <t>166******64私人号码致电告知是马上金融的，请问有私人号码的工作人员吗，从昨天开始，到今天，不停的打电话，已经告知本人经济状况。</t>
  </si>
  <si>
    <t>众安保险在我不知情下给我投保了份保单</t>
  </si>
  <si>
    <t>http://ts.21cn.com/tousu/show/id/1365683</t>
  </si>
  <si>
    <t>2019/10/16 11:35:54</t>
  </si>
  <si>
    <t>在我不知情的情况下为我投入一份意外险，现要求众安保险退款，全部保险费用。</t>
  </si>
  <si>
    <t>饿了么平台反馈无果，不想解决我的账号异常问题</t>
  </si>
  <si>
    <t>http://ts.21cn.com/tousu/show/id/1365684</t>
  </si>
  <si>
    <t>2019/10/16 11:35:42</t>
  </si>
  <si>
    <t>浪费我几天时间，却什么问题也没有解决，客服一再让我耐心等待，已经是一种欺骗行为，这种解决问题的方法真可恶。</t>
  </si>
  <si>
    <t>闪银催收态度差不可协商</t>
  </si>
  <si>
    <t>http://ts.21cn.com/tousu/show/id/1365682</t>
  </si>
  <si>
    <t>2019/10/16 11:35:28</t>
  </si>
  <si>
    <t>本人在闪银瞬瞬借了一笔款，实际金额为1100，变相砍头息到账金额900多，因暂时无法按时还上，与催收员协商晚点天数还款，但催收员态度恶劣，说话阴阳怪气，不给予协商，话不等我说完直接挂断电话，强制还款期限，我是闪银的老用户，以前基本都是按时或提前还款，很少有逾期，这次只能晚点还上，但不是不还，反而接到电话意思说我不想还。</t>
  </si>
  <si>
    <t>回收宝检测手机申请退回，手机麦克风坏了，不负责</t>
  </si>
  <si>
    <t>http://ts.21cn.com/tousu/show/id/1365681</t>
  </si>
  <si>
    <t>2019/10/16 11:34:58</t>
  </si>
  <si>
    <t>7，因为价格不接受，申请退回，但是签收后发现手机麦克风坏了，商家一直推卸责任，不出面解决，说我们当时没有在快递员面前当场检测，试问拿到快递，当场拆封，发现完好无损，可以正常开机，你还会留着快递员吗，说我当时没有检测麦克风，我又不是神，我能预测麦克风坏了，手机那么多功能我一一测试，客服反馈了两天也不联系我，他时间忙我时间就不宝贵，他们弄坏手机可以毫无在乎拖时间，反过来我还要天天投诉让他们回电，他们自己检测过手机，知道麦克风之前是好的，检测报告也有，现在坏了还甩锅我的原因，快递到的那天正好是周末，我呆在家里，教</t>
  </si>
  <si>
    <t>信用星球套路贷</t>
  </si>
  <si>
    <t>http://ts.21cn.com/tousu/show/id/1365680</t>
  </si>
  <si>
    <t>2019/10/16 11:34:56</t>
  </si>
  <si>
    <t>放款时扣除保费，后来电话咨询客服得知是为客户购买的前海交通意外险，属于变相砍头息，借款时并未事前声明并在借款合同内体现，属于阴阳合同，元，借款期限为30天，年化利率12.6%，收取手续费14.25元，到账1500元，放款方式为跨行转账，放款方为宁波合众芸创财富投资有限管理公司，划扣方为上海岱海金融信息服务有限公司，并非新疆前海保险，本人也未查询到保单，怀疑似变相砍头息，涉及年华利率高达418.7%，逾期两天后和催收人员协商处理，平台拒不处理，态度强硬，多次协商无果，平台在已经在和本人沟通的情况下连续多次拨打</t>
  </si>
  <si>
    <t>要求中金支付四川分公司给我个扣款理由</t>
  </si>
  <si>
    <t>http://ts.21cn.com/tousu/show/id/1365678</t>
  </si>
  <si>
    <t>2019/10/16 11:34:42</t>
  </si>
  <si>
    <t>10月14号上午8点35分52秒中金支付四川分公司在没有我本人批准允许不知情的情况下在我的银行卡中扣出3580.37元，请给出我合理的解释为什么要在我卡中扣除3580.37元，请尽快把我的钱全额退还回来。</t>
  </si>
  <si>
    <t>平安银行外包公司</t>
  </si>
  <si>
    <t>http://ts.21cn.com/tousu/show/id/1365677</t>
  </si>
  <si>
    <t>2019/10/16 11:34:13</t>
  </si>
  <si>
    <t>本人欠平安银行信用卡35000，欠债还钱天经地义，没有不还，现在平安外包公司要电话骚扰催收，亲戚朋友单位对象单位都一打遍，家人孩子个人隐私对方了如指掌，孩子在哪上学，对象单位骚扰已辞职现单位刚上岗又到处说我对象欠债各部门打电话，怎么能知道的这么多个人信息没有个人隐私弄的家人担惊受怕，母亲大病胃癌惊吓于年初过世，父亲也是身体不好，惊吓，当时我没有在家，现在只能靠单位每个月的工资维持，和还款，希望平安银行总部能给外包公司报备，得到催收的解压，。</t>
  </si>
  <si>
    <t>玖富旗下蜡笔超卡超级高利贷</t>
  </si>
  <si>
    <t>http://ts.21cn.com/tousu/show/id/1365676</t>
  </si>
  <si>
    <t>2019/10/16 11:33:45</t>
  </si>
  <si>
    <t>玖富蜡笔超卡，贷款到账金额12700，分36期，每期还款额744.74，总共还款26414.64，本金12700，利息13714.64，利率高达108%，超级高利贷。</t>
  </si>
  <si>
    <t>哆米黑卡恶意扣费没有任何前提私自扣费</t>
  </si>
  <si>
    <t>http://ts.21cn.com/tousu/show/id/1365473</t>
  </si>
  <si>
    <t>2019/10/16 11:33:30</t>
  </si>
  <si>
    <t>投诉人常女士投诉对象快捷通支付涉诉金额299元问题类型诉求类型投诉详情点开App钱就没了，联系客服昨天说不给予退款必须六个拒绝截屏才可以最后递交截图后说是今早十前会退回原账户，结果一直等都没消息，现在点开App客服联系通道也没了，看来是将我账号拉黑了，麻烦尽快处理，雪上加霜呀，严肃惩罚，而且我也报警，希望加快处理进度。</t>
  </si>
  <si>
    <t>Redmi小米手机出故障导致本人损失极大</t>
  </si>
  <si>
    <t>http://ts.21cn.com/tousu/show/id/1365675</t>
  </si>
  <si>
    <t>2019/10/16 11:33:27</t>
  </si>
  <si>
    <t>本人已经弄清楚QQ为什么冻结永久了，9.19号新买的手机红米K20pro到手，早上7.12左右在手机上登录qq，冻结7天，我当时不知道因为什么冻结的，就等了7天，然后7天后，也就是9.26日早上我一秒一秒的看着QQ终于解封，9.26日7点15分登录了QQ，到了下午又冻结了7天，一脸懵的不知道发生了什么，只好继续等，等到了9.29日，突然看到信息账号异常，我点进去，从还有4天9小时解封变成了冻结永久，原因写着涉嫌发布违规或组织相关活动，本人保证，并没有做过任何违规的事，封了永久后，我看了一下QQ安全中心，才发</t>
  </si>
  <si>
    <t>轻周转芒果筹故意让人逾期，收取高额逾期费，变相高利贷</t>
  </si>
  <si>
    <t>http://ts.21cn.com/tousu/show/id/1365674</t>
  </si>
  <si>
    <t>2019/10/16 11:32:19</t>
  </si>
  <si>
    <t>10月14日，催收人员联系我让我处理还款，说APP已经可以正常使用，客服给我减免逾期，但他说只能给我减免50%的逾期费，这样算下来我还需要还款4300元，但是我借款多到账金额只有2000元，再联系APP线上客服，他们也不处理，只会踢皮球。</t>
  </si>
  <si>
    <t>受到威胁骚扰</t>
  </si>
  <si>
    <t>http://ts.21cn.com/tousu/show/id/1365673</t>
  </si>
  <si>
    <t>2019/10/16 11:32:16</t>
  </si>
  <si>
    <t>受到威胁与骚扰，希望他们停止骚扰与威胁，并且希望拍拍贷把过高的利息与违约金免去。</t>
  </si>
  <si>
    <t>http://ts.21cn.com/tousu/show/id/1365672</t>
  </si>
  <si>
    <t>2019/10/16 11:32:07</t>
  </si>
  <si>
    <t>在贷上钱APP上借款为期一个月的2000元借款，审批额度2600元，最后发放到银行账户的只有2000元，却要求偿还2600元贷款，该公司人员称其中600元没有发放到用户的银行账户，而是以贷款通过费的形式购买了游戏豆，再以游戏豆的形式发放到了用户的APP账户，也就是说，这600元并没有转账到我的银行账户上，再让我自主选择购买游戏币，而是被该公司代币的形式作为贷款发放给了我，并要求我以现金形式还款，在此过程中，该公司涉嫌违法收取高额贷款通过费用，直接或间接为“虚拟货币”提供账户开立、登记、交易、清算、结算等产品</t>
  </si>
  <si>
    <t>闪银奇异高利贷，高额逾期费</t>
  </si>
  <si>
    <t>http://ts.21cn.com/tousu/show/id/1365671</t>
  </si>
  <si>
    <t>2019/10/16 11:32:01</t>
  </si>
  <si>
    <t>闪银奇异高额逾期费，应还款897元，逾期4天逾期费34，按照这么算，日利率0.03%，年化就是130%?请问这个是谁规定的，视国家法律为何物，而且一直打骚扰电话，严重影响个人生活和工作。</t>
  </si>
  <si>
    <t>投诉爱白条</t>
  </si>
  <si>
    <t>http://ts.21cn.com/tousu/show/id/1365669</t>
  </si>
  <si>
    <t>2019/10/16 11:31:49</t>
  </si>
  <si>
    <t>希望调整利息，我借款3800元，3个月要还5900，这个利息也太高了吧！。</t>
  </si>
  <si>
    <t>http://ts.21cn.com/tousu/show/id/1365668</t>
  </si>
  <si>
    <t>2019/10/16 11:31:43</t>
  </si>
  <si>
    <t>我是2018年11月11号，微信认识她，说我是肝血管瘤，，她可以去，我就信了，300块钱，说做一次可能做不掉，3个月以后做第二次，我说行，结果一年了，多次联系她，她也没来，我现在比点的时候还多了，她来了我想问清楚，可是她就是不来了，我不知道该怎么办，可是她还在微信骗人，还在朋友圈，宣传她的产品怎么怎么好。</t>
  </si>
  <si>
    <t>我充值会员卡并没有在会员里体现</t>
  </si>
  <si>
    <t>http://ts.21cn.com/tousu/show/id/1365670</t>
  </si>
  <si>
    <t>2019/10/16 11:31:34</t>
  </si>
  <si>
    <t>我在海口美兰机场是王金杰游说我办理贵宾卡，使用了一次后所谓的贵宾厅就已经撤出美兰机场，我要求退款，王金杰是一直在敷衍了事。</t>
  </si>
  <si>
    <t>利率过高</t>
  </si>
  <si>
    <t>http://ts.21cn.com/tousu/show/id/1365666</t>
  </si>
  <si>
    <t>2019/10/16 11:31:06</t>
  </si>
  <si>
    <t>投诉人池青投诉对象拍拍贷涉诉金额9036元问题类型诉求类型投诉详情本人借款6650还9036还了11期了，每期753，还剩最后一期，每期还本金加利息算起来利率早就超过了36%他还是一个上市公司，提前还款也要还8900多，我希望拍拍贷给我最后一期减免，我会一直投诉。</t>
  </si>
  <si>
    <t>高额砍头息</t>
  </si>
  <si>
    <t>http://ts.21cn.com/tousu/show/id/1365667</t>
  </si>
  <si>
    <t>投诉人蔡女士投诉对象现金速递,壹钱包,沃钱包涉诉金额13600元问题类型诉求类型投诉详情本人因为资金问题周转不开，所以在现金速递借款，现金速递以担保金额为由，先是收取款项，实际为砍头息后才足额放款，砍头息扣款方为平安付科技服务有限公司和联通支付有限公司，其中为平安付科技服务有限公司扣款次数最多，并为714提供支付平台，请现金速递联系并为我退回砍头息，我会后续继续国家信访，维护我个人的合法权益。</t>
  </si>
  <si>
    <t>催收打电话去公司进行骚扰</t>
  </si>
  <si>
    <t>http://ts.21cn.com/tousu/show/id/1365664</t>
  </si>
  <si>
    <t>2019/10/16 11:30:17</t>
  </si>
  <si>
    <t>打去公司诱导同事说找我办业务，实际是催收，损害个人名誉，领导询问会被开除。</t>
  </si>
  <si>
    <t>http://ts.21cn.com/tousu/show/id/1365661</t>
  </si>
  <si>
    <t>2019/10/16 11:30:00</t>
  </si>
  <si>
    <t>利息高的吓人，客服打电话过来就说些没用的，就没有一个想要协商的态度，就是我公司大，就刷流氓的，你能把宜人贷怎么样，。</t>
  </si>
  <si>
    <t>众安保险违规捆绑销售保险</t>
  </si>
  <si>
    <t>http://ts.21cn.com/tousu/show/id/1365662</t>
  </si>
  <si>
    <t>2019/10/16 11:29:45</t>
  </si>
  <si>
    <t>投诉人徐成斌投诉对象众安保险涉诉金额1200元问题类型诉求类型投诉详情一、在小赢卡贷借款时，平台在申请时违规将借款合同与保险合同捆绑到一起，二、客户在操作借款时，操作页面无明显提示需购买保险，且保险费用从借款利息中扣除，关于保险合同的被保人、保障条款、生效时间等一概不知情，本人得知名下有4笔众安保险的保单，本人要求保险公司依法立刻退还相关保险费用，注：相关证据图片后面全部附上如不解决，将进一步向12378保监会投诉到底曝光到底。</t>
  </si>
  <si>
    <t>广发银行严重恶意搔扰我的家人和朋友</t>
  </si>
  <si>
    <t>http://ts.21cn.com/tousu/show/id/1365660</t>
  </si>
  <si>
    <t>2019/10/16 11:29:26</t>
  </si>
  <si>
    <t>投诉人胡女士投诉对象广发银行委托追债公司涉诉金额30000元问题类型诉求类型投诉详情严重搔扰我家人和我家人的同事，并写说要到我家人上班的公司找他领导。</t>
  </si>
  <si>
    <t>贷上钱逾期一天骚扰家人暴力催收</t>
  </si>
  <si>
    <t>http://ts.21cn.com/tousu/show/id/1365659</t>
  </si>
  <si>
    <t>2019/10/16 11:29:11</t>
  </si>
  <si>
    <t>贷上钱在我逾期一天之后在没有和我联系的情况下打电话骚扰我的家人，暴力催收，并有很高的砍头息，借3000元到期要还款4102.43，催收态度极其恶劣，在我跟催收没有沟通完成的情况下挂断电话。</t>
  </si>
  <si>
    <t>威胁暴力辱骂</t>
  </si>
  <si>
    <t>http://ts.21cn.com/tousu/show/id/1365658</t>
  </si>
  <si>
    <t>2019/10/16 11:29:05</t>
  </si>
  <si>
    <t>投诉人 闫先生        投诉对象  信用钱包        涉诉金额  6 000 元    问题类型    诉求类型投诉详情  信用钱包暴力催收辱骂威胁 黑社会性质严重 如果家里人收到任何关于这件事情的后果 我依法蒋起诉该公司</t>
  </si>
  <si>
    <t>平安银行骚扰联系人</t>
  </si>
  <si>
    <t>http://ts.21cn.com/tousu/show/id/1365657</t>
  </si>
  <si>
    <t>2019/10/16 11:28:54</t>
  </si>
  <si>
    <t>此人打电话骚扰，说是平安银行的，说我家人借了钱，需要我归还，如我不归还，一直骚扰我，又不是我借的钱，现在对我生活造成了极大的困扰，现在需要他们对我道歉。</t>
  </si>
  <si>
    <t>收取砍头息，高利息</t>
  </si>
  <si>
    <t>http://ts.21cn.com/tousu/show/id/1365656</t>
  </si>
  <si>
    <t>2019/10/16 11:28:17</t>
  </si>
  <si>
    <t>借2000，借了七天，提前还清他们要求还2600多。</t>
  </si>
  <si>
    <t>威胁，恐吓，骚扰</t>
  </si>
  <si>
    <t>http://ts.21cn.com/tousu/show/id/1365655</t>
  </si>
  <si>
    <t>2019/10/16 11:28:14</t>
  </si>
  <si>
    <t>友信普惠贷后管理打电话来威胁，恐吓，骚扰，还在微信上威胁，扬言要打通讯电话找家人朋友麻烦，这是高利代公司吗，我已经和门店那边沟通过了人家也答剩下的过几天处理了，什么黑公司。</t>
  </si>
  <si>
    <t>恶意扣款，</t>
  </si>
  <si>
    <t>http://ts.21cn.com/tousu/show/id/1365654</t>
  </si>
  <si>
    <t>2019/10/16 11:27:52</t>
  </si>
  <si>
    <t>聚富分期，收款账户海南意源达网络科技有限公司，无缘无故滑扣我银行卡里的资金。</t>
  </si>
  <si>
    <t>后宫娴妃传对于玩家没有限定管理不严格，微信随意充值</t>
  </si>
  <si>
    <t>http://ts.21cn.com/tousu/show/id/1365653</t>
  </si>
  <si>
    <t>2019/10/16 11:26:55</t>
  </si>
  <si>
    <t>没有任何对游戏玩家年龄的限制，管理松，我们孩子拿着大人手机下载后玩游戏用大人微信充值，一次一次，都没有御没预兆，联系客服说是有实名认证，我想问下对于管理这么松的手游，为什么还要如此明目宣传，难道充值用微信不是快捷捆绑么，否则孩子怎么会用微信充值，联系客服态度强硬，没有作出任何结果。</t>
  </si>
  <si>
    <t>9月19号联通王卡助手里买的手机，9月25日申请退款到现在联通华盛电商一直不退款</t>
  </si>
  <si>
    <t>http://ts.21cn.com/tousu/show/id/1365513</t>
  </si>
  <si>
    <t>2019/10/16 11:26:50</t>
  </si>
  <si>
    <t>投诉人王志伟投诉对象联通华盛涉诉金额1098元问题类型诉求类型投诉详情在这个平台购买手机后发现并不便宜，就在公众号上申请了退货，按照流程的地址，2019/9/25我去快递站取货时没有拆直接退货，27号显示快递签收，店家承诺7天无理由退货，然而到了现在也没有给我退款，我于10月2号、6号、9号、12号多次打联通华盛电商的电话咨询，他们各种推脱就是不退，10月12号再次打过去，她们还是一样说没有完成入库，1－5个工作日退回，这个订单已经27天，自他们收到我退回的手机前后也已经19天，钱就是不退。</t>
  </si>
  <si>
    <t>http://ts.21cn.com/tousu/show/id/1365651</t>
  </si>
  <si>
    <t>2019/10/16 11:26:43</t>
  </si>
  <si>
    <t>申请贷款，款额15000，实际到账14846.45，到账后被以保险名义强制扣除了2220，账单显示15000，六个月，一个月还款3009，实际上借款12626.45，却要还18000，六个月的利息竟然高达5373.55，正常还了两期，在没有逾期情况下找客服协商还款，客服态度强硬拒绝，之后逾期打电话给我家人朋友同事，骚扰发短信威胁恐吓，口口声声说他们快闪卡贷是正规公司，光大银行放款，所有的一切都符合国家法律规定，我知道，投诉不一定有用，但是希望还是有更多受骗受害者看到，也希望聚投诉平台多曝光像快闪卡贷这样的平</t>
  </si>
  <si>
    <t>汇潮支付平台给6天高炮左右钱包，违规提供支付渠道，高利贷，砍头息！</t>
  </si>
  <si>
    <t>http://ts.21cn.com/tousu/show/id/1365650</t>
  </si>
  <si>
    <t>2019/10/16 11:26:10</t>
  </si>
  <si>
    <t>左右钱包6天高炮！违规砍头息！10月11日实际到账1430，却要还2208！10月16日到期！请聚投诉平台协助处理！因本人债务爆发，无力偿还如此之高的利息，现本人愿偿还本金+合理利息解决此事并销账处理。</t>
  </si>
  <si>
    <t>求尚德还一个公道8880元还回来吧</t>
  </si>
  <si>
    <t>http://ts.21cn.com/tousu/show/id/1365489</t>
  </si>
  <si>
    <t>2019/10/16 11:25:41</t>
  </si>
  <si>
    <t>投诉人张先生投诉对象尚德机构涉诉金额8880元问题类型诉求类型投诉详情因为时间的原因没法专升本于是我在第二天申请的退款，但是尚德工作人员一拖再拖不及时处理，导致延误期限，大约4到5天的时候售后打电话过来说是因为我的退款期限超过了24小时不能全额退款要扣除25%的手续费，一下给我扣除2220元啊！！！而且我还是贷的款，你们良心何在啊，而且，我在你们那里什么都没有学习，就要一下扣除2千多，而且时间拖延了45个工作日，拖到12月份才能够退还，你们的良心被狗吃了吗，当时，售后给我打电话的时候我在车上听得不是很清楚，</t>
  </si>
  <si>
    <t>中国银联为多个714高利贷平台提供支付渠道</t>
  </si>
  <si>
    <t>http://ts.21cn.com/tousu/show/id/1365649</t>
  </si>
  <si>
    <t>2019/10/16 11:25:21</t>
  </si>
  <si>
    <t>中国银联,广州和锋网络科技有限公司,朝阳百加得网络科技有限公司,360钱包,北京岳顺永驰电子科技有限公司,余姚市飞腾网络科技有限公司,成都云借条科技有限公司,广州志得网络科技有限公司,上海崟通文化传播有限公司，中国银联违规为714高利贷套路贷公司提供违规支付渠道不审核合作商家资质及是否合法，肆意扣除用户账户卡的资金，且长期与多个714高利贷平台公司合作，本人现将证据链收集齐全，实名制举报中国银联的不法行为，以书面形式递交证据材料，依次寄给央行北京总部、银保监会总部、中国支付清算协会等相关监管部门，同时将实名</t>
  </si>
  <si>
    <t>京东金融骚扰通讯录联系人</t>
  </si>
  <si>
    <t>http://ts.21cn.com/tousu/show/id/1365647</t>
  </si>
  <si>
    <t>2019/10/16 11:25:09</t>
  </si>
  <si>
    <t>由于本人在京东金融逾期，在可以和本人联系到的情况下，多次和京东协商未果，不断骚扰本人通讯录亲朋好友各种威胁要求还款导致本人名誉收到非常严重损害，京东催收表示要让我名誉扫地，贴告示，联系村委宣传，暴力催收，异地电话不断轰炸，，要么你们就直接用法律手段起诉，不然你们这种暴力催收手段我保留法律追究权利！。</t>
  </si>
  <si>
    <t>来电充电宝不提醒用户</t>
  </si>
  <si>
    <t>http://ts.21cn.com/tousu/show/id/1365646</t>
  </si>
  <si>
    <t>2019/10/16 11:25:02</t>
  </si>
  <si>
    <t>我于5天前因需应急借了个来电充电宝，用了几分钟后放在一个不经常用的文件袋，如此过了5天扣费达100转为购买，但期间商家一直不做任何通知、提醒，导致我被迫购买此充电宝，我认为商家没做好通知、提醒责任，需承担一部分责任，我愿支付一天20元的费用并且归还此充电宝，但商家也需退我80元。</t>
  </si>
  <si>
    <t>钱伴高利贷请求结清调整利率</t>
  </si>
  <si>
    <t>http://ts.21cn.com/tousu/show/id/1365648</t>
  </si>
  <si>
    <t>2019/10/16 11:24:57</t>
  </si>
  <si>
    <t>本人于2019年2019年7月在钱伴借款8000元，分12期，实际需还10880.04，已还两期，，其利率早已超过国家利率红线，现想申请提前结清，app内提前结清还款金额为8829.07，即剩下的10期利息仍然收取并也远超国家利率红线，希望钱伴平台积极解决，之前还的两期高利息我也不再追究，本人愿还清剩下笔数的本金。</t>
  </si>
  <si>
    <t>拼趣多平台保证金不给退还霸王条例只退一半还威胁以后打三折退款</t>
  </si>
  <si>
    <t>http://ts.21cn.com/tousu/show/id/1365644</t>
  </si>
  <si>
    <t>2019/10/16 11:24:34</t>
  </si>
  <si>
    <t>投诉人颜女士投诉对象拼趣多涉诉金额2313元问题类型诉求类型投诉详情拼趣多平台一直不给退款保证金缴纳费用2000一直没生意运营还一直推迟说下半年会有流量平台会起来最后连保证金都无法退还2000的保证金只能退一半货款也提现不了还威胁大家不及时处理可能以后就是三折退款退店不处理还霸王条例违反拼趣多平台写的规则退店还需要扣除月费，如此平台难道没有人出来治理吗没有相关条例吗。</t>
  </si>
  <si>
    <t>立借高利贷暴力催收爆通讯录</t>
  </si>
  <si>
    <t>http://ts.21cn.com/tousu/show/id/1365645</t>
  </si>
  <si>
    <t>2019/10/16 11:24:33</t>
  </si>
  <si>
    <t>投诉人杨先生投诉对象立借涉诉金额6000元问题类型诉求类型投诉详情立借平台高利贷借6000分12期要还8000多最重要的是前3期要还百分之90以上后面都是66这样跟借3期有什么区别，本人已经还了1期2800要求立借平台更改账单把国家安全利息内的本金加利息评论分开。</t>
  </si>
  <si>
    <t>你我贷收取砍头息退还</t>
  </si>
  <si>
    <t>http://ts.21cn.com/tousu/show/id/1365643</t>
  </si>
  <si>
    <t>2019/10/16 11:24:13</t>
  </si>
  <si>
    <t>投诉人刘先生投诉对象你我贷涉诉金额949元问题类型诉求类型投诉详情我于2017年12月18日在你我贷平台申请一笔7300元贷款，被收取949元的砍头息，实际到账6300元分24期每期还款376.74共计9041.76元贷款，目前我的借款全额已经还清，但是平台收取砍头息行为不合法我现在诉求退还砍头息，希望平台联系我解决问题，如果无视或者敷衍我将继续向政府金融监管部门投诉砍头息问题。</t>
  </si>
  <si>
    <t>http://ts.21cn.com/tousu/show/id/1365642</t>
  </si>
  <si>
    <t>2019/10/16 11:23:51</t>
  </si>
  <si>
    <t>投诉人周先生投诉对象和信涉诉金额22000元问题类型诉求类型投诉详情2018年在和信门店申请了2.2万，合同要签3.3万.每个月要还1070x36个月，在2019年10月逾期几天，南京催收025-86945083，这个客服疯狂打电话，电话接通张口就骂，我都录音下来了。</t>
  </si>
  <si>
    <t>浦发催收打电话频繁，还给我朋友们打电话</t>
  </si>
  <si>
    <t>http://ts.21cn.com/tousu/show/id/1365640</t>
  </si>
  <si>
    <t>2019/10/16 11:23:44</t>
  </si>
  <si>
    <t>浦发催收真的是大清早就开始打电话，我开个会电话都是一直响，打电话给我朋友们，我的情况她也和我朋友了解过了，还叫我回家问父母借钱给我还，我的债务是我个人的，我自己会承担，而且这边也是在处理中，我也不想找什么借口，你们要是不信可以查。</t>
  </si>
  <si>
    <t>捷信高额利息逼死借款人</t>
  </si>
  <si>
    <t>http://ts.21cn.com/tousu/show/id/1365639</t>
  </si>
  <si>
    <t>2019/10/16 11:23:21</t>
  </si>
  <si>
    <t>我表妹崔女士16年在云南景谷她爱人使用她的身份在捷信公司借款4.5万，分54期还完，每期1865.43元，目前已经还款34期，还款金额6.3万左右，并无逾期情况，崔女士生活在一个四线城市每月收入三千左右，除了还贷还需要抚养一个孩子，现亲属要求讨回公道停止高息，并赔偿受害人医疗费、精神损失费，以及多偿还的利息，两年前崔女士离异，因捷信的高额利息无法偿还，得了忧郁症，在2019年9月25日留下遗书和一个孩子后失踪，隔日后被告知崔女士跳河自杀被救起，现亲属要求讨回公道，停止高息，并赔偿受害人医疗费、精神损失费，以</t>
  </si>
  <si>
    <t>人人贷，黑心网贷</t>
  </si>
  <si>
    <t>http://ts.21cn.com/tousu/show/id/1365637</t>
  </si>
  <si>
    <t>2019/10/16 11:22:53</t>
  </si>
  <si>
    <t>投诉人刘女士投诉对象人人贷涉诉金额26645元问题类型诉求类型投诉详情我要投诉的是人人贷借款平台，看到他们的广告说的是利息非常低，我就贷款20000元，一周左右登录平台，想提前还款，发现他们虽然利息不高，但是附加的手续费和服务费非常高，算下来，两万块钱分12期还，最后要还26645.04元，如果我现在要提前还款也要一次性还这些，由于自己投资失败，有很多笔借款要还，还有自己已经患有严重的抑郁症，无力偿还多余利息，所以一直有打电话沟通提前还款，并付当月利息，可是一直未回复，9月26日我向聚投网投诉他们有欺诈行为</t>
  </si>
  <si>
    <t>支付宝免密被恶意软件扣款</t>
  </si>
  <si>
    <t>http://ts.21cn.com/tousu/show/id/1365636</t>
  </si>
  <si>
    <t>2019/10/16 11:22:49</t>
  </si>
  <si>
    <t>投诉人高先生投诉对象苹果公司涉诉金额68元问题类型诉求类型投诉详情今天收到68元支付宝免密支付的短信，通过支付宝查看，是苹果商店上的一个app，叫钢琴-键盘和音乐游戏魔术块，我并没有买过这个产品，也没使用过，怀疑是被诱导安装的，请查明，单号已提交，这个免密支付在支付宝还不能直接关掉，苹果手机上要先取消订阅后才可以在支付宝关闭，整个入口都很深，一般手机玩的不好的家长根本不会取消，然后被每月扣费。</t>
  </si>
  <si>
    <t>上海拍拍贷的 从一开始爆我通讯录骚扰我正常生活 到现在上门威胁我 跟黑社会一样 要求马上停止这种行为 法院见！</t>
  </si>
  <si>
    <t>http://ts.21cn.com/tousu/show/id/1365635</t>
  </si>
  <si>
    <t>2019/10/16 11:22:40</t>
  </si>
  <si>
    <t>投诉人孙女士投诉对象拍拍贷涉诉金额0元问题类型诉求类型投诉详情上海拍拍贷从一开始就暴打各种联系人通讯录对所有人生活造成影响然后现在换了一批催收人员态度更恶劣威胁骚扰要上门还说要挨家挨户收钱这社会没有王法了。</t>
  </si>
  <si>
    <t>现金巴士不予协商</t>
  </si>
  <si>
    <t>http://ts.21cn.com/tousu/show/id/1365594</t>
  </si>
  <si>
    <t>2019/10/16 11:21:24</t>
  </si>
  <si>
    <t>投诉人张女士投诉对象现金巴士涉诉金额1100元问题类型诉求类型投诉详情我有笔借款11号到期，因为确实自己的原因导致还不上，客服人员给了5天容时期，因为我知道他们权利只有5天，所以今天上午10点我联系所谓的专员，然后就有了以下对话，首先，我没有因为他们申请不了就威胁他们，我是说我父母身体不好，如果爆通讯录这种违法行为，导致我父母犯病，或者亲朋好友都知道了，更没人借我了！反而是他们态度很强硬！我每次都提前还款，或者预约时间内还款，这次真的遇到问题了！就不予协商！我想说如果真的爆通讯录，那我就只能打报警电话，还有</t>
  </si>
  <si>
    <t>招联金融没人管了吗</t>
  </si>
  <si>
    <t>http://ts.21cn.com/tousu/show/id/1365580</t>
  </si>
  <si>
    <t>2019/10/16 11:21:10</t>
  </si>
  <si>
    <t>现在招联金融仗着招商银行横行霸道爆通讯录，第三方暴力催收威胁，利用假的律师函威胁！难道就没有人管吗，事情闹大总有人管吧……我就想问问招联金融真的就这么嚣张跋扈吗，欠债还钱天经地义的事，之前一直履行还款，就近期家里出了事，工作也丢了，瞬间没有偿还能力，客服多次打电话我也在协商，可是天S的客服牛逼的不行，没有商量的余地！直接就爆我通讯录，你把我逼死了我觉得我家里人不会让你招联好过，第三方催收的你也不好过吧！既然没人管，事情闹大总有人管吧……我就想问问，招联金融真的就这么嚣张跋扈吗。</t>
  </si>
  <si>
    <t>不要再电话轰炸</t>
  </si>
  <si>
    <t>http://ts.21cn.com/tousu/show/id/1365631</t>
  </si>
  <si>
    <t>2019/10/16 11:21:01</t>
  </si>
  <si>
    <t>投诉人 杨先生        投诉对象  安逸花（跃吉科技）,马上消费金融        涉诉金额  900 元    问题类型    诉求类型投诉详情  17号下午还上本月逾期，请不要再骚扰。狂轰滥炸耽误事。</t>
  </si>
  <si>
    <t>暴力催收恐吓威胁即分期超G会员</t>
  </si>
  <si>
    <t>http://ts.21cn.com/tousu/show/id/1365630</t>
  </si>
  <si>
    <t>2019/10/16 11:20:56</t>
  </si>
  <si>
    <t>投诉人谷先生投诉对象即分期涉诉金额30000元问题类型诉求类型投诉详情本人身受套路贷和网贷的迫害，每天无时无刻都在想到了死，即分期超G会员借款30000元分18月还，利息高达8000多。</t>
  </si>
  <si>
    <t>高利贷，砍头息借款</t>
  </si>
  <si>
    <t>http://ts.21cn.com/tousu/show/id/1365629</t>
  </si>
  <si>
    <t>2019/10/16 11:20:49</t>
  </si>
  <si>
    <t>在壹心分期借款4200元，到账只有3000元。</t>
  </si>
  <si>
    <t>平安银行恶意骚扰</t>
  </si>
  <si>
    <t>http://ts.21cn.com/tousu/show/id/1365628</t>
  </si>
  <si>
    <t>2019/10/16 11:20:39</t>
  </si>
  <si>
    <t>投诉人冯先生投诉对象‭18566470143‬涉诉金额0元问题类型诉求类型投诉详情打电话来说我家里人借了钱不还，又不是我借的，骚扰我干嘛，每一天都打，对我的生活影响很大，需要她赔偿我的精神损失。</t>
  </si>
  <si>
    <t>光大银行已还最低还款，还不停骚扰家人。</t>
  </si>
  <si>
    <t>http://ts.21cn.com/tousu/show/id/1365627</t>
  </si>
  <si>
    <t>2019/10/16 11:20:31</t>
  </si>
  <si>
    <t>投诉人盛先生投诉对象光大银行信用卡中心,光大银行涉诉金额10000元问题类型诉求类型投诉详情14号还款日，已经还了最低还款，银行还给我妈妈打电话，打了不止一个。</t>
  </si>
  <si>
    <t>立借一天拨打数十个非紧急联系人</t>
  </si>
  <si>
    <t>http://ts.21cn.com/tousu/show/id/1365626</t>
  </si>
  <si>
    <t>2019/10/16 11:20:22</t>
  </si>
  <si>
    <t>投诉人陈先生投诉对象立借涉诉金额2000元问题类型诉求类型投诉详情立借一天之内拨打了数十个非紧急联系人电话号码，暴力催收，在扫黑除恶风气还没有过去之时如此肆意妄为，我也将和深圳扫黑除恶专线联系。</t>
  </si>
  <si>
    <t>账号异常无法使用红包，无法享受优惠</t>
  </si>
  <si>
    <t>http://ts.21cn.com/tousu/show/id/1365625</t>
  </si>
  <si>
    <t>2019/10/16 11:20:11</t>
  </si>
  <si>
    <t>投诉人王先生投诉对象饿了么平台涉诉金额99元问题类型诉求类型投诉详情已经5天了，我一直在向平台反馈问题，但一直得不到满意的答复，问题始终没有解决。</t>
  </si>
  <si>
    <t>苏宁互联170号码卡乱扣费</t>
  </si>
  <si>
    <t>http://ts.21cn.com/tousu/show/id/1365623</t>
  </si>
  <si>
    <t>2019/10/16 11:19:43</t>
  </si>
  <si>
    <t>投诉人何先生投诉对象苏宁易购,苏宁互联涉诉金额75元问题类型诉求类型投诉详情我有一个苏宁互联号码2014年12月份在苏宁易购下单购买170******60购买后就给了家里父母用，刚开始是老人机，打电话扣费还是比较正常，后来今年就用不了，几番电话以后才知道要用4g手机，联通公司已经把2g信号切断了，后来我就换了个4g手机给父母，并且教会他们如何拨打电话，还告诫他们其他一律不可乱点，否则话费会扣很多，几个月还算正常，2019年10月1回老家拉了一个网线，并且设置好手机，只连接wifi，没有开启运营商数据连接，直</t>
  </si>
  <si>
    <t>你我贷拒绝取消借款，冷静期内不予终止合同</t>
  </si>
  <si>
    <t>http://ts.21cn.com/tousu/show/id/1365622</t>
  </si>
  <si>
    <t>2019/10/16 11:19:21</t>
  </si>
  <si>
    <t>10月15日，本人通过APP申领了信用额度，但并未申请借款，后你我贷工作人员还打电话询问我相关事宜，当即本人就表示费用太高，无需借款，而你我贷对借款人是否本人操作起码的验证都没有，就予以下放借款，在本人在不知情的情况下已经收到借贷款项，且与你我贷在线客服及电话客服沟通都无法取得相应的借款合同及借款审核资料，你我贷APP这样的借款流程漏洞百出，手机解锁后随便申请审核就能下放借款，没有对借款操作人进行识别或者进行电话确认，对借款人个人财产安全造成极其恶劣的影响，而且还刻意拖延及隐瞒借款合同及申请资料，同时本人对</t>
  </si>
  <si>
    <t>阴阳合同，到账与合同钱数不同</t>
  </si>
  <si>
    <t>http://ts.21cn.com/tousu/show/id/1365621</t>
  </si>
  <si>
    <t>2019/10/16 11:19:17</t>
  </si>
  <si>
    <t>我在月光侠分期借了2870十块钱，前面显示利息六百多，到账了2870，结果合同缺显示我借了3817块钱，加上利息我一共要还4400多，这样一算我利息要高达1400多，多出来的1000块钱在哪了，合同显示我借了3800多，我只到账2800多那一千块钱在哪了，请解释，要不把一千给我，要不我就只还正常利息600多。</t>
  </si>
  <si>
    <t>http://ts.21cn.com/tousu/show/id/1365620</t>
  </si>
  <si>
    <t>2019/10/16 11:18:58</t>
  </si>
  <si>
    <t>钱橙无忧，未经本人同意自动扣款，客服电话打不通，申请的款项也没有，要求退款。</t>
  </si>
  <si>
    <t>必须按照国家利息</t>
  </si>
  <si>
    <t>http://ts.21cn.com/tousu/show/id/1365619</t>
  </si>
  <si>
    <t>2019/10/16 11:18:53</t>
  </si>
  <si>
    <t>这个我可以接受，因为利息是175.1元，但是开始两期是1752.49元，本来我不想计较的，毕竟我还有三期就还完了，是他们一直骚扰我家人和朋友，所以我才开始清算这个费用的，总金额：本金+利息*12个月=12101.88元，本来不想计较的！是你们电话死命催收和骚扰我家人和朋友。</t>
  </si>
  <si>
    <t>承诺推荐一个学生返现800，推荐2个1600，现在拒绝返现</t>
  </si>
  <si>
    <t>http://ts.21cn.com/tousu/show/id/1365618</t>
  </si>
  <si>
    <t>2019/10/16 11:17:59</t>
  </si>
  <si>
    <t>1:达内西安省体的老师承诺推荐一个学生缴费返现800，2个1600，缴费之后就可以立即返现所以我在4月份的时候推荐了我的2个朋友，他们当时在上学，没办法当月上课，达内老师以当天报名立减1000的活动引导我朋友报名，说后面上课缴费的时候会从学费里减，2:在我朋友已经缴费上课2个月之后我发现钱依然没有到账，于是联系达内西安省体的老师，达内老师说不是我介绍的，并且引导我朋友说不认识我，多次骚扰我朋友，并且恐吓我说就算让他们退费都不可能给我钱，3:我打电话投诉到达内总部，说要先调查，但是他们的系统明明可以看到是我介</t>
  </si>
  <si>
    <t>http://ts.21cn.com/tousu/show/id/1365615</t>
  </si>
  <si>
    <t>2019/10/16 11:17:57</t>
  </si>
  <si>
    <t>借款3000每个月还款1500，推迟一天还就爆了通讯录催收还恐吓，并且登陆我的支付宝账号，已经侵犯了我的隐私权，请停止骚扰！。</t>
  </si>
  <si>
    <t>中腾信小花钱包阴阳合同，高利贷暴力催收，恐吓</t>
  </si>
  <si>
    <t>http://ts.21cn.com/tousu/show/id/1365614</t>
  </si>
  <si>
    <t>2019/10/16 11:17:18</t>
  </si>
  <si>
    <t>本人在小花钱包借款三笔，8月20日借款一万元，到账一万元合同金额却是12247元。</t>
  </si>
  <si>
    <t>投诉建设银行，建设银行信用卡中心</t>
  </si>
  <si>
    <t>http://ts.21cn.com/tousu/show/id/1365613</t>
  </si>
  <si>
    <t>2019/10/16 11:17:02</t>
  </si>
  <si>
    <t>投诉人曾先生投诉对象建设银行,建设银行信用卡涉诉金额11000元问题类型诉求类型投诉详情不让分期，让一次性还款一万多，现在生活紧迫，压力太大，所以想和建行协商一下还款建设银行信用卡暴力催收，恐吓。</t>
  </si>
  <si>
    <t>不合规催收</t>
  </si>
  <si>
    <t>http://ts.21cn.com/tousu/show/id/1365612</t>
  </si>
  <si>
    <t>2019/10/16 11:16:59</t>
  </si>
  <si>
    <t>投诉人王先生投诉对象信用钱包涉诉金额0元问题类型诉求类型投诉详情爆客户通讯录，并用轰炸机短信轰炸，合规催收。</t>
  </si>
  <si>
    <t>你我贷暴力催收骚扰家人</t>
  </si>
  <si>
    <t>http://ts.21cn.com/tousu/show/id/1365611</t>
  </si>
  <si>
    <t>2019/10/16 11:16:58</t>
  </si>
  <si>
    <t>投诉人杨女士投诉对象你我贷涉诉金额1815元问题类型诉求类型投诉详情本人你我贷昨天到期还款，你我贷就一直打电话并且还打电话给我的朋友及家人，已经严重影响到我与家人的关系，家中老母亲年龄已大受不住惊吓，父亲因为出了事情无法陪在母亲身边。</t>
  </si>
  <si>
    <t>光大银行电话恐吓上门催收</t>
  </si>
  <si>
    <t>http://ts.21cn.com/tousu/show/id/1365608</t>
  </si>
  <si>
    <t>2019/10/16 11:15:49</t>
  </si>
  <si>
    <t>投诉人刘先生投诉对象光大银行信用卡中心,光大银行涉诉金额20000元问题类型诉求类型投诉详情光大银行委托第三方催收员去我家恐吓我父母，我父母年纪大经不起这种恐吓，昨晚已经住院治疗！希望光大银行给我一个合理的解释而且第三方的催收人员对我进行电话恐吓。</t>
  </si>
  <si>
    <t>http://ts.21cn.com/tousu/show/id/1365609</t>
  </si>
  <si>
    <t>2019/10/16 11:15:39</t>
  </si>
  <si>
    <t>暴力催收，拒绝沟通，爆通讯录，散布谣言，态度恶劣，无视国家法律法规，恐吓，威胁，。</t>
  </si>
  <si>
    <t>北京通州一格博美美术机构拖欠工资</t>
  </si>
  <si>
    <t>http://ts.21cn.com/tousu/show/id/1365547</t>
  </si>
  <si>
    <t>2019/10/16 11:15:02</t>
  </si>
  <si>
    <t>我于19年6月8日提交的离职申请，并在对方拖欠我6月份7天工资，其中端午节当天应发三倍工资对方不予承认，一直拖欠我6月工资不发，直到上次去公司讨要，对方负责人宋静说给我转账，扬言有我的工商卡号，我没多想，就说从没给公司留过工商卡号，对方仍坚持，于是便将所谓我6月份只有上6天的工资转给了我，并给我截图，我收到截图后立刻告诉其转错人了，我没有这张工商卡，且该公司的工资卡为建设银行卡，对方亦不予承认，始终拖欠，投诉未果。</t>
  </si>
  <si>
    <t>虚假宣传、与商品描述不符</t>
  </si>
  <si>
    <t>http://ts.21cn.com/tousu/show/id/1365606</t>
  </si>
  <si>
    <t>2019/10/16 11:14:59</t>
  </si>
  <si>
    <t>投诉人汪华生投诉对象出行唯选涉诉金额1998元问题类型诉求类型投诉详情2019年10月13号下午做山东航空的飞机从兰州飞往济南的飞机，进去之后办理值机服务，自动值机台出现问题，这时一名穿着制度的服务人员帮我办理值机后，给我介绍出行唯选的会员卡办理，当时未付款之前说充值1998送1000块，并且可以用来买飞机票，而且出行唯选后期订机票价格可以优惠，今天我购买机票和高铁票，发现与当时描述严重不符，没有优惠且当时充值的1998的钱也不能用来购买机票，而且平台机票价格并没有优惠，后面我去找相关人员要求退款，之后我联</t>
  </si>
  <si>
    <t>http://ts.21cn.com/tousu/show/id/1365605</t>
  </si>
  <si>
    <t>2019/10/16 11:14:46</t>
  </si>
  <si>
    <t>投诉人 包先生        投诉对象  百度有钱花        涉诉金额  3 500 元    问题类型    诉求类型投诉详情  高利贷，停止一切的违法行为，不然法院见。</t>
  </si>
  <si>
    <t>微信钱被冻结，不给</t>
  </si>
  <si>
    <t>http://ts.21cn.com/tousu/show/id/1365604</t>
  </si>
  <si>
    <t>2019/10/16 11:14:37</t>
  </si>
  <si>
    <t>投诉人小卡女士投诉对象微信支付,微信钱包涉诉金额1970元问题类型诉求类型投诉详情我要提取微信钱包里面的钱，腾讯客服不但不给，还一直拖，不解冻我的钱，导致我的生活费全部被他们扣起来，拜托你们帮我找回我的钱。</t>
  </si>
  <si>
    <t>最近多次电话骚扰</t>
  </si>
  <si>
    <t>http://ts.21cn.com/tousu/show/id/1365603</t>
  </si>
  <si>
    <t>2019/10/16 11:14:16</t>
  </si>
  <si>
    <t>投诉人韩先生投诉对象信用钱包涉诉金额400元问题类型诉求类型投诉详情信用钱包最近多次拨打通知此类电话，，骚扰多次，今天10分钟内就拨打了两次电话。</t>
  </si>
  <si>
    <t>派发活动奖品</t>
  </si>
  <si>
    <t>http://ts.21cn.com/tousu/show/id/1365602</t>
  </si>
  <si>
    <t>2019/10/16 11:14:01</t>
  </si>
  <si>
    <t>“乒乓球王者”活动，获得总榜第二名的好成绩，照理说就应该到了下发奖品的时候，但是联通迟迟没有发出奖品，在开始投诉后，联通相关人员回复我，说被取消资格，此时我完全搞不懂是什么原因，问起原因，该相关人员完全回答不出来，只知道来回重复“被取消资格的话语”，试问以后联通搞有奖游戏小活动，到发奖品的时候是不是都来一句“取消资格”给糖塞过去，作为一个8年老用户，联通吃相真的太难看。</t>
  </si>
  <si>
    <t>还了贷款还要催收</t>
  </si>
  <si>
    <t>http://ts.21cn.com/tousu/show/id/1365601</t>
  </si>
  <si>
    <t>2019/10/16 11:13:39</t>
  </si>
  <si>
    <t>投诉人 吴先生        投诉对象  现金巴士        涉诉金额  1 090 元    问题类型    诉求类型投诉详情  不道歉怎么能答应你们申请结束投诉。而且你们让我又一次陷入套路贷。</t>
  </si>
  <si>
    <t>http://ts.21cn.com/tousu/show/id/1365600</t>
  </si>
  <si>
    <t>2019/10/16 11:13:23</t>
  </si>
  <si>
    <t>我今天到期了，但是前一段时间身体的一些原因，只能把工作辞了，然后现在工资还没开，这个月月底开支，我想把时间协商到月底，如果你们要病例啥的我都能给你们。</t>
  </si>
  <si>
    <t>套路拍卖购买商品</t>
  </si>
  <si>
    <t>http://ts.21cn.com/tousu/show/id/1365599</t>
  </si>
  <si>
    <t>2019/10/16 11:13:11</t>
  </si>
  <si>
    <t>国际拍卖有限公司涉诉金额800元问题类型诉求类型投诉详情1.交付400保证金进行拍卖2.冻结保证金参与拍卖帮忙提价当托抬一次给予6元奖励3.拍卖时间开始马上无缘无故拍中需要花800购买商品才能给予解冻400保证金！4.找客服要回不给退款及莫名其妙就被套路花800去购买商品！。</t>
  </si>
  <si>
    <t>滴滴出行客服，一句话形容什么事都推给系统判定</t>
  </si>
  <si>
    <t>http://ts.21cn.com/tousu/show/id/1365598</t>
  </si>
  <si>
    <t>2019/10/16 11:13:09</t>
  </si>
  <si>
    <t>投诉人高先生投诉对象滴滴出行涉诉金额300元问题类型诉求类型投诉详情是不是都要投诉下，才能认真对待，真的对滴滴失望了，每一笔违章都是目的地，上下客违章，客服非要说不符合，非要把事情踢给系统核实的。</t>
  </si>
  <si>
    <t>暴力催收，威胁</t>
  </si>
  <si>
    <t>http://ts.21cn.com/tousu/show/id/1365596</t>
  </si>
  <si>
    <t>2019/10/16 11:12:10</t>
  </si>
  <si>
    <t>投诉人 包先生        投诉对象  我来数科        涉诉金额  10 000 元    问题类型    诉求类型投诉详情  因资金周转不开 导致逾期 我来数科直接群发短信 威胁 既然爆通讯录 那我们只有法院见</t>
  </si>
  <si>
    <t>http://ts.21cn.com/tousu/show/id/1365595</t>
  </si>
  <si>
    <t>2019/10/16 11:11:22</t>
  </si>
  <si>
    <t>贷款80000元，实际还款高达110000。</t>
  </si>
  <si>
    <t>维信现贷扣保险不给退</t>
  </si>
  <si>
    <t>http://ts.21cn.com/tousu/show/id/1365593</t>
  </si>
  <si>
    <t>2019/10/16 11:11:19</t>
  </si>
  <si>
    <t>投诉人王丹投诉对象维信现贷,维信金科涉诉金额1299元问题类型诉求类型投诉详情维信现贷旗下维信豆豆钱，在我不知情下，扣了1299保险费，不给退，请处理。</t>
  </si>
  <si>
    <t>通联支付违规提供714平台蟹老弟支付渠道</t>
  </si>
  <si>
    <t>http://ts.21cn.com/tousu/show/id/1365592</t>
  </si>
  <si>
    <t>2019/10/16 11:10:49</t>
  </si>
  <si>
    <t>投诉人余先生投诉对象通联支付,蟹老弟涉诉金额2500元问题类型诉求类型投诉详情通联支付违规提供714平台支付渠道蟹老弟高炮平台这种砍头息严重，严重违法国家利率要求退回砍头息。</t>
  </si>
  <si>
    <t>招商银行找外包公司恐吓</t>
  </si>
  <si>
    <t>http://ts.21cn.com/tousu/show/id/1365591</t>
  </si>
  <si>
    <t>2019/10/16 11:10:36</t>
  </si>
  <si>
    <t>每个人都有周转不过来的情况，招商银行找外包公司恐吓我父母，威胁我父母。</t>
  </si>
  <si>
    <t>小闪卡贷暴力催收，以及砍头息</t>
  </si>
  <si>
    <t>http://ts.21cn.com/tousu/show/id/1365589</t>
  </si>
  <si>
    <t>2019/10/16 11:09:30</t>
  </si>
  <si>
    <t>本金18000.总利息达到7632，年利达到：76%，暴力催收联系亲朋友好友，希望能有个很好的协商。</t>
  </si>
  <si>
    <t>骚扰通讯录，逾期3天罚息每天100，</t>
  </si>
  <si>
    <t>http://ts.21cn.com/tousu/show/id/1365588</t>
  </si>
  <si>
    <t>2019/10/16 11:09:16</t>
  </si>
  <si>
    <t>投诉人叶先生投诉对象立借涉诉金额10000元问题类型诉求类型投诉详情逾期一天无法协商恶意骚扰通讯录，无法协商沟通，态度恶劣，发现逾期罚息每天一百，我逾期我理亏，我不反驳，要求立刻停止骚扰通讯录，减免或者减少罚息。</t>
  </si>
  <si>
    <t>立刻出行不退押金</t>
  </si>
  <si>
    <t>http://ts.21cn.com/tousu/show/id/1365587</t>
  </si>
  <si>
    <t>2019/10/16 11:09:05</t>
  </si>
  <si>
    <t>投诉人黎先生投诉对象立刻出行涉诉金额499元问题类型诉求类型投诉详情2019年９月１９日申请退保证金，时至今日，已经一个月，远超平台承诺的５－１０个工作日，网上报道，立刻出行公司已倒闭，老板跑路了，希望能借助媒体朋友帮我们追讨血汗钱。</t>
  </si>
  <si>
    <t>中华财险站台厚本金融坑害出借人</t>
  </si>
  <si>
    <t>http://ts.21cn.com/tousu/show/id/1365586</t>
  </si>
  <si>
    <t>2019/10/16 11:08:42</t>
  </si>
  <si>
    <t>向其提供履约保证保险的中华财险公司充当缩头乌龟不愿履行法定理赔义务的事情，中华财险对厚本长期宣传与其全面合作不但没有否认过，还出具公告加以确认，加强宣传效果，因此其不但有理赔义务，其同流合污推波助澜厚本金融某些不当作为的行为，还须承担应有的赔偿责任，希望依法责成中华财险履行法定理赔义务，并为其选择合作伙伴不慎，怠于行使保险标审核义务，放纵厚本利滥用其名义宣传非保险标有保险保障，对投资人保险标中漏保部分和非保险标不当宣传造成损失的一系列行为，作出相应赔偿。</t>
  </si>
  <si>
    <t>充值油卡未到账</t>
  </si>
  <si>
    <t>http://ts.21cn.com/tousu/show/id/1365584</t>
  </si>
  <si>
    <t>2019/10/16 11:08:41</t>
  </si>
  <si>
    <t>投诉人吴先生投诉对象加仑车服,油莫愁,三由卡，有限公司涉诉金额366元问题类型诉求类型投诉详情2019年8月28日通过vivo应用平台下载了显示，第一个月已经到账200，第二个月就没有到账了，多次打电话不接，加qq群也未通过，据百度查询，该开发商是，浙江省杭州市上城区笤帚湾45号7幢101室-24，qq群805843933群内有900多人，但是现在已经申请进去已经不通过了，现在这个app还可以进去，难道要让更多的无辜消费者上当吗，在黑猫投诉，全国315投诉过了，最后全国315杭州工商局来电，因该公司9月下旬</t>
  </si>
  <si>
    <t>网贷平台违法暴力催收</t>
  </si>
  <si>
    <t>http://ts.21cn.com/tousu/show/id/1365583</t>
  </si>
  <si>
    <t>2019/10/16 11:08:36</t>
  </si>
  <si>
    <t>本人于2019年2月18日在豆豆钱APP申请借款25100元，实际到账24000元，分12期还款，每期2520元，至2019年7月18日连续5期正常还款；8月18日账期因工资未到账没有及时还款，随后与催收人员协商于次日结清本期欠款未果，强硬要求立即还清，并威胁通知家人朋友，随后通过APP盗取手机通讯录并开始恐吓、辱骂、骚扰通讯录内所有人，因为这种恶劣的催收手段，本人已停止还款2个月，催收骚扰至今2个月从未间断，并以法庭名义多次恐吓我与家人朋友；对本人的家庭生活与工作造成了及其恶劣的影响，目前家庭与人际关系极</t>
  </si>
  <si>
    <t>京东商城说好的全国仓储发货实际只有总仓有货</t>
  </si>
  <si>
    <t>http://ts.21cn.com/tousu/show/id/1365582</t>
  </si>
  <si>
    <t>2019/10/16 11:08:34</t>
  </si>
  <si>
    <t>在天猫商城斐乐旗舰店买了一双鞋因为18号参加婚礼要穿，问过商家说好的全国多仓储发货我是黑龙江的给我泉州发的货，联系客服要求最近仓储发货商家客服不处理，京东客服不给第一时间处理。</t>
  </si>
  <si>
    <t>卡卡贷以会员的名义收取砍头息高利息捆绑销售保险</t>
  </si>
  <si>
    <t>http://ts.21cn.com/tousu/show/id/1365581</t>
  </si>
  <si>
    <t>2019/10/16 11:08:29</t>
  </si>
  <si>
    <t>居然还莫名其妙在我不知情的情况下强制扣取了我1699保险费，关于保险合同的被保人、保障条款、生效时间等一概不知情，联系到工作人员也同意好协商还款金额，并成功转款到对公账户，告诉我当天下午5点APP会结清。</t>
  </si>
  <si>
    <t>http://ts.21cn.com/tousu/show/id/1365585</t>
  </si>
  <si>
    <t>投诉人李女士投诉对象唯品会涉诉金额190元问题类型诉求类型投诉详情夏天买了冬天的外套，还没有穿，最近该穿了，降价已达200，不接受补差价，并且只赔偿价值20元的唯品币。</t>
  </si>
  <si>
    <t>http://ts.21cn.com/tousu/show/id/1365578</t>
  </si>
  <si>
    <t>2019/10/16 11:07:47</t>
  </si>
  <si>
    <t>投诉人陈女士投诉对象互盾科技涉诉金额88元问题类型诉求类型投诉详情下载迅捷视频转换器，因转换视频过大需开通会员，通过微信扫了二维码支付88元会员费，但是迅捷视频转换器根本无法使用，怎么弄都是转换失败，本人认为迅捷视频转换器这样的行为极度不负责任，有欺骗之嫌，特此提起上诉。</t>
  </si>
  <si>
    <t>永久限制接单</t>
  </si>
  <si>
    <t>http://ts.21cn.com/tousu/show/id/1363155</t>
  </si>
  <si>
    <t>2019/10/16 11:07:37</t>
  </si>
  <si>
    <t>投诉人张先生投诉对象美团众包,慈溪裕米诺德涉诉金额0元问题类型诉求类型投诉详情用别人的手机登录过一次后，他人下一次登录的时候没有要验证码就可以直接登录的。</t>
  </si>
  <si>
    <t>客服不退运费</t>
  </si>
  <si>
    <t>http://ts.21cn.com/tousu/show/id/1365577</t>
  </si>
  <si>
    <t>2019/10/16 11:07:18</t>
  </si>
  <si>
    <t>多次致电客服，说等3天就退还，已经过去27天了，运费至今未退。</t>
  </si>
  <si>
    <t>http://ts.21cn.com/tousu/show/id/1365576</t>
  </si>
  <si>
    <t>2019/10/16 11:07:01</t>
  </si>
  <si>
    <t>投诉人黄先生投诉对象丰趣海淘涉诉金额46480元问题类型诉求类型投诉详情丰趣海淘前身为顺丰海淘，为顺丰的海淘电商业务，从15年开始成立上海牵趣网络科技有限公司，公司法人CEO任晓煜，办公地在上海普陀，主要业务为运营[丰趣海淘]，从2018年11月开始工资发放不正常，出现延后，从2019年1月开始，压根发不出工资，3月底我由于经济压力较大离职，同时走上讨薪之路，5月份在上海普陀区仲裁大队进行调解，约定分阶段支付工资，但时间过去了，只支付少部分，还剩很大部分，8月在浦东新区人民法院申请的执行，但一直没有明显进度</t>
  </si>
  <si>
    <t>高利货申请廷期还款减免利息</t>
  </si>
  <si>
    <t>http://ts.21cn.com/tousu/show/id/1365575</t>
  </si>
  <si>
    <t>2019/10/16 11:07:00</t>
  </si>
  <si>
    <t>我想申请廷期还减免利息，我一定会还钱的，你们何必逼的那么吗。</t>
  </si>
  <si>
    <t>微博钱包，你的套路真够深</t>
  </si>
  <si>
    <t>http://ts.21cn.com/tousu/show/id/1365572</t>
  </si>
  <si>
    <t>2019/10/16 11:06:54</t>
  </si>
  <si>
    <t>本人15号在微博钱包上借了30000块钱，上面清楚写的日息万4，因为急用，因为用不了几天，就在这个平台借了，但今天突然发现根本没有提前还款的入口，打电话给客服，居然告诉我，你提前还也是收你的利息的，我现在没别的要求，我现在就把钱都还给你们，正常收你们宣传的每天万4的利息。</t>
  </si>
  <si>
    <t>http://ts.21cn.com/tousu/show/id/1365574</t>
  </si>
  <si>
    <t>2019/10/16 11:06:46</t>
  </si>
  <si>
    <t>投诉人郑先生投诉对象立借涉诉金额10000元问题类型诉求类型投诉详情借款10000元，前三期每期应还4200.后9期每期应还110,远超过国家规定利息，现要求提前一次性结清。</t>
  </si>
  <si>
    <t>我来贷逾期暴力催收</t>
  </si>
  <si>
    <t>http://ts.21cn.com/tousu/show/id/1365573</t>
  </si>
  <si>
    <t>2019/10/16 11:06:43</t>
  </si>
  <si>
    <t>投诉人马先生投诉对象我来数科涉诉金额7500元问题类型诉求类型投诉详情我来贷逾期3天，现在威胁本人，如果2个小时不处理就要疯狂打机我，用了这么久了第一次手里没钱，没还上，还遭到威胁了，每个月还款1189.86元，逾期一天100，这是要逼死我吗，高利贷我就不说了，还这样搞，你牛逼你爆，等着老子起诉你们看看你们是不是合法的，合法的我该给的一分不少，不该给的你就等着我起诉你把，一天打100个电话，不让别人活了。</t>
  </si>
  <si>
    <t>请停止信息骚扰</t>
  </si>
  <si>
    <t>http://ts.21cn.com/tousu/show/id/1365571</t>
  </si>
  <si>
    <t>2019/10/16 11:06:31</t>
  </si>
  <si>
    <t>涉诉金额804元问题类型诉求类型投诉详情本人还未到期就一直发信息骚扰一分钟一条利息还很高请求停止对我骚扰。</t>
  </si>
  <si>
    <t>私自变更抢票车次导致时差退票</t>
  </si>
  <si>
    <t>http://ts.21cn.com/tousu/show/id/1365569</t>
  </si>
  <si>
    <t>2019/10/16 11:06:12</t>
  </si>
  <si>
    <t>投诉人赵先生投诉对象智行涉诉金额55元问题类型诉求类型投诉详情私自变更抢票车次导致时差退票，重新购买新车票造成损失。</t>
  </si>
  <si>
    <t>http://ts.21cn.com/tousu/show/id/1365570</t>
  </si>
  <si>
    <t>2019/10/16 11:06:04</t>
  </si>
  <si>
    <t>投诉人张先生投诉对象胖胖有米涉诉金额2500元问题类型诉求类型投诉详情因本人急需用钱，借了这款产品，并没有说砍头之类的结果到账之后2500才到账1300，并且才4天每天有国外号码来催收恐吓，现在又是上海的电话，以下有它产品的链接。</t>
  </si>
  <si>
    <t>信而富砍头息阴阳合同</t>
  </si>
  <si>
    <t>http://ts.21cn.com/tousu/show/id/1365568</t>
  </si>
  <si>
    <t>2019/10/16 11:05:48</t>
  </si>
  <si>
    <t>投诉人林女士投诉对象信而富涉诉金额388元问题类型诉求类型投诉详情高利贷砍头息，借款2500到账只有1700，强制买商城物品388，然而并没有收到，。</t>
  </si>
  <si>
    <t>http://ts.21cn.com/tousu/show/id/1365567</t>
  </si>
  <si>
    <t>2019/10/16 11:05:25</t>
  </si>
  <si>
    <t>而且利息很高，希望给我减免之前利息，一次性偿还。</t>
  </si>
  <si>
    <t>百万钱包无提示产生恶意产生逾期费用</t>
  </si>
  <si>
    <t>http://ts.21cn.com/tousu/show/id/1365563</t>
  </si>
  <si>
    <t>2019/10/16 11:03:26</t>
  </si>
  <si>
    <t>投诉人王女士投诉对象百万钱包涉诉金额10000元问题类型诉求类型投诉详情本人于2018/12月18日在闪银平台申请了旗下产品百万钱包1万元，通过平安银盈通放款到账，当时扣除手续费1560元，分期12月还款，每月含利息手续费共计1003元，之前每月都正常按时还款，本月却未收到平台的任何通知信息导致逾期，目前已产生逾期费用，平台各种客服电话均忙线无法接通无法联系上，现无法判断是否对本人征信产生影响，于2019年9月联系上客服，表示没有提示还款不是平台的责任，逾期费需要本人承担，本人概无法接受，现要求平台调整利率</t>
  </si>
  <si>
    <t>多次告知中信银行电话禁播仍然多次接到销售电话</t>
  </si>
  <si>
    <t>http://ts.21cn.com/tousu/show/id/1365562</t>
  </si>
  <si>
    <t>2019/10/16 11:03:08</t>
  </si>
  <si>
    <t>投诉人杨先生投诉对象中信银行涉诉金额0元问题类型诉求类型投诉详情以前接到过中信银行销售电话，告知禁播，后依然能接到销售电话，又告知禁播依然无效，最后致电的售人员告知号码根本没有被禁播，希望这次能得到解决。</t>
  </si>
  <si>
    <t>有钱花提前还款，把钱从银行卡里扣了，结果平台依然显示欠款并在涨利息且官方电话无人接听</t>
  </si>
  <si>
    <t>http://ts.21cn.com/tousu/show/id/1365561</t>
  </si>
  <si>
    <t>本人于2019年10月15日准备一次性还清有钱花的满易贷，结果第一次还款的时候显示我超额了，但是根据平台显示，中国银行借记卡还款单日额度是5万，而我只是还1万3，第二次我尝试还款的时候，显示银行卡上的钱被扣掉了，有钱花平台的帐却没消掉，反而还在涨利息！一天高达7元！打95055的官方电话，至今未接，请有关部门尽快处理。</t>
  </si>
  <si>
    <t>马上消费金融暴力骚扰</t>
  </si>
  <si>
    <t>http://ts.21cn.com/tousu/show/id/1365560</t>
  </si>
  <si>
    <t>2019/10/16 11:02:58</t>
  </si>
  <si>
    <t>投诉人李先生投诉对象马上消费金融涉诉金额0元问题类型诉求类型投诉详情我和马上消费金融没有任何欠款问题这两天频繁接到贵州贵阳的催收电话恐吓我说我欠款失信。</t>
  </si>
  <si>
    <t>向客户不传导明确商品信息诱导消费者购买商品</t>
  </si>
  <si>
    <t>http://ts.21cn.com/tousu/show/id/1365559</t>
  </si>
  <si>
    <t>2019/10/16 11:02:46</t>
  </si>
  <si>
    <t>投诉人杨先生投诉对象烟台蓬莱机场西部明珠涉诉金额1888元问题类型诉求类型投诉详情我本人于2019年10月14号晚，过完安检在烟台蓬莱机场候机大厅遇到几个自称服务人员的人向我推销西部明珠会员卡，当时跟我说机票在他们家订比任何平台的都要便宜，可以在别的平台查完价格再在他们这里预定！我当时想我也经常乘坐飞机然后他们说的价格每个航班都会便宜50到300不等，说可以从卡里扣除直道扣完为零为止，后期卡里的钱用完了还可以继续充值，我觉得挺合适，但是昨天我订机票，他们给我说我还需另外交购票费用，还说是分张分次抵消，可是当</t>
  </si>
  <si>
    <t>京东白条委托催收公司骚扰我</t>
  </si>
  <si>
    <t>http://ts.21cn.com/tousu/show/id/1365557</t>
  </si>
  <si>
    <t>2019/10/16 11:02:31</t>
  </si>
  <si>
    <t>投诉人张琦投诉对象京东金融涉诉金额3500元问题类型诉求类型投诉详情之前投诉了京东白条，按期还款之后冻结我的额度要求全额还款才解冻，投诉之后协商不统一，我没有继续按期还款，京东竟然委托催收公司给我发什么函、恐吓我，电话骚扰我、我现在可以还钱，但是我要求京东先解冻我的额度，然后我就按期还款。</t>
  </si>
  <si>
    <t>套路贷、高利贷、暴力吹收</t>
  </si>
  <si>
    <t>http://ts.21cn.com/tousu/show/id/1365556</t>
  </si>
  <si>
    <t>2019/10/16 11:02:21</t>
  </si>
  <si>
    <t>投诉人陈先生投诉对象小蛙卡贷涉诉金额12000元问题类型诉求类型投诉详情暴力吹收，威胁恐吓，高利贷，套路贷一天20多个电话。</t>
  </si>
  <si>
    <t>连续短信骚扰，电话沟通之后没有改变</t>
  </si>
  <si>
    <t>http://ts.21cn.com/tousu/show/id/1365555</t>
  </si>
  <si>
    <t>2019/10/16 11:02:12</t>
  </si>
  <si>
    <t>投诉人杨先生投诉对象信用卡贷涉诉金额5000元问题类型诉求类型投诉详情连续短信骚扰，电话沟通之后没有整改。</t>
  </si>
  <si>
    <t>去哪儿网催收不讲信用</t>
  </si>
  <si>
    <t>http://ts.21cn.com/tousu/show/id/1365554</t>
  </si>
  <si>
    <t>2019/10/16 11:01:38</t>
  </si>
  <si>
    <t>如果不是落魄之人谁也不会被难到几块钱的地步，我说了如果差一点争取一下下午再发代付入口都不愿意。</t>
  </si>
  <si>
    <t>我来数科高额逾期费</t>
  </si>
  <si>
    <t>http://ts.21cn.com/tousu/show/id/1365553</t>
  </si>
  <si>
    <t>2019/10/16 11:01:35</t>
  </si>
  <si>
    <t>我来贷高额逾期费，逾期一天要多还300，催收态度恶劣。</t>
  </si>
  <si>
    <t>涉嫌收取好处费</t>
  </si>
  <si>
    <t>http://ts.21cn.com/tousu/show/id/1365552</t>
  </si>
  <si>
    <t>2019/10/16 11:01:24</t>
  </si>
  <si>
    <t>2018年1月于中信银行深圳市皇岗支行办理了《中信银行个人房产抵押最高额抵押》贷款406万，今年因为我本人资金周转问题，连着几个月逾期还款，于是银行的客户经理就介绍我到其相熟的金融服务公司，3.总之经过一系列的操作，成功通过该金融服务公司，从渤海信托办理了抵押贷款，并需要优先还清中信银行深圳市皇岗支行的中信银行个人房产抵押最高额抵押贷款，还款时，中信银行通知不会收取相应的提前还款罚息，但银行的客户经理通知，需要支付1万元给其银行领导，用于减免“提前还款罚息”的费用，说的时候支支吾吾，理解的意思就是：银行的经</t>
  </si>
  <si>
    <t>拍拍贷恐吓威胁上门</t>
  </si>
  <si>
    <t>http://ts.21cn.com/tousu/show/id/1365551</t>
  </si>
  <si>
    <t>2019/10/16 11:01:19</t>
  </si>
  <si>
    <t>投诉人 罗先生        投诉对象  拍拍贷        涉诉金额  4 000 元    问题类型    诉求类型投诉详情  投诉威胁，恐吓公司的同事。要上公司找我，不好好说话</t>
  </si>
  <si>
    <t>http://ts.21cn.com/tousu/show/id/1365550</t>
  </si>
  <si>
    <t>2019/10/16 11:01:06</t>
  </si>
  <si>
    <t>投诉人 杨先生        投诉对象  交通银行        涉诉金额  8 000 元    问题类型    诉求类型投诉详情  催收骚扰家人 恐吓朋友 我要还钱等银行联系 这个催收死命骚扰</t>
  </si>
  <si>
    <t>砍头息，高利贷，骚扰通讯录</t>
  </si>
  <si>
    <t>http://ts.21cn.com/tousu/show/id/1365549</t>
  </si>
  <si>
    <t>2019/10/16 11:01:03</t>
  </si>
  <si>
    <t>本人因为自己周转在水莲金条和点融平台U钱包，分别借款10000和12737.47，到账只有8000和10000，利率远远超过国家基准利率24%--30%之间，而且水莲金条还骚扰我的家人和朋友，对我的生活产生了极大的影响，这么高的利率国家为什么不打击一下，！虽然水莲金条到账时一万，但不到五秒钟就自行从我银行卡扣走了2000，请问这是什么行为，和抢有什么区别。</t>
  </si>
  <si>
    <t>http://ts.21cn.com/tousu/show/id/1365548</t>
  </si>
  <si>
    <t>2019/10/16 11:00:59</t>
  </si>
  <si>
    <t>之前在京东有4500额度能买东西，因后来身体有病，然后工作辞了，上个月协商一次，后来身体又出了点意外，所以只能再次协商，目前人在医院，每天也需要挺多的资金来维持病情，所以我只能再次跟你们协商。</t>
  </si>
  <si>
    <t>情人花盗刷我银行卡内资金</t>
  </si>
  <si>
    <t>http://ts.21cn.com/tousu/show/id/1365543</t>
  </si>
  <si>
    <t>2019/10/16 11:00:19</t>
  </si>
  <si>
    <t>投诉人粟先生投诉对象情人花涉诉金额288元问题类型诉求类型投诉详情在论坛通过了解下载注册申请贷款之后并未下款，后来半夜在握不知情得时候盗刷我银行卡内资金。</t>
  </si>
  <si>
    <t>招联好期待暴力催收</t>
  </si>
  <si>
    <t>http://ts.21cn.com/tousu/show/id/1365544</t>
  </si>
  <si>
    <t>2019/10/16 11:00:17</t>
  </si>
  <si>
    <t>投诉人郑先生投诉对象招联金融涉诉金额15000元问题类型诉求类型投诉详情本人因经济原因暂时没能力还款，是我的不对，也已经跟客服协商延期还款或者分期还款，但是招联金融外包催收一直打电话跟发信息给我的亲朋好友，给他们带去不必要的麻烦，希望有关部门可以帮忙联系让对方停止骚扰。</t>
  </si>
  <si>
    <t>投诉好帅名师辅导机HS-T2100</t>
  </si>
  <si>
    <t>http://ts.21cn.com/tousu/show/id/1365541</t>
  </si>
  <si>
    <t>2019/10/16 11:00:04</t>
  </si>
  <si>
    <t>投诉人孙女士投诉对象生产商荣电实业股份有限公司涉诉金额1990元问题类型诉求类型投诉详情家里老人在江苏卫视电视购物上买了一台生产商荣电实业股份有限公司生产的好帅名师辅导机HS-T2100，买来后发现家里并不适用想退货退款，就拨打该公司售后电话及服务热线4001000597022-585242544008899998从昨天拨打至今仍然没有人处理，之前答应我们7天无理由退货，我们这边一收到货发现不适用原包装都没有拆开，就想问问为什么厂家电话无人接听，怎么解决这件事。</t>
  </si>
  <si>
    <t>有米分期无法还款</t>
  </si>
  <si>
    <t>http://ts.21cn.com/tousu/show/id/1365542</t>
  </si>
  <si>
    <t>2019/10/16 10:59:49</t>
  </si>
  <si>
    <t>有米分期今天到还款日，但是app一直打不开，无法还款，也找不到客服。</t>
  </si>
  <si>
    <t>嗨钱还款不销账还天天打骚扰电话</t>
  </si>
  <si>
    <t>http://ts.21cn.com/tousu/show/id/1365540</t>
  </si>
  <si>
    <t>2019/10/16 10:59:23</t>
  </si>
  <si>
    <t>投诉人刘女士投诉对象嗨钱网涉诉金额5500元问题类型诉求类型投诉详情已还款却不销账，还天天打骚扰电话，说话难听，侮辱人格，影响正常生活。</t>
  </si>
  <si>
    <t>高额度手续费，服务管理费，保险费，电话轰炸骚扰家人，朋友</t>
  </si>
  <si>
    <t>http://ts.21cn.com/tousu/show/id/1365539</t>
  </si>
  <si>
    <t>2019/10/16 10:59:21</t>
  </si>
  <si>
    <t>高额度手续费,服务费，管理费，保险费，借31000还了50000还没还完，电话轰炸骚扰家人，威胁。</t>
  </si>
  <si>
    <t>http://ts.21cn.com/tousu/show/id/1365538</t>
  </si>
  <si>
    <t>2019/10/16 10:58:39</t>
  </si>
  <si>
    <t>投诉人尉先生投诉对象我来数科涉诉金额859元问题类型诉求类型投诉详情本人因为特殊原因，逾期3天，明天将发工资处理这个，也给客服沟通，逾期费用我也愿意交，这个催收威胁我拨打我通讯录亲朋好友，我来贷店大欺客。</t>
  </si>
  <si>
    <t>淘集集不给退款退店申请一直不处理听别人的货款一直下不来申请退店但是一直没人处理</t>
  </si>
  <si>
    <t>http://ts.21cn.com/tousu/show/id/1365537</t>
  </si>
  <si>
    <t>2019/10/16 10:58:15</t>
  </si>
  <si>
    <t>投诉人颜女士投诉对象淘集集涉诉金额2000元问题类型诉求类型投诉详情本人于2019年入驻的淘集集后再听到朋友，的商家说货款一直提现延迟故申请退店我于2019年9.2申请退店但是一直显示正在审核中平台电话我也联系过自动回复说30个工作日会处理转接人工客服就一直不接通。</t>
  </si>
  <si>
    <t>钱站阴阳合同，合同金额和到账金额不符，砍头息</t>
  </si>
  <si>
    <t>http://ts.21cn.com/tousu/show/id/1365536</t>
  </si>
  <si>
    <t>2019/10/16 10:58:14</t>
  </si>
  <si>
    <t>投诉人沈先生投诉对象钱站涉诉金额19000元问题类型诉求类型投诉详情申请金额是5000，实际到账5000，合同却写9600，阴阳合同，已经还款五千多了，还要还款5000多，利息比普通高利贷还高。</t>
  </si>
  <si>
    <t>http://ts.21cn.com/tousu/show/id/1365535</t>
  </si>
  <si>
    <t>2019/10/16 10:58:09</t>
  </si>
  <si>
    <t>投诉人陈先生投诉对象友信涉诉金额100000元问题类型诉求类型投诉详情我在18年1月份借款10万元，分36期还，共计要还款172075.68元。</t>
  </si>
  <si>
    <t>你我贷恶意骚扰</t>
  </si>
  <si>
    <t>http://ts.21cn.com/tousu/show/id/1365533</t>
  </si>
  <si>
    <t>2019/10/16 10:57:24</t>
  </si>
  <si>
    <t>你我贷，已经跟他们好好说了，没用，他们是该怎么样还怎么样，恶意骚扰。</t>
  </si>
  <si>
    <t>树林分期高利贷立借平台里面和信用管家里面</t>
  </si>
  <si>
    <t>http://ts.21cn.com/tousu/show/id/1365529</t>
  </si>
  <si>
    <t>2019/10/16 10:56:55</t>
  </si>
  <si>
    <t>立借,树林分期,信用管家,济南慧翔电子商务有限公司，本人在立借APP上面申请的树林分期，借款3000元可以分期4期,下款成功才显示所谓的的4期就是一个月的4期，7天一个期限，到账3000元却被其树林分期秒扣了750元的头息，四期一共要还3081.48元！这种利息严重超过了国家规定的借贷利息！已经属于高利贷了！本人已经还款3期，共计人民币2311.11元，已经超过了本金，现在我的诉求是要求树林分期给我销掉最后一期账单！同时其信用管理平台推荐的树林分期同时下款，到账为2250元，现也还完2期，本人也愿意还本金和</t>
  </si>
  <si>
    <t>罚息太高</t>
  </si>
  <si>
    <t>http://ts.21cn.com/tousu/show/id/1365531</t>
  </si>
  <si>
    <t>2019/10/16 10:56:52</t>
  </si>
  <si>
    <t>投诉人刘先生投诉对象立借涉诉金额2000元问题类型诉求类型投诉详情在立借平台借4000元，分12期，结果第一期1900，第二期1700，第三期1300，第四期到12期都是44元，第一期正常还款，第二期由于突发原因逾期9天，之前跟催收沟通晚几天一定还到，他们不同意，9天后还款罚息360，日息2%，望贵单位帮忙解决，都是很困难了。</t>
  </si>
  <si>
    <t>http://ts.21cn.com/tousu/show/id/1365530</t>
  </si>
  <si>
    <t>2019/10/16 10:56:41</t>
  </si>
  <si>
    <t>在有用分期借款9000元分12期，每月要还1102！，而且借款9000元到账13000多，直接扣掉4000多元的不知道什么费用！。</t>
  </si>
  <si>
    <t>胖胖有米未逾期对借款人进行软暴力催收</t>
  </si>
  <si>
    <t>http://ts.21cn.com/tousu/show/id/1365437</t>
  </si>
  <si>
    <t>2019/10/16 10:56:30</t>
  </si>
  <si>
    <t>投诉人刘泽旭投诉对象胖胖有米涉诉金额2500元问题类型诉求类型投诉详情胖胖有米借2500&amp;nbsp;&amp;nbsp;实际到账1300多&amp;nbsp;砍头息1100多&amp;nbsp;高利贷&amp;nbsp;未逾期就进行恐吓&amp;nbsp;昨天在高速上开车&amp;nbsp;说晚上回家还&amp;nbsp;事实上我也到家就还了&amp;nbsp;今天早上我朋友告诉我有人给她打电话并且发短信骚扰&amp;nbsp;这已经属于黑社会了&amp;nbsp;给我打款账户名叫沈春丽。</t>
  </si>
  <si>
    <t>鸿运当头暴力催收</t>
  </si>
  <si>
    <t>http://ts.21cn.com/tousu/show/id/1365460</t>
  </si>
  <si>
    <t>2019/10/16 10:56:00</t>
  </si>
  <si>
    <t>投诉人韩先生投诉对象鸿运当头涉诉金额4000元问题类型诉求类型投诉详情网络套路贷，注册之后自动放款，大概半个月前和客服协商本金还款，昨天10月15号开始有催收人员对我进行电话骚扰，恶意修改我女儿和爱人照片，对我通讯录里的人进行侮辱谩骂，威胁我继续还款。</t>
  </si>
  <si>
    <t>扣了我七笔钱要求退款</t>
  </si>
  <si>
    <t>http://ts.21cn.com/tousu/show/id/1365528</t>
  </si>
  <si>
    <t>2019/10/16 10:55:53</t>
  </si>
  <si>
    <t>投诉人 潘康宁        投诉对象  合利宝        涉诉金额  16 500 元    问题类型    诉求类型投诉详情  在我不知情的情况下 分七笔扣了我共计16500元 要求退款</t>
  </si>
  <si>
    <t>要求道歉，停止骚扰家人，打黑除恶最后一年还暴力催收？</t>
  </si>
  <si>
    <t>http://ts.21cn.com/tousu/show/id/1365527</t>
  </si>
  <si>
    <t>2019/10/16 10:55:44</t>
  </si>
  <si>
    <t>投诉人雷先生投诉对象招联金融涉诉金额8000元问题类型诉求类型投诉详情协商未果就电话短信骚扰，我只是一个第三方，如果说正常影响我跟我老婆的生活，我的工作，那我只能天天打你们公司总部电话，工商电话了，不管是不是第三方公司，我只认你们招联，要求道歉，停止骚扰，不然就一直投诉。</t>
  </si>
  <si>
    <t>未经本人授权，也没打电话发短信恶意扣我298.5元。</t>
  </si>
  <si>
    <t>http://ts.21cn.com/tousu/show/id/1365526</t>
  </si>
  <si>
    <t>2019/10/16 10:55:40</t>
  </si>
  <si>
    <t>这个app恶意扣款，并未授权扣除我银行卡298.5元。</t>
  </si>
  <si>
    <t>网上博彩网站</t>
  </si>
  <si>
    <t>http://ts.21cn.com/tousu/show/id/1365524</t>
  </si>
  <si>
    <t>2019/10/16 10:55:36</t>
  </si>
  <si>
    <t>焦红刚，33****************9，这是他们网站的冲值账户，希望你们能严肃处理。</t>
  </si>
  <si>
    <t>关注中汇支付刷卡机不到账问题</t>
  </si>
  <si>
    <t>http://ts.21cn.com/tousu/show/id/1365522</t>
  </si>
  <si>
    <t>2019/10/16 10:52:41</t>
  </si>
  <si>
    <t>刷卡几天了不到账，昨天可以联系上客服，客服说系统升级，说24小时会到账，现在已经过了48小时，然后客户的语气有些紧张，然后百度了一下中汇支付就跳出来董事长被抓，我好怕我27500元不到账，又联系不上客服，又不懂怎么办，麻烦帮处理一下，谢谢。</t>
  </si>
  <si>
    <t>未逾期爆通信录</t>
  </si>
  <si>
    <t>http://ts.21cn.com/tousu/show/id/1365521</t>
  </si>
  <si>
    <t>16号还款，本人在14号就将应还利息存到约定划扣账号，16好当天几天家人及我本人就接到中腾信不断的骚扰电话，态度恶劣，蛮横！。</t>
  </si>
  <si>
    <t>淘豆分期无故扣款</t>
  </si>
  <si>
    <t>http://ts.21cn.com/tousu/show/id/1365520</t>
  </si>
  <si>
    <t>2019/10/16 10:52:37</t>
  </si>
  <si>
    <t>（特约）信而富未经我同意，直接扣款408.76元</t>
  </si>
  <si>
    <t>http://ts.21cn.com/tousu/show/id/1365523</t>
  </si>
  <si>
    <t>2019/10/16 10:52:25</t>
  </si>
  <si>
    <t>上午8点48分，手机提示银联云闪付扣款408.76元，进去一看是，，可我和这个平台没有任何交集，请问如何可以在不需要我同意的情况下直接扣我银行卡，现在我的诉求是这408.76元退还到我的工行卡里，否则我会选择报警！。</t>
  </si>
  <si>
    <t>收取前期服务费，要求退款</t>
  </si>
  <si>
    <t>http://ts.21cn.com/tousu/show/id/1365519</t>
  </si>
  <si>
    <t>2019/10/16 10:52:18</t>
  </si>
  <si>
    <t>还没贷款就收取前期服务费，一绑卡就扣费299元，要求退款。</t>
  </si>
  <si>
    <t>群发威胁短信，电话轰炸</t>
  </si>
  <si>
    <t>http://ts.21cn.com/tousu/show/id/1365518</t>
  </si>
  <si>
    <t>2019/10/16 10:51:59</t>
  </si>
  <si>
    <t>雇用第三方暴力催收，给亲友群发威胁短信电话轰炸，给生活，工作完成一定影响。</t>
  </si>
  <si>
    <t>去哪儿旅行APP上的借去花乱收利息</t>
  </si>
  <si>
    <t>http://ts.21cn.com/tousu/show/id/1365517</t>
  </si>
  <si>
    <t>2019/10/16 10:51:57</t>
  </si>
  <si>
    <t>我是3月28号在去哪儿网APP上借去花借了13700元，后来没钱还逾期了，天天打电话骚扰我的家人和朋友，现在准备还款，发现光罚息都罚了我几百块，如果说收利息，我可以接受，但是罚这么多钱，我也无力偿还，非常感谢平台，希望平台帮我解决一下问题。</t>
  </si>
  <si>
    <t>宜信放高利贷</t>
  </si>
  <si>
    <t>http://ts.21cn.com/tousu/show/id/1365516</t>
  </si>
  <si>
    <t>2019/10/16 10:51:49</t>
  </si>
  <si>
    <t>在宜信借来2万每个月还1318要还24个月，已经还了13期还要还1万3，而且还提示我无法提供合同信息。</t>
  </si>
  <si>
    <t>光大金服</t>
  </si>
  <si>
    <t>http://ts.21cn.com/tousu/show/id/1365512</t>
  </si>
  <si>
    <t>2019/10/16 10:50:24</t>
  </si>
  <si>
    <t>就是骗人家开通会员骗取会员费，希望聚投诉收集相关资料把他们的平台下架，不要让他们有骗别人的机会。</t>
  </si>
  <si>
    <t>金鸡下蛋系列高利贷套路贷汇潮支付为其放款</t>
  </si>
  <si>
    <t>http://ts.21cn.com/tousu/show/id/1365511</t>
  </si>
  <si>
    <t>2019/10/16 10:50:00</t>
  </si>
  <si>
    <t>金鸡下蛋,汇潮支付,想有钱,佑佑分期,菜鸟有钱,猫下贷,来花花，9月份因为工资一直没有发，通过短信链接下载了猫下贷，金鸡下蛋，想有钱，菜鸟有钱，佑佑分期和来花花，砍头600和400不等，其中想有钱，菜鸟有钱，佑佑分期，说是三天其实是1天，今天续后天就要还，已累计逾期20几天共计15000多，放款通道是汇潮支付，还款为支付宝聚合支付，而且一到还款日上午就催收恐吓威胁，同时诱导续期3天，现在除佑佑分期没有改名，其他全部改名为佰锐分期，乾广分期，海浪分期，多乾分期，金贝备。</t>
  </si>
  <si>
    <t>钱站高利贷没人管吗</t>
  </si>
  <si>
    <t>http://ts.21cn.com/tousu/show/id/1365510</t>
  </si>
  <si>
    <t>2019/10/16 10:49:59</t>
  </si>
  <si>
    <t>投诉人刘威投诉对象钱站涉诉金额3000元问题类型诉求类型投诉详情我在钱站借了3000元，到账了3000元，我不知情的情况下，合同上是我借了3700，这属于砍头息吗?，分了3期，每一期要还一千三百多，，不是高利贷吗，还了两期，最后一期逾期了一天长了一百多利息，。</t>
  </si>
  <si>
    <t>欺诈，阴阳合同</t>
  </si>
  <si>
    <t>http://ts.21cn.com/tousu/show/id/1365509</t>
  </si>
  <si>
    <t>2019/10/16 10:49:53</t>
  </si>
  <si>
    <t>此人自称融360员工，骗我说我信用良好，通过了审核，并叫我加一个叫融360放款部木志江的QQ号，然后套取我的个人信息，制作阴阳合同，并由QQ发送过来，我想知道，这个私人号码和木志江是不是触360的员工，并且要求停止对我和家人的骚扰，。</t>
  </si>
  <si>
    <t>网易uu加速器用户反馈群无故踢人</t>
  </si>
  <si>
    <t>http://ts.21cn.com/tousu/show/id/1365508</t>
  </si>
  <si>
    <t>2019/10/16 10:49:42</t>
  </si>
  <si>
    <t>uu加速器用户反馈群，无故将我踢出群，UU加速器官网上面明明白白写着用户退款协议，我就在群里说了一句该群群主就直接踢人了，我也没有违反群规。</t>
  </si>
  <si>
    <t>账号不能下单云钻过期，客服不做处理</t>
  </si>
  <si>
    <t>http://ts.21cn.com/tousu/show/id/1365507</t>
  </si>
  <si>
    <t>账号什么都买不了，一年了，突然来短信说云钻要过期，我登录上去尝试买大米什么的都不行，您想购买商品的心情小苏非常能够理解，我们也是希望更多的顾客选择在我们平台购物，也是对我们商品和服务的肯定，活动期间优惠力度较大，购买的顾客也非常多，建议您可以尝试选购其他心仪的商品，然后我尝试了其他商品，一直还是无法购买，42948个云钻就要过期了，客服不给解决办法。</t>
  </si>
  <si>
    <t>高利贷，阴阳合同，暴力催收</t>
  </si>
  <si>
    <t>http://ts.21cn.com/tousu/show/id/1365294</t>
  </si>
  <si>
    <t>2019/10/16 10:49:20</t>
  </si>
  <si>
    <t>本人于2017年10月份在钱站借款70000元，合同显示75600元，每个月的还款金额为3403.68，包含本息2450.05，服务费953.63，打着国家法律的擦边球，说什么服务费不包含在本息里边，每个月将近1000的利息，真的是触目惊心，还了21个月74743.52元，还要再还58000，打给客服协商总是让按照合同处理，2019年6月，又在不解释清楚的前提下，诱导我办理老友计划，以贷养贷，所有工作人员的通话，录音，包括骚扰短信，打给我亲朋好友的电话，我都已经保存证据，并分别致电北京市市场监督管理局，东城</t>
  </si>
  <si>
    <t>为高利贷套路贷平台提供支付渠道</t>
  </si>
  <si>
    <t>http://ts.21cn.com/tousu/show/id/1365506</t>
  </si>
  <si>
    <t>2019/10/16 10:49:18</t>
  </si>
  <si>
    <t>畅捷支付违反《非银行支付机构网络支付业务管理办法》的相关规定，违规为非法商户提供支付渠道，恶意盗刷银行卡中的钱。</t>
  </si>
  <si>
    <t>哆咪黑卡不知情的情况下扣会员费</t>
  </si>
  <si>
    <t>http://ts.21cn.com/tousu/show/id/1365505</t>
  </si>
  <si>
    <t>2019/10/16 10:49:11</t>
  </si>
  <si>
    <t>在注册哆咪黑卡是刚绑定银行卡就被扣299会员费。</t>
  </si>
  <si>
    <t>随意扣款欺诈消费者</t>
  </si>
  <si>
    <t>http://ts.21cn.com/tousu/show/id/1365504</t>
  </si>
  <si>
    <t>随意扣款299元，霸王条款，客服态度推诿，一点责任心都没有。</t>
  </si>
  <si>
    <t>http://ts.21cn.com/tousu/show/id/1365458</t>
  </si>
  <si>
    <t>2019/10/16 10:49:10</t>
  </si>
  <si>
    <t>我从袋吧车贷抵押贷的款，合同金额61000元，实际到手金额53800元，现在畅快车贷在未向我提供债权转让协议，也未提供与袋吧车贷的关系，要求我向他们还款，因我未还款，畅快车贷安排把我抵押的车子拖走了。</t>
  </si>
  <si>
    <t>众安保险欺诈收费</t>
  </si>
  <si>
    <t>http://ts.21cn.com/tousu/show/id/1365502</t>
  </si>
  <si>
    <t>2019/10/16 10:48:58</t>
  </si>
  <si>
    <t>经查询，众安保险从我的银行账号中扣款700元，因为一份“个人借款保证保险”，本人完全不知情，现在坚决要求退款！保单号和个人信息已登记，并向保监会投诉到底。</t>
  </si>
  <si>
    <t>不肯退款</t>
  </si>
  <si>
    <t>http://ts.21cn.com/tousu/show/id/1365503</t>
  </si>
  <si>
    <t>2019/10/16 10:48:55</t>
  </si>
  <si>
    <t>投诉人文先生投诉对象hotwind热风旗舰店涉诉金额298元问题类型诉求类型投诉详情商家邮寄过来的鞋存在明显质量问题，沟通后达成退货共识，鞋子退货回去后签收已经三天了，商家以各种理由推脱不退款。</t>
  </si>
  <si>
    <t>http://ts.21cn.com/tousu/show/id/1365501</t>
  </si>
  <si>
    <t>2019/10/16 10:48:29</t>
  </si>
  <si>
    <t>带上钱已购买游戏金豆为由收取高额利息，借款超15次以上每次收取本金百分之30到40的强制购物费用，总计达2万以上，在因为资金问题暂时无法偿还情况下，威胁恐吓并在没有然后原因下安一个欺诈罪！私自盗取通讯录信息，并散播不当言论！诋毁甚至侮辱！。</t>
  </si>
  <si>
    <t>判责不公！</t>
  </si>
  <si>
    <t>http://ts.21cn.com/tousu/show/id/1365499</t>
  </si>
  <si>
    <t>2019/10/16 10:47:59</t>
  </si>
  <si>
    <t>投诉人周先生投诉对象淘宝闲鱼涉诉金额240元问题类型诉求类型投诉详情我朋友在闲鱼上面卖了一双二手的鞋子给北海的这位买家，买家收到货后看到鞋盒破损了，我说那你退回来吧，然后他寄回来了.可是寄回来的不是鞋子，是一个看着很劣质的耳机.然后我通过闲鱼介入了，但是提供的照片不符，现在闲鱼判责，把钱给买家了，鞋子他也拿了.等于说我钱货两空.我跟闲鱼客服沟通多次，那边的说法是必须要有贵公司的证明，我也去了我们当地的快递站点，快递师傅也知道.然后我打电话给韵达客服，他们需要我联系韵达北海西区分部，我也联系了.西区分部的工作</t>
  </si>
  <si>
    <t>你我贷收取砍头息，借款8100，2个月提前结清要还11011.68元，诉求调整利，结清销户。</t>
  </si>
  <si>
    <t>http://ts.21cn.com/tousu/show/id/1365500</t>
  </si>
  <si>
    <t>2019/10/16 10:47:48</t>
  </si>
  <si>
    <t>本人8月28日在你我贷借款8100元分12期，已还款一期1930.14元，现提前结清要还9081.54元，利息严重超出国家规定，诉求调整合理利息，提前结清销账销户处理。</t>
  </si>
  <si>
    <t>网贷诱导办卡</t>
  </si>
  <si>
    <t>http://ts.21cn.com/tousu/show/id/1365497</t>
  </si>
  <si>
    <t>2019/10/16 10:47:37</t>
  </si>
  <si>
    <t>投诉人沙先生投诉对象掌众金服涉诉金额1000元问题类型诉求类型投诉详情闪电借款诱导人办理财富黑卡会员卡。</t>
  </si>
  <si>
    <t>http://ts.21cn.com/tousu/show/id/1365496</t>
  </si>
  <si>
    <t>2019/10/16 10:47:26</t>
  </si>
  <si>
    <t>本人因家庭突发变故，所以在360借条的款项逾期不足一周时间就被爆了通讯录，逾期期间360借条打过2次催收电话，本人也积极说明逾期原因，请求宽限一段时间，360借条在没经过本人的情况下拨打本人通讯录电话，逾期期间利息疯涨，本人暂时愈加无力偿还，现在请求和360协商还款本金及正常利息，请360借条停止对本人通讯录的骚扰，并向本人道歉。</t>
  </si>
  <si>
    <t>http://ts.21cn.com/tousu/show/id/1365495</t>
  </si>
  <si>
    <t>2019/10/16 10:46:31</t>
  </si>
  <si>
    <t>我已经向国家信访局，杭州市信访局，投诉了闪电借款和杭州玛瑙湾公司，高利贷砍头息，暴力催收，纠纷还没解决，在政府部门没有裁定答复之前，我不会处理欠款，你们一个第三方外包催收人员竟然可以代表你们公司否定纠纷，我欢迎你们进行暴力催收，我会留下证据，继续信访投诉。</t>
  </si>
  <si>
    <t>http://ts.21cn.com/tousu/show/id/1365492</t>
  </si>
  <si>
    <t>2019/10/16 10:46:25</t>
  </si>
  <si>
    <t>投诉人姚远投诉对象银盛支付涉诉金额298元问题类型诉求类型投诉详情银盛通pos机刷了我298元不给返还业务员满嘴谎话，两年后返还。</t>
  </si>
  <si>
    <t>http://ts.21cn.com/tousu/show/id/1365491</t>
  </si>
  <si>
    <t>2019/10/16 10:46:21</t>
  </si>
  <si>
    <t>投诉人 许女士        投诉对象  你我贷        涉诉金额  4 000 元    问题类型    诉求类型投诉详情  当时借的是 4000 现在要我还 6800 利息太高了 我已经还了3000了 现在还要让我还 3600 还爆我通讯录 寄律师函 恐吓我家人</t>
  </si>
  <si>
    <t>骚扰，群发短信</t>
  </si>
  <si>
    <t>http://ts.21cn.com/tousu/show/id/1365490</t>
  </si>
  <si>
    <t>2019/10/16 10:45:41</t>
  </si>
  <si>
    <t>投诉人刘女士投诉对象招联金融涉诉金额3700元问题类型诉求类型投诉详情由于资金困难导致没还款，但招联金融频繁骚扰我通讯录的人，还群发短信。</t>
  </si>
  <si>
    <t>微粒贷上门威胁，恐吓，骚扰</t>
  </si>
  <si>
    <t>http://ts.21cn.com/tousu/show/id/1365488</t>
  </si>
  <si>
    <t>2019/10/16 10:44:55</t>
  </si>
  <si>
    <t>本人一直在跟微粒贷的工作人员微信协商解决还款问题，对方一直要求按他提出的要求来全额还款，可目前全额还款对于我而言确实有难度，所以一直在跟对方协商能不能陆陆续续进行还清，对方不同意，并开始派人上门催收，并持续拨打物业及房东的私人电话进行骚扰，还威胁说要骚扰我的父母朋友，目前本人被逼无奈只得寻求法律的帮助，在我们祖国70周年大庆之际，我相信我们的国家！！！。</t>
  </si>
  <si>
    <t>恶意克扣服务费用</t>
  </si>
  <si>
    <t>http://ts.21cn.com/tousu/show/id/1365486</t>
  </si>
  <si>
    <t>2019/10/16 10:44:10</t>
  </si>
  <si>
    <t>未经允许的情况下克扣本人服务费用，未作出实际服务作用，恶意欺骗用户信任和钱财。</t>
  </si>
  <si>
    <t>御剑飞行砍头息，高利贷，强行放款</t>
  </si>
  <si>
    <t>http://ts.21cn.com/tousu/show/id/1365487</t>
  </si>
  <si>
    <t>2019/10/16 10:44:02</t>
  </si>
  <si>
    <t>投诉人林先生投诉对象御剑飞行涉诉金额3600元问题类型诉求类型投诉详情当时急用钱看到御剑飞行点击审批额度，显示利息太高就没借款，存在砍头息，当时再三确认订单没有借款卸载app不理会，今天收到app叫还款，查了银行流水实际到账2100，还款3600。</t>
  </si>
  <si>
    <t>http://ts.21cn.com/tousu/show/id/1365484</t>
  </si>
  <si>
    <t>2019/10/16 10:43:51</t>
  </si>
  <si>
    <t>我总不能为了和他们商议就一直抱着手机等着吧，而且极有可能没有结果！不然也不会这么多莫名其妙的来电。</t>
  </si>
  <si>
    <t>上海银生宝电子支付公司向违法集团提供支付通道</t>
  </si>
  <si>
    <t>http://ts.21cn.com/tousu/show/id/1365485</t>
  </si>
  <si>
    <t>2019/10/16 10:43:36</t>
  </si>
  <si>
    <t>本人在网上通过网友介绍去名为必威的网站注册充值，进行投资理财，没有购买任何商品，还为其提供支付通道已违反刑法第三百零三条第二款的规定：（一）为赌博网站提供互联网接入、服务器托管、网络存储空间、通讯传输通道、投放广告、发展会员、软件开发、技术支持等服务，收取服务费数额在2万元以上的；（二）为赌博网站提供资金支付结算服务，收取服务费数额在1万元以上或者帮助收取赌资20万元以上的；我于10月11-12日多次赴上海银生宝电子支付有限公司总部协商追讨款项事宜，银生宝均敷衍及不配合处理态度，共72027元是通过上海银生</t>
  </si>
  <si>
    <t>京东旗下活力花</t>
  </si>
  <si>
    <t>http://ts.21cn.com/tousu/show/id/1365483</t>
  </si>
  <si>
    <t>2019/10/16 10:43:22</t>
  </si>
  <si>
    <t>第三期是叠加算法不对，超过国家规定万分之五，超过了五倍之多，协商降息。</t>
  </si>
  <si>
    <t>时光分期提前还本金高额收费</t>
  </si>
  <si>
    <t>http://ts.21cn.com/tousu/show/id/1365482</t>
  </si>
  <si>
    <t>2019/10/16 10:43:21</t>
  </si>
  <si>
    <t>共需还款54000余元，月还款金额逐渐减少，现在已还两期，本金＋利息已还10610元，本人无力也不想承担余下十期高额的利息，于是想提前结清本金，APP内提前结清需要支付8000余元的高额罚息，明显不符合规定，打电话联系客服，后来又有一个客服回访均不同意我归还本金，本人有强烈的还钱意愿，但是不想也没有必要承担未使用就产生的高额利息，谢谢。</t>
  </si>
  <si>
    <t>http://ts.21cn.com/tousu/show/id/1365481</t>
  </si>
  <si>
    <t>2019/10/16 10:43:20</t>
  </si>
  <si>
    <t>电话轰炸，收入还款灵活包，竟然还有逾期费用，打电话给家人，给我的生活造成了不良影响，我现在因为这个工作也没了，要求道歉，我每个月18号才发工资。</t>
  </si>
  <si>
    <t>上海薪想互联网金融有限公司期下好借好还高利贷，砍头息，骚扰通讯录，投诉中金支付为高利贷平台乱扣款</t>
  </si>
  <si>
    <t>http://ts.21cn.com/tousu/show/id/1365480</t>
  </si>
  <si>
    <t>2019/10/16 10:43:14</t>
  </si>
  <si>
    <t>上海薪想互联网金融有限公司,中金支付,好借好还，本人在立即贷导流下载App好借好还，为上海薪想互联网金融有限公司期下高利贷714平台，中金支付为高利贷平台乱扣款，没信息转达，本人通过银联查询到中智特约消费为中金支付为上海薪想互联网金融有限公司扣的款，问题是上海薪想互联网金融有限公司期下平台app好借好还已下架，导致无法登陆还款，中金支付扣了款，没有信息发给本人，而上海薪想互联网金融有限公司扣款了，还在骚扰本人和爆通讯录，本人愿意归还本金，不合理的利息和砍头息本人不会承担，但必须要有中金支付扣款清单，扣了多少</t>
  </si>
  <si>
    <t>购买软件无法使用，软件空壳</t>
  </si>
  <si>
    <t>http://ts.21cn.com/tousu/show/id/1365479</t>
  </si>
  <si>
    <t>2019/10/16 10:43:08</t>
  </si>
  <si>
    <t>联动自动发卡,郑州市北浔网络科技有限公司,联动发卡，昨天在商家买了一款游戏辅助，买了卡密之后才发现是空壳软件，联系不到商家客服，联系发卡平台客服投诉，结果显示买家撤销投诉，我根本没有撤销过，电话联络发卡平台关机，加发卡平台QQ没有任何反应，发卡平台在没与商家联系直接私自撤销投诉，严重怀疑发卡平台，支持商家售卖虚假商品，目前没有收到任何客服联系我，希望发卡平台尽快解决此事。</t>
  </si>
  <si>
    <t>逾期骚扰威胁通讯录里的联系人</t>
  </si>
  <si>
    <t>http://ts.21cn.com/tousu/show/id/1365478</t>
  </si>
  <si>
    <t>2019/10/16 10:43:04</t>
  </si>
  <si>
    <t>投诉人程先生投诉对象江湖救急涉诉金额1500元问题类型诉求类型投诉详情江湖救急垃圾！恶意威胁、骚扰还款人及通讯录联系人，每次威胁打父母电话，轰炸朋友圈，换个N个客服打电话说我没有给你父母打电话呀，我是没有及时还，那你也不每天高额额度罚息，谁委屈，都不委屈，也就这能耐，你敢借款就已经需要承担风险，我也承担了高额罚息！跟打电话者协商不同意，申请延期也不同意，就一个劲的催还款！不还钱就咋地咋地的威胁借款人！。</t>
  </si>
  <si>
    <t>无故从我的银行卡中扣款三次</t>
  </si>
  <si>
    <t>http://ts.21cn.com/tousu/show/id/1365477</t>
  </si>
  <si>
    <t>2019/10/16 10:43:01</t>
  </si>
  <si>
    <t>从我的银行卡里扣款了三次，共计一共扣了308元，而且不是在一天扣的，是每天扣一点。</t>
  </si>
  <si>
    <t>自由魔卡零压贷砍头息，暴力催收</t>
  </si>
  <si>
    <t>http://ts.21cn.com/tousu/show/id/1365475</t>
  </si>
  <si>
    <t>2019/10/16 10:42:36</t>
  </si>
  <si>
    <t>投诉人王先生投诉对象自由魔卡,零压贷涉诉金额2000元问题类型诉求类型投诉详情自由魔卡平台旗下零压贷，借款需买会员卡，其实就是砍头息，到期暴力催收，现要求赔偿砍头息！。</t>
  </si>
  <si>
    <t>芜湖易开出行不退押金</t>
  </si>
  <si>
    <t>http://ts.21cn.com/tousu/show/id/1365474</t>
  </si>
  <si>
    <t>2019/10/16 10:42:11</t>
  </si>
  <si>
    <t>本人于19.8.10在芜湖易开出行app上申请退押金，经审核符合退款要求，截止19.10.16仍未退款，打过很多次电话得到的回复都是帮忙备注，每次都给一个时间点，但一直不退，打了当地市场监督管理局电话，答复的也是帮忙备注，大概半个月给退款，如果不退继续联系他们，这种处理方式简直让人心寒，消费者的正当权利根本没有人来维护，求处理，谢谢。</t>
  </si>
  <si>
    <t>保温杯不保温</t>
  </si>
  <si>
    <t>http://ts.21cn.com/tousu/show/id/1365472</t>
  </si>
  <si>
    <t>2019/10/16 10:41:58</t>
  </si>
  <si>
    <t>我在萌推买的保温杯不保温，萌推的商家同意退货但是不承担运费。</t>
  </si>
  <si>
    <t>恐吓骚扰</t>
  </si>
  <si>
    <t>http://ts.21cn.com/tousu/show/id/1365471</t>
  </si>
  <si>
    <t>2019/10/16 10:41:55</t>
  </si>
  <si>
    <t>停止一切骚扰恐吓，辱骂，走正规程序，不要骚扰家里老人。</t>
  </si>
  <si>
    <t>蛋壳公寓霸王条款</t>
  </si>
  <si>
    <t>http://ts.21cn.com/tousu/show/id/1365470</t>
  </si>
  <si>
    <t>2019/10/16 10:41:16</t>
  </si>
  <si>
    <t>押一付三，房租到期，在缓冲期申请退款蛋壳公司拒绝退款，押金全扣，我说你可以合理的扣除费用，退部分押金，蛋壳公寓拒绝，合同写出典型的霸王条款，。</t>
  </si>
  <si>
    <t>幼儿园凡学非凡学习app图书馆借书卡押金退不了</t>
  </si>
  <si>
    <t>http://ts.21cn.com/tousu/show/id/1365469</t>
  </si>
  <si>
    <t>2019/10/16 10:41:10</t>
  </si>
  <si>
    <t>幼儿园与凡学合作办的非凡图书馆，推荐使用非凡学习App借书卡，宣传中承诺押金可以随时退，结果充了300元不想用了押金一直退不了，都三个多月了，客服推脱责任，现要以图书标价抵押金的方式处理，怎么会有这种骗钱的软件进幼儿园呢！！！现在APP又更名为互动宝宝！。</t>
  </si>
  <si>
    <t>捷信外包公司威胁恐吓</t>
  </si>
  <si>
    <t>http://ts.21cn.com/tousu/show/id/1365468</t>
  </si>
  <si>
    <t>2019/10/16 10:40:05</t>
  </si>
  <si>
    <t>这个10月不停的收到捷信第三方外包公司的骚扰，给我打电话，给亲戚朋友打电话，给乡政府村委干部打电话发短信诋毁我老公的名誉，还邮寄恐吓邮件到我们村支书村干部，声称不还钱就要去我家里找我女儿卖了，家里只就我婆婆在，现在已经在住院，短信还说要搬东西抵债，还找私人号码说是律师要起诉我，一个女的让我们还钱，后来有是一男问我在哪儿，说抓着我就死定了，我们不是不还，65000我们还了30000多，现在还要我们还将近80000左右，。</t>
  </si>
  <si>
    <t>在借贷宝打完借条不打款，现在催收骚扰我</t>
  </si>
  <si>
    <t>http://ts.21cn.com/tousu/show/id/1365431</t>
  </si>
  <si>
    <t>2019/10/16 10:39:52</t>
  </si>
  <si>
    <t>有人在借贷宝骗借条借贷宝客服不处理现在催收一直骚扰。</t>
  </si>
  <si>
    <t>中信银行违规催收乱律师函</t>
  </si>
  <si>
    <t>http://ts.21cn.com/tousu/show/id/1365467</t>
  </si>
  <si>
    <t>2019/10/16 10:39:30</t>
  </si>
  <si>
    <t>我有一张中信银行信用卡，我每个月都有在还款，但是银行还是在我不知情的情况下，乱向我家里发律师函，现在弄得家里人生病住院，完成人身精神损失！。</t>
  </si>
  <si>
    <t>http://ts.21cn.com/tousu/show/id/1365466</t>
  </si>
  <si>
    <t>2019/10/16 10:39:13</t>
  </si>
  <si>
    <t>投诉人粟先生投诉对象拇指下款涉诉金额299元问题类型诉求类型投诉详情拇指下款注册填了资料并没有下款而是在晚上我不知情的情况下恶意盗刷我银行卡里得钱！。</t>
  </si>
  <si>
    <t>希望延期还款</t>
  </si>
  <si>
    <t>http://ts.21cn.com/tousu/show/id/1365465</t>
  </si>
  <si>
    <t>2019/10/16 10:38:39</t>
  </si>
  <si>
    <t>一共要还544，今天我只筹集到了100，他们那边说12点钱未还款就要走催收流程了，希望他们那边可以给我两天的时间，。</t>
  </si>
  <si>
    <t>利息过高申请提前还款不给优惠</t>
  </si>
  <si>
    <t>http://ts.21cn.com/tousu/show/id/1365464</t>
  </si>
  <si>
    <t>2019/10/16 10:38:38</t>
  </si>
  <si>
    <t>7月在好分期借款3650，8月份借380多，已经还了2000多，现在还要求还3000多。</t>
  </si>
  <si>
    <t>拍拍贷威胁恐吓</t>
  </si>
  <si>
    <t>http://ts.21cn.com/tousu/show/id/1365462</t>
  </si>
  <si>
    <t>2019/10/16 10:38:32</t>
  </si>
  <si>
    <t>投诉人王宏茹投诉对象拍拍贷涉诉金额6500元问题类型诉求类型投诉详情我是拍拍贷借款人的亲属，她在拍拍贷借款6500元，分12期还款，已还9期，每期还700多元，本金已还完，还超出部分利息，我亲戚因为投资失败，现在生活都困难，所以第十期就没还，中间也有打电话跟拍拍贷说明情况。</t>
  </si>
  <si>
    <t>http://ts.21cn.com/tousu/show/id/1365461</t>
  </si>
  <si>
    <t>2019/10/16 10:38:22</t>
  </si>
  <si>
    <t>在借贷宝上借了3000，昨天15展期但是忘记确认了，然后今天16和出借方说了，十点左右，出借方把条子处理好后，让我重新确认了，因为商场十点开门，需要打扫卫生开会迎宾，十点20分左右借贷宝的客服电话过来催，说什么怎么还不处理，那么长时间了，我说，我商场开门需要很多事情要做的，他说，你连上厕所时间都没有的嘛，拜托，你无知我不怪你，毕竟你只要坐在那里打打电话骚扰一下别人就行！但是我和人家出借人沟通也需要时间的！人家也不像你天天坐在电话前就可以的，何况，借贷宝上的展期确认截止时间为今天晚上十一点！重要的事情是！你们</t>
  </si>
  <si>
    <t>小笼宝贷款平台</t>
  </si>
  <si>
    <t>http://ts.21cn.com/tousu/show/id/1365463</t>
  </si>
  <si>
    <t>2019/10/16 10:38:21</t>
  </si>
  <si>
    <t>投诉人赵先生投诉对象小笼宝贷款平台涉诉金额3000元问题类型诉求类型投诉详情本人在小笼宝贷款平台借款3000元，仅到账2100元，期限为7天，到期还款3014.70元，易宝支付转账，现由于资金问题，希望平台能减免费用，仅还本金和国家规定的合理利息！。</t>
  </si>
  <si>
    <t>华夏人寿保险股份有限公司没有经过我同意扣除保费</t>
  </si>
  <si>
    <t>http://ts.21cn.com/tousu/show/id/1365459</t>
  </si>
  <si>
    <t>2019/10/16 10:37:58</t>
  </si>
  <si>
    <t>投诉人周陈龙投诉对象华夏人寿保险股份有限公司涉诉金额375元问题类型诉求类型投诉详情未经过我本人同意，擅自扣除我银行卡余额投保。</t>
  </si>
  <si>
    <t>新生支付海南圣云可盗刷298元</t>
  </si>
  <si>
    <t>http://ts.21cn.com/tousu/show/id/1365457</t>
  </si>
  <si>
    <t>2019/10/16 10:37:33</t>
  </si>
  <si>
    <t>投诉人郁女士投诉对象新生支付,海南圣云可网络科技有限公司涉诉金额298元问题类型诉求类型投诉详情新生支付海南圣云可今天在本人不知情的情况下盗刷298元，本人没有任何操作与提示，要求退还盗刷金额298，出面道歉。</t>
  </si>
  <si>
    <t>立借催收辱骂，威胁，高利贷</t>
  </si>
  <si>
    <t>http://ts.21cn.com/tousu/show/id/1365455</t>
  </si>
  <si>
    <t>2019/10/16 10:37:31</t>
  </si>
  <si>
    <t>投诉人黄先生投诉对象立借涉诉金额2562元问题类型诉求类型投诉详情前面投诉了，后期一直没跟进，立借方这样高利贷，套路贷，我没逾期开始协商，这个费用不是我一个人投诉举报，也不是我一个人说套路贷，请有关部门关注立借这个平台，现在催收骂侮辱妈的言辞，诋毁我骗贷，威胁几点不按他们说的金额还钱，就打我所有亲朋好友电话，我说的很清楚合法利息内，一天内我凑钱还清，能跟个立借所有资料嘛。</t>
  </si>
  <si>
    <t>百度有钱花泄露个人隐私获取家人隐私并骚扰</t>
  </si>
  <si>
    <t>http://ts.21cn.com/tousu/show/id/1365456</t>
  </si>
  <si>
    <t>2019/10/16 10:37:11</t>
  </si>
  <si>
    <t>投诉人吴先生投诉对象百度有钱花涉诉金额10000元问题类型诉求类型投诉详情百度有钱花泄露个人隐私，催收发信息捏造事实说我不接电话故意躲避等等言语，还有不正当手段获取家人工作身份信息隐私并骚扰恐吓，本人想知道他们用什么手段获取家人隐私信息资料。</t>
  </si>
  <si>
    <t>滴滴限制给纯电动派大单导致双证的合规车辆入不敷出，违规给不合法的私家车派单，导致收入严重两极分化。</t>
  </si>
  <si>
    <t>http://ts.21cn.com/tousu/show/id/1365453</t>
  </si>
  <si>
    <t>2019/10/16 10:37:08</t>
  </si>
  <si>
    <t>投诉人齐先生投诉对象滴滴出行涉诉金额0元问题类型诉求类型投诉详情滴滴派单黑幕使劲给那些不合规的私家车派大单，一天就拉六七单，流水轻轻松松七八百，而真正合规的公户车，一天到晚全派的起步价，一天拉三十多单，流水就三百来元，还要承担高额的租金和保险，而私家车花几千元买一辆下线的出租车，几百元的保险就可以上路接单，一个礼拜就可回本，请问你凭什么给电车限制派单，电车的续航都在四百公里，难道还不如一罐气跑的多吗，政府提倡的环保电车在你们滴滴公司怎么就给否定了呢，你们比政府都厉害，难怪全国的公户合规电车都要求退车，席卷而</t>
  </si>
  <si>
    <t>国美易卡联和上海烈熊收砍头息</t>
  </si>
  <si>
    <t>http://ts.21cn.com/tousu/show/id/1365454</t>
  </si>
  <si>
    <t>2019/10/16 10:37:00</t>
  </si>
  <si>
    <t>投诉人张先生投诉对象国美易卡,烈银权益涉诉金额702元问题类型诉求类型投诉详情以某名义收砍头息，，，，，，，，，，，，，，，。</t>
  </si>
  <si>
    <t>暴力催收砍头息黑恶势力</t>
  </si>
  <si>
    <t>http://ts.21cn.com/tousu/show/id/1365451</t>
  </si>
  <si>
    <t>2019/10/16 10:36:35</t>
  </si>
  <si>
    <t>自由魔卡平台旗下六便士，借款需买会员卡，其实就是砍头息，到期暴力催收，现要求赔偿砍头息！。</t>
  </si>
  <si>
    <t>钱站存在套路贷，高利贷</t>
  </si>
  <si>
    <t>http://ts.21cn.com/tousu/show/id/1365450</t>
  </si>
  <si>
    <t>2019/10/16 10:36:33</t>
  </si>
  <si>
    <t>投诉人王先生投诉对象钱站涉诉金额70000元问题类型诉求类型投诉详情钱站之前借了90000然后每个月还4990要还12个月，之后还了7个月还不起了就逾期了一期就开始打各种骚扰电话，然后就是逼你还款，让你去借去贷来还，还说什么有个老友计划钱会到账就能还，然后加入之后发现就是把原来的还款抵消然后还把利息什么的变一下合同，这根本就是套路，而且这个还是钱站的催收人员亲自来套路你，根本就是把原来的合同改变一下。</t>
  </si>
  <si>
    <t>华夏信用卡催收人员很过分</t>
  </si>
  <si>
    <t>http://ts.21cn.com/tousu/show/id/1365449</t>
  </si>
  <si>
    <t>2019/10/16 10:36:06</t>
  </si>
  <si>
    <t>一直不停的骚扰我的家人朋友，我也每个月都在还，不是一直不还，只是最近没工作，经济上比较困难，催收人员就一直骚扰我的家人和朋友，还威胁说要来找我的父亲，都是成年人，自己可以负责，父母身体本来就不好，如果有个什么不好的话银行也应该负责。</t>
  </si>
  <si>
    <t>安逸花乱收利息，乱收各种服务费</t>
  </si>
  <si>
    <t>http://ts.21cn.com/tousu/show/id/1365448</t>
  </si>
  <si>
    <t>2019/10/16 10:35:56</t>
  </si>
  <si>
    <t>涉诉金额17140元问题类型诉求类型投诉详情我是2019年3月16号借了15500元，后来还清了又借了5000块，分期还的，还了三四期，后来没钱还，就欠了两期，今天准备还款，发现这个平台乱收各种费用，，罚息还罚这么多；如果借款平台把这些乱收的费用解决一下，我会马上还款的。</t>
  </si>
  <si>
    <t>飞机延误了两天，航空公司不作为，保险公司以航班取消不属于延误拒赔</t>
  </si>
  <si>
    <t>http://ts.21cn.com/tousu/show/id/1365446</t>
  </si>
  <si>
    <t>2019/10/16 10:35:39</t>
  </si>
  <si>
    <t>投诉人李茜莉女士投诉对象春秋航空,中国人寿财产保险涉诉金额3500元问题类型诉求类型投诉详情1、航空公司方面：我们原先预定了10月2日晚上从南京飞济州岛的来回机票，具体航班是10月2日春秋航空9C6149航班约20:05起飞，10月2日下午1点41分收到航空公司发来的航班调整短信，说航班调整到10月3日早上8点，此时我们已经赶往机场，没有得到任何的解释和安置，为避免隔天出发晚了，我们只好选择在机场附近继续等待一晚，酒店费用都是自己出的，等到2号晚上将近凌晨11点15分，又收到航空公司的短信说，航班取消！，补</t>
  </si>
  <si>
    <t>融360及贷恶意骚扰催收</t>
  </si>
  <si>
    <t>http://ts.21cn.com/tousu/show/id/1365444</t>
  </si>
  <si>
    <t>2019/10/16 10:34:57</t>
  </si>
  <si>
    <t>投诉人黄女士投诉对象融360,及贷,ppmomey涉诉金额7800元问题类型诉求类型投诉详情融360恶意催收骚扰通过不达渠道得到本人信息对本人及公司及家人进行恶意骚扰严重干扰本人生活本人在平台借款7800元由于阴阳合同和超过国家法规标准的费息已属于违法行为本人在还款7000元时与平台沟通偿还本息加合理费息无果故拒绝还款绝不姑息此违法行为嚣张气焰但此平台仍拒绝协商并对本人及家人进行恶意骚扰并冒充执法职业人员对本人进行恐吓严重影响本人生活在扫黑除恶行动如此高效的情况下此平台还如此猖狂本人要求平台立即停止骚扰并积</t>
  </si>
  <si>
    <t>扣款不退</t>
  </si>
  <si>
    <t>http://ts.21cn.com/tousu/show/id/1365443</t>
  </si>
  <si>
    <t>2019/10/16 10:34:52</t>
  </si>
  <si>
    <t>投诉人邱先生投诉对象造艺科技涉诉金额298元问题类型诉求类型投诉详情上海造艺科技有限公司在我没输入密码的情况下扣款298.5元。</t>
  </si>
  <si>
    <t>马上金融恶意催收</t>
  </si>
  <si>
    <t>http://ts.21cn.com/tousu/show/id/1365441</t>
  </si>
  <si>
    <t>2019/10/16 10:34:31</t>
  </si>
  <si>
    <t>投诉人李女士投诉对象马上消费金融涉诉金额1900元问题类型诉求类型投诉详情马上金融工作人员恶意骚扰，本人由于出现紧急情况暂时无法还款，在医院动手术，希望能够协商处理，不要恶意骚扰，威胁恐吓。</t>
  </si>
  <si>
    <t>凡普金科喝血的贷款50000阴阳合同达76900多的高利贷</t>
  </si>
  <si>
    <t>http://ts.21cn.com/tousu/show/id/1365442</t>
  </si>
  <si>
    <t>2019/10/16 10:34:23</t>
  </si>
  <si>
    <t>本人在2017年2月10号线下凡普金科天津营业点贷款50000万元，合同本金却是76900元实际到账50000元，36期还完，开始至今已还31期，每期金额2531.72元，累计还款78483.32元，超出本金28483.32元，同年11月.20号电销宣传误导续贷30000元整，36期，每月还款1526.28已还23期利息占了本金的60%多国家规定小额不能超36%，这笔贷款的利息已超过合法范围，凡普所收取的高额利息已经远远的超过了国家法定利息范围，要求凡普降低利率，我将不再支付额外的任何利息费用，凡普金科涉嫌</t>
  </si>
  <si>
    <t>骚扰电话</t>
  </si>
  <si>
    <t>http://ts.21cn.com/tousu/show/id/1365440</t>
  </si>
  <si>
    <t>2019/10/16 10:34:07</t>
  </si>
  <si>
    <t>骚扰正常工作，威胁我们员工，不给他们回电就频繁骚扰我们前台电话，态度恶劣，希望平台能调查。</t>
  </si>
  <si>
    <t>开出结清证明</t>
  </si>
  <si>
    <t>http://ts.21cn.com/tousu/show/id/1365438</t>
  </si>
  <si>
    <t>2019/10/16 10:33:38</t>
  </si>
  <si>
    <t>我于2019年10月11日晚把分期乐下的所有贷款全部还清，现在买房贷款需要这些银行和金融机构的结清证明，现在我联系不到他们的客服，我10月18号就要进行贷款了，没有证明我没法贷款，要损失几万块钱，希望能帮我处理这件事，开出结清证明，别耽误买房子的事，我从来没没有逾期过，希望能在今天开出来结清证明。</t>
  </si>
  <si>
    <t>骚扰恐吓威胁</t>
  </si>
  <si>
    <t>http://ts.21cn.com/tousu/show/id/1365436</t>
  </si>
  <si>
    <t>2019/10/16 10:33:18</t>
  </si>
  <si>
    <t>说话好像很厉害的样子，这么厉害能不能光明正大来，偷偷去拿车是不是很过分，你要我地址我给你，能不能光明正大来。</t>
  </si>
  <si>
    <t>高利贷，电话骚扰，销账处理还本金</t>
  </si>
  <si>
    <t>http://ts.21cn.com/tousu/show/id/1365434</t>
  </si>
  <si>
    <t>2019/10/16 10:33:01</t>
  </si>
  <si>
    <t>利息一个月700多，借款2800，只还本金，销账，客服电话4000128667。</t>
  </si>
  <si>
    <t>买了提货券不让提货</t>
  </si>
  <si>
    <t>http://ts.21cn.com/tousu/show/id/1365433</t>
  </si>
  <si>
    <t>2019/10/16 10:33:00</t>
  </si>
  <si>
    <t>于2019年9月18日在他家公司的天猫紫澄旗舰店购买了大闸蟹提货券，于10月15日起按礼券说明提货，使用了所有方式，连续三天都联系不到客服，我又没有联系商家的任何渠道只能投诉，希望能帮我联系到商家办理提货，微信二维码永远是已约满和未开放两种状态，无法下单！电话提货永远打不通，！浪费了很多电话费！商家卖了提货卡后不让提货，属于欺骗消费者！我又没有联系商家的任何渠道，只能投诉，希望能帮我联系到商家办理提货！谢谢。</t>
  </si>
  <si>
    <t>包银消费金融强制贷款</t>
  </si>
  <si>
    <t>http://ts.21cn.com/tousu/show/id/1365366</t>
  </si>
  <si>
    <t>2019/10/16 10:32:38</t>
  </si>
  <si>
    <t>投诉人陈女士投诉对象包银消费金融涉诉金额10000元问题类型诉求类型投诉详情包银消费金融APP申请前未有标明任何费用，申请后却说要工本费，如果不支付工本费就没办法提现额度，希望有关部门介入帮我处理，否则我没借款但是却需要还款，数目还不小。</t>
  </si>
  <si>
    <t>中程建教育蓄意欺诈，虚假宣传</t>
  </si>
  <si>
    <t>http://ts.21cn.com/tousu/show/id/1365229</t>
  </si>
  <si>
    <t>2019/10/16 10:32:21</t>
  </si>
  <si>
    <t>投诉人舒慧投诉对象中程建教育涉诉金额8380元问题类型诉求类型投诉详情2018年4月份通过网络了解北京中程建教育机构和注册消防工程师的课程，但由于学历不符合报考条件，机构招生老师说他们机构在消委有关系，可以代报名，可以代挂靠，还承诺3年包过，一门不过退1000元，两门不过退2000元，三年不过退3000元，当时相信了，并交了500元订金，后来通过和机构招生老师详细沟通，并反复强调过要能代报名成功才会报消防课程，老师口头承诺，如果是他们机构的原因导致不能帮我报名成功退还全部费用，我希望法律能还我一个公道也希望</t>
  </si>
  <si>
    <t>来分期高利贷</t>
  </si>
  <si>
    <t>http://ts.21cn.com/tousu/show/id/1365432</t>
  </si>
  <si>
    <t>2019/10/16 10:32:20</t>
  </si>
  <si>
    <t>2000块钱我一个月就能还完了，强制让我最低分9期。</t>
  </si>
  <si>
    <t>你我贷过高的平台费和服务费</t>
  </si>
  <si>
    <t>http://ts.21cn.com/tousu/show/id/1365430</t>
  </si>
  <si>
    <t>2019/10/16 10:32:13</t>
  </si>
  <si>
    <t>我在你我贷平台贷款5000，分12期，前两期，都需要还款1191.44元，包括管理费750，之后的10期，没一期需还款441.44元，合计共需还款6800多元，这已经是高利贷了，还有什么债权转让，用自己过高的平台费和服务费掩饰自己的高利率，本身14号还款1194元，我因为有事逾期两天，现在需要还款1632元。</t>
  </si>
  <si>
    <t>不下款还扣299</t>
  </si>
  <si>
    <t>http://ts.21cn.com/tousu/show/id/1365428</t>
  </si>
  <si>
    <t>2019/10/16 10:31:44</t>
  </si>
  <si>
    <t>不下款还扣钱，而且在没有申请的情况下，无缘无故走我卡里扣了299，。</t>
  </si>
  <si>
    <t>http://ts.21cn.com/tousu/show/id/1365429</t>
  </si>
  <si>
    <t>2019/10/16 10:31:23</t>
  </si>
  <si>
    <t>恐吓，暴力催收，爆通讯录，我每个月都是月底发工资还的，给他们客服说了逾期费用我也一起还的，可是他们还是天天爆通讯录。</t>
  </si>
  <si>
    <t>你我贷违规起诉</t>
  </si>
  <si>
    <t>http://ts.21cn.com/tousu/show/id/1365426</t>
  </si>
  <si>
    <t>2019/10/16 10:30:58</t>
  </si>
  <si>
    <t>你我贷违规起诉，我现在成了失信人，面临限制高消费，希望你我贷公司给出合理解释，我根本没有接到关于起诉的任何通知。</t>
  </si>
  <si>
    <t>昨天有业务员来我店里推销办理信用卡，但必须得买盛pos机，一切都没有按流程走，首先就让我刷299元，信用卡也没办到。</t>
  </si>
  <si>
    <t>http://ts.21cn.com/tousu/show/id/1365424</t>
  </si>
  <si>
    <t>2019/10/16 10:30:41</t>
  </si>
  <si>
    <t>360借条不经允许联系家人</t>
  </si>
  <si>
    <t>http://ts.21cn.com/tousu/show/id/1365425</t>
  </si>
  <si>
    <t>2019/10/16 10:30:21</t>
  </si>
  <si>
    <t>未经本人允许多次像家人打电话，骚扰电话严重影响我的生活。</t>
  </si>
  <si>
    <t>水莲金条高利贷提前还款不减免高利息</t>
  </si>
  <si>
    <t>http://ts.21cn.com/tousu/show/id/1365422</t>
  </si>
  <si>
    <t>2019/10/16 10:30:03</t>
  </si>
  <si>
    <t>水莲金条公司主体：北京三借科技有限公司注册地址：北京市海淀区信息路28号6层A座-1079法定代表人：宋国涛经营范围：技术服务、技术转让、技术开发、技术推广、技术咨询；计算机系统服务；基础软件服务；应用软件服务；软件开发；设计、制作、代理、发布广告；企业策划；数据处理，数据处理中的银行卡中心、PUE值在1.5以上的云计算数据中心除外，企业依法自主选择经营项目，开展经营活动；依法须经批准的项目，经相关部门批准后依批准的内容开展经营活动；不得从事本市产业政策禁止和限制类项目的经营活动，经营范围中并没有贷款相关金</t>
  </si>
  <si>
    <t>被无故扣费</t>
  </si>
  <si>
    <t>http://ts.21cn.com/tousu/show/id/1365423</t>
  </si>
  <si>
    <t>2019/10/16 10:30:00</t>
  </si>
  <si>
    <t>本人因为需要周转下载百事普惠APP后，上面有借款但是前提是需要点击评估，结果点击评估、绑定银行卡后就被分两次扣款200元。</t>
  </si>
  <si>
    <t>富友支付违规为现金巴士提供高额砍头息支付通道</t>
  </si>
  <si>
    <t>http://ts.21cn.com/tousu/show/id/1365379</t>
  </si>
  <si>
    <t>2019/10/16 10:29:47</t>
  </si>
  <si>
    <t>在现金巴士借款1000元，被误导消费砍头息98元，由富友支付提供支付通道。</t>
  </si>
  <si>
    <t>58好借高利息不退款给我</t>
  </si>
  <si>
    <t>http://ts.21cn.com/tousu/show/id/1365421</t>
  </si>
  <si>
    <t>2019/10/16 10:29:30</t>
  </si>
  <si>
    <t>投诉人毛女士投诉对象58好借涉诉金额566元问题类型诉求类型投诉详情上个月月底无意中点到了58好借这个平台借了3400，还没等我回过神来钱就到我的账户了，我就到黑猫投诉了，然后有客服联系我，说要我全额付款，然后多余的退款给我，至今半个月还不见退款，一直敷衍了事，我强烈不满。</t>
  </si>
  <si>
    <t>未经本人允许自动扣款</t>
  </si>
  <si>
    <t>http://ts.21cn.com/tousu/show/id/1365420</t>
  </si>
  <si>
    <t>2019/10/16 10:29:07</t>
  </si>
  <si>
    <t>只收到一条短信通知，我已成功购买金牛借钱会员服务，价格199元，接着就收到银行短信通知被扣款，199元，我并没有收到任何确认和验证信息，就被自动扣走。</t>
  </si>
  <si>
    <t>http://ts.21cn.com/tousu/show/id/1365418</t>
  </si>
  <si>
    <t>2019/10/16 10:28:28</t>
  </si>
  <si>
    <t>投诉人曹女士投诉对象活力花涉诉金额3000元问题类型诉求类型投诉详情活力花是七天短期借款，七天利息高，是几百，这还不是高利息是什么，每天到处打电话骚扰朋友，家人，对我生活工作已经造成严重影响，每天还发短信，威胁，请问这么高的利息还是七天短期，算不算高利贷，难道这么高的利息不应该管一下吗，打黑除恶不应该管高利贷吗，七天短期七八百的利息！。</t>
  </si>
  <si>
    <t>中国人保刻意隐瞒</t>
  </si>
  <si>
    <t>http://ts.21cn.com/tousu/show/id/1363165</t>
  </si>
  <si>
    <t>2019/10/16 10:27:48</t>
  </si>
  <si>
    <t>投诉人曹先生投诉对象中国人保涉诉金额9000元问题类型诉求类型投诉详情中国人保在未告知本人的情况下，由第三方借贷平台私自做主为本人投保，过了俩个月我才知道实情，而且我现在要退保，被客服拒绝，请有关部门严查。</t>
  </si>
  <si>
    <t>小花违法</t>
  </si>
  <si>
    <t>http://ts.21cn.com/tousu/show/id/1365419</t>
  </si>
  <si>
    <t>2019/10/16 10:27:47</t>
  </si>
  <si>
    <t>投诉人高女士投诉对象小花钱包涉诉金额5000元问题类型诉求类型投诉详情恶意催收，曝光通讯录，曝光照片，诽谤，违法。</t>
  </si>
  <si>
    <t>暴力催收假传法律文书</t>
  </si>
  <si>
    <t>http://ts.21cn.com/tousu/show/id/1365367</t>
  </si>
  <si>
    <t>2019/10/16 10:27:32</t>
  </si>
  <si>
    <t>投诉平安普惠之前进行暴力催收私发信息给我家人还爆通讯录严重骚扰我家人严重侵犯我的隐私权还侮辱我妈妈，情节严重现在又委托第三方平台工作人员邓江东假传法律文书还进行语言不当恐吓我要坐牢，多次打电话给我始终都没有满意的答案自己人帮自己人和第三方平台共同犯罪种种行为已经触犯了法律要求平安普惠作出赔偿以示表达自己的错误惩罚第三方平台相关的工作人员在此要求平安普惠把剩余的利息全免把剩下的本金重新分期。</t>
  </si>
  <si>
    <t>小黑鲨暴力催收威胁恐吓</t>
  </si>
  <si>
    <t>http://ts.21cn.com/tousu/show/id/1365416</t>
  </si>
  <si>
    <t>2019/10/16 10:27:23</t>
  </si>
  <si>
    <t>之前已经在聚投诉上面前前后后反应过小黑鲨暴力催收恐吓，总是以爆通讯录做威胁，自居黑社会，要是还在一而再再而三的进行如此协商，本人拒绝沟通协商，要是爆通讯录，本人将会拒绝还款，望聚投诉多多跟进。</t>
  </si>
  <si>
    <t>http://ts.21cn.com/tousu/show/id/1365413</t>
  </si>
  <si>
    <t>2019/10/16 10:26:56</t>
  </si>
  <si>
    <t>态度很不好，个人原因资金周转问题，都会还，希望时间宽限，对生活工作造成影响，希望不要骚扰工作和家庭。</t>
  </si>
  <si>
    <t>高利息暴击催收无法协商</t>
  </si>
  <si>
    <t>http://ts.21cn.com/tousu/show/id/1365414</t>
  </si>
  <si>
    <t>2019/10/16 10:26:50</t>
  </si>
  <si>
    <t>由于资金有困难，就使用了闪银，用了一段时间虽然知道闪银的利息挺高违反了国家相关法律，但是相对于一些特别高的也还好，但是最近突然不能使用，账单到期也是一起到期，一下要还款大几千，然后催收电话就打开，态度相当不好，还威胁我。</t>
  </si>
  <si>
    <t>http://ts.21cn.com/tousu/show/id/1365412</t>
  </si>
  <si>
    <t>2019/10/16 10:26:46</t>
  </si>
  <si>
    <t>本人于2017年11月和2018年分别在玖富叮当借款，金额是41500元和6800元，现在还了近一年半，之前贷款的时候没有合同，下款后才有的合同，最近几个月和律师朋友和金融朋友聊天，才知道玖富叮当涉嫌阴阳合同和高利贷，已经高于国家法定利息很多，最近没有再还，之前在聚投诉投诉投诉后，有客服和我协商提前结清，才能减免利息，但协商金额已经超出本人还款能力，只想重新规划还款金额，按照国家法定利息还款，多余一分也不会还。</t>
  </si>
  <si>
    <t>友信信贷变相高利贷借款10万要求还14万</t>
  </si>
  <si>
    <t>http://ts.21cn.com/tousu/show/id/1365411</t>
  </si>
  <si>
    <t>2019/10/16 10:26:05</t>
  </si>
  <si>
    <t>投诉人卢先生投诉对象友信涉诉金额100000元问题类型诉求类型投诉详情2019年1月份在友信上借款10万元，还了9期，联系客服客服告知我借了14万，现在我要提前还款却告知还要还9万6，我已经每月还了2700的本金➕2000快的利息。</t>
  </si>
  <si>
    <t>超高利息暴力催收</t>
  </si>
  <si>
    <t>http://ts.21cn.com/tousu/show/id/1365410</t>
  </si>
  <si>
    <t>2019/10/16 10:25:47</t>
  </si>
  <si>
    <t>系统上还显示剩余应还款为29877.21元。</t>
  </si>
  <si>
    <t>拼多多限制我货款提现</t>
  </si>
  <si>
    <t>http://ts.21cn.com/tousu/show/id/1365409</t>
  </si>
  <si>
    <t>2019/10/16 10:25:38</t>
  </si>
  <si>
    <t>本人在拼多多经营的好好的，无违规，无通知的情况下被拼多多平台给无缘无故冻结我账户资金，导致本人这边资金链断缺，供货不上，无法继续经营下去，拼多多客服也是在一再托辞，好不容易把店铺开的有点起色，没想到会发生这种情况，它是我的全部家产，我日积月累的心血在里面。</t>
  </si>
  <si>
    <t>钱站阴阳合同宰人的高利息服务费</t>
  </si>
  <si>
    <t>http://ts.21cn.com/tousu/show/id/1365408</t>
  </si>
  <si>
    <t>2019/10/16 10:24:55</t>
  </si>
  <si>
    <t>借款本金90000元，已经还了115000元了，还要我还36000，高利贷，多次与他们协商还款，始终没有得到任何回应，我只拿了95000元，合同上写102600元，这高利贷都合法了么，说有人来协商、一直没有人来协商、倒是催收短信一个接一个的。</t>
  </si>
  <si>
    <t>中兴支付违规提供714平台信用星球支付渠道</t>
  </si>
  <si>
    <t>http://ts.21cn.com/tousu/show/id/1365407</t>
  </si>
  <si>
    <t>2019/10/16 10:24:20</t>
  </si>
  <si>
    <t>在信用星球借款1500元，到账即扣除388元保险费用严重违反国家利率违反银监会规定，本人砍头息这些已经高达损失上千上万要求退还这些变相砍头息不合理费用。</t>
  </si>
  <si>
    <t>http://ts.21cn.com/tousu/show/id/1365406</t>
  </si>
  <si>
    <t>2019/10/16 10:24:18</t>
  </si>
  <si>
    <t>投诉人伍女士投诉对象小花钱包涉诉金额30000元问题类型诉求类型投诉详情在小花钱包上借款30000元，分25期还款，实际还款高达46242元，而且如果逾期情况下，催收部门会不停骚扰本人，恐吓本人，甚至从不知名渠道得取家里人的信息资料，全名、身份证号码、工作地点、同事电话以及滋扰家里人的工作地点电话、同事以及公司法人，在短信上威胁本还款，催收人员态度恶劣，处事方式无视法律法规，并且扬言要上门以及用家人的电话资料信息威胁本人。</t>
  </si>
  <si>
    <t>360金融恶意催收，爆通讯录</t>
  </si>
  <si>
    <t>http://ts.21cn.com/tousu/show/id/1365404</t>
  </si>
  <si>
    <t>2019/10/16 10:23:56</t>
  </si>
  <si>
    <t>逾期几天就爆通讯录，而且用的都是骚扰电话和诈骗电话打的，这300块钱随时可以还，但对于360爆通讯录的做法表示深恶痛绝，这种行为无法接受，现以严重影响到我的生活。</t>
  </si>
  <si>
    <t>京东白条外包催收天天电话骚扰，客服也不作为</t>
  </si>
  <si>
    <t>http://ts.21cn.com/tousu/show/id/1365405</t>
  </si>
  <si>
    <t>2019/10/16 10:23:55</t>
  </si>
  <si>
    <t>投诉人徐女士投诉对象京东金融涉诉金额1900元问题类型诉求类型投诉详情京东金融外包的催收一天超多电话轰炸，严重影响了我的生活和工作，我从来从来没有不想还款，奈何6月份被714高利贷骗了很多钱，没有还款能力，想跟白条公司这边协商还款的事情，希望免除生活上的骚扰。</t>
  </si>
  <si>
    <t>绿森商城超时一个月不发货</t>
  </si>
  <si>
    <t>http://ts.21cn.com/tousu/show/id/1365402</t>
  </si>
  <si>
    <t>2019/10/16 10:23:44</t>
  </si>
  <si>
    <t>9.17买的，正好满一个月，完全损害了消费者权益，我要求对方快速给我发货！。</t>
  </si>
  <si>
    <t>及贷年利率超过24％</t>
  </si>
  <si>
    <t>http://ts.21cn.com/tousu/show/id/1365403</t>
  </si>
  <si>
    <t>2019/10/16 10:23:38</t>
  </si>
  <si>
    <t>投诉人黄光林投诉对象及贷涉诉金额57000元问题类型诉求类型投诉详情借款35000两年还57000，超高利息。</t>
  </si>
  <si>
    <t>http://ts.21cn.com/tousu/show/id/1365398</t>
  </si>
  <si>
    <t>2019/10/16 10:23:23</t>
  </si>
  <si>
    <t>京东白条在本人无力偿还欠款，且不清楚我工作其实的情况下对我的生活进行可恶意揣测，例如你爸总有钱吧，在此期间我无数次表示要求停止计息挂账协商每个月还款，催收依然不依不饶微信惹我说打家里人电话，我不是不管只是目前能力有限，因为要求京东停催并停止计息挂账。</t>
  </si>
  <si>
    <t>My钱包暴力催收</t>
  </si>
  <si>
    <t>http://ts.21cn.com/tousu/show/id/1365397</t>
  </si>
  <si>
    <t>2019/10/16 10:23:20</t>
  </si>
  <si>
    <t>投诉人宗先生投诉对象MY钱包涉诉金额7300元问题类型诉求类型投诉详情My钱包暴力催收，打电话骚扰我的亲属朋友，要求停止骚扰并作出道歉！。</t>
  </si>
  <si>
    <t>有额度不给放款</t>
  </si>
  <si>
    <t>http://ts.21cn.com/tousu/show/id/1365401</t>
  </si>
  <si>
    <t>2019/10/16 10:23:17</t>
  </si>
  <si>
    <t>本人2016以来借用支付宝里面来分期一直以来征信良好，突然不让借款，我现在需要周转一下，有可用额度，就不放款，老是显示放款失败。</t>
  </si>
  <si>
    <t>分期乐暴力催收、违规读取通讯录</t>
  </si>
  <si>
    <t>http://ts.21cn.com/tousu/show/id/1365400</t>
  </si>
  <si>
    <t>2019/10/16 10:23:09</t>
  </si>
  <si>
    <t>7523号码，号码办下来之后就多次被分期乐来电骚扰，多次解释新办号码但还是多次接到骚扰电话，并且沟通中态度恶劣，认定我就是债务人，要求我偿还欠款，并且告知我之后会一直联系，后我将该号码设置一切陌生号码禁止呼入，但最近既然又联系了我常用的几个联系人进行催收，造成我的名誉声誉受到影响，我要投诉1、分期乐针对号码无故读取通讯录，现在需要一个解释，一个说法，如不解决我将再向相关监管部门投诉！！！。</t>
  </si>
  <si>
    <t>玖富万卡高利贷暴力催收</t>
  </si>
  <si>
    <t>http://ts.21cn.com/tousu/show/id/1365399</t>
  </si>
  <si>
    <t>2019/10/16 10:23:08</t>
  </si>
  <si>
    <t>玖富万卡暴力催收，爆我通讯录骚扰我朋友和家人，甚至还跟我家人和朋友造谣我说我诈翩，这个玖富万卡简直就是地痞流氓app，他们天天打电话骚扰我，我一接电话就辱骂我，现在搞得我不敢接电话，他们还发短信恐吓我，现在搞得我都快得抑郁症了，这些人跟黑社会有什么区别！！希望有关部门来处理这个流氓公司！！。</t>
  </si>
  <si>
    <t>与实物不符</t>
  </si>
  <si>
    <t>http://ts.21cn.com/tousu/show/id/1365395</t>
  </si>
  <si>
    <t>2019/10/16 10:23:06</t>
  </si>
  <si>
    <t>投诉人郭女士投诉对象金多多涉诉金额3000元问题类型诉求类型投诉详情5g黄金怎么可能卖3000，金店1克才310元而且收到的这个才4.6g骗人说5克。</t>
  </si>
  <si>
    <t>QQ音乐自动续费，无法取消，微信扣款未经过当事人授权</t>
  </si>
  <si>
    <t>http://ts.21cn.com/tousu/show/id/1365396</t>
  </si>
  <si>
    <t>2019/10/16 10:23:03</t>
  </si>
  <si>
    <t>按照QQ音乐取消续费的操作步骤，仍然无法取消自动续费，并未经当事人同意强行扣费，属于强制控制消费者违法行为。</t>
  </si>
  <si>
    <t>http://ts.21cn.com/tousu/show/id/1365393</t>
  </si>
  <si>
    <t>2019/10/16 10:22:12</t>
  </si>
  <si>
    <t>我于8月19日向立借借了7500分6期还，居然半年的利息要5100，6期共还12600，这样的利息简直可怕，更何况我现在失业了，更加无力偿付，我希望按正常的利息还了算了，打客服电话他们根本不解决，像这种黑心高利贷居然还存活着就没人能管管，希望借住贵平台呼吁一下。</t>
  </si>
  <si>
    <t>我来数科侵犯个人隐私</t>
  </si>
  <si>
    <t>http://ts.21cn.com/tousu/show/id/1365392</t>
  </si>
  <si>
    <t>2019/10/16 10:21:32</t>
  </si>
  <si>
    <t>我去年借了我来贷几笔钱，应该有30000多，已经还了15000多，到今年8月份我犹豫资金周转不开，没办法还，跟平台商量能不能宽限下，或者等我有钱一次性也可以，客服让我跟催收的协商，催收的根本就不同意，说必须让我还一期，而且催收还联系我朋友，家人，给他们发短信微信说他们已经到我县城了，要上们一次性清收，说是他们清收过程中一切后果他们不管，等等，昨天有个人加我微信，他又说在别的额地方收，今天下午4点到我家，等等，前两张是他们发给我朋友的短信，后天一个微信叫啊诚的是平台催收的说今天下午到。</t>
  </si>
  <si>
    <t>乐意花暴力催收</t>
  </si>
  <si>
    <t>http://ts.21cn.com/tousu/show/id/1365391</t>
  </si>
  <si>
    <t>2019/10/16 10:20:04</t>
  </si>
  <si>
    <t>投诉人 项先生        投诉对象  乐意花        涉诉金额  600 元    问题类型    诉求类型投诉详情  暴力催收一直威胁我 爆我联系人的通讯录一直发各种骚扰信息</t>
  </si>
  <si>
    <t>http://ts.21cn.com/tousu/show/id/1365389</t>
  </si>
  <si>
    <t>2019/10/16 10:19:59</t>
  </si>
  <si>
    <t>我和我媳妇因被人骗购房款款导致资金链断链，还不上招联，前期一直跟招联客服沟通每个月多少还一些，今天招联金融催收的人来电话说，客服拒绝和我们的协商，他们就能代表招联，我现在只要求招联停止催收和我们进行一个合理的还款计划，不希望有第三方无限骚扰我们俩正常生活，如果骚扰我媳妇单位导致工作没有了，我们不排除诉讼至法院保留我们的合法权益。</t>
  </si>
  <si>
    <t>暴力催收骚扰家人</t>
  </si>
  <si>
    <t>http://ts.21cn.com/tousu/show/id/1365291</t>
  </si>
  <si>
    <t>2019/10/16 10:18:51</t>
  </si>
  <si>
    <t>投诉人任海涛先生投诉对象51人品涉诉金额1800元问题类型诉求类型投诉详情暴力催收，，，，，，，，，，，，，骚扰家人。</t>
  </si>
  <si>
    <t>催收暴力催收，反馈至客服无反馈</t>
  </si>
  <si>
    <t>http://ts.21cn.com/tousu/show/id/1365388</t>
  </si>
  <si>
    <t>2019/10/16 10:18:50</t>
  </si>
  <si>
    <t>前期催收态度恶劣，暴力催收，威胁爆通讯录，反馈至客服，打了很多客服电话都是推诿，没有反馈。</t>
  </si>
  <si>
    <t>莫名其妙被小通商城扣款</t>
  </si>
  <si>
    <t>http://ts.21cn.com/tousu/show/id/1365386</t>
  </si>
  <si>
    <t>2019/10/16 10:18:39</t>
  </si>
  <si>
    <t>莫名扣款，且没有扣款说明，不是我本人操作，也没有收到任何的验证码，只收到一条扣款信息。</t>
  </si>
  <si>
    <t>拍拍贷恶意骚扰通讯录联系人！</t>
  </si>
  <si>
    <t>http://ts.21cn.com/tousu/show/id/1365387</t>
  </si>
  <si>
    <t>2019/10/16 10:18:38</t>
  </si>
  <si>
    <t>拍拍贷恶意骚扰本人通讯录里的联系人！联系人反映几分钟内连续接到7通骚扰电话！！！你们拍拍贷是国家机构吗，国家法律规定了每天催收电话限制数量，并且不得暴力非法催收！！！你们拍拍贷真的目无国法了，如果你们自认为凌驾于法律之上，那么可以无视我的投诉！！！。</t>
  </si>
  <si>
    <t>招联金融伪造律师函恶意暴力催收</t>
  </si>
  <si>
    <t>http://ts.21cn.com/tousu/show/id/1365385</t>
  </si>
  <si>
    <t>2019/10/16 10:18:37</t>
  </si>
  <si>
    <t>投诉人刘灏投诉对象招联金融涉诉金额13800元问题类型诉求类型投诉详情招联金融伪造虚假律师函群发我通讯录，并不常联系的朋友告知我的，要求招联金融停止这一系列行为，否则走法律诉讼处理。</t>
  </si>
  <si>
    <t>先花一亿元不给解决问题</t>
  </si>
  <si>
    <t>http://ts.21cn.com/tousu/show/id/1365384</t>
  </si>
  <si>
    <t>2019/10/16 10:18:02</t>
  </si>
  <si>
    <t>投诉人孙女士投诉对象先花一亿元涉诉金额420元问题类型诉求类型投诉详情借款先交了前期费用420，借款3000，结果3000一直不到账，账单还出了，找了客服五天，好不容易把账单消了说给退前期费用，又让我等3天说给退前期费用，等了3天找客服，客服说退回来了，我根本没收到钱，然后客服直接把我对话关了，我等了三天，问你们，你们说退回了，但是我根本没收到退款。</t>
  </si>
  <si>
    <t>个人手机号码长期被百度、360搜狗引擎标记为浙江亿众阀门有限公司，并且已经多次申请依然没有效果。自身隐私严重受到影响</t>
  </si>
  <si>
    <t>http://ts.21cn.com/tousu/show/id/1365383</t>
  </si>
  <si>
    <t>2019/10/16 10:17:22</t>
  </si>
  <si>
    <t>个人手机号码长期被百度、360搜狗引擎标记为浙江亿众阀门有限公司，并且已经多次申请依然没有效果。</t>
  </si>
  <si>
    <t>投诉拍拍贷不解决问题</t>
  </si>
  <si>
    <t>http://ts.21cn.com/tousu/show/id/1365381</t>
  </si>
  <si>
    <t>2019/10/16 10:17:17</t>
  </si>
  <si>
    <t>今天还给我打电话说什么走逾期后续流程威胁我。</t>
  </si>
  <si>
    <t>高利贷要求赔偿</t>
  </si>
  <si>
    <t>http://ts.21cn.com/tousu/show/id/1365382</t>
  </si>
  <si>
    <t>2019/10/16 10:17:09</t>
  </si>
  <si>
    <t>投诉人 邓女士        投诉对象  花闪云,广州锦添网络科技有限公司,合利宝        涉诉金额  10 000 元    问题类型    诉求类型投诉详情  暴力催收，还一直恐吓 希望能给个合理的处理方式</t>
  </si>
  <si>
    <t>金鸡下蛋（现改名金贝备）严重违法还款日当天就暴力催收</t>
  </si>
  <si>
    <t>http://ts.21cn.com/tousu/show/id/1365380</t>
  </si>
  <si>
    <t>2019/10/16 10:16:59</t>
  </si>
  <si>
    <t>本人在金鸡下蛋借款，借款1400元，合同六天，还款2000，还款日上午不停的催收还款，最低还款300缓三天实际只有2天，己多次续期，已经超过本金了，套路网贷，高利息，砍头息，希望相关部门做出处理，当日没逾期就打电话，开口就骂人，发短信恐吓，威胁p图群发裸照，集体送棺材！在能联系到借款人的情况下！轰炸漫骂我通讯录好友，他们的联系电话是180******00/180******83/。</t>
  </si>
  <si>
    <t>卡牛瑞贷砍头息，高利贷</t>
  </si>
  <si>
    <t>http://ts.21cn.com/tousu/show/id/1365378</t>
  </si>
  <si>
    <t>2019/10/16 10:16:39</t>
  </si>
  <si>
    <t>投诉人孙浩投诉对象卡牛信用管家涉诉金额16000元问题类型诉求类型投诉详情卡牛瑞贷广告虚假宣传说借1万利息日均3元下款后即扣2400元，总借款16000元，被扣2400元后实际到账13600，在被该平台总扣费8826.6元的情况下还要12853.25，也就是说到账13600元，一年要还8826.6+12853.25元，并希望贵平台能为我维护普通市民的正当权益，把多付的利息和头息减免。</t>
  </si>
  <si>
    <t>小赢钱包摇钱花高利贷暴力催收</t>
  </si>
  <si>
    <t>http://ts.21cn.com/tousu/show/id/1365377</t>
  </si>
  <si>
    <t>2019/10/16 10:16:12</t>
  </si>
  <si>
    <t>投诉人石女士投诉对象小赢钱包,摇钱花涉诉金额829元问题类型诉求类型投诉详情因为资金没到位，摇钱花，今天逾期第二天，今天可以还进去，但是得等时间到账！一大早就开始威胁不还钱要打给联系人！好好解释都不听，说了今天就可以还进去，一直拿联系人威胁我，在可以联系到我本人以及我也接受逾期的话会产生罚息的情况下，一直威胁爆通讯录！我就请问你们这样的和高利贷的区别在哪里。</t>
  </si>
  <si>
    <t>理发店办储值卡后店迁址郊区，拒不退款</t>
  </si>
  <si>
    <t>http://ts.21cn.com/tousu/show/id/1365375</t>
  </si>
  <si>
    <t>2019/10/16 10:15:56</t>
  </si>
  <si>
    <t>投诉人王帅投诉对象金典涉诉金额200元问题类型诉求类型投诉详情本人在四方金典理发店储值200元刚办卡，店家闭店迁址城阳郊区，拒不退款。</t>
  </si>
  <si>
    <t>http://ts.21cn.com/tousu/show/id/1365376</t>
  </si>
  <si>
    <t>投诉人刘女士投诉对象你我贷涉诉金额23000元问题类型诉求类型投诉详情你我贷借款23000，分12期还款，前三期每期需要偿还4330.63元，后九期每期需要还款将近2200元，年利率分明已经超过36%，本期因为本人资金出现问题未能及时还款造成逾期，你我贷在联系我本人的时候，打电话言语非常嚣张，态度极其恶劣，说我骗贷，请问你们有什么证据说我骗贷，我没有说不还啊，一分钟一个电话接了电话就骂人，扬言上门催收，要联系我父母，他有什么资格侵犯我的隐私，有什么资格未经允许擅自骚扰我身边的人，谁给他的权利诋毁我的名誉，从</t>
  </si>
  <si>
    <t>http://ts.21cn.com/tousu/show/id/1365374</t>
  </si>
  <si>
    <t>2019/10/16 10:15:23</t>
  </si>
  <si>
    <t>投诉人冯女士投诉对象钱橙无忧涉诉金额605元问题类型诉求类型投诉详情注册该平台后，未经本人允许，私自扣出银行卡里的605元，分几次操作完成。</t>
  </si>
  <si>
    <t>http://ts.21cn.com/tousu/show/id/1365163</t>
  </si>
  <si>
    <t>2019/10/16 10:15:17</t>
  </si>
  <si>
    <t>投诉人林欣投诉对象凡普信,通华小贷涉诉金额2544元问题类型诉求类型投诉详情凡普信自称减免中心工作人员，未经核实，所谓工作人员电话号码：170******91，发信息，发微信威胁我让我把钱存进平安银行储蓄卡等凡普扣款，但是本人存进去的钱无缘无故被上海嘉定通华小贷公司扣钱了，本人没有在上海嘉定通华小贷借过钱，现要求凡普信和嘉定通华小贷作出解释并要求退款。</t>
  </si>
  <si>
    <t>催收进行语言辱骂，短信轰炸</t>
  </si>
  <si>
    <t>http://ts.21cn.com/tousu/show/id/1365372</t>
  </si>
  <si>
    <t>2019/10/16 10:14:41</t>
  </si>
  <si>
    <t>应急贷催收人员对本人进行短信轰炸，电话骚扰，侮辱语言，极其恶劣，。</t>
  </si>
  <si>
    <t>http://ts.21cn.com/tousu/show/id/1365371</t>
  </si>
  <si>
    <t>2019/10/16 10:14:16</t>
  </si>
  <si>
    <t>开始跟平安银行催收协商过两天还款，都已经说好了，第二天又换一个人不断的打电话跟我问我什么时候还款，态度还是很恶劣！后面投诉到平安银行客服，当天下午催收打电话道歉，也说过两天就还，再打电话到平安客服投诉，这次没有任何电话过来道歉，只有逼问我什么时候还款，还说要停我的卡片禁止我使用，还要上门来催收。</t>
  </si>
  <si>
    <t>http://ts.21cn.com/tousu/show/id/1365370</t>
  </si>
  <si>
    <t>2019/10/16 10:14:03</t>
  </si>
  <si>
    <t>微贷网借款9000，实际到账8000，强行捆绑保险销售1000元。</t>
  </si>
  <si>
    <t>好分期收取5400借4个月要还7215元，乱收砍头息，诉求：调整利率，提前结清销账</t>
  </si>
  <si>
    <t>http://ts.21cn.com/tousu/show/id/1365369</t>
  </si>
  <si>
    <t>2019/10/16 10:13:57</t>
  </si>
  <si>
    <t>涉诉金额5400元问题类型诉求类型投诉详情本有7月14日在好分期借款5400元，已还4期共还款2669元，现提前结清还要还4546元，总利息1815元已经严重超出国家规定利率，诉求：调整按国家正常利息收取，提前结清销户处理。</t>
  </si>
  <si>
    <t>永安保险恶意捆绑销售贷款</t>
  </si>
  <si>
    <t>http://ts.21cn.com/tousu/show/id/1365368</t>
  </si>
  <si>
    <t>2019/10/16 10:13:21</t>
  </si>
  <si>
    <t>投诉人何先生投诉对象永安保险,沃钱包涉诉金额557元问题类型诉求类型投诉详情永安保险与沃钱包联合捆绑销售保险，一共6份，国家法律明文规定，贷款不能与保险捆绑，你们这是在知法犯法，现在我只能看见2份，有4份看不见，打电话，永安保险客服支支吾吾。</t>
  </si>
  <si>
    <t>立借钱置宝还款不了</t>
  </si>
  <si>
    <t>http://ts.21cn.com/tousu/show/id/1365364</t>
  </si>
  <si>
    <t>2019/10/16 10:12:36</t>
  </si>
  <si>
    <t>本人在立借钱置宝借了2450元，一个月分4期还清，每期还876元，一共要还3500元，属于高利贷，国家不于支持，请立借钱置宝工作人员与本人联系，本人有还款意愿，但是自从第一期还款之后，APP一直无法还款，后面三期一直没人联系我怎么还款导致逾期，逾期费用无法承受，现申诉调整利率，偿还合理利率内的金额，销账，提供结清证明。</t>
  </si>
  <si>
    <t>瓜子二手车卖调表车</t>
  </si>
  <si>
    <t>http://ts.21cn.com/tousu/show/id/1365365</t>
  </si>
  <si>
    <t>2019/10/16 10:12:34</t>
  </si>
  <si>
    <t>投诉人戴先生投诉对象上海瓜子二手车涉诉金额100000元问题类型诉求类型投诉详情今年八月在上海瓜子二手车购买名爵锐腾，合同里程为45600公里，现表显里程为49500公里，车载系统联网更新以后显示出来的保养记录已经82000公里以上，属于明显调表车辆，因为数据是联网更新的上汽官方数据真实可靠，现在瓜子单方面要求消费者提供消费者不可能拿到的变速箱数据才肯承认，名爵4S店也明确表示无法取得数据，而且严重影响我置换，表显49000公里，车载系统清空以后只要联网就会显示真实保养记录，这样的车谁要?瓜子要吗?今后我怎</t>
  </si>
  <si>
    <t>http://ts.21cn.com/tousu/show/id/1365363</t>
  </si>
  <si>
    <t>2019/10/16 10:12:17</t>
  </si>
  <si>
    <t>投诉人蔡先生投诉对象钱站涉诉金额4050元问题类型诉求类型投诉详情借款3000合同上面写借款4050，砍头贷款。</t>
  </si>
  <si>
    <t>http://ts.21cn.com/tousu/show/id/1365361</t>
  </si>
  <si>
    <t>2019/10/16 10:11:56</t>
  </si>
  <si>
    <t>你我贷借款逾期了，工资没到位，催收恐吓，连续打电话，威胁爆通讯录。</t>
  </si>
  <si>
    <t>http://ts.21cn.com/tousu/show/id/1365362</t>
  </si>
  <si>
    <t>2019/10/16 10:11:54</t>
  </si>
  <si>
    <t>投诉人黄先生投诉对象立刻出行涉诉金额499元问题类型诉求类型投诉详情我9月6号申请退的款，到现在一个多月了还不能退回来，电话客服也打不通。</t>
  </si>
  <si>
    <t>http://ts.21cn.com/tousu/show/id/1365360</t>
  </si>
  <si>
    <t>2019/10/16 10:11:52</t>
  </si>
  <si>
    <t>投诉人李先生投诉对象万惠及贷涉诉金额23624元问题类型诉求类型投诉详情本人在急用钱时于5月16在网络贷款平台及贷，8月15号借款8100元，分12期还款，要还11438元，现经济困难无力偿还，该平台利息高出国家规定近两倍，借款时在不知情的情况下被强行入会购买平台会员，分别是930元和1170.5元，并记入本金计算利息，提前结清手续费没有减免息费，平台要求分期期数长，询问客服，不能告知准确的日利率标准，钻法律空子，请相关部门介入调查，有此类网友一起投诉，共同维护合法权益。</t>
  </si>
  <si>
    <t>http://ts.21cn.com/tousu/show/id/1365359</t>
  </si>
  <si>
    <t>2019/10/16 10:11:26</t>
  </si>
  <si>
    <t>投诉人赵明华女士投诉对象达飞云贷涉诉金额29000元问题类型诉求类型投诉详情达飞云贷催收恐吓威胁我。</t>
  </si>
  <si>
    <t>高利率，暴力催收</t>
  </si>
  <si>
    <t>http://ts.21cn.com/tousu/show/id/1365358</t>
  </si>
  <si>
    <t>2019/10/16 10:11:18</t>
  </si>
  <si>
    <t>投诉人黄金花投诉对象社保掌上通里的金盈贷涉诉金额6500元问题类型诉求类型投诉详情在社保掌上通里的金盈贷，贷了6500本金，分12期，前面三期，每期1088.45元，后面的9期都是619！前后费用加起来，等额本息，已经超过年利率36%了，现协商1000元，一次性，全部结清！罚息也超过最高利率24%了！他方平台不愿意！那我只好投诉！至于，电话里，威胁说要爆通讯录，我有录音为证！我说过了，在联系到我本人的情况下，不可侵犯我的隐私权！否则我报警处理！。</t>
  </si>
  <si>
    <t>爆通讯录骚扰亲朋好友</t>
  </si>
  <si>
    <t>http://ts.21cn.com/tousu/show/id/1365357</t>
  </si>
  <si>
    <t>2019/10/16 10:11:00</t>
  </si>
  <si>
    <t>投诉人曹女士投诉对象有钱花涉诉金额1000元问题类型诉求类型投诉详情从昨天晚上爆通讯录骚扰亲朋好友同事，半夜三更还用网络电话☎️给朋友们打电话骚扰！希望停止骚扰。</t>
  </si>
  <si>
    <t>京东支付无缘无故划扣银行卡的钱</t>
  </si>
  <si>
    <t>http://ts.21cn.com/tousu/show/id/1365356</t>
  </si>
  <si>
    <t>2019/10/16 10:10:40</t>
  </si>
  <si>
    <t>京东支付无缘无故划扣我银行卡的钱请处退回，要是不快速退回我就报警处理。</t>
  </si>
  <si>
    <t>建设银行不正当上门催缴恐吓</t>
  </si>
  <si>
    <t>http://ts.21cn.com/tousu/show/id/1365354</t>
  </si>
  <si>
    <t>2019/10/16 10:10:35</t>
  </si>
  <si>
    <t>投诉人陈女士投诉对象建设银行涉诉金额100000元问题类型诉求类型投诉详情本人之前在建设银行信用极好自动授信快贷额度信用卡网上申请通过一直都是信誉良好就在去年本人再次向建设银行借了多次快贷其中有一笔额度相对高去年年底因为经营亏损导致资金链跟不上本人服装店暂停了营业同时也切断了收入来源因为婚后老公是一般的上班族仅有的收入也不够生活开支半年以来都是婆婆公公在支撑着可以说日子过得是紧凑也没有多余的钱可以还银行了导致本人多张信用卡也同时逾期无力偿还如果不是家里出现变故谁愿意做老赖谁又愿意拿着自己的征信开玩笑我是一个</t>
  </si>
  <si>
    <t>合同欺诈，违法催收，高利贷</t>
  </si>
  <si>
    <t>http://ts.21cn.com/tousu/show/id/1365355</t>
  </si>
  <si>
    <t>2019/10/16 10:10:28</t>
  </si>
  <si>
    <t>投诉人章先生投诉对象立借涉诉金额5000元问题类型诉求类型投诉详情借5500到帐5500，分12期还款，实际前三期就要还7000，属违法高利贷，希望协商还款销账。</t>
  </si>
  <si>
    <t>平安普惠，骚扰、暴力催收、威胁上门、联系欠款人家人朋友</t>
  </si>
  <si>
    <t>http://ts.21cn.com/tousu/show/id/1365353</t>
  </si>
  <si>
    <t>2019/10/16 10:10:11</t>
  </si>
  <si>
    <t>平安普惠企业管理有限公司涉嫌暴力催收，威胁，骚扰欠款人，泄露欠款人隐私，本人在平安普惠企业管理有限公司旗下平安普惠APP申请了一笔借款，账单与2019年10月15号到期，由于这两天本人资金周转实在困难，贷款逾期一天，本人明确表示确实是因为没钱没能及时处理，筹到钱会及时处理欠款！但是没想到该平台工作人员先后给我的爱人，我的父亲，以及我的亲戚朋友打电话告知了我的欠款情况！我想问问政府这样的公司真的合法吗，真的要把人逼到死你们才能出面管控这种违法公司吗，麻烦政府也能看看聚投诉上该公司的投诉7591条，都是关于该公</t>
  </si>
  <si>
    <t>闪银顺顺暴力催收</t>
  </si>
  <si>
    <t>http://ts.21cn.com/tousu/show/id/1365352</t>
  </si>
  <si>
    <t>2019/10/16 10:10:03</t>
  </si>
  <si>
    <t>闪银女催收，一上来就骂人，还拿我父母说话，侮辱我父母，我欠钱不关我父母的事，结果这个女催收根本不听协商，直接就说12点不还就爆通讯录。</t>
  </si>
  <si>
    <t>http://ts.21cn.com/tousu/show/id/1365350</t>
  </si>
  <si>
    <t>2019/10/16 10:09:48</t>
  </si>
  <si>
    <t>平安普惠电话放款，50000，36期，每期2501.6元，已还26期。</t>
  </si>
  <si>
    <t>万达普惠逾期罚息不合理</t>
  </si>
  <si>
    <t>http://ts.21cn.com/tousu/show/id/1365351</t>
  </si>
  <si>
    <t>2019/10/16 10:09:47</t>
  </si>
  <si>
    <t>家里出事～逾期6天～每天不停骚扰我和好友我说本周会还～催收还是让我自己小心～后果自负。</t>
  </si>
  <si>
    <t>银盛通pos机代理中途截取信用卡的挂号信以邮政送货的理由虚假推销盛pos机说免费结果扣取298元激活费</t>
  </si>
  <si>
    <t>http://ts.21cn.com/tousu/show/id/1365349</t>
  </si>
  <si>
    <t>2019/10/16 10:09:42</t>
  </si>
  <si>
    <t>投诉人李女士投诉对象银盛支付涉诉金额298元问题类型诉求类型投诉详情本人的招商信用卡是以邮政的挂号信方式寄出，但是送货的人是盛pos的代理，打电话竟然给我说的你有一张招商的信用卡到了，我们这边跟招商合作会免费赠送一个pos机，后续纠其问题不承认冒充招商的合作第三方，原邮政快递员表示按上级吩咐办事必须转之送货，后续一直承诺免费pos结果还收取了298的激活费，承诺回退，问其时间后续跟我说一年，之后又说半年，目前已经过了半个月了，仅退款50元，无数次说会退款却一直没有动静，说其公司是正规的却扬言就算公司也不会处</t>
  </si>
  <si>
    <t>钱站逾期一天即收取100元逾期费用</t>
  </si>
  <si>
    <t>http://ts.21cn.com/tousu/show/id/1365348</t>
  </si>
  <si>
    <t>2019/10/16 10:08:58</t>
  </si>
  <si>
    <t>本人于2019年7月17日逾期一天，钱站即收取我100元的与其费用，每日逾期费用达借款本金的3.33%，明显违法，请退回我。</t>
  </si>
  <si>
    <t>360借条暴利催收，爆通讯录</t>
  </si>
  <si>
    <t>http://ts.21cn.com/tousu/show/id/1365347</t>
  </si>
  <si>
    <t>2019/10/16 10:08:48</t>
  </si>
  <si>
    <t>因最近资金状况出现意外，造成360借条欠款逾期，但360借条多次恐吓威胁要提交村委会及家人朋友，软暴力催收，影响我工作，。</t>
  </si>
  <si>
    <t>拍拍贷暴力催收伪造律师函</t>
  </si>
  <si>
    <t>http://ts.21cn.com/tousu/show/id/1365346</t>
  </si>
  <si>
    <t>2019/10/16 10:08:47</t>
  </si>
  <si>
    <t>投诉人张女士投诉对象拍拍贷涉诉金额2500元问题类型诉求类型投诉详情骚扰本人通讯录好友，恶意恐吓，利息过高，给本人造成困扰。</t>
  </si>
  <si>
    <t>如期分期砍头息</t>
  </si>
  <si>
    <t>http://ts.21cn.com/tousu/show/id/1365289</t>
  </si>
  <si>
    <t>2019/10/16 10:08:38</t>
  </si>
  <si>
    <t>如期分期申请20000元贷款到账后，直接通过宝付支付从银行卡扣了2900元。</t>
  </si>
  <si>
    <t>速金服没法取消借款</t>
  </si>
  <si>
    <t>http://ts.21cn.com/tousu/show/id/1365345</t>
  </si>
  <si>
    <t>2019/10/16 10:08:31</t>
  </si>
  <si>
    <t>我不小心点错了，点了借款，但是我不需要借款，而且他利息特别高，借款2000。</t>
  </si>
  <si>
    <t>http://ts.21cn.com/tousu/show/id/1365344</t>
  </si>
  <si>
    <t>2019/10/16 10:08:21</t>
  </si>
  <si>
    <t>本人在360借条借款，最近家里出了些事情，逾期了10多天，对此我很抱歉，但是360借条平台对我爆通讯录的做法让我很懊恼，希望你们停止对我家人的骚扰。</t>
  </si>
  <si>
    <t>新意花，小木钱包套路贷故意让借款人逾期收取高额逾期费用</t>
  </si>
  <si>
    <t>http://ts.21cn.com/tousu/show/id/1365343</t>
  </si>
  <si>
    <t>2019/10/16 10:08:03</t>
  </si>
  <si>
    <t>分别于8月18日和8月27日在信用管家上下载的小木钱包借款1400和2800元，各分四期还款，其中1400元订单的已还三期1645.6元，2800元的订单已还两期2044.8元，剩余的因为APP问题，造成我还款还不进去，我联系客服也联系不上，每天还给我增加上百元的逾期费用，APP还不上，我也积极的联系电话客服和APP在线客服，电话起先一直打不通，APP客服也不回复，现多次收到020开头的催收电话，联系电话客服能联系上了，却叫我到APP反馈，APP客服却不及时回复，总4200元的借款，已还3700，现却还要我</t>
  </si>
  <si>
    <t>高利贷，阴阳合同，催收恶劣．</t>
  </si>
  <si>
    <t>http://ts.21cn.com/tousu/show/id/1365342</t>
  </si>
  <si>
    <t>2019/10/16 10:08:00</t>
  </si>
  <si>
    <t>投诉人李先生投诉对象先锋支付,U卡贷,上海悠融公司涉诉金额12000元问题类型诉求类型投诉详情投诉先锋支付、U卡贷、高利贷、阴阳合同、本人于2018年12月31日在U卡贷借款8000千元分12期还每期还1014元现己还了10期10140元实在经济困难己经无法支付高额利息，希望U卡货能减免超出国家标准多余高利息，提供结清证明，。</t>
  </si>
  <si>
    <t>折疯了海淘免税APP售假不让退款霸王条款</t>
  </si>
  <si>
    <t>http://ts.21cn.com/tousu/show/id/1365341</t>
  </si>
  <si>
    <t>2019/10/16 10:07:13</t>
  </si>
  <si>
    <t>投诉人朱先生投诉对象折疯了海淘涉诉金额489元问题类型诉求类型投诉详情售卖假货不让退款一直扯皮客服态度很差希望帮帮我谢谢。</t>
  </si>
  <si>
    <t>协商减免高额利息，逾期费用，办理续期</t>
  </si>
  <si>
    <t>http://ts.21cn.com/tousu/show/id/1365340</t>
  </si>
  <si>
    <t>2019/10/16 10:06:31</t>
  </si>
  <si>
    <t>因为资金周转不开，所以一直用该产品，但是以前开资就结清，所以未逾期过，这次公司5个月没开资，实在还不起了，所以造成了逾期，但是我不逃脱责任，只是希望把高额的砍头息和逾期费帮我减免，我借款2300，强制买黑金卡到手才将近1900元，实在是高利贷，我现在申请减免砍头息和逾期费，然后我还钱销账，感谢平台。</t>
  </si>
  <si>
    <t>http://ts.21cn.com/tousu/show/id/1365339</t>
  </si>
  <si>
    <t>2019/10/16 10:06:20</t>
  </si>
  <si>
    <t>委托第三方催收威胁，恐吓，说不处理后期发生一切不管。</t>
  </si>
  <si>
    <t>借贷平台收取高利息</t>
  </si>
  <si>
    <t>http://ts.21cn.com/tousu/show/id/1365338</t>
  </si>
  <si>
    <t>2019/10/16 10:06:10</t>
  </si>
  <si>
    <t>投诉人伍女士投诉对象友信涉诉金额105000元问题类型诉求类型投诉详情在友信普惠平台上借款105000元，实际出款100000，说是5000是平台手续收费，且逾期费用过高，几百块一天，分36期还款，每期金额4896元，快超过国家规定年利率百分之36。</t>
  </si>
  <si>
    <t>高额手续费，高利贷！</t>
  </si>
  <si>
    <t>http://ts.21cn.com/tousu/show/id/1365336</t>
  </si>
  <si>
    <t>2019/10/16 10:05:51</t>
  </si>
  <si>
    <t>本人由2019.03.18日在你我贷平台贷款15000，分12期，第1期至第3期每期还款2599.33元钱，之后9期每期还款1399.33元，，还款总额共20391.99元远超国家规定36%的红线并且乱收取手续费，本人目前已查出怀孕，实在无力承担如此超高的利息！以致身体与心情每况愈下！希望你我贷平台能致电联系我，调整利率协商还款事宜！！。</t>
  </si>
  <si>
    <t>满易贷套路，连个日期都没有，客服说给反馈，一直没信。</t>
  </si>
  <si>
    <t>http://ts.21cn.com/tousu/show/id/1365337</t>
  </si>
  <si>
    <t>2019/10/16 10:05:49</t>
  </si>
  <si>
    <t>投诉人梁先生投诉对象有钱花涉诉金额5000元问题类型诉求类型投诉详情自从升级完还款就给额度，第一次反馈说30天后再试，系统人为无法干预。</t>
  </si>
  <si>
    <t>中邮消费金融高利贷暴力催收50块钱逾期三天违约金50多</t>
  </si>
  <si>
    <t>http://ts.21cn.com/tousu/show/id/1365334</t>
  </si>
  <si>
    <t>2019/10/16 10:05:16</t>
  </si>
  <si>
    <t>本人在中邮消费金融平台申请过一笔一千元的贷款，国家明确规定各项费用加起来最高不得超过百分之24。</t>
  </si>
  <si>
    <t>利息过高，无力还款。请求协商</t>
  </si>
  <si>
    <t>http://ts.21cn.com/tousu/show/id/1365335</t>
  </si>
  <si>
    <t>2019/10/16 10:05:06</t>
  </si>
  <si>
    <t>投诉人 郑伟昌        投诉对象  壹心分期        涉诉金额  2 100 元    问题类型    诉求类型投诉详情  借款2100元，到账1500。 30天分两期，15天一期。 需还2200元。 现因利息过高，无力偿还。 需要协商还款。</t>
  </si>
  <si>
    <t>玖富阴阳合同</t>
  </si>
  <si>
    <t>http://ts.21cn.com/tousu/show/id/1365333</t>
  </si>
  <si>
    <t>2019/10/16 10:05:04</t>
  </si>
  <si>
    <t>当初在2017年下款前看利率还不错因此就分别在玖富万卡下款56000元。</t>
  </si>
  <si>
    <t>骚扰，垃圾短信</t>
  </si>
  <si>
    <t>http://ts.21cn.com/tousu/show/id/1365331</t>
  </si>
  <si>
    <t>2019/10/16 10:04:04</t>
  </si>
  <si>
    <t>投诉人张女士投诉对象安徽中融法律服务有限公司涉诉金额2000元问题类型诉求类型投诉详情伪造假的电子律师函对我对比造成电话骚扰和短信息骚扰，态度恶劣，行为嚣张，其次，盗取我的个人信息给我发骚扰电话，还有王健的拍拍贷假电子律师函。</t>
  </si>
  <si>
    <t>畅捷支付给套路贷提供支付通道</t>
  </si>
  <si>
    <t>http://ts.21cn.com/tousu/show/id/1365330</t>
  </si>
  <si>
    <t>2019/10/16 10:03:55</t>
  </si>
  <si>
    <t>投诉人任先生投诉对象畅捷支付涉诉金额8000元问题类型诉求类型投诉详情畅捷支付为新意花，小木钱包提供支付通道，小木钱包一直不能还款，一直在涨逾期费。</t>
  </si>
  <si>
    <t>闪电借款已结清，平台迟迟不销账</t>
  </si>
  <si>
    <t>http://ts.21cn.com/tousu/show/id/1365329</t>
  </si>
  <si>
    <t>2019/10/16 10:03:23</t>
  </si>
  <si>
    <t>投诉人文先生投诉对象闪电借款涉诉金额5000元问题类型诉求类型投诉详情本人于闪电借款APP的借款5000元于10月3到期，后与催收协商，对方承诺免除逾期费，我于10月7日已还清借款，但平台迟迟不销账，期间曾经两次联系平台客服，都是给了一个链接做在线反馈，直至今日仍未销账。</t>
  </si>
  <si>
    <t>闪银App强制购买信用凭证，变相砍头息</t>
  </si>
  <si>
    <t>http://ts.21cn.com/tousu/show/id/1365328</t>
  </si>
  <si>
    <t>2019/10/16 10:03:21</t>
  </si>
  <si>
    <t>投诉人王女士投诉对象闪银,Wecash闪银,瞬瞬,哼哼涉诉金额3000元问题类型诉求类型投诉详情闪银App中申请贷款，强制购买199元信用凭证，买后查询不到记录，变相砍头息，远远超过国家法律规定，要求原金额销帐，信用凭证费用抵扣欠款。</t>
  </si>
  <si>
    <t>拼多多货款无法提现</t>
  </si>
  <si>
    <t>http://ts.21cn.com/tousu/show/id/1365326</t>
  </si>
  <si>
    <t>2019/10/16 10:02:27</t>
  </si>
  <si>
    <t>投诉人曹庭波庭波投诉对象拼多多涉诉金额19068元问题类型诉求类型投诉详情无故扣押店铺货款，导致无法提现，提现显示繁忙。</t>
  </si>
  <si>
    <t>高速ETC办理中心不退押金</t>
  </si>
  <si>
    <t>http://ts.21cn.com/tousu/show/id/1365324</t>
  </si>
  <si>
    <t>2019/10/16 10:01:55</t>
  </si>
  <si>
    <t>投诉人许先生投诉对象高速ETC办理中心涉诉金额130元问题类型诉求类型投诉详情本人在2019年8月22号高速ETC办理中心申请ETC记账卡一张，28号左右激活，现在已经过去一个半月，商家承诺“这两天”退还押金，并没兑现，联系客服，一直推辞。</t>
  </si>
  <si>
    <t>未经本人同意扣除本人2000年费</t>
  </si>
  <si>
    <t>http://ts.21cn.com/tousu/show/id/1365325</t>
  </si>
  <si>
    <t>2019/10/16 10:01:46</t>
  </si>
  <si>
    <t>未经本人同意扣除本人中信信用卡2000年费、说好升级白金卡但没说扣除2000年费、在我不知情的情况下扣除我年费、请求退还、。</t>
  </si>
  <si>
    <t>淘钱钱高利贷砍头息</t>
  </si>
  <si>
    <t>http://ts.21cn.com/tousu/show/id/1365323</t>
  </si>
  <si>
    <t>2019/10/16 10:01:40</t>
  </si>
  <si>
    <t>投诉人俞先生投诉对象淘钱钱涉诉金额2000元问题类型诉求类型投诉详情借款金额2000实际到账只有1100且中间延期三次每次900要求销账并退还相关费用。</t>
  </si>
  <si>
    <t>联动云租车押金不能提前退还本人学生急用钱</t>
  </si>
  <si>
    <t>http://ts.21cn.com/tousu/show/id/1365322</t>
  </si>
  <si>
    <t>2019/10/16 10:01:36</t>
  </si>
  <si>
    <t>投诉人刘先生投诉对象联动云租车涉诉金额999元问题类型诉求类型投诉详情本人注册联动云汽车，但是在交付押金时候系统并没有提示我说押金必须到20天以后才能用，我以为是还车之后就能退，我现在需要急用押金交学费，但是联动云不退，所以希望能提前退款。</t>
  </si>
  <si>
    <t>凤凰城娱乐平台</t>
  </si>
  <si>
    <t>http://ts.21cn.com/tousu/show/id/1365321</t>
  </si>
  <si>
    <t>2019/10/16 10:00:41</t>
  </si>
  <si>
    <t>在平台上充值的钱，没到帐，客户让自己承台，要求全额退款，不行我直接报警。</t>
  </si>
  <si>
    <t>急用钱包乱扣费</t>
  </si>
  <si>
    <t>http://ts.21cn.com/tousu/show/id/1364580</t>
  </si>
  <si>
    <t>2019/10/16 09:59:25</t>
  </si>
  <si>
    <t>急用钱包，上海造艺有限责任公司APP急用钱包乱扣款，无故扣我298.5的所谓报告费，如该公司未给予合理答复并退款，我讲以诈骗向公安机关报案。</t>
  </si>
  <si>
    <t>维信金科卡卡贷扣款成功不销账导致逾期</t>
  </si>
  <si>
    <t>http://ts.21cn.com/tousu/show/id/1365319</t>
  </si>
  <si>
    <t>2019/10/16 09:58:46</t>
  </si>
  <si>
    <t>投诉人何先生投诉对象维信金科,卡卡贷,维信现贷涉诉金额2067元问题类型诉求类型投诉详情2019年10月15日下午主动还款维信卡卡贷当期账单2066.67元，银行已于15下午18点19分在尾号3562的卡扣款成功2066.67元，到现在为止维信卡卡贷账单还未更新销账，导致出现逾期和逾期费，所有出现的问题都有你们承担，如果我的征信因此出现不良影响，我会追诉到底。</t>
  </si>
  <si>
    <t>左右钱包高炮714</t>
  </si>
  <si>
    <t>http://ts.21cn.com/tousu/show/id/1365320</t>
  </si>
  <si>
    <t>2019/10/16 09:58:39</t>
  </si>
  <si>
    <t>投诉人葛先生投诉对象左右钱包涉诉金额2200元问题类型诉求类型投诉详情左右钱包高炮714，砍头息，威胁我要爆我通讯录，高利息！！！。</t>
  </si>
  <si>
    <t>网贷逾期问题</t>
  </si>
  <si>
    <t>http://ts.21cn.com/tousu/show/id/1365317</t>
  </si>
  <si>
    <t>2019/10/16 09:58:13</t>
  </si>
  <si>
    <t>投诉人陈先生投诉对象还呗涉诉金额1120元问题类型诉求类型投诉详情还呗逾期了我知道，还呗没有让借款人主动联系说明情况的机会，我有钱我肯定会还，现在没钱想办法借钱在还，催收员不听解释的，不是扣违约金就是罚息，本来本来经济就成问题，有钱早就还了还用等你们罚息吗，然后没钱还不能协商一下吗，就是一直打电话催款，就问今天能还上吗，一说我在找钱就挂掉电话，进行罚息吗，还要骚扰我到什么时候，能不能出来协商，我又不是不还钱。</t>
  </si>
  <si>
    <t>滴滴平台给分低的派单，我在热力区，分高不派，还无故增加本人投诉率。</t>
  </si>
  <si>
    <t>http://ts.21cn.com/tousu/show/id/1365316</t>
  </si>
  <si>
    <t>2019/10/16 09:58:12</t>
  </si>
  <si>
    <t>投诉人赵先生投诉对象滴滴出行涉诉金额100元问题类型诉求类型投诉详情滴滴平台给分低的派单，我在热力区，分高不派，还无故增加本人投诉率，9月11日晚从四中到康玲秀美按滴滴导航行驶，结果违章，平台不提供证据，拒绝赔付违章费用。</t>
  </si>
  <si>
    <t>http://ts.21cn.com/tousu/show/id/1365318</t>
  </si>
  <si>
    <t>2019/10/16 09:57:54</t>
  </si>
  <si>
    <t>人人花随意本人银行卡扣款，希望马上解决退款。</t>
  </si>
  <si>
    <t>云闪付京东金融为非法网站提供充值通道</t>
  </si>
  <si>
    <t>http://ts.21cn.com/tousu/show/id/1364902</t>
  </si>
  <si>
    <t>2019/10/16 09:57:27</t>
  </si>
  <si>
    <t>投诉人韩先生投诉对象京东金融,中国银联涉诉金额45000元问题类型诉求类型投诉详情本人是外来务工，从2017年12月进入工厂打工，由于工作一年后职位提升了，因此下班后业余时间比较多，一心想争取更多的钱财买自己喜欢的东西，当时在2018年9月通过网上寻找兼职，当时一个朋友介绍了兼职平台给我，我进入兼职平台后浏览了一番，在充值的过程中看到有银联支付，商户也是京东特约的商户，且各大第三方支付公司都支持，本以为有正规的支付牌照接口是国家的合法购彩平台，从那时开始到现在2019年10月15日一共投进去有人民币4500</t>
  </si>
  <si>
    <t>不遵循商业银行监督管理办法第70条不同意协商还款</t>
  </si>
  <si>
    <t>http://ts.21cn.com/tousu/show/id/1365315</t>
  </si>
  <si>
    <t>2019/10/16 09:57:22</t>
  </si>
  <si>
    <t>本人因事业，小孩生病，导致了逾期，从第一个月逾期开始，就是打电话给信用卡中心，请求协商还款，可是银行一直给我转催收部，而且催收部门态度恶劣，一直不肯协商，就要求我归还账单最低，我多次打电话都协商都是说银行没有这个业务就把我打发了，这事情就一直这样被拖着，现在银行又委托本地催收人员，要求我一次偿还28500元，否则就起诉，还要安排工作人员上门，让我自己去想办法，我一直主动联系银行，但是每次都转催收去，小孩生病一直反复，都已经没钱医治，现在银行这么来逼人，难道让我去偷去抢，希望银行遵从商业银行条例，给出合理人性</t>
  </si>
  <si>
    <t>鸿福网贷恶意放款时漏款</t>
  </si>
  <si>
    <t>http://ts.21cn.com/tousu/show/id/1365314</t>
  </si>
  <si>
    <t>2019/10/16 09:57:05</t>
  </si>
  <si>
    <t>在鸿福这款网贷软件上借了3000元六天贷款。</t>
  </si>
  <si>
    <t>要求创客工具箱撤销我的降权打标</t>
  </si>
  <si>
    <t>http://ts.21cn.com/tousu/show/id/1365313</t>
  </si>
  <si>
    <t>2019/10/16 09:57:03</t>
  </si>
  <si>
    <t>偶然发现我的淘宝旺旺号被标记了降权，我用了六年多的旺旺号，没有任何违规行为，淘宝检测是健康号，莫名其妙被不知道谁在这个第三方软件标记了降权，说我的号被稽查系统判定有虚假交易，创客工具箱出各种软件帮助商家刷单，本就是违规行为，还窥探用户个人信息，商家可以任意给买家账号打标，还不能取消，我要求创客工具箱恢复我账号的名誉！取消打标！。</t>
  </si>
  <si>
    <t>花薪暴利催收高额砍头息逾期利息</t>
  </si>
  <si>
    <t>http://ts.21cn.com/tousu/show/id/1365312</t>
  </si>
  <si>
    <t>2019/10/16 09:56:44</t>
  </si>
  <si>
    <t>本人近段时间资金周转不过来导致逾期在第一天催收打电话的来时候说明过了月底可以结清，然后第一个催收好说话帮忙备注了，过了两天另外一个催收打电话威胁爆通讯录轰炸通讯录一天好几个电话催筹集资金，导致工作没有心情，备注:本人有强烈还款意愿希望客服能协商。</t>
  </si>
  <si>
    <t>华尔街英语霸王条款，要求解除合同并退款</t>
  </si>
  <si>
    <t>http://ts.21cn.com/tousu/show/id/1365311</t>
  </si>
  <si>
    <t>2019/10/16 09:55:49</t>
  </si>
  <si>
    <t>本人于2017年11月30号晚上在华尔街东直门中心签署了一份续学合同，共5个级别，总金额31400元，付款方式是刷卡3200元，剩余28200元是办理百度有钱花教育贷款分期支付的，签合同当天从晚上7点多到半夜11点半这段时间，华尔街英语派出三四个人对我进行轮流劝说洗脑，在销售人员长达4小时的极力劝说下，晚上11点半仓促签了这份合同，但销售人员并未告知我这份续签合同是不可退的，而我在华尔街的第一份合同可以退，所以理由当然认为续学合同也是可以退的，第二天经过反复慎重思考，考虑个人经济原因还有考虑到之前在华尔街学</t>
  </si>
  <si>
    <t>一点分期骚扰联系人</t>
  </si>
  <si>
    <t>http://ts.21cn.com/tousu/show/id/1365309</t>
  </si>
  <si>
    <t>2019/10/16 09:55:38</t>
  </si>
  <si>
    <t>一点分期在联系到借款人本人的情况下，并且借款人表述了自己暂时有困难，需要时间周转的情况下，私自联系紧急联系人和通讯录的亲戚朋友，问起这件事还坚决不承认，对孩子影响极大，希望作出处理。</t>
  </si>
  <si>
    <t>月光侠分期阴阳合同，砍头息！高利息超出国家标准！</t>
  </si>
  <si>
    <t>http://ts.21cn.com/tousu/show/id/1365310</t>
  </si>
  <si>
    <t>2019/10/16 09:55:29</t>
  </si>
  <si>
    <t>投诉人周先生投诉对象月光侠分期涉诉金额2500元问题类型诉求类型投诉详情因为继续资金周转，贷了月光侠分期！近还款期，才发现！到账金额和我的还款金额严重不符！利息也严重超过国家利率！声明我借的款肯定还！但是月光侠分期严重误导借款人！阴阳合同！希望调整！保证本人的合法权益！谢谢。</t>
  </si>
  <si>
    <t>联合新橙优品平台发放高利贷</t>
  </si>
  <si>
    <t>http://ts.21cn.com/tousu/show/id/1365306</t>
  </si>
  <si>
    <t>2019/10/16 09:54:35</t>
  </si>
  <si>
    <t>天津金城银行作为一个正规银行机构，联合新橙优品发放套路贷款，与受害人签订霸王条款，客服态度极差，拒不协商，威胁家人，电话轰炸我，因为他们自己的原因扣款失败造成我贷款逾期，还拒不协商减免逾期费用，联系金城银行还款，金城银行拒不收款，非要我与新橙优品还款，狼狈为奸，联手欺负人。</t>
  </si>
  <si>
    <t>闪银的哼哼，瞬瞬乱打通讯录</t>
  </si>
  <si>
    <t>http://ts.21cn.com/tousu/show/id/1365308</t>
  </si>
  <si>
    <t>2019/10/16 09:54:33</t>
  </si>
  <si>
    <t>闪银用过很多次，从未逾期，这次由于借款本人生病特殊情况，已经提前和客服说过要办延期，闪银的瞬瞬和哼哼依旧不停骚扰，乱打通讯录，严重影响了家人的生活，要求停止骚扰，道歉，出了延期会去交钱办延期。</t>
  </si>
  <si>
    <t>http://ts.21cn.com/tousu/show/id/1365307</t>
  </si>
  <si>
    <t>2019/10/16 09:54:21</t>
  </si>
  <si>
    <t>友信公司把利息说成服务费，高利贷，利息高过国家规定，还款日前四五天就开始电话骚扰。</t>
  </si>
  <si>
    <t>中国银联违规为高利贷提供扣款服务</t>
  </si>
  <si>
    <t>http://ts.21cn.com/tousu/show/id/1365305</t>
  </si>
  <si>
    <t>2019/10/16 09:54:17</t>
  </si>
  <si>
    <t>中国银联为手机借钱APP里面的飞鸟分期违规提供支付服务，借款3000一个月要还4000，借款3700要还5800，我看了扣款信息是中国银联广东分公司15，中国银联作为国家支付，违规为高利贷提供支付服务，本人已经向中国支付协会违规违法举报中心举报中国银联，扣款信息已经在图片里面，时间卡号都有，希望给我个回复。</t>
  </si>
  <si>
    <t>马上消费金融公司态度恶劣</t>
  </si>
  <si>
    <t>http://ts.21cn.com/tousu/show/id/1365304</t>
  </si>
  <si>
    <t>2019/10/16 09:53:57</t>
  </si>
  <si>
    <t>贵司催收人员态度恶劣，要求贵司有关部门听取10/16上午跟我通电话的这通电话录音，本人也已经录音，贵司催收人员在电话里承认不勾选保险及灵活还款包是无法下款的，后来被我识破后就开始语言攻击。</t>
  </si>
  <si>
    <t>希望浦发信用卡能协商还款</t>
  </si>
  <si>
    <t>http://ts.21cn.com/tousu/show/id/1365303</t>
  </si>
  <si>
    <t>2019/10/16 09:53:54</t>
  </si>
  <si>
    <t>我的本金是42000，协商还款让我还45600，没问题，我还，中间出了点事一直没有履行，自己也认识自己的违约，一直给她们想再次协商还款，可是她们不同意，要么一次性还42000，要么按分期利息＋违约金50000的金额分六期，我要是同意我难道去偷去借高利贷，都说银行是要钱不要命的，你的万用金是不合理的，利息那么高的，银行的钱谁都不能欠，更何况我们自己使用了，就得还，可是没有这么逼人的，我希望信用卡中心再给最后一次机会，我不会再言而无信了，我自己承诺我自己这次一定会守信用，希望上海浦发银行看在本人这么诚恳的态度，</t>
  </si>
  <si>
    <t>恒易贷还款之后第二天又扣款还给弄成逾期</t>
  </si>
  <si>
    <t>http://ts.21cn.com/tousu/show/id/1365302</t>
  </si>
  <si>
    <t>2019/10/16 09:53:48</t>
  </si>
  <si>
    <t>投诉人 徐先生        投诉对象  恒昌利通        涉诉金额  1 276 元    问题类型    诉求类型投诉详情  贷款当天还款之后第二天早上又扣一次 还给弄成逾期</t>
  </si>
  <si>
    <t>电话催收与爆人隐私</t>
  </si>
  <si>
    <t>http://ts.21cn.com/tousu/show/id/1365300</t>
  </si>
  <si>
    <t>2019/10/16 09:53:06</t>
  </si>
  <si>
    <t>骚扰电话，爆通讯录，威胁一天十多个电话，天天给家人打电话。</t>
  </si>
  <si>
    <t>http://ts.21cn.com/tousu/show/id/1365299</t>
  </si>
  <si>
    <t>2019/10/16 09:52:49</t>
  </si>
  <si>
    <t>投诉人沈先生投诉对象捷信金融涉诉金额0元问题类型诉求类型投诉详情之前买手机用捷信贷款的，去年已经还清，可还是不停收到捷信的电话说办业务，很烦，请求处理。</t>
  </si>
  <si>
    <t>钱橙无忧盗取银行卡密码，恶意盗刷168元，</t>
  </si>
  <si>
    <t>http://ts.21cn.com/tousu/show/id/1365298</t>
  </si>
  <si>
    <t>2019/10/16 09:51:20</t>
  </si>
  <si>
    <t>之前下载过钱橙无忧注册过信息，后来被卸载了，今天无任何征兆，无提前通知，自动从我银行卡里盗取金额84元两次，我从未购买过什么个人风险评测，手机里也没有钱橙无忧这个app！。</t>
  </si>
  <si>
    <t>带上钱暴力催收</t>
  </si>
  <si>
    <t>http://ts.21cn.com/tousu/show/id/1365297</t>
  </si>
  <si>
    <t>2019/10/16 09:51:08</t>
  </si>
  <si>
    <t>要求停止暴力催收，更改利息停止对周边人暴力稍扰！。</t>
  </si>
  <si>
    <t>信用卡第三方催收通过非法途径调查通话纪律骚扰家人</t>
  </si>
  <si>
    <t>http://ts.21cn.com/tousu/show/id/1365295</t>
  </si>
  <si>
    <t>2019/10/16 09:50:51</t>
  </si>
  <si>
    <t>投诉人甘先生投诉对象02569516053涉诉金额4500元问题类型诉求类型投诉详情信用卡欠款第三方公司通过非法途径，调取本人通话记录并且进行骚扰，严重侵犯个人隐私权利，暴力催收。</t>
  </si>
  <si>
    <t>北京胜亿信息技术有限公司没有按照合同履行，忽悠消费者</t>
  </si>
  <si>
    <t>http://ts.21cn.com/tousu/show/id/1365292</t>
  </si>
  <si>
    <t>2019/10/16 09:50:38</t>
  </si>
  <si>
    <t>本公司2019年4月28日与北京胜亿信息技术有限公司签订“生意推广”爱采购项目服务合同，签订的合同跟当时业务员的答应是，移动端百度首页爱采购专栏，三个词一年365天，24小时展示，投放区域为全国，合同价格为16800元，付款后根本没有什么所谓的客服或者售后，一直还是当时的业务员给处理网站，也弄的乱七八糟的，最后还是自己调整好的信息，后期当时的业务员也联系不上了，后来又换了一个新所谓的客服，每天只是给发又有什么优惠政策，一直还想让我公司继续在他家追加新关键词推广，上线后根本没有全国的展现，找外省的朋友搜索根本</t>
  </si>
  <si>
    <t>盈盈有钱高利息暴力催收辱骂人</t>
  </si>
  <si>
    <t>http://ts.21cn.com/tousu/show/id/1365293</t>
  </si>
  <si>
    <t>2019/10/16 09:50:26</t>
  </si>
  <si>
    <t>投诉人 杨先生        投诉对象  盈盈有钱        涉诉金额  5 000 元    问题类型    诉求类型投诉详情  利息高于国家法定 催收态度过于恶劣 还辱骂他人 发通讯录 威胁</t>
  </si>
  <si>
    <t>被借款平台催收，爆通讯录</t>
  </si>
  <si>
    <t>http://ts.21cn.com/tousu/show/id/1362677</t>
  </si>
  <si>
    <t>2019/10/16 09:50:11</t>
  </si>
  <si>
    <t>不断电话暴力催收，爆通讯录，严重干扰了朋友家人的正常生活。</t>
  </si>
  <si>
    <t>及贷软暴力</t>
  </si>
  <si>
    <t>http://ts.21cn.com/tousu/show/id/1365287</t>
  </si>
  <si>
    <t>2019/10/16 09:49:55</t>
  </si>
  <si>
    <t>投诉人田先生投诉对象及贷涉诉金额8000元问题类型诉求类型投诉详情本人因资金周转向及贷借款19000，还到第九期，因资金问题申请，从第十个月继续还，多加一期，起初及贷的催收员答应后，又爆亲属通讯录，进行短信轰炸。</t>
  </si>
  <si>
    <t>水滴钱包为一应聚全科技旗下，714高炮高利贷</t>
  </si>
  <si>
    <t>http://ts.21cn.com/tousu/show/id/1365285</t>
  </si>
  <si>
    <t>2019/10/16 09:49:21</t>
  </si>
  <si>
    <t>经合利宝方面提供，水滴钱包为北京一应聚全科技有限公司产品，714高炮高利贷，客服态度敷衍！在现在的国家打击高利贷贷款的大环境下，继续放贷，还不予退还更不理睬！在水滴钱包借款2800元，到账1876.84元，其中经过两次延期每次还款1123.16元，要求销账。</t>
  </si>
  <si>
    <t>花转转高利贷恶意因自身问题恶意导致逾期</t>
  </si>
  <si>
    <t>http://ts.21cn.com/tousu/show/id/1365284</t>
  </si>
  <si>
    <t>2019/10/16 09:49:20</t>
  </si>
  <si>
    <t>9月8日第一次在聚投诉上投诉花转转，然后花转转客服人员打过来说可以减免最后一期已经申请通过，接着就发生APP还不了款，客服电话打不通，打了将近2个小时还是无人接听，9月18日第三方工作人员来联络我说可以申请减免掉逾期费用，是他们的问题导致逾期，加完QQ后说帮我申请后就失踪了，今天又有第三方催收人员来联络，让我承担50%的逾期费用，这是APP的问题导致逾期，为什么要客服承担逾期费用，希望花转转官方客服来联络，按照第一次处理方式解决问题。</t>
  </si>
  <si>
    <t>贷上钱暴力催收高利贷</t>
  </si>
  <si>
    <t>http://ts.21cn.com/tousu/show/id/1365283</t>
  </si>
  <si>
    <t>2019/10/16 09:49:19</t>
  </si>
  <si>
    <t>投诉人 徐先生        投诉对象  贷上钱        涉诉金额  6 000 元    问题类型    诉求类型投诉详情  贷上钱骚扰通讯录通讯详单 借款2000一个月要还2600 典型的高利贷</t>
  </si>
  <si>
    <t>抖音小店推广佣金不给提现</t>
  </si>
  <si>
    <t>http://ts.21cn.com/tousu/show/id/1365281</t>
  </si>
  <si>
    <t>2019/10/16 09:49:08</t>
  </si>
  <si>
    <t>账号名称:健康说，说健康，抖音号:991785195，注册手机号:130******22，，实名认证人:彭威明，身份证号:3****************9，，账号于2019年9月29日下午16时左右在没有任何通知的情况下被抖音封禁，，截止至9月29号被封账户佣金在106000左右，本人通过邮件，电话很多途径来联系抖音官方，但一直都石沉大海，没有任何回复，账号可以不要，但是账号内的推广佣金那是辛苦赚的钱，应该归我所有，抖音无权，占有这笔佣金，实在没有别的途径才来投诉，希望能给一个合理合法的解释。</t>
  </si>
  <si>
    <t>盈盈有钱美栗金利率超高</t>
  </si>
  <si>
    <t>http://ts.21cn.com/tousu/show/id/1365280</t>
  </si>
  <si>
    <t>2019/10/16 09:48:56</t>
  </si>
  <si>
    <t>投诉人郑女士投诉对象美栗金涉诉金额7000元问题类型诉求类型投诉详情盈盈有钱美栗金，利率高达百分之三十六，借7000，还款9500多，要求降低利率，停止电话骚扰。</t>
  </si>
  <si>
    <t>爆通讯录，打骚扰电话</t>
  </si>
  <si>
    <t>http://ts.21cn.com/tousu/show/id/1365278</t>
  </si>
  <si>
    <t>2019/10/16 09:48:02</t>
  </si>
  <si>
    <t>高利贷，电话骚扰，打电话到公司已经无法工作！。</t>
  </si>
  <si>
    <t>暴力催收，要挟，电话骚扰</t>
  </si>
  <si>
    <t>http://ts.21cn.com/tousu/show/id/1365279</t>
  </si>
  <si>
    <t>2019/10/16 09:48:01</t>
  </si>
  <si>
    <t>小树时代旗下龙分期砍头期，借2000，下款1600，而且我现在没有还完，要挟我换全款，天天打电话骚扰，而且给通讯录打电话。</t>
  </si>
  <si>
    <t>http://ts.21cn.com/tousu/show/id/1365276</t>
  </si>
  <si>
    <t>2019/10/16 09:47:43</t>
  </si>
  <si>
    <t>投诉人边先生投诉对象安庆盛通信息科技服务有限公司,人人花涉诉金额288元问题类型诉求类型投诉详情胡乱扣钱现在要求人人花全额退款已经很多人被骗了。</t>
  </si>
  <si>
    <t>网贷爆通讯录</t>
  </si>
  <si>
    <t>http://ts.21cn.com/tousu/show/id/1365277</t>
  </si>
  <si>
    <t>2019/10/16 09:47:40</t>
  </si>
  <si>
    <t>给我的亲戚朋友打电话，对我个人声誉产生影响。</t>
  </si>
  <si>
    <t>http://ts.21cn.com/tousu/show/id/1365275</t>
  </si>
  <si>
    <t>2019/10/16 09:47:39</t>
  </si>
  <si>
    <t>本人于前几个月在马上安逸花借款4383，当时因为本人做生意投资失败，逾期七天天，有催收打电话来要求一次性还清，我说分期可以吗，不行就只能一次性还清，逾期了几个月，现在连本带利息涨到5903，应用里截图都不能截了。</t>
  </si>
  <si>
    <t>新橙优品协商还本金及正常利息</t>
  </si>
  <si>
    <t>http://ts.21cn.com/tousu/show/id/1365274</t>
  </si>
  <si>
    <t>2019/10/16 09:47:31</t>
  </si>
  <si>
    <t>本人因为丢了工作，导致在该平台逾期12天，跟催收协商支付剩余本金加上国家正常利率，打电话客服，客服让我很催收协商，催收不同意我的解决方案，跟我说当初下款有合同。</t>
  </si>
  <si>
    <t>真的很烦天天给我打电话别人贷的老给我打什么电话？还说要来我家找我</t>
  </si>
  <si>
    <t>http://ts.21cn.com/tousu/show/id/1359772</t>
  </si>
  <si>
    <t>2019/10/16 09:47:09</t>
  </si>
  <si>
    <t>投诉人 郭先生        投诉对象  拍拍贷        涉诉金额  0 元    问题类型    诉求类型投诉详情  不要在给我打电话了 在给我打电话我就报警了</t>
  </si>
  <si>
    <t>百合网无故封号不肯退会员费</t>
  </si>
  <si>
    <t>http://ts.21cn.com/tousu/show/id/1365273</t>
  </si>
  <si>
    <t>2019/10/16 09:46:28</t>
  </si>
  <si>
    <t>花388元买了水晶会员，用了一段时间，把我账号关闭了，且无任何正当理由，向工商投诉后商家给工商说同意退款，等工商处理完成，我向商家要求退的时候，客服说从来没有接收到我的退款诉求。</t>
  </si>
  <si>
    <t>银生宝为非法网站提供充值渠道</t>
  </si>
  <si>
    <t>http://ts.21cn.com/tousu/show/id/1364965</t>
  </si>
  <si>
    <t>投诉人韩先生投诉对象银生宝,上海环游网络科技发展有限公司,中国银联涉诉金额17000元问题类型诉求类型投诉详情本人在网上被人诱骗以做兼职，赚流水等理由被人拉进兼职群，以购买彩票方式赚取佣金，后来才知道是非法赌博平台，和支付清算协会沟通得知第三方支付业务应审核客户的相关信息，第三方支付公司不得向证券、期货、博彩等机构提供支付结算业务，通过中国人民银行，中国银联，和支付清算协会沟通得知，第三方支付业务应审核客户的相关信息，第三方支付公司不得向证券、期货、博彩等机构提供支付结算业务，作为有牌照的支付公司没有履行国</t>
  </si>
  <si>
    <t>买了卡密全部无效，让退款还被骂</t>
  </si>
  <si>
    <t>http://ts.21cn.com/tousu/show/id/1365271</t>
  </si>
  <si>
    <t>2019/10/16 09:45:52</t>
  </si>
  <si>
    <t>买了三个邮箱号，一个没用，让退款，客服态度恶劣，并且出口骂人。</t>
  </si>
  <si>
    <t>暴力催收，超级高利贷，</t>
  </si>
  <si>
    <t>http://ts.21cn.com/tousu/show/id/1365272</t>
  </si>
  <si>
    <t>2019/10/16 09:45:47</t>
  </si>
  <si>
    <t>本人之前在中邮消费金融网贷借了9010元，一直按时还款后来大概7月无缘无故把我额度停了，之后我都继续还，但在8月因为周转不来预期了两三天，这个金融就不淡定了，开始一天打六到七个电话，后来真的周转不来，就开始威胁，恐吓，如果在不还钱，打电话通知家人，在不行，打本人电话通讯录里面的人，中邮消费金融每次都用不知道什么电话打过来，基于8月份中邮实在电话恐吓得厉害，在难我都把8月份欠的还了，而现在9月份用同样手段进行威胁，但现在真的没办了，真的周转不了，中邮消费金融还是一天不断打电话过来，不断用电话恐吓，说爆本人通讯</t>
  </si>
  <si>
    <t>注销ETC</t>
  </si>
  <si>
    <t>http://ts.21cn.com/tousu/show/id/1365269</t>
  </si>
  <si>
    <t>2019/10/16 09:45:18</t>
  </si>
  <si>
    <t>我昨天去办ETC，银行告诉我已经在齐鲁交通办理过，不能办理，我就没见到过机器，而且齐鲁交通的电话打不通，我怀疑这是骗子公司，请近快给我注销，以免影响我的正常办理，。</t>
  </si>
  <si>
    <t>泄露个人隐私，爆通讯录</t>
  </si>
  <si>
    <t>http://ts.21cn.com/tousu/show/id/1365270</t>
  </si>
  <si>
    <t>2019/10/16 09:45:14</t>
  </si>
  <si>
    <t>包括正在上小学的孩子，在上课期间打电话骚扰，恐吓小孩。</t>
  </si>
  <si>
    <t>考拉畅付款项不能及时到账</t>
  </si>
  <si>
    <t>http://ts.21cn.com/tousu/show/id/1365268</t>
  </si>
  <si>
    <t>2019/10/16 09:44:50</t>
  </si>
  <si>
    <t>10月15号晚上11.0几分的时候在上边刷了四笔款项，总集5995元，因为急用钱，但是到早晨十点，这个钱还没入账，联系客服就只是一味地推脱，忘了打客服电话一直在通话中。</t>
  </si>
  <si>
    <t>http://ts.21cn.com/tousu/show/id/1365267</t>
  </si>
  <si>
    <t>2019/10/16 09:43:40</t>
  </si>
  <si>
    <t>逾期五天，暴力催收，一天二十几个电话，还爆通讯录，打了亲朋好友的电话！。</t>
  </si>
  <si>
    <t>上海造艺公司乱扣费</t>
  </si>
  <si>
    <t>http://ts.21cn.com/tousu/show/id/1365266</t>
  </si>
  <si>
    <t>2019/10/16 09:43:13</t>
  </si>
  <si>
    <t>投诉人汪先生投诉对象百事普惠涉诉金额299元问题类型诉求类型投诉详情扣款时未经个人允许在未输入任何密码验证码时自动扣去费用且并未得到任何服务。</t>
  </si>
  <si>
    <t>捷信消费贷逾期没还上在未经同意下爆了通讯录电话打个没完没了的，一天十几二十个，家人的也打个没完，严重影响生活了，要被逼疯</t>
  </si>
  <si>
    <t>http://ts.21cn.com/tousu/show/id/1365265</t>
  </si>
  <si>
    <t>2019/10/16 09:43:11</t>
  </si>
  <si>
    <t>捷信消费贷逾期全款没还上，在未经同意下爆了通讯录电话打个没完没了的，一天十几二十个，家人的也打个没完，严重影响生活了，要被逼疯。</t>
  </si>
  <si>
    <t>苏州艾一玛家具使用其他无名家具厂家具冒充</t>
  </si>
  <si>
    <t>http://ts.21cn.com/tousu/show/id/1365264</t>
  </si>
  <si>
    <t>2019/10/16 09:42:42</t>
  </si>
  <si>
    <t>投诉方于3月17日在苏州相城区蠡口家具城内艾一玛家具门店选购家具，店长称艾一玛有自己的家具厂且比门店更便宜，后被该店店长带领至艾一玛家具厂选购，店长介绍称艾一玛家具厂内有几千平方的生产场地，所有家具均为艾一玛家具厂生产，随后投诉方与艾一玛家具签订一份价值近10万元的家具购买合同，且所购家具型号皆登记于艾一玛销售清单合同中，安装过程中，投诉方发现，所购数件家具中仅有一两件家具为艾一玛商标，其他家具由南通数家不同品牌家具厂生产，且经投诉方实地考察，南通生产厂皆为不知名的小家具生产厂，艾一玛家具皆为代加工生产，连</t>
  </si>
  <si>
    <t>捷信属变相高利贷，催收电话不断影响自己和家人的正常生活与生誉</t>
  </si>
  <si>
    <t>http://ts.21cn.com/tousu/show/id/1365263</t>
  </si>
  <si>
    <t>2019/10/16 09:42:21</t>
  </si>
  <si>
    <t>当时贷款10000已经还了31期，每期还款645.95，31期就是645.95✘31=20024.45元，可现在还有3106.14，利息远远高于本金了，24%法律给予保护支持，可24%-36%之间属于自然债务，捷信就是一个变相的高利贷，希望国家严格执行打击这样的网贷平台。</t>
  </si>
  <si>
    <t>变相扣款</t>
  </si>
  <si>
    <t>http://ts.21cn.com/tousu/show/id/1365260</t>
  </si>
  <si>
    <t>2019/10/16 09:41:45</t>
  </si>
  <si>
    <t>我要求退换说什么要14个工作日以后提供我手持身份证照片复印件。</t>
  </si>
  <si>
    <t>投诉“新橙优品”不给提前还款</t>
  </si>
  <si>
    <t>http://ts.21cn.com/tousu/show/id/1365262</t>
  </si>
  <si>
    <t>2019/10/16 09:41:42</t>
  </si>
  <si>
    <t>新橙优品无法提前结清，不给我提前结清，垃圾公司。</t>
  </si>
  <si>
    <t>人人贷砍头息，服务费</t>
  </si>
  <si>
    <t>http://ts.21cn.com/tousu/show/id/1365261</t>
  </si>
  <si>
    <t>2019/10/16 09:41:41</t>
  </si>
  <si>
    <t>人人贷高额服务费，服务费比利息高一倍，下款9000的服务费。</t>
  </si>
  <si>
    <t>http://ts.21cn.com/tousu/show/id/1365259</t>
  </si>
  <si>
    <t>2019/10/16 09:41:32</t>
  </si>
  <si>
    <t>诱导开通代扣协议，未提供相关服务却半夜扣款288元，要求退还并将我代扣全部注销，如白天工作未接听电话，请短信给我有效客服联系方式探讨解决方案，谢谢！。</t>
  </si>
  <si>
    <t>在携程平台预订房间后，携程拒不开发票</t>
  </si>
  <si>
    <t>http://ts.21cn.com/tousu/show/id/1365257</t>
  </si>
  <si>
    <t>2019/10/16 09:40:27</t>
  </si>
  <si>
    <t>在携程订房后，携程不给开发票，我是用积分兑换的，预订页面上没有任何提示积分兑换不可以开电子发票。</t>
  </si>
  <si>
    <t>哆咪黑卡挖坑消费者强制扣款199元</t>
  </si>
  <si>
    <t>http://ts.21cn.com/tousu/show/id/1365256</t>
  </si>
  <si>
    <t>2019/10/16 09:39:59</t>
  </si>
  <si>
    <t>投诉人兰先生投诉对象哆咪黑卡涉诉金额199元问题类型诉求类型投诉详情哆咪黑卡未经本人允许强制开通银行免密支付扣款199元用于购买哆咪黑卡VIP。</t>
  </si>
  <si>
    <t>http://ts.21cn.com/tousu/show/id/1365255</t>
  </si>
  <si>
    <t>2019/10/16 09:39:08</t>
  </si>
  <si>
    <t>投诉人樊先生投诉对象华夏信财涉诉金额1000元问题类型诉求类型投诉详情高利贷暴力催收，没逾期就打通讯录，骚扰亲朋好友，国家不整治整治，还款以后问给哪些人打电话也不说，态度极其恶劣。</t>
  </si>
  <si>
    <t>光大银行信用卡私自打通讯录</t>
  </si>
  <si>
    <t>http://ts.21cn.com/tousu/show/id/1365253</t>
  </si>
  <si>
    <t>2019/10/16 09:37:56</t>
  </si>
  <si>
    <t>投诉人丁先生投诉对象光大银行信用卡中心涉诉金额5885元问题类型诉求类型投诉详情在于我联系的情况下，私自给通讯录打电话，威胁恐吓，不像一名银行正规的催收人员，要求电话道歉，催收电话：02962652897。</t>
  </si>
  <si>
    <t>活力花高利息，乱收费</t>
  </si>
  <si>
    <t>http://ts.21cn.com/tousu/show/id/1365254</t>
  </si>
  <si>
    <t>2019/10/16 09:37:45</t>
  </si>
  <si>
    <t>投诉人张先生投诉对象活力花涉诉金额8000元问题类型诉求类型投诉详情我7月13号因为资金原因，在活力花上面借了8000块钱，后来实在是没钱还不上，今天准备还款发现逾期了64天，三笔还款不算利息，光罚息就罚了一千多块钱，请问这是不是高利贷。</t>
  </si>
  <si>
    <t>聚福钱包恶意退款拖延不退款</t>
  </si>
  <si>
    <t>http://ts.21cn.com/tousu/show/id/1365252</t>
  </si>
  <si>
    <t>2019/10/16 09:36:51</t>
  </si>
  <si>
    <t>投诉人郝先生投诉对象聚福钱包涉诉金额289元问题类型诉求类型投诉详情恶意扣款299，拒不退款，说让寄快递我说寄快递不方便可以发扫描件给他们邮箱。</t>
  </si>
  <si>
    <t>招联金融暴力催收威胁骚扰</t>
  </si>
  <si>
    <t>http://ts.21cn.com/tousu/show/id/1365251</t>
  </si>
  <si>
    <t>2019/10/16 09:36:49</t>
  </si>
  <si>
    <t>投诉人王女士投诉对象招联金融涉诉金额14200元问题类型诉求类型投诉详情首先在招联金融借款14200.目前2300元分期逾期了，是我个人责任招联金融每天3个以上电话催收，短信4个以上，每个电话都正常接听，多次表明我暂时没有还款能力，但愿意还款，也有在工作！因为负债太多，没有办法周转！但我意愿尽快还款！电话催收正常接听的情况下，没有不接没有失联，多次联系我紧急联系人，骚扰联系人，要求协助还款！催收电话循环播放语音信息，骚扰我无法正常工作！软暴力催收！威胁恐吓我联系人，要求平台给我个说法，停止骚扰！停止骚扰我联</t>
  </si>
  <si>
    <t>要还款找不到入口</t>
  </si>
  <si>
    <t>http://ts.21cn.com/tousu/show/id/1365250</t>
  </si>
  <si>
    <t>2019/10/16 09:36:21</t>
  </si>
  <si>
    <t>投诉人李先生投诉对象蟹老弟涉诉金额1500元问题类型诉求类型投诉详情之前是小带鱼，后来改为蟹老弟，现在蟹老弟无法还款，强制逾期。</t>
  </si>
  <si>
    <t>http://ts.21cn.com/tousu/show/id/1365249</t>
  </si>
  <si>
    <t>2019/10/16 09:36:14</t>
  </si>
  <si>
    <t>投诉人欧女士投诉对象招联金融涉诉金额8436元问题类型诉求类型投诉详情招联金融暴力催收，不知道去哪里找我公司电话，先打我公司电话，跟他说了暂时没钱处理后，她也同意了，后面另外一个人又打我公司电话，并且打我公司负责人电话，还说要上门，后面跟他协商还款，叫他不要打我公司电话，对方说你不还就不还，有威胁我再不还，就会继续打我公司电话的意思！现在严重影响我工作效率，影响个人生活，要求招联电话跟我公司负责人道歉，以及我之前贷款多给的利息退出来。</t>
  </si>
  <si>
    <t>http://ts.21cn.com/tousu/show/id/1365248</t>
  </si>
  <si>
    <t>2019/10/16 09:35:53</t>
  </si>
  <si>
    <t>投诉人 张先生        投诉对象  拼多多        涉诉金额  100 元    问题类型    诉求类型投诉详情  拼多多现金活动 虚假宣传 辛辛苦苦拉了很多人 到头来给优惠券</t>
  </si>
  <si>
    <t>捷信公司骚扰并诱导我办理高利贷</t>
  </si>
  <si>
    <t>http://ts.21cn.com/tousu/show/id/1365247</t>
  </si>
  <si>
    <t>2019/10/16 09:35:51</t>
  </si>
  <si>
    <t>投诉人曾先生投诉对象捷信金融涉诉金额0元问题类型诉求类型投诉详情前年办理过捷信分期合同终止后，捷信公司经常拨打我电话让我办理网贷且不说利息而且还是高利贷，砍头息各种各样后拨打其客服，让其给我销户，告之不可以！然后停了一段时间的，又打来电话，。</t>
  </si>
  <si>
    <t>拍拍贷骚扰亲属</t>
  </si>
  <si>
    <t>http://ts.21cn.com/tousu/show/id/1365246</t>
  </si>
  <si>
    <t>2019/10/16 09:35:37</t>
  </si>
  <si>
    <t>投诉人田先生投诉对象拍拍贷涉诉金额40000元问题类型诉求类型投诉详情拍拍贷借四万还七万，投诉了几次没人处理，好被骚扰，有人管吗。</t>
  </si>
  <si>
    <t>投诉淘集集网商平台</t>
  </si>
  <si>
    <t>http://ts.21cn.com/tousu/show/id/1365245</t>
  </si>
  <si>
    <t>2019/10/16 09:34:57</t>
  </si>
  <si>
    <t>投诉人 郑先生        投诉对象  淘集集        涉诉金额  2 093 元    问题类型    诉求类型投诉详情  本人在淘集集官方中心有开个人店铺。现在不想开退店但是淘集集官方一直不处理。无法提现和退款退店。打各种投诉电话也没有用。</t>
  </si>
  <si>
    <t>买单侠暴力催收</t>
  </si>
  <si>
    <t>http://ts.21cn.com/tousu/show/id/1365244</t>
  </si>
  <si>
    <t>2019/10/16 09:34:12</t>
  </si>
  <si>
    <t>投诉人仰先生投诉对象买单侠涉诉金额3000元问题类型诉求类型投诉详情买单侠公司利用外包人员暴力催收，恐慌收砍头息，还款后不予销账。</t>
  </si>
  <si>
    <t>网贷平台爆通讯录</t>
  </si>
  <si>
    <t>http://ts.21cn.com/tousu/show/id/1365243</t>
  </si>
  <si>
    <t>2019/10/16 09:33:56</t>
  </si>
  <si>
    <t>投诉人何先生投诉对象返现宝涉诉金额1600元问题类型诉求类型投诉详情借款1600到账1152，典型的砍头息，还款还要还1600。</t>
  </si>
  <si>
    <t>YY信用雇佣催款公司上门催款</t>
  </si>
  <si>
    <t>http://ts.21cn.com/tousu/show/id/1365242</t>
  </si>
  <si>
    <t>2019/10/16 09:33:44</t>
  </si>
  <si>
    <t>投诉人武先生投诉对象YY信用涉诉金额1700元问题类型诉求类型投诉详情账单忘记处理以逾期现在和YY公司协商还款不给处理。</t>
  </si>
  <si>
    <t>聚宝来高利贷砍头息</t>
  </si>
  <si>
    <t>http://ts.21cn.com/tousu/show/id/1365241</t>
  </si>
  <si>
    <t>2019/10/16 09:32:59</t>
  </si>
  <si>
    <t>本人因资金周转问题，在聚宝来平台借款3次，这次的高额利息无力承担，剩余两期和平台协商减免，提前结清销账。</t>
  </si>
  <si>
    <t>凡普信态度恶劣，威胁还款，</t>
  </si>
  <si>
    <t>http://ts.21cn.com/tousu/show/id/1365240</t>
  </si>
  <si>
    <t>2019/10/16 09:32:54</t>
  </si>
  <si>
    <t>说了每个月16号发工资处理还款，每次还没有逾期就各种打电话威胁，骚扰家人朋友，给生活造成了很大的困扰。</t>
  </si>
  <si>
    <t>电话打不通</t>
  </si>
  <si>
    <t>http://ts.21cn.com/tousu/show/id/1365238</t>
  </si>
  <si>
    <t>2019/10/16 09:32:46</t>
  </si>
  <si>
    <t>平台电话打不进，现在本人想协商还本金，想赶紧处理事情，请平台立即给与联系。</t>
  </si>
  <si>
    <t>无逾期不能使用</t>
  </si>
  <si>
    <t>http://ts.21cn.com/tousu/show/id/1365239</t>
  </si>
  <si>
    <t>2019/10/16 09:32:37</t>
  </si>
  <si>
    <t>投诉人 黄鑫        投诉对象  苏宁消费金融        涉诉金额  2 480 元    问题类型    诉求类型投诉详情  有额度 无逾期记录 但是钱无法体现 我一直都在好好用</t>
  </si>
  <si>
    <t>工商银行客服和催收暴力催收</t>
  </si>
  <si>
    <t>http://ts.21cn.com/tousu/show/id/1365236</t>
  </si>
  <si>
    <t>2019/10/16 09:32:22</t>
  </si>
  <si>
    <t>工商银行泄漏个人信息给第三方，暴力催收，严重骚扰亲戚朋友，。</t>
  </si>
  <si>
    <t>求助！协商还款</t>
  </si>
  <si>
    <t>http://ts.21cn.com/tousu/show/id/1365237</t>
  </si>
  <si>
    <t>2019/10/16 09:32:04</t>
  </si>
  <si>
    <t>本人长期使用花呗一直与贵公司之间良好的合作，按时按期还款，望贵公司与我联系协商还款事宜并且避免将此案件交至催收，因家人近段时间精神焦虑抑郁且患有心脏病，如骚扰到家人造成任何后果我会全力追责，另本人需陪护家人，手机可能有时无法接听电话，可再次或换时间段联系。</t>
  </si>
  <si>
    <t>拍拍贷暴力催收，协商态度恶劣</t>
  </si>
  <si>
    <t>http://ts.21cn.com/tousu/show/id/1365234</t>
  </si>
  <si>
    <t>2019/10/16 09:31:49</t>
  </si>
  <si>
    <t>投诉人张鹏飞投诉对象拍拍贷涉诉金额550元问题类型诉求类型投诉详情因为家里出事，工地没有发工资所以欠款暂时还不上，，和他们协商还款说不可能，也是无奈了，今天要上还收到短信要上门，就500多块钱，说了，发工资就还了。</t>
  </si>
  <si>
    <t>拼多多平台涉嫌赌博支付通道</t>
  </si>
  <si>
    <t>http://ts.21cn.com/tousu/show/id/1365235</t>
  </si>
  <si>
    <t>收到短信说，手机做兼职就可以赚钱，然后半信半疑的加了他，给我发了一个链接，让我充钱，我看支付通道是拼多多，也算正规平台，没想到充了钱以后，发现是网络赌博，要求拼多多退还非法所得。</t>
  </si>
  <si>
    <t>投诉先花一亿元网贷骚扰</t>
  </si>
  <si>
    <t>http://ts.21cn.com/tousu/show/id/1365232</t>
  </si>
  <si>
    <t>2019/10/16 09:31:33</t>
  </si>
  <si>
    <t>95235705、95235706、95235701！先花一亿元的机器人严重骚扰,也严重打扰到本人的正常生活！非常气愤，因为以前出现过多次，并且客服说以后不会再出现类似情况！如果这次在得不到解决，本人将一直投诉并且报警，找相关部门解决！。</t>
  </si>
  <si>
    <t>维信金科恶意扣钱</t>
  </si>
  <si>
    <t>http://ts.21cn.com/tousu/show/id/1365233</t>
  </si>
  <si>
    <t>2019/10/16 09:31:22</t>
  </si>
  <si>
    <t>投诉人张女士投诉对象维信金科涉诉金额30000元问题类型诉求类型投诉详情豆豆钱还款金额与合同不符每月要扣除420元的担保费；我想问问国家支持扣除的担保费吗，要求归还每月扣除的担保费；豆豆钱年利率超过国家规定的24%做出调息。</t>
  </si>
  <si>
    <t>http://ts.21cn.com/tousu/show/id/1365228</t>
  </si>
  <si>
    <t>2019/10/16 09:30:51</t>
  </si>
  <si>
    <t>冒充国家公检法发送恐吓短信，无限制的给亲朋好友发送短信败坏名声。</t>
  </si>
  <si>
    <t>滴滴车主扣恶意服务分</t>
  </si>
  <si>
    <t>http://ts.21cn.com/tousu/show/id/1365231</t>
  </si>
  <si>
    <t>2019/10/16 09:30:45</t>
  </si>
  <si>
    <t>身体不适，感冒发烧取消订单，报备且申诉平台显示申诉失败。</t>
  </si>
  <si>
    <t>马上金融暴力骚扰非法催收</t>
  </si>
  <si>
    <t>http://ts.21cn.com/tousu/show/id/1365230</t>
  </si>
  <si>
    <t>2019/10/16 09:30:44</t>
  </si>
  <si>
    <t>马上金融称水滴贷是他们的合作方，马上金融高利贷名声很臭，还清了逾期高利贷，但是马上金融客服还在不停的打电话。</t>
  </si>
  <si>
    <t>恒易贷还款成功，显示逾期并加收100元逾期费</t>
  </si>
  <si>
    <t>http://ts.21cn.com/tousu/show/id/1365227</t>
  </si>
  <si>
    <t>2019/10/16 09:30:38</t>
  </si>
  <si>
    <t>投诉人申先生投诉对象恒昌恒易贷涉诉金额1300元问题类型诉求类型投诉详情15日还款日，当天晚上7:10扣款成功，但是app上显示逾期。</t>
  </si>
  <si>
    <t>闪银高利贷，砍头息，言语恐吓骚扰</t>
  </si>
  <si>
    <t>http://ts.21cn.com/tousu/show/id/1365226</t>
  </si>
  <si>
    <t>2019/10/16 09:30:32</t>
  </si>
  <si>
    <t>欠债还钱是天经地义的事，但是现在确实没有钱还，这种暴力催收方法是否合适，如果我违法了，可以采用法律的方式维护自己的权益。</t>
  </si>
  <si>
    <t>及贷我已还款为什么还有逾期</t>
  </si>
  <si>
    <t>http://ts.21cn.com/tousu/show/id/1365198</t>
  </si>
  <si>
    <t>2019/10/16 09:29:56</t>
  </si>
  <si>
    <t>投诉人李女士投诉对象及贷涉诉金额728元问题类型诉求类型投诉详情昨天我在及贷平台手动还款没成功，然后打电话给客服中心，客服通过短信给我发了账号让我转款，我通过手机银行晚上6点多给及贷转款727.67元，今天为什么来短信说逾期了，希望给我一个合理的解释，请把逾期取消，道歉。</t>
  </si>
  <si>
    <t>苏宁金融</t>
  </si>
  <si>
    <t>http://ts.21cn.com/tousu/show/id/1365225</t>
  </si>
  <si>
    <t>2019/10/16 09:29:36</t>
  </si>
  <si>
    <t>投诉人黎先生投诉对象苏宁金融,苏宁消费金融涉诉金额800元问题类型诉求类型投诉详情我苏宁金融12号需要还款，还款金额800不到，因为确实没有钱了，没逾期之前就跟客服这边协商，看能不能协商一下还款时间，26号发工资再还，客服这边说要逾期后才可以协商，逾期之后又说到第四天催收打电话了，才可以协商，现在已经第四天了，催收也打电话了，到是催收那边说根本没有办法协商延期还款，你们客服代表的是你们苏宁的门面，催收跟我说以他的为准，你们是脸皮厚自己打自己脸吗，现在我要求苏宁延期一下还款时间，以下就是跟客服沟通的聊天记录，</t>
  </si>
  <si>
    <t>http://ts.21cn.com/tousu/show/id/1365224</t>
  </si>
  <si>
    <t>2019/10/16 09:29:24</t>
  </si>
  <si>
    <t>投诉人 胡帅        投诉对象  捷信金融        涉诉金额  24 000 元    问题类型    诉求类型投诉详情  在捷信金融现金贷借了24000 还款19期共22510元 还要还17期 由于家里人住院治疗以逾期半月一直打电话催 跟他商量也不行 我已经无力偿还 我现在希望能一次性结清 把本金还上 给我结清证明</t>
  </si>
  <si>
    <t>悦程出行机场误导办卡，请求退卡</t>
  </si>
  <si>
    <t>http://ts.21cn.com/tousu/show/id/1365223</t>
  </si>
  <si>
    <t>2019/10/16 09:29:21</t>
  </si>
  <si>
    <t>投诉人金先生投诉对象铁航程商旅,悦程出行涉诉金额1880元问题类型诉求类型投诉详情10月15日在毕节机场当时自助值机机器出问题了有身着空姐服装样式的工作人员主动拿我的身份证去托运行李那里人工服务窗口帮我值机，办完后不把身份证和登机牌还给我，就一边推销她们的卡一边带着我往她们柜台走，推荐我办卡，充值1880元赠送1000元，这2880元都是自己可以购买机票的钱，办卡是免费的，其间我也强调是否可以用卡里的钱直接购买机票，销售人员说可以，询问是否有时间限制，回答的是终身制会员，之后得知只能抵扣机建燃油费用。</t>
  </si>
  <si>
    <t>爆我通讯录</t>
  </si>
  <si>
    <t>http://ts.21cn.com/tousu/show/id/1365222</t>
  </si>
  <si>
    <t>2019/10/16 09:29:08</t>
  </si>
  <si>
    <t>逾期一天，上午就爆通讯录，我问给哪些人打电话了，不说，态度恶劣，我就想知道给哪些人电话了，死活问不出来。</t>
  </si>
  <si>
    <t>美团生活费暴力催收，威胁，恐吓</t>
  </si>
  <si>
    <t>http://ts.21cn.com/tousu/show/id/1365221</t>
  </si>
  <si>
    <t>2019/10/16 09:29:00</t>
  </si>
  <si>
    <t>因暂时没有还款能力逾期了，美团生活费就发短信威胁，恐吓！。</t>
  </si>
  <si>
    <t>http://ts.21cn.com/tousu/show/id/1365220</t>
  </si>
  <si>
    <t>2019/10/16 09:28:57</t>
  </si>
  <si>
    <t>投诉人严女士投诉对象融360,快来花,薪e贷,酷卡贷,闪电速借,吉时用,荣易贷,要钱快,花无愁,应急贷涉诉金额10000元问题类型诉求类型投诉详情本人多次在融360app上借款，每个借款周期为15天，每次借款都必须强制购买该app上的商品才会放款，商品价格200到500不等，借款1000元要购买标价200元的商品，315晚会过后我才知道这属于变相砍头息，现要求该平台退还我购买商品的费用。</t>
  </si>
  <si>
    <t>快闪卡贷高利贷，砍头息</t>
  </si>
  <si>
    <t>http://ts.21cn.com/tousu/show/id/1365219</t>
  </si>
  <si>
    <t>2019/10/16 09:28:56</t>
  </si>
  <si>
    <t>投诉人蒋先生投诉对象快闪卡贷涉诉金额18000元问题类型诉求类型投诉详情快闪卡贷，分期6期每期还款4272，砍头息保险费收取1980，本金18000.总利息达到7632，年利达到：76%。</t>
  </si>
  <si>
    <t>请停止任何形式广告行为</t>
  </si>
  <si>
    <t>http://ts.21cn.com/tousu/show/id/1365218</t>
  </si>
  <si>
    <t>2019/10/16 09:28:48</t>
  </si>
  <si>
    <t>投诉人梁先生投诉对象爱奇艺涉诉金额198元问题类型诉求类型投诉详情停止包括不限于以推荐影片的形式播放广告不接受任何形式的广告行为尊重付费会员的权益必要时本人采取法律程序维护个人权益。</t>
  </si>
  <si>
    <t>借花钱恶意扣款</t>
  </si>
  <si>
    <t>http://ts.21cn.com/tousu/show/id/1365215</t>
  </si>
  <si>
    <t>2019/10/16 09:28:33</t>
  </si>
  <si>
    <t>投诉人李先生投诉对象借花钱涉诉金额198元问题类型诉求类型投诉详情在借花钱平台借款时在没有说明的的情况下被扣款198元真不知道什么原因被扣的钱银行卡密码也也没输就绑银行卡的时候有个验证码填写后马上收到银行卡扣款短信内容如下中国农业银行您尾号8368账户10月16日07:23完成消费交易人民币-198.00，余额2.69，快捷通验证码为：054815，您正在进行银行卡支付，请勿泄露，如非本人操作，请关注微信公众号快捷通支付服务咨询。</t>
  </si>
  <si>
    <t>拍拍贷威胁催收通讯录</t>
  </si>
  <si>
    <t>http://ts.21cn.com/tousu/show/id/1365217</t>
  </si>
  <si>
    <t>2019/10/16 09:28:23</t>
  </si>
  <si>
    <t>投诉人李女士投诉对象拍拍贷涉诉金额796元问题类型诉求类型投诉详情确实逾期是我的问题，该给的逾期费用我也会承担，也不是故意逾期，在尽快的催款还款了，我也没说不还，催收人员态度不好又威胁说什么时候还钱就什么时候停止通讯录催收，未经同意打扰我通讯录，是国家允许的行为吗。</t>
  </si>
  <si>
    <t>贷上钱逾期一天，正常沟通没有拒接电话，表示过下午i就可以还款，催收要拨打家人电话并且要求10点之内还款</t>
  </si>
  <si>
    <t>http://ts.21cn.com/tousu/show/id/1365216</t>
  </si>
  <si>
    <t>2019/10/16 09:28:14</t>
  </si>
  <si>
    <t>与催收沟通表示下午发工资后就还款，催收表示要打电话给家人，我并没有拒接电话或者态度不好，并且逾期利息会主动承担。</t>
  </si>
  <si>
    <t>你我贷暴力催收态度恶劣</t>
  </si>
  <si>
    <t>http://ts.21cn.com/tousu/show/id/1365213</t>
  </si>
  <si>
    <t>2019/10/16 09:27:49</t>
  </si>
  <si>
    <t>本人应勿入套路贷，砍头息高利贷，导致生活水平下降，你我贷暴力催收，一个女的催收员打电话给亲戚朋友，打电话给父母，态度恶劣！辱骂！导致父母生病住院，要求你我贷给合理解释，并赔偿损失，赔礼道歉！自从国家315曝光套路贷砍头息高利贷以来，明文规定不允许暴力催收，你我贷依然无法无天，无视法纪，希望聚投诉平台提供媒体投诉的方式！我要曝光他们！。</t>
  </si>
  <si>
    <t>及贷</t>
  </si>
  <si>
    <t>http://ts.21cn.com/tousu/show/id/1365214</t>
  </si>
  <si>
    <t>2019/10/16 09:27:43</t>
  </si>
  <si>
    <t>投诉人杨女士投诉对象及贷涉诉金额4000元问题类型诉求类型投诉详情我协商还款，有一点还一点，还清为止，连人都找不到，下载都没地方下载，现在是什么意思，什么叫产生任何影响与你们公司无关，那我的借款是否也与你们公司无关！，如果后续又出现爆我通讯录的情况，我将一一录音，保留所有证据，一切走法律程序，奉陪到底！！！。</t>
  </si>
  <si>
    <t>给你花平台暴力催收，骚扰</t>
  </si>
  <si>
    <t>http://ts.21cn.com/tousu/show/id/1365212</t>
  </si>
  <si>
    <t>2019/10/16 09:26:52</t>
  </si>
  <si>
    <t>催收电话打来解释发工资后就还上，结果不到半小时平台联系我身边的朋友、亲人进行催收，第二天早上十来分钟四五个电话打过来催收骚扰，恐吓。</t>
  </si>
  <si>
    <t>信乐优高利贷</t>
  </si>
  <si>
    <t>http://ts.21cn.com/tousu/show/id/1365211</t>
  </si>
  <si>
    <t>2019/10/16 09:26:19</t>
  </si>
  <si>
    <t>信乐优网络高炮，借款2000.到账1320.六天借款时间，请求严打网络高利贷！。</t>
  </si>
  <si>
    <t>先花一亿元骚扰电话</t>
  </si>
  <si>
    <t>http://ts.21cn.com/tousu/show/id/1365210</t>
  </si>
  <si>
    <t>2019/10/16 09:25:42</t>
  </si>
  <si>
    <t>投诉人 施先生        投诉对象  先花一亿元        涉诉金额  0 元    问题类型    诉求类型投诉详情  先花一亿元这两天的时间天天打电话。挂了都还打来。停止骚扰！以前就投诉过了！</t>
  </si>
  <si>
    <t>http://ts.21cn.com/tousu/show/id/1365209</t>
  </si>
  <si>
    <t>2019/10/16 09:24:52</t>
  </si>
  <si>
    <t>本人于8月2日在及贷至享贷里申请了一笔1900块的贷款，实际到账1672元，当时扣除了190元保险费，本人今天登录及贷APP找不到任何借款记录及合同，请问是想隐瞒什么?变相砍头息，请及贷做出解释并退还保费。</t>
  </si>
  <si>
    <t>小米金融出售个人消息</t>
  </si>
  <si>
    <t>http://ts.21cn.com/tousu/show/id/1365208</t>
  </si>
  <si>
    <t>2019/10/16 09:24:46</t>
  </si>
  <si>
    <t>小米金融几个催收外包公司，一个广州的催收天天打恐吓我，还一个陕西咸阳的。</t>
  </si>
  <si>
    <t>信用管家诚薪贷收取高额砍头息</t>
  </si>
  <si>
    <t>http://ts.21cn.com/tousu/show/id/1365207</t>
  </si>
  <si>
    <t>2019/10/16 09:24:23</t>
  </si>
  <si>
    <t>信用管家的诚薪贷平台借款3000元，实际到账2250元，收取750元高额砍头息，现在已还两期合理2088元，要求协商减免销账。</t>
  </si>
  <si>
    <t>来分期催收恶意催收自动扣款</t>
  </si>
  <si>
    <t>http://ts.21cn.com/tousu/show/id/1365206</t>
  </si>
  <si>
    <t>2019/10/16 09:24:13</t>
  </si>
  <si>
    <t>2018年底生意失败，导致外债较多就没有偿还来分期债务，最近来分期一直用网络电话骚扰我。</t>
  </si>
  <si>
    <t>新意花，立马进钱高利贷，联系不到客服，故意造成逾期</t>
  </si>
  <si>
    <t>http://ts.21cn.com/tousu/show/id/1365205</t>
  </si>
  <si>
    <t>2019/10/16 09:24:04</t>
  </si>
  <si>
    <t>新意花,立马进钱,信用管家,瑞利随薪贷,畅捷支付，本人8月27号在信用管家下载的新意花小木钱包上借款2800元，实际到账2800元，借款为32天，每8天一期还款，每期还款1022.4元，需还款4089.6元，现在已经还款3期，最后一期由于app打不开，也联系不到客服，造成逾期，产生大量的逾期费用，第二次9月12号在立马进钱借款2800元，已经还第一期，其他三期也因为同样的原因造成逾期，支付通道都为畅捷支付，为套路贷提供违规途径，现希望平台联系商户帮忙进行协商处理，而由于app及对公支付宝账户异常造成借款用户</t>
  </si>
  <si>
    <t>上海证大利息高，无合同</t>
  </si>
  <si>
    <t>http://ts.21cn.com/tousu/show/id/1365204</t>
  </si>
  <si>
    <t>2019/10/16 09:23:15</t>
  </si>
  <si>
    <t>投诉人顾女士投诉对象上海证大爱特金融信息服务有限公司,证大财富,上海证大大拇指财富管理有限公司,上海证大金融信息服务有限公司涉诉金额13000元问题类型诉求类型投诉详情到手金额80000，扣除手续费，还剩70240，36期，每一期3666.25元，现在还款过程中发现利息过高，已经还15期。</t>
  </si>
  <si>
    <t>毫无法制可言，变相收取高额砍头息</t>
  </si>
  <si>
    <t>http://ts.21cn.com/tousu/show/id/1365202</t>
  </si>
  <si>
    <t>2019/10/16 09:22:23</t>
  </si>
  <si>
    <t>投诉几个月，无人处理，监管部门形同虚设，霸王条款，乱像丛生，哪来的法制。</t>
  </si>
  <si>
    <t>信用管家云享贷收取高额砍头息</t>
  </si>
  <si>
    <t>http://ts.21cn.com/tousu/show/id/1365201</t>
  </si>
  <si>
    <t>2019/10/16 09:21:52</t>
  </si>
  <si>
    <t>信用管家的云享贷平台借款3000元，实际到账2250元，收取750元高额砍头息，现在已还两期合理2088元，要求协商减免销账。</t>
  </si>
  <si>
    <t>马上金融暴力催收以及恐吓</t>
  </si>
  <si>
    <t>http://ts.21cn.com/tousu/show/id/1365200</t>
  </si>
  <si>
    <t>2019/10/16 09:21:31</t>
  </si>
  <si>
    <t>1.马上金融额度2500，上月还了900多，再次申请提现的时候，说不能使用此服务2.本月15日还款，刚到还款日，客服就开始打电话催促，并且发短信来进行恐吓以及威胁，因逾期一天，马上金融告知要开始进行催收3.已发信息告知如果在我表示有还款意愿情况下，仍旧对我家人以及朋友进行骚扰，我也会走法律程序。</t>
  </si>
  <si>
    <t>立借平台高利贷、涉黑、无借款合同；多次骚扰威胁本人通讯录内所有联系人，要求依法打掉这个黑平台</t>
  </si>
  <si>
    <t>http://ts.21cn.com/tousu/show/id/1365199</t>
  </si>
  <si>
    <t>立借平台涉嫌高利贷、套路贷，没有借款合同，在没有显示还款明细前提示分12期，借款6000元，下款后却显示前3期还8000多元，先已涨到10080元，多次爆本人通讯录，此刻还在爆我通讯录，发短信骚扰所有联系人，家人已报警备案，希望通过法律途径维护合法权益。</t>
  </si>
  <si>
    <t>还清不给注销账号</t>
  </si>
  <si>
    <t>http://ts.21cn.com/tousu/show/id/1365197</t>
  </si>
  <si>
    <t>2019/10/16 09:19:58</t>
  </si>
  <si>
    <t>投诉人 李女士        投诉对象  贷上钱,带上钱        涉诉金额  3 000 元    问题类型    诉求类型投诉详情  已还清 找借口不注销账户 凭什么还清了不给注销？我还不自己申请注销了 就一直投诉 天天投诉 ！让你们自己给我注销去</t>
  </si>
  <si>
    <t>暴力催收利息高</t>
  </si>
  <si>
    <t>http://ts.21cn.com/tousu/show/id/1365196</t>
  </si>
  <si>
    <t>2019/10/16 09:19:07</t>
  </si>
  <si>
    <t>投诉人 蒋女士        投诉对象  时光分期        涉诉金额  10 000 元    问题类型    诉求类型投诉详情  暴力催收 利息高 降息 打通讯录发短信</t>
  </si>
  <si>
    <t>保证金</t>
  </si>
  <si>
    <t>http://ts.21cn.com/tousu/show/id/1365195</t>
  </si>
  <si>
    <t>2019/10/16 09:18:38</t>
  </si>
  <si>
    <t>立刻出行在成都没有一辆车了，申请退保证金没反应，完全是骗保证金。</t>
  </si>
  <si>
    <t>今巴蟹业预约购买的蟹券不发货</t>
  </si>
  <si>
    <t>http://ts.21cn.com/tousu/show/id/1365194</t>
  </si>
  <si>
    <t>2019/10/16 09:17:55</t>
  </si>
  <si>
    <t>去年九月在京东活动时买了今巴蟹业的券，去年预约提货就一直显示已约满，今年还是一样情况，发现预约电话一直处于占线要不就没人接，通过微信预约，显示的都是预约已满，已经到11月中旬了，现在才十月中旬，而且说到十二月就不再提货了，还说提货券到期就作废了。</t>
  </si>
  <si>
    <t>好分期诱导借高利贷，阴阳合同提前催收</t>
  </si>
  <si>
    <t>http://ts.21cn.com/tousu/show/id/1365155</t>
  </si>
  <si>
    <t>2019/10/16 09:17:30</t>
  </si>
  <si>
    <t>好分期平台显示在我未贷款的情况下，发送短信称低利息诱导借款，后本人急需用钱没细看利率的情况下，以远高出法律规定利率发放贷款，且明明在该平台贷款，而合同为其他公司，涉嫌打法律擦边球，阴阳合同，在后续还款过程中多次提前还款日多日提前多个短信及电话催收，现我要求按照本金还款，否则拒绝按照平台利率，通过法律途径正常还款。</t>
  </si>
  <si>
    <t>龙分期套路贷暴力催收</t>
  </si>
  <si>
    <t>http://ts.21cn.com/tousu/show/id/1365193</t>
  </si>
  <si>
    <t>2019/10/16 09:15:55</t>
  </si>
  <si>
    <t>投诉人刘女士投诉对象小树时代涉诉金额2000元问题类型诉求类型投诉详情在龙分期小树时代借款分12期，利息很高，由于一时周转不过来，逾期了，催收人员不停骚扰我和我的家人，还短信轰炸，我告诉他给我两天时间处理，可是时间还没到，又不停骚扰，给我的工作生活造成极大影响。</t>
  </si>
  <si>
    <t>闪银借款日期不准确</t>
  </si>
  <si>
    <t>http://ts.21cn.com/tousu/show/id/1365191</t>
  </si>
  <si>
    <t>2019/10/16 09:15:13</t>
  </si>
  <si>
    <t>10月16日还款），与约定不同。</t>
  </si>
  <si>
    <t>http://ts.21cn.com/tousu/show/id/1365190</t>
  </si>
  <si>
    <t>2019/10/16 09:15:10</t>
  </si>
  <si>
    <t>投诉人刘先生投诉对象钱站涉诉金额3000元问题类型诉求类型投诉详情借了3000元，分三期总共要还4900多。</t>
  </si>
  <si>
    <t>安庆盛通信息科技有限公司未经同意乱扣款</t>
  </si>
  <si>
    <t>http://ts.21cn.com/tousu/show/id/1365192</t>
  </si>
  <si>
    <t>2019/10/16 09:15:01</t>
  </si>
  <si>
    <t>投诉人彭先生投诉对象人人花涉诉金额90元问题类型诉求类型投诉详情今天发现自己银行卡上莫名其妙少了90块钱，经过银行查询发现被安庆盛通信息科技有限公司恶意扣款。</t>
  </si>
  <si>
    <t>http://ts.21cn.com/tousu/show/id/1365188</t>
  </si>
  <si>
    <t>2019/10/16 09:14:07</t>
  </si>
  <si>
    <t>投诉人陈女士投诉对象平安普惠,i贷涉诉金额33000元问题类型诉求类型投诉详情平安普惠i贷去年借出来33000到现在已经还了两万多了，实在没钱还，平安普惠才逾期一天就电话打来骚扰，半夜三更还打来骚扰我，已经严重影响了我的生活，利息还高的吓人，我要求平台立刻处理，并道歉停止骚扰。</t>
  </si>
  <si>
    <t>闪电借款，高利贷</t>
  </si>
  <si>
    <t>http://ts.21cn.com/tousu/show/id/1365189</t>
  </si>
  <si>
    <t>2019/10/16 09:14:02</t>
  </si>
  <si>
    <t>9月24日还款，需要8606.4，年利率高达36%，因深陷套路贷，欠外债太多，也在合肥市刑警三队报案，已受理，等结果，在还款日之前我这边也积极的联系闪电借款平台客服，说协商处理还款问题，但无任何回应，现已经无力还高利息，协商还款到账本金，一次结清，我这边尽最大能力去筹钱，也希望你们不要在不停的打电话给何雷雷通讯录上的人。</t>
  </si>
  <si>
    <t>强制买保证保险方式砍头息</t>
  </si>
  <si>
    <t>http://ts.21cn.com/tousu/show/id/1365187</t>
  </si>
  <si>
    <t>2019/10/16 09:13:29</t>
  </si>
  <si>
    <t>一，违反国家规定强制借款人买保证保险，是锦泰保险公司的，二，其年利率高达百分之二十四三，逾期2天就骚扰紧急联系人，朋友，损坏我名声，催收电话075523894901.136******84。</t>
  </si>
  <si>
    <t>尚诚消费金融旗下借去花暴力催收！</t>
  </si>
  <si>
    <t>http://ts.21cn.com/tousu/show/id/1365186</t>
  </si>
  <si>
    <t>2019/10/16 09:13:03</t>
  </si>
  <si>
    <t>投诉人吴先生投诉对象尚诚消费金融涉诉金额2450元问题类型诉求类型投诉详情尚诚消费金融旗下借去花暴力催收！恐吓威胁！严重影响到我的正常生活！逾期是不对！但我也在积极努力还款！从没有说不还款的意思！每次打电话我都是努力解释我会尽快还款！我不是不接电话有时候在工作！催收根本不听！打我通讯录联系人！有时候态度很差挂了电话还用私人号码打电话来威胁我！让我精神伤害很大！公司领导知道开除了我！工作丢了我有什么能力还款。</t>
  </si>
  <si>
    <t>http://ts.21cn.com/tousu/show/id/1365185</t>
  </si>
  <si>
    <t>2019/10/16 09:12:34</t>
  </si>
  <si>
    <t>借款70000元，分36期，总计须还130227.98，其中不明究里的账单：合同金额93333.33元，信息咨询服务费3733.33元，前期服务保障金19600元。</t>
  </si>
  <si>
    <t>好借花高利贷砍头息暴力催收</t>
  </si>
  <si>
    <t>http://ts.21cn.com/tousu/show/id/1365184</t>
  </si>
  <si>
    <t>2019/10/16 09:12:14</t>
  </si>
  <si>
    <t>在好借花app借款2000元，到账1400，从第二天开始每天还200，已经还了800了，每天中午就开始催收，到下午6点没还钱就开始联系通讯录，进行辱骂，严重影响了我的正常生活。</t>
  </si>
  <si>
    <t>严重电话骚扰家里人</t>
  </si>
  <si>
    <t>http://ts.21cn.com/tousu/show/id/1365183</t>
  </si>
  <si>
    <t>2019/10/16 09:11:24</t>
  </si>
  <si>
    <t>希望平安普惠停止对借款人以外的亲属，进行以电话骚扰，暴力催收，本人会尽快还款。</t>
  </si>
  <si>
    <t>只想退款</t>
  </si>
  <si>
    <t>http://ts.21cn.com/tousu/show/id/1365182</t>
  </si>
  <si>
    <t>2019/10/16 09:11:02</t>
  </si>
  <si>
    <t>在京东旗下拍拍买的苹果8手机，用了十几天后通电话期间有啸叫声，游戏中触屏不灵敏，联系客服不回复，二天后对方显示己收到货，问客服只发了一个笑脸，第二天发信息问客服结果又给发一个笑脸，然后我又申请交易纠纷，等待了36小时依然没有结果。</t>
  </si>
  <si>
    <t>http://ts.21cn.com/tousu/show/id/1365181</t>
  </si>
  <si>
    <t>2019/10/16 09:10:25</t>
  </si>
  <si>
    <t>要求退回款项，付款就自动收货，拼多多是否与这些博彩黑平台有勾结。</t>
  </si>
  <si>
    <t>停止骚扰，协商还款，结清证明</t>
  </si>
  <si>
    <t>http://ts.21cn.com/tousu/show/id/1365180</t>
  </si>
  <si>
    <t>2019/10/16 09:09:52</t>
  </si>
  <si>
    <t>一，本人借款共15000元，现如今已经正常还款每期1170元，已还款18期，金额共21060，本金以及利息都已超过所借款总额，但是捷信公司还要本人还款4000元才肯结清账单，所出利息已经超过国家标准二，威胁发通知到村居委等地方宣告本人欠款事宜现如今本人要求捷信公司停止所有骚扰，与本人协商还款事宜，最后开具结清证明。</t>
  </si>
  <si>
    <t>店铺“默宝定制”在付款前同意开具发票，并且收取了5%税点，收货后不给开发票</t>
  </si>
  <si>
    <t>http://ts.21cn.com/tousu/show/id/1365179</t>
  </si>
  <si>
    <t>2019/10/16 09:08:41</t>
  </si>
  <si>
    <t>10月10日，本人在淘宝店铺“默宝定制”购买定制信封，总价为560元，客服要求收取5%税点，最后付款588元，之后于10月13日、10月16日催促卖家开具发票，均显示已读，但卖家不予回复。</t>
  </si>
  <si>
    <t>你我贷高额利息，提前还款已经超过国家规定利息</t>
  </si>
  <si>
    <t>http://ts.21cn.com/tousu/show/id/1365177</t>
  </si>
  <si>
    <t>2019/10/16 09:08:35</t>
  </si>
  <si>
    <t>前两期每期还款1906.31，后面每期需要还706.31。</t>
  </si>
  <si>
    <t>不同意协商还款</t>
  </si>
  <si>
    <t>http://ts.21cn.com/tousu/show/id/1365176</t>
  </si>
  <si>
    <t>2019/10/16 09:08:07</t>
  </si>
  <si>
    <t>投诉人 王先生        投诉对象  钱伴,快贷（信喜）        涉诉金额  1 320 元    问题类型    诉求类型投诉详情  本人借款6期 已还两期 最近资金周转困难 寻求一个解决方式 跟客服协商无效</t>
  </si>
  <si>
    <t>在客户没确认就扣钱</t>
  </si>
  <si>
    <t>http://ts.21cn.com/tousu/show/id/1365175</t>
  </si>
  <si>
    <t>2019/10/16 09:07:21</t>
  </si>
  <si>
    <t>免费体验3天，一体验就开始扣款，没有收到任何确认！。</t>
  </si>
  <si>
    <t>冒充支付宝工作人员恶意催收</t>
  </si>
  <si>
    <t>http://ts.21cn.com/tousu/show/id/1365174</t>
  </si>
  <si>
    <t>2019/10/16 09:06:58</t>
  </si>
  <si>
    <t>冒充支付宝工作人员恶意催收，态度恶劣开口就骂。</t>
  </si>
  <si>
    <t>钱站套路贷，高利贷</t>
  </si>
  <si>
    <t>http://ts.21cn.com/tousu/show/id/1365173</t>
  </si>
  <si>
    <t>2019/10/16 09:06:57</t>
  </si>
  <si>
    <t>钱站存在高利贷套路贷，发短信套路我以贷还贷，本金我一年半还完了，将近40000万元的利息，你忽悠我加入老友计划，你们这属于高利贷了，我以已上报北京高级人民法院，你们等待法律的制裁吧！所有证据确凿，骚扰我的通讯录、短信威胁、冒充聚投诉客服、随意更改合同、砍头息、高利贷、银行流水、拨款账户，录音、截图，以及骚扰我家人的所有证据，我一定要让你们付出代价。</t>
  </si>
  <si>
    <t>挂羊头卖狗肉，手机借钱实际是多宝分期，高利息，辱骂催收，骚扰家人</t>
  </si>
  <si>
    <t>http://ts.21cn.com/tousu/show/id/1365172</t>
  </si>
  <si>
    <t>2019/10/16 09:06:36</t>
  </si>
  <si>
    <t>高利息，暴力催收，骚扰辱骂家人，借款4000，还6000以上，提前就会暴力催收，骂家人以及威胁。</t>
  </si>
  <si>
    <t>拼多多商户涉嫌为赌博平台收款</t>
  </si>
  <si>
    <t>http://ts.21cn.com/tousu/show/id/1365170</t>
  </si>
  <si>
    <t>2019/10/16 09:05:19</t>
  </si>
  <si>
    <t>申请退回充值的钱，这些不良商家，已经害得我够惨了。</t>
  </si>
  <si>
    <t>不要在暴力催收，影响个人声誉</t>
  </si>
  <si>
    <t>http://ts.21cn.com/tousu/show/id/1365169</t>
  </si>
  <si>
    <t>2019/10/16 09:04:53</t>
  </si>
  <si>
    <t>因资金周转问题，突然还不上信用卡了，四万八的本金，这几个月陆陆续续还的有将近六千多进去了，现在本金加上滞纳金还是四万八千多，我现在有困难，想协商分期还款，银行不同意，然后就暴力催收，连续骚扰我的家人，还给我村里面寄什么东西，影响我的个人声誉，钱是我该还的，但是不能把东西寄去村委会，也不应该老是骚扰给我的家里人，我有接电话，有还款记录，还有我也是想协商一下分期还款，希望银行方面联系我，不要在去联系我的家里人和我的村委。</t>
  </si>
  <si>
    <t>来分期（晋商消费金融）非恶意逾期上报了征信</t>
  </si>
  <si>
    <t>http://ts.21cn.com/tousu/show/id/1365168</t>
  </si>
  <si>
    <t>2019/10/16 09:04:20</t>
  </si>
  <si>
    <t>来分期9月12日一笔借款到期，当时有事情给忘记了，并非说恶意欠款，晚了两天就给还上了，而来分期当时催款电话态度十分恶劣，也未与本人说明任何情况就直接上报央行征信，哪怕信用卡都有个三天的缓冲期，来分期没有任何的缓冲期，也不与我本人说明情况直接上报央行征信。</t>
  </si>
  <si>
    <t>无良软件陌陌，还我血汗钱！</t>
  </si>
  <si>
    <t>http://ts.21cn.com/tousu/show/id/1365167</t>
  </si>
  <si>
    <t>2019/10/16 09:04:16</t>
  </si>
  <si>
    <t>误冲2450元，要求全额退款，你们已经涉及霸王条款，希望平台可以帮忙申诉让我挽回损失！只能充不能退是在坑，希望可以让有关部门看见，好好整顿管理一下这些霸王条款，让这些土匪从良做个好人吧！谢谢。</t>
  </si>
  <si>
    <t>中汇掌富通支付没有到账</t>
  </si>
  <si>
    <t>http://ts.21cn.com/tousu/show/id/1365166</t>
  </si>
  <si>
    <t>2019/10/16 09:03:28</t>
  </si>
  <si>
    <t>投诉人成先生投诉对象中汇掌富通涉诉金额20000元问题类型诉求类型投诉详情我是在2019年10月14日中汇掌富通，是即时到账，到现在也没有到账，客服电话打不通。</t>
  </si>
  <si>
    <t>不接受协商，威胁催收</t>
  </si>
  <si>
    <t>http://ts.21cn.com/tousu/show/id/1365165</t>
  </si>
  <si>
    <t>2019/10/16 09:03:13</t>
  </si>
  <si>
    <t>投诉人严女士投诉对象现金巴士涉诉金额1000元问题类型诉求类型投诉详情本人在现金巴士上有一笔借款逾期30天，因无力偿还所以只还了200元，跟客服协商还款客服一直不同意，并且态度很差，说一毛钱也不能少，不还钱就打通讯录。</t>
  </si>
  <si>
    <t>石榴快袋超利贷</t>
  </si>
  <si>
    <t>http://ts.21cn.com/tousu/show/id/1365162</t>
  </si>
  <si>
    <t>2019/10/16 09:02:34</t>
  </si>
  <si>
    <t>投诉人袁女士投诉对象石榴快袋涉诉金额2000元问题类型诉求类型投诉详情2000元5天利息要900元，上一次我续期了，付了700，说是算一周期可是从当天开始算，客服态度还强硬，啥都不管。</t>
  </si>
  <si>
    <t>及贷借款要求一次性结清减免利息</t>
  </si>
  <si>
    <t>http://ts.21cn.com/tousu/show/id/1365161</t>
  </si>
  <si>
    <t>2019/10/16 09:02:10</t>
  </si>
  <si>
    <t>投诉人董晨曦投诉对象及贷涉诉金额20610元问题类型诉求类型投诉详情我在及贷借了一笔借款18000元，还要还19000多点，要求提供一次性结清减免利息方案。</t>
  </si>
  <si>
    <t>闪管家停止骚扰</t>
  </si>
  <si>
    <t>http://ts.21cn.com/tousu/show/id/1365160</t>
  </si>
  <si>
    <t>2019/10/16 09:01:43</t>
  </si>
  <si>
    <t>投诉人黄小姐投诉对象闪掌柜涉诉金额1000元问题类型诉求类型投诉详情借款1000到手1030，不肯协商还款，天天电话骚扰，已经在贵司借过差不多10次，单单利息费都超过两三千，早就超出过到手本金790，希望贵司按国家正常费率还款销账，谢谢，并停止骚扰。</t>
  </si>
  <si>
    <t>及贷强制扣除vip费用，不给不下款</t>
  </si>
  <si>
    <t>http://ts.21cn.com/tousu/show/id/1365159</t>
  </si>
  <si>
    <t>2019/10/16 09:01:02</t>
  </si>
  <si>
    <t>投诉人叶女士投诉对象及贷涉诉金额1800元问题类型诉求类型投诉详情我在之前有在及贷上借款过一次，1700元借款30天，到款1700元还款1751元，就觉得可以接受，在这次急需要钱的时候还是考虑了及贷，结果这次，1700元借款50天，到款1530元还款1785，强制扣除了vip费用170元，说不付这笔钱是不会下款的，这相当于收了年利率123%，远远超过国家24%的年利率！！！！我现要求将补齐实际到款1700元，我将继续按照1785元还款，或就按照1530元实际实际到款金额还款1605元。</t>
  </si>
  <si>
    <t>酷花花协商退砍头息</t>
  </si>
  <si>
    <t>http://ts.21cn.com/tousu/show/id/1365158</t>
  </si>
  <si>
    <t>2019/10/16 09:00:50</t>
  </si>
  <si>
    <t>投诉人魏女士投诉对象酷花花涉诉金额1800元问题类型诉求类型投诉详情10月1来电协商退款问题，到目前还没有结果，客服联系不上，希望尽快跟我取得联系，并告知我结果。</t>
  </si>
  <si>
    <t>http://ts.21cn.com/tousu/show/id/1365156</t>
  </si>
  <si>
    <t>2019/10/16 09:00:32</t>
  </si>
  <si>
    <t>投诉人李先生投诉对象河南泽卓网络科技有限公司涉诉金额200000元问题类型诉求类型投诉详情该公司旗下app，325棋牌，实为网络赌博app，多人受害。</t>
  </si>
  <si>
    <t>王者钱包高利贷</t>
  </si>
  <si>
    <t>http://ts.21cn.com/tousu/show/id/1365157</t>
  </si>
  <si>
    <t>2019/10/16 09:00:30</t>
  </si>
  <si>
    <t>投诉人母先生投诉对象王者钱包涉诉金额1860元问题类型诉求类型投诉详情王者钱包，我已经在各大平台进行了投诉，他们的app没有任何关于平台的信息，借款也没有什么电子合同，五天的期限利息却高达一千多！！！国家严厉打击违法高利贷，他们却还敢顶风作案，请求平台重视好吗，我们作为欠债人还钱是天经地义，但我们也拒绝这种高利贷抢钱的非法行为！昨天还威胁了我要爆通讯录！在其他投诉平台也有众多的人受到他们的欺骗上了当！黑猫投诉上就已经就很多人投诉他们的非法行为！。</t>
  </si>
  <si>
    <t>招商银行催收</t>
  </si>
  <si>
    <t>http://ts.21cn.com/tousu/show/id/1365154</t>
  </si>
  <si>
    <t>2019/10/16 08:59:23</t>
  </si>
  <si>
    <t>第三方瑞杰科技公司打电话恶意催收，影响正常生活！。</t>
  </si>
  <si>
    <t>不经同意私自扣除钱款</t>
  </si>
  <si>
    <t>http://ts.21cn.com/tousu/show/id/1365152</t>
  </si>
  <si>
    <t>2019/10/16 08:54:15</t>
  </si>
  <si>
    <t>不经过本人同意，私自扣除本人钱款，有这种的公司吗，爱又米真是不正规。</t>
  </si>
  <si>
    <t>利息太高，明显高利贷</t>
  </si>
  <si>
    <t>http://ts.21cn.com/tousu/show/id/1365151</t>
  </si>
  <si>
    <t>2019/10/16 08:53:35</t>
  </si>
  <si>
    <t>在抖音上看到的榕树贷款利息低，就下载了借款12000，结果算下来等额本息一个月1359,一年要还16000多，我息不成，逾期一天扣逾期费一百多，有图为证，现在本人困难，实在无力偿还高额利息，希望减息，撤回高额逾期费。</t>
  </si>
  <si>
    <t>你我贷暴利催收高利贷</t>
  </si>
  <si>
    <t>http://ts.21cn.com/tousu/show/id/1365150</t>
  </si>
  <si>
    <t>2019/10/16 08:52:53</t>
  </si>
  <si>
    <t>本人去年12月在你我贷借了笔5300元款项，一直是正常还款，前两期是每期928.82元的还，后面10期是534.5元的还，总共要还款7202.64元，还剩三期，今年8月份加贷了3000元贷款12个月，近期资金出现周转比较难，没还上，你我贷催收员就天天骚扰我的朋友，打电话辱骂，对我人身攻击，对我的名誉造成恶劣影响，我要求你我贷公司把利息降到法律保护利率内，一次性结算！。</t>
  </si>
  <si>
    <t>交易猫平台，买完号里面没有角色，然后仲裁一直没有人理会。</t>
  </si>
  <si>
    <t>http://ts.21cn.com/tousu/show/id/1365149</t>
  </si>
  <si>
    <t>2019/10/16 08:52:36</t>
  </si>
  <si>
    <t>买完之后空号，然后提交了仲裁，然后客服没影。</t>
  </si>
  <si>
    <t>玖富万卡催收态度十分不友好</t>
  </si>
  <si>
    <t>http://ts.21cn.com/tousu/show/id/1365148</t>
  </si>
  <si>
    <t>2019/10/16 08:51:44</t>
  </si>
  <si>
    <t>本人大概一年前跟玖富合作，一共借了三笔款项，已经有两笔结清，还有一笔在还，之前还款记录一直良好，最近几个月因为身体原因导致没上班，没有收入所以逾期了，上个月我申请了那个减压还款，但是我也是从上个月才开始上班，要到这个月才发工资，我的通讯录之前被714爆过，所以找朋友周转也没这么容易，所以减压后的第一期也逾期了，我逾期首先是我不对我承认，但是那个催收的态度很不友好总是说两句就会大声说话，像恐吓一样，我也从没说不还款，逾期的后果我可以承担，我只是想催收可以客气点，希望平台能将我观点转达。</t>
  </si>
  <si>
    <t>尚德机构黑心机构，教学质量差，霸王条款，营销手段高</t>
  </si>
  <si>
    <t>http://ts.21cn.com/tousu/show/id/1365146</t>
  </si>
  <si>
    <t>2019/10/16 08:51:26</t>
  </si>
  <si>
    <t>19年7月31，在尚德的销售人员那里购买了9980的人力资源专业专本连读课程，当时保证不学可以退款而且保证通过考试的当时我说我刚出来上班，没有那么多的钱，他们就诱导我办理贷款，以各种打折活动给我不断的施压，最后被迫报名购买了课程，谁知道最后拿不到纸质合同不说，尚德机构安排的课程还十分不合理，听了几节课还混乱到不行，期间发现9980的课程和5980的课程完全一样，并且每个销售那里的价格活动更是五花八门完全是欺骗消费者，跟尚德反应也是跟我各种周旋联系换专业，提出退费更是威逼利诱，要求退款后，尚德也是各种理由拒绝</t>
  </si>
  <si>
    <t>360威胁恐吓让我去签律师函</t>
  </si>
  <si>
    <t>http://ts.21cn.com/tousu/show/id/1365144</t>
  </si>
  <si>
    <t>2019/10/16 08:50:24</t>
  </si>
  <si>
    <t>多次打电话，我已说明白我的情况，我现在有困难，我也在想办法，手里只要有钱我就会还，有多少还多少，我欠的钱我会还，1600块钱，告诉我不还让我今天去村委会签律师函，要以邮件的形式发给我的村委会，利用威胁恐吓的手段来逼迫欠款人，实在过分，我现在完全有理由怀疑360借条公司采取黑社会威胁恐吓的手段进行暴力催收。</t>
  </si>
  <si>
    <t>订的房住不成，退款不退</t>
  </si>
  <si>
    <t>http://ts.21cn.com/tousu/show/id/1365142</t>
  </si>
  <si>
    <t>2019/10/16 08:49:28</t>
  </si>
  <si>
    <t>在app订的房，到哪里住不成，说已经不在和oyo合作，但是在oyoapp还能搜到，现在已经16天了，给客服打电话客服只会说催促催促专员，现在都16天了没接到一个电话。</t>
  </si>
  <si>
    <t>http://ts.21cn.com/tousu/show/id/1365141</t>
  </si>
  <si>
    <t>2019/10/16 08:48:33</t>
  </si>
  <si>
    <t>原来是快闪卡贷平台现在改名小闪分期不知道最近为什么换平台名字高利贷还存在欺骗行为上个月月底我投诉他们说了给我处理到现在没处理贷款金额15000实际到账12000多6期还款18000多。</t>
  </si>
  <si>
    <t>163网易邮箱跟换手机号码申诉修复失败</t>
  </si>
  <si>
    <t>http://ts.21cn.com/tousu/show/id/1365124</t>
  </si>
  <si>
    <t>2019/10/16 08:47:52</t>
  </si>
  <si>
    <t>投诉人赵先生投诉对象网易邮箱涉诉金额0元问题类型诉求类型投诉详情本人大学时注册了163邮箱，用大学时的手机号码189……9827绑定，近期查看邮箱时，发现邮箱异常登录过，我修改了密码，申请跟换绑定手机，因以前大学时手机已经停用了，申请新的手机号码绑定，网易修复中心申诉老是失败，本人提供了身份证信息，163邮箱注册的大概时间但是每次都是申诉失败，说是材料不足，我要是材料都完好我就不需要修改账号了！我既然用自己的真实身份信息去申诉修复肯定是本人啊，不怕核查啊！是不是像网上说的，需要在网易账号充钱，下载游戏绑定游</t>
  </si>
  <si>
    <t>支付宝为高利贷提供还款通道</t>
  </si>
  <si>
    <t>http://ts.21cn.com/tousu/show/id/1365140</t>
  </si>
  <si>
    <t>2019/10/16 08:46:53</t>
  </si>
  <si>
    <t>10月10号通过下载链接秒快贷https://m.mkuaidai.com/apps/WOLS/1563064209977，审核2200没有点击提现直接到账1540元，app内无客服电话，高利贷砍头严重，就此协商合法利息，支付宝为此高利贷提供的还款通道。</t>
  </si>
  <si>
    <t>恶心平台，一定远离</t>
  </si>
  <si>
    <t>http://ts.21cn.com/tousu/show/id/1365137</t>
  </si>
  <si>
    <t>2019/10/16 08:45:37</t>
  </si>
  <si>
    <t>恶心平台，电话催款出言不逊，设计个人名感话题，语言态度及其不好，望严肃处理，赶快下架，这种平台就不应该出现，一定严肃严肃严肃处理，我会继续举报，一直举报到处理，这个平台利息也高，高出规定百分之二十四，你有什么资格，这是非法。</t>
  </si>
  <si>
    <t>速金服阴阳合同，高利贷</t>
  </si>
  <si>
    <t>http://ts.21cn.com/tousu/show/id/1365138</t>
  </si>
  <si>
    <t>2019/10/16 08:45:33</t>
  </si>
  <si>
    <t>本人9.28在速金服提交1000借款，十来天才到账还款还是按照借款日期一个月后10.28还，分三期每期还款650多点，合计1964.51严重的高利贷，合同显示借款1300，实际是1000元，因资金困难希望能调整至国家规定利率还款！图片这里传不上，会后续发到聚投诉相关邮箱。</t>
  </si>
  <si>
    <t>注册小集钱包未通知私自扣款</t>
  </si>
  <si>
    <t>http://ts.21cn.com/tousu/show/id/1365127</t>
  </si>
  <si>
    <t>2019/10/16 08:44:12</t>
  </si>
  <si>
    <t>本人下载的来分期借款登陆直接推荐小集钱包，之后在小集钱包平台注册申请网上借贷，小集钱包在未明确告知情况下两次私自扣款收取共计598元的评估推荐服务费。</t>
  </si>
  <si>
    <t>分期乐过度催收</t>
  </si>
  <si>
    <t>http://ts.21cn.com/tousu/show/id/1365136</t>
  </si>
  <si>
    <t>2019/10/16 08:43:20</t>
  </si>
  <si>
    <t>频繁催收对我得生活和工作已经严重影响，家人朋友造成困扰。</t>
  </si>
  <si>
    <t>http://ts.21cn.com/tousu/show/id/1365134</t>
  </si>
  <si>
    <t>2019/10/16 08:41:56</t>
  </si>
  <si>
    <t>借款100000借款协议上的借款本金150500，与到手本金不同，阴阳合同，欺诈借款人，年化超36%以上，超利贷，扣回息。</t>
  </si>
  <si>
    <t>http://ts.21cn.com/tousu/show/id/1365132</t>
  </si>
  <si>
    <t>2019/10/16 08:38:20</t>
  </si>
  <si>
    <t>聚福钱包乱扣费然后找客服退款，客服说要扣299然后。</t>
  </si>
  <si>
    <t>想要退学不予处理</t>
  </si>
  <si>
    <t>http://ts.21cn.com/tousu/show/id/1365133</t>
  </si>
  <si>
    <t>2019/10/16 08:38:12</t>
  </si>
  <si>
    <t>不及时处理问题，一直推，拖时间，找不到客服。</t>
  </si>
  <si>
    <t>妙蛙商城套路用户开会员贷款</t>
  </si>
  <si>
    <t>http://ts.21cn.com/tousu/show/id/1365131</t>
  </si>
  <si>
    <t>2019/10/16 08:37:26</t>
  </si>
  <si>
    <t>妙蛙商城套路用户开会员贷款，开了会员也不会下款，死骗子。</t>
  </si>
  <si>
    <t>期待科技高利贷</t>
  </si>
  <si>
    <t>http://ts.21cn.com/tousu/show/id/1365118</t>
  </si>
  <si>
    <t>2019/10/16 08:36:11</t>
  </si>
  <si>
    <t>投诉人刘女士投诉对象期待科技涉诉金额35000元问题类型诉求类型投诉详情期待科技高利贷公司，态度极其恶劣，根本就不是协商的态度，还伪造国家法律文书发给亲戚朋友，造成极大的生活困扰，恳请有关部门彻查，还我们借款人一个正常的还款渠道！。</t>
  </si>
  <si>
    <t>时光分期逾期超过三天费用一百八十多</t>
  </si>
  <si>
    <t>http://ts.21cn.com/tousu/show/id/1365129</t>
  </si>
  <si>
    <t>2019/10/16 08:35:59</t>
  </si>
  <si>
    <t>时光分期一万元借款分期12期，本身已经是高利息，最后一期逾期竟然二百罚金，现要求公司马上联系本人返还。</t>
  </si>
  <si>
    <t>喜鹊快贷催收人员频道电话骚扰我，严重影响我工作生活</t>
  </si>
  <si>
    <t>http://ts.21cn.com/tousu/show/id/1365128</t>
  </si>
  <si>
    <t>2019/10/16 08:35:36</t>
  </si>
  <si>
    <t>频繁电话，短信，早晚上不分时间段，严重干扰正常工作休息。</t>
  </si>
  <si>
    <t>高利贷，套路贷，搞小商城变相收费，</t>
  </si>
  <si>
    <t>http://ts.21cn.com/tousu/show/id/1365126</t>
  </si>
  <si>
    <t>2019/10/16 08:30:37</t>
  </si>
  <si>
    <t>存在高利贷行为，每次借款都要出200到300甚至更高的，不等的担保费，闪银让客户在其哼哼，瞬瞬平台以买闪银自己商城里面的东西来逃避自己是高利贷，已还清39笔所产生的利息费用已经够借的本金钱，及部分利息了，现在要求销账，提供结清证明。</t>
  </si>
  <si>
    <t>中辉商务咨询不讲诚信，要求退款</t>
  </si>
  <si>
    <t>http://ts.21cn.com/tousu/show/id/1365122</t>
  </si>
  <si>
    <t>2019/10/16 08:29:53</t>
  </si>
  <si>
    <t>投诉人李世栋投诉对象中辉商务咨询涉诉金额99元问题类型诉求类型投诉详情该公众号以办理会员百分百下款为名，骗客户充值，之后一分钱不下，强烈要求退款。</t>
  </si>
  <si>
    <t>小黄车还不退押金</t>
  </si>
  <si>
    <t>http://ts.21cn.com/tousu/show/id/1365125</t>
  </si>
  <si>
    <t>2019/10/16 08:28:52</t>
  </si>
  <si>
    <t>投诉人 刘女士        投诉对象  ofo小黄车        涉诉金额  199 元    问题类型    诉求类型      投诉详情  一直到现在都还不给我退押金 都一年多了！</t>
  </si>
  <si>
    <t>闪银、哼哼、瞬瞬催收协商</t>
  </si>
  <si>
    <t>http://ts.21cn.com/tousu/show/id/1365123</t>
  </si>
  <si>
    <t>2019/10/16 08:28:09</t>
  </si>
  <si>
    <t>本人现经济周转不开，所以逾期了一天，现闪银哼哼瞬瞬暴力催收，换着不同的号码打电话，语言暴力，并且威胁恐吓，本人要求停止骚扰，开通延期服务，本人会保留通话记录，如再有催收恐吓威胁，直接报警，打黑办，再直接投诉银监会！。</t>
  </si>
  <si>
    <t>钱站阴阳合同，还要害多少人</t>
  </si>
  <si>
    <t>http://ts.21cn.com/tousu/show/id/1362854</t>
  </si>
  <si>
    <t>2019/10/16 08:26:03</t>
  </si>
  <si>
    <t>这么明目张胆的高利贷违法行为难道国家没人管吗，咨询过法律专家，律师告知我这属于高利息贷贷款。</t>
  </si>
  <si>
    <t>退还我的推荐服务费</t>
  </si>
  <si>
    <t>http://ts.21cn.com/tousu/show/id/1365121</t>
  </si>
  <si>
    <t>2019/10/16 08:25:38</t>
  </si>
  <si>
    <t>我在松紧贷借款13920元，到款直接扣除了1920元推荐服务费，而且每期还款1358.77里面不仅我要还利息87还有真金服务费31.41和服务费133.63，推荐服务费直接收取还有分期的两种服务费用，这个不合理，并且国家也是明令禁止借款收取各种服务费用，我现在已经还了7期，我实际借款是12000，已经还了9511.39，还剩2400未还，我现在要求，把所有乱七八糟的服务费去掉重新计算我的金额还款进行调整。</t>
  </si>
  <si>
    <t>微信支付永久冻结</t>
  </si>
  <si>
    <t>http://ts.21cn.com/tousu/show/id/1365120</t>
  </si>
  <si>
    <t>2019/10/16 08:22:48</t>
  </si>
  <si>
    <t>微信支付永久冻结，账户内零钱无法提现，腾讯客服电话打不通，无人处理问题，多次申诉无效，请求解冻账号。</t>
  </si>
  <si>
    <t>360云盘欺诈消费</t>
  </si>
  <si>
    <t>http://ts.21cn.com/tousu/show/id/1365119</t>
  </si>
  <si>
    <t>2019/10/16 08:21:53</t>
  </si>
  <si>
    <t>360云盘上告知可以找回以前的图片但是要收取半年的会员费用58元，结果交了之后根本一张图片都找不回来，属于恶意欺诈消费，要求退款。</t>
  </si>
  <si>
    <t>高利贷利率</t>
  </si>
  <si>
    <t>http://ts.21cn.com/tousu/show/id/1365117</t>
  </si>
  <si>
    <t>2019/10/16 08:19:54</t>
  </si>
  <si>
    <t>本人在由趣花分期好易贷的小笼包平台借款3000，实际到账2100,砍头息900，使用期7天，无力偿还高利息。</t>
  </si>
  <si>
    <t>微信，拼多多为赌博网站提供充值，结算</t>
  </si>
  <si>
    <t>http://ts.21cn.com/tousu/show/id/1365116</t>
  </si>
  <si>
    <t>2019/10/16 08:17:24</t>
  </si>
  <si>
    <t>微信，为拼多多赌博商家提供全方位的服务，充值，拼多多为赌博商家提供商家服务，结算，多次跟拼多多联系，不处理，不联系，不退款！。</t>
  </si>
  <si>
    <t>http://ts.21cn.com/tousu/show/id/1365115</t>
  </si>
  <si>
    <t>2019/10/16 08:17:05</t>
  </si>
  <si>
    <t>豹子贷,上海造艺网络科技,造艺网络科技,银码头，我根本不知道，早上起来就被扣了，我连app都没有…。</t>
  </si>
  <si>
    <t>富宝袋乱发信息骚扰朋友</t>
  </si>
  <si>
    <t>http://ts.21cn.com/tousu/show/id/1365114</t>
  </si>
  <si>
    <t>2019/10/16 08:16:37</t>
  </si>
  <si>
    <t>富宝袋随便往通迅录朋友手里发自己平台造假的律师函，骚扰朋友。</t>
  </si>
  <si>
    <t>http://ts.21cn.com/tousu/show/id/1365113</t>
  </si>
  <si>
    <t>2019/10/16 08:15:50</t>
  </si>
  <si>
    <t>借款5750元，实际到账4600元，每期却要还2030元，三期，这利息实在太高，已经还了一期了，要求只收合法利息。</t>
  </si>
  <si>
    <t>多米贷砍头息</t>
  </si>
  <si>
    <t>http://ts.21cn.com/tousu/show/id/1365112</t>
  </si>
  <si>
    <t>2019/10/16 08:14:40</t>
  </si>
  <si>
    <t>多米贷以风险评估费为由，扣除450元借款3000实际到账2550，违反国家规定，是确确实实的砍头息。</t>
  </si>
  <si>
    <t>物流不配送</t>
  </si>
  <si>
    <t>http://ts.21cn.com/tousu/show/id/1365111</t>
  </si>
  <si>
    <t>2019/10/16 08:14:26</t>
  </si>
  <si>
    <t>投诉人 李女士        投诉对象  品骏快递        涉诉金额  308 元    问题类型    诉求类型投诉详情  客服说会转快递，一直未转，也未联系我派送。还说我电话联系不上，我电话一直能通的。</t>
  </si>
  <si>
    <t>捷信金融暴力催收</t>
  </si>
  <si>
    <t>http://ts.21cn.com/tousu/show/id/1365110</t>
  </si>
  <si>
    <t>2019/10/16 08:11:01</t>
  </si>
  <si>
    <t>本人在捷信金融借款7000元，分24期还款，还款11期之后，因为父母出严重车祸，辞职回家，没有工作还钱，导致逾期，并非是恶意逾期，是我实在没钱还款，捷信金融公司取消之前的合同，让我一次性还清4578元，我没钱还，捷信金融公司就派所谓的法律调查员上门调查情况，情况真实，但是捷信金融公司还一直在催收，每天打电话骚扰我的家人，还说若不还款，还会再次上门催收，这已经严重影响了我的家人的生活，我是完全民事行为能力人，请不要再去找我的家人了，我欠的钱与我的家人无关，等我找到工作，有钱了，我就马上还钱。</t>
  </si>
  <si>
    <t>利息严重超标，停止骚扰，还本销账</t>
  </si>
  <si>
    <t>http://ts.21cn.com/tousu/show/id/1365109</t>
  </si>
  <si>
    <t>2019/10/16 08:10:26</t>
  </si>
  <si>
    <t>立借利息严重超标，借款8500分12期还，前三期就要还到10710，后面每期94，现在要求停止骚扰，还本外加500利息进行销账处理。</t>
  </si>
  <si>
    <t>http://ts.21cn.com/tousu/show/id/1365108</t>
  </si>
  <si>
    <t>2019/10/16 08:10:07</t>
  </si>
  <si>
    <t>拼多多为赌博网站提供充值结算，本人被骗金额超过人民币179074，拼多多，微信，没有任何风险控制，一夜之间多笔资金被拼多多赌博商家收款156015，远远超过，国家规定，。</t>
  </si>
  <si>
    <t>我来贷想提前结清并减免一些</t>
  </si>
  <si>
    <t>http://ts.21cn.com/tousu/show/id/1365107</t>
  </si>
  <si>
    <t>2019/10/16 08:07:29</t>
  </si>
  <si>
    <t>本人于2019年3月21日在我来贷也就现在的我来数科借款一万元，现在已经还了6期6000多元，还剩6期6000多元未还，现在本人想提前结清，10000元用了不到7个月，希望可以提前结清并得到减免，收取合理利息。</t>
  </si>
  <si>
    <t>瀚银违法违规</t>
  </si>
  <si>
    <t>http://ts.21cn.com/tousu/show/id/1365106</t>
  </si>
  <si>
    <t>2019/10/16 08:07:09</t>
  </si>
  <si>
    <t>投诉人 周先生        投诉对象  瀚银科技        涉诉金额  30 000 元    问题类型    诉求类型投诉详情  上海瀚银科技有限公司 违法提供支付通道 结算服务 要求退款</t>
  </si>
  <si>
    <t>公司倒闭，无法获取合同，利息太高，要求减免</t>
  </si>
  <si>
    <t>http://ts.21cn.com/tousu/show/id/1365105</t>
  </si>
  <si>
    <t>2019/10/16 08:06:04</t>
  </si>
  <si>
    <t>证大财富,上海证大金融信息服务有限公司,上海证大大拇指财富管理有限公司，2018年07月，店铺周转需要资金，于是在上海证大金服借了8万块钱，除手续费9760，我能用得就70240元，因为急需资金，在还款过程中发现，利息过高，ApP显示借款111865.09元，每一期还3662.22元，36期，利息过高！！。</t>
  </si>
  <si>
    <t>http://ts.21cn.com/tousu/show/id/1365104</t>
  </si>
  <si>
    <t>2019/10/16 08:04:16</t>
  </si>
  <si>
    <t>扣钱不下款，一点信任都没有，这种app是怎么通过上架的。</t>
  </si>
  <si>
    <t>合同到账1330实际到账1000</t>
  </si>
  <si>
    <t>http://ts.21cn.com/tousu/show/id/1365103</t>
  </si>
  <si>
    <t>2019/10/16 08:03:43</t>
  </si>
  <si>
    <t>我借了1330元实际到账1000元，三期，每期要还468元，高利贷无疑。</t>
  </si>
  <si>
    <t>阴阳合同，超利贷</t>
  </si>
  <si>
    <t>http://ts.21cn.com/tousu/show/id/1365102</t>
  </si>
  <si>
    <t>2019/10/16 08:02:44</t>
  </si>
  <si>
    <t>实际到款1800元，合同签署2394元，分期三个月每月还1107合计还款3321元，本金一千八百元，利息1300元，钱站回答是国家规定范围，请钱站给出合理解释。</t>
  </si>
  <si>
    <t>http://ts.21cn.com/tousu/show/id/1365101</t>
  </si>
  <si>
    <t>2019/10/16 08:00:49</t>
  </si>
  <si>
    <t>借款2100元到账2100，分期3期，没期970，最后一期无力承担，希望聚投诉尽快解决，协商还款，最后一期只能还500。</t>
  </si>
  <si>
    <t>钱站高利贷阴阳合同收取高额利息</t>
  </si>
  <si>
    <t>http://ts.21cn.com/tousu/show/id/1365100</t>
  </si>
  <si>
    <t>2019/10/16 07:58:44</t>
  </si>
  <si>
    <t>投诉人罗俊才投诉对象钱站涉诉金额500元问题类型诉求类型投诉详情本人在钱站借款500元分三期每期还款264合计还款790因忘还款逾期逾期费用110多套路高利贷比714高炮还利害。</t>
  </si>
  <si>
    <t>想提前结清要求协商</t>
  </si>
  <si>
    <t>http://ts.21cn.com/tousu/show/id/1365099</t>
  </si>
  <si>
    <t>2019/10/16 07:58:27</t>
  </si>
  <si>
    <t>本人于2019年1月22号在你我贷有一笔1万元借款，目前已经还了9期，1万零500元，本金已经还清了，还剩3期共3000元未还，尤其第一期第二期还款，额外收取了我1500元的其他费用，现在本人经济困难，凑了一些钱想提前结清，本金已经还完了，希望调整利率，结清销账，10000万元我用了不到10个月已经还了除本金500的利息，请聚投诉帮我联系你我贷让他们联系我，我要求减免并且一次性结清。</t>
  </si>
  <si>
    <t>淘宝和支付宝对个人支付宝止付，冻结合法钱财</t>
  </si>
  <si>
    <t>http://ts.21cn.com/tousu/show/id/1365098</t>
  </si>
  <si>
    <t>2019/10/16 07:56:35</t>
  </si>
  <si>
    <t>投诉人 张翔        投诉对象  支付宝        涉诉金额  500 元    问题类型    诉求类型投诉详情  冻结资金 他们要的流程走了就是不过 实在没办法了 我就一学生我不知道怎么办 求求你们帮帮忙</t>
  </si>
  <si>
    <t>交易猫没有客服仲裁</t>
  </si>
  <si>
    <t>http://ts.21cn.com/tousu/show/id/1365095</t>
  </si>
  <si>
    <t>2019/10/16 07:51:45</t>
  </si>
  <si>
    <t>昨天晚上在交易猫买了一个网易邮箱帐号，然后突然被锁定换绑失败，我就发起了仲裁，现在也没人回应我。</t>
  </si>
  <si>
    <t>协商还款不同意</t>
  </si>
  <si>
    <t>http://ts.21cn.com/tousu/show/id/1365094</t>
  </si>
  <si>
    <t>2019/10/16 07:48:22</t>
  </si>
  <si>
    <t>逾期一直联系客服，给时间处理，一直不肯，他们非要几点几点处理，真的是，说了不是一个平台在逾期，所有的都是协商还款，就他们不愿意，之前借1500实际到账就1300多到期还1550扣了1百多砍头息我也不说什么，现在就希望可以通融下还款时间，不要去骚扰联系人，不然真的要把人逼死。</t>
  </si>
  <si>
    <t>美团众包恶意少到账不给处理</t>
  </si>
  <si>
    <t>http://ts.21cn.com/tousu/show/id/1365093</t>
  </si>
  <si>
    <t>2019/10/16 07:44:52</t>
  </si>
  <si>
    <t>，实际金额却没有到账，所有客服傻乎乎的说到账了，不会对账单吗，对于恶意显示欺骗骑手的钱财问题，非常愤怒，希望美团众包给回复。</t>
  </si>
  <si>
    <t>http://ts.21cn.com/tousu/show/id/1365089</t>
  </si>
  <si>
    <t>2019/10/16 07:37:20</t>
  </si>
  <si>
    <t>一直恶意拨打我通讯录电话，暴力催款，每次电话沟通都威胁本人，并且质问我有无亲戚朋友给我电话让我还款，这已经严重影响到我的生活，并且本人已经因为此事被公司开除，这又怎么算，本来就在打工还钱，这样我还怎么处理。</t>
  </si>
  <si>
    <t>买的广东振兴路公司手机是假的，退不了货</t>
  </si>
  <si>
    <t>http://ts.21cn.com/tousu/show/id/1365088</t>
  </si>
  <si>
    <t>2019/10/16 07:35:13</t>
  </si>
  <si>
    <t>投诉人 王先生        投诉对象  圆通速递        涉诉金额  4 500 元    问题类型    诉求类型投诉详情  卖到广东振兴路公司手机是假的，退不了货，</t>
  </si>
  <si>
    <t>连连支付为套路贷提供支付平台</t>
  </si>
  <si>
    <t>http://ts.21cn.com/tousu/show/id/1365085</t>
  </si>
  <si>
    <t>2019/10/16 07:31:08</t>
  </si>
  <si>
    <t>投诉人 谭先生        投诉对象  连连支付        涉诉金额  26 400 元    问题类型    诉求类型投诉详情  希望能退还超出的利息</t>
  </si>
  <si>
    <t>平安银行派人去我父亲单位大吵大闹</t>
  </si>
  <si>
    <t>http://ts.21cn.com/tousu/show/id/1365084</t>
  </si>
  <si>
    <t>2019/10/16 07:29:57</t>
  </si>
  <si>
    <t>我欠平安银行的信用卡钱，但是我有还，一直在慢慢的还，但是他们派了催收人员直接去了我父亲单位，而且还骂人了。</t>
  </si>
  <si>
    <t>360借条取消霸道合同</t>
  </si>
  <si>
    <t>http://ts.21cn.com/tousu/show/id/1365083</t>
  </si>
  <si>
    <t>2019/10/16 07:29:32</t>
  </si>
  <si>
    <t>2019年10月12日我在360借条注册申请30000元贷款，申请通过后，页面上要求贷款人签名，当时根本看不到隐藏的内容，直到客服提示才发现是霸道合同，放款了甲方为上海淇毓信息科技有限公司，合同规定贷款人乙方必须缴纳贷款额度百分之五的工本费才可获取提现密码，如取消合同必须赔付甲方百分之四十违法金等，鉴于该平台放款方式与常网贷有别，我未支付所谓的工本费，10月12日360借条发来短信通知六期归还贷款，太奇怪了，360借条平台一分钱没有转入我银行卡，居然让我还款，实在匪夷所思，为维护合法权益，在此向聚投拆官网投</t>
  </si>
  <si>
    <t>我已还款为什么还逾期了</t>
  </si>
  <si>
    <t>http://ts.21cn.com/tousu/show/id/1365082</t>
  </si>
  <si>
    <t>2019/10/16 07:29:23</t>
  </si>
  <si>
    <t>在及贷平台上有一笔贷款是234.16，平台在10月12日零晨1点多的时候已经自动扣款，为什么还出现了逾期，希望及贷给我个说法，以及要道歉。</t>
  </si>
  <si>
    <t>钱橙无忧乱扣我银行卡里的钱</t>
  </si>
  <si>
    <t>http://ts.21cn.com/tousu/show/id/1365081</t>
  </si>
  <si>
    <t>2019/10/16 07:27:36</t>
  </si>
  <si>
    <t>我就绑定了银行卡，过了半小时就重我卡里扣了4笔钱，给客服打电话也没人接，也不知道这是扣的什么钱。</t>
  </si>
  <si>
    <t>还没有逾期就被无数电话短信骚扰</t>
  </si>
  <si>
    <t>http://ts.21cn.com/tousu/show/id/1365080</t>
  </si>
  <si>
    <t>2019/10/16 07:27:11</t>
  </si>
  <si>
    <t>每个月还款日为15号；15号前几天就经常会有人打电话让提前还款，虽然协议写的还款日期已经超限，协议是每个月要还970元，但他们客户会主动提议还最低还款额400-500元，就当是还利息部分，更让我无法接受的就是：1、还没有到15号，前几天甚至一个星期前就会有人打电话来，让我还款；我说还没有到还款期，他们的客户态度很强硬，还说我的还款期已经超了，可以随时让我们还款，2、还款日当天，还没有逾期，就被无数个电话和短信轰炸，3、协议是两年的，从16年开始，前一年我每个月都是足额还款，后一年才还最低还款，一直还到现在一</t>
  </si>
  <si>
    <t>http://ts.21cn.com/tousu/show/id/1365079</t>
  </si>
  <si>
    <t>2019/10/16 07:26:19</t>
  </si>
  <si>
    <t>在上次在本处反应后还是肆无忌惮的无限骚扰我和我的家人。</t>
  </si>
  <si>
    <t>http://ts.21cn.com/tousu/show/id/1365078</t>
  </si>
  <si>
    <t>2019/10/16 07:25:47</t>
  </si>
  <si>
    <t>投诉人 罗先生        投诉对象  聚富分期        涉诉金额  299 元    问题类型    诉求类型投诉详情  未经本人操作直接从银行卡里扣掉费299元</t>
  </si>
  <si>
    <t>高利贷骚扰家人</t>
  </si>
  <si>
    <t>http://ts.21cn.com/tousu/show/id/1365077</t>
  </si>
  <si>
    <t>2019/10/16 07:25:35</t>
  </si>
  <si>
    <t>停止骚扰高利息！骚扰我家人！使得我父亲病情加重！。</t>
  </si>
  <si>
    <t>拼多多漏洞诱导链接扣款</t>
  </si>
  <si>
    <t>http://ts.21cn.com/tousu/show/id/1364741</t>
  </si>
  <si>
    <t>2019/10/16 07:25:14</t>
  </si>
  <si>
    <t>本人在以为拼多多是个公正平台，看到拼多多链接就直接付款，没想到直接扣款，没有任何提示，打电话问客服说是代扣&amp;;那请问是不是应该有提示呢，这是拼多多服务的漏洞，被那些团伙利用导致我们受害，。</t>
  </si>
  <si>
    <t>http://ts.21cn.com/tousu/show/id/1365076</t>
  </si>
  <si>
    <t>2019/10/16 07:20:44</t>
  </si>
  <si>
    <t>应本人前段时间失业，积蓄花光了，刚找到工作，这期款款项无法按时还款，希望和小象优品协商延期还款。</t>
  </si>
  <si>
    <t>拿钱花呗未经本人同意随意扣款</t>
  </si>
  <si>
    <t>http://ts.21cn.com/tousu/show/id/1365075</t>
  </si>
  <si>
    <t>2019/10/16 07:20:21</t>
  </si>
  <si>
    <t>app内没有提示，也不需要经过本人确认是否购买，就直接扣款。</t>
  </si>
  <si>
    <t>爱钱进（钱站）高利贷砍头息</t>
  </si>
  <si>
    <t>http://ts.21cn.com/tousu/show/id/1365074</t>
  </si>
  <si>
    <t>2019/10/16 07:19:32</t>
  </si>
  <si>
    <t>在钱站平台上借款2000，实际到账2000，合同里写着3260元，每月还款1108元，存在阴阳合同行为，借款前没有明确让借款方看到。</t>
  </si>
  <si>
    <t>农业银行不作为</t>
  </si>
  <si>
    <t>http://ts.21cn.com/tousu/show/id/1365073</t>
  </si>
  <si>
    <t>2019/10/16 07:19:31</t>
  </si>
  <si>
    <t>农业银行转账不需要验证码，给套路贷扣款，客服推脱责任，这样的银行不倒，天理难容！。</t>
  </si>
  <si>
    <t>说秒批借钱，实则扣钱后不闻不问，请两天内退款</t>
  </si>
  <si>
    <t>http://ts.21cn.com/tousu/show/id/1365072</t>
  </si>
  <si>
    <t>2019/10/16 07:19:07</t>
  </si>
  <si>
    <t>投诉人 潘先生        投诉对象  馒头借钱（原即有钱）        涉诉金额  432 元    问题类型    诉求类型投诉详情  如题，请两天内立即退款，否则互金会投诉。大家的钱都不是大风刮来的。</t>
  </si>
  <si>
    <t>恶意催收，扰乱正常生活</t>
  </si>
  <si>
    <t>http://ts.21cn.com/tousu/show/id/1365071</t>
  </si>
  <si>
    <t>2019/10/16 07:18:21</t>
  </si>
  <si>
    <t>恶意催收，扰乱生活，大晚上打电话发短信，协商解决，不然就走法律程序，我看你们这个贷款合不合法。</t>
  </si>
  <si>
    <t>游戏充值退款</t>
  </si>
  <si>
    <t>http://ts.21cn.com/tousu/show/id/1365070</t>
  </si>
  <si>
    <t>2019/10/16 07:17:33</t>
  </si>
  <si>
    <t>家里的孩子偷偷玩这款游戏用我手机充值50000多人民币，每次都把充值记录删了我一直没发现，最近需要用钱才发现钱没有了，希望可以把钱退回来。</t>
  </si>
  <si>
    <t>http://ts.21cn.com/tousu/show/id/1365069</t>
  </si>
  <si>
    <t>2019/10/16 07:17:27</t>
  </si>
  <si>
    <t>新浪分期昨天晚上给我身边亲朋好友打电话爆我通讯录骚扰亲朋好友，晚上晚上十点多还有打电话给朋友有给我通讯录里的人照成不必要的麻烦！钱不是不还，是我现在没有钱，有钱我第一时间就给予还款！请停止对我通讯录里人的骚扰！。</t>
  </si>
  <si>
    <t>左右钱包五天高炮</t>
  </si>
  <si>
    <t>http://ts.21cn.com/tousu/show/id/1365068</t>
  </si>
  <si>
    <t>2019/10/16 07:15:27</t>
  </si>
  <si>
    <t>左右钱包五天高炮，违规砍头息！十月十一号借款2800元，实际到账1820元，十月十六号却要还2810元，汇潮支付为其提供支付渠道，本人无力偿还巨额利息，现愿意偿还本金加合理利息协商此事。</t>
  </si>
  <si>
    <t>百度暴力催收，骚扰家人</t>
  </si>
  <si>
    <t>http://ts.21cn.com/tousu/show/id/1365066</t>
  </si>
  <si>
    <t>2019/10/16 07:12:30</t>
  </si>
  <si>
    <t>停止对我家人同事的任何形式的骚扰，譬如短信，电话，给我家人同事做出道歉。</t>
  </si>
  <si>
    <t>虚假广告、诱导用户、欺诈行为</t>
  </si>
  <si>
    <t>http://ts.21cn.com/tousu/show/id/1365063</t>
  </si>
  <si>
    <t>2019/10/16 07:11:37</t>
  </si>
  <si>
    <t>钱站催收恶意骚扰辱骂通信录联系人</t>
  </si>
  <si>
    <t>http://ts.21cn.com/tousu/show/id/1365065</t>
  </si>
  <si>
    <t>2019/10/16 07:11:36</t>
  </si>
  <si>
    <t>投诉人张先生投诉对象钱站涉诉金额10000元问题类型诉求类型投诉详情钱站逾期一天接到几十个不同的电话，晚上到了我爸爸的电话，加我老婆微信圈发一些辱骂的语言，性质十分恶劣，钱站的第三方催收都是畜生吗。</t>
  </si>
  <si>
    <t>宝付支付随意扣款</t>
  </si>
  <si>
    <t>http://ts.21cn.com/tousu/show/id/1365064</t>
  </si>
  <si>
    <t>2019/10/16 07:09:55</t>
  </si>
  <si>
    <t>1.无沟通，无协议随意扣款！！2.请立马退回扣款。</t>
  </si>
  <si>
    <t>月光侠分期高利贷，借款取消不了，直接打款</t>
  </si>
  <si>
    <t>http://ts.21cn.com/tousu/show/id/1365062</t>
  </si>
  <si>
    <t>2019/10/16 07:07:26</t>
  </si>
  <si>
    <t>10月15日，还清月光侠分期的上一次借款后，不小心点了个提现，结果系统直接审核放款，请求平台联系月光侠分期后台，放款单位是一个名为爱钱进的，我要求一次性还清本金。</t>
  </si>
  <si>
    <t>支付宝收款码无法收款</t>
  </si>
  <si>
    <t>http://ts.21cn.com/tousu/show/id/1365020</t>
  </si>
  <si>
    <t>2019/10/16 07:06:57</t>
  </si>
  <si>
    <t>投诉人邓先生投诉对象支付宝涉诉金额1000元问题类型诉求类型投诉详情支付宝无缘无故限制我的账号收款，也不说明原因和期限。</t>
  </si>
  <si>
    <t>http://ts.21cn.com/tousu/show/id/1365061</t>
  </si>
  <si>
    <t>2019/10/16 07:05:45</t>
  </si>
  <si>
    <t>一秒陛下五天高炮，违规砍头息！十月十一号借款2500元，实际到账1625元，十月十六号却要还2509，申请延期，五天又要支付额外的1000元利息，汇潮支付为其提供支付渠道本人无力偿还巨额利息，现愿意偿还本金加合理利息协商此事。</t>
  </si>
  <si>
    <t>开三云匠网承诺的退会员费不给退存在欺诈行为</t>
  </si>
  <si>
    <t>http://ts.21cn.com/tousu/show/id/1365060</t>
  </si>
  <si>
    <t>2019/10/16 06:58:00</t>
  </si>
  <si>
    <t>本人于2018年9月17日在开三云匠网缴纳会员费3600，该平台在合同中明确承诺在一年内接不到低于3600的订单在平台期满1年后进行全额退款，但是本人在这一年期间，未接过平台任何单子，没有拿到一个订单！所以于2019年9月16日进行全额退款，但是客服各种理由推脱，就是不给我退款，希望能够通过贵平台尽快帮忙解决下，十分感谢。</t>
  </si>
  <si>
    <t>http://ts.21cn.com/tousu/show/id/1365059</t>
  </si>
  <si>
    <t>2019/10/16 06:56:27</t>
  </si>
  <si>
    <t>凡普信，月利率4.169%，年利率达到了50.02，借款到账金额55000元，合同金额却是87100，分36期，每月还款金额2976.89，还完36期107168.04，这样的超利贷还能上征信吗，法律规定借钱行为本身是合法的，但超过银行同期贷款利率法律是不予保护的，所以双方签订的协议关于利息的约定是无效的，民间借贷的利率可以适当高于银行的利率，但超出限度的，超出部分的利息不予保护，如发现债权人将利息计入本金计算复利的，其利率超出规定的限度时，超出部分的利息不予保护。</t>
  </si>
  <si>
    <t>http://ts.21cn.com/tousu/show/id/1365058</t>
  </si>
  <si>
    <t>2019/10/16 06:56:23</t>
  </si>
  <si>
    <t>钱程无忧骗我148元，没有借款先扣款，给客服打电话不接，我已报案。</t>
  </si>
  <si>
    <t>恶心平台，让你身败名裂</t>
  </si>
  <si>
    <t>http://ts.21cn.com/tousu/show/id/1365057</t>
  </si>
  <si>
    <t>2019/10/16 06:55:39</t>
  </si>
  <si>
    <t>恶心平台，未经你的允许私自拨打你电话本里的号码，并且不是拨打一个人，如果不接就会一直打，并说明欠款人的欠款金额，给借款人照成生活中的烦恼，这种爆通讯录的行为已经触碰到了我个人隐私权，望严肃处理，并下架产品。</t>
  </si>
  <si>
    <t>投诉微信支付</t>
  </si>
  <si>
    <t>http://ts.21cn.com/tousu/show/id/1365056</t>
  </si>
  <si>
    <t>2019/10/16 06:52:54</t>
  </si>
  <si>
    <t>我的微信商业版零钱不让提现，我想问一下腾讯，我的货款凭什么不让我提现，还说什么交易异常，后来应该是拉黑我了，打电话腾讯不接我的电话了，腾讯我想问一下为什么说我交易异常还大量给我收钱不给我提现，这是什么道理嘛！腾讯你就是这样只许进不许出的吗，如果是交易异常我六千块的时候你就禁止我收钱就好了嘛！就不会异常我5万块那么多的救命钱了嘛！腾讯商业版支付是当天到账的，说我交易异常，不到账就算了，后面一个礼拜还陆续让我收款！我等着这些钱救命呀！希望腾讯尽快作出解答！。</t>
  </si>
  <si>
    <t>邮储银行</t>
  </si>
  <si>
    <t>http://ts.21cn.com/tousu/show/id/1365055</t>
  </si>
  <si>
    <t>2019/10/16 06:52:08</t>
  </si>
  <si>
    <t>邮储银行任海涛先生/女士，截至2019年10月16日您的1笔贷款逾期未偿还，当前应还总额876.7元，请即偿还，近期我司将委托第三方向您转告逾期信息并同步联系您的家人、朋友、单位等。</t>
  </si>
  <si>
    <t>趣花分期砍高额头息</t>
  </si>
  <si>
    <t>http://ts.21cn.com/tousu/show/id/1365054</t>
  </si>
  <si>
    <t>2019/10/16 06:49:36</t>
  </si>
  <si>
    <t>2018年9月26日在趣花分期申请一笔8300元借款，款项到账后立即被扣除899元砍头息。</t>
  </si>
  <si>
    <t>http://ts.21cn.com/tousu/show/id/1365053</t>
  </si>
  <si>
    <t>2019/10/16 06:49:00</t>
  </si>
  <si>
    <t>本人因急需用钱在爱白条借2600元分三期，前两期还1481.56第三期还941.42，利息超出国家标准太多，，合同显示每月还款本息才884.20，，因本人负债太多，希望能降低利率至国家标准范围内，图片试了好几次无法上传会继续想法传上。</t>
  </si>
  <si>
    <t>贷款到账不符且还款合同不符、加高额利息</t>
  </si>
  <si>
    <t>http://ts.21cn.com/tousu/show/id/1365052</t>
  </si>
  <si>
    <t>2019/10/16 06:48:39</t>
  </si>
  <si>
    <t>实际贷款金额不符、贷款两千到账一千三、且还还款期限分三期、两个自然日为一期、。</t>
  </si>
  <si>
    <t>中华财险站台厚本虚假宣传.欺诈投资人</t>
  </si>
  <si>
    <t>http://ts.21cn.com/tousu/show/id/1365051</t>
  </si>
  <si>
    <t>2019/10/16 06:42:58</t>
  </si>
  <si>
    <t>中华财险虚假广告宣传与厚本全面承保.厚本所有产品.平台出险.查不到保单号.中华财险不理赔.中华财险虚假承保广告。</t>
  </si>
  <si>
    <t>你我贷涉及高利贷</t>
  </si>
  <si>
    <t>http://ts.21cn.com/tousu/show/id/1365049</t>
  </si>
  <si>
    <t>2019/10/16 06:41:41</t>
  </si>
  <si>
    <t>你我贷涉及高利贷，违法收取砍头息，贷款9000，收取三千多的费用。</t>
  </si>
  <si>
    <t>骚扰家人，恐吓通讯录里的人</t>
  </si>
  <si>
    <t>http://ts.21cn.com/tousu/show/id/1365046</t>
  </si>
  <si>
    <t>2019/10/16 06:34:42</t>
  </si>
  <si>
    <t>恶意恐吓家人，不停骚扰家人通讯录里的人，要求停止骚扰。</t>
  </si>
  <si>
    <t>http://ts.21cn.com/tousu/show/id/1365045</t>
  </si>
  <si>
    <t>2019/10/16 06:32:31</t>
  </si>
  <si>
    <t>投诉人 冯先生        投诉对象  安庆盛通信息科技服务有限公司,人人花        涉诉金额  90 元    问题类型    诉求类型投诉详情  只是登录注册了一下，被人人花扣款，90元。</t>
  </si>
  <si>
    <t>来分期代扣乱扣费</t>
  </si>
  <si>
    <t>http://ts.21cn.com/tousu/show/id/1365044</t>
  </si>
  <si>
    <t>2019/10/16 06:12:05</t>
  </si>
  <si>
    <t>我将钱存银行卡，过一会这个公司使用来分期代扣给我扣掉363.61元，我反复确认没有购买任何东西，莫名其妙给我扣掉363.61元，我要求这个公司给我退款并且给我一个合理的解释。</t>
  </si>
  <si>
    <t>微博借钱</t>
  </si>
  <si>
    <t>http://ts.21cn.com/tousu/show/id/1365043</t>
  </si>
  <si>
    <t>2019/10/16 06:10:34</t>
  </si>
  <si>
    <t>还款日不扣款导致逾期，几百块钱逾期一天二三十，。</t>
  </si>
  <si>
    <t>http://ts.21cn.com/tousu/show/id/1365041</t>
  </si>
  <si>
    <t>2019/10/16 05:45:50</t>
  </si>
  <si>
    <t>http://ts.21cn.com/tousu/show/id/1365040</t>
  </si>
  <si>
    <t>2019/10/16 05:45:09</t>
  </si>
  <si>
    <t>以做理财的名义，诱骗我登录http://www.gpc388.com，此网站“入金”，入金资金（7000元）全部是通过上海瀚银信息（宁波）通道以无卡支付消费的形式转到对方两个虚假账户上（方娇商贸有限公司、诺科平科技公司、密恬电子科技公司），现在我通过贵平台举报上海瀚银信息（宁波）为虚假平台提供资金支付通道并要求赔偿我全部损失，通道，以无卡支付消费的形式转到对方两个虚假账户上，之后对方平台通过技术手段让我爆仓，使我损失惨重最后网址登录不上去，人民银行办公厅2017年1月23日颁发《加强交易场所类特约商户资质审</t>
  </si>
  <si>
    <t>http://ts.21cn.com/tousu/show/id/1365039</t>
  </si>
  <si>
    <t>2019/10/16 05:40:06</t>
  </si>
  <si>
    <t>投诉人 丁先生        投诉对象  向钱贷        涉诉金额  1 600 元    问题类型    诉求类型投诉详情  去年9月份一直给我打电话催收 我续期了 还打电话但是我还没有逾期了 就一直打 我要求退换所有的展期费</t>
  </si>
  <si>
    <t>玖富万卡涉嫌高利贷</t>
  </si>
  <si>
    <t>http://ts.21cn.com/tousu/show/id/1365038</t>
  </si>
  <si>
    <t>2019/10/16 05:36:37</t>
  </si>
  <si>
    <t>借款8000分24期，要还137569.68利率达到了58.6%，如果按国家最高利率36%算，他多收我2422.58元，还不起，。</t>
  </si>
  <si>
    <t>叉叉助手停运</t>
  </si>
  <si>
    <t>http://ts.21cn.com/tousu/show/id/1365037</t>
  </si>
  <si>
    <t>2019/10/16 05:25:53</t>
  </si>
  <si>
    <t>145买的年卡没用几天就停了，怎么的也得给我退100吧。</t>
  </si>
  <si>
    <t>阴阳协议，服务费高达700多元，利息高出国家标准，恐吓骚扰</t>
  </si>
  <si>
    <t>http://ts.21cn.com/tousu/show/id/1365036</t>
  </si>
  <si>
    <t>2019/10/16 05:18:17</t>
  </si>
  <si>
    <t>在申请时没有对我说明利率以及各项杂七杂八的费用，在我并不了解具体的情况下，对我要收取多于国家标准的3336.37元人民币，而且对我进行电话骚扰，在该平台借贷的其他人也表示受到暴力催贷和恐吓。</t>
  </si>
  <si>
    <t>http://ts.21cn.com/tousu/show/id/1365035</t>
  </si>
  <si>
    <t>2019/10/16 05:18:06</t>
  </si>
  <si>
    <t>钱老哥心意转故意不能正常还款，逾期一个月后催收微信联系让还滞纳金。</t>
  </si>
  <si>
    <t>盛pos扣取598的激活费用</t>
  </si>
  <si>
    <t>http://ts.21cn.com/tousu/show/id/1365034</t>
  </si>
  <si>
    <t>2019/10/16 05:14:30</t>
  </si>
  <si>
    <t>推销员在我不知情的情况下，用我信用卡免密支付598的激活费用，第二天我才发现不对，联系推销员，已不回复。</t>
  </si>
  <si>
    <t>http://ts.21cn.com/tousu/show/id/1365033</t>
  </si>
  <si>
    <t>2019/10/16 05:06:06</t>
  </si>
  <si>
    <t>在尚德机构报名了自考行政管理专业，但是听课后发现自己不适合学这个专业，申请退费，说不符合协议，不让退费。</t>
  </si>
  <si>
    <t>平安付自动扣款。没收到任何验证</t>
  </si>
  <si>
    <t>http://ts.21cn.com/tousu/show/id/1365032</t>
  </si>
  <si>
    <t>2019/10/16 05:03:59</t>
  </si>
  <si>
    <t>投诉人 张先生        投诉对象  平安付电子支付        涉诉金额  417 元    问题类型    诉求类型投诉详情  半夜扣钱。莫名其妙。不知道什么费用。没收到任何验证</t>
  </si>
  <si>
    <t>参与原创征集活动投稿上传作品。点赞排名第一被无端下架作品</t>
  </si>
  <si>
    <t>http://ts.21cn.com/tousu/show/id/1365030</t>
  </si>
  <si>
    <t>2019/10/16 05:00:15</t>
  </si>
  <si>
    <t>http://www.100bt.com/alx/activity/themesong/pc/#page1，10月16号凌晨2点多醒来准备点赞看看自己多少票，发现被官方所谓的工作人员恶意下架了作品，活动要求是点赞第一名可以获得大疆无人机，每天自己都按照活动要求，弄了30-40个左右的手机号码不停的给自己点赞，且并没有通过非法手段进行刷票，自己点赞的诸多手机号码都能提供出来，并且对应上，每个手机号每天可以为自己作品点赞2次，一天下来80票平均增长速度是有的，手机上也下载了30多个浏览器用于每天点赞，活动规则并</t>
  </si>
  <si>
    <t>捷信上门催收，影响家人正常生活</t>
  </si>
  <si>
    <t>http://ts.21cn.com/tousu/show/id/1365029</t>
  </si>
  <si>
    <t>2019/10/16 04:57:07</t>
  </si>
  <si>
    <t>去年11月在捷信贷款25000元，分三十期，因年后遭遇套路贷导致逾期，捷信这些天一直上门并且雇佣本地催收往我家贴照片，电话号码，对我家人造成严重骚扰！苦不堪言！我之前已经还了八千多块钱，现在还要我还23600多块，不到一年的时间，利息六千多！希望捷信公司给个说法！或者直接起诉到法院，按国家规定的利息偿还。</t>
  </si>
  <si>
    <t>投诉玖富万卡收砍头息，利息高过法定利息</t>
  </si>
  <si>
    <t>http://ts.21cn.com/tousu/show/id/1365028</t>
  </si>
  <si>
    <t>2019/10/16 04:54:16</t>
  </si>
  <si>
    <t>投诉人 钱女士        投诉对象  玖富        涉诉金额  30 000 元    问题类型    诉求类型投诉详情  玖富万卡收砍头息，利息已超国家法定的利息</t>
  </si>
  <si>
    <t>及贷非法爆通讯录</t>
  </si>
  <si>
    <t>http://ts.21cn.com/tousu/show/id/1365026</t>
  </si>
  <si>
    <t>2019/10/16 04:42:07</t>
  </si>
  <si>
    <t>在及贷借了2650，到手只有2500直接扣除一千五的费用，我也认了，上个月国庆回老家，因为人在外面，手机没电关机，然后及贷客服还是催收直接打了我的通讯录，而且讲话特别强势，威胁我朋友说，下午五点前必须还上，不然没完，当时我朋友和我说的时候我都蒙了，上市企业，上征信的东西居然还能这样催，我语气是我不对，但是你这种做法我无法接受，现在因为他们打通讯录已经影响到我工作和家庭，必须给我一个完美的说法，。</t>
  </si>
  <si>
    <t>淘宝购物提示已发货顺丰快递提示一直揽件</t>
  </si>
  <si>
    <t>http://ts.21cn.com/tousu/show/id/1365025</t>
  </si>
  <si>
    <t>2019/10/16 04:39:11</t>
  </si>
  <si>
    <t>我只想用我自己的实际行动警醒所有的网购买家。</t>
  </si>
  <si>
    <t>中信银行信用卡中心造假</t>
  </si>
  <si>
    <t>http://ts.21cn.com/tousu/show/id/1365024</t>
  </si>
  <si>
    <t>2019/10/16 04:35:52</t>
  </si>
  <si>
    <t>中信银行信用卡中信催收人员，假装跟我说开庭，而且短信通知了我的好多联系人，当天我通过网络查到，并没有我的这个案件，属于诽谤，我想要得到一个合理合法的解释，必要的时候，我会要求赔偿精神损失。</t>
  </si>
  <si>
    <t>百度有钱花态度极其恶劣，</t>
  </si>
  <si>
    <t>http://ts.21cn.com/tousu/show/id/1365023</t>
  </si>
  <si>
    <t>2019/10/16 04:34:36</t>
  </si>
  <si>
    <t>国庆期间逾期了一个星期，电话沟通过完国庆一定给，他那边激动的像他妈死了一样，根本不给任何理由，就必须立刻还，还威胁我要爆我通讯录，我再三强调十月七号一定还上，我在老家不方便父母知道，没敢操作，她还强硬了，就要给我父母打电话，态度那叫极其恶劣，百度你是个上市企业，客服应该培训了，人人都有困难时，协商一下不过分，客服实在逼我，我当时真的非常气愤，我需要一个解释。</t>
  </si>
  <si>
    <t>活力花利息和违约金太高，暴力催收！！</t>
  </si>
  <si>
    <t>http://ts.21cn.com/tousu/show/id/1365022</t>
  </si>
  <si>
    <t>2019/10/16 04:33:05</t>
  </si>
  <si>
    <t>投诉人李先生投诉对象活力花涉诉金额6000元问题类型诉求类型投诉详情年息百分之35多，外加违约金，严重超过法律规定范围！暴力催收电话骚扰，还爆通讯录，严重影响本人正常生活，致电客服协商按年息百分之24偿还也被拒绝！不是不还，实在是利息太不合理！。</t>
  </si>
  <si>
    <t>http://ts.21cn.com/tousu/show/id/1365021</t>
  </si>
  <si>
    <t>2019/10/16 04:27:40</t>
  </si>
  <si>
    <t>16号还款，上午就开始到处打电话，导致店里电话无法正常使用，希望国家严惩。</t>
  </si>
  <si>
    <t>蓝鲸鱼钱包高炮平台，恶意威胁爆通讯录</t>
  </si>
  <si>
    <t>http://ts.21cn.com/tousu/show/id/1365019</t>
  </si>
  <si>
    <t>2019/10/16 04:22:52</t>
  </si>
  <si>
    <t>蓝鲸鱼钱包，高炮平台，恶意催收，威胁爆通讯录，恶意被对方借款，希望有关部门严查，已经严重威胁本人生活。</t>
  </si>
  <si>
    <t>网贷恶意扣款，在没经过本人同意下。把钱扣了。客服装糊涂</t>
  </si>
  <si>
    <t>http://ts.21cn.com/tousu/show/id/1365018</t>
  </si>
  <si>
    <t>2019/10/16 04:16:43</t>
  </si>
  <si>
    <t>投诉人 陈林        投诉对象  豹子贷        涉诉金额  597 元    问题类型    诉求类型投诉详情  在未经本人授权的情况下恶意扣走我597元。也未打电话发短信。事后客服装糊涂！！！不想退款，我有证据。希望退款并道歉</t>
  </si>
  <si>
    <t>信用卡强制收费</t>
  </si>
  <si>
    <t>http://ts.21cn.com/tousu/show/id/1365017</t>
  </si>
  <si>
    <t>2019/10/16 04:05:02</t>
  </si>
  <si>
    <t>投诉人 刘晓义先生        投诉对象  兴业银行信用卡        涉诉金额  30 000 元    问题类型    诉求类型投诉详情  兴业银行的信用卡乱收费 办卡的时侯他们不告诉你 信用卡强制分期 一分多少期是 期中有期 他们是够三千元就自动分期 我本身就身体不好 他们还总是吓乎我 给我的生活带来不便</t>
  </si>
  <si>
    <t>网购游戏激活码无效</t>
  </si>
  <si>
    <t>http://ts.21cn.com/tousu/show/id/1365016</t>
  </si>
  <si>
    <t>2019/10/16 04:03:47</t>
  </si>
  <si>
    <t>投诉人 杨家斌        投诉对象  松鼠自动发卡平台        涉诉金额  60 元    问题类型    诉求类型投诉详情  在该平台购买的游戏激活码无效，客服不理人。</t>
  </si>
  <si>
    <t>读秒钱包，安趣盈违反国家规定超经营范围发放高利贷</t>
  </si>
  <si>
    <t>http://ts.21cn.com/tousu/show/id/1365015</t>
  </si>
  <si>
    <t>2019/10/16 03:57:04</t>
  </si>
  <si>
    <t>北京乐融多源信息有限公司跟上海安趣盈有限公司联合通过读秒钱包app发放高利贷，收取砍头息，借款三万，合同上却写38765.2元，阴阳合同，逾期一天费用一百多，到账仅有29969元，本身北京乐融多源信息公司工商登记是技术推广服务；票务代理，；计算机系统服务；数据处理；基础软件服务；应用软件服务；经济贸易咨询，业务不包含贷款业务，属于违规放贷，上海安盈趣科技有限公司经营范围也是计算机、信息科技、生物科技专业领域内的技术开发、技术咨询、技术服务、技术转让，企业管理咨询，市场信息咨询与调查，没有放贷资格，年利率两个</t>
  </si>
  <si>
    <t>http://ts.21cn.com/tousu/show/id/1365014</t>
  </si>
  <si>
    <t>2019/10/16 03:54:41</t>
  </si>
  <si>
    <t>在你我贷借款1万，分12期还款，前两期每期需要偿还2382.88元，后十期每期需要还款将近900元，年利率分明已经超过36%，本期因为本人资金出现问题未能及时还款造成逾期，你我贷在能联系上我本人的情况下，未经本人允许私自爆通讯录，打电话言语非常嚣张，态度极其恶劣，并且威胁说把本人资料通讯录已经全部调出来，有的是时间天天打我通讯录电话，扬言说打电话给我单位，让公司的人，让亲朋好友都知道我闪钱不还，会每天都关照我，一分钟一个电话接了电话就骂人，不仅疯狂的爆我通讯录还打电话到我公司，他有什么资格侵犯我的隐私，有什</t>
  </si>
  <si>
    <t>垃圾平台马上金融暴力过份催收，骚扰不停！</t>
  </si>
  <si>
    <t>http://ts.21cn.com/tousu/show/id/1365013</t>
  </si>
  <si>
    <t>2019/10/16 03:53:57</t>
  </si>
  <si>
    <t>马上金融垃圾平台过份暴力催收，骚扰不停，威胁恐吓！。</t>
  </si>
  <si>
    <t>重复扣费客服电话打不通</t>
  </si>
  <si>
    <t>http://ts.21cn.com/tousu/show/id/1364954</t>
  </si>
  <si>
    <t>2019/10/16 03:50:07</t>
  </si>
  <si>
    <t>乱扣费，欺骗消费者，客服电话打不通，打通了就给挂了。</t>
  </si>
  <si>
    <t>大棚占地租金至今未给</t>
  </si>
  <si>
    <t>http://ts.21cn.com/tousu/show/id/1365012</t>
  </si>
  <si>
    <t>2019/10/16 03:47:05</t>
  </si>
  <si>
    <t>尊敬的领导您好：我们是承德市平泉市茅兰沟乡五家村9组和17组村民，2016年，经村、乡政府负责流转118亩耕种土地，建成蔬菜大棚百亩园区，乡、村政府当初定价地租金为1000元每亩，三方均认可，但时至今日，因大棚承租户与纽文、以及村乡两级政府发生了矛盾，一直拒付地租金，出租土地农户没有租金收入又失去了土地，正当权益被绑架和搁置，遭受了不公平的待遇，不知何故村乡两级政府不敢直面面对租用土地的大棚户，大棚承租户以各种理由如国家大棚补贴政策执行不到位，态度抵触，一直拒付地租金，致使2017年、2018年、2019年</t>
  </si>
  <si>
    <t>http://ts.21cn.com/tousu/show/id/1365011</t>
  </si>
  <si>
    <t>2019/10/16 03:41:26</t>
  </si>
  <si>
    <t>捷信暴力催收，骚扰他人，暴通讯录，侮辱，泄露他人隐私。</t>
  </si>
  <si>
    <t>利息过高且无法提前还款</t>
  </si>
  <si>
    <t>http://ts.21cn.com/tousu/show/id/1365010</t>
  </si>
  <si>
    <t>2019/10/16 03:31:58</t>
  </si>
  <si>
    <t>平台上借贷两笔，分别为10000，14000，在借款合同之中显示的利率与实际还款利率严重不符，实际还款利率远远超过于合同上的利率，已经超过国家规定利率，现在本人因失业无法承担此巨额利息，想要提前还款，却没有通道，只能手动一期一期还款，仍需全额支付利息，彻夜难眠，现希望此平台协助沟通减免除合同之外的利息以及提前结清贷款，谢谢！。</t>
  </si>
  <si>
    <t>http://ts.21cn.com/tousu/show/id/1365009</t>
  </si>
  <si>
    <t>2019/10/16 03:19:50</t>
  </si>
  <si>
    <t>本人是京东的老用户，13年就注册，14年开通白条，因为换工作原因，非故意逾期白条一个月，已经还清逾期款项，京东委托第三方要求我全款还清，但是我工作才刚刚有着落，没那么多资金，而且我已经将逾期款项还清，但催收还是经常打电话要求我还清全款，我说我有钱一定全部还清，没钱就按期还，但是催收态度恶劣，必须要我全部还清，我希望京东白条能再给我一次机会，我一定会按期还款。</t>
  </si>
  <si>
    <t>http://ts.21cn.com/tousu/show/id/1365008</t>
  </si>
  <si>
    <t>2019/10/16 03:07:53</t>
  </si>
  <si>
    <t>因为手机放在家里没接到所谓贵公司催收人员电话。</t>
  </si>
  <si>
    <t>平安信用卡工作人员骚扰家人</t>
  </si>
  <si>
    <t>http://ts.21cn.com/tousu/show/id/1365005</t>
  </si>
  <si>
    <t>2019/10/16 02:54:22</t>
  </si>
  <si>
    <t>平安信用卡青岛中心打电话骚扰家人和同学同事，我要求对我道歉，做出解释。</t>
  </si>
  <si>
    <t>工商银行信用卡额度降0</t>
  </si>
  <si>
    <t>http://ts.21cn.com/tousu/show/id/1365004</t>
  </si>
  <si>
    <t>2019/10/16 02:50:28</t>
  </si>
  <si>
    <t>本人于2017年底办理了工行信用卡，用了几个月后提额了，然后在2018年，，突然不能用了，导致本人资金周转不了逾期了几天，本人都是正常用卡的，现在隔了这么久，工行还没有把信用卡的额度恢复。</t>
  </si>
  <si>
    <t>宜信宜人贷阴阳合同，高利贷，暴力催收</t>
  </si>
  <si>
    <t>http://ts.21cn.com/tousu/show/id/1365003</t>
  </si>
  <si>
    <t>2019/10/16 02:44:20</t>
  </si>
  <si>
    <t>8月14日还款期，由于没有及时处理欠款，8月15日在未通知我的情况下，对我的手机通讯录进行骚扰，四处传播我“欠款不还”信息，于是我申请结清欠款，并告知对方，宜人贷进行暴力催收多篇文章报道通过宜人协商服务进行一次性结清欠款有所减免，关注公众号之后，通过平台在线客服取得联系，对方能够在我告知对方我的姓名身份证后，能够将我的账单发送给我，并让我核实，最终给我结清价格两万元结清欠款，对此我深信不疑，在当天我在告知对方不能马上处理，需要在18号才能处理，并告知17号不要拨打我的通讯录，17号当天并没有拨打我的通讯录，</t>
  </si>
  <si>
    <t>高额利息套路贷</t>
  </si>
  <si>
    <t>http://ts.21cn.com/tousu/show/id/1365002</t>
  </si>
  <si>
    <t>2019/10/16 02:40:35</t>
  </si>
  <si>
    <t>借款7000，刚开始准备借的时候看到界面显示的是六百多利息才决定借的，没想到一放款下来瞬间利息变成了两倍，看了一下说是什么尊享服务费，借7000分六期还，平均每期是1376.67，已经还了两期了，这利息实在是太高了，现在还起来很吃力。</t>
  </si>
  <si>
    <t>浦发银行暴力催收</t>
  </si>
  <si>
    <t>http://ts.21cn.com/tousu/show/id/1365001</t>
  </si>
  <si>
    <t>2019/10/16 02:34:37</t>
  </si>
  <si>
    <t>本人因使用了浦发银行万用金，做生意，亏损了现在又有了两个孩子，在家看孩子，现在也没有工作，实在是无力偿还，我说我会还的，只是现在实在是困难，有钱了就还，可是对方还是不依不饶，打电话给我通讯录亲友和村委会，跟他们说我欠了多少多少钱不还，并吓唬他们说要坐牢判五年啊什么的，通讯录里很多多是老人家，被他们吓得吃不好睡不好血压升高，险些出人命，而且本人欠款的事被他们宣扬的人尽皆知，村委会多通知了，搞的本人就是想和亲朋好友周转一下来处理这个欠款也困难了，非要把人往死了逼对你们有什么好处，本人不是不还，而是现在实在是困难</t>
  </si>
  <si>
    <t>虎牙斗鱼平台多名主播出售及回收棋牌游戏币涉嫌违法事宜情况举报</t>
  </si>
  <si>
    <t>http://ts.21cn.com/tousu/show/id/1365000</t>
  </si>
  <si>
    <t>2019/10/16 02:33:10</t>
  </si>
  <si>
    <t>虎牙平台有两名400多万粉丝的主播，曹操大表哥，，为逃避监管，每天0点后会直播欢乐麻将全集，然后挂广告引流到微信，提供欢乐豆的出售及反向兑换人民币服务，该行为涉嫌宣扬赌博及违法，向直播平台反馈多次，每次都是收到投诉却从不处理，一直纵容包庇此类违法行为，另在虎牙和斗鱼上搜索“欢乐麻将”，几乎所有播欢乐麻将的主播都提供棋牌类游戏币反向兑换成人民币的服务，另外经常还有直播一个人同时操作多个号作弊赢豆，这些行为都涉嫌违法了，但直播平台却从不处理，影响非常恶劣，特别是一些他们的未成年人粉丝，很容易就被诱导到沉迷赌博的</t>
  </si>
  <si>
    <t>http://ts.21cn.com/tousu/show/id/1364999</t>
  </si>
  <si>
    <t>2019/10/16 02:23:46</t>
  </si>
  <si>
    <t>15号开工资 10好还款日 有3天安全期 违约金按照万分之五收取 本期账单 最低1万2多 扣除万用金2100多 什么违约金利息就1900 2天时间 万分之五 我想申请改一下还款日期 告诉我还完才可以 这比高利贷还黑啊 太过分了吧 把人往死路上逼 就收这种钱 来发家致富吗。</t>
  </si>
  <si>
    <t>滴滴安全投诉</t>
  </si>
  <si>
    <t>http://ts.21cn.com/tousu/show/id/1364998</t>
  </si>
  <si>
    <t>2019/10/16 02:23:24</t>
  </si>
  <si>
    <t>我去年12月份开始做滴滴司机2019年9月我突然没有夜间服务卡和抢单服务卡，打客服问了下情况滴滴客服说我有乘客的安全投诉所以不能夜间接单，我多次问滴滴客服我的安全投诉属于哪一种的行为才会导致乘客的投诉，滴滴客服说是乘客的匿名投诉他们也不知道是因为什么原因，我的投诉不能给我个明确的解释和说明我多次要求滴滴客服给个明确的说法，滴滴客服一直就没有恢复，注:本人也是双证齐全，车辆也是运营车，也是合规司机，也是按照平台规则服务乘客。</t>
  </si>
  <si>
    <t>黑心美团众包，乱封账号，还不让提现，坑骑手血汗钱</t>
  </si>
  <si>
    <t>http://ts.21cn.com/tousu/show/id/1364997</t>
  </si>
  <si>
    <t>2019/10/16 02:23:17</t>
  </si>
  <si>
    <t>美团众包故意拉黑我，限制啊提现，辛辛苦苦跑单的钱。</t>
  </si>
  <si>
    <t>恶意降低抽奖概率，游戏内抽奖无保底机制</t>
  </si>
  <si>
    <t>http://ts.21cn.com/tousu/show/id/1364996</t>
  </si>
  <si>
    <t>2019/10/16 02:21:51</t>
  </si>
  <si>
    <t>明确规定游戏内抽奖需有保底机制，必须明示抽奖概率，抽多少次能中，该游戏仅表明概率，充值328+68元人民币购买40连抽加上充值活动的10连抽总共抽奖50次而本次活动主题商品仅抽中13张图纸，图片内不包括此前在赛事中获取的20张，以此概率，抽中60张图纸解锁所需求的人民币无法想象，这种恶意性的抽奖机制实在让人感到很愤怒，玩家的钱也不是大风刮来的，恶意透支玩家的游戏欲望和心态，这种抽奖模式让大部分玩家感到愤怒，各大流量平台比如百度贴吧，最右，微博等均骂声一片，在上一次游戏活动中也是如此，官方不懂得细水长流，这一</t>
  </si>
  <si>
    <t>库博体育欺诈无法投注造成损失</t>
  </si>
  <si>
    <t>http://ts.21cn.com/tousu/show/id/1364995</t>
  </si>
  <si>
    <t>2019/10/16 02:20:01</t>
  </si>
  <si>
    <t>本人在库博体育充值2000元试图投注2019年10月16日1：00的GRF，GRF获胜，因为网站的无法投注导致620元的损失，寻找多个客服但客服均没有给出合适的处理方式。</t>
  </si>
  <si>
    <t>暴力催收，辱骂侮辱</t>
  </si>
  <si>
    <t>http://ts.21cn.com/tousu/show/id/1364994</t>
  </si>
  <si>
    <t>2019/10/16 02:13:40</t>
  </si>
  <si>
    <t>钱咖分期借款2500元20天时间我已经还了2771元，还要还750元才给我销账，这显然已经超出国家规定范围内几千倍了，主要现在被钱咖分期客服打电话给我家人，搞得被家人，妻子抛弃，被公司开除，实在无能为力偿还剩下的高利息了，跟钱小咖客服协商还他们本金和适当的利息，他们不同意，天天打打电话骚扰，更过分的是打通电话就在电话里面各种辱骂，侮辱我，骂得相当过分，他们打来的电话我的有录音，如果不做出处理我下一步只有走法律程序，昨天十月十五日又多次打电话辱骂我家人，就因为他们打电话辱骂我妻子，我妻子已经和我离婚了，十月十</t>
  </si>
  <si>
    <t>蚂蚁金呗暴力催收</t>
  </si>
  <si>
    <t>http://ts.21cn.com/tousu/show/id/1364993</t>
  </si>
  <si>
    <t>2019/10/16 02:12:38</t>
  </si>
  <si>
    <t>投诉人 宋锦煜        投诉对象  蚂蚁金呗        涉诉金额  1 800 元    问题类型    诉求类型投诉详情  还没逾期时就打电话说要核实我通讯录 然后接着发过来侮辱亲人的话 ！ 紧接着骚扰我的亲朋好友 多的不说 上纲上线 没完没了！！！！！！！</t>
  </si>
  <si>
    <t>招商银行暴力催收</t>
  </si>
  <si>
    <t>http://ts.21cn.com/tousu/show/id/1364992</t>
  </si>
  <si>
    <t>2019/10/16 02:10:47</t>
  </si>
  <si>
    <t>投诉人 姜女士        投诉对象  招商银行信用卡        涉诉金额  80 000 元    问题类型    诉求类型投诉详情  信用卡逾期了。不是不还这个钱。钱会慢慢还。但是招商银行不能一直骚扰别人吧 一天好几十个电话 那我什么事情都不用做了 每天就接你电话了 还有不要恐吓我什么会坐牢会判刑 我现在不是不还这个钱 打电话打到我单位去了。我现在因为这个事情工作都保不住。我没有收入怎么还这个钱 我要是死了。你们一分钱都拿不到</t>
  </si>
  <si>
    <t>http://ts.21cn.com/tousu/show/id/1364991</t>
  </si>
  <si>
    <t>2019/10/16 02:08:11</t>
  </si>
  <si>
    <t>投诉人万沙投诉对象厦门市蓝尚信息科技有限公司，简称“蓝店”涉诉金额500元问题类型诉求类型投诉详情退保证金500元一直不到帐，7月1日提交退保证金到现在三个多月了还没到帐。</t>
  </si>
  <si>
    <t>钱站用阴阳合同收取高额利息</t>
  </si>
  <si>
    <t>http://ts.21cn.com/tousu/show/id/1364990</t>
  </si>
  <si>
    <t>2019/10/16 02:04:58</t>
  </si>
  <si>
    <t>投诉人胡先生投诉对象钱站涉诉金额1000元问题类型诉求类型投诉详情2019年8月在钱站借款1000元，请求处理.网站打不开本人要一次性还清减免利息。</t>
  </si>
  <si>
    <t>中国建设银行</t>
  </si>
  <si>
    <t>http://ts.21cn.com/tousu/show/id/1364989</t>
  </si>
  <si>
    <t>2019/10/16 02:04:11</t>
  </si>
  <si>
    <t>本人信用卡逾期11个月左右，本金不到25000，然利息就有5000多了，客服工号28407，服务态度差，意思就是中国建设银行就是他家开的。</t>
  </si>
  <si>
    <t>人人花未经同意，私自扣款</t>
  </si>
  <si>
    <t>http://ts.21cn.com/tousu/show/id/1364988</t>
  </si>
  <si>
    <t>2019/10/16 02:03:37</t>
  </si>
  <si>
    <t>我在人人花办理贷款，人人花先让我挷定了我的银行卡，人人花未说明查个人征信需要付费，只是有个米币288的图标让我点一下，我不知道人人花所为的米币288就是人民币288块钱，在不知情的情况点了人人花的米币288个人征信查询，因为我的银行卡里余额只有100块，之后就被人人花从银行卡里私自扣款了90块，我希望平台帮我主持公道，让人人花把私自扣我的90块钱还给我。</t>
  </si>
  <si>
    <t>美团金川站贾小伟</t>
  </si>
  <si>
    <t>http://ts.21cn.com/tousu/show/id/1364987</t>
  </si>
  <si>
    <t>2019/10/16 02:02:57</t>
  </si>
  <si>
    <t>事情是这样的，本人在美团外卖送外卖，2019年8月份少发了45元，跑一单3.75.电动车补贴0.2，跑了100单应该发395元，结果发了350元，当时跟这个站长反应了，这个站长说报上去给我发呀，到现在没给发，9月份跑了10单，39.5元，今天也没给发，这是纯属欺诈，都是点血汗钱，不管挣多挣少都是我劳动所得，这个钱究竟是公司不给，还是这个站长挪用了，要求美团专送给我合理的说法，处罚这个站长，说话没点诚信，这样的人应该清理，净化公司名誉。</t>
  </si>
  <si>
    <t>未经本人同意，人人花app乱扣费如何保障自身财产安全</t>
  </si>
  <si>
    <t>http://ts.21cn.com/tousu/show/id/1364986</t>
  </si>
  <si>
    <t>2019/10/16 01:55:21</t>
  </si>
  <si>
    <t>您好:前段时间我在人人花这个平台上注册了一下资料，并添加了银行卡，但是没有使用该平台的服务，2019年10月15日中午我卸载了人人花APP，当晚22:30我收到短信，在本人不知情的情况被安庆盛通信息科技有限公司通过POS扣走了288元人民币，本人于2019年10月15日中午删除人人花app，在时隔几小时以后，被安庆盛通信息科技有限公司在本人不知情的情况下扣除我的银行卡上金额288元人民币，被扣款后我再次下载人人花app后，竟然发现无法登录人人花app…，经过此次无故被安庆盛通信息科技有限公司扣款的事件，为了</t>
  </si>
  <si>
    <t>维信卡卡贷高利贷，并收高额保险费</t>
  </si>
  <si>
    <t>http://ts.21cn.com/tousu/show/id/1364985</t>
  </si>
  <si>
    <t>2019/10/16 01:53:26</t>
  </si>
  <si>
    <t>几笔结款利息高到离谱，已经超过国家规定的利率，这我认了，居然还莫名其妙在我不知情的情况下强制扣取了我1499的费用，问客服说是什么保险费用，这笔保险完全不知情，也不接受。</t>
  </si>
  <si>
    <t>拇指下款违规胡乱扣费</t>
  </si>
  <si>
    <t>http://ts.21cn.com/tousu/show/id/1364984</t>
  </si>
  <si>
    <t>2019/10/16 01:53:16</t>
  </si>
  <si>
    <t>聚富分期,拇指下款,造艺科技,海南圣云可网络科技有限公司,新生支付，本人于十月十二日通过社区论坛下载拇指借款app，甚至申请借款时竟然要去去推荐的平台借款并提供失败的截图，这让人无法接受。</t>
  </si>
  <si>
    <t>http://ts.21cn.com/tousu/show/id/1364983</t>
  </si>
  <si>
    <t>2019/10/16 01:47:00</t>
  </si>
  <si>
    <t>10点钟开始一直还款还不上，一直弄到凌晨1点都还不上，导致逾期，大家给评评理。</t>
  </si>
  <si>
    <t>http://ts.21cn.com/tousu/show/id/1364982</t>
  </si>
  <si>
    <t>2019/10/16 01:46:55</t>
  </si>
  <si>
    <t>未经本人同意从我银行卡里转悠288这期间我也从未有过付款输入验证码得行为，我觉得这种非法转走别人银行卡里的钱属于违法。</t>
  </si>
  <si>
    <t>友缘在线欺诈用户恶意扣款</t>
  </si>
  <si>
    <t>http://ts.21cn.com/tousu/show/id/1364981</t>
  </si>
  <si>
    <t>2019/10/16 01:45:21</t>
  </si>
  <si>
    <t>诱导开通免密支付，并在在我未知情的情况下扣款，并且我未消费，如果你们公司不把钱退回来，我就去北京12315消费者投诉你们公司恶意欺诈。</t>
  </si>
  <si>
    <t>交通银行信用卡催收骚扰</t>
  </si>
  <si>
    <t>http://ts.21cn.com/tousu/show/id/1364980</t>
  </si>
  <si>
    <t>2019/10/16 01:44:13</t>
  </si>
  <si>
    <t>应信用卡逾期，暂时还没发工资，和银行协商，结果打电话到我的工作单位，恐吓，在可以和我联系的情况下骚扰现在单位以及单位同事，主动联系客服协商分期结果在可以联系我的情况下一直联系本人现在工作的公司和同事！侵犯了同事的隐私权还骚扰到了同事。</t>
  </si>
  <si>
    <t>月光侠砍头息高利贷，暴力催收</t>
  </si>
  <si>
    <t>http://ts.21cn.com/tousu/show/id/1364979</t>
  </si>
  <si>
    <t>2019/10/16 01:43:24</t>
  </si>
  <si>
    <t>借两千一，要还三千，现在暴力催收，一直打电话发短信给我的亲朋好友，现在我希望按国家利息收，不许再联系我亲朋好友。</t>
  </si>
  <si>
    <t>中国移动宽带退不了，套餐也不能更改</t>
  </si>
  <si>
    <t>http://ts.21cn.com/tousu/show/id/1364977</t>
  </si>
  <si>
    <t>2019/10/16 01:43:01</t>
  </si>
  <si>
    <t>很久以前在小区摊位办了移动宽带，说的是免费用半年，然后到时候不满意就可以退，也没签合同什么的，记得办理人员要了我的身份证，然后填了身份证签了字，后来过了一年我去营业厅退，说是要退机顶盒光猫，不然就要赔偿金，机顶盒光猫已经坏了，扔了，就强行让赔违约金，说当时签了合同的，但是我可以保证我没有签合同，打了10086人工客服，投诉了，说的是让去营业厅退，结果还是退不了，后来又打电话说让升级套餐送话费，结果升级了就不能退了，以前每个月88现在每个月128交了一年多了，宽带也退不了，手机号用了很多年也不能换，搞得很烦，</t>
  </si>
  <si>
    <t>希望如期分期退还砍头息1311元</t>
  </si>
  <si>
    <t>http://ts.21cn.com/tousu/show/id/1364978</t>
  </si>
  <si>
    <t>2019/10/16 01:42:55</t>
  </si>
  <si>
    <t>如期分期,汇信融资担保福建有限公司,宝付支付，向如期分期借款13800元，到手只有11799元，12期还款16389，年利息总计4590元，相当高，查记录发现被天下信用扣除690元，被宝付支付扣除1311元，总计2001元砍头息，在此感谢聚投诉平台，经过第一次投诉，如期分期退还了690元的砍头息，但还有1311元所谓担保费用说不能退还，我深信这项费用不符合国家金融法律规定，属于非法扣除的砍头息，而且在贷款前没有任何选项给予提示，希望如期分期可以一并退还，我也一定会按照合约12期如期还款！在此也希望宝付支付出</t>
  </si>
  <si>
    <t>信用管家里的薪意贷非法高利贷，畅捷支付非法为高利贷提供支付通道</t>
  </si>
  <si>
    <t>http://ts.21cn.com/tousu/show/id/1364976</t>
  </si>
  <si>
    <t>2019/10/16 01:42:29</t>
  </si>
  <si>
    <t>在信用管家的薪意贷借款2250元，分6期，10天一期，每期要还款522.05元，利息远远超过国家规定的年利率36%，现已还4期2088元，实在无力偿还这高利贷，要求后面两期协商结清销帐，畅捷支付为其高利贷非法提供支付通道，属违规行为，将进一步向有关部门举报投诉！。</t>
  </si>
  <si>
    <t>拼多多随意封店，全店下架</t>
  </si>
  <si>
    <t>http://ts.21cn.com/tousu/show/id/1364975</t>
  </si>
  <si>
    <t>2019/10/16 01:41:18</t>
  </si>
  <si>
    <t>已积极跟消费者沟通，消费者也撤诉了平台还是无理由下架经营已久的店铺商品限制店铺，冻结资金，无理由非常恶劣，。</t>
  </si>
  <si>
    <t>被人无故盗刷288元</t>
  </si>
  <si>
    <t>http://ts.21cn.com/tousu/show/id/1364974</t>
  </si>
  <si>
    <t>2019/10/16 01:40:14</t>
  </si>
  <si>
    <t>本人在点点来钱app申请过贷款，填写了资料以后，因为需要收费，没有完成，2019年9月15日晚上23点17分，本人睡醒。</t>
  </si>
  <si>
    <t>因为资金紧张逾期了</t>
  </si>
  <si>
    <t>http://ts.21cn.com/tousu/show/id/1364973</t>
  </si>
  <si>
    <t>2019/10/16 01:35:41</t>
  </si>
  <si>
    <t>因为资金紧张，捷信逾期了，跟客服联系过在缓几天资金到位就还，可是接到15号接到捷信电话恐吓威胁通讯录，希望能协商缓几天还款，捷信道歉不报通讯录。</t>
  </si>
  <si>
    <t>钱站按时还款却显示逾期</t>
  </si>
  <si>
    <t>http://ts.21cn.com/tousu/show/id/1364972</t>
  </si>
  <si>
    <t>2019/10/16 01:34:46</t>
  </si>
  <si>
    <t>10月15日到期，应还人民币1781.53元，15日晚上10：05已还清，但钱站app16号还显示逾期！希望钱站给予解释并帮我销账！谢谢！。</t>
  </si>
  <si>
    <t>天猫商城里中国移动官方旗舰店买到已激活了7个多月的手机</t>
  </si>
  <si>
    <t>http://ts.21cn.com/tousu/show/id/1364969</t>
  </si>
  <si>
    <t>2019/10/16 01:32:05</t>
  </si>
  <si>
    <t>9月13日收的货，开机没有任何语言设置提示，显示激活时间是2019年3月15日。</t>
  </si>
  <si>
    <t>拼多多不给提款</t>
  </si>
  <si>
    <t>http://ts.21cn.com/tousu/show/id/1364970</t>
  </si>
  <si>
    <t>2019/10/16 01:31:44</t>
  </si>
  <si>
    <t>投诉人王成创投诉对象拼多多涉诉金额20673元问题类型诉求类型投诉详情我是拼多多商家，拼多多商家店铺的金额无缘无故被拼多多单方冻结商家资金，导致无法提现，一直显示网络繁忙，联系客服一再托辞不予处理。</t>
  </si>
  <si>
    <t>电信卡限速，办理60元提速包未提速</t>
  </si>
  <si>
    <t>http://ts.21cn.com/tousu/show/id/1364971</t>
  </si>
  <si>
    <t>投诉人许先生投诉对象中国电信涉诉金额120元问题类型诉求类型投诉详情本人多次订购电信提速包，但多次无法正常提速，找客服，客服给出解释不统一，第一种解释是关机，关闭网络就好，此方法行不通，第二种解释是限速后流量所使用量也包含在提速包里了，例：20GB降速，我用了25GB，我办理了5GB的提速包，这样的话还是限速，再次购买提速包还是无法正常提速，本次限速20GB，我用了26GB，购买了两次60元共20GB的提速包，并未提速，找客服，客服并未解决，请中国电信尽快给出解释，和处理方法。</t>
  </si>
  <si>
    <t>程咬金高利贷2000到账1468</t>
  </si>
  <si>
    <t>http://ts.21cn.com/tousu/show/id/1364968</t>
  </si>
  <si>
    <t>2019/10/16 01:30:06</t>
  </si>
  <si>
    <t>这在这个上面算是这期加起来高达9900还没有算前面续期的几次。</t>
  </si>
  <si>
    <t>拍拍贷恶意导致我逾期</t>
  </si>
  <si>
    <t>http://ts.21cn.com/tousu/show/id/1364967</t>
  </si>
  <si>
    <t>2019/10/16 01:27:54</t>
  </si>
  <si>
    <t>投诉人王先生投诉对象拍拍贷涉诉金额165元问题类型诉求类型投诉详情我今天还款，我卡里面资金充足，我以前都是自动还款，这次不行，导致我逾期，造成了费用，我怀疑拍拍贷恶意z使人逾期造成费用。</t>
  </si>
  <si>
    <t>薪薪借钱</t>
  </si>
  <si>
    <t>http://ts.21cn.com/tousu/show/id/1364966</t>
  </si>
  <si>
    <t>2019/10/16 01:27:10</t>
  </si>
  <si>
    <t>投诉人 张先生        投诉对象  薪薪借钱,广州银联欧福科技        涉诉金额  199 元    问题类型    诉求类型投诉详情  下载了薪薪借钱 没有借钱 被广州欧福科抖有限公司私自扣了 199</t>
  </si>
  <si>
    <t>http://ts.21cn.com/tousu/show/id/1364964</t>
  </si>
  <si>
    <t>2019/10/16 01:25:00</t>
  </si>
  <si>
    <t>投诉人 王先生        投诉对象  玖富万卡        涉诉金额  32 000 元    问题类型    诉求类型投诉详情  下款后第二天多了几千的保费。代还信用卡后又强行扣了信用卡几百的保费</t>
  </si>
  <si>
    <t>拼多多这个无良平台，退我血汗钱</t>
  </si>
  <si>
    <t>http://ts.21cn.com/tousu/show/id/1364963</t>
  </si>
  <si>
    <t>2019/10/16 01:23:55</t>
  </si>
  <si>
    <t>做出此决定本人表示非常无奈，对拼多多也表示心灰意冷，为何不立刻告知此商铺为何违规，导致资金无法正常提现，无法运作资金，望贵公司尽快处理此问题。</t>
  </si>
  <si>
    <t>聚富分期乱扣款</t>
  </si>
  <si>
    <t>http://ts.21cn.com/tousu/show/id/1364962</t>
  </si>
  <si>
    <t>2019/10/16 01:23:00</t>
  </si>
  <si>
    <t>今天聚富分期突然扣了我299块钱，密码什么都不用就扣了钱，吓我一跳以为银行卡被盗了已经报警了，后面才知道是聚富分期扣的款，强烈要求退款，给我注销银行卡。</t>
  </si>
  <si>
    <t>拼多多货款提现网络繁忙，不让提现，搞倾家荡产</t>
  </si>
  <si>
    <t>http://ts.21cn.com/tousu/show/id/1364960</t>
  </si>
  <si>
    <t>2019/10/16 01:22:39</t>
  </si>
  <si>
    <t>本人在拼多多经营的好好的，无违规，无通知的情况下被拼多多平台给无缘无故冻结我账户资金，导致本人这边资金链断缺，供货不上，无法继续经营下去，拼多多客服也是在一再托辞，好不容易把店铺开的有点起死，没想到会发生这种情况，一个店铺不值是店铺，它是我的全部家产，我日积月累的心血在里面。</t>
  </si>
  <si>
    <t>交易猫游戏币交易没人处理</t>
  </si>
  <si>
    <t>http://ts.21cn.com/tousu/show/id/1364961</t>
  </si>
  <si>
    <t>2019/10/16 01:22:31</t>
  </si>
  <si>
    <t>2019年10月15日在交易猫交易订单，该商家称为交易猫担保卖家，且所挂商品有交易猫担保，卖家称防止恶意刷单，让我先确认后发货，所有的都有截图为证，交易完成后无法联系，也没有发送相关购买的虚拟物品，所有的交易过程贵平台皆有记录，且客户称后续可找客服，现在我找遍网站所有选项，没办法跟客服取得联系，现要求交易猫跟踪处理相关商家订单，如果无法出售相关物品，烦请退回相关款项。</t>
  </si>
  <si>
    <t>上面催收恐吓威胁</t>
  </si>
  <si>
    <t>http://ts.21cn.com/tousu/show/id/1364959</t>
  </si>
  <si>
    <t>2019/10/16 01:22:06</t>
  </si>
  <si>
    <t>本人是通过捷信客服打电话叫贷款，当时正是我急需用钱，他也什么都没有介绍，什么样的费用也没有说，只是说分期多久每个月还多少急用钱就贷了，到现在还了25期还的又五万多了，还要还两年，每个人都有困难，我没的父母应去花小孩不好花了十好几万都是我都处借的，不是没得这回事我还不至于还不起走，现在弄来实在是困难不是不还环环时间，你们要是不相信就去法院起诉到时候我们通过法院来调查看是不是，由于最近出了事情，还的你们捷信介绍几个客户，就今年实在困难我还是每个月还了，这个月实在困难，你们暴力催收也是违法的上门催收合法吗，我是几</t>
  </si>
  <si>
    <t>汇潮支付为诸葛借米提供高利贷支付平台</t>
  </si>
  <si>
    <t>http://ts.21cn.com/tousu/show/id/1364958</t>
  </si>
  <si>
    <t>2019/10/16 01:19:03</t>
  </si>
  <si>
    <t>投诉人 孙女士        投诉对象  汇潮支付,诸葛借米        涉诉金额  2 200 元    问题类型    诉求类型投诉详情  本人因为急用钱 在诸葛借米申请一笔为2200的贷款 可是到帐金额只有1430元 为期只有6天 利息高达770元 明显高利贷砍头息 实在无力偿还 希望可以协商还款销帐</t>
  </si>
  <si>
    <t>http://ts.21cn.com/tousu/show/id/1364957</t>
  </si>
  <si>
    <t>2019/10/16 01:18:25</t>
  </si>
  <si>
    <t>http://ts.21cn.com/tousu/show/id/1364956</t>
  </si>
  <si>
    <t>2019/10/16 01:13:50</t>
  </si>
  <si>
    <t>拼多多无法提款</t>
  </si>
  <si>
    <t>http://ts.21cn.com/tousu/show/id/1364955</t>
  </si>
  <si>
    <t>2019/10/16 01:13:17</t>
  </si>
  <si>
    <t>利率过高，变相收取高额利息。</t>
  </si>
  <si>
    <t>http://ts.21cn.com/tousu/show/id/1364953</t>
  </si>
  <si>
    <t>2019/10/16 01:13:07</t>
  </si>
  <si>
    <t>本人愿意为我说的负法律责任，我于2019年5月12日通过中介平台榕树贷在你我贷借款20000元，当时看到的利率没有超过国家法定利率，下款前也没有看到任何还款计划和利率，如果看到还款计划和真实利率是不会贷的，提交借款申请通过后就直接下款到绑定的银行卡了，开始还款不懂利率，近期了解到我还款利率远超国家规定利率，平台服务费6000元。</t>
  </si>
  <si>
    <t>先花一亿元续期</t>
  </si>
  <si>
    <t>http://ts.21cn.com/tousu/show/id/1364952</t>
  </si>
  <si>
    <t>2019/10/16 01:12:40</t>
  </si>
  <si>
    <t>之前一年一直在用这个借款软件，下款很快，我大概用了一年第一次下款是2000该平台变相收取评测费也就是砍头息五百多用了一个月，后期续费每个月大概都是五百左右，到6月份的时候变成714高炮了，我查了一下银行卡交易记录，真的很可怕，已经它的贷款年化利率远超国家规定的百分之36，我将搜集证据银行卡打款扣款记录，我拒绝还款，并要求退还超过国家规定利率的部分款项。</t>
  </si>
  <si>
    <t>借款先充值500进去才能借钱</t>
  </si>
  <si>
    <t>http://ts.21cn.com/tousu/show/id/1364951</t>
  </si>
  <si>
    <t>2019/10/16 01:12:26</t>
  </si>
  <si>
    <t>去年5月份左右，新浪有借一个系列软件注册借款，必须先充值500才能借款，然后借款了1100实际到账只有600但是还款还是1100之后，最早充值进去的500没有退还，软件也下架了。</t>
  </si>
  <si>
    <t>马上金融无故冻结额度</t>
  </si>
  <si>
    <t>http://ts.21cn.com/tousu/show/id/1364950</t>
  </si>
  <si>
    <t>2019/10/16 01:11:26</t>
  </si>
  <si>
    <t>在京东app上马上金融-来钱花产品账单日是每个月15日，由于我们两个月没发工资加上工作繁忙，自动扣款金额不够，但后面我主动操作了还款，并且没逾期，没超过22点还款，可是还款后发现马上金融冻结了我的循环额度，由于公司发放工资这块没按时，所以启用这个额度就是解决资金周转的，现在把所有资金都还进去了，额度却给冻结了，借不出款了，想问一下马上金融，我没逾期为什么冻结我的额度而且之前都按时还款，下载马上金融的app，咨询，让我去找合作方咨询，沟通无门，前来申诉，解冻我额度。</t>
  </si>
  <si>
    <t>未经本人允许恶意扣款</t>
  </si>
  <si>
    <t>http://ts.21cn.com/tousu/show/id/1364949</t>
  </si>
  <si>
    <t>2019/10/16 01:11:01</t>
  </si>
  <si>
    <t>与这app同流合污的还有钱站就是钱站推荐的网址骗人是放款通知然后下载来注册好了填写完信息就要收费了还说是不过包赔，现在想去下载来问客服要个扣我钱的理由却下载不了了说我设备问题请联系客服处理，最好还是下了这样的app吧被那么多人投诉还是这个样子。</t>
  </si>
  <si>
    <t>http://ts.21cn.com/tousu/show/id/1364948</t>
  </si>
  <si>
    <t>2019/10/16 01:09:54</t>
  </si>
  <si>
    <t>汇潮支付为套路贷提供支付平台</t>
  </si>
  <si>
    <t>http://ts.21cn.com/tousu/show/id/1364947</t>
  </si>
  <si>
    <t>2019/10/16 01:09:48</t>
  </si>
  <si>
    <t>投诉人孙女士投诉对象一秒陛下,汇潮支付涉诉金额2200元问题类型诉求类型投诉详情本人因我急用钱再一秒陛下申请一笔2200的贷款到帐只有1430远只有5天时间利息却770元延期还款利息更高延期5天就要880元远远高于国家规定利息希望可以协商还款。</t>
  </si>
  <si>
    <t>拍拍贷超过国家年化率的问题！</t>
  </si>
  <si>
    <t>http://ts.21cn.com/tousu/show/id/1364946</t>
  </si>
  <si>
    <t>2019/10/16 01:08:15</t>
  </si>
  <si>
    <t>本人于2018年8月23日在拍拍贷平台借款4250元，分期12期，第1期至第6期每期还款金额为467.69元，第7期至第12期每期还款金额为493.15元，如图所示，一共还了6800元，已超过国家年化率！现要求贵公司退还超过年化率的钱给我！不要吃我们老百姓的血汗钱！不是有难也不会借网贷！希望大家不要再借这种不合法的网贷了！。</t>
  </si>
  <si>
    <t>我的腾讯QQ账号无缘无故被强制冻结客服不作为</t>
  </si>
  <si>
    <t>http://ts.21cn.com/tousu/show/id/1364940</t>
  </si>
  <si>
    <t>2019/10/16 01:04:51</t>
  </si>
  <si>
    <t>这个时间段我根本就没有发表过任何有关于图上所说的任何敏感词汇，无缘无故冻结我的账号，影响我正常的生活，请给我个合理的解释谢谢。</t>
  </si>
  <si>
    <t>拼多多货款提现网络繁忙，提现不了导致倾家荡产</t>
  </si>
  <si>
    <t>http://ts.21cn.com/tousu/show/id/1364944</t>
  </si>
  <si>
    <t>2019/10/16 01:01:49</t>
  </si>
  <si>
    <t>我是拼多多商家，拼多多商家店铺的金额无缘无故被拼多多单方冻结商家资金，导致无法提现，。</t>
  </si>
  <si>
    <t>http://ts.21cn.com/tousu/show/id/1364943</t>
  </si>
  <si>
    <t>2019/10/16 01:01:31</t>
  </si>
  <si>
    <t>人人花没经过我同意和通知我乱扣钱，要求退款。</t>
  </si>
  <si>
    <t>超利贷</t>
  </si>
  <si>
    <t>http://ts.21cn.com/tousu/show/id/1364942</t>
  </si>
  <si>
    <t>2019/10/16 01:00:33</t>
  </si>
  <si>
    <t>之前2017年在闪银分期办理了贷款，借款明明写的1万元还款1万2左右，结果到账只有8400的样子，还款还了13000多，而却就算你提钱还款也没有给你减免利息，之后还有语言恐吓，骚扰。</t>
  </si>
  <si>
    <t>投诉美团</t>
  </si>
  <si>
    <t>http://ts.21cn.com/tousu/show/id/1364941</t>
  </si>
  <si>
    <t>2019/10/16 01:00:14</t>
  </si>
  <si>
    <t>美团逾期两期，因资金周转困难，联系客服协商先还一期，客服说登记反馈，一个工作日会电话联系，可是两天过去了，也没接到电话，反而催收人员电话不断。</t>
  </si>
  <si>
    <t>苏宁易购出售问题商品</t>
  </si>
  <si>
    <t>http://ts.21cn.com/tousu/show/id/1364939</t>
  </si>
  <si>
    <t>2019/10/16 00:59:28</t>
  </si>
  <si>
    <t>10月15日，突然出现全屏绿光，然后再也无法开机的情况，苏宁单方面无任何回应！我严重怀疑此产品是缺陷商品或翻新机，现要求苏宁易购全额退款或做免费换新处理！。</t>
  </si>
  <si>
    <t>my钱包高额担保服务费</t>
  </si>
  <si>
    <t>http://ts.21cn.com/tousu/show/id/1364938</t>
  </si>
  <si>
    <t>2019/10/16 00:58:45</t>
  </si>
  <si>
    <t>借款7500，居然要1362担保费用，请问这个费用是否合理，是否符合国家规定，要求免除这部分费用。</t>
  </si>
  <si>
    <t>无缘无故卡里钱被这家新生海南圣云可网络科技有限公司扣了398元，并无这家公司有业务往来，希望可以严查</t>
  </si>
  <si>
    <t>http://ts.21cn.com/tousu/show/id/1364937</t>
  </si>
  <si>
    <t>2019/10/16 00:56:39</t>
  </si>
  <si>
    <t>并无业务往来，无缘无故被扣了398元，要求做出赔偿，退款。</t>
  </si>
  <si>
    <t>http://ts.21cn.com/tousu/show/id/1364936</t>
  </si>
  <si>
    <t>2019/10/16 00:55:17</t>
  </si>
  <si>
    <t>我是小孩在家玩游戏，通过链接支付了这下款项。</t>
  </si>
  <si>
    <t>拍拍贷暴力催收恶意损害他人名誉</t>
  </si>
  <si>
    <t>http://ts.21cn.com/tousu/show/id/1364933</t>
  </si>
  <si>
    <t>2019/10/16 00:53:49</t>
  </si>
  <si>
    <t>因为我本人原因导致欠款很多，目前在家带孩子，，没有工作，暂时没有还款能力，也多次联系平台客服说明还款意愿，但是平台催收人员不是嘲讽就是威胁，并且骚扰我通讯录里的人，给我造成很大困扰，这些我暂且可以忍，但我本人联系方式从未更换，亲人朋友你们也都骚扰过了，今天又发短信到我们村的村委会的工作人员手机上，这些人与我毫无关系，夜根本都不认识我，我想问一下这是要做什么，适可而止，不然我也是会追究你们的法律责任的，这样随便把我的隐私透露给陌生人，严重损害我的个人名誉。</t>
  </si>
  <si>
    <t>中国建设银行客户表明就是老大</t>
  </si>
  <si>
    <t>http://ts.21cn.com/tousu/show/id/1364932</t>
  </si>
  <si>
    <t>2019/10/16 00:52:48</t>
  </si>
  <si>
    <t>中国建设银行客服工号28407，夜间打电话过去表明身份就是老大，服务态度很恶劣，25000本金，11个月利息就是5000多，1万的本金是1650，银行都是这么吓人的利息，我想问谁能还得起，有录音为证，难道现在的法律只针对老百姓吗。</t>
  </si>
  <si>
    <t>http://ts.21cn.com/tousu/show/id/1364935</t>
  </si>
  <si>
    <t>2019/10/16 00:52:21</t>
  </si>
  <si>
    <t>投诉人陈泰彬投诉对象拼多多涉诉金额13694元问题类型诉求类型投诉详情入驻拼多多才没几天就无法正常提现账户资金，原因不明客服也无法给予答复，并且未收到任何违规信息，也未曾收到官方的任何违规信息，望贵公司尽快处理此问题并且尽快回复。</t>
  </si>
  <si>
    <t>融e购购买门票商家虚假出票并拒绝退款，本人要求退款</t>
  </si>
  <si>
    <t>http://ts.21cn.com/tousu/show/id/1364930</t>
  </si>
  <si>
    <t>8月27日，本人在融e购商城购买了黄山2019月9月3日的门票，2019年9月2日，本人自驾至黄山景区，却发现在融e购上面购买的门票根本取不出票来，并且跟景区核实，我的身份证等信息在黄山景区根本没有订购过门票，但是商家在9月2日前就已经给我发了订购成功并出票的短信，2019年9月2日，本人进行了退款申请，本以为会顺利收到票款，却没曾想到，商家竟然拒绝了申请，并且理由是疑似黄牛套现，那就太可笑了，别说我是自己去用，就算我是黄牛买券，在没有侵害任何人的利益之下选择退款，那都是理所当然地应该退款，凭什么拒绝，为什</t>
  </si>
  <si>
    <t>http://ts.21cn.com/tousu/show/id/1364931</t>
  </si>
  <si>
    <t>2019/10/16 00:52:15</t>
  </si>
  <si>
    <t>投诉人 李秀云先生        投诉对象  友信        涉诉金额  50 000 元    问题类型    诉求类型投诉详情  借50000合同却写72000. 实际到账50000</t>
  </si>
  <si>
    <t>http://ts.21cn.com/tousu/show/id/1364920</t>
  </si>
  <si>
    <t>2019/10/16 00:51:05</t>
  </si>
  <si>
    <t>投诉人宾钦明投诉对象支付宝,商银信,农业银行涉诉金额100000元问题类型诉求类型投诉详情这就是支付宝给网络赌博平台提供充值便利，说是充值一百有百分之十的返利，充值成功后提现不了，要刷够流水才能提现，刷着刷着钱就没了。</t>
  </si>
  <si>
    <t>中汇支付刷卡没到账</t>
  </si>
  <si>
    <t>http://ts.21cn.com/tousu/show/id/1364927</t>
  </si>
  <si>
    <t>2019/10/16 00:46:02</t>
  </si>
  <si>
    <t>投诉人 王先生        投诉对象  中汇支付        涉诉金额  28 971 元    问题类型    诉求类型投诉详情  2019年10月14号 时间10：20分 刷了一笔 28971.5元 现在16号了都还没到账. 不知道怎么回事, 公司也没有公告</t>
  </si>
  <si>
    <t>合同欺诈，高利贷</t>
  </si>
  <si>
    <t>http://ts.21cn.com/tousu/show/id/1364916</t>
  </si>
  <si>
    <t>2019/10/16 00:45:39</t>
  </si>
  <si>
    <t>投诉人黄先生投诉对象读秒钱包,航班管家涉诉金额10000元问题类型诉求类型投诉详情本人于2019年3月1日在该贷款平台的推销下向航班管家平台，属于变相高利贷上海安趣盈科技有限公司，贷款10000元，分24等额本息还款，借款方承诺年利率为10.5%，本人也不知等额本息还款的年利率是怎样算法，已经按每月642.76元还了6期，最近通过行业人士告知我这个还款金额的年利率已经严重超出国家标准达到百分之四十多，按照借款合同我每月只需还款463.76，可是该平台每月多收179元写成服务费，属于变相高利贷，该平台已经严重</t>
  </si>
  <si>
    <t>拼多多账户资金无法提现</t>
  </si>
  <si>
    <t>http://ts.21cn.com/tousu/show/id/1364926</t>
  </si>
  <si>
    <t>2019/10/16 00:45:21</t>
  </si>
  <si>
    <t>本人在拼多多经营的好好的，无违规，无通知的情况下被拼多多平台给无缘无故冻结我账户资金，原因不明客服也无法给予答复，并且未收到任何违规信息，也未曾收到官方的任何违规信息，望贵公司尽快处理此问题并且尽快回复。</t>
  </si>
  <si>
    <t>拼多多无缘无故冻结我资金不让我提现，搞倾家荡产</t>
  </si>
  <si>
    <t>http://ts.21cn.com/tousu/show/id/1364925</t>
  </si>
  <si>
    <t>2019/10/16 00:44:42</t>
  </si>
  <si>
    <t>在拼多多经营的好好的，无违规，无通知的情况下被拼多多平台给无缘无故冻结我账户资金，导致本人这边资金链断缺，供货不上，无法继续经营下去，拼多多客服也是在一再托辞，好不容易把店铺开的有点起死，没想到会发生这种情况，一个店铺不值是店铺，它是我的全部家产，我日积月累的心血在里面。</t>
  </si>
  <si>
    <t>销帐</t>
  </si>
  <si>
    <t>http://ts.21cn.com/tousu/show/id/1364924</t>
  </si>
  <si>
    <t>2019/10/16 00:44:41</t>
  </si>
  <si>
    <t>砍头息，借12万到帐105600元.前期收取14400元.本人还了10个月每一期还10549.89元，分12期还的，我按到手的本金还的话，还够了吧。</t>
  </si>
  <si>
    <t>退咨询费</t>
  </si>
  <si>
    <t>http://ts.21cn.com/tousu/show/id/1364923</t>
  </si>
  <si>
    <t>2019/10/16 00:44:28</t>
  </si>
  <si>
    <t>借款15000到账12000，结清全部欠款不退还咨询费，希望有关部门监督让他们退还咨询费。</t>
  </si>
  <si>
    <t>西安智购网络科技有限公司给赌博平台提供充值平台</t>
  </si>
  <si>
    <t>http://ts.21cn.com/tousu/show/id/1364922</t>
  </si>
  <si>
    <t>2019/10/16 00:42:12</t>
  </si>
  <si>
    <t>之前在网上看到有消息说利用业务时间来做兼职就可以赚钱，结果慢慢投入了一点结果发现是骗人的，我是在西安智购上面支付的，他们就该为此事负责。</t>
  </si>
  <si>
    <t>兴业银行备用金虚假误导</t>
  </si>
  <si>
    <t>http://ts.21cn.com/tousu/show/id/1364921</t>
  </si>
  <si>
    <t>2019/10/16 00:41:39</t>
  </si>
  <si>
    <t>9月16日有消费，我10月15日还信用卡时，才发现自已的卡一下子欠了那么多钱，简直是骇人听闻！！！打了95561客服，客服说会跟进，怕事情耽搁影响我信用卡使用，还是请聚投诉帮忙解决了，希望尽快。</t>
  </si>
  <si>
    <t>拼多多无法提款，导致资金链短缺，商家破产</t>
  </si>
  <si>
    <t>http://ts.21cn.com/tousu/show/id/1364919</t>
  </si>
  <si>
    <t>2019/10/16 00:38:50</t>
  </si>
  <si>
    <t>入驻拼多多才没几天就无法正常提现账户资金，原因不明客服也无法给予答复，并且未收到任何违规信息，也未曾收到官方的任何违规信息，望贵公司尽快处理此问题并且尽快回复。</t>
  </si>
  <si>
    <t>拼多多货款提现网络繁忙，不让商家提现，搞人倾家荡产</t>
  </si>
  <si>
    <t>http://ts.21cn.com/tousu/show/id/1364917</t>
  </si>
  <si>
    <t>2019/10/16 00:37:36</t>
  </si>
  <si>
    <t>本人并没有违反或违反拼多多平台的规定的情况下出现这种问题，让我很是误解，因此导致我的货款不能及时补充，店铺不能正常经营，资金链短缺，等于我来说无非就是天已经塌了，我希望相关部门可以尽快处理。</t>
  </si>
  <si>
    <t>金牛借钱未经本人同意扣款</t>
  </si>
  <si>
    <t>http://ts.21cn.com/tousu/show/id/1364915</t>
  </si>
  <si>
    <t>2019/10/16 00:34:15</t>
  </si>
  <si>
    <t>金牛借钱,广州欧福科技有限公司,广州银联网络支付，该公司于2019年10月15日早上10:03突然从我银行卡里扣掉199元，并且是在本人毫不知情的情况下，利用金牛借钱app盗取本人信息，以及银行卡免密支付的盗刷金额，造成本人经济损失，希望贵公司尽快归还钱款，页面只显示可以进行贷款引导我绑定银行卡后自动扣除199元，我看了下，这vip并无丝毫的用处，这算不算是强买强卖。</t>
  </si>
  <si>
    <t>福贷砍头息</t>
  </si>
  <si>
    <t>http://ts.21cn.com/tousu/show/id/1364914</t>
  </si>
  <si>
    <t>2019/10/16 00:33:49</t>
  </si>
  <si>
    <t>本人于2019年10月15日申请了一笔30000元人民币12期的借款用于周转，福贷放款时秒扣3600元所谓的会员费，实际到账26000余元，请聚投诉帮我追回高额砍头息，每月正常按时还款。</t>
  </si>
  <si>
    <t>上海造艺百事普惠恶意扣款</t>
  </si>
  <si>
    <t>http://ts.21cn.com/tousu/show/id/1364913</t>
  </si>
  <si>
    <t>2019/10/16 00:33:36</t>
  </si>
  <si>
    <t>上海造艺的百事普惠，在未经本人允许并且本人没有输入付款密码的情况下分三次共扣除本人298.5元，并且不予退还，，行为令人发指！！本人并未在其平台购买任何服务，！！该平台分别于10月14日、10月15日在未经本人同意且未曾输入付款密码前提下，委托名为新生-海南普德龙网络科技有限公司在本人账户进行了三次扣款！此类实属骗钱行为，需被严查并退款，本人生活拮据，且处于破产边缘，还遭此无妄之灾，实在难平愤恨之心！望贵投诉平台协助追回扣款！追回血汗钱！。</t>
  </si>
  <si>
    <t>美团外卖吃了拉肚子投诉没门</t>
  </si>
  <si>
    <t>http://ts.21cn.com/tousu/show/id/1364911</t>
  </si>
  <si>
    <t>2019/10/16 00:30:12</t>
  </si>
  <si>
    <t>美团外卖食物吃了五个人出现拉肚子致电美团没能处理。</t>
  </si>
  <si>
    <t>卡里钱无缘无故被扣</t>
  </si>
  <si>
    <t>http://ts.21cn.com/tousu/show/id/1364910</t>
  </si>
  <si>
    <t>2019/10/16 00:29:17</t>
  </si>
  <si>
    <t>投诉人 张先生        投诉对象  天天有钱        涉诉金额  90 元    问题类型    诉求类型投诉详情  什么都没做，无缘无故发条短信来说钱被扣了。</t>
  </si>
  <si>
    <t>莫名其妙银行卡钱被扣走</t>
  </si>
  <si>
    <t>http://ts.21cn.com/tousu/show/id/1364898</t>
  </si>
  <si>
    <t>2019/10/16 00:28:26</t>
  </si>
  <si>
    <t>无缘无故卡里钱被这家新生海南圣云可网络科技有限公司扣了298.5元，希望可以严查。</t>
  </si>
  <si>
    <t>滴答顺风司机上车要加钱</t>
  </si>
  <si>
    <t>http://ts.21cn.com/tousu/show/id/1364907</t>
  </si>
  <si>
    <t>2019/10/16 00:26:04</t>
  </si>
  <si>
    <t>今晚11点打车要去即墨，跟我说11点10到，订车订的15，让我快点，我说行，到了给我晃电话，我下楼，然后给我打电话我没接，我下去了，然后车不在，系统显示司机接到乘客，前提是我先把钱付了已经，我没坐上车，司机走了，上车后要我给价钱，说打出租车也得100多的滴答才四十几，让我添钱买烟，我拒绝了，后来又提了两次我也拒绝了然后他就开始拼单，绕路，已经一个多小时了，拼车的人到地方了我先打车的我没有到地方。</t>
  </si>
  <si>
    <t>多次与招商银行多次协商分期还款无果，工作人员态度恶劣甚至辱骂，恐吓</t>
  </si>
  <si>
    <t>http://ts.21cn.com/tousu/show/id/1364905</t>
  </si>
  <si>
    <t>2019/10/16 00:24:40</t>
  </si>
  <si>
    <t>我老婆现怀身孕4个月，因我前期上当受骗陷入套路贷，导致家中所有积蓄全部掏空，甚至负债累累，现欠下招商银行信用卡63913元，信用卡中心多次催收，我们多次和信用卡中心协商处理分期还款，可工作人员态度恶劣，强势甚至辱骂，恐吓我妻子和我本人。</t>
  </si>
  <si>
    <t>淘集集商家</t>
  </si>
  <si>
    <t>http://ts.21cn.com/tousu/show/id/1364904</t>
  </si>
  <si>
    <t>2019/10/16 00:24:39</t>
  </si>
  <si>
    <t>投诉人 钱先生        投诉对象  淘集集        涉诉金额  153 元    问题类型    诉求类型投诉详情  客服联系不到 联系商家不理人 货已经签收了 就是不显示确认收货 不退款</t>
  </si>
  <si>
    <t>拼多多账号不给提款</t>
  </si>
  <si>
    <t>http://ts.21cn.com/tousu/show/id/1364906</t>
  </si>
  <si>
    <t>2019/10/16 00:24:38</t>
  </si>
  <si>
    <t>本人在拼多多经营的好好的，无违规，无通知的情况下被拼多多平台给无缘无故冻结我账户资金，做出此决定本人表示非常无奈，对拼多多也表示心灰意冷，为何不立刻告知此商铺为何违规，导致资金无法正常提现，无法运作资金，望贵公司尽快处理此问题。</t>
  </si>
  <si>
    <t>http://ts.21cn.com/tousu/show/id/1364903</t>
  </si>
  <si>
    <t>2019/10/16 00:22:20</t>
  </si>
  <si>
    <t>多次致电客服，客服声称合法合规，根据保监会201910月10日下发的文件，不能搭售保险，你这强行搭售保险哪里合法哪里合规，高额的服务费用压的人不能喘息。</t>
  </si>
  <si>
    <t>http://ts.21cn.com/tousu/show/id/1364901</t>
  </si>
  <si>
    <t>银盛支付pos机业务员办理时说半年刷够88万就退回开卡的289元，至今打客服电话说不退不返。</t>
  </si>
  <si>
    <t>阳光出行乱扣费</t>
  </si>
  <si>
    <t>http://ts.21cn.com/tousu/show/id/1364900</t>
  </si>
  <si>
    <t>2019/10/16 00:22:17</t>
  </si>
  <si>
    <t>申诉原因：九点五十五的订单，我九点半等到十一点多才接到人，我问客服了，他说可以收取超时等待费30分钟15元的标准，可以向乘客收现金，有聊天记录他们能看见，然后我跟客服说他们要开发票我开不了，客服给我一个电话让她们打在线开发票，我给乘客送达后她们只有12快五毛钱然后都给我了，我只收过这个超时等待费也跟客服说了，客服也让我向乘客收取现金，过东海大桥必须给现金，我就向乘客问了一下有没有现金我给她们发红包换一下，她们说没有，然后我向后面司机换的10号根本没有给我打电话申诉客服说给我打了电话，我在移动中心查了通话记录</t>
  </si>
  <si>
    <t>奇秀账号余额不给提现</t>
  </si>
  <si>
    <t>http://ts.21cn.com/tousu/show/id/1364899</t>
  </si>
  <si>
    <t>2019/10/16 00:21:44</t>
  </si>
  <si>
    <t>奇秀拉新奖励，开始提现1元给提现，后来钱多了就系统繁忙，打电话客服说违规不予提现，问他哪违规了，客服说就知道你违规了，具体哪违规不知道，爱奇艺这么大公司骗这点小钱不给，打电话没有用，就一句话，你违规了不给提现。</t>
  </si>
  <si>
    <t>上海造艺网络技术有限公司乱扣费</t>
  </si>
  <si>
    <t>http://ts.21cn.com/tousu/show/id/1364897</t>
  </si>
  <si>
    <t>2019/10/16 00:20:25</t>
  </si>
  <si>
    <t>打开看查征信，说绑定银行卡，结果一绑直接扣钱，太恶心了。</t>
  </si>
  <si>
    <t>淘手游客服迟迟不接单和卖家协商退款</t>
  </si>
  <si>
    <t>http://ts.21cn.com/tousu/show/id/1364894</t>
  </si>
  <si>
    <t>2019/10/16 00:19:15</t>
  </si>
  <si>
    <t>在淘手游上买帐号一直没有客服界面上也没有退款。</t>
  </si>
  <si>
    <t>贷款1分未收到，360借条竟然通知分期还款。</t>
  </si>
  <si>
    <t>http://ts.21cn.com/tousu/show/id/1364893</t>
  </si>
  <si>
    <t>2019/10/16 00:19:05</t>
  </si>
  <si>
    <t>10月15日，我在360借条注册申请50000元贷款，审核通过后，页面上要求贷款人签名，当时根本看不到隐藏的内容，直到客服提示才发现是一个霸道借款合同，放款人甲方为上海淇毓信息科技有限公司，合同规定贷款人乙方必须缴纳贷款额度5%的工本费才可获取提现密码，如取消合同必须赔付甲方30%违约金等等，鉴于该平台放款方式与常规网贷有别，我未支付所谓的工本费，为维护合法权益，在此特向聚投诉官网投诉，请360借条上海淇毓信息科技有限公司尽快撤销这份不合理不合法的“借款合同”，并注销我在其平台注册的所有个人资料信息，谢谢。</t>
  </si>
  <si>
    <t>http://ts.21cn.com/tousu/show/id/1364892</t>
  </si>
  <si>
    <t>2019/10/16 00:18:46</t>
  </si>
  <si>
    <t>http://ts.21cn.com/tousu/show/id/1364891</t>
  </si>
  <si>
    <t>2019/10/16 00:17:36</t>
  </si>
  <si>
    <t>合同上写的8万5，实际到账6万，每月还2800，已还27期，现在他们自己app出现问题，每天骚扰我，态度恶劣。</t>
  </si>
  <si>
    <t>水莲金条高利贷</t>
  </si>
  <si>
    <t>http://ts.21cn.com/tousu/show/id/1364890</t>
  </si>
  <si>
    <t>2019/10/16 00:17:14</t>
  </si>
  <si>
    <t>在去哪借平台申请的水莲金条，申请金额5000元借款6个月需要总还款900，因为觉得利息太高，借了没到一个星期就提前结清了，他们平台也不减免利息，提前还款后面的期限都没到期为什么不可以帮我减免。</t>
  </si>
  <si>
    <t>我想退还捷信的高额利息</t>
  </si>
  <si>
    <t>http://ts.21cn.com/tousu/show/id/1364889</t>
  </si>
  <si>
    <t>2019/10/16 00:16:30</t>
  </si>
  <si>
    <t>我之前在捷信公司办了一个现金贷，业务员并没有告诉我可以提前还款，8月底我得知可以提前还款，然后我找捷信公司处理事情，她们说处理不了，今天打也说处理不了，我说他们是高利贷，她们说不是，还骚扰我家里人和朋友！！电话不停，还没到还款日就开始打电话！。</t>
  </si>
  <si>
    <t>未经本人同意乱扣服务费198元，用不了他们的服务</t>
  </si>
  <si>
    <t>http://ts.21cn.com/tousu/show/id/1364888</t>
  </si>
  <si>
    <t>2019/10/16 00:15:34</t>
  </si>
  <si>
    <t>用不了他们提供的服务，未经本人同意直接在本人银行卡扣费198元。</t>
  </si>
  <si>
    <t>拼多多冻结资金</t>
  </si>
  <si>
    <t>http://ts.21cn.com/tousu/show/id/1364887</t>
  </si>
  <si>
    <t>2019/10/16 00:14:42</t>
  </si>
  <si>
    <t>拼多多无缘无故冻结资金，限制提现，这么坑我们老百姓钱干嘛啊。</t>
  </si>
  <si>
    <t>http://ts.21cn.com/tousu/show/id/1364886</t>
  </si>
  <si>
    <t>2019/10/16 00:14:08</t>
  </si>
  <si>
    <t>友信普惠变相高利贷，就想搞清楚每个月都跟着还的服务费是什么意思。</t>
  </si>
  <si>
    <t>你我贷还款充值余额显示为0</t>
  </si>
  <si>
    <t>http://ts.21cn.com/tousu/show/id/1364884</t>
  </si>
  <si>
    <t>2019/10/16 00:11:51</t>
  </si>
  <si>
    <t>本人于10月15号23点45分充值2144.60元到你我贷。</t>
  </si>
  <si>
    <t>支付宝中的租赁商户欺诈消费者</t>
  </si>
  <si>
    <t>http://ts.21cn.com/tousu/show/id/1364874</t>
  </si>
  <si>
    <t>2019/10/16 00:10:56</t>
  </si>
  <si>
    <t>投诉人杨先生投诉对象金多多涉诉金额202元问题类型诉求类型投诉详情支付宝中租赁商户金多多的金制品才5克要3000元，但是实际价值才一千多一点，而且标识5克实际才4.6克，我认为这是严重的商业欺诈，我要求退还商户商品，商户退还我202元的前期费用。</t>
  </si>
  <si>
    <t>拼多多资金无法提款</t>
  </si>
  <si>
    <t>http://ts.21cn.com/tousu/show/id/1364883</t>
  </si>
  <si>
    <t>2019/10/16 00:10:53</t>
  </si>
  <si>
    <t>本人在拼多多经营了一段时间，可是昨日准备提款补进商品货物的时候，拼多多平台一直都是显示网络繁忙，导致本人这边资金链断缺，供货不上，无法继续经营下去，拼多多客服也是在一再托辞，好不容易把店铺开的有点起死，没想到会发生这种情况，一个店铺不值是店铺，它是我的全部家产，我日积月累的心血在里面。</t>
  </si>
  <si>
    <t>网贷平台乱收取费用</t>
  </si>
  <si>
    <t>http://ts.21cn.com/tousu/show/id/1364881</t>
  </si>
  <si>
    <t>2019/10/16 00:08:52</t>
  </si>
  <si>
    <t>我于2109年10月15日在快鱼分期平台借款2100元，借款刚打到我银行账户就被扣款445元。</t>
  </si>
  <si>
    <t>利息高过本金的平台</t>
  </si>
  <si>
    <t>http://ts.21cn.com/tousu/show/id/1364882</t>
  </si>
  <si>
    <t>2019/10/16 00:08:41</t>
  </si>
  <si>
    <t>投诉人 杨先生        投诉对象  掌众金服        涉诉金额  1 800 元    问题类型    诉求类型投诉详情  利息高得连我都不敢看。希望有关部门能够重视这些高利贷的问题</t>
  </si>
  <si>
    <t>微信支付无故限制不能用</t>
  </si>
  <si>
    <t>http://ts.21cn.com/tousu/show/id/1364880</t>
  </si>
  <si>
    <t>2019/10/16 00:07:52</t>
  </si>
  <si>
    <t>朋友给我转款我不知道我怎么就存在异常了，很无语，从2014年就开始用微信我不知道我怎么违法了，请尽快处理给出答复。</t>
  </si>
  <si>
    <t>http://ts.21cn.com/tousu/show/id/1364879</t>
  </si>
  <si>
    <t>2019/10/16 00:06:48</t>
  </si>
  <si>
    <t>前几天通过广告下载了人人花APP填写了资料然后绑定银行卡告知只扣除0.1员。</t>
  </si>
  <si>
    <t>无故扣我钱</t>
  </si>
  <si>
    <t>http://ts.21cn.com/tousu/show/id/1364878</t>
  </si>
  <si>
    <t>2019/10/16 00:05:39</t>
  </si>
  <si>
    <t>投诉人 汪忆        投诉对象  你我花        涉诉金额  288 元    问题类型    诉求类型投诉详情  我没有借款合同刚刚无故扣我卡里的钱 说是秒查征信报告</t>
  </si>
  <si>
    <t>友信普惠变相高利贷</t>
  </si>
  <si>
    <t>http://ts.21cn.com/tousu/show/id/1364876</t>
  </si>
  <si>
    <t>2019/10/16 00:04:04</t>
  </si>
  <si>
    <t>2017年在友信贷了两万块实际扣了800服务费到账19200，分36期还每个月还972，合同上的利率是2.0800%.已经还了23期，还要还12636，算下来要还34992，每个月有330的服务费跟着还，这就是变相高利贷，希望按照合法利率还。</t>
  </si>
  <si>
    <t>网贷逾期，电话短信轰炸</t>
  </si>
  <si>
    <t>http://ts.21cn.com/tousu/show/id/1364877</t>
  </si>
  <si>
    <t>2019/10/16 00:03:56</t>
  </si>
  <si>
    <t>电话骚扰，短信轰炸，半夜12点打电话，严重影响正常生活。</t>
  </si>
  <si>
    <t>湖北农商银行信用卡超高罚息</t>
  </si>
  <si>
    <t>http://ts.21cn.com/tousu/show/id/1364865</t>
  </si>
  <si>
    <t>2019/10/16 00:01:47</t>
  </si>
  <si>
    <t>投诉人程先生投诉对象农商银行涉诉金额38845元问题类型诉求类型投诉详情本人2017年办理了湖北农村信用社信用卡，卡号为:6258898991279129，卡初始额度为2万元，期间本人申请了5000临时额度，后来因资金周转问题导致无力全额还款，与银行工作人员协商分期被拒绝导致逾期，2017年中本人还入临时额度5000元，本金为两千，在2019年1月7日本人偿还信用卡欠款38845.84元，信用卡欠款本金仅为2万元，湖北农信在一年半中收取本人罚息、滞纳金、违约金总计18845.84元，请问是什么违约金在1年半</t>
  </si>
  <si>
    <t>小清新借款平台无法还款，APP也进入不了</t>
  </si>
  <si>
    <t>http://ts.21cn.com/tousu/show/id/1364873</t>
  </si>
  <si>
    <t>2019/10/16 00:01:35</t>
  </si>
  <si>
    <t>8月在小清新借款平台借款2500，目前APP无法进入，也没有客服联系上我，还款无门。</t>
  </si>
  <si>
    <t>华夏银行暴力催收</t>
  </si>
  <si>
    <t>http://ts.21cn.com/tousu/show/id/1364872</t>
  </si>
  <si>
    <t>2019/10/16 00:00:39</t>
  </si>
  <si>
    <t>语言恐吓，骚扰电话一个小时打了几十个176******71。</t>
  </si>
  <si>
    <t>http://ts.21cn.com/tousu/show/id/1364871</t>
  </si>
  <si>
    <t>2019/10/16 00:00:37</t>
  </si>
  <si>
    <t>投诉人 刀先生        投诉对象  好易借        涉诉金额  5 000 元    问题类型    诉求类型投诉详情  高息 罚息每日总借款金额的1%即50元 不得协商不得减免 5000分期一年本息6800 但前3个月已还六千多 剩下9个月每月50多 逾期会恐吓 辱骂 爆通讯录</t>
  </si>
  <si>
    <t>达飞云贷高利贷，利息超本金，提额调贷增加债务人债务</t>
  </si>
  <si>
    <t>http://ts.21cn.com/tousu/show/id/1364870</t>
  </si>
  <si>
    <t>2019/10/16 00:00:07</t>
  </si>
  <si>
    <t>1.诉求：达飞云贷涉及高利贷，套路贷等不合法行为，利息远远超过国家法定范围，望有关部门予以调查监管，2.事实：在达飞云贷APP借款17000元，实际到账16600多元，支付总利息已超过本金，平台拒绝协商归还借款本金，提额调贷，强制收取保证金，虚高债务。</t>
  </si>
  <si>
    <t>上海拍拍贷暴力催收恐吓</t>
  </si>
  <si>
    <t>http://ts.21cn.com/tousu/show/id/1364869</t>
  </si>
  <si>
    <t>2019/10/15 23:59:38</t>
  </si>
  <si>
    <t>因本人创业失败，欠了上海拍拍贷公司3000多元暂时无力偿还，本人绝无赖账之意正在努力筹钱还债，对方拒绝协商并以短信形式恐吓侮辱本人并骚扰本人及本人的亲人和朋友。</t>
  </si>
  <si>
    <t>淘宝购买美版新机，实际给发的是翻新机。</t>
  </si>
  <si>
    <t>http://ts.21cn.com/tousu/show/id/1364860</t>
  </si>
  <si>
    <t>2019/10/15 23:59:28</t>
  </si>
  <si>
    <t>7月28日，手机从手机架上轻轻滑落就黑屏幕了，商家刚开始就各种推脱不给售后，最后协商后给换了屏幕，手机换屏收到后，使用时就发烫，随便打开视频10多分种就开始发烫，10月8日那天，突然黑屏，我就拿去官方售后那边要求换原装屏幕，当天人多，没有排到队，我就在14号再次拿过去换，售后人员检查说，CPU坏了，问我在哪里买的翻新机，因为不是原装机，不受理，我当时就懵了，我在淘宝买的是新机，怎么商家帮我换了一次屏幕后就变成翻新机了呢，售后人员解释说，原厂电池不会有盖章，让我找商家处理，商家给的解释是不可以拆开，拆了就不保</t>
  </si>
  <si>
    <t>程咬金借款砍头息续费高</t>
  </si>
  <si>
    <t>http://ts.21cn.com/tousu/show/id/1364868</t>
  </si>
  <si>
    <t>2019/10/15 23:59:19</t>
  </si>
  <si>
    <t>投诉人 刘女士        投诉对象  程咬金借款        涉诉金额  3 000 元    问题类型    诉求类型投诉详情  程咬金借款至此7月份借款1800元 砍头息500多 因还款压力太大 每个月续期 续期费用超过了本金以及国家规定 今日想还款 续期 一直还不上 导致逾期 无任何工作人员联系 请立刻关闭 偿还我多余的续期费用 否则继续投诉</t>
  </si>
  <si>
    <t>拼多多账户资金无法提现，原因不明，联系客服也无法解决。</t>
  </si>
  <si>
    <t>http://ts.21cn.com/tousu/show/id/1364867</t>
  </si>
  <si>
    <t>2019/10/15 23:59:09</t>
  </si>
  <si>
    <t>我是拼多多商家，拼多多商家店铺的金额无缘无故被拼多多单方冻结商家资金，导致无法提现，，不予处理，未收到任何违规信息，擅自冻结账户资金。</t>
  </si>
  <si>
    <t>滴滴滴司机随性取消订单，态度恶劣不顾消费者感受，滴滴客服极其维护</t>
  </si>
  <si>
    <t>http://ts.21cn.com/tousu/show/id/1364864</t>
  </si>
  <si>
    <t>2019/10/15 23:59:05</t>
  </si>
  <si>
    <t>10月14号早上8点左右，因上班时间太赶，在滴滴上叫了一辆车确保上班不迟到，然后司机接单差不多需要十分钟到达，司机可能还未到达目的地就打电话说已经到了，要求我立刻上车，我告诉他一分钟就可以上车，司机称不等，要求我重新叫车就快速挂电话，然后我连续打三四通电话，司机接通称已经走了，然后拨打客服投诉其司机违规行为，客服极其维护其司机，说我没接电话，希望贵平台能够帮我维权，作为一名消费者，对滴滴打车平台这种乱象行为非常不满，因此事导致上班迟到，全勤奖500元被扣除，。</t>
  </si>
  <si>
    <t>玖富万卡擅自改写合同，变相收费，套路贷，砍头息，阴阳合同</t>
  </si>
  <si>
    <t>http://ts.21cn.com/tousu/show/id/1364866</t>
  </si>
  <si>
    <t>2019/10/15 23:58:02</t>
  </si>
  <si>
    <t>投诉人阎琳琳投诉对象玖富涉诉金额20200元问题类型诉求类型投诉详情玖富万卡砍头息，高利贷，阴阳合同，借款20200，需要还款近4万块钱！我从去年5月份借款，6月份开始还款，已经还了16期，还了2万3千多，还需要再还1万多，这到底是多高的利息！我去过其它投诉平台投诉却没有给我一个解释，只是回复说我的账单年综合息费没有超过36%，纯属胡说八道！如果不给我合理的解释我将拒绝还款并保留起诉的权利！。</t>
  </si>
  <si>
    <t>立借平台暴力催收，爆通信录，高利息，违法放贷</t>
  </si>
  <si>
    <t>http://ts.21cn.com/tousu/show/id/1364853</t>
  </si>
  <si>
    <t>2019/10/15 23:42:34</t>
  </si>
  <si>
    <t>借款6500，到账6500，账期3个月，需要还款9035，严重超过国家合法要求，年利率不得超过24%，已经属于高利贷范畴，希望国家监管部门出来管理一下金融市场，逾期与其协商还款，还不于支持，就拿一期来说，本金2166.45+利息195.04+其他649.92，这个其他费用从何而来，有相关备注吗写还是那个还款，第三方女催收员很牛，牛哄哄的，爆家人通信录，爆家人通信录手机号码：180******67希望监管部门好好管理金融大市场，不要给这种寄生虫生存空间，危害社会。</t>
  </si>
  <si>
    <t>在桂林两江机场办理了悦程出行的卡结果只能抵扣机建费！</t>
  </si>
  <si>
    <t>http://ts.21cn.com/tousu/show/id/1364842</t>
  </si>
  <si>
    <t>2019/10/15 23:35:57</t>
  </si>
  <si>
    <t>2019年10月10号下午在桂林市两江国际机场有身着空姐服装样式的销售人员推荐我办卡，销售告诉我说充值1998元赠送1002元，这样卡里就有3000元，期间我还多次询问销售人员这些钱是否可以用于购买机票，她给我的答复是可以，还说可以享受贵宾休息室服务，机票费也比其它平台低不少，反正说的天花乱坠，刚开始我觉得不太靠谱想离开，但销售人员手里拿着我的机票一直不停的给我推荐，说什么今天办理今天就能享受贵宾服务，我看他们穿的工作制服而且又是在机场柜台上就信以为真,那时候我说银行卡钱不够，她说先帮我交1998元入了会员</t>
  </si>
  <si>
    <t>敏付科技包庇旗下商户为非法平台提供支付通道要求退款</t>
  </si>
  <si>
    <t>http://ts.21cn.com/tousu/show/id/1364834</t>
  </si>
  <si>
    <t>2019/10/15 23:31:07</t>
  </si>
  <si>
    <t>被人引诱到一个网站充值入金，后来发现是不受法律保护的非法网络赌博黑平台，并非正规的购彩网站，经过银行咨询得知收款方是敏付科技，现请求联系贵司合作的商户给予退款！！！谢谢！！！！！订单号已经发送过给有关部门，还请聚投诉工作人员及时像敏付科技反馈！之前联系了一次要求退款但商户态度强硬不给理会，该提交的资料已都提交三方了，现发起联名投诉。</t>
  </si>
  <si>
    <t>平安普惠暴力催收，电话轰炸。</t>
  </si>
  <si>
    <t>http://ts.21cn.com/tousu/show/id/1364831</t>
  </si>
  <si>
    <t>2019/10/15 23:28:25</t>
  </si>
  <si>
    <t>我非借贷人，是借款人紧急联系人每天遭受平安普惠各种骚扰，不分时间段，严重影响我的工作和生活。</t>
  </si>
  <si>
    <t>拼多多货款提现网络繁忙，无缘无故冻结商家资金不让提现，拼多多无缘无故冻结我资金不让我提现</t>
  </si>
  <si>
    <t>http://ts.21cn.com/tousu/show/id/1364820</t>
  </si>
  <si>
    <t>2019/10/15 23:16:04</t>
  </si>
  <si>
    <t>我是拼多多商家，拼多多商家店铺的金额无缘无故被拼多多单方冻结商家资金，导致无法提现，，不予处理，不知什么原因也没收到任何信息账户资金就无法提现。</t>
  </si>
  <si>
    <t>云闪付给非法赌资提供交易平台</t>
  </si>
  <si>
    <t>http://ts.21cn.com/tousu/show/id/1364372</t>
  </si>
  <si>
    <t>2019/10/15 23:11:22</t>
  </si>
  <si>
    <t>本人在9年年初被人忽悠进入非法赌博软件，云闪付和中国银联是国家单位，没想到竟然为这种赌博软件提供转账平台，我看到中国银联标志，以为是正规的购彩平台，才通过云闪付进行充值损失26w余元，和支付清算协会沟通得知第三方支付业务应审核客户的相关信息，第三方支付业务公司不得向证券，期货，博彩等机构提供支付结算业务，后来发现该平台根本不是正规平台，欺骗我多年的血汗钱，家破人亡，惨不忍睹，今天我知道我国有一个为人民服务的聚投诉，希望聚投诉能帮帮我这个可怜人，帮我拿回这笔血汗钱本人于通过云闪付支付充值，本以为通过中国银联正</t>
  </si>
  <si>
    <t>维信金科不同意协商</t>
  </si>
  <si>
    <t>http://ts.21cn.com/tousu/show/id/1364798</t>
  </si>
  <si>
    <t>2019/10/15 23:05:43</t>
  </si>
  <si>
    <t>找客服协商沟通，客服态度恶劣，言语过激，要求平台改善。</t>
  </si>
  <si>
    <t>永恒优享非法砍头息退还</t>
  </si>
  <si>
    <t>http://ts.21cn.com/tousu/show/id/1364787</t>
  </si>
  <si>
    <t>2019/10/15 23:01:19</t>
  </si>
  <si>
    <t>非法砍头息高利贷平台永恒优享依然在微信公众号提供非法借贷，并通过支付宝渠道非法收放款，本人之前因迫于无奈支付了3000多元非法砍头息，现要求退还一半1700元左右的非法砍头息高利贷部分。</t>
  </si>
  <si>
    <t>账户资金无法提现，联系客服无法解决，收不到任何违规信息擅自冻结账户资金</t>
  </si>
  <si>
    <t>http://ts.21cn.com/tousu/show/id/1364776</t>
  </si>
  <si>
    <t>2019/10/15 22:57:34</t>
  </si>
  <si>
    <t>入驻拼多多才没几天，就无法提现账户资金，无法提现的原因也插不出来，联系客服也无法解决，望贵公司尽快回复此问题，退回账户资金。</t>
  </si>
  <si>
    <t>招商银行不肯协商，恐吓家属要让我坐牢</t>
  </si>
  <si>
    <t>http://ts.21cn.com/tousu/show/id/1364766</t>
  </si>
  <si>
    <t>2019/10/15 22:54:44</t>
  </si>
  <si>
    <t>招商银行信用卡中心自8月份以来其实一直跟我有来有往的沟通，可是因为最近一周我在工作上出了一些问题，我怕接不到银行的电话，于是把手机托付给我留在银行的联系人，也就是我表姐手上，今天早上，在未接到银行来电的情况下，我本人的号码及我留下的三位联系人同时收到来自招商银行的催款短信，但我父亲收到的略有不同，这一年来因为父亲的事情全家已经为此承担了很多债务和压力，如今你们这样对待一个老人，区别对待，我可以用我所有的承受力来扛住这最后一颗压死我的稻草，你们要是还不肯与我面对面的沟通，仍然要强硬的得理不饶人，把人往绝境上逼</t>
  </si>
  <si>
    <t>http://ts.21cn.com/tousu/show/id/1364765</t>
  </si>
  <si>
    <t>2019/10/15 22:54:40</t>
  </si>
  <si>
    <t>拍拍贷严重侵犯了我的个人隐私权，不经我同意爆我通讯录，今天还发了一条威胁恐吓短信，完全把法律不看在眼里，我要求此平台给我道歉并赔偿我的精神损失费。</t>
  </si>
  <si>
    <t>易宝支付无缘无故扣款</t>
  </si>
  <si>
    <t>http://ts.21cn.com/tousu/show/id/1364756</t>
  </si>
  <si>
    <t>2019/10/15 22:48:36</t>
  </si>
  <si>
    <t>中国农业银行您尾号4073账户10月15日22:37向。</t>
  </si>
  <si>
    <t>时光分期暴力催收，发恶意短信，骚扰</t>
  </si>
  <si>
    <t>http://ts.21cn.com/tousu/show/id/1364754</t>
  </si>
  <si>
    <t>2019/10/15 22:48:10</t>
  </si>
  <si>
    <t>因为本期周转困难，和客服协商还款协商不下，威胁恐吓通讯录，并且发恶意信息，联系周边朋友破坏名誉。</t>
  </si>
  <si>
    <t>http://ts.21cn.com/tousu/show/id/1364753</t>
  </si>
  <si>
    <t>2019/10/15 22:47:53</t>
  </si>
  <si>
    <t>然后第二天想上app查看结果的时候app登陆不了软件被封了，谁知道10月12号星期五的时候贷款打进了我银行卡，到账4000、借半年、993/月、总计要还：5958。</t>
  </si>
  <si>
    <t>还款金额跟销售说的还有合同对不上</t>
  </si>
  <si>
    <t>http://ts.21cn.com/tousu/show/id/1364732</t>
  </si>
  <si>
    <t>2019/10/15 22:45:35</t>
  </si>
  <si>
    <t>车辆购车款65000元，首付19500元，我欲以贷款方式还剩余车款，车行老板帮我联系了美利车金融销售业务员说可以给我办理贷款，帮我在浦发银行贷款，后在2018年4月2日我和美利业务员就在济南泺口二手车市场美利车金融办公室签订《借款服务合同》，约定借款本金45500元，另外又收取我手续2500元，保险费2569元，美利车公司给我的合同上面含有服务费借款金额9420元，还有GPS费2280元，GPS费可以理解，但是服务费我不能理解了，我问销售，销售说这个不用管，你每个月还1807.25一年后还车辆本金30333</t>
  </si>
  <si>
    <t>中通快递丢件，不赔偿就算了还没态度</t>
  </si>
  <si>
    <t>http://ts.21cn.com/tousu/show/id/1364743</t>
  </si>
  <si>
    <t>2019/10/15 22:44:31</t>
  </si>
  <si>
    <t>物流信息长时间没更新，快递丢件无任何工作人员主动联系我，再次强调拒绝让我们乡镇上的揽件员来找我处理，现在距离我发现丢件已经过去18天我的问题没得到任何的处理，如果你们觉得只有去中国邮政投诉才有用那我就去投诉。</t>
  </si>
  <si>
    <t>易宝支付盗刷资金</t>
  </si>
  <si>
    <t>http://ts.21cn.com/tousu/show/id/1364710</t>
  </si>
  <si>
    <t>2019/10/15 22:29:13</t>
  </si>
  <si>
    <t>本人的银行卡在我身上的情况下被易宝支付莫名连续刷了300的33比笔！期间客服电话一直打不通！。</t>
  </si>
  <si>
    <t>网贷逾期遭暴力催收</t>
  </si>
  <si>
    <t>http://ts.21cn.com/tousu/show/id/1364688</t>
  </si>
  <si>
    <t>2019/10/15 22:19:22</t>
  </si>
  <si>
    <t>因经济周转不济从苏宁消费金融借款，分期以后逾期21天未还、导致催收人员自逾期起以网络电话不定时拨打电话、威胁恐吓、并扬言要曝光我的借款合同登记信息以及骚扰本人通讯录、要求苏宁消费金融公司出面解释催收人员管理制度，及道歉。</t>
  </si>
  <si>
    <t>58同城网络兼职交押金，不予退还</t>
  </si>
  <si>
    <t>http://ts.21cn.com/tousu/show/id/1364677</t>
  </si>
  <si>
    <t>2019/10/15 22:15:14</t>
  </si>
  <si>
    <t>本人今日在58同城上找兼职工作，介绍人让我加qq客服，加了之后要我注册yy，之后给我们培训，然后要缴纳押金，刚开始金额不多，只有230，之后又要交，我意识是场骗局，然后要他退款，他说退款又要多次缴纳费用，一直累积到1930，说00，点之后予以退款，但之后一直联系不到客服，先是58同城，然后是qq，之后是YY，已有多人受骗，我希望能有人处理此事，将我们的钱追回，严格加强网络骗局的管理，防止更多的人受骗！！！。</t>
  </si>
  <si>
    <t>360借条霸王条款，态度恶劣，利息远远高于高利贷</t>
  </si>
  <si>
    <t>http://ts.21cn.com/tousu/show/id/1364668</t>
  </si>
  <si>
    <t>2019/10/15 22:11:47</t>
  </si>
  <si>
    <t>借款3200多元，逾期6天产生180元利息，并每天电话短信骚扰。</t>
  </si>
  <si>
    <t>达内虚假承诺</t>
  </si>
  <si>
    <t>http://ts.21cn.com/tousu/show/id/1364655</t>
  </si>
  <si>
    <t>2019/10/15 22:04:46</t>
  </si>
  <si>
    <t>本人高中毕业,本来决定打算转it行业,前去达内咨询,然后和对方销售沟通,对方销售说包就业,而不是推荐就业,在销售的诱导下交了800元定金,贷款了两万,而且利息就达到了六千,并且钱没到本人账户上,直接是达内和百度有钱花方面的合作.期间他们有企业来挑人,但是要求大专毕业,原来和销售沟通,我给销售沟通说过我高中毕业,销售说现在高中没事,初中的也有;本人是jsd1902班的,面临毕业了,班级都急着准备面试,整理简历,达内教我们包装简历,随着现在发展,各个企业用人要求更加严格,对于学历这方法查的很严,而且教的达不到公</t>
  </si>
  <si>
    <t>无协议情况下未经本人同意从我银行卡扣款</t>
  </si>
  <si>
    <t>http://ts.21cn.com/tousu/show/id/1364646</t>
  </si>
  <si>
    <t>2019/10/15 22:03:35</t>
  </si>
  <si>
    <t>付宝代360“强制扣款”，却反馈为本人“主动还款”。</t>
  </si>
  <si>
    <t>http://ts.21cn.com/tousu/show/id/1364613</t>
  </si>
  <si>
    <t>2019/10/15 21:59:23</t>
  </si>
  <si>
    <t>本人在网上被人诱骗以做兼职，赚流水等理由被人拉进兼职群，以购买彩票方式赚取佣金，后来才知道是非法赌博平台，和支付清算协会沟通得知第三方支付业务应审核客户的相关信息，第三方支付公司不得向证券、期货、博彩等机构提供支付结算业务，通过中国人民银行，中国银联，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瀚银平台为这些非法赌博平台提供结算</t>
  </si>
  <si>
    <t>维信金科平台高额逾期费用，非法平台</t>
  </si>
  <si>
    <t>http://ts.21cn.com/tousu/show/id/1364644</t>
  </si>
  <si>
    <t>2019/10/15 21:58:17</t>
  </si>
  <si>
    <t>因为一些事故，资金断裂，还不起利息了，平台收取高于国家规定的逾期费用，并且不合理还款日制定。</t>
  </si>
  <si>
    <t>微粒贷催收短信骚扰亲朋好友</t>
  </si>
  <si>
    <t>http://ts.21cn.com/tousu/show/id/1364643</t>
  </si>
  <si>
    <t>2019/10/15 21:57:54</t>
  </si>
  <si>
    <t>微粒贷暴力催收，微粒贷催收不知从哪获取到本人的通讯录，并给我的亲朋好友发送骚扰信息，信息中提到的电话打过去提示已经停机，这种恶劣做法严重影响本人跟本人的亲朋好友的正常生活，希望聚投诉帮忙介入，让微粒贷立即停止非法暴力催收。</t>
  </si>
  <si>
    <t>拍拍贷对通讯录里的好友轰炸发短信威胁恐吓</t>
  </si>
  <si>
    <t>http://ts.21cn.com/tousu/show/id/1364634</t>
  </si>
  <si>
    <t>2019/10/15 21:53:19</t>
  </si>
  <si>
    <t>欠了1000多就搞的好像我欠你们几百万一样?，家里的亲属给你们搞的还以为我在外面杀人放火抢劫。</t>
  </si>
  <si>
    <t>来分期拒绝用户提前还款，影响用户房贷申请</t>
  </si>
  <si>
    <t>http://ts.21cn.com/tousu/show/id/1364633</t>
  </si>
  <si>
    <t>2019/10/15 21:53:02</t>
  </si>
  <si>
    <t>投诉人朱飞翔投诉对象来分期涉诉金额7070元问题类型诉求类型投诉详情在来分期申请的借款订单是定期账单，因为房贷申请提前还款，联系客服总是等待等套话，承诺给对公账号，约定日期又不联系，打过去电话总是客服给“”留言，稍后有专员联系”接着不理睬人，客服总是说没权限，没联系方式，不知道公司地址，从最初申请到现在已经一个多月了，还是在反馈中，严重影响了用户的房贷申请，希望通过投诉平台合理解决。</t>
  </si>
  <si>
    <t>及贷非法暴力催收</t>
  </si>
  <si>
    <t>http://ts.21cn.com/tousu/show/id/1364622</t>
  </si>
  <si>
    <t>2019/10/15 21:47:18</t>
  </si>
  <si>
    <t>暴力催收电话短信骚扰好友加微信骚扰！给我造成名誉损失发短信辱骂我。</t>
  </si>
  <si>
    <t>小象优品骚扰通讯录，私自拷贝借款人通讯录</t>
  </si>
  <si>
    <t>http://ts.21cn.com/tousu/show/id/1364618</t>
  </si>
  <si>
    <t>2019/10/15 21:46:04</t>
  </si>
  <si>
    <t>借款6000，分十二期，每期还款680元，这次是第六期，因为个人原因，没有还款，电话没在身边，，从昨天开始就爆了通讯录，小象优品是打的我的通讯录，不是联系的紧急联系人，你们有权利吗，我电话联系不上，紧急联系人你联系啊，把我通讯录全联系了，我前边都还了，这次没还上，一期也就680，爆了通讯录，严重影响了我的生活，工作，刚刚接到一个电话，020开头的，自称小象优品的，问我是不是不打算还了，我说你昨天联系了几个人，她说你就说还不还，我说我还了怎么样，不还怎么样，她挂了电话后又开始爆通讯录，我想说，我有有说不还吗，</t>
  </si>
  <si>
    <t>维信金科平台乱收取金融服务费</t>
  </si>
  <si>
    <t>http://ts.21cn.com/tousu/show/id/1364611</t>
  </si>
  <si>
    <t>2019/10/15 21:42:33</t>
  </si>
  <si>
    <t>维信金科胡乱收费找客服回复态度比较恶劣，问题一直不解决天天打电话骚扰，请求退回费用。</t>
  </si>
  <si>
    <t>苏宁易购冻结我的任性付，有额度，购买商品无法使用任性付支付</t>
  </si>
  <si>
    <t>http://ts.21cn.com/tousu/show/id/1364600</t>
  </si>
  <si>
    <t>2019/10/15 21:37:43</t>
  </si>
  <si>
    <t>苏宁易购无故冻结我的任性付，有额度，购买商品无法使用任性付支付购买商品，现在突然无法使用了，导致我急用商品无法购买。</t>
  </si>
  <si>
    <t>上海联通</t>
  </si>
  <si>
    <t>http://ts.21cn.com/tousu/show/id/1364519</t>
  </si>
  <si>
    <t>2019/10/15 21:35:58</t>
  </si>
  <si>
    <t>我在9月11号申请两张上海大王卡亲情卡，在月中收到一张卡片，第二张经过反馈后联通客服明确致电通知我已经下卡了让我拿身份证等待开通，后经过一段时间等待上海联通在我本人不知情的情况下把我的订单取消了，并且另一张大王卡也给停机了，后我向联通反馈情况，联通客服承诺让我所在的地的工作人员上门不登信息，在经过不知多少天的等待自称是上海联通投诉处理中心工号5866的工作人员回电态度很差极其敷衍，一直不正面回复我的问题欺骗消费者。</t>
  </si>
  <si>
    <t>协商后还款还不了造成逾期</t>
  </si>
  <si>
    <t>http://ts.21cn.com/tousu/show/id/1364589</t>
  </si>
  <si>
    <t>2019/10/15 21:32:02</t>
  </si>
  <si>
    <t>平台客服今天打电话协商还本金同意了，说的晚上八点到十点改账单，可是这会登陆平台绑定银行卡还款一直绑定不了，换了几张银行卡都一样，都是支持的银行，最后说的绑定次数过多24小时后再试，也没有其他还款方式，明天造成逾期费用要求给个解释还有过了今天明天的逾期费用要求消除。</t>
  </si>
  <si>
    <t>关于中国移动通信集团浙江省杭州市移动公司不按照实名制盗用他人身份信息为不法分子提供便利</t>
  </si>
  <si>
    <t>http://ts.21cn.com/tousu/show/id/1364523</t>
  </si>
  <si>
    <t>2019/10/15 21:29:46</t>
  </si>
  <si>
    <t>本人于上星期在宁夏回族自治区移动公司办业务时被告知本人名下一一个在浙江省杭州市移动公司办的手机号码134******53的号码，本人对此号码有异议，我一直在宁夏的怎么会跑杭州市办手机号码，已多次咨询浙江省杭州市移动客服10086都没有办法解决，本人现在投诉浙江省杭州市移动公司不按照国家规定实名制要求并且盗用我的个人身份信息为不法分子提供便利，希望中国移动通信集团浙江省杭州市移动通信公司给予合理解释，和解决方法，要求注消这个手机号码.希望平台能处理杭州市移动通信集团有限公司这样违规操作的情况.中国移动通信集团</t>
  </si>
  <si>
    <t>易到用车不给司机提现</t>
  </si>
  <si>
    <t>http://ts.21cn.com/tousu/show/id/1364581</t>
  </si>
  <si>
    <t>2019/10/15 21:29:17</t>
  </si>
  <si>
    <t>用车注册了易到用车司机端，一开始很正常，后来就不给提现了，我也就不拉顾客了，再后来就是国家政策原因不让非营运拉网约车了，然后今年一登录APP显示账户异常，根本就找不到我所剩的196元余额了，你说气人不，虽然钱不多，那都是我的血汗钱??，找不到易道公司了，就是这么坑司机。</t>
  </si>
  <si>
    <t>拍拍贷年化利息35.998%.</t>
  </si>
  <si>
    <t>http://ts.21cn.com/tousu/show/id/1364578</t>
  </si>
  <si>
    <t>2019/10/15 21:28:14</t>
  </si>
  <si>
    <t>借款6000元，分12期，每期还679.99元.，第一期按时还款，并且还完款之后没有可借余额，涉嫌套路贷，第二期因为资金紧张逾期了十五天左右...打算筹集资金还款，拍拍贷就已经拨打了父母亲戚的电话，我要求的是调整利率为年化24%以内...会如期还款，APP页面看不到任何能联系到客服的联系方式。</t>
  </si>
  <si>
    <t>http://ts.21cn.com/tousu/show/id/1364560</t>
  </si>
  <si>
    <t>2019/10/15 21:27:04</t>
  </si>
  <si>
    <t>本人因相信了支付返利投资活动一共通过云闪付软件进行刷单支付&amp;nbsp;全部支付到了瀚银科技公司名下账户&amp;nbsp;有订单号和记录截图为证明知道&amp;nbsp;但是充值过后发现是境外博彩赌博平台&amp;nbsp;且充值金额无法退回&amp;nbsp;本以为通过云闪付支付的方式是正规渠道&amp;nbsp;且支付到账方都是瀚银旗下商户收款&amp;nbsp;查到资金是通过瀚银科技公司，以二维码支付以及在线银联支付方式，另外通过中国人民银行和支付清算协会沟通得知第三方支付业务应审核客户的相关信息，第三方支付公司不得向证券、期货、博彩等机构提供支付</t>
  </si>
  <si>
    <t>http://ts.21cn.com/tousu/show/id/1364567</t>
  </si>
  <si>
    <t>2019/10/15 21:25:07</t>
  </si>
  <si>
    <t>投诉人胡烽投诉对象聚富分期涉诉金额299元问题类型诉求类型投诉详情黑平台恶意扣费，希望立刻封了少一点受害者。</t>
  </si>
  <si>
    <t>上海瀚银信息科技有限公司</t>
  </si>
  <si>
    <t>http://ts.21cn.com/tousu/show/id/1364514</t>
  </si>
  <si>
    <t>2019/10/15 21:21:43</t>
  </si>
  <si>
    <t>投诉上海瀚银信息技术有限公司本人被引诱到一个网站充值入金12万多，后来发现是网络赌博平台，通过了解得知并非正规的购彩网站，是有后台操控的一个违法平台，另外通过中国人民银行和支付清算协会沟通得知第三方支付业务应审核客户的相关信息，第三方支付公司不得向证券、期货、博彩等机构提供支付结算业务，为违法违规机构平台提供支付结算通道根据（中华人民共和国反洗钱法）（中国人民银行令{2006}第1号发布）、（金融机构客户身份识别和客户身份资料及交易记录保存管理办法）（中国人民银行令{2007}第2号发布）等规定，切实履行识</t>
  </si>
  <si>
    <t>好易借高利贷非法爆通讯录，对我造成恶劣影响</t>
  </si>
  <si>
    <t>http://ts.21cn.com/tousu/show/id/1364551</t>
  </si>
  <si>
    <t>2019/10/15 21:20:43</t>
  </si>
  <si>
    <t>好易借,通联支付,深圳市大地信通担保有限公司，3月17日在好易借APP上借款11000元分12期，实际到帐11000元，利息360天1485元担保费990元融资管理费1485元，我算了一下按12期的话年率没超过36%于是点击申请了，第一期还款时收到提醒短信才发现需要还款5279.95元，第二期4784.95元，第三期3795.10元，三个月本金就已经全部还完，之后9期都是122.10元，完全套路贷高利贷11000等于用三月要给12月的利息，怕逾期影响自己信用期间都按时还款，上月投诉与对方客服沟通要求合理按照</t>
  </si>
  <si>
    <t>维信金科旗下安趣花平台引导充值会员后审核失败</t>
  </si>
  <si>
    <t>http://ts.21cn.com/tousu/show/id/1364545</t>
  </si>
  <si>
    <t>2019/10/15 21:18:08</t>
  </si>
  <si>
    <t>安家趣花APP故意引导顾客充值99元会员费才能借款，充值99元之后借款审核失败还不能退还会员费。</t>
  </si>
  <si>
    <t>http://ts.21cn.com/tousu/show/id/1364538</t>
  </si>
  <si>
    <t>2019/10/15 21:16:08</t>
  </si>
  <si>
    <t>爆通讯录，骚扰无关人员，态度恶劣，催收时不表明催收单位和工号，用匿名电话持续骚扰。</t>
  </si>
  <si>
    <t>请求玖富万卡协商</t>
  </si>
  <si>
    <t>http://ts.21cn.com/tousu/show/id/1364534</t>
  </si>
  <si>
    <t>2019/10/15 21:14:36</t>
  </si>
  <si>
    <t>本人于2018年1月申请叮当钱包，下款4万元，一直按时还款，截止目前已经还款57000多元，本来情况就不好，因为没钱也借了很多网贷，以贷养贷，今年没钱还网贷借遍了所有亲朋好友，但是仍然无法还清利息高得吓人的网贷，算了一下玖富的利息达到年利率36%多，虽然没钱还，但是一直筹钱按时还款，到目前为止已经还了57000多，还剩一万多，但是已经彻底无能为力，借不到钱，其他平台的网贷也没钱还了，有几次想到轻生，昨天朋友让我跟平台协商，因为不是赖账，早就还完了当时的借款，而且利息也已经还了17000多，平台不可能逼死一个</t>
  </si>
  <si>
    <t>我在申请网贷时候提示自己的身份证被别的手机号绑定</t>
  </si>
  <si>
    <t>http://ts.21cn.com/tousu/show/id/1364512</t>
  </si>
  <si>
    <t>2019/10/15 21:06:10</t>
  </si>
  <si>
    <t>马上消费金融绑定身份信息界面不支持截图10月15号晚上，我本来想申请马上金融产品，用我自己尾号0926的手机注册的，然后绑定身份证的时候提示，还证件已经被151****0479的手机绑定，然后打客服电话问了下，她说那个手机分别在9月和10月晚上申请过滴水贷，然后我还特意去看了下我滴滴的实名，是我的分钟证。</t>
  </si>
  <si>
    <t>拍拍贷催帐骚扰电话</t>
  </si>
  <si>
    <t>http://ts.21cn.com/tousu/show/id/1364501</t>
  </si>
  <si>
    <t>2019/10/15 21:01:54</t>
  </si>
  <si>
    <t>盗取通讯录，骚扰亲朋好友，影响正常工作，第三方暴力催收。</t>
  </si>
  <si>
    <t>客服无故挂断电话</t>
  </si>
  <si>
    <t>http://ts.21cn.com/tousu/show/id/1364481</t>
  </si>
  <si>
    <t>2019/10/15 20:54:21</t>
  </si>
  <si>
    <t>广州移动无故封号，后致电多名客服恶意挂断电话，导致在外无法回家，造成严重精神及身体上的伤害，要求依法处置，如处理结果不满意，将会通过新闻媒体进行曝光。</t>
  </si>
  <si>
    <t>素质低，毫无底线</t>
  </si>
  <si>
    <t>http://ts.21cn.com/tousu/show/id/1364479</t>
  </si>
  <si>
    <t>2019/10/15 20:53:50</t>
  </si>
  <si>
    <t>2.3万把，还了9000+剩下14000+，今天有一个电话过来，很有意思！就态度很嚣张，自以为是，主要投诉的是1-4001112233几乎打10个应该可以通一个，摆设！2-打进去了，和客服说了一下情况，反映了一下，说好的，好的，过没多久，还是买个催收员打过来，说你打客服了，我说是，怎么，他说，打客服没啥用，我说你是老赖就是老赖，哈哈，后面的对话就是催收员在一直人身攻击了，没事，本身逾期不久的单很好催，通过他们这些外包公司打着你们的旗号到处威胁，轰炸，不明白的是，和你们签订合同，为什么要转外包公司催，要素质没</t>
  </si>
  <si>
    <t>拍拍贷高利贷，恶意骚扰家人</t>
  </si>
  <si>
    <t>http://ts.21cn.com/tousu/show/id/1364468</t>
  </si>
  <si>
    <t>2019/10/15 20:47:25</t>
  </si>
  <si>
    <t>拍拍贷在能联系到本人的情况下恶意骚扰本人家人，拒接电话后，还恶意骚扰，本人回拨过去，该号码却无法拨通，拍拍贷利息严重超标国家标准，恶意骚扰，无法无天。</t>
  </si>
  <si>
    <t>无良心的拼多多</t>
  </si>
  <si>
    <t>http://ts.21cn.com/tousu/show/id/1364457</t>
  </si>
  <si>
    <t>2019/10/15 20:41:26</t>
  </si>
  <si>
    <t>本人在拼多多经营的好好的，无违规，无工单通知的情况下被拼多多平台给无缘无故冻结我账户资金，导致本人这边资金链断缺，供货不上，无法继续经营下去，拼多多客服也是在一再托辞，好不容易把店铺开的有点起死，没想到会发生这种情况，一个店铺不值是店铺，它是我的全部家产，我日积月累的心血在里面。</t>
  </si>
  <si>
    <t>爆通讯录威胁家人</t>
  </si>
  <si>
    <t>http://ts.21cn.com/tousu/show/id/1364446</t>
  </si>
  <si>
    <t>2019/10/15 20:38:12</t>
  </si>
  <si>
    <t>投诉人 杨先生        投诉对象  闪银,Wecash闪银        涉诉金额  317 元    问题类型    诉求类型投诉详情  威胁家人，恐吓家人。爆通讯录，处理不当，夜晚打电话爆通讯录。严重骚扰我家人，家人身体不惊受吓。</t>
  </si>
  <si>
    <t>马上金融平台雇佣恶势力进行电话恐吓</t>
  </si>
  <si>
    <t>http://ts.21cn.com/tousu/show/id/1364435</t>
  </si>
  <si>
    <t>2019/10/15 20:34:17</t>
  </si>
  <si>
    <t>马上金融平台利用恐吓用户收取费用，并且泄露用户个人信息。</t>
  </si>
  <si>
    <t>http://ts.21cn.com/tousu/show/id/1364424</t>
  </si>
  <si>
    <t>2019/10/15 20:30:02</t>
  </si>
  <si>
    <t>之前的借款¥1000还款1500百多，然后借款1800还款，2400合同上写着借款2300多，如果按照它上面还款的期数那么就要还4000多，高额的利息高的砍头息高额的手续费变相的高利贷。</t>
  </si>
  <si>
    <t>小象优品不合理手续费</t>
  </si>
  <si>
    <t>http://ts.21cn.com/tousu/show/id/1364418</t>
  </si>
  <si>
    <t>2019/10/15 20:28:33</t>
  </si>
  <si>
    <t>本人于2019年6月20号在小象优品上边借了6600元，分6期偿还，但借款时并没有显示每月利息和高额的违约金这样的合同就下款了，目前已偿还3期，但在近期资金链断裂的情况下发现，这里存在变相手续费，分6期还款需1298元乘以6=7788元，本来想找商家协商，但是偿还第三期时因个人原因逾期5天，罚了我违约金我认了，但是第三方催款爆了我通讯录，骚扰我的朋友，气愤不过，只好来这里投诉，奈何当时没保留证据，就不需要官方回答了，现在只要求小象优品给我减免不合理的费用，本人一次结清账单，给我开具结清证明以及销户。</t>
  </si>
  <si>
    <t>为境外非法博彩网站提供充值渠道</t>
  </si>
  <si>
    <t>http://ts.21cn.com/tousu/show/id/1364413</t>
  </si>
  <si>
    <t>2019/10/15 20:27:46</t>
  </si>
  <si>
    <t>本人被qq陌生人以兼职骗去买彩票，收单机构是首易信，多次询问进度，推脱已经不合作，让去报警，我想知道他们没有责任么，不合作了，但是有押金吧，这个我还是懂得，为什么不处理。</t>
  </si>
  <si>
    <t>宝付支付私自乱扣费</t>
  </si>
  <si>
    <t>http://ts.21cn.com/tousu/show/id/1364410</t>
  </si>
  <si>
    <t>2019/10/15 20:25:47</t>
  </si>
  <si>
    <t>胡乱扣费，我和恒易贷的借款目前在协商中，不明情况就扣了我185.6，这钱是我明天要到医院看病用的，本来就不一定够，你们还想怎样呢。</t>
  </si>
  <si>
    <t>http://ts.21cn.com/tousu/show/id/1364402</t>
  </si>
  <si>
    <t>2019/10/15 20:22:27</t>
  </si>
  <si>
    <t>投诉人 康先生        投诉对象  招联金融        涉诉金额  20 000 元    问题类型    诉求类型投诉详情  本人通讯正常的情况打电话给联系人进行骚扰</t>
  </si>
  <si>
    <t>被人忽悠使用360借条借钱</t>
  </si>
  <si>
    <t>http://ts.21cn.com/tousu/show/id/1364401</t>
  </si>
  <si>
    <t>2019/10/15 20:22:24</t>
  </si>
  <si>
    <t>本人被犯罪分子诱导从360借条中借款2万元，中间的高额利息没有警觉，本人是个受害者，希望360借条给个说法，调整利息。</t>
  </si>
  <si>
    <t>招联金融曝通讯录，电话，短信，轮流辱骂</t>
  </si>
  <si>
    <t>http://ts.21cn.com/tousu/show/id/1364390</t>
  </si>
  <si>
    <t>2019/10/15 20:18:24</t>
  </si>
  <si>
    <t>我没有欠钱，爆通讯录找到我的号对我进行辱骂，电话骂完又发短信来骂。</t>
  </si>
  <si>
    <t>http://ts.21cn.com/tousu/show/id/1364369</t>
  </si>
  <si>
    <t>2019/10/15 20:11:13</t>
  </si>
  <si>
    <t>你好，玖富没有经营许可证，年化利率在百分之50，非法经营高利贷。</t>
  </si>
  <si>
    <t>暴力催收恶意骚扰通讯录短信群发欠债人的资料及个人信息</t>
  </si>
  <si>
    <t>http://ts.21cn.com/tousu/show/id/1364358</t>
  </si>
  <si>
    <t>2019/10/15 20:07:00</t>
  </si>
  <si>
    <t>威胁家人朋友，行为恶劣，这种催收方式真的让人恼火，毁坏名誉。</t>
  </si>
  <si>
    <t>广发银行高埗支行不入账我的美金</t>
  </si>
  <si>
    <t>http://ts.21cn.com/tousu/show/id/1364347</t>
  </si>
  <si>
    <t>2019/10/15 20:03:29</t>
  </si>
  <si>
    <t>广发银行,广发银行股份有限公司东莞高埗支行，墨西哥客户公户给我打了500美金，到我的个人私户，但是钱到高埗支行，他们不给我入账，各种理由给我退回去，客户打款之前我还特意问了广发总行客服，他们告诉我公户打到私户是可以的，我才让客户打款的，等钱到了又说不可以！把钱退回去也可以但是不可以收取手续费，收到多少必须退多少回去，这是他们自己的疏忽导致的！要么给我入账美元，或者入账人命币！附件是银行流水单！。</t>
  </si>
  <si>
    <t>http://ts.21cn.com/tousu/show/id/1364336</t>
  </si>
  <si>
    <t>2019/10/15 19:59:07</t>
  </si>
  <si>
    <t>投诉人王先生投诉对象小闪卡贷涉诉金额7000元问题类型诉求类型投诉详情78月我在聚投诉上对快闪卡贷，进行了投诉，说了他们砍头息的问题，在聚头诉上说的会与我协商，9月底一个湖南岳阳电话号码打进来自称光大银行快闪卡贷的人对我进行催收，我说我需要与快闪卡贷核实情况，过后10月15日下午4：49这个湖南岳阳电话号码再次打进来，我由于工作在开会，就说了你6点过后打过来我们在谈，然后对面女子就开始阴阳怪气，最后交涉无果就开始进行辱骂，我保存了录音，在5点05分接连打进来两个号码我未接听，过后开始拨打我的通讯录，对我朋友</t>
  </si>
  <si>
    <t>海风教育退费慢，拖延</t>
  </si>
  <si>
    <t>http://ts.21cn.com/tousu/show/id/1364325</t>
  </si>
  <si>
    <t>2019/10/15 19:54:25</t>
  </si>
  <si>
    <t>投诉人余女士投诉对象海风教育涉诉金额2160元问题类型诉求类型投诉详情这是我9月8号首付2160，微信支付的截图，10月8号已经缴完了第二次扣费，一次课也没有正式上，已经缴费2次，要求退费多次推诿。</t>
  </si>
  <si>
    <t>美团逾期遭到催收爆破亲朋电话</t>
  </si>
  <si>
    <t>http://ts.21cn.com/tousu/show/id/1364314</t>
  </si>
  <si>
    <t>2019/10/15 19:46:53</t>
  </si>
  <si>
    <t>我是一个刚毕业的大学生，刚毕业被别人骗走了17000元钱，导致现在周转不开，工作也没有着落，靠着打零工给美团金融还钱，借了他们7000多元，还了1370，还剩5700多，之前跟美团的人联系过，我说了我的情况，他们说他们不管，还威胁我立刻还钱，我投诉过他们，投诉以后又说的可以分开还，每次还一点，明着这样说，背后给我亲朋发消息，打电话，威胁我！要不是难，谁愿意欠着钱！现在我在亲朋面前都抬不起头来了，我认了，但当面一套背后一套我希望能严肃处理。</t>
  </si>
  <si>
    <t>贷上钱高利贷，轰炸通讯录</t>
  </si>
  <si>
    <t>http://ts.21cn.com/tousu/show/id/1364303</t>
  </si>
  <si>
    <t>2019/10/15 19:40:22</t>
  </si>
  <si>
    <t>投诉人冯先生投诉对象贷上钱,元宝钱包涉诉金额4000元问题类型诉求类型投诉详情贷上钱上的元宝钱包，伪造阴阳合同，暴力催收，轰炸通讯录里的人，借4000要还6400多，请求聚投诉平台好好管理这种没有放款资质的平台，本人已还了2400多，愿意协商还剩余本金，。</t>
  </si>
  <si>
    <t>平安银行给赌博商户提供支付结算</t>
  </si>
  <si>
    <t>http://ts.21cn.com/tousu/show/id/1361266</t>
  </si>
  <si>
    <t>2019/10/15 19:38:35</t>
  </si>
  <si>
    <t>三方支付业务公司不得向证券，期货,博彩等机构提供支付结算业务。</t>
  </si>
  <si>
    <t>银盛通pos机扣刷卡费</t>
  </si>
  <si>
    <t>http://ts.21cn.com/tousu/show/id/1364291</t>
  </si>
  <si>
    <t>2019/10/15 19:36:34</t>
  </si>
  <si>
    <t>银盛通业务员刷了我300元钱，后不到账，说是银联的押金，有很多人被骗前来投诉，希望能返回我的钱谢谢。</t>
  </si>
  <si>
    <t>http://ts.21cn.com/tousu/show/id/1364280</t>
  </si>
  <si>
    <t>2019/10/15 19:31:02</t>
  </si>
  <si>
    <t>10月15日，海南圣云可网络科技有限公司在与我并无业务往来和未经允许恶意扣了我100块，希望有关部门和贵公司给出一个合理的解释和退款。</t>
  </si>
  <si>
    <t>宜人贷骚扰，暴力催收</t>
  </si>
  <si>
    <t>http://ts.21cn.com/tousu/show/id/1364259</t>
  </si>
  <si>
    <t>2019/10/15 19:25:17</t>
  </si>
  <si>
    <t>暴力催收，催收客服诱导以贷养贷，恐吓上门要债。</t>
  </si>
  <si>
    <t>（特约）中智（消费）莫名扣款</t>
  </si>
  <si>
    <t>http://ts.21cn.com/tousu/show/id/1364248</t>
  </si>
  <si>
    <t>2019/10/15 19:20:44</t>
  </si>
  <si>
    <t>2019年10月15日16点47分莫名其妙的划扣我银行卡上56.10元，我都不知道这个中智消费是个什么鬼东西，我随便看了下记录，2019年9月5日18点33扣50.09元，前面还不知道有多少。</t>
  </si>
  <si>
    <t>注销账户</t>
  </si>
  <si>
    <t>http://ts.21cn.com/tousu/show/id/1364237</t>
  </si>
  <si>
    <t>2019/10/15 19:16:41</t>
  </si>
  <si>
    <t>钱站自称正规网贷平台，但合同与实际贷款金额不符，有砍头息行为，在本人一次性全额结清贷款情况下电话客服要求注销本人账号，客服拖拖拉拉，说要35天后，时间太长了。</t>
  </si>
  <si>
    <t>拍拍贷恶意催收，爆通讯录</t>
  </si>
  <si>
    <t>http://ts.21cn.com/tousu/show/id/1364226</t>
  </si>
  <si>
    <t>2019/10/15 19:11:28</t>
  </si>
  <si>
    <t>投诉人龚辉先生投诉对象拍拍贷涉诉金额10000元问题类型诉求类型投诉详情本人在拍拍贷办理了一笔贷款，由于目前资金出现了困难导致逾期，我也给拍拍贷的工作人员说明了逾期原因和现在的情况，可是还天天给本人打几个电话，恐吓说要我还，现在已经严重骚扰到我的正常生活，工作，现在要求，立即停止骚扰，盗取通讯录等一切骚扰手段，并且做出道歉。</t>
  </si>
  <si>
    <t>http://ts.21cn.com/tousu/show/id/1364224</t>
  </si>
  <si>
    <t>2019/10/15 19:10:45</t>
  </si>
  <si>
    <t>在闪电借款多次借款，每次借款已商品回收的差价和强制购买黑卡的名义收取高额砍头息，到账1030要求还款1363，多次借款的砍头息已经远远超过本金加合规利息，现应遇到困难，要求闪电借款退还砍头息支付这期销账，宝付支付提供支付通道。</t>
  </si>
  <si>
    <t>快来贷言语威胁</t>
  </si>
  <si>
    <t>http://ts.21cn.com/tousu/show/id/1363797</t>
  </si>
  <si>
    <t>2019/10/15 19:08:49</t>
  </si>
  <si>
    <t>本人从未在快来贷中有过借款业务，莫名其妙有催收联系我，要求本人处理到期账单，还恐吓本人说要爆通讯录联系他人，现在本人要求快来贷公司相关人员给本人一个合理的解释，并做出道歉。</t>
  </si>
  <si>
    <t>聚富分期APP未经同意私自扣款</t>
  </si>
  <si>
    <t>http://ts.21cn.com/tousu/show/id/1364215</t>
  </si>
  <si>
    <t>2019/10/15 19:06:01</t>
  </si>
  <si>
    <t>投诉人唐先生投诉对象聚富分期涉诉金额200元问题类型诉求类型投诉详情9.29注册聚富分期APP，借款得在他们那儿申请信用报告，信用报告299元，找客服说需要等14个工作日才能退款，现在到了又要交身份证复印件，还要手持身份证照片。</t>
  </si>
  <si>
    <t>网贷未到期被曝光通讯录</t>
  </si>
  <si>
    <t>http://ts.21cn.com/tousu/show/id/1364204</t>
  </si>
  <si>
    <t>2019/10/15 19:01:32</t>
  </si>
  <si>
    <t>1、网贷贷款未逾期，不见网贷公司的提醒，随意打爆手机内的通讯录，没有协商，也没有提醒，对贷款人的名誉受到极大的损失。</t>
  </si>
  <si>
    <t>http://ts.21cn.com/tousu/show/id/1364198</t>
  </si>
  <si>
    <t>2019/10/15 18:58:08</t>
  </si>
  <si>
    <t>本人因小孩做手术导致经济压力周转不开，加上工作丢失，未能偿还交通银行信用卡8000元，催收人员对我言语攻击，暴力催收，还骚扰家人，对此要求工作人员对我道歉，。</t>
  </si>
  <si>
    <t>招联金融催收问题</t>
  </si>
  <si>
    <t>http://ts.21cn.com/tousu/show/id/1364192</t>
  </si>
  <si>
    <t>2019/10/15 18:55:34</t>
  </si>
  <si>
    <t>本人从前妻那里了解到她在招联金融办理了一笔贷款，由于目前资金出现了困难导致逾期，我也根招联金融说明了我目前与前妻关系及前妻逾期原因和现在的情况，可是招联金融还天天给本人打几个电话，恐吓说要我还，我就郁闷你们放贷的时候不经过都不需要我的同意或认可，现在凭什么有我来还，现在已经严重骚扰到我的正常生活，工作，现在要求，立即停止骚扰，盗取通讯录等一切骚扰手段，并且做出道歉和赔偿。</t>
  </si>
  <si>
    <t>宜人贷违法催收，骚扰电话</t>
  </si>
  <si>
    <t>http://ts.21cn.com/tousu/show/id/1364181</t>
  </si>
  <si>
    <t>2019/10/15 18:50:57</t>
  </si>
  <si>
    <t>本人由于最近资金出现问题完成逾期，但是已与宜人贷客服进行沟通解释，但是宜人贷在没有与本人沟通的情况下，未经过本人同意私自曝光本人通讯录，一天之内给本人通讯录所有亲朋好友实施了电话轰炸，威胁，恐吓，短信轰炸，高达百余条，同时通过我亲友的手机号码搜微信加好友，严重影响了我亲朋好友的正常生活与工作以及我个人的声誉，我也因为宜人贷违法暴力催收手段丢了工作，宜人贷公司表示我逾期不用通知我遍可有权利私自曝光我通讯录，我对此表示极大不满，国家法律规定，未经本人允许是不可以私自曝光本人信息，但是宜人贷公司却无视国家法律，还</t>
  </si>
  <si>
    <t>威胁恐吓上门催收，爆打通讯，短信轰炸</t>
  </si>
  <si>
    <t>http://ts.21cn.com/tousu/show/id/1364170</t>
  </si>
  <si>
    <t>2019/10/15 18:44:07</t>
  </si>
  <si>
    <t>威胁恐吓上门催收，进行爆打通讯录，进行短信轰炸。</t>
  </si>
  <si>
    <t>http://ts.21cn.com/tousu/show/id/1364149</t>
  </si>
  <si>
    <t>2019/10/15 18:37:26</t>
  </si>
  <si>
    <t>交通银行暴力催收，爆我通讯录，给我单位打电话，给村委会打电话，严重影响到我工作和名誉，没有分期协商，要还款可以必须给我一个说法，我要起诉！。</t>
  </si>
  <si>
    <t>恶意催收爆通讯录、</t>
  </si>
  <si>
    <t>http://ts.21cn.com/tousu/show/id/1364138</t>
  </si>
  <si>
    <t>2019/10/15 18:32:26</t>
  </si>
  <si>
    <t>投诉人焦先生投诉对象贷上钱涉诉金额3376元问题类型诉求类型投诉详情逾期之前未收到任何通知放款、恶意爆通讯录、客服态度极差！。</t>
  </si>
  <si>
    <t>聚富分期申请延期还款</t>
  </si>
  <si>
    <t>http://ts.21cn.com/tousu/show/id/1364127</t>
  </si>
  <si>
    <t>2019/10/15 18:29:11</t>
  </si>
  <si>
    <t>投诉人于先生投诉对象聚富分期涉诉金额400元问题类型诉求类型投诉详情本人因未开工资申请延期还款，逾期费用我自行承担。</t>
  </si>
  <si>
    <t>小象优品骚扰我通讯录好友，还不承认，答应今天还款，现在今天还没过就炸我通讯录亲朋好友</t>
  </si>
  <si>
    <t>http://ts.21cn.com/tousu/show/id/1364121</t>
  </si>
  <si>
    <t>2019/10/15 18:26:39</t>
  </si>
  <si>
    <t>承诺了今天还款上去，催收人员不管不顾还打电话给我通讯录所有的人，他凭什么，个人信息毫无安全可言，今天还没结束就开始炸我通讯录，这种就是流氓公司，还说没有通讯录，没有通讯录我亲朋好友都接到了电话，别想推卸。</t>
  </si>
  <si>
    <t>曝光通讯录暴力催款</t>
  </si>
  <si>
    <t>http://ts.21cn.com/tousu/show/id/1364116</t>
  </si>
  <si>
    <t>2019/10/15 18:24:13</t>
  </si>
  <si>
    <t>骚扰借款人亲友同事朋友，导致亲友家里老人心脏病突发，客服不处理各种推托。</t>
  </si>
  <si>
    <t>http://ts.21cn.com/tousu/show/id/1364105</t>
  </si>
  <si>
    <t>2019/10/15 18:19:04</t>
  </si>
  <si>
    <t>没给打电话，突然发了这么个短信，也不提供工作人员的工号和什么平台！。</t>
  </si>
  <si>
    <t>及贷提前还款费用不合理</t>
  </si>
  <si>
    <t>http://ts.21cn.com/tousu/show/id/1364093</t>
  </si>
  <si>
    <t>2019/10/15 18:17:04</t>
  </si>
  <si>
    <t>投诉人蓝先生投诉对象及贷涉诉金额10000元问题类型诉求类型投诉详情本人1个月前在及贷办理了一笔10000的网贷，已经还了3期，现在想提前还款，但是没有办法一次性提前还，只能一期一期还，除了本金还要收取其他费用且提前还款的综合利率超出国家规定的36%，这非常不合理。</t>
  </si>
  <si>
    <t>心上平台寄卖货品丢失不管</t>
  </si>
  <si>
    <t>http://ts.21cn.com/tousu/show/id/1364082</t>
  </si>
  <si>
    <t>2019/10/15 18:14:33</t>
  </si>
  <si>
    <t>2918-5-22显示上架，但是由于心上平台经常作出封号举动，平时管理也非常混乱，自相矛盾的那种，一旦封号就把寄卖商品下架了/下架后就无法召回，我多次索要该商品，心上平台却空给我一个单号非要说已经发走了，请平台迅速找到该商品，如果找不到请赔偿我购买价格800元。</t>
  </si>
  <si>
    <t>投诉买单侠还款后还继续骚扰（家人）</t>
  </si>
  <si>
    <t>http://ts.21cn.com/tousu/show/id/1364071</t>
  </si>
  <si>
    <t>2019/10/15 18:10:45</t>
  </si>
  <si>
    <t>已还款情况下继续短信、电话骚扰当事人及家人，态度极其恶劣，必须严惩。</t>
  </si>
  <si>
    <t>恶意获取通讯录骚扰亲人好友暴力违法催收</t>
  </si>
  <si>
    <t>http://ts.21cn.com/tousu/show/id/1364060</t>
  </si>
  <si>
    <t>2019/10/15 18:08:01</t>
  </si>
  <si>
    <t>本人做生意出现资金断裂！没有足够金额偿还欠款！这点的确是我的错，但是我有错并不代表，你们微众银行就可以肆意妄为的去通过非法手段获取本人的通讯录！四处散播骚扰我的亲朋好友！你们这是典型的暴力违法催收！如果你们不给予合理的解释！这笔款项我将永久性不予偿还！并且保存所有录音截图证据诉讼为自己维权！我根本没有预留任何亲朋好友的电话联系方式，有的还是刚认识不久的朋友，我想请问你们是从那里获取的亲朋好友的电话，今天7为亲朋好友联系我！说收到多次骚扰短信，显示微众银行催收！或许还有更多亲朋好友收到！恳请聚投诉可以为民除害</t>
  </si>
  <si>
    <t>银行卡扣费</t>
  </si>
  <si>
    <t>http://ts.21cn.com/tousu/show/id/1364054</t>
  </si>
  <si>
    <t>2019/10/15 18:05:44</t>
  </si>
  <si>
    <t>有限公司-上海漫道科技有限公司于今天2019年10月15日将本人建行卡无通知，无提示扣款三笔，分别为212.94、181.58、145.74元。</t>
  </si>
  <si>
    <t>卖家代充值导致账号被封，交易猫无底线偏袒入驻店铺，此平台谁来治理？</t>
  </si>
  <si>
    <t>http://ts.21cn.com/tousu/show/id/1364010</t>
  </si>
  <si>
    <t>2019/10/15 17:57:48</t>
  </si>
  <si>
    <t>本人于2019.10.12在交易猫上购买游戏币，与卖家沟通，由卖家给我苹果ID账户充值后，再由我自行充入游戏，可是在卖家充值完毕，我的苹果App，ID即被官方永久封停，打电话咨询客服，结论为：涉嫌用黑卡，来路不明的礼品卡进行了充值，多次和苹果客服沟通无果，处理结果都是永久封号，并且100美金不退还，卖家利用来路不明的卡，给我充值了100美金在苹果ID里，原价要700多元人民币，他只卖528元，苹果那边判定这个100美金是非法的，是盗用了别人的卡，我打电话给客服，根本就没提第三方代充值，客服就能猜到我的代充方</t>
  </si>
  <si>
    <t>盐城金邦商贸有限公司拒绝发货</t>
  </si>
  <si>
    <t>http://ts.21cn.com/tousu/show/id/1364039</t>
  </si>
  <si>
    <t>2019/10/15 17:56:41</t>
  </si>
  <si>
    <t>抽纸，买了两份，总共30包，还送赠品手帕纸，订单号103092927002，卖家谎称商品无货，不发货，但是卖家店里还有同种纸在销售，，店里还有3包，18包，22包每份的相同的纸正在销售，而卖家一直说自己无货，明显睁着眼睛说瞎话，希望能督促卖家尽快发货，保护买家的权利，万分感谢，我上传了四张图片，分别是店里在售的同种纸、订单详情、纠纷过程、我购买的纸的商品详情。</t>
  </si>
  <si>
    <t>http://ts.21cn.com/tousu/show/id/1364036</t>
  </si>
  <si>
    <t>2019/10/15 17:54:40</t>
  </si>
  <si>
    <t>我在钱站平台借了4000可以出具任何账单我这边实际才收到4000，但是前站平台上面的合同上是6520的本金，请问，这多出来的钱，前站平台没有给予借款本人，为什么要算在本金内，另外这些服务费每一期都有又是什么呢，合同内未标明利息是多少，但是很明确已经高于百分之244000元，我第一期还款为2217.32，后续每期2217.32元，分三期因为网上看到钱站说借款人不还钱，会暴力催收，爆通讯录，爆家里地址等，我需要投诉钱站，并要求调整利率以及告知为何本金多出那么多钱，若钱站无法解决，我将直接起诉至上海市闸北区人民法</t>
  </si>
  <si>
    <t>单方面暂停加油卡,且强制按照折扣退款,造成个人损失</t>
  </si>
  <si>
    <t>http://ts.21cn.com/tousu/show/id/1364030</t>
  </si>
  <si>
    <t>2019/10/15 17:50:58</t>
  </si>
  <si>
    <t>本人于2018年11月14日在亲子周末平台以94折的价格买了一张价值叁千元整的加油卡,开卡之后就正常使用.2019年10月15日下午16时许亲子周末发消息至我手机号码表示已经单方面暂停我的加油卡的消费,且强制性按照我购买的94折扣退款给我,我表示不能接受.我认为我在亲子周末平台购买油卡那么我与亲子周末平台之间就构成了买卖协议,亲子周末首先无权单方面暂停我的油卡使用权,其次如果油卡不暂停我是可以继续使用的,我卡内的金额就是我的个人财产,现在按照折扣退款即造成了我的经济损失,这个损失不该由我消费者来承担.。</t>
  </si>
  <si>
    <t>信息泄露，还呗频繁骚扰</t>
  </si>
  <si>
    <t>http://ts.21cn.com/tousu/show/id/1364029</t>
  </si>
  <si>
    <t>2019/10/15 17:50:52</t>
  </si>
  <si>
    <t>不知道从哪里盗取我的信息，给我发送短信、打电话，该平台非法获取他人信息，恶意骚扰恶意推销产品，我现在要求该平台告知我从哪里获取的我的个人信息。</t>
  </si>
  <si>
    <t>利息不合规，自己是有还款的愿意可是对方不予以接受</t>
  </si>
  <si>
    <t>http://ts.21cn.com/tousu/show/id/1364028</t>
  </si>
  <si>
    <t>2019/10/15 17:50:51</t>
  </si>
  <si>
    <t>65000、分期45期、每个月还2651、现在一直还了7期。</t>
  </si>
  <si>
    <t>买到假货</t>
  </si>
  <si>
    <t>http://ts.21cn.com/tousu/show/id/1364025</t>
  </si>
  <si>
    <t>2019/10/15 17:50:14</t>
  </si>
  <si>
    <t>投诉人 段紫璇        投诉对象  心上奢侈品        涉诉金额  40 000 元    问题类型    诉求类型投诉详情  买到的卡地亚手镯。 拿去实体奢侈品店坚定 告诉我锥子是假货</t>
  </si>
  <si>
    <t>欺诈合作承诺</t>
  </si>
  <si>
    <t>http://ts.21cn.com/tousu/show/id/1364017</t>
  </si>
  <si>
    <t>2019/10/15 17:45:42</t>
  </si>
  <si>
    <t>我是母婴店乐贝儿的店主，由于三元奶粉厂家管理不当造成了我们店一次又一次的损失，说给换货调货退货，现在一推三二五，不来人也不管，投诉电话☎️打无数，最后不接，我们现在要求把三元奶粉全部退回??，三元奶粉公司一次又一次的给我们带来损失惨重，实体店多大的压力与透支，我们也是实体经营也是国家纳税人，有多少能赔得起，我们只是个合作了N多年的卖方图1⃣️是本店与业务的聊天图2⃣️3⃣️4⃣️是我们的一部分货单，红框处是合作日期与买卖双方对象。</t>
  </si>
  <si>
    <t>天猫匡威鞋子质量问题拒绝退费</t>
  </si>
  <si>
    <t>http://ts.21cn.com/tousu/show/id/1364014</t>
  </si>
  <si>
    <t>2019/10/15 17:44:39</t>
  </si>
  <si>
    <t>在天猫匡威旗舰店购买了一双鞋子，价值439，试穿一下，一步路都没有走，就退回，卖家说鞋子磨损质量问题不予退费，请问鞋子试穿一下就有磨损吗，还有赃物，确实无法理解，问什么要买家来买单，请问该卖家是真的匡威旗舰店吗。</t>
  </si>
  <si>
    <t>魅族手机质量问题，不予退货</t>
  </si>
  <si>
    <t>http://ts.21cn.com/tousu/show/id/1364009</t>
  </si>
  <si>
    <t>2019/10/15 17:43:49</t>
  </si>
  <si>
    <t>1.手机屏幕断触，手机屏幕快速上下滑动后，第一次点按屏幕是没有任何反应的，需要点击第二次才可以，比如在手机设置菜单或者微信界面，快速滑动后，第一次点按屏幕，2.手机第三颗摄像头，有缝隙，以后会进灰，之前第一台，就是已经进灰了，所以换机成功，这一台依旧有这个问题，但是魅族不予换机。</t>
  </si>
  <si>
    <t>暴力恶意催收，不接收协商</t>
  </si>
  <si>
    <t>http://ts.21cn.com/tousu/show/id/1364011</t>
  </si>
  <si>
    <t>2019/10/15 17:43:44</t>
  </si>
  <si>
    <t>借了一笔贷款，本应11号还款：2499.33.现在逾期第四日，需要还款2588.66，已经沟通过，会在这几天正常还款，今日已经直接群发短信骚扰我的联系人，请求停止骚扰，与本人联系协商处理即可。</t>
  </si>
  <si>
    <t>协商解决</t>
  </si>
  <si>
    <t>http://ts.21cn.com/tousu/show/id/1364007</t>
  </si>
  <si>
    <t>2019/10/15 17:42:26</t>
  </si>
  <si>
    <t>中信银行信用卡,浦发信用卡,招商信用卡,广发银行，本人一直使用这几个信用卡前段时间因为父亲重病花销太大导致信用卡逾期，期间也有几个月没有工作，我做兼职还了一些，，后期父亲病情稍微好了一点我去上班一个月也还了一些，但是在上班期间招商银行的催收给家里父亲打电话用的都是私人电话态度恶劣，带有威胁，以至于父亲再一次的住进了医院，我在次失去工作照顾父亲，资金再次断链，期间我又怀孕了，我也住进了医院现在没有工作，希望能协商一下逾期费我愿意承担期间多多少少我都会还进去些，还以为聚投诉帮帮我。</t>
  </si>
  <si>
    <t>易班宝支付盗刷</t>
  </si>
  <si>
    <t>http://ts.21cn.com/tousu/show/id/1364006</t>
  </si>
  <si>
    <t>2019/10/15 17:42:23</t>
  </si>
  <si>
    <t>在上个月银行卡在本人身上的情况下，被他们公司莫名盗刷1万多，中间打了几百个电话，客服一直联系不是上。</t>
  </si>
  <si>
    <t>暴力催收暴力短信催收</t>
  </si>
  <si>
    <t>http://ts.21cn.com/tousu/show/id/1364003</t>
  </si>
  <si>
    <t>2019/10/15 17:41:44</t>
  </si>
  <si>
    <t>还呗上个月重复扣款，凭证需要后天上传，对我本人进行骚扰恐吓，电话短信不断，服务费每期300多，逾期四天逾期费高达100多，贵公司严重超过国家法定利率，是不是需要进行处罚或者说免除规定外的费用！停止对我进行短信轰炸电话轰炸。</t>
  </si>
  <si>
    <t>拍拍贷高利贷且违规收取手续费</t>
  </si>
  <si>
    <t>http://ts.21cn.com/tousu/show/id/1363998</t>
  </si>
  <si>
    <t>2019/10/15 17:40:27</t>
  </si>
  <si>
    <t>在拍拍贷有3笔借款已经结清，拍拍贷公开违规操作除收取利息外还额外收取对笔手续费，且整体利率已经超过国家规定范围内，望国家早日取缔此类高利贷平台，客服还死猪不怕开水烫叫我去投诉，要求退回超过国家利率范围内的利息和违规收取的手续费！。</t>
  </si>
  <si>
    <t>立借钱置宝app造成逾期</t>
  </si>
  <si>
    <t>http://ts.21cn.com/tousu/show/id/1363996</t>
  </si>
  <si>
    <t>2019/10/15 17:39:42</t>
  </si>
  <si>
    <t>本人在立借钱置宝借款2100元，实际总的要还3000多，已经超过国家法定利息，分一个月还，一个星期还700多，已还一期，第二期还款日当天卡里有充足资金，结果钱置宝app自己的问题导致逾期。</t>
  </si>
  <si>
    <t>高利贷阴阳合同分12期实际就是3期严重超出国家规定年利率</t>
  </si>
  <si>
    <t>http://ts.21cn.com/tousu/show/id/1363995</t>
  </si>
  <si>
    <t>2019/10/15 17:39:36</t>
  </si>
  <si>
    <t>投诉人 商先生        投诉对象  立借        涉诉金额  5 340 元    问题类型    诉求类型投诉详情  申请的时候显示12期 还款的时候就是3期 后面9个月几十块钱 利率严重超出国家利率 暴力催收 骚扰</t>
  </si>
  <si>
    <t>钱站暴力催收，威胁恐吓侮辱诽谤</t>
  </si>
  <si>
    <t>http://ts.21cn.com/tousu/show/id/1363992</t>
  </si>
  <si>
    <t>2019/10/15 17:38:32</t>
  </si>
  <si>
    <t>本人之前由于资金紧张于钱站借款两笔，一笔15000元，第二笔20000元，借款时钱站并未在借款之前明确标注借款利率，容易诱导借款人发生借款，借款成功后发现其利息早已远远超过高利贷，本人协商提前还款也只能一次性还清剩下的欠款于利息，难以承受，后本来还是每月还款，现还款金额早已超过借款本金，但是后续还要还高额利息，本人承受不住如此高额的利息，停止还款，钱站就开始暴力催收，轰炸本人通讯录，侮辱诽谤本人，后面客服与我取得联系服务态度也是极其嚣张，反应出其平台如此高额利息是必须的，本人于客服理论利息太高，法定利息以内</t>
  </si>
  <si>
    <t>违规进行第三方支付，违规涉P2P网贷</t>
  </si>
  <si>
    <t>http://ts.21cn.com/tousu/show/id/1363988</t>
  </si>
  <si>
    <t>2019/10/15 17:36:46</t>
  </si>
  <si>
    <t>宝付支付置中国银保监会文件不顾违规网贷金融业务，参与浙江草根网络科技公司支付业务。</t>
  </si>
  <si>
    <t>兴业银行信用卡暴力催收恐吓威胁诽谤</t>
  </si>
  <si>
    <t>http://ts.21cn.com/tousu/show/id/1363985</t>
  </si>
  <si>
    <t>2019/10/15 17:36:11</t>
  </si>
  <si>
    <t>兴业银行雇用外包公司暴力催款，还威胁上门骚扰，泄露客户隐私，还打电话威胁家人，询问家人是不是吸毒，，这是对本人严重的诽谤，家人因此受到了惊吓，再医院重症住着呢，还威胁家人说要上门骚扰，也不给协商，威胁上已经已交到法院，会投诉到底，会找各种渠道投诉。</t>
  </si>
  <si>
    <t>小笼宝高利贷</t>
  </si>
  <si>
    <t>http://ts.21cn.com/tousu/show/id/1363987</t>
  </si>
  <si>
    <t>2019/10/15 17:36:07</t>
  </si>
  <si>
    <t>本人在小笼包平台借款3014，实际到账2100,砍头息900，使用期7天，本人无力偿还高利息。</t>
  </si>
  <si>
    <t>肥猫贷，砍头息</t>
  </si>
  <si>
    <t>http://ts.21cn.com/tousu/show/id/1363984</t>
  </si>
  <si>
    <t>2019/10/15 17:35:43</t>
  </si>
  <si>
    <t>投诉人闫先生投诉对象肥猫贷,展鸿科技,汇潮支付涉诉金额1400元问题类型诉求类型投诉详情本人因为缺钱周转，九月底通过一家小七钱包中介平台下载了肥猫贷，也了解过平台属于双辽市春天支农小额贷款有限公司，因为到期不想通讯录被打扰已经复借多次，希望聚投诉联系上对方公司，为我做主，协商还款！。</t>
  </si>
  <si>
    <t>邮政银行工作人员态度恶劣</t>
  </si>
  <si>
    <t>http://ts.21cn.com/tousu/show/id/1363981</t>
  </si>
  <si>
    <t>2019/10/15 17:35:08</t>
  </si>
  <si>
    <t>邮政信用卡在用，因为大部分都是还最低还款额也没有逾期，本月账单来了银行客服电话打来强制要求还账单金额，我由于工作没接到电话，客服就直接打给我的姐姐姐夫，并言语恶劣，态度差，还打电话给我恐吓我，已经严重骚扰及影响本人及家人的生活，该行为已达涉黑行为，要求银行严肃处理并道歉。</t>
  </si>
  <si>
    <t>安逸花灵活还款服务包</t>
  </si>
  <si>
    <t>http://ts.21cn.com/tousu/show/id/1363974</t>
  </si>
  <si>
    <t>2019/10/15 17:33:55</t>
  </si>
  <si>
    <t>涉诉金额480元问题类型诉求类型投诉详情回看每期账单详情才发现每期都有灵活还款包这个服务费，每期我都按时还款，没有使用过这个灵活还款，联系过客服，客服说只能免一期，无法接受，还有在借款时，没有选择或不选择该灵活还款包的这一选项，隐藏费用，强制消费，还有安逸花只提供一年的账单记录，我不知道我之前的订单里有没有该隐藏费用。</t>
  </si>
  <si>
    <t>升学教育虚假宣传，诱导消费</t>
  </si>
  <si>
    <t>http://ts.21cn.com/tousu/show/id/1363973</t>
  </si>
  <si>
    <t>2019/10/15 17:32:39</t>
  </si>
  <si>
    <t>于2019年八月二十号报名，看了课程之后八月二十四退学，课程不佳，升学教育虚假宣传，开始就各种洗脑催促你交费，退学申请提出之后更是拒不退费，期间还以各种理由让你还分期贷款，扣你课时费，班主任，值班老师，客服更是联系不到，联系了也没有做出任何实质性的举动，就是不停的拖沓，就让你缴费，明明说好一个月内可以全额退款，结果我这七天还不到，就要扣除百分之二十五加百分之七十五里面的百分之十，说到底不就是坑钱吗，具体结果都没出来，老师客服都不处理，根本就没有人处理这个退费申请，退学申请，一直拖沓。</t>
  </si>
  <si>
    <t>催收威胁电话</t>
  </si>
  <si>
    <t>http://ts.21cn.com/tousu/show/id/1363970</t>
  </si>
  <si>
    <t>2019/10/15 17:32:10</t>
  </si>
  <si>
    <t>打电话过来，问我认识不认识一个人，然后让我帮他们联系对方还钱，我说没有义务帮他们联系，而且他们放贷的时候也没有跟我联系过，他就开始威胁我要搞臭我的征信，还威胁我的安全。</t>
  </si>
  <si>
    <t>暴力催收惊吓</t>
  </si>
  <si>
    <t>http://ts.21cn.com/tousu/show/id/1363965</t>
  </si>
  <si>
    <t>2019/10/15 17:30:36</t>
  </si>
  <si>
    <t>投诉人孔先生投诉对象MY钱包涉诉金额1800元问题类型诉求类型投诉详情本人应最近资金周转遇到困难，还招受高额罚息，，招到my钱包的暴力催收惊吓威胁，对我生活造成了严重影响，希望聚投诉能够帮忙协商，停止骚扰，。</t>
  </si>
  <si>
    <t>腾讯网游加速不好用频繁掉线</t>
  </si>
  <si>
    <t>http://ts.21cn.com/tousu/show/id/1363962</t>
  </si>
  <si>
    <t>2019/10/15 17:30:30</t>
  </si>
  <si>
    <t>投诉人盛东宇先生投诉对象腾讯涉诉金额18元问题类型诉求类型投诉详情玩端游绝地求生腾讯网游加速器频繁掉线。</t>
  </si>
  <si>
    <t>http://ts.21cn.com/tousu/show/id/1363954</t>
  </si>
  <si>
    <t>2019/10/15 17:28:08</t>
  </si>
  <si>
    <t>投诉人姚女士投诉对象钱站涉诉金额1100元问题类型诉求类型投诉详情钱站借款到账1100，合同金额却是1793，分三期进行还款，每期610元，已还两期，早已归还本金，现希望能协商减免部分费用销账！！！！！！。</t>
  </si>
  <si>
    <t>已经协商了15号晚上7点还款，还是暴力催收</t>
  </si>
  <si>
    <t>http://ts.21cn.com/tousu/show/id/1363951</t>
  </si>
  <si>
    <t>2019/10/15 17:27:39</t>
  </si>
  <si>
    <t>之前跟客服协商好的，15号晚上7点还，可是一直电话催骚扰我。</t>
  </si>
  <si>
    <t>信汇支付</t>
  </si>
  <si>
    <t>http://ts.21cn.com/tousu/show/id/1363952</t>
  </si>
  <si>
    <t>2019/10/15 17:27:26</t>
  </si>
  <si>
    <t>欺骗本人充值玩游戏！结果骗了我的钱！我要求退款！赔偿。</t>
  </si>
  <si>
    <t>翼支付参加活动未返利</t>
  </si>
  <si>
    <t>http://ts.21cn.com/tousu/show/id/1363949</t>
  </si>
  <si>
    <t>2019/10/15 17:26:59</t>
  </si>
  <si>
    <t>投诉人杨先生投诉对象翼支付涉诉金额10元问题类型诉求类型投诉详情参加翼支付的88-10的活动，支付成功了但是一会就退款了，在参加就无法参加了，占用了自己的名额，。</t>
  </si>
  <si>
    <t>代练猫订单乱仲裁</t>
  </si>
  <si>
    <t>http://ts.21cn.com/tousu/show/id/1363946</t>
  </si>
  <si>
    <t>2019/10/15 17:26:43</t>
  </si>
  <si>
    <t>下家导致封号，申请仲裁，居然还给他仲裁结算，也不扣取保证金，要保证金干嘛用的，找客服也没人。</t>
  </si>
  <si>
    <t>我要投诉慧金宝敏付科技违规为赌博行业提供支付渠道</t>
  </si>
  <si>
    <t>http://ts.21cn.com/tousu/show/id/1363911</t>
  </si>
  <si>
    <t>2019/10/15 17:25:49</t>
  </si>
  <si>
    <t>基于信任国家颁发的正规金融三方公司，才去充值入款！，《中华人民共和国刑法》第二百八十七条之二：，明知他人利用信息网络实施犯罪，为其犯罪提供互联网接入、服务器托管、网络存储、通讯传输等技术支持，或者提供广告推广、支付结算等帮助，情节严重的，处三年以下有期徒刑或者拘役，并处或者单处罚金，单位犯前款罪的，对单位判处罚金，并对其直接负责的主管人员和其他直接责任人员，依照第一款的规定处罚，有前两款行为，同时构成其他犯罪的，依照处罚较重的规定定罪处罚，《非银行支付机构网络支付业务管理办法》第十七条：，支付机构应当综合客</t>
  </si>
  <si>
    <t>减免费用</t>
  </si>
  <si>
    <t>http://ts.21cn.com/tousu/show/id/1363943</t>
  </si>
  <si>
    <t>2019/10/15 17:25:27</t>
  </si>
  <si>
    <t>本人8月18日在给你花月光侠申请的贷款，合同金额2750，实际到账2200，分3期每期还款948元实际要还2844元，现已还2期，剩余最后一期，现经济困难，收入不稳定，希望跟贵公司协商归还剩余本金加合理的利息。</t>
  </si>
  <si>
    <t>合肥拍拍贷恐吓催收</t>
  </si>
  <si>
    <t>http://ts.21cn.com/tousu/show/id/1363941</t>
  </si>
  <si>
    <t>2019/10/15 17:25:05</t>
  </si>
  <si>
    <t>很莫名其妙的被作为债务人第三方紧急联系人，并遭受恐吓威胁催收！对方称是合肥拍拍贷。</t>
  </si>
  <si>
    <t>利息过高无力还款请求协商</t>
  </si>
  <si>
    <t>http://ts.21cn.com/tousu/show/id/1363940</t>
  </si>
  <si>
    <t>2019/10/15 17:24:13</t>
  </si>
  <si>
    <t>投诉人 程羽        投诉对象  壹心分期        涉诉金额  1 400 元    问题类型    诉求类型投诉详情  已经在壹心借款多次 现无力还款 请求减少利息 诚心还款</t>
  </si>
  <si>
    <t>玖富万卡客服相互推诿，不给解决问题，导致我逾期被上征信</t>
  </si>
  <si>
    <t>http://ts.21cn.com/tousu/show/id/1363938</t>
  </si>
  <si>
    <t>2019/10/15 17:24:06</t>
  </si>
  <si>
    <t>2019年10月11日账单到期，多次操作无法扣款，于是联系玖富万卡客服，客服让我换张卡重新操作还款，之后按其建议换卡，仍然不能进行还款，之后再打客服电话，客服让我多操作几次，一整天操作了十多次，都不行，客服告知再次换卡，按照其要求重新办理了新的银行卡进行操作，还是不行，反复问客服有没有对公账户，知道10月14日才告知有多工账号，还说要申请，知道10月14日下午5点多才告知我对公账户，结果已经过了还款时间，只有10月15日进行操作，10月15日9点立马进行操作，之后与客服取得联系，让其尽快给我销账，不影响我的</t>
  </si>
  <si>
    <t>京东赠品不价保</t>
  </si>
  <si>
    <t>http://ts.21cn.com/tousu/show/id/1363932</t>
  </si>
  <si>
    <t>2019/10/15 17:22:25</t>
  </si>
  <si>
    <t>9月29在京东商城买部荣耀9X没有任何赠品，10月1号就搞活动赠价值129元小音箱，之后赠数据线，现在又赠音箱，找客服说赠品不在价保范围内，难道音箱不属于有价物品。</t>
  </si>
  <si>
    <t>马蜂窝拒绝退酒店费用</t>
  </si>
  <si>
    <t>http://ts.21cn.com/tousu/show/id/1363930</t>
  </si>
  <si>
    <t>2019/10/15 17:21:35</t>
  </si>
  <si>
    <t>由于航班取消，并非是个人原因导致不能去住酒店，开始马蜂窝并不退款，后面同意一笔3千多的退百分之65，1千多的退百分之85，但是这个不是我们自己造成的原因，为什么要我们自己来承担这个损失，这是不可抗拒的因素造成的，我们在马蜂窝上面订房，那他就是担保方，我也是属于预定，并不是合同形式的，我觉得根本就是在欺负人，希望你们能尽快处理这件事情，并且我们在其他网站上面的机票、酒店很快就把款退回来了。</t>
  </si>
  <si>
    <t>已还款不销账还电话催收骚扰。</t>
  </si>
  <si>
    <t>http://ts.21cn.com/tousu/show/id/1363927</t>
  </si>
  <si>
    <t>2019/10/15 17:21:12</t>
  </si>
  <si>
    <t>我在小树时代龙分期贷款已还清,但是没有给我销账，我已经明确告诉他们已经还了，但是他们还是打电话来。</t>
  </si>
  <si>
    <t>捷信金融消费贷款公司高利贷</t>
  </si>
  <si>
    <t>http://ts.21cn.com/tousu/show/id/1363921</t>
  </si>
  <si>
    <t>2019/10/15 17:17:27</t>
  </si>
  <si>
    <t>借款5万，还了3万1千元，现在告诉我还要还款46736.69元。</t>
  </si>
  <si>
    <t>钱橙无忧自己扣掉钱没有任何提示</t>
  </si>
  <si>
    <t>http://ts.21cn.com/tousu/show/id/1363919</t>
  </si>
  <si>
    <t>2019/10/15 17:17:05</t>
  </si>
  <si>
    <t>投诉人梁先生投诉对象钱橙无忧涉诉金额148元问题类型诉求类型投诉详情钱橙无忧点开没有退出按钮，自己扣款完成，也没有任何的服务提供，打人工客服电话态度恶劣，不退款也没提供服务。</t>
  </si>
  <si>
    <t>万达旗下快钱快易花乱上征信</t>
  </si>
  <si>
    <t>http://ts.21cn.com/tousu/show/id/1363916</t>
  </si>
  <si>
    <t>2019/10/15 17:15:39</t>
  </si>
  <si>
    <t>之前在快钱快易花上面贷的钱，因为当时快钱快易花的利息不合理因此我在没有逾期的情况下及时和快钱快易花的客服取得联系，但是他们一直没有给我一个合理的利息金额所以一直协商，协商中客服还给我说的是帮我申请延期还款，当协商金额双方达成共识时我及时把款项全部还上，后续我去查询我的征信上面却显示快钱快易花把我每一笔贷的款逾期的或没逾期的全部上传到征信上面，导致我现在很懊恼，注：当时我在快钱快易花上面贷款的时候没有明确的标注每笔都要和征信同步，我的诉求是要求快钱快易花消除我的逾期记录还要求快钱快易花把我没有逾期的上传征信上</t>
  </si>
  <si>
    <t>招联金融借款人还款</t>
  </si>
  <si>
    <t>http://ts.21cn.com/tousu/show/id/1363882</t>
  </si>
  <si>
    <t>2019/10/15 17:15:23</t>
  </si>
  <si>
    <t>之前有人员跟我联系协商处理欠款的事情，协商好以后我把款项处理进去了，一个月后账单没有结清再次联系工作人员发现工作人员把我删了，打客服电话一直都是不给我回复，一直说在处理，已经快2个月了。</t>
  </si>
  <si>
    <t>高利贷，强迫交易，高额逾期费</t>
  </si>
  <si>
    <t>http://ts.21cn.com/tousu/show/id/1363910</t>
  </si>
  <si>
    <t>2019/10/15 17:14:59</t>
  </si>
  <si>
    <t>花转转樱桃小借，借2800，还4000多，分四期，第一期通过支付宝还款，第二期支付宝还不了，银行卡也还不了，平台客服联系不上，均有截图，现催收态度恶略打电话来，要求全额还款，并要还高达2000多的逾期费用，并威胁爆通讯录，我均已录音，已报当地派出所报案，连支付通道一块，现要求减去逾期费用及高额利息，一天不解决我报案报到底。</t>
  </si>
  <si>
    <t>给予照顾、调整利率</t>
  </si>
  <si>
    <t>http://ts.21cn.com/tousu/show/id/1363909</t>
  </si>
  <si>
    <t>2019/10/15 17:14:52</t>
  </si>
  <si>
    <t>我是一名肝癌患者因病复发致现在资金困难，今天与玖富客服协商能给予照顾适当调整利率，客服非要让我一次结清才能优惠，我再三请求她向上级领导发应一下我的问题遭到拒绝，如果我有这个能力这次看病还要发起水滴筹款呢，恳请公司能给予适当照顾调整，公司毕竟不是慈善机构，我也不会有非份诉求的，公司也是知名的上市公司我想也是有爱心的，为感！。</t>
  </si>
  <si>
    <t>拿小孩做文章，威胁还款</t>
  </si>
  <si>
    <t>http://ts.21cn.com/tousu/show/id/1363908</t>
  </si>
  <si>
    <t>2019/10/15 17:14:36</t>
  </si>
  <si>
    <t>投诉人吴女士投诉对象京东金融涉诉金额750元问题类型诉求类型投诉详情工作人员态度很恶劣，拿孩子做文章威胁，大人有错，幼童何其无辜，要拿来做文章。</t>
  </si>
  <si>
    <t>即有分期没给我结清证明</t>
  </si>
  <si>
    <t>http://ts.21cn.com/tousu/show/id/1363897</t>
  </si>
  <si>
    <t>2019/10/15 17:10:34</t>
  </si>
  <si>
    <t>目前本人已经结清即有分期所有欠款，要求即有分期给我21*******1@qq.com邮箱发结清证明文件。</t>
  </si>
  <si>
    <t>http://ts.21cn.com/tousu/show/id/1363896</t>
  </si>
  <si>
    <t>2019/10/15 17:09:50</t>
  </si>
  <si>
    <t>投诉人成先生投诉对象来分期涉诉金额1000元问题类型诉求类型投诉详情一直打电话骚扰，每天十几个，每天打电话，道歉。</t>
  </si>
  <si>
    <t>众人帮悬赏主恶意不通过</t>
  </si>
  <si>
    <t>http://ts.21cn.com/tousu/show/id/1363893</t>
  </si>
  <si>
    <t>2019/10/15 17:08:41</t>
  </si>
  <si>
    <t>投诉人 张凯        投诉对象  众人帮        涉诉金额  3 元    问题类型    诉求类型投诉详情  完成悬赏主发布的任务，可是悬赏主不给通过</t>
  </si>
  <si>
    <t>http://ts.21cn.com/tousu/show/id/1363888</t>
  </si>
  <si>
    <t>2019/10/15 17:07:27</t>
  </si>
  <si>
    <t>2100还2400弟一期以还第2期一直还款失败客服电话打不通通过立借客服叫他帮我联系钱置宝20多天没一个电话现在打电话来说要收取2000多的逾期费用。</t>
  </si>
  <si>
    <t>速金服超高利息坑人</t>
  </si>
  <si>
    <t>http://ts.21cn.com/tousu/show/id/1363886</t>
  </si>
  <si>
    <t>2019/10/15 17:06:59</t>
  </si>
  <si>
    <t>9月26日申请借款，一直显示放款中，直到10月15号下午4点，款项才到账，但是账单显示10.26日就要还款，各种服务费的叠加，借款2000元本金，最后还款近3500元。</t>
  </si>
  <si>
    <t>到件不派送</t>
  </si>
  <si>
    <t>http://ts.21cn.com/tousu/show/id/1363885</t>
  </si>
  <si>
    <t>2019/10/15 17:06:40</t>
  </si>
  <si>
    <t>快件10月13到达配送网点，然后到现在未配送物流显示快递离您越来越近，昨天联系申通客服，给员工电话不给我公司电话，还进行辱骂，然后联系淘宝客服说今天会配送，但是到现在还未送达。</t>
  </si>
  <si>
    <t>拼多多不让我提现货款</t>
  </si>
  <si>
    <t>http://ts.21cn.com/tousu/show/id/1363877</t>
  </si>
  <si>
    <t>2019/10/15 17:03:08</t>
  </si>
  <si>
    <t>投诉人 刘先生        投诉对象  拼多多        涉诉金额  8 800 元    问题类型    诉求类型投诉详情  我的货款不让提现，总是网络异常，稍后再试</t>
  </si>
  <si>
    <t>胡乱添加我好友微信，发信息恐吓</t>
  </si>
  <si>
    <t>http://ts.21cn.com/tousu/show/id/1363875</t>
  </si>
  <si>
    <t>2019/10/15 17:03:02</t>
  </si>
  <si>
    <t>还呗利息高出法定利率，现在还有专门的人胡乱添加我好友微信，发信息骂人，还恐吓，骚扰别人的生活，现在都可以随便上门的吗。</t>
  </si>
  <si>
    <t>移动店员态度恶劣，胡乱收费</t>
  </si>
  <si>
    <t>http://ts.21cn.com/tousu/show/id/1363867</t>
  </si>
  <si>
    <t>2019/10/15 17:00:07</t>
  </si>
  <si>
    <t>去他这家店办卡，还要我提供工作证明和公司营业执照，要我付200块钱办卡，我不答应，问他我什么，很不耐烦解答我，在办卡过程中，说“你这卡办去拿来干嘛你自己心里没数吗”投诉给10086，该店拒绝道歉。</t>
  </si>
  <si>
    <t>恒易昌催收短信轰炸</t>
  </si>
  <si>
    <t>http://ts.21cn.com/tousu/show/id/1363866</t>
  </si>
  <si>
    <t>2019/10/15 17:00:03</t>
  </si>
  <si>
    <t>投诉人李先生投诉对象恒昌利通涉诉金额17000元问题类型诉求类型投诉详情恒易贷催收短信轰炸本人手机，骚扰本人，我要求催收过来道歉不然我会一直投诉。</t>
  </si>
  <si>
    <t>淘宝店铺被他人违法使用导致永久封禁</t>
  </si>
  <si>
    <t>http://ts.21cn.com/tousu/show/id/1363864</t>
  </si>
  <si>
    <t>2019/10/15 16:59:48</t>
  </si>
  <si>
    <t>投诉人于先生投诉对象淘宝网涉诉金额0元问题类型诉求类型投诉详情2012年在舞泡网上转让了淘宝账户，结果不到一个月左右就有人联系我说退款，我也纳闷是什么，原来是拿我的账户去骗钱了，结果好多人都联系到我，这个舞泡网是个转让账户的平台，他们也没有正式合同，现在也没人管，我觉得既然拿账户去做违法的事情，就应该收回账户，现在我在淘宝申请的企业账户，申请开店都不可以，直接提示我之前的账户违规了，导致我名下的淘宝账户都不能开店，我希望帮我解除之前的封禁，毕竟那不是我做的，我是在天津，买家是上海，淘宝不是说实时监测ip么，</t>
  </si>
  <si>
    <t>http://ts.21cn.com/tousu/show/id/1363863</t>
  </si>
  <si>
    <t>2019/10/15 16:59:16</t>
  </si>
  <si>
    <t>豹子贷,上海造艺网络科技,造艺网络科技,银码头，下载了豹子贷注册登录填了资料也没看明白，然后2019年10月14日收到短信我银行卡被豹子贷平台扣款200元，卡里仅有200元，2019年卡里有钱了，又被豹子贷平台扣款98.5元，本人总共被豹子贷平台扣款298.5元，太不安全了乱扣个人卡里的钱让人害怕请求豹子贷退我钱。</t>
  </si>
  <si>
    <t>及贷泄露隐私恐吓</t>
  </si>
  <si>
    <t>http://ts.21cn.com/tousu/show/id/1363860</t>
  </si>
  <si>
    <t>2019/10/15 16:58:50</t>
  </si>
  <si>
    <t>及贷冒充公检法群发短信泄露隐私恐吓我，我现在只是没钱，没有说不还，你们就爆我通讯录，我有钱了会一次性还清的，我现在连吃饭都困难，我要求你们给我个解释，你们这就是威胁，催收有权利发吗。</t>
  </si>
  <si>
    <t>在平台租手机乱扣款</t>
  </si>
  <si>
    <t>http://ts.21cn.com/tousu/show/id/1363855</t>
  </si>
  <si>
    <t>2019/10/15 16:57:48</t>
  </si>
  <si>
    <t>投诉人 王先生        投诉对象  淘新机        涉诉金额  1 120 元    问题类型    诉求类型投诉详情  在这平台租个手机利息高不说 没个月还乱扣款 这个平台太差了。希望能给个合理的结果</t>
  </si>
  <si>
    <t>贷上钱暴力催收，态度嚣张恶劣</t>
  </si>
  <si>
    <t>http://ts.21cn.com/tousu/show/id/1363853</t>
  </si>
  <si>
    <t>2019/10/15 16:57:43</t>
  </si>
  <si>
    <t>贷上钱暴力催收，恶意骚扰我的亲人朋友！导致我的亲人住院！我老婆是个孕妇，现在被他们天天打电话吓得已经抑郁了！第一我没有拒接电话，第二我没有拒绝还款！他们在处理这个问题的期间恶意曝光我通讯录！让我已经没办法正常生活！。</t>
  </si>
  <si>
    <t>蜂窝钱包砍头息</t>
  </si>
  <si>
    <t>http://ts.21cn.com/tousu/show/id/1363852</t>
  </si>
  <si>
    <t>2019/10/15 16:57:11</t>
  </si>
  <si>
    <t>10月14号在小七钱包平台，下载的蜂窝钱包app审核还没点确认就放款了，6天一期借1550元还款2500属于高利贷，砍头息！下款当天就准备联系客服退回本金，但一直联系不到客服，留的号码一直无人接听客服电话：189******50。</t>
  </si>
  <si>
    <t>http://ts.21cn.com/tousu/show/id/1363844</t>
  </si>
  <si>
    <t>2019/10/15 16:55:39</t>
  </si>
  <si>
    <t>交钱前后说法不一，之前有讲考试很简单的，开卷考，但是实际我觉得对于我来讲是比较难的，我自己也没太多时间和精力学习，他们的合同是霸王合同，没有一点对学员考虑的。</t>
  </si>
  <si>
    <t>广发银行催收</t>
  </si>
  <si>
    <t>http://ts.21cn.com/tousu/show/id/1363842</t>
  </si>
  <si>
    <t>2019/10/15 16:55:15</t>
  </si>
  <si>
    <t>本人由于借款给朋友暂时无法收回，而导致银行信用卡逾期，责任在我，我也承认，金额也不是很多，我有能力处理，只是需要点时间，我也在想办法解决，但是广发银行的催收态度恶劣，威胁要起诉我，逼我要在10月15号处理全款，我在10月14号已筹款2900元还了进去，剩余6800元朋友承诺会在10月18号还我，我要求客服提供工号，但对方拒绝，逾期行为是不对，希望能好好协商，否则本人坚决投诉到底。</t>
  </si>
  <si>
    <t>http://ts.21cn.com/tousu/show/id/1363841</t>
  </si>
  <si>
    <t>2019/10/15 16:55:02</t>
  </si>
  <si>
    <t>资金冻结无法提现客服不理无法申请退款请求申请退款。</t>
  </si>
  <si>
    <t>富友支付违规扣款，违规为714高炮提供支付通道</t>
  </si>
  <si>
    <t>http://ts.21cn.com/tousu/show/id/1363839</t>
  </si>
  <si>
    <t>2019/10/15 16:54:53</t>
  </si>
  <si>
    <t>富友支付作为支付平台，违规为现金巴士提供扣款通道，在到账当天违规扣去148，至今不知道是什么费用，现金巴士是有名的714，1000元7天利息148元，年利率1000%以上，富友支付与其合作，违法违规，现要求退我非法所得部分利息。</t>
  </si>
  <si>
    <t>华夏银行无故骚扰家人</t>
  </si>
  <si>
    <t>http://ts.21cn.com/tousu/show/id/1363833</t>
  </si>
  <si>
    <t>2019/10/15 16:52:55</t>
  </si>
  <si>
    <t>华夏银行信用卡中心自称找不到本人，在未询问我现住址情况下，未经我同意，未与本人确认的情况下，故意找借口去骚扰父母，恐吓威逼还款，通话时态度恶劣蛮横，我父母身体不好，因为这事儿休息不好，我一直表态协商还款，但银行始终没有给出明确方案。</t>
  </si>
  <si>
    <t>宣传不符，收钱不干事，还不退钱</t>
  </si>
  <si>
    <t>http://ts.21cn.com/tousu/show/id/1363831</t>
  </si>
  <si>
    <t>2019/10/15 16:52:29</t>
  </si>
  <si>
    <t>投诉人胡先生投诉对象厦门安居网网络科技有限公司涉诉金额8000元问题类型诉求类型投诉详情本人在20190903日在安居网网络科技有限公司业务员工的宣传下交了8000块钱签订了会员制合作，具体服务内容如下，一年内每个月提供8个真实甲醛检测业务定单，以真实检测为准，然后附带在百度网络上给我做网络搜索宣传，从2019年9月3号到2019年10月15号没有给我派出过一单真实定单，中间我问的时候给我几个根本没有的订单，签合同时业务人员说他们公司订单多，现在又说帮我做了网络宣传，钱花完了，你的合同服务内容是派单，派不了</t>
  </si>
  <si>
    <t>高利贷，阴阳合同，砍头息</t>
  </si>
  <si>
    <t>http://ts.21cn.com/tousu/show/id/1363830</t>
  </si>
  <si>
    <t>2019/10/15 16:52:16</t>
  </si>
  <si>
    <t>急需用钱在钱站9月29日申请借款3000元，直到10月9号放款的，到账金额3000，合同却是3990元，分3期，每期还1900多，3期总还5800多，这就是高利贷，砍头息，骗取高额服务费，超出了国家法律利率，要求只还3000元分3期的本金利息。</t>
  </si>
  <si>
    <t>不予协商</t>
  </si>
  <si>
    <t>http://ts.21cn.com/tousu/show/id/1363828</t>
  </si>
  <si>
    <t>2019/10/15 16:52:00</t>
  </si>
  <si>
    <t>本来打电话和我说可以协商的刚才我收到了短信并说我恶意拖欠。</t>
  </si>
  <si>
    <t>贷款利息高，抵押金不许退回</t>
  </si>
  <si>
    <t>http://ts.21cn.com/tousu/show/id/1363822</t>
  </si>
  <si>
    <t>2019/10/15 16:50:34</t>
  </si>
  <si>
    <t>贷款利息过高，抵押金不退，合同强制签订，无面签。</t>
  </si>
  <si>
    <t>小象优品违规手续费，不提供合同协议</t>
  </si>
  <si>
    <t>http://ts.21cn.com/tousu/show/id/1363821</t>
  </si>
  <si>
    <t>2019/10/15 16:50:30</t>
  </si>
  <si>
    <t>本人在小象优品分别借款两笔，一笔借款5000，在没有经过本人同意的情况下收取手续费1800元，且平台无法提供借款合同和所谓手续费的合同或协议，已经还8期，4533.36元，但是平台显示还要还4期，剩余4期还需还2266.68元，第二笔借款8000元，也是在没有经过本人同意的情况下收取手续费2880元，已还款6期，共计还款5440元，平台显示剩余还要还款6期，5440元，平台根本无法提供借款合同，无法明确借款年利率，无法提供手续费协议或者合同，我认为其中有问题，我也咨询过律师，法院一般认定所有管理费，手续费，</t>
  </si>
  <si>
    <t>小赢卡贷向在校大学生贷款侵犯个人隐私</t>
  </si>
  <si>
    <t>http://ts.21cn.com/tousu/show/id/1363820</t>
  </si>
  <si>
    <t>2019/10/15 16:50:11</t>
  </si>
  <si>
    <t>等毕业后再还款，且在可以联系我本人的情况下，不得联系我的联系人。</t>
  </si>
  <si>
    <t>贷款公司骚扰</t>
  </si>
  <si>
    <t>http://ts.21cn.com/tousu/show/id/1363817</t>
  </si>
  <si>
    <t>2019/10/15 16:47:43</t>
  </si>
  <si>
    <t>李明双在该贷款公司贷款，本人并不知晓，更不是担保人，该公司三番五次给本人和本人父母兄妹发送催收信息和律师函，导致本人父母心神不宁，影响身体健康，并且本人哥哥嫂嫂都在国营单位上班，严重影响个人信誉和正常生活，也严重影响本人的正常生活。</t>
  </si>
  <si>
    <t>阿里巴巴商家欺诈</t>
  </si>
  <si>
    <t>http://ts.21cn.com/tousu/show/id/1363809</t>
  </si>
  <si>
    <t>2019/10/15 16:44:10</t>
  </si>
  <si>
    <t>10.7号左右从阿里巴巴每全鑫工厂店铺购买一件水貂，10.7号左右从阿里巴巴每全鑫工厂店铺购买一件水貂 10.9号拒收 假冒品牌 掉毛超级严重 告知商家已经拒收 商家告知我会尽快给快递公司打电话退回 多次询问快递公司 快递公司告知商家从没给他们打电话要求退回 10.14号快递被商家签收 告知我库房通知货到了就给我退款 于是等到15号 千牛叫卖家 卖家根本不回复 打电话 直接给我拉黑 明显属于欺诈问题 1688客服都是摆设 没有任何员工处理 每全鑫皮草工厂店负责任电话 135******36。</t>
  </si>
  <si>
    <t>未借款说我有借款催收打电话恐吓</t>
  </si>
  <si>
    <t>http://ts.21cn.com/tousu/show/id/1363806</t>
  </si>
  <si>
    <t>2019/10/15 16:43:31</t>
  </si>
  <si>
    <t>未借款有人打电话说我在信用花平台借款到期，让我还款2800多，我问她什么时候借的，她说查不到。</t>
  </si>
  <si>
    <t>优信二手车退车无门</t>
  </si>
  <si>
    <t>http://ts.21cn.com/tousu/show/id/1363489</t>
  </si>
  <si>
    <t>2019/10/15 16:42:18</t>
  </si>
  <si>
    <t>投诉人孙维勇投诉对象优信二手车涉诉金额3710元问题类型诉求类型投诉详情我想买一辆二手车，网上找了优信二手车平台，山东聊城东昌府区的优信客服向我保证他们商城的车经过了层层的检测，绝不会出问题还说车子三天无理由可以退，于是我在10月6日付定金3710元，买了一辆价值37100元的雪佛兰赛欧车，10月七日让我送身份证过去，10月9见到实车，打开车子前盖发现发动机漏油这是提前没有告知我的，还有几处剐蹭也没有提前说明情况！让我严重怀疑优信的检测，这么大的毛病竟然检测不出来，当时说可以退车，让我先回家，半路上给我打电</t>
  </si>
  <si>
    <t>高利贷，罚息超过年利率24%</t>
  </si>
  <si>
    <t>http://ts.21cn.com/tousu/show/id/1363800</t>
  </si>
  <si>
    <t>2019/10/15 16:41:01</t>
  </si>
  <si>
    <t>中业易贷，本金10000元，12期，每期1133.32元，已还1期，发现利率太高，跟他方平台沟通，调整利率，他方不同意，说是按法律流程走！那我只能奉陪了！现在逾期50天，今天接到电话，限我今明二天必须还进去！超过36%了，还让我怎么处理呢。</t>
  </si>
  <si>
    <t>拼多多提供网络赌博充值</t>
  </si>
  <si>
    <t>http://ts.21cn.com/tousu/show/id/1363798</t>
  </si>
  <si>
    <t>2019/10/15 16:40:01</t>
  </si>
  <si>
    <t>拼多多提供网络赌博充值业务，诱导消费者，请求退款，处罚拼多多。</t>
  </si>
  <si>
    <t>高额利息服务费</t>
  </si>
  <si>
    <t>http://ts.21cn.com/tousu/show/id/1363794</t>
  </si>
  <si>
    <t>2019/10/15 16:39:44</t>
  </si>
  <si>
    <t>本人通过融360平台在时光分期点击了借款8000，通过了，让我去开户，我没有开户就直接给我下款了，下款后出资方给我来电02759716753核查态度特别好，问收到款项没，然后告诉我每月还款804元，我说挺好的，会按时还款的，但是我一看账单傻眼了每月940多元，怎么回事，他们说是服务费，这不是坑人的嘛，利息服务费，不希望这么坑老百姓。</t>
  </si>
  <si>
    <t>http://ts.21cn.com/tousu/show/id/1363789</t>
  </si>
  <si>
    <t>2019/10/15 16:39:04</t>
  </si>
  <si>
    <t>中信银行信用卡中心雇佣暴力催收人员对我进行辱骂，恐吓，不是我信用卡逾期，只是一个朋友把我电话设置成联系人，这个是催收人员电话131******13，他不断的骚扰我，还说要找人打我，威胁我。</t>
  </si>
  <si>
    <t>http://ts.21cn.com/tousu/show/id/1363787</t>
  </si>
  <si>
    <t>2019/10/15 16:38:38</t>
  </si>
  <si>
    <t>约好15号还款，现在时间没过，催收员采取打亲戚朋友电话，骂人，威胁，各种暴力手段催收。</t>
  </si>
  <si>
    <t>钱站威胁催收</t>
  </si>
  <si>
    <t>http://ts.21cn.com/tousu/show/id/1363786</t>
  </si>
  <si>
    <t>2019/10/15 16:38:32</t>
  </si>
  <si>
    <t>今天一天收到来自钱站大概前前后后六七位工作人员的信息和微信，一天没法好好工作，一直在骚扰我，言语威胁还恐吓，而且明明联系的上还要联系通讯录。</t>
  </si>
  <si>
    <t>http://ts.21cn.com/tousu/show/id/1363783</t>
  </si>
  <si>
    <t>2019/10/15 16:37:10</t>
  </si>
  <si>
    <t>投诉人 马女士        投诉对象  来分期        涉诉金额  70 元    问题类型    诉求类型投诉详情  威胁，爆通讯录。恐吓，要求催收人员道歉，催收员态度不好</t>
  </si>
  <si>
    <t>你我贷骚扰电话</t>
  </si>
  <si>
    <t>http://ts.21cn.com/tousu/show/id/1363778</t>
  </si>
  <si>
    <t>2019/10/15 16:35:42</t>
  </si>
  <si>
    <t>投诉人邓先生投诉对象你我贷涉诉金额0元问题类型诉求类型投诉详情朋友在你我贷有借款，但是他最近电车给盗，手机和钱包都在车里导致逾期，我好心接手机给朋友联系你们，你们那边领导也说了15号处理好，但是15号还未过，你们客服老是打我电话找我朋友，我又不是他谁。</t>
  </si>
  <si>
    <t>拍拍贷委托方骚扰</t>
  </si>
  <si>
    <t>http://ts.21cn.com/tousu/show/id/1363776</t>
  </si>
  <si>
    <t>2019/10/15 16:34:36</t>
  </si>
  <si>
    <t>拍拍贷高利贷利息超过国家规定，协商只换国家规定的利息，拍拍贷拒绝，委托第三方，第三方骚扰我家人朋友，无法正常生活。</t>
  </si>
  <si>
    <t>目无法律的高利贷</t>
  </si>
  <si>
    <t>http://ts.21cn.com/tousu/show/id/1363775</t>
  </si>
  <si>
    <t>2019/10/15 16:34:33</t>
  </si>
  <si>
    <t>我老婆从恒易贷贷款22000元，而合同是27000元，五千元的高额服务费，典型的砍头息高利贷，我们主动和他们平台协商还款对方不同意，而且今天不联系我媳妇的手机，直接打单位电话，而且我媳妇同事让恒易贷的联系我媳妇，恒易贷的给我媳妇说他们想联系谁就联系谁，恒易贷记住你所说的每一句话，我们都有录音为证！她的工作要是丢了，你们别想得到一分钱，你们就属于典型的高利贷，证据我都留着呢！你们眼中还有法律嘛，等待你们的将是法律的制裁，公安局我也备案过了，现在就差证据，没事你们随便爆通讯录，我亲戚朋友招呼我都打过了。</t>
  </si>
  <si>
    <t>光大银行授权第三方催收威胁家里人，把我们村的电话打过一遍，严重影响生活</t>
  </si>
  <si>
    <t>http://ts.21cn.com/tousu/show/id/1363772</t>
  </si>
  <si>
    <t>2019/10/15 16:33:20</t>
  </si>
  <si>
    <t>投诉人张女士投诉对象光大银行信用卡中心涉诉金额20000元问题类型诉求类型投诉详情光大银行授权郑州第三方催收，往家里人打电话，把我们村的每个人队长，村支书，超市老板电话打过一遍，威胁家里人，套家里人信息，泄露信息，有录音为证，催收人不敢用国内电话催收，用境外电话，家里人身体不好，现在已经把他们的身体威胁垮了，全村人都知道是我欠钱。</t>
  </si>
  <si>
    <t>交通银行催收人员威胁恐吓</t>
  </si>
  <si>
    <t>http://ts.21cn.com/tousu/show/id/1363767</t>
  </si>
  <si>
    <t>2019/10/15 16:31:07</t>
  </si>
  <si>
    <t>本人于2016年在福州办理了一张交通银行信用卡，但是我办卡的时候留的直系亲属的电话号码本人父母一直都在用，还威胁我说只要我不还就打电话给我的村委会起诉我等等。</t>
  </si>
  <si>
    <t>招商银行信用卡协商全额还款，希望减免滞纳金逾期费用和利息</t>
  </si>
  <si>
    <t>http://ts.21cn.com/tousu/show/id/1363765</t>
  </si>
  <si>
    <t>2019/10/15 16:30:31</t>
  </si>
  <si>
    <t>逾期3个月，还过第一期最低还款，一直被骚扰，给客服打电话态度差，不协商，我提出全额还款，希望能减免滞纳金和利息都不行，希望给予处理，我压力太大了，谢谢。</t>
  </si>
  <si>
    <t>钱站阴阳合同收取高额利息</t>
  </si>
  <si>
    <t>http://ts.21cn.com/tousu/show/id/1363764</t>
  </si>
  <si>
    <t>2019/10/15 16:30:28</t>
  </si>
  <si>
    <t>2019年11月08号在钱站借款6000元。</t>
  </si>
  <si>
    <t>借款不到账一个月后催还钱</t>
  </si>
  <si>
    <t>http://ts.21cn.com/tousu/show/id/1363761</t>
  </si>
  <si>
    <t>2019/10/15 16:29:44</t>
  </si>
  <si>
    <t>借款一个月不到账一个月后天天电话骚扰还钱，解释不通，客服联系不到。</t>
  </si>
  <si>
    <t>软暴力</t>
  </si>
  <si>
    <t>http://ts.21cn.com/tousu/show/id/1363756</t>
  </si>
  <si>
    <t>2019/10/15 16:28:34</t>
  </si>
  <si>
    <t>贷了5.5万元，现在已还4.8万元，提前还款，还要我还4.万元，经过协商少了1千元，我不同意，每天电话都要打10个左右，严重影响了我的生活。</t>
  </si>
  <si>
    <t>http://ts.21cn.com/tousu/show/id/1363753</t>
  </si>
  <si>
    <t>2019/10/15 16:27:55</t>
  </si>
  <si>
    <t>投诉人李女士投诉对象兴业银行信用卡涉诉金额5700元问题类型诉求类型投诉详情本人由于母亲生病，加上自己住院，逾期了两个月没有还款，现在还进去了2400块钱了，不是自己不想还，实在是资金困难，催收人员一个劲的威胁说要立案带警察上门还说要起诉我，还给我的父母打电话，本人的父亲有直肠癌，本来就身体不好，万一气个好歹谁负责，不是说我想赖账不还钱，而是实在是一次性结清欠款还不上，我的卡本来就走的分期，现在希望可以跟银行争取一个分期还款的机会。</t>
  </si>
  <si>
    <t>中原消费金融各种推脱责任，与合作平台狼狈为奸</t>
  </si>
  <si>
    <t>http://ts.21cn.com/tousu/show/id/1363750</t>
  </si>
  <si>
    <t>2019/10/15 16:27:50</t>
  </si>
  <si>
    <t>作为合作平台，与360借条狼狈为奸，为虎作伥，现要求提前还款，减免利息。</t>
  </si>
  <si>
    <t>宝付支付与讯秒狼狈为奸，拒绝提供商户信息，导致讯秒主体公司注销无法追回违法利息，请宝付赔偿我损失</t>
  </si>
  <si>
    <t>http://ts.21cn.com/tousu/show/id/1363746</t>
  </si>
  <si>
    <t>2019/10/15 16:26:16</t>
  </si>
  <si>
    <t>宝付支付作为一个支付平台，未尽审核义务，为高利贷714高炮平台提供支付通道，跟他索要商户明细百般为难，导致我无法及时的维权，讯秒的主体公司太和县即呗网络科技有限公司在19年6月注销了，现在导致我无法追回损失，作为支付平台，未尽审核义务，太和县即呗网络科技有限公司在18年注册，19年就注销了，这是正常的么，宝付应承担连带责任，宝付支付你赔偿我损失2419元。</t>
  </si>
  <si>
    <t>暴力催收无法无天</t>
  </si>
  <si>
    <t>http://ts.21cn.com/tousu/show/id/1363743</t>
  </si>
  <si>
    <t>2019/10/15 16:25:12</t>
  </si>
  <si>
    <t>投诉人刘先生投诉对象你我贷涉诉金额10000元问题类型诉求类型投诉详情你我贷就是，打个巴掌在给个甜枣，投诉多次，也不管用，还多次威胁恐吓，你们之前暴力催收，骂人，各种卑鄙的手段，你们怎么不说，这么大的平台居然能做出这种事，投诉说好好的让我取消投诉，你们还是这样，你们爆通讯录的人，我可都联系好了，都可以给我证明，你们的每一通电话，每个短信，都可以找出来，你们各种解释，也掩盖不了罪行，如果你们要上报国家，那我们就法庭见吧，我就不信，国家会被袒护你们，如果你们还这样，那我们就走法律程序吧，我要求赔偿我，个人名声受</t>
  </si>
  <si>
    <t>评估费249不退</t>
  </si>
  <si>
    <t>http://ts.21cn.com/tousu/show/id/1363742</t>
  </si>
  <si>
    <t>2019/10/15 16:24:36</t>
  </si>
  <si>
    <t>投诉人 贺先生        投诉对象  百事普惠        涉诉金额  249 元    问题类型    诉求类型投诉详情  没通过也不退评估费的 艹了 什么鬼平台啊 无欲无故把我的300给黑了</t>
  </si>
  <si>
    <t>无缘无故被扣费</t>
  </si>
  <si>
    <t>http://ts.21cn.com/tousu/show/id/1363654</t>
  </si>
  <si>
    <t>2019/10/15 16:22:14</t>
  </si>
  <si>
    <t>人人花在本人毫无知情的且未授权同意的情况下，盗扣本人银行卡198元，我自己却连对方是个啥平台都不知道，提供了啥服务也不知道，所以要求退款，我也没啥文化大不了报警，银监会投诉，维权到底。</t>
  </si>
  <si>
    <t>本人未签收却显示已签收。</t>
  </si>
  <si>
    <t>http://ts.21cn.com/tousu/show/id/1363734</t>
  </si>
  <si>
    <t>2019/10/15 16:20:31</t>
  </si>
  <si>
    <t>投诉人 方先生        投诉对象  申通快递        涉诉金额  490 元    问题类型    诉求类型投诉详情  本人未签收，却显示已经签收，快递并未收到</t>
  </si>
  <si>
    <t>360借条高利贷、霸王合同</t>
  </si>
  <si>
    <t>http://ts.21cn.com/tousu/show/id/1363732</t>
  </si>
  <si>
    <t>2019/10/15 16:20:07</t>
  </si>
  <si>
    <t>360借条高利贷，提前还款不减免利息，霸王合同。</t>
  </si>
  <si>
    <t>恐吓，骚扰</t>
  </si>
  <si>
    <t>http://ts.21cn.com/tousu/show/id/1363731</t>
  </si>
  <si>
    <t>2019/10/15 16:19:55</t>
  </si>
  <si>
    <t>对我家人，公司进行骚扰，已经严重影响我正常上班，对我家人进行骚扰，说我出车祸了，在这样下去，我无法正常上班影响心情。</t>
  </si>
  <si>
    <t>立借12337中国打黑办投诉</t>
  </si>
  <si>
    <t>http://ts.21cn.com/tousu/show/id/1363729</t>
  </si>
  <si>
    <t>2019/10/15 16:18:53</t>
  </si>
  <si>
    <t>立借平台涉嫌高利贷暴力催收，本来想与其协商，现在不协商了还本金加利息，现在不准备还了，已于10月9日派出所立案，欢迎法院告我，所有催收不协商，威胁录音均已转交派出所，你们不是不协商吗，让我付高额的其他费用，现在不用协商了。</t>
  </si>
  <si>
    <t>上海点佰趣信息科技有限公司冒充工商银行以办理信用卡为前提，在我不知的情况盗刷我卡里298元，希望点佰趣尽快解决！</t>
  </si>
  <si>
    <t>http://ts.21cn.com/tousu/show/id/1363723</t>
  </si>
  <si>
    <t>2019/10/15 16:17:38</t>
  </si>
  <si>
    <t>希望上海点佰趣信息科技有限公司帮我解决，冒充工商银行工作人员！盗刷我银行卡里298也是违法行为！希望尽快解决！。</t>
  </si>
  <si>
    <t>海南圣云可网络科技有限公司</t>
  </si>
  <si>
    <t>http://ts.21cn.com/tousu/show/id/1363721</t>
  </si>
  <si>
    <t>2019/10/15 16:16:46</t>
  </si>
  <si>
    <t>突然收到银行短信被恶意扣了50元钱，要求必须退回。</t>
  </si>
  <si>
    <t>神马借套路贷</t>
  </si>
  <si>
    <t>http://ts.21cn.com/tousu/show/id/1363720</t>
  </si>
  <si>
    <t>2019/10/15 16:16:42</t>
  </si>
  <si>
    <t>本人在2019年9月01号于信用管家的神马借这款产品借款3000元，还款期限为四期每一期为8天，每一期还款1024元，四期连本带息需要还款4096元，也就是说借款3000元32天，利息就1400多元！属于典型高利贷，如今本人已经偿还了前二期，已经还了2048元，在还第3期的时候就还不了款并且联系过客服，表示销账，因为利息太高，不合法，只能按照合法利息支付，但是客服一直不给处理销账，已经过去很多天了，一直处于逾期，他们的催收也打电话给我加我qq催我，而且滞纳金一直在涨，希望相关商家尽快处理销账，不然一直追究到</t>
  </si>
  <si>
    <t>豹子贷不退钱</t>
  </si>
  <si>
    <t>http://ts.21cn.com/tousu/show/id/1363718</t>
  </si>
  <si>
    <t>2019/10/15 16:14:58</t>
  </si>
  <si>
    <t>他扣了我一百元钱，他说的可以借到钱，借不到可以退，到今天没有消息。</t>
  </si>
  <si>
    <t>拼多多无缘无故冻结我资金不给体现</t>
  </si>
  <si>
    <t>http://ts.21cn.com/tousu/show/id/1363712</t>
  </si>
  <si>
    <t>2019/10/15 16:13:49</t>
  </si>
  <si>
    <t>无缘无故冻结我资金不让提现，客服也不给说法，拖着不退款。</t>
  </si>
  <si>
    <t>http://ts.21cn.com/tousu/show/id/1363643</t>
  </si>
  <si>
    <t>2019/10/15 16:13:35</t>
  </si>
  <si>
    <t>投诉人张先生投诉对象钱站涉诉金额2600元问题类型诉求类型投诉详情我借了2600，到账2600，合同却是3458，6个月要还5174.49元，我要求把钱退回去，违约金说是合同的3%，要付104，可是我明明只借了2600，为什么合同却是3458。</t>
  </si>
  <si>
    <t>捷信消费金融有限公司总是打骚扰电话，已经严重影响到了我的生活</t>
  </si>
  <si>
    <t>http://ts.21cn.com/tousu/show/id/1363710</t>
  </si>
  <si>
    <t>2019/10/15 16:13:31</t>
  </si>
  <si>
    <t>因为办过捷信分期，钱全部还清，后来有捷信电话打过来问要不要办理贷款，已经不只一次明确拒绝过，却还是一直打过来，后来拉黑了捷信电话号码，不管用，捷信一直换不同的号码打过来，不接的话，就天天打，换着号码打，真的真的已经严重影响到了我的生活，希望平台能给予解决，谢谢！。</t>
  </si>
  <si>
    <t>钱站恶意二次催收</t>
  </si>
  <si>
    <t>http://ts.21cn.com/tousu/show/id/1363655</t>
  </si>
  <si>
    <t>2019/10/15 16:13:24</t>
  </si>
  <si>
    <t>我之前已经跟钱站相关人员以及客服处理完毕了，现在又有人打电话给通讯录家人说我欠钱不还，态度恶劣，请严肃处理这种二次反复催收，给我个解释。</t>
  </si>
  <si>
    <t>微信被创客用户恶意打标成狐狸</t>
  </si>
  <si>
    <t>http://ts.21cn.com/tousu/show/id/1363707</t>
  </si>
  <si>
    <t>2019/10/15 16:11:46</t>
  </si>
  <si>
    <t>前几天朋友告诉我我的微信莫名被打标成了狐狸，是骗子的意思，凭什么呢，如果创客的用户可以随便就可以打标，这样谁来维护我们这些用户、消费者，如果没有证据请取消我的狐狸标记，不要随意打标。</t>
  </si>
  <si>
    <t>微粒贷逾期未还说冻结我的微信账号和lai a</t>
  </si>
  <si>
    <t>http://ts.21cn.com/tousu/show/id/1363701</t>
  </si>
  <si>
    <t>2019/10/15 16:10:52</t>
  </si>
  <si>
    <t>微粒贷逾期未还说要冻结我的个人微信账号以及卡号说这是正常催收流程，我的信用卡逾期人家都这样操作，谁能告诉微粒贷是什么这么有权利的部门啊。</t>
  </si>
  <si>
    <t>http://ts.21cn.com/tousu/show/id/1363699</t>
  </si>
  <si>
    <t>2019/10/15 16:09:28</t>
  </si>
  <si>
    <t>投诉人 李亚洲        投诉对象  招联金融        涉诉金额  30 000 元    问题类型    诉求类型投诉详情  招联金融老是发短信骚扰本人及其家人。。。。。。。。。。。。。。。</t>
  </si>
  <si>
    <t>拼多多无缘无故冻结我资金，不让我提现</t>
  </si>
  <si>
    <t>http://ts.21cn.com/tousu/show/id/1363698</t>
  </si>
  <si>
    <t>2019/10/15 16:08:52</t>
  </si>
  <si>
    <t>无缘无故冻结我货款，不让提现；客服也不给说法，拖着不退款。</t>
  </si>
  <si>
    <t>在万贯街借款1000元，实际到账800元，借款期限7天，实际只有6天时间</t>
  </si>
  <si>
    <t>http://ts.21cn.com/tousu/show/id/1363688</t>
  </si>
  <si>
    <t>2019/10/15 16:06:30</t>
  </si>
  <si>
    <t>万贯街,广州市骑鹅游信息技术咨询有限公司,连连支付，本人在万贯街18年结借款多次，其中借款1000元，到账800元，砍头息200元；其中借款1500元，到账1200元，砍头息300.每期七天期限，实际6天，提前收取砍头息，连连支付为其提供支付通道。</t>
  </si>
  <si>
    <t>国美为非法赌博平台提供充值渠道</t>
  </si>
  <si>
    <t>http://ts.21cn.com/tousu/show/id/1363684</t>
  </si>
  <si>
    <t>2019/10/15 16:05:25</t>
  </si>
  <si>
    <t>几个月前无意中点击了网上玩捕鱼和足球类游戏的链接，然后需要充值赢奖金，就充值去玩了，后来发现这些游戏都是赌博性质，充值进去根本中不了奖，但是这时我已经累计充值一万多，国美只是其中一个平台，很后悔玩这个，但是为何银联和国美给这些平台提供充值渠道呢。</t>
  </si>
  <si>
    <t>刚付款没签合同不给退款</t>
  </si>
  <si>
    <t>http://ts.21cn.com/tousu/show/id/1363679</t>
  </si>
  <si>
    <t>2019/10/15 16:03:27</t>
  </si>
  <si>
    <t>我报名了慧翔天地PMP培训3月班，对方让先付款再走流程，我由于个人冲动刚付款还没开始走流程，合同也还没签，然后后悔不想报名了，对方不予退款。</t>
  </si>
  <si>
    <t>海尔电视拿去修理八个月还没好</t>
  </si>
  <si>
    <t>http://ts.21cn.com/tousu/show/id/1363676</t>
  </si>
  <si>
    <t>2019/10/15 16:02:31</t>
  </si>
  <si>
    <t>投诉人 马哈布力艾斯拉木        投诉对象  海尔        涉诉金额  560 元    问题类型    诉求类型投诉详情  家里的海尔电视坏了 给售后打电话 修理的人两天才上门 10月1日来家里收取维修费用560元 拿走了电视 到今天10月15日还没有将电视送回来</t>
  </si>
  <si>
    <t>无故扣我的款，没有经过任何人同意，没有通知，就扣款</t>
  </si>
  <si>
    <t>http://ts.21cn.com/tousu/show/id/1363677</t>
  </si>
  <si>
    <t>2019/10/15 16:02:24</t>
  </si>
  <si>
    <t>中国银联,中国银联股份有限公司广东分公司专户03，我卡里的钱无缘无故就被扣了，没有通知我，非法扣除我卡里得钱。</t>
  </si>
  <si>
    <t>立即贷套路贷</t>
  </si>
  <si>
    <t>http://ts.21cn.com/tousu/show/id/1363673</t>
  </si>
  <si>
    <t>2019/10/15 16:01:54</t>
  </si>
  <si>
    <t>本人于2018年11月18日在立即贷平台贷款1000元，实际到账870元，在2018年12月2日需归还立即贷平台1009.10元，14天的利息就是130元，一共在立即贷平台10期，从刚开始的1000元升到2900元，现要求贵平台把砍头息归还给我！立即贷平台现改名立即借，难道公司就可以不管这个砍头息问题了吗，打电话给客服说不办理，如果不给我答复我会升级投诉！。</t>
  </si>
  <si>
    <t>期待合伙人暴力高息＋高服务费</t>
  </si>
  <si>
    <t>http://ts.21cn.com/tousu/show/id/1363668</t>
  </si>
  <si>
    <t>2019/10/15 16:01:41</t>
  </si>
  <si>
    <t>期待合伙人暴力高息外加高服务费，骚扰，恐吓。</t>
  </si>
  <si>
    <t>要求赔偿违约金</t>
  </si>
  <si>
    <t>http://ts.21cn.com/tousu/show/id/1363665</t>
  </si>
  <si>
    <t>2019/10/15 16:00:37</t>
  </si>
  <si>
    <t>本人于2018年7月起买了弘康的多笔游乐保产品，按照宣传和合同，弘康每年发放3%权益金，期满再发放5%权益金，才一年多，权益金发放已出现问题，要求如不能保证以后能正常发放，请弘康履行违约赔偿，我退保。</t>
  </si>
  <si>
    <t>http://ts.21cn.com/tousu/show/id/1363666</t>
  </si>
  <si>
    <t>2019/10/15 16:00:18</t>
  </si>
  <si>
    <t>投诉人黎女士投诉对象恒昌利通涉诉金额77896元问题类型诉求类型投诉详情骚扰我通讯录，损坏名声，让我不能正常生活，还款金额高出合同金额，明显的高利贷，还款金额每月是3676，24期。</t>
  </si>
  <si>
    <t>立马进钱呆呆苞高利贷恶意催收</t>
  </si>
  <si>
    <t>http://ts.21cn.com/tousu/show/id/1363662</t>
  </si>
  <si>
    <t>2019/10/15 16:00:15</t>
  </si>
  <si>
    <t>投诉人唐先生投诉对象呆呆苞,立马进钱,畅捷支付涉诉金额2800元问题类型诉求类型投诉详情本人于2019年9月初通过推送链接注册，9月9号申请下款，申请金额2800元实际到账2800元，分四期还，每期8天，每期还款1022.4元，共需还款4089.6元，现已还三期共计3235.2元，已还够了我所借的本金和部分利息，因app故障导致10月3号逾期造成一百多元的逾期费用，10月11号第四期到期协商未果，之后几天催收开始联系亲朋好友，造成家人身体不适，我要求停止骚扰，道歉，销账，做出下架处理。</t>
  </si>
  <si>
    <t>http://ts.21cn.com/tousu/show/id/1363569</t>
  </si>
  <si>
    <t>2019/10/15 15:59:32</t>
  </si>
  <si>
    <t>给我通讯录好友打电话说我欠7000多，说我不接电话但是没给我打过而且我也没借过，我需要对方给我回电话解释这件事。</t>
  </si>
  <si>
    <t>在毒app上买到瑕疵鞋，专家鉴定过的鞋子，还能有瑕疵。鞋头都是歪的。</t>
  </si>
  <si>
    <t>http://ts.21cn.com/tousu/show/id/1363657</t>
  </si>
  <si>
    <t>2019/10/15 15:59:11</t>
  </si>
  <si>
    <t>在毒app上买了一双黄色的匡威，今天刚收到货就发现鞋头是歪的，鞋底也是歪的，很明显，这个APP的霸王条款也很不地道退货要108什么规定，到现在我连穿过都没穿过，防伪标签也没有拆开，都说毒APP是专家鉴定过的，为什么还给我发那么明显的瑕疵鞋呢，本来就是自己穿，一点点也就无所谓了，关键是这个鞋子穿在脚上很明显一看就是歪的，说好的7天无理由退货，我现在是有理由，鞋子出了问题，又不是我造成的，凭什么收我108，底下是我上传的图，照片看不出来效果，现场看连我这边眼睛不好的老阿姨一眼都能看出来鞋是歪的，我就想问问毒AP</t>
  </si>
  <si>
    <t>拼多多无缘无故冻结资金不让我提现</t>
  </si>
  <si>
    <t>http://ts.21cn.com/tousu/show/id/1363646</t>
  </si>
  <si>
    <t>2019/10/15 15:55:44</t>
  </si>
  <si>
    <t>我的店之前好好的，平台突然把我店封了，后台查询店铺也没有投诉订单，在没有任何提示的情况下，直接把我店停了，导致我店铺货款提现不出来，一直显示网络繁忙状态，导致我的资金链断裂，店铺不能正常运行，其中的损失谁来负责，拼多多平台真是太不负责了，打电话咨询客服，客服也是把问题推给上级，每次都要等3,4个工作日，再咨询还是没有解决问题，每次都不能说出具体解决时间。</t>
  </si>
  <si>
    <t>你我贷恐吓威胁家人</t>
  </si>
  <si>
    <t>http://ts.21cn.com/tousu/show/id/1363644</t>
  </si>
  <si>
    <t>2019/10/15 15:55:30</t>
  </si>
  <si>
    <t>你我贷盗取泄露我的个人隐私，暴力催收家人，诬陷家人借款，通过发短信来恐吓威胁家人，要求你我贷赔礼道歉，将把所有暴力催收证据寄到上海扫黑办，要求调查。</t>
  </si>
  <si>
    <t>停止骚扰，爆通讯录，本金已还完，剩余利息双方协商不能在产生多余利息</t>
  </si>
  <si>
    <t>http://ts.21cn.com/tousu/show/id/1363640</t>
  </si>
  <si>
    <t>2019/10/15 15:54:13</t>
  </si>
  <si>
    <t>停止骚扰,本金早已还完，双方协商剩余所谓的服务，信息及剩余利息费用。</t>
  </si>
  <si>
    <t>说话不算数，逼死人</t>
  </si>
  <si>
    <t>http://ts.21cn.com/tousu/show/id/1363635</t>
  </si>
  <si>
    <t>2019/10/15 15:53:03</t>
  </si>
  <si>
    <t>时时刻刻逼人还钱，不留一点余地，答应我先处理了4000，然后每个月还2000，现在突然改变谈好的条件又要全额还完，这个贷后客服态度非常不好，而且这个平台利息高，超过国家所规定的利息，并且到处打电话骚扰。</t>
  </si>
  <si>
    <t>浦发银行派没有出示任何证件的第三方催收上门</t>
  </si>
  <si>
    <t>http://ts.21cn.com/tousu/show/id/1363632</t>
  </si>
  <si>
    <t>2019/10/15 15:52:37</t>
  </si>
  <si>
    <t>我因怀孕生子加上失业暂时没有经济来源，导致欠浦发银行信用卡和万用金连本带利十七万七千多，已逾期四个账单，中间银行与我联系过，我说明了我现在确实没钱的困境，希望可以协商分期还款，但银行拒绝协商，并且没有出示任何证件，要求我一次性还清所有欠款，我说明了我现在确实无法一口气拿出这么多钱，希望可以分期还款，也被拒绝，我很想一次性还清欠款，但是我孩子刚一个多月，还在哺乳，家里老人身体不好也帮不上忙，每月仅靠老公的四千块收入生活，实在没有能力一次性还清所有欠款，恳请帮帮我，帮助我与浦发协商，停止第三方上门催款，减免滞纳</t>
  </si>
  <si>
    <t>拼多多客服不给处理问题</t>
  </si>
  <si>
    <t>http://ts.21cn.com/tousu/show/id/1363633</t>
  </si>
  <si>
    <t>在拼多多买了一个小饰品，出现质量问题，拼多多平台客服瞎操作给申请退款，又给私自取消，平台专员不作为，根本不给你处理问题，打电话不等你说话就挂掉电话，多处反馈，平台就是不给你处理问题。</t>
  </si>
  <si>
    <t>违规放贷，高利贷，暴力催收</t>
  </si>
  <si>
    <t>http://ts.21cn.com/tousu/show/id/1363602</t>
  </si>
  <si>
    <t>2019/10/15 15:51:35</t>
  </si>
  <si>
    <t>投诉人闫帅投诉对象哈尔滨建弓科技开发有限公司,借了呗涉诉金额1300元问题类型诉求类型投诉详情哈尔滨建弓科技开发有限公司法人赵建伟登记机关哈尔滨市道里区市场监督管理局没有放贷资格借助借了呗，并且到期后进行暴力催收群发侮辱性短信！举报电子邮箱：hs******8@163.com。</t>
  </si>
  <si>
    <t>京东金融工作人员那孩子威胁</t>
  </si>
  <si>
    <t>http://ts.21cn.com/tousu/show/id/1363622</t>
  </si>
  <si>
    <t>2019/10/15 15:49:07</t>
  </si>
  <si>
    <t>投诉人石先生投诉对象京东金融涉诉金额20000元问题类型诉求类型投诉详情京东金条催收人员拿我家孩子恐吓威胁我，态度不好。</t>
  </si>
  <si>
    <t>广州绿瘦公司</t>
  </si>
  <si>
    <t>http://ts.21cn.com/tousu/show/id/1363624</t>
  </si>
  <si>
    <t>2019/10/15 15:48:58</t>
  </si>
  <si>
    <t>刚开始说无效退款，产品购买还没用上两天，顾问就说我用没有效果，得介绍资深顾问来帮我减肥，到时候还得花上几千块钱，我不同意，就直接联系不上了，微信也屏蔽我了，现在无效，感觉被欺骗了。</t>
  </si>
  <si>
    <t>http://ts.21cn.com/tousu/show/id/1363621</t>
  </si>
  <si>
    <t>2019/10/15 15:48:55</t>
  </si>
  <si>
    <t>投诉人滑文拴滑投诉对象捷信金融涉诉金额1930元问题类型诉求类型投诉详情以前12个月都是按时还款的，这个月资金紧张逾期了7天，每天电话都接，逾期费和滞纳金我都接受，在我不知情的情况下联系我的家人和朋友，给我的家人和朋友造成骚扰，现在爱人要和我离婚，现在精神恍惚不能正常上班，你们捷信是要逼死我啊，现要求泄露隐私和名誉损失道歉和赔偿精神损失费。</t>
  </si>
  <si>
    <t>EVC出行收费问题</t>
  </si>
  <si>
    <t>http://ts.21cn.com/tousu/show/id/1363613</t>
  </si>
  <si>
    <t>2019/10/15 15:46:58</t>
  </si>
  <si>
    <t>要求evcard给一个合理的解释并把车费改过来。</t>
  </si>
  <si>
    <t>信用管家借款APP神马借套路贷</t>
  </si>
  <si>
    <t>http://ts.21cn.com/tousu/show/id/1363611</t>
  </si>
  <si>
    <t>2019/10/15 15:46:33</t>
  </si>
  <si>
    <t>本人在2019年8月27号于信用管家的神马借这款产品借款2625元，一共分4次总额3584，第一期及第二期从代扣卡中扣款分别为896元，第三期由于对方第三方支付平台不自动扣款造成逾期，第四期支付宝还款通道受限无法正常还款，，对方电话一直无法打通或无应答，以邮件方式联系神马借平台一直都是自动回复，造成逾期费用2205元，已经过去很多天了，一直处于逾期，他们的催收也打电话给我催我，而且滞纳金一直在涨，希望相关商家尽快处理销账，不然一直追究到底！。</t>
  </si>
  <si>
    <t>虎虎贷恶意骚扰家人</t>
  </si>
  <si>
    <t>http://ts.21cn.com/tousu/show/id/1363610</t>
  </si>
  <si>
    <t>2019/10/15 15:45:52</t>
  </si>
  <si>
    <t>投诉人谢女士投诉对象虎虎贷涉诉金额1000元问题类型诉求类型投诉详情虎虎贷半年前就还了，现在又出来骚扰家人，真的很恶心。</t>
  </si>
  <si>
    <t>http://ts.21cn.com/tousu/show/id/1363608</t>
  </si>
  <si>
    <t>2019/10/15 15:45:35</t>
  </si>
  <si>
    <t>电话一直骚扰，影响本人正常生活，希望有关部门尽快处理。</t>
  </si>
  <si>
    <t>盼达退款</t>
  </si>
  <si>
    <t>http://ts.21cn.com/tousu/show/id/1363599</t>
  </si>
  <si>
    <t>2019/10/15 15:44:16</t>
  </si>
  <si>
    <t>投诉人曹文顺投诉对象盼达用车涉诉金额1000元问题类型诉求类型投诉详情未按照桂规定时间退换押金，并且拖延快两个月了，网上一大堆为退换押金的，打电话给客服，就是敷衍了事……。</t>
  </si>
  <si>
    <t>交通银行银期转账活动虚假</t>
  </si>
  <si>
    <t>http://ts.21cn.com/tousu/show/id/1363596</t>
  </si>
  <si>
    <t>2019/10/15 15:42:07</t>
  </si>
  <si>
    <t>本人按活动提示签约并转账如图，交通银行并没有兑现承诺，联系客服也没有得到任何解决，敷衍了事。</t>
  </si>
  <si>
    <t>钱站砍头息高利贷</t>
  </si>
  <si>
    <t>http://ts.21cn.com/tousu/show/id/1363590</t>
  </si>
  <si>
    <t>2019/10/15 15:40:37</t>
  </si>
  <si>
    <t>本人在钱站app申请借款54000元，资金到账54000，随后立马划走4000说是服务费，借款合同却分36期，本人已按期还款18期，累计还款金额47579.94元，。</t>
  </si>
  <si>
    <t>http://ts.21cn.com/tousu/show/id/1363589</t>
  </si>
  <si>
    <t>2019/10/15 15:40:31</t>
  </si>
  <si>
    <t>投诉人徐先生投诉对象招商银行信用卡涉诉金额4000元问题类型诉求类型投诉详情接到一个网络电话，说是招商银行信用卡的工作人员，态度恶劣，说我哥欠款。</t>
  </si>
  <si>
    <t>国美易卡买卖贷款人信息</t>
  </si>
  <si>
    <t>http://ts.21cn.com/tousu/show/id/1363588</t>
  </si>
  <si>
    <t>2019/10/15 15:40:00</t>
  </si>
  <si>
    <t>昨天在国美易卡申请贷款，今天就有人添加微信，说是国美易卡客服，说系统拒绝了，二审人工审核通过了，平台问人工客服，是真的还是我的信息被他们泄露了，拒绝承认他们泄露了我的信息。</t>
  </si>
  <si>
    <t>http://ts.21cn.com/tousu/show/id/1363585</t>
  </si>
  <si>
    <t>2019/10/15 15:39:33</t>
  </si>
  <si>
    <t>2018年10月，我和老公在兰州中川机场，一位穿着机场制服的女孩，二者无关）很热情的向前打问要去哪里，怎么订的票，并且宣称她们的卡是机场内部的会员卡，订机票价格比任何平台的都低，每次机票价格可以直接从卡里扣，前提是要办卡并充值1500元，同时会赠送我们500元，这样卡里有2000元，都可以用来订票，并且没有期限，家人都可以使用；还能享受贵宾休息室，还可以帮我们提前换登机牌，当时觉得这个“工作人员”态度很好，便说支持一下她的工作，于是给了她1500元办卡，后来旅游结束，返回的时候，心想用这个卡订票吧，明明说下</t>
  </si>
  <si>
    <t>群发短信</t>
  </si>
  <si>
    <t>http://ts.21cn.com/tousu/show/id/1363574</t>
  </si>
  <si>
    <t>2019/10/15 15:36:24</t>
  </si>
  <si>
    <t>投诉人 葛先生        投诉对象  连资贷        涉诉金额  0 元    问题类型    诉求类型投诉详情  根本就没从这上面借过钱。，连资贷是什么玩意都不知道。天天发短信。还发给亲朋好友。。。</t>
  </si>
  <si>
    <t>易借宝虚假借款催收</t>
  </si>
  <si>
    <t>http://ts.21cn.com/tousu/show/id/1363566</t>
  </si>
  <si>
    <t>2019/10/15 15:34:44</t>
  </si>
  <si>
    <t>投诉人丁先生投诉对象易借宝涉诉金额3000元问题类型诉求类型投诉详情10月14日突然收到大东催收说我在易借宝逾期了，但是我根本没有在这个平台借过钱，他发了个链接给我下下来一看已经逾期23天了，总共要还4380，但是平台并没有我个人认证信息，客服也是摆设，联系不了，银行卡信息也查不到，问催收的要我的借款信息也像个SB一样，一样不知道，只知道乱咬，希望平台能给出一个合理解释，并销账停止催收，否则将起诉；催收人员电话171******07，催收人给的链接https://www.654cn.cn/app.php/M</t>
  </si>
  <si>
    <t>瑞刷窃取通讯录电话骚扰通讯录里的人</t>
  </si>
  <si>
    <t>http://ts.21cn.com/tousu/show/id/1363563</t>
  </si>
  <si>
    <t>2019/10/15 15:32:51</t>
  </si>
  <si>
    <t>瑞刷窃取我通讯录里面电话信息，多次拨打通讯录里面电话，告诉别人说我欠钱不还之类的，好多人找我问我怎么回事，我已经表示愿意多分期来偿还本金和法定利息，瑞刷不同意，现在这样随意骚扰，搞得我名誉扫地，别人不和我做生意哪里来的资金能还款呢，更何况这样的违法行为瑞刷还光明正大的实施，就没人能管得了了吗。</t>
  </si>
  <si>
    <t>招联金融虚假宣传</t>
  </si>
  <si>
    <t>http://ts.21cn.com/tousu/show/id/1363558</t>
  </si>
  <si>
    <t>2019/10/15 15:31:00</t>
  </si>
  <si>
    <t>招联金融页面有办理招联牛卡获得借款免息券的服务，办卡之前咨询过的，只要在活动期都可以尝试领取，领取到就可以使用，服务方面：官方给出的解释这不算虚假宣传，如果需要使用券，会向上反馈。</t>
  </si>
  <si>
    <t>亿联银行违规发放高利贷</t>
  </si>
  <si>
    <t>http://ts.21cn.com/tousu/show/id/1363556</t>
  </si>
  <si>
    <t>2019/10/15 15:30:45</t>
  </si>
  <si>
    <t>投诉人刘先生投诉对象亿联银行,菜鸟有钱,金鸡下蛋涉诉金额7400元问题类型诉求类型投诉详情本人在与8.24在菜鸟有钱借款，有亿联银行负责打款，借款1275，说是3天，其实两天要求还款1499，典型的高利贷，由于每次还款手上没什么钱，只能缓期，每次300，只有两天时间，当天上午就开始催收，需要很粗鲁，目前我还款已经超过本金和合法利息了，请求终止还款并退还超出部分！本人在与8.24在金鸡下蛋借款，有亿联银行负责打款，借款1275，说是3天，其实两天要求还款1499，典型的高利贷，由于每次还款手上没什么钱，只能缓</t>
  </si>
  <si>
    <t>大地信通担保公司通过通联支付扣款扣款</t>
  </si>
  <si>
    <t>http://ts.21cn.com/tousu/show/id/1363503</t>
  </si>
  <si>
    <t>2019/10/15 15:30:40</t>
  </si>
  <si>
    <t>2019.10.14上午6:04分大地信通通过通联支付从我建设银行卡内扣除4349.95元，交易建行客服，让交易通联支付，通联支付客服让交易大地信通，现在无法联系上大地信通，请平台协助解决，谢谢！。</t>
  </si>
  <si>
    <t>淘手游客服态度极差，申诉账单一直得不到解决</t>
  </si>
  <si>
    <t>http://ts.21cn.com/tousu/show/id/1363555</t>
  </si>
  <si>
    <t>2019/10/15 15:30:32</t>
  </si>
  <si>
    <t>投诉人张灵炜投诉对象淘手游涉诉金额380元问题类型诉求类型投诉详情我于2019年10月12日在淘手游交易购买了一件380元的商品，后上号发现有问题，提出申诉，并与卖家沟通了解后，双方同意取消订单，并退款，淘手游客服态度懒慢，申诉账单过好几天都不回个消息，终于回消息叫我加客服，加完叫我等，至此之后我发的消息再无回应，做人最基本的礼貌都没有，淘手游平台就是这样对待顾客的吗。</t>
  </si>
  <si>
    <t>投诉菜鸟有钱</t>
  </si>
  <si>
    <t>http://ts.21cn.com/tousu/show/id/1363552</t>
  </si>
  <si>
    <t>2019/10/15 15:30:29</t>
  </si>
  <si>
    <t>投诉人林女士投诉对象菜鸟有钱涉诉金额0元问题类型诉求类型投诉详情本人未在这个所谓的什么菜鸟有钱借过钱，被告知我逾期了还威胁恐吓我望平台可以帮助我调查清楚。</t>
  </si>
  <si>
    <t>易宝不审核资质与套路贷公司同流合污</t>
  </si>
  <si>
    <t>http://ts.21cn.com/tousu/show/id/1363550</t>
  </si>
  <si>
    <t>2019/10/15 15:29:49</t>
  </si>
  <si>
    <t>共计5笔交易，每次借款额度会增加，相对砍头息金额会越来越多，展期，开头上了你们当，短短7天根本没资金还款，你们催收非逼着我还钱，我那都是借了别的714高炮平台来还的，没怪你们害我借别的高炮已经客气了。</t>
  </si>
  <si>
    <t>http://ts.21cn.com/tousu/show/id/1363547</t>
  </si>
  <si>
    <t>2019/10/15 15:28:56</t>
  </si>
  <si>
    <t>接到一个女的电话，态度恶劣，冒充第招商银行的人，。</t>
  </si>
  <si>
    <t>无良黑心广州长城宽带</t>
  </si>
  <si>
    <t>http://ts.21cn.com/tousu/show/id/1363544</t>
  </si>
  <si>
    <t>2019/10/15 15:27:16</t>
  </si>
  <si>
    <t>我是比长城宽带骗了的苦主，刚在八月份续费交了1900元，本来是要在明年二月份才到期的，但是这个长城宽带的客服不停发信息过来，说现在不续费到时换了光纤我就无法继续使用网络！无办法我唯有提前续费！谁知国庆节我这里有工程整改将线路断了，无法上网，我就开始了不停打客服电话报维修的道路！这个无良的客服一直推说会记录下来，24小时会有人联系我！但是一直都无人联系我！那些所谓的师傅手机是一直关机的！半个月都过去了，后来客服又比电话我说15个工作日内肯定会维修好，直到两天前晚上，有个所谓的工作人员致电我，说我这里必须要换光</t>
  </si>
  <si>
    <t>http://ts.21cn.com/tousu/show/id/1363545</t>
  </si>
  <si>
    <t>2019/10/15 15:27:07</t>
  </si>
  <si>
    <t>因投资失败生活困难不能按时还款，催收公司暴力催收骚扰通讯录联系人及家人朋友，并冒充律师进行催收。</t>
  </si>
  <si>
    <t>我因为资金没有发工资，我提前和拍拍贷客服报备说15号会还款，结果到了15号三点他们催收和我联系我要打我通信录</t>
  </si>
  <si>
    <t>http://ts.21cn.com/tousu/show/id/1363541</t>
  </si>
  <si>
    <t>2019/10/15 15:26:29</t>
  </si>
  <si>
    <t>投诉人肖先生投诉对象拍拍贷涉诉金额420元问题类型诉求类型投诉详情我在10.11号知道自己要逾期了，没有钱提前和客服报备了说15号发工资会还钱，到了15号下午3点拍拍贷催收打我电话我也都接了，说我怎么还不还钱态度非常差，如果工资到账我会不还吗，我说你不要说话吊儿郎当的，今天到16号了吗，我说15号还然后他说那就不用说了，我去联系你的通讯录，然后跟我通讯录打了电话，在我接听电话并且承诺还款的情况下他们有资格联系我的通讯录吗，人都有困难的时候，谁也不愿意欠钱不还，这个催收态度极差，要求拍拍贷给出处罚，并道歉，。</t>
  </si>
  <si>
    <t>闪银催收语言攻击，恶意威胁</t>
  </si>
  <si>
    <t>http://ts.21cn.com/tousu/show/id/1363536</t>
  </si>
  <si>
    <t>2019/10/15 15:24:36</t>
  </si>
  <si>
    <t>闪银催收恶意威胁，爆通讯录，骚扰联系人，语言攻击。</t>
  </si>
  <si>
    <t>苏宁暴力催收</t>
  </si>
  <si>
    <t>http://ts.21cn.com/tousu/show/id/1363534</t>
  </si>
  <si>
    <t>2019/10/15 15:23:26</t>
  </si>
  <si>
    <t>我有一笔1500的退款那个商家没有保证金搞得到现在还是没退给我苏宁，现在苏宁要我还钱我没答应就开始暴力威胁我寄律师函到我亲戚家使我丢了。</t>
  </si>
  <si>
    <t>我的压力很大</t>
  </si>
  <si>
    <t>http://ts.21cn.com/tousu/show/id/1363533</t>
  </si>
  <si>
    <t>2019/10/15 15:22:38</t>
  </si>
  <si>
    <t>今天又打电话骚扰我以前的同事已经第二次，他们都不是紧急联系人爆我通信录。</t>
  </si>
  <si>
    <t>被诱导充值</t>
  </si>
  <si>
    <t>http://ts.21cn.com/tousu/show/id/1363530</t>
  </si>
  <si>
    <t>2019/10/15 15:22:27</t>
  </si>
  <si>
    <t>投诉人 刘先生        投诉对象  拼多多,支付宝        涉诉金额  23 770 元    问题类型    诉求类型投诉详情  2019年9月9日，有人主动添加我好友。以投资理财为由，诱导我充值。群里面有导师，按照他的计划进行投资。后提款时发现，无法提现。请聚投诉帮我追回款项。</t>
  </si>
  <si>
    <t>蛮横无理、讽刺、人身攻击、侮辱</t>
  </si>
  <si>
    <t>http://ts.21cn.com/tousu/show/id/1363525</t>
  </si>
  <si>
    <t>2019/10/15 15:20:38</t>
  </si>
  <si>
    <t>对我进行人身攻击、讽刺、侮辱，蛮横无理，素质低下极其恶劣。</t>
  </si>
  <si>
    <t>暴力催收，骚扰，高利贷</t>
  </si>
  <si>
    <t>http://ts.21cn.com/tousu/show/id/1363523</t>
  </si>
  <si>
    <t>2019/10/15 15:20:05</t>
  </si>
  <si>
    <t>高利贷借3万还6万多，已还1万5，和平台协商提前结清还款对方要求还款6万8，望平台能给予帮助尽快帮忙解决，要求对方停止骚扰。</t>
  </si>
  <si>
    <t>中华财险拒不按保险合同进行及时理赔</t>
  </si>
  <si>
    <t>21CN</t>
  </si>
  <si>
    <t>http://ts.21cn.com/tousu/show/cid/18717</t>
  </si>
  <si>
    <t>新闻</t>
  </si>
  <si>
    <t>2019/10/15 15:19:32</t>
  </si>
  <si>
    <t>http://ts.21cn.com/tousu/show/id/1363522</t>
  </si>
  <si>
    <t>由于我们出借人在出借之前都对中华保险对于厚本平台出售的厚保宝产品进行过交叉验证，对于厚本平台无论在后续出现什么极端情况，都不会影响中华财险对于我们履约保证险的赔付，但是到目前为止，我们出借人未收到任何中华财险的赔付公告，根据保险法二十三条、二十四条、二十五条，中华财险已经完全违反保险法，伤害到了我们被保险人的利益，1.他们拒不受理我们被保险人提供有效身份证号码，查询所有保单，2.拒不按照保险法以及我们的承保合同进行及时有效的赔付。</t>
  </si>
  <si>
    <t>优亿金融高利贷暴利催收</t>
  </si>
  <si>
    <t>http://ts.21cn.com/tousu/show/id/1363514</t>
  </si>
  <si>
    <t>2019/10/15 15:16:37</t>
  </si>
  <si>
    <t>投诉人周女士投诉对象优亿金融,普惠快捷涉诉金额1700元问题类型诉求类型投诉详情优亿金融高利贷暴利催收，违规发放现金贷，暴利催收，涉嫌诈欺。</t>
  </si>
  <si>
    <t>海云端诱导办卡虚假宣传</t>
  </si>
  <si>
    <t>http://ts.21cn.com/tousu/show/id/1363511</t>
  </si>
  <si>
    <t>2019/10/15 15:16:33</t>
  </si>
  <si>
    <t>本人于2019年10月13日于福州机场要乘机前往青岛，在机场有海云端工作人员服装类似机场工作人员诱导消费，存入1980元，本以为充值金额可以直接用于订购机票，后发现只能抵扣本人的机场建设费，并且完全没提及这个卡所附带的机场VIP通道只有一年时间，而且平台的机票价格并没有像其销售宣传的一样低于其他网络平台，全国只有部分机场才能有这个服务，销售人员也没有告知。</t>
  </si>
  <si>
    <t>中信银行信用卡电话轰炸骚扰</t>
  </si>
  <si>
    <t>http://ts.21cn.com/tousu/show/id/1363512</t>
  </si>
  <si>
    <t>2019/10/15 15:16:16</t>
  </si>
  <si>
    <t>中信银行信用卡中心各种威胁我，各种电话轰炸骚扰，我逾期是我的不对，但是我每个月都有还款，根本不是故意拖欠，中信银行催收各种威胁，动不动就要上法院，每个月都这样骚扰我！。</t>
  </si>
  <si>
    <t>数来宝高利贷</t>
  </si>
  <si>
    <t>http://ts.21cn.com/tousu/show/id/1363509</t>
  </si>
  <si>
    <t>2019/10/15 15:16:04</t>
  </si>
  <si>
    <t>数来宝平台具有砍头息，是个高利贷平台，借款.只有14天，借款1200砍头息300多元，现在他们平台已经不下款，要求退还砍头息费用，。</t>
  </si>
  <si>
    <t>钱老哥心意转，自己系统问题导致客户逾期，还收取爆额逾期费</t>
  </si>
  <si>
    <t>http://ts.21cn.com/tousu/show/id/1363501</t>
  </si>
  <si>
    <t>2019/10/15 15:13:49</t>
  </si>
  <si>
    <t>涉诉金额2000元问题类型诉求类型投诉详情钱老哥心意转，就是一个高利贷，7天一还款，还4期，一期1030！实际借款2800都不到，还了两期后，发现app无法登陆，打客服电话也不通，根本联系不上，期间app不断提示，让登陆app反馈什么的，根本我也登陆上！也找不到下载地址！直至今日，催收才打电话过来说我逾期了，给了我一个下载地址，下载好后，一看，逾期费用2000多！还有一个1700多！这是在闹着玩，本人决不承担因系统原因硬塞给我的多余利息，而且，前2期已经还款2000多元！剩下的逾期费用决不承担！已经报警备案</t>
  </si>
  <si>
    <t>好不容易开的开店创业，好不容易做有点起色，拼多多不给提现，这不是逼人去死吗？？</t>
  </si>
  <si>
    <t>http://ts.21cn.com/tousu/show/id/1363500</t>
  </si>
  <si>
    <t>2019/10/15 15:13:28</t>
  </si>
  <si>
    <t>投诉人张先生投诉对象拼多多涉诉金额30000元问题类型诉求类型投诉详情重来没遇到过有网点可以不给提现，这种情况希望拼多多能给个详细的解答。</t>
  </si>
  <si>
    <t>钱站恶意催收恐吓家人</t>
  </si>
  <si>
    <t>http://ts.21cn.com/tousu/show/id/1363497</t>
  </si>
  <si>
    <t>2019/10/15 15:12:32</t>
  </si>
  <si>
    <t>投诉人 武先生        投诉对象  钱站        涉诉金额  468 元    问题类型    诉求类型投诉详情  暴力催收 骚扰我的家人 爆我通讯录 逾期一天让我多交一百块钱违约金 我让客服把这件事情给我解释清楚 然后他们就直接给我家人打电话 还爆我通讯录 打到我外地的客户去了 钱站必须给我一个说法 ！</t>
  </si>
  <si>
    <t>和信金融暴力催收，恐吓通讯录亲友</t>
  </si>
  <si>
    <t>http://ts.21cn.com/tousu/show/id/1363491</t>
  </si>
  <si>
    <t>2019/10/15 15:10:25</t>
  </si>
  <si>
    <t>投诉人常明伟投诉对象和信金融涉诉金额3542元问题类型诉求类型投诉详情和信金融，暴力催收，多次恐吓我要拨打通讯录逼我还款，说不还款要搞我，会让我后悔的，多次轰炸通讯录，在亲友被和信金融恐吓到哭了以后还是不停止。</t>
  </si>
  <si>
    <t>停止爆电话，双方协商还款不产生利息</t>
  </si>
  <si>
    <t>http://ts.21cn.com/tousu/show/id/1363479</t>
  </si>
  <si>
    <t>2019/10/15 15:08:10</t>
  </si>
  <si>
    <t>贷上钱借款3000一月后要还3650，逾期协商不成已爆亲戚朋友单位电话催收，对生活工作严重影响，希望停止骚扰。</t>
  </si>
  <si>
    <t>昨天刚入学一节课没上，结果今天想退款就和我收百分之10的手续费</t>
  </si>
  <si>
    <t>http://ts.21cn.com/tousu/show/id/1363480</t>
  </si>
  <si>
    <t>2019/10/15 15:08:03</t>
  </si>
  <si>
    <t>投诉人杨先生投诉对象达内涉诉金额22700元问题类型诉求类型投诉详情昨天刚来了达内报了个名，然后就给我申请了融360贷款，今天我想退款而且我一节课也没上，结果要收取我百分之10的手续费，求解决。</t>
  </si>
  <si>
    <t>招联金融群发彩信</t>
  </si>
  <si>
    <t>http://ts.21cn.com/tousu/show/id/1363478</t>
  </si>
  <si>
    <t>2019/10/15 15:07:43</t>
  </si>
  <si>
    <t>投诉人张女士投诉对象招联金融涉诉金额13000元问题类型诉求类型投诉详情因身体原因，家庭变故导致未能足额还款，期间陆陆续续，一百，两百，几十都还过，是做兼职的钱，跟平台交涉过，不同意分期和延期，一直要求全额还款，今天陆续有朋友家人收到彩信的起诉告知书，对我造成很大影响，已经在找新工作了，也从未逃避该笔欠款，陆续少额还过，并非存心拖欠。</t>
  </si>
  <si>
    <t>飞鸟分期高利贷</t>
  </si>
  <si>
    <t>http://ts.21cn.com/tousu/show/id/1363475</t>
  </si>
  <si>
    <t>2019/10/15 15:07:19</t>
  </si>
  <si>
    <t>手机借钱高利贷借款3000还款4000一个月，借款3700还款5800二个月，超过国家利率100倍，畅捷支付违规为高利贷提供放款扣款服务，同流合污.本人要求调整利率，本人已经向中国支付协会违规违法举报中心举报畅捷支付。</t>
  </si>
  <si>
    <t>高息威胁</t>
  </si>
  <si>
    <t>http://ts.21cn.com/tousu/show/id/1363383</t>
  </si>
  <si>
    <t>2019/10/15 15:06:36</t>
  </si>
  <si>
    <t>借款19000元，无显示利息，只有手续费6840，高于国家标准。</t>
  </si>
  <si>
    <t>只在法律规定范围进行还款</t>
  </si>
  <si>
    <t>http://ts.21cn.com/tousu/show/id/1363470</t>
  </si>
  <si>
    <t>2019/10/15 15:06:11</t>
  </si>
  <si>
    <t>小象优品无视国家法律法规！本人因这阵子手机丢失在小象优品的账单出现逾期，前几天补完卡登入还款，里面的逾期费简直把我吓一跳，月利率竟然高达30%多，比国家规定的年率24%足足高出十几倍，就是说如果三个月未还逾期费同本一样高，大家见图，，而事前和他们沟通，他们不愿意在法律规定的24%以内进行还款处理，就这么一个无视国家法律，挑战道德底线，收刮民脂民糕的无良企业，希望能够引起有关部门的重视，予以整顿，让大家共同来维护中国互联网的环境，为祖国更好明天共同来努力！。</t>
  </si>
  <si>
    <t>开店宝点POS不理会商户投诉</t>
  </si>
  <si>
    <t>http://ts.21cn.com/tousu/show/id/1363468</t>
  </si>
  <si>
    <t>2019/10/15 15:06:02</t>
  </si>
  <si>
    <t>办理的点POS，押金298，联系代理商代理商说联系总部，总部不理会，说找代理商，开店宝不处理这种事情。</t>
  </si>
  <si>
    <t>闪银电话催收客服推卸责任</t>
  </si>
  <si>
    <t>http://ts.21cn.com/tousu/show/id/1363467</t>
  </si>
  <si>
    <t>2019/10/15 15:05:47</t>
  </si>
  <si>
    <t>投诉人寿先生投诉对象Wecash闪银涉诉金额1030元问题类型诉求类型投诉详情闪银旗下的闪豆催收态度恶劣，严重影响工作生活，催收人员言语攻击威胁还款，打电话给客服反应情况，客服工号8106声称闪豆不是闪银的，态度恶劣，推脱不处理问题，要求闪银停止电话威胁催收骚扰，并处理不合理前期费用砍头息。</t>
  </si>
  <si>
    <t>360打电话威胁人</t>
  </si>
  <si>
    <t>http://ts.21cn.com/tousu/show/id/1363464</t>
  </si>
  <si>
    <t>2019/10/15 15:04:49</t>
  </si>
  <si>
    <t>投诉人 周先生        投诉对象  360借条        涉诉金额  3 000 元    问题类型    诉求类型投诉详情  两个月前360就爆我通序录骚扰我， 刚刚打电话过来威胁我。，我现在正在努力找班上。希望他们给点我时间。我三个多月没有上班 正在很努力找班上的</t>
  </si>
  <si>
    <t>小花钱包暴力催收威胁</t>
  </si>
  <si>
    <t>http://ts.21cn.com/tousu/show/id/1363459</t>
  </si>
  <si>
    <t>2019/10/15 15:04:06</t>
  </si>
  <si>
    <t>投诉人李先生投诉对象小花钱包涉诉金额5000元问题类型诉求类型投诉详情小花钱包催收威胁，影响个人声誉。</t>
  </si>
  <si>
    <t>山东高速立马注销ETC</t>
  </si>
  <si>
    <t>http://ts.21cn.com/tousu/show/id/1363457</t>
  </si>
  <si>
    <t>2019/10/15 15:03:11</t>
  </si>
  <si>
    <t>投诉人秦先生投诉对象山东高速信联支付有限公司涉诉金额100元问题类型诉求类型投诉详情平台工作人员你们好：我于2019年1月5日通过微信小程序申办了微信ETC通行卡所属单位为山东高速的鲁通A卡由于不是我车辆所在地本地服务卡且使用过程中服务态度差本人申请退卡销户期间微信小程序客服告知我退卡销户需要自己承担开卡是的100元费用及寄回快递费，我也答应了客服承诺45天内给完成注销工作，我于2019年8月17日通过申通快递机会卡片及设备山东高速于19日收到，后续并进行了注销环节，时隔7个工作日之后我拨打95011核实销</t>
  </si>
  <si>
    <t>http://ts.21cn.com/tousu/show/id/1363456</t>
  </si>
  <si>
    <t>2019/10/15 15:02:32</t>
  </si>
  <si>
    <t>花转转樱桃小借，到账2800要还4089.2元，还了前面两期，后面还不进去，恶意导致你逾期收取你高额逾期费用，电话威胁，爆通讯录。</t>
  </si>
  <si>
    <t>钱老哥心意转无法还款，联系不到客服处理</t>
  </si>
  <si>
    <t>http://ts.21cn.com/tousu/show/id/1363453</t>
  </si>
  <si>
    <t>2019/10/15 15:01:52</t>
  </si>
  <si>
    <t>钱老哥心意转无法还款，联系不到客服处理，逾期费用很高，无力偿还逾期1个月了，无法还款，请求归还本金和合理的利率。</t>
  </si>
  <si>
    <t>海南普德龙网络科技有限公司扣我钱</t>
  </si>
  <si>
    <t>http://ts.21cn.com/tousu/show/id/1363448</t>
  </si>
  <si>
    <t>2019/10/15 15:00:01</t>
  </si>
  <si>
    <t>投诉人范先生投诉对象海南普德龙网络科技有限公司涉诉金额299元问题类型诉求类型投诉详情海南普德龙网络科技有限公司14号晚扣我银行卡里299元，找不到客服也没有联系方式，我要求立刻给我退款。</t>
  </si>
  <si>
    <t>古德菲力健身私教课退款</t>
  </si>
  <si>
    <t>http://ts.21cn.com/tousu/show/id/1363446</t>
  </si>
  <si>
    <t>2019/10/15 14:59:42</t>
  </si>
  <si>
    <t>投诉人王先生投诉对象古德菲力健身,深圳市古德菲力投资管理有限公司涉诉金额10120元问题类型诉求类型投诉详情本人于2019年5月份在古德菲力广州广体店购买健身常规课程私教课40节，8月份购买特色课程私教课12节总价5040元，原价是670元一节，必须按原价670元一节，及26800*0.3=8040我常规课程剩余370*16=5920.如果退费，特色课程原价650*12=7800，扣除总价30%作为违约金7800*0.3=2340，我特色课程剩余420*10=4200.扣除违约金后剩余4200-2340=1</t>
  </si>
  <si>
    <t>暴力威胁，骚扰通讯录</t>
  </si>
  <si>
    <t>http://ts.21cn.com/tousu/show/id/1363445</t>
  </si>
  <si>
    <t>2019/10/15 14:59:36</t>
  </si>
  <si>
    <t>招联暴力催收！威胁骚扰！本人由于资金周转困难导致逾期，现在努力找钱还清，催收天天电话骚扰，还发短信说要告我，还爆通讯录，打电话发短信骚扰通讯录，给本人造成极大的名誉损失，也造成通讯录里的正常工作生活。</t>
  </si>
  <si>
    <t>小木钱包，新意花高利贷吸血鬼</t>
  </si>
  <si>
    <t>http://ts.21cn.com/tousu/show/id/1362587</t>
  </si>
  <si>
    <t>2019/10/15 14:59:17</t>
  </si>
  <si>
    <t>投诉人王先生投诉对象新意花,小木钱包,畅捷支付涉诉金额2450元问题类型诉求类型投诉详情我通过信用管家下载的新意花小木钱包，借款2450元，还款3600多，一共分4期，已还2期，第3期还款当天无法还款且打客服电话永远打不通，支付宝还款也还不上，每天都增加巨额逾期费，银行卡还款用不了，系统里反馈，没有任何回应，我怀疑该平台恶意使人逾期以收取高额逾期费！我希望通过聚投诉联系到平台，按照法定最高利率还款，提前结束借贷关系！如果协商不成我将进行报警处理！。</t>
  </si>
  <si>
    <t>合利宝为满汉全席和61信用花高利贷平台违规提供结算平台，强制下款扣取砍头息，严重违法违纪，多次联系无果</t>
  </si>
  <si>
    <t>http://ts.21cn.com/tousu/show/id/1363443</t>
  </si>
  <si>
    <t>2019/10/15 14:59:11</t>
  </si>
  <si>
    <t>合利宝作为正规的第三方支付公司为非法商户61信用花和满汉全席提供支付通道，未经过用户申请强制下款发放贷款，扣砍头息费用，61信用花平台合利宝强制打款1600元，7天收取利息880元，直到9月13日还清后发现3次总共借款3200元，还了6880元后，发现21天利息高达3680元满汉全席平台合利宝强制打款1600元，5天收取利息896元，直到9月15日还清后发现共借款金额为5440元，开始到最后协商平台威胁我偿还款2000元共支付了8566.4元，20天时间支付了利息为3126.4元，本人从9月13日开始投诉到</t>
  </si>
  <si>
    <t>信用飞发放高利贷，以保险为名捆绑收费</t>
  </si>
  <si>
    <t>http://ts.21cn.com/tousu/show/id/1363442</t>
  </si>
  <si>
    <t>2019/10/15 14:58:50</t>
  </si>
  <si>
    <t>7月14号在信用飞借款3000，再无提示情况下有一笔捆绑610元的保险费用，因为银行卡拒绝交易的原因没有秒扣回去，在国家明令禁止的情况信用飞依旧捆绑保险，并且无法提供保险单号，顶风作案，现进行聚投诉投诉，随后银监会举证，在法院起诉寻求一个公道。</t>
  </si>
  <si>
    <t>拍拍贷言语辱骂威胁</t>
  </si>
  <si>
    <t>http://ts.21cn.com/tousu/show/id/1363437</t>
  </si>
  <si>
    <t>2019/10/15 14:57:57</t>
  </si>
  <si>
    <t>投诉人汪女士投诉对象拍拍贷涉诉金额600元问题类型诉求类型投诉详情为什么我都说了下午会处理到了两点还电话辱骂我说三点半没有看见钱就爆联系人，紧急联系人不是用在联系不到我本人的情况下打的吗什么意思啊，对于次此情况今天下午这笔款项我不会处理了必须要有一个回复。</t>
  </si>
  <si>
    <t>利息太高了</t>
  </si>
  <si>
    <t>http://ts.21cn.com/tousu/show/id/1363435</t>
  </si>
  <si>
    <t>2019/10/15 14:57:46</t>
  </si>
  <si>
    <t>利息太高本人愿意协商还款，如果在本人为经允许下禁向家人朋友骚扰，如果在骚扰本人讲不在配合还款并且我会向有关部门进行投诉和举报。</t>
  </si>
  <si>
    <t>玖富万卡提前结清利息太高，望调利率</t>
  </si>
  <si>
    <t>http://ts.21cn.com/tousu/show/id/1363431</t>
  </si>
  <si>
    <t>2019/10/15 14:57:06</t>
  </si>
  <si>
    <t>致电客服要求结清这笔款项，但给出的利息太高，无法接受，希望有关部门给个说法。</t>
  </si>
  <si>
    <t>在毒APP）买的鞋子不予退货</t>
  </si>
  <si>
    <t>http://ts.21cn.com/tousu/show/id/1363426</t>
  </si>
  <si>
    <t>2019/10/15 14:56:23</t>
  </si>
  <si>
    <t>在毒app上购买鞋子，因大小不合适退货，退回去之后毒app反馈说鞋盒破损不予处理，不给退货退款。</t>
  </si>
  <si>
    <t>米米罐返还高额的会员费征信费</t>
  </si>
  <si>
    <t>http://ts.21cn.com/tousu/show/id/1363423</t>
  </si>
  <si>
    <t>2019/10/15 14:56:11</t>
  </si>
  <si>
    <t>投诉人李女士投诉对象米米罐涉诉金额4111元问题类型诉求类型投诉详情本人8月23号在米米罐申请借款2700一个月还款还款金额4111以会员费征信报告费收取高额利息9月22号到期还款4111已经还清现在要求返还高额的利息。</t>
  </si>
  <si>
    <t>http://ts.21cn.com/tousu/show/id/1363420</t>
  </si>
  <si>
    <t>2019/10/15 14:55:37</t>
  </si>
  <si>
    <t>手机借钱高利贷借款3000还款4000一个月，借款3700还款5800二个月，超过国家利率100倍，中国银联违规为高利贷提供放款扣款服务，同流合污.本人要求调整利率，本人已经向中国支付协会违规违法举报中心举报中国银联。</t>
  </si>
  <si>
    <t>平安银行委托第三方公司暴力催收</t>
  </si>
  <si>
    <t>http://ts.21cn.com/tousu/show/id/1363415</t>
  </si>
  <si>
    <t>2019/10/15 14:53:12</t>
  </si>
  <si>
    <t>由于家里遇到重大变故，导致不能正常还款，出现逾期;平安银行委托第三方打电话协商沟通，尽量想办法凑钱，平安银行客服说既然有第三方公司来催收就和平安银行没关系了，一开始协商的挺好，没过几天就说我撒谎骗人，各种暴力词语，就让还钱;打平安银行信用卡中心电话，平安银行客服说，既然有第三方公司来催收就和平安银行没关系了，平安银行这种处理事情态度差到极致，反感暴力催收，影响我的正常生活谴责平安银行不服责任行为。</t>
  </si>
  <si>
    <t>上海昶昱黄金股份有限公司涉赚非法股权代持</t>
  </si>
  <si>
    <t>http://ts.21cn.com/tousu/show/id/1363413</t>
  </si>
  <si>
    <t>2019/10/15 14:53:11</t>
  </si>
  <si>
    <t>我于11月份偶然在网上听宽亿研究院股评互联网平台骗子首席水镜老师讲课，领着买股票，后来编造昶昱黄金即将到香港上市的噱头，诱导不明真相的我购买所谓昶昱黄金定增股权，钱于11月26日打到了昶昱黄金第三大股东俞天明，购买了俞天明所持昶昱黄金股份关于赴香港联交所IPO启动，的个人银行账户上，购买了俞天明所持昶昱黄金股份，且是通过股权代持形式，收到了股份认购委托协议及“关于赴香港联交所IPO启动”股东告知函，2019年10月份大概能在香港上市交易，10月中旬经与12386了解，国家规定不得向非特定人群推荐股权，而且新</t>
  </si>
  <si>
    <t>好分期高额利息，骚扰电话不断</t>
  </si>
  <si>
    <t>http://ts.21cn.com/tousu/show/id/1363412</t>
  </si>
  <si>
    <t>2019/10/15 14:53:06</t>
  </si>
  <si>
    <t>骚扰电话不断，利息高，各种服务费和保障金全部高于国家利息。</t>
  </si>
  <si>
    <t>标题瓜子二手车保卖到期不过户，涉嫌虚假宣传，请求立刻完成过户</t>
  </si>
  <si>
    <t>http://ts.21cn.com/tousu/show/id/1363354</t>
  </si>
  <si>
    <t>2019/10/15 14:53:05</t>
  </si>
  <si>
    <t>投诉人李昕女士投诉对象瓜子二手车涉诉金额108000元问题类型诉求类型投诉详情本人于2019年8月29日与瓜子二手车平台签署保卖协议将自己的2013年1.8T豪华大众迈腾车卖给瓜子二手车，根据合同条款瓜子二手车平台保证于本协议签署之日起第45日完成车辆过户，当时的车辆收购人员说45天之内肯定能卖出去，用不了那么久，并且销售人员承诺若45天内未成交，车辆可过户给瓜子二手车平台，当天支付车款70%，过了22天后支付了剩余30%的款项，期间本着对瓜子二手车品牌及平台的信任，一直坚信瓜子二手车能够履行合同承诺，于4</t>
  </si>
  <si>
    <t>额度太少，联系客服无人理会，要求撤单</t>
  </si>
  <si>
    <t>http://ts.21cn.com/tousu/show/id/1363402</t>
  </si>
  <si>
    <t>2019/10/15 14:51:27</t>
  </si>
  <si>
    <t>在14号注册了万卡易贷，填写了一大堆的资料，一开始预计有2000的额度，不成功说可以申请个什么补偿金的，开通了会员之后批了1000的额度，跟之前说的有点差距，根本就没有那么高额度，年率在24%左右，我感觉还挺良心的，但额度太少，不符合我的要求，打客服电话打了好几个都没人接，留言的投诉现在都没有人处理，现要求删除我的个人信息，我不想贷了。</t>
  </si>
  <si>
    <t>51信用卡管家旗下及贷高利贷</t>
  </si>
  <si>
    <t>http://ts.21cn.com/tousu/show/id/1363327</t>
  </si>
  <si>
    <t>2019/10/15 14:50:55</t>
  </si>
  <si>
    <t>投诉人潘先生投诉对象及贷涉诉金额3600元问题类型诉求类型投诉详情本人于今年5月4通过51信用卡管家，下属平台及贷借款3600元，12个月需要共还款4896元，远超出国家规定利息，现在登录及贷后，并没有显示账单，我也是老用户了希望平台收取国家规定利息。</t>
  </si>
  <si>
    <t>http://ts.21cn.com/tousu/show/id/1363398</t>
  </si>
  <si>
    <t>2019/10/15 14:50:32</t>
  </si>
  <si>
    <t>爆我通讯录，今天就联系我家人，而且是我母亲，因为这事我母亲已经生病了，不联系我本人，直接骚扰我家人。</t>
  </si>
  <si>
    <t>闪银哼哼催收</t>
  </si>
  <si>
    <t>http://ts.21cn.com/tousu/show/id/1363401</t>
  </si>
  <si>
    <t>2019/10/15 14:50:22</t>
  </si>
  <si>
    <t>投诉人 蒋先生        投诉对象  Wecash闪银        涉诉金额  1 100 元    问题类型    诉求类型投诉详情  哼哼催收‭(020) 6626 8587‬语言谩骂粗鲁 一直追问一直追问 态度极其恶劣 影响到朋友和自己的生活 我都借了十几次了 这次资金周转 我说了我不想延期 我还全款 一直叫我延期 多久能处理 吃了这么多次砍头息 还一直逼问？我有了我不会还吗？</t>
  </si>
  <si>
    <t>如期分期收入高额技术手续费</t>
  </si>
  <si>
    <t>http://ts.21cn.com/tousu/show/id/1363392</t>
  </si>
  <si>
    <t>2019/10/15 14:49:13</t>
  </si>
  <si>
    <t>第一次还款时已经收取了服务费200，之后的分期每一期都包含有240的技术服务费，打电话给客服，客服说他们都没有收到通知说要收取技术服务费，这是哪门子事情，你们自己的app还要我们借款人来出钱维护，按照现在还款的金额，我用招商银行的贷款软件算了一下汇率，第一张是正常的24%，第二张已经高达了41.5%，已经超过了国家规定，请你们给我一个合理的解释，并且退还之前的技术服务费，取消另外3期的技术服务费，另外我的电话是一直可以打通的，并没有你们所说的联系不上，本人也并没有收到你们的电话，根据《互联网金融逾期债务催收</t>
  </si>
  <si>
    <t>爱用商城违规发放砍头息</t>
  </si>
  <si>
    <t>http://ts.21cn.com/tousu/show/id/1363390</t>
  </si>
  <si>
    <t>2019/10/15 14:48:30</t>
  </si>
  <si>
    <t>爱用商城违规发放砍头息，借3999实际到账2799.30！放款渠道是广州中融科技有限公司现在要求协商还款！！。</t>
  </si>
  <si>
    <t>国美金融无欠款不注销账户</t>
  </si>
  <si>
    <t>http://ts.21cn.com/tousu/show/id/1363387</t>
  </si>
  <si>
    <t>2019/10/15 14:47:48</t>
  </si>
  <si>
    <t>投诉人叶女士投诉对象国美金融涉诉金额0元问题类型诉求类型投诉详情本人最近在家人帮助下陆续结清各大平台欠款，并且家人要求要一一注销各平台账户，若是有欠款或者系统无法注销倒还可以理解，而国美金融以我无欠款仅有申请记录为由说我不符合注销条件，不予注销！现要求注销账户！。</t>
  </si>
  <si>
    <t>http://ts.21cn.com/tousu/show/id/1363381</t>
  </si>
  <si>
    <t>2019/10/15 14:46:23</t>
  </si>
  <si>
    <t>今天联系我说我在他们撒子平台借款，然而并没有过这个事情。</t>
  </si>
  <si>
    <t>qq宠物停止运营导致虚拟人物消失，霸王条款</t>
  </si>
  <si>
    <t>http://ts.21cn.com/tousu/show/id/1363379</t>
  </si>
  <si>
    <t>2019/10/15 14:46:20</t>
  </si>
  <si>
    <t>qq宠物停止运营导致虚拟人物消失，霸王条款！qq6512693，qq197779490至少在qq宠物消费500，未收到任何补偿故申请平台投诉。</t>
  </si>
  <si>
    <t>易秒分期app无法登录，导致无法还款</t>
  </si>
  <si>
    <t>http://ts.21cn.com/tousu/show/id/1363376</t>
  </si>
  <si>
    <t>2019/10/15 14:45:47</t>
  </si>
  <si>
    <t>之前10月2号的时候在易秒分期进行了借款，借款分别是7天还一期，共四期，已还一期，但现在今天到期还款日易秒分期app无法登录，也无法联系上客服，如果逾期了到底是算谁的。</t>
  </si>
  <si>
    <t>http://ts.21cn.com/tousu/show/id/1363370</t>
  </si>
  <si>
    <t>2019/10/15 14:44:08</t>
  </si>
  <si>
    <t>360借条私自爆通讯录，谁给你们的权利可以打我亲人朋友的电话了，逾期当天就告诉你们暂时没钱，月底就把全部账单结清，请给出合理解释，并向我亲戚朋友造成的骚扰影响道歉！你们什么时候解释道歉，我就在什么时候把账单结清！。</t>
  </si>
  <si>
    <t>多宝鱼APP无法还款</t>
  </si>
  <si>
    <t>http://ts.21cn.com/tousu/show/id/1363369</t>
  </si>
  <si>
    <t>2019/10/15 14:44:04</t>
  </si>
  <si>
    <t>本人在多宝鱼APP申请1500元借款到账1050元，8月9日为还款日，但从8月9日至今APP、微信公众号均无法打开，且联系不到客服，本人要求多宝鱼做出相关解释，因平台原因所造成的逾期费用本人不予承担。</t>
  </si>
  <si>
    <t>民航联盟会员卡虚假宣传</t>
  </si>
  <si>
    <t>http://ts.21cn.com/tousu/show/id/1363368</t>
  </si>
  <si>
    <t>2019/10/15 14:44:00</t>
  </si>
  <si>
    <t>2019.10.14我于厦门高崎机场登机时一个类似于机场工作人员的女孩问我乘飞机次数，然后建议成为民航通会员，说存入1980元后，可以直接买机票，而且比其他网站买的便宜很多，本以为可以用这1980元购买机票，结果买机票时才发现是5000元的代金券，这些代金券只能抵扣几十元的机票，不能用于支付机票，于当时宣传的不符合。</t>
  </si>
  <si>
    <t>新橙优品砍头息并且恶意骚扰</t>
  </si>
  <si>
    <t>http://ts.21cn.com/tousu/show/id/1363365</t>
  </si>
  <si>
    <t>2019/10/15 14:42:32</t>
  </si>
  <si>
    <t>在新橙分期贷款app上贷款3000元，实际放款只有2540，咨询客服这扣除的钱怎么回事，他说贷款协议上写过的保险，这是变换名义收取砍头息，贷款分6期，每期还663元，实际还款3978，因为无法找到APP下载地址，逾期了一天还款，新橙分期电话骚拢家人，朋友。</t>
  </si>
  <si>
    <t>捷信消费金融违法催收</t>
  </si>
  <si>
    <t>http://ts.21cn.com/tousu/show/id/1363358</t>
  </si>
  <si>
    <t>2019/10/15 14:41:14</t>
  </si>
  <si>
    <t>投诉人代女士投诉对象捷信金融涉诉金额50000元问题类型诉求类型投诉详情本人因生意失败，又住了一场医院，导致没有及时还款，现在捷信公司打电话冒充司法机关工作人员打电话骚扰，发信息威胁，我也说过凑到钱就还进去。</t>
  </si>
  <si>
    <t>高息加电话威胁</t>
  </si>
  <si>
    <t>http://ts.21cn.com/tousu/show/id/1363352</t>
  </si>
  <si>
    <t>2019/10/15 14:37:25</t>
  </si>
  <si>
    <t>高利贷，借9000还12000，电话口气威胁，试图协商无果。</t>
  </si>
  <si>
    <t>http://ts.21cn.com/tousu/show/id/1363347</t>
  </si>
  <si>
    <t>2019/10/15 14:35:52</t>
  </si>
  <si>
    <t>钱包易贷平台放款后通过连连支付扣除了544.73元砍头息，在这种情况下平台贷款利率已经超过了国家规定的最高利率，属于高利贷，要求退还扣除的砍头息。</t>
  </si>
  <si>
    <t>http://ts.21cn.com/tousu/show/id/1363346</t>
  </si>
  <si>
    <t>2019/10/15 14:35:31</t>
  </si>
  <si>
    <t>投诉人刘先生投诉对象智享贷,及贷涉诉金额3900元问题类型诉求类型投诉详情借款3300，收取462的服务费，要求调整合理利息。</t>
  </si>
  <si>
    <t>虾米在线平台高利贷</t>
  </si>
  <si>
    <t>http://ts.21cn.com/tousu/show/id/1363343</t>
  </si>
  <si>
    <t>2019/10/15 14:34:56</t>
  </si>
  <si>
    <t>投诉人张豪投诉对象虾米在线涉诉金额1400元问题类型诉求类型投诉详情我是在2019年10月9日在虾米在线平台上借款2000元，实际到账1400元，到了2019年10月15日又该还款了的，还全款是2000。</t>
  </si>
  <si>
    <t>恒信永利非法放高利贷，暴力催收</t>
  </si>
  <si>
    <t>http://ts.21cn.com/tousu/show/id/1363338</t>
  </si>
  <si>
    <t>2019/10/15 14:33:33</t>
  </si>
  <si>
    <t>恒信永利非法放高利贷，利息非常高，借4万元，分12个月还款，每个月还6050元，电话，一天打四五次电话给本人，严重影响正常上班和生活。</t>
  </si>
  <si>
    <t>套路贷，砍头息，暴力催收，电话短信侮辱恐吓联系人</t>
  </si>
  <si>
    <t>http://ts.21cn.com/tousu/show/id/1363332</t>
  </si>
  <si>
    <t>2019/10/15 14:32:42</t>
  </si>
  <si>
    <t>砍头息，暴力催收，骚扰联系人以及恐吓侮辱本人。</t>
  </si>
  <si>
    <t>闪电借款延期还款</t>
  </si>
  <si>
    <t>http://ts.21cn.com/tousu/show/id/1363325</t>
  </si>
  <si>
    <t>2019/10/15 14:31:00</t>
  </si>
  <si>
    <t>这个月单位工资拖欠,想与闪电借款协商延期还款,我会支付延期费。</t>
  </si>
  <si>
    <t>马上消费金融高利贷，套路贷，暴力催收</t>
  </si>
  <si>
    <t>http://ts.21cn.com/tousu/show/id/1363324</t>
  </si>
  <si>
    <t>2019/10/15 14:30:52</t>
  </si>
  <si>
    <t>3月8日，借款了3500元，12期，年利率高达35%严重超出国家24%的年化利率，并且提供重复借贷，后陆续借了4笔，2019年5月11借了1100，6月5日借了700，7月7日借了900元8月3日借了900，提供重复借贷，套路贷，并且套上征信系统，如此套路贷，高利贷，后来主动致电贵公司协商该利率问题和保险问题，叫他们调整利率以后会继续还款，可是他们的催收人员，陆续电话轰炸，暴力催收，群发短信等问题，对我造成了严重影响，朋友的厌恶，家人的疏离，诉求，调整利率，停止暴力催收，追究暴力催收人员，做出道歉。</t>
  </si>
  <si>
    <t>钱伴威胁走流程，暴力催收</t>
  </si>
  <si>
    <t>http://ts.21cn.com/tousu/show/id/1363321</t>
  </si>
  <si>
    <t>2019/10/15 14:29:18</t>
  </si>
  <si>
    <t>然后催收加我微信，说不还就走流程，爆通讯录，希望钱伴的工作人员能够联系我，协商一下还款的事。</t>
  </si>
  <si>
    <t>http://ts.21cn.com/tousu/show/id/1363305</t>
  </si>
  <si>
    <t>2019/10/15 14:28:34</t>
  </si>
  <si>
    <t>我在2016年申请了招联金融金额为8000元，每个月按时还款，到今年的9月份已经全部还清，但是在前几天收到短信说我还有金额在逾期，我打了人工客服，让我加一个QQ，加了后说要我资料才能开具结清证明，就这样一步步的催我，因我的信用卡没有额度才没有被对方得逞。</t>
  </si>
  <si>
    <t>安逸花暴力催收恐吓</t>
  </si>
  <si>
    <t>http://ts.21cn.com/tousu/show/id/1363316</t>
  </si>
  <si>
    <t>2019/10/15 14:27:56</t>
  </si>
  <si>
    <t>投诉人 孙先生        投诉对象  安逸花,安逸花（跃吉科技）        涉诉金额  2 000 元    问题类型    诉求类型投诉详情  说话态度蛮横 恐吓 骚扰 一天能打20多个电话，还说一天就播6次 电话换着给我打骚扰</t>
  </si>
  <si>
    <t>微闪贷不经同意扣除301服务费</t>
  </si>
  <si>
    <t>http://ts.21cn.com/tousu/show/id/1363314</t>
  </si>
  <si>
    <t>2019/10/15 14:27:11</t>
  </si>
  <si>
    <t>八月份扣了301手续费！拨打了客服电话，要我一个月以后退还，现在拨打客服一直联系不上，故意拖延。</t>
  </si>
  <si>
    <t>投诉苏宁金融骚扰</t>
  </si>
  <si>
    <t>http://ts.21cn.com/tousu/show/id/1363313</t>
  </si>
  <si>
    <t>2019/10/15 14:26:57</t>
  </si>
  <si>
    <t>投诉人高凡投诉对象苏宁金融涉诉金额1200元问题类型诉求类型投诉详情苏宁金融由于账号登陆不上去，原因是更改密苏宁发送的验证码延迟，导致无法更改密码，看不到还款金额，无法还款，最后导致逾期，上传了征信报告，联系苏宁官方，始终没有给出解释，现在只知道骚扰，让还钱，我想问下，软件登陆不上去，我们怎么还款，还款可以，不是我们单方面原因造成的违约，请问我们的征信问题怎么给我们解决，请求聚投诉官方帮助，谢谢。</t>
  </si>
  <si>
    <t>小米贷款骚扰第三方</t>
  </si>
  <si>
    <t>http://ts.21cn.com/tousu/show/id/1363290</t>
  </si>
  <si>
    <t>2019/10/15 14:26:50</t>
  </si>
  <si>
    <t>投诉人刘女士投诉对象多米贷涉诉金额1645元问题类型诉求类型投诉详情多米贷未经本人同意私自骚扰通讯录联系人，泄漏本人信息，高利息。</t>
  </si>
  <si>
    <t>影响正常工作</t>
  </si>
  <si>
    <t>http://ts.21cn.com/tousu/show/id/1363310</t>
  </si>
  <si>
    <t>2019/10/15 14:26:02</t>
  </si>
  <si>
    <t>之前反馈的问题一直没有接到公司的反馈，现在该员工要来公司影响办公。</t>
  </si>
  <si>
    <t>比特矿场利用投资高回报最后跑路</t>
  </si>
  <si>
    <t>http://ts.21cn.com/tousu/show/id/1363303</t>
  </si>
  <si>
    <t>2019/10/15 14:24:09</t>
  </si>
  <si>
    <t>10月12日下午，软件突然进不去，现在已经证实，软件跑路，上万人的钱，全部搭进去了，警察也不管。</t>
  </si>
  <si>
    <t>拼多多无缘无故冻结我资金不让我提现</t>
  </si>
  <si>
    <t>http://ts.21cn.com/tousu/show/id/1363302</t>
  </si>
  <si>
    <t>2019/10/15 14:23:58</t>
  </si>
  <si>
    <t>投诉人 杨先生        投诉对象  拼多多        涉诉金额  11 399 元    问题类型    诉求类型投诉详情  拼多多无缘无故冻结我资金不让我提现 两天了打拼多多总部电话无人接听</t>
  </si>
  <si>
    <t>个人信息泄露</t>
  </si>
  <si>
    <t>http://ts.21cn.com/tousu/show/id/1363299</t>
  </si>
  <si>
    <t>2019/10/15 14:22:59</t>
  </si>
  <si>
    <t>个人信息遭京东商城泄露，被骗子获取个人信息，从而盗刷个人京东金融白条。</t>
  </si>
  <si>
    <t>不能还款</t>
  </si>
  <si>
    <t>http://ts.21cn.com/tousu/show/id/1363293</t>
  </si>
  <si>
    <t>2019/10/15 14:20:59</t>
  </si>
  <si>
    <t>2018年11月那天我去了一家蕾特恩做祛痘，结果他们帮我办了个乔融金服医分期，做了两个项目，一个分18期，一个分12期，现在还款不了。</t>
  </si>
  <si>
    <t>http://ts.21cn.com/tousu/show/id/1363291</t>
  </si>
  <si>
    <t>2019/10/15 14:19:34</t>
  </si>
  <si>
    <t>扣了我299服务费，本人没有从该平台有过贷款叫我等一个月，现在时间已到，继续拖延！。</t>
  </si>
  <si>
    <t>恐吓家里人上门，要拉黑征信，骚扰</t>
  </si>
  <si>
    <t>http://ts.21cn.com/tousu/show/id/1363282</t>
  </si>
  <si>
    <t>2019/10/15 14:16:28</t>
  </si>
  <si>
    <t>麻烦不要骚扰我家里人，我目前没钱，信用卡我会陆续把钱还上，你信用卡停就停了，我家人看到这样的信息受不了了，生病了。</t>
  </si>
  <si>
    <t>关于招商银行第三方委托机构杭州市涌辰咨询有限公司违法经营的举报</t>
  </si>
  <si>
    <t>http://ts.21cn.com/tousu/show/id/1363280</t>
  </si>
  <si>
    <t>2019/10/15 14:15:47</t>
  </si>
  <si>
    <t>本人李某，男，身份证号码3*************XXXX，2016年由于个人面临失业，名下招商银行信用卡于2016年底开始逾期，并于当年外出打工，近期招商银行第三方委托机构杭州市涌辰商务咨询有限公司催收专员对我爱人单位进行骚扰，导致我爱人声誉受损，我主动联系银行说明情况并有意愿进行还款，但就还款金额和还款方式未达成一致，催收专员在随时可以联系到我的情况再次骚扰我爱人，我明确告知在还款方案未达成一致前和我直接联系，于当日下午催收专员再次骚扰我单位多名同事及领导，导致我个人工作及生活严重受影响，因不堪其骚扰</t>
  </si>
  <si>
    <t>http://ts.21cn.com/tousu/show/id/1363277</t>
  </si>
  <si>
    <t>2019/10/15 14:14:49</t>
  </si>
  <si>
    <t>本人以前都是按时还款，到现在也没有逾期过，因做生意赔了，家庭工作都发生了变故，现在确实承受的压力非常大，不想发生逾期，希望贵行能给我一个缓冲的时间。</t>
  </si>
  <si>
    <t>车贷金融问题</t>
  </si>
  <si>
    <t>http://ts.21cn.com/tousu/show/id/1363203</t>
  </si>
  <si>
    <t>2019/10/15 14:12:54</t>
  </si>
  <si>
    <t>投诉人邓伟华先生投诉对象平安租赁涉诉金额47000元问题类型诉求类型投诉详情在贷款的时候，贷款金额我明明是47000块钱，我要提起还款的贷款变成49720元，无缘无故本金多了2700多，而且他还是单方面合同，贷款的时候还是收了金融服务费3000元，一点都不公平公正，推诉没人处理。</t>
  </si>
  <si>
    <t>OPPOR9sPlus手机无限重启无法开机影响使用</t>
  </si>
  <si>
    <t>http://ts.21cn.com/tousu/show/id/1363271</t>
  </si>
  <si>
    <t>2019/10/15 14:12:33</t>
  </si>
  <si>
    <t>，前段时间扫码付款突然卡顿死机，紧接着无限重启，无法开机，希望官方给个解释并且出面解决这个问题，，手机里所有的东西瞬间没了是什么概念，给我造成了很大的困扰。</t>
  </si>
  <si>
    <t>甘肃省文化产权交易中心虚假宣传</t>
  </si>
  <si>
    <t>http://ts.21cn.com/tousu/show/id/1360858</t>
  </si>
  <si>
    <t>2019/10/15 14:12:21</t>
  </si>
  <si>
    <t>投诉人谭荣珍投诉对象甘肃省文化产权交易中心,民崒中心涉诉金额60000元问题类型诉求类型投诉详情本人于去年，看到朋友圈宣传：是国家合法合规批准的交易中心，还出具很多部门审批的文件资料来诱导我们，说只赚不亏本，没有涨跌的书法交易平台，，本人2018年8月17到2018年9月20日相继投入合计金额35386.43元，两个账户共近6万元，说提货10副，会配新30副，目前帐号里30副字画跌至最低价，无法卖出，至今分文未回，，因为本人是高价买进，目前平台的价格一直处于最低价，也限制本人交易，无法卖出，现在平台根本没有</t>
  </si>
  <si>
    <t>苏宁以商品“拆封”为由，拒绝退货</t>
  </si>
  <si>
    <t>http://ts.21cn.com/tousu/show/id/1363269</t>
  </si>
  <si>
    <t>2019/10/15 14:11:22</t>
  </si>
  <si>
    <t>本人10.12日在淘宝苏宁易购下单一部索尼黑卡5相机，次日上午十点左右收到相机，拆开包装看了相机，看真机样式不是很喜欢，未开机未激活，遂在淘宝后台点击退货退款，苏宁客服很快在后台回应，同意退货退款，发现退货地址个假地址，紧接着客服说实际他们是拒绝退货申请的，原因是我拆封了，影响商品的下次销售，真是店大欺客！，2019年了平台竟然还有这样的商家存在！我不拆开看怎么知道我喜不喜欢，怎么就成商家强买强卖的借口了！网上一搜真是活久见，发现遇上这个问题的不止我一个，到处有投诉，客服也是差到爆，电话根本是个摆设，服务态</t>
  </si>
  <si>
    <t>http://ts.21cn.com/tousu/show/id/1363266</t>
  </si>
  <si>
    <t>2019/10/15 14:10:06</t>
  </si>
  <si>
    <t>小花钱包天天电话骚扰，对本人生活和精神造成很大影响。</t>
  </si>
  <si>
    <t>百度有钱花轰炸通讯录</t>
  </si>
  <si>
    <t>http://ts.21cn.com/tousu/show/id/1363259</t>
  </si>
  <si>
    <t>2019/10/15 14:08:12</t>
  </si>
  <si>
    <t>百度有钱花天天骚扰通讯录好友，读取通讯录信息，盗取个人信息群发短信。</t>
  </si>
  <si>
    <t>聚富分期恶意扣款</t>
  </si>
  <si>
    <t>http://ts.21cn.com/tousu/show/id/1363260</t>
  </si>
  <si>
    <t>2019/10/15 14:08:06</t>
  </si>
  <si>
    <t>聚富分期恶意扣款了299元，请求退款，谢谢聚投诉。</t>
  </si>
  <si>
    <t>http://ts.21cn.com/tousu/show/id/1363255</t>
  </si>
  <si>
    <t>2019/10/15 14:06:12</t>
  </si>
  <si>
    <t>高利贷，暴力催收，未经允许骚扰通讯联系人，短信威胁，贩卖借贷信息给三方，严重骚扰工作单位，已经侵犯我个人隐私及名誉权。</t>
  </si>
  <si>
    <t>暴力催收电话骚扰，恶意散播信息</t>
  </si>
  <si>
    <t>http://ts.21cn.com/tousu/show/id/1363247</t>
  </si>
  <si>
    <t>2019/10/15 14:03:25</t>
  </si>
  <si>
    <t>冒充司法人员威胁恐吓，恶意骚扰，散播隐私消息。</t>
  </si>
  <si>
    <t>上门威胁</t>
  </si>
  <si>
    <t>http://ts.21cn.com/tousu/show/id/1363244</t>
  </si>
  <si>
    <t>2019/10/15 14:01:53</t>
  </si>
  <si>
    <t>投诉人刘先生投诉对象微博借钱涉诉金额12000元问题类型诉求类型投诉详情威胁收取上门费用12000余元，还给家人打骚扰电话，短信，对我的生活造成了影响。</t>
  </si>
  <si>
    <t>云闪付，中国正规清算机构为违法软件提供转账渠道</t>
  </si>
  <si>
    <t>http://ts.21cn.com/tousu/show/id/1363239</t>
  </si>
  <si>
    <t>2019/10/15 14:01:05</t>
  </si>
  <si>
    <t>本人在去年的时候被人误导宣传进入违法软件，在云闪付进入充值后发现是违法软件，中国银联在老百姓心中是可靠的平台，竟然为违法软件进行提供三方充值，和支付清算协会沟通得知第三方支付业务应审核客户的相关信息，第三方支付业务公司不得向证券，期货，博彩等机构提供支付结算业务，，在看到了中国银联的标志，也相信了平台是合法彩票平台，，损失13500元，但是现在发现次彩票平台根本不是合法平台，家都散了，可怜至极，惨不忍睹！！！！，不要再为不法分子提供便利，恳求聚投诉平台帮我拿回血汗钱！！！，本人于通过云闪付支付充值，本以为通</t>
  </si>
  <si>
    <t>小闪分期超高额罚息问题依然没解决，无视中国法律</t>
  </si>
  <si>
    <t>http://ts.21cn.com/tousu/show/id/1363222</t>
  </si>
  <si>
    <t>2019/10/15 14:00:44</t>
  </si>
  <si>
    <t>之前小闪电分期的客服联系说，要退还我之前的罚息总计120元，但是至今未退，本月又逾期了一天，依然是高达近50元的罚息我强烈要求下架该产品，并退还我的罚息。</t>
  </si>
  <si>
    <t>被豹子贷恶意扣款200</t>
  </si>
  <si>
    <t>http://ts.21cn.com/tousu/show/id/1363237</t>
  </si>
  <si>
    <t>2019/10/15 14:00:18</t>
  </si>
  <si>
    <t>被豹子贷以风险评估的名义恶意自动扣款200。</t>
  </si>
  <si>
    <t>虚假发货，诱导购买理财产品</t>
  </si>
  <si>
    <t>http://ts.21cn.com/tousu/show/id/1363236</t>
  </si>
  <si>
    <t>本人于今年1月份被网上的不明人士诱导购买产品，走的云闪付支付，收款机构是翰银科技，翰银科技与违法公司合伙欺诈消费者钱财，忘中国人民银行能敦促翰银合理解决。</t>
  </si>
  <si>
    <t>借这个平台我就想告诉你们，你以为你打了通讯录我就会乖乖还款了吗？</t>
  </si>
  <si>
    <t>http://ts.21cn.com/tousu/show/id/1363233</t>
  </si>
  <si>
    <t>2019/10/15 13:58:58</t>
  </si>
  <si>
    <t>亲爱的360借条，我是逾期了几天了，你们现在盗取我的通讯录，恶意催收，我就想问问网贷你打了通讯录我就会乖乖还钱了吗，现在通讯录都打了，我还怕什么，我现在就希望你们的催收人员赶紧过来，当面我把钱还你们吧。</t>
  </si>
  <si>
    <t>http://ts.21cn.com/tousu/show/id/1363228</t>
  </si>
  <si>
    <t>2019/10/15 13:57:46</t>
  </si>
  <si>
    <t>聚福钱包,上海造艺网络技术,造艺科技,海南普德龙网络科技有限公司，借款失败了，还私自扣款，打客服电话，客服态度恶劣不做处理，还说卡里只要??，还有海南普德龙网络科技有限公司联合聚福钱包私自扣款，要求赔偿。</t>
  </si>
  <si>
    <t>http://ts.21cn.com/tousu/show/id/1363226</t>
  </si>
  <si>
    <t>2019/10/15 13:57:35</t>
  </si>
  <si>
    <t>投诉人许女士投诉对象玖富万卡涉诉金额9600元问题类型诉求类型投诉详情分两份合同算利息，已经还款6期，还要还13000多。</t>
  </si>
  <si>
    <t>无底线的电话轰炸，骚扰</t>
  </si>
  <si>
    <t>http://ts.21cn.com/tousu/show/id/1363225</t>
  </si>
  <si>
    <t>2019/10/15 13:57:25</t>
  </si>
  <si>
    <t>投诉人姜家朝先生投诉对象交通银行信用卡涉诉金额3900元问题类型诉求类型投诉详情交通银行信用卡额度1万，剩下的会迟一点还，催收就每天电话轰炸，每天都打，还非法读取手机通讯录到处电话轰炸亲朋好友，上午还钱，下午又来电话轰炸，已经严重影响生活和工作，。</t>
  </si>
  <si>
    <t>中国电信霸王条款，强制扣费</t>
  </si>
  <si>
    <t>http://ts.21cn.com/tousu/show/id/1363219</t>
  </si>
  <si>
    <t>2019/10/15 13:54:36</t>
  </si>
  <si>
    <t>我在武汉办了电信的宽带，然后给一张绑定电话卡，现在离开武汉，宽带也到期了没有用了，因为不在武汉暂时不方便回去办不了注销，结果就从电信手机号扣钱，现在手机号都扣欠费停机了，竟然还可以继续扣款，导致欠费越来越多，打客服客服就说要么去办注销，要么就一直这么扣费扣下去，告诉过几个月有空回去办还不行，也不能给暂停扣费之类的，电信这就牛逼了啊，我宽带到期了没有要续约、手机号停机了，它竟然还可以继续扣费，有这样霸王扣款的吗，平时网络差、信号差不改进，霸王扣款到挺能啊！。</t>
  </si>
  <si>
    <t>招联金融催收人员威胁恐吓</t>
  </si>
  <si>
    <t>http://ts.21cn.com/tousu/show/id/1363217</t>
  </si>
  <si>
    <t>2019/10/15 13:54:21</t>
  </si>
  <si>
    <t>催收人员手机号：131******06和133******73。</t>
  </si>
  <si>
    <t>捷信暴力催收伪造公安律师</t>
  </si>
  <si>
    <t>http://ts.21cn.com/tousu/show/id/1363215</t>
  </si>
  <si>
    <t>2019/10/15 13:53:50</t>
  </si>
  <si>
    <t>投诉人 朱女士        投诉对象  捷信金融        涉诉金额  20 000 元    问题类型    诉求类型投诉详情  是这样的 本来我一直是按时还款的 虽然真的坑 当时做生意缺钱 正好捷信打电话来问我需要资金不 我说需要 就在电话里面做了几分钟的资料审核 两万块钱打到了我的账户 害怕自己还款能力不行 就选择了30期 每期偿还1280元 嗯 算算是不是比高利贷该还吓人 我还是一直没有逾期的还过 今年年初因为资金问题 生意失败了 电话卡是贵阳的 掉了才</t>
  </si>
  <si>
    <t>http://ts.21cn.com/tousu/show/id/1363214</t>
  </si>
  <si>
    <t>2019/10/15 13:53:48</t>
  </si>
  <si>
    <t>投诉人董女士投诉对象蚂蚁金呗涉诉金额2000元问题类型诉求类型投诉详情暴力催收，恶意爆通讯录，发布艾滋病信息进行骚扰。</t>
  </si>
  <si>
    <t>存在误差</t>
  </si>
  <si>
    <t>http://ts.21cn.com/tousu/show/id/1363213</t>
  </si>
  <si>
    <t>2019/10/15 13:53:32</t>
  </si>
  <si>
    <t>2018年10/31，被易宝支付机构扣款1520.85，存在误差金额，我查了流水账单没存在交易，多扣了一笔，要求易宝支付退900元，。</t>
  </si>
  <si>
    <t>钱站APP砍头息高利贷</t>
  </si>
  <si>
    <t>http://ts.21cn.com/tousu/show/id/1363211</t>
  </si>
  <si>
    <t>2019/10/15 13:52:54</t>
  </si>
  <si>
    <t>投诉人赵先生投诉对象钱站涉诉金额1330元问题类型诉求类型投诉详情2019年9月14号在钱站AAP上借款1330元实际到账1000元分三期归还每期494.07元目前在APP上都无法看到总共借款账单和分期详情.。</t>
  </si>
  <si>
    <t>http://ts.21cn.com/tousu/show/id/1363206</t>
  </si>
  <si>
    <t>2019/10/15 13:52:25</t>
  </si>
  <si>
    <t>这个应该是平安给了外包催收，这是挑衅国家法律，顶风作案吗。</t>
  </si>
  <si>
    <t>爱用商城套路贷，砍头息</t>
  </si>
  <si>
    <t>http://ts.21cn.com/tousu/show/id/1363204</t>
  </si>
  <si>
    <t>2019/10/15 13:52:13</t>
  </si>
  <si>
    <t>8月15日申请，一直没下款，跟客服联系取消，客服说取消不了，9月10客服联系我问我还需要嘛，我说不需要，在我不需要的情况下下款，下款2250，一个月以后还3090我接受不了，催收联系要爆我通讯录。</t>
  </si>
  <si>
    <t>快钱支付和宝付支付为广州简怡网络科技有限公司714高炮提供支付通道要求退还砍头息</t>
  </si>
  <si>
    <t>http://ts.21cn.com/tousu/show/id/1363200</t>
  </si>
  <si>
    <t>2019/10/15 13:51:55</t>
  </si>
  <si>
    <t>投诉人 郭女士        投诉对象  白鲸信用,闪电下        涉诉金额  600 元    问题类型    诉求类型投诉详情  7月9日在白鲸信用（闪电下）借款2000实际到账1400 7天到期还款2014.01 7天利息600 要求退还</t>
  </si>
  <si>
    <t>闪银奇异恐吓暴力催收</t>
  </si>
  <si>
    <t>http://ts.21cn.com/tousu/show/id/1363194</t>
  </si>
  <si>
    <t>2019/10/15 13:50:36</t>
  </si>
  <si>
    <t>投诉人 邵先生        投诉对象  Wecash闪银        涉诉金额  3 500 元    问题类型    诉求类型投诉详情  在闪银奇异借款 分三期还款 第二期还款时间还有一周 但是闪银要求现在还清 还进行恐吓说要爆通讯录 我未逾期，没有任何违规情况金进行暴力催收 要求调整利息 并且道歉</t>
  </si>
  <si>
    <t>玖富叮当提前结清</t>
  </si>
  <si>
    <t>http://ts.21cn.com/tousu/show/id/1363189</t>
  </si>
  <si>
    <t>2019/10/15 13:49:40</t>
  </si>
  <si>
    <t>玖富叮当借款17000，分24期，月还款1048.33，按每期还款额算还满24期为1048.33*24=25159.92，现在还了20期，已还1048.33*20=20966.6，提前还款还需要还4193.32，还款按合同金额还款，玖富叮当本事就是阴阳合同，最后的还款额也与合同金额不符，按合同金额提前结清只需还22286.43-20966.6=1319.83即可，现在强烈要求玖富叮当给出一个合理的提前结清金额。</t>
  </si>
  <si>
    <t>投诉来分期账单存在二次收费</t>
  </si>
  <si>
    <t>http://ts.21cn.com/tousu/show/id/1363183</t>
  </si>
  <si>
    <t>2019/10/15 13:47:36</t>
  </si>
  <si>
    <t>还没有到账单日，天天打电话提醒，账单日当天，2分钟一个电话催，严重影响生活，还有就是账单本金加利息加起来明明是568，却还600多，告诉我是服务费，账单加起来568，为什么还产生了服务费。</t>
  </si>
  <si>
    <t>银生宝高层领导庇护非法商户,银生宝你欠我一个解释</t>
  </si>
  <si>
    <t>http://ts.21cn.com/tousu/show/id/1363181</t>
  </si>
  <si>
    <t>2019/10/15 13:47:21</t>
  </si>
  <si>
    <t>其中449000元是经过银生宝进入的一个叫彩集团的网站，导致我损失惨重，我多次联系银生宝，银生宝对我的投诉不作为，银生宝作为持有国家第三方支付牌照的合法公司，我有确凿的证据证明，银生宝违规为境外的赌博黑平台提供资金结算，作为一个合法的为大众服务的公司，不管到哪里去说，银生宝都有不可推卸的责任，收到商户的电话，本以为是沟通，竟然是商户的威胁，明确的告诉我与银生宝的高层领导有不一般的关系，在180天后冻结的资金会自动返还他们，他们处不处理都无所谓，事情发生这么多天，银生宝没有一次主动的跟我联系，主动积极的调查介</t>
  </si>
  <si>
    <t>辽宁优丫设计有限公司培训贷套路贷</t>
  </si>
  <si>
    <t>http://ts.21cn.com/tousu/show/id/1363180</t>
  </si>
  <si>
    <t>2019/10/15 13:47:13</t>
  </si>
  <si>
    <t>前三天“试岗”讲些案例，每天结束后面试HR会对你嘘寒问暖学得怎么样听不听得懂诸如此类，开始逐步渗透信息：学习期3个月，每个月“工资”1000元，但在公司前期有一定耗材费用，为了保证公司利益需要提前贷款方式解决，贷款以6+18期形式，前6期公司替支付，每月178.2元，后18期每个月需个人支付，为1278.2元，表示共计19800元，实际需本人支付为1278.2*18=23,007.6元，又表示学习期结束入职月薪3000+不成问题，同意第二天办理签订合同，次日签订的也不是劳动合同，而是一份实训协议，过程中HR</t>
  </si>
  <si>
    <t>本人网易暴雪魔兽世界账号丢失，官方客服在我可以证明账号归属的情况下拒绝提供找回服务</t>
  </si>
  <si>
    <t>http://ts.21cn.com/tousu/show/id/1363178</t>
  </si>
  <si>
    <t>2019/10/15 13:46:13</t>
  </si>
  <si>
    <t>本人战网游戏账号qq*********8@163.com，于2019年9月份在网吧游戏有个引导我输入验证码的网站，输入了自己的验证码，导致自己的账号丢失，过错在我，但是我联系客服，可以提供本人的身份证，以及战网充值记录，打了1个小时的电话，电话费就花了近十元，终于接通后，客服表示没有办法，那么我玩了你们的游戏，你们不提供售后么。</t>
  </si>
  <si>
    <t>http://ts.21cn.com/tousu/show/id/1363172</t>
  </si>
  <si>
    <t>2019/10/15 13:43:28</t>
  </si>
  <si>
    <t>投诉人宫女士投诉对象嗨学网涉诉金额3998元问题类型诉求类型投诉详情7月29日收到微信，7月30日缴费，销售人员以可以挂靠兼职等，巨额视频诱惑报名，进入才知道课程都是2个小时甚至4个小时一节，我8月初才进班，2个月学完6个月以上的内容根本做不到，他们班主任告诉我视频就放着，没事题做一下达到量就可以了，我今天看还有考试成绩要求，我电话问售后，如果今年考试前一天进班，也是得看完视频做题百分之80，还有成绩要求吗，报名的时候也有问题，明明需要消防工作经验6年，销售指导告诉我按他们模板填写就没问题，今天有个人联系我</t>
  </si>
  <si>
    <t>包银消费金融暴力催收</t>
  </si>
  <si>
    <t>http://ts.21cn.com/tousu/show/id/1363170</t>
  </si>
  <si>
    <t>2019/10/15 13:39:39</t>
  </si>
  <si>
    <t>本人在包银消费金融借款，最后一期，在本人答应还款并已经还款的情况下对方骚扰我的联系人！。</t>
  </si>
  <si>
    <t>网贷搭售保险</t>
  </si>
  <si>
    <t>http://ts.21cn.com/tousu/show/id/1363167</t>
  </si>
  <si>
    <t>2019/10/15 13:38:08</t>
  </si>
  <si>
    <t>2019年10月8在查询我名下保险单时，发现易安保险公司有我的保单，投保的保险金额：22000.00，经过查看，发现保单是在我不知情的情况下以我的名义投的保，期间与期后没有看到任何投保的协议，投保告知，也没有电话，短信，邮件形式的通知，也没有纸质保单送达，这是明显的捆绑保险，严重违反了囯家的《保险法》与其他相关规定。</t>
  </si>
  <si>
    <t>中国银联股份有限公司广东分公司专户16</t>
  </si>
  <si>
    <t>http://ts.21cn.com/tousu/show/id/1363148</t>
  </si>
  <si>
    <t>2019/10/15 13:36:16</t>
  </si>
  <si>
    <t>投诉人王团国先生投诉对象中国银联涉诉金额3504元问题类型诉求类型投诉详情2019年8月21日中国银联股份有限公司广东分公司专户16从本人工商银行无故扣取3504元人民币，望平台通知该扣款公司，尽快退回本人，谢谢。</t>
  </si>
  <si>
    <t>http://ts.21cn.com/tousu/show/id/1363161</t>
  </si>
  <si>
    <t>2019/10/15 13:35:34</t>
  </si>
  <si>
    <t>投诉人高先生投诉对象买买乐购涉诉金额4500元问题类型诉求类型投诉详情2019年2月28日借款2500元，先要求一次性将后面钱还清，需还3907.97元，年利率高达80%先要求，尽快处理，并且只还本金。</t>
  </si>
  <si>
    <t>http://ts.21cn.com/tousu/show/id/1363159</t>
  </si>
  <si>
    <t>2019/10/15 13:34:39</t>
  </si>
  <si>
    <t>要求英孚教育退款，不读书了，还交学费，天理不容。</t>
  </si>
  <si>
    <t>你我贷高利贷，要求重新核算还款金额</t>
  </si>
  <si>
    <t>http://ts.21cn.com/tousu/show/id/1363156</t>
  </si>
  <si>
    <t>2019/10/15 13:34:22</t>
  </si>
  <si>
    <t>你我贷高利贷，13200借一年要还18000，远超国家法定标准，要求重新核算协商还款。</t>
  </si>
  <si>
    <t>航行神州黑金卡虚假推销诱导消费1380元</t>
  </si>
  <si>
    <t>http://ts.21cn.com/tousu/show/id/1363150</t>
  </si>
  <si>
    <t>2019/10/15 13:31:15</t>
  </si>
  <si>
    <t>我在2019年10月9日于邯郸机场被坑办理了一张航行神州的黑金卡.刚一进去，就被穿着制服的工作人员叫住，她像我推出他们所谓的黑金会员卡，听着他们所说的一大堆，无非就是想要我去办理此卡，刚开始她没说要交钱到后来才说要交1380，我就犹豫了一下，后来他们又说了好久，说办理此卡后，以后坐飞机也更方便，说是民航一手票源，买票也比其它APP上买的票要便宜，而且激活后还有赠送的1000元代金券，相当于此卡一共有2380，以后买票可以直接抵扣，拥有此卡也可以直接去贵宾室休息，如果我的亲戚朋友也坐飞机的话，只要报上我的电话</t>
  </si>
  <si>
    <t>咸鱼胡乱下架产品，且不给予</t>
  </si>
  <si>
    <t>http://ts.21cn.com/tousu/show/id/1363149</t>
  </si>
  <si>
    <t>2019/10/15 13:31:00</t>
  </si>
  <si>
    <t>投诉人叶女士投诉对象淘宝闲鱼涉诉金额100元问题类型诉求类型投诉详情我在闲鱼上销售unichi葡萄籽和玫瑰果，次日咸鱼就被将我所有产品下架了，而且不予以申诉，且下架时长达半个月，当时，我举报了同款产品的商品，结果无一不成立，闲鱼客服也不给予任何解释。</t>
  </si>
  <si>
    <t>雷神加速器无法正常加速亚服，掉线丢包延迟高，多次联系客服，其提供方法无法有效解决问题，对这个产品非常失望，需要退款。</t>
  </si>
  <si>
    <t>http://ts.21cn.com/tousu/show/id/1363145</t>
  </si>
  <si>
    <t>2019/10/15 13:27:35</t>
  </si>
  <si>
    <t>投诉人吴先生投诉对象雷神加速器涉诉金额99元问题类型诉求类型投诉详情雷神加速器无法正常加速亚服，掉线丢包延迟高，多次联系客服，其提供方法无法有效解决问题，对这个产品非常失望，需要退款。</t>
  </si>
  <si>
    <t>你我贷归还砍头息</t>
  </si>
  <si>
    <t>http://ts.21cn.com/tousu/show/id/1363137</t>
  </si>
  <si>
    <t>2019/10/15 13:27:21</t>
  </si>
  <si>
    <t>投诉人韩先生投诉对象你我贷涉诉金额2200元问题类型诉求类型投诉详情半年前在你我贷借款1500三个月还款2200元要求你我贷退还砍头息！另外只能显示近三个月的单号你们是想干嘛。</t>
  </si>
  <si>
    <t>赢盛易贷深圳与衫科技有限公司惠州分公司抵押车贷砍头息，高利贷</t>
  </si>
  <si>
    <t>http://ts.21cn.com/tousu/show/id/1363138</t>
  </si>
  <si>
    <t>2019/10/15 13:27:13</t>
  </si>
  <si>
    <t>2018年01月16日在惠州市华贸写字楼2座401跟赢盛易贷，我实际申请借款5万元分期两年年利率24%的压证、压备用钥匙不压车抵押贷，但他们让我签的合同确又是55000元，之后客户经理给我说要扣除渠道手续费5000,利息445，检测费100，车管所抵押登记证500，GPS安装费500，流量费220，账户管理费100，算下来我能拿到手的只有43085元，而我除了最后一个月还2083元和第一个月还2096元以外，其它22个月每个月要还2898元，合同写着每个月16号还款，由于他们到2018年1月21号才放了款，</t>
  </si>
  <si>
    <t>http://ts.21cn.com/tousu/show/id/1363136</t>
  </si>
  <si>
    <t>2019/10/15 13:26:51</t>
  </si>
  <si>
    <t>小象优品借款9000元，需还13000元！远超国家规定的24%年利息，属于高利贷行为，希望有关部门介入调查。</t>
  </si>
  <si>
    <t>逾期一天，协商无果，延期七日，需379元，高利贷</t>
  </si>
  <si>
    <t>http://ts.21cn.com/tousu/show/id/1363134</t>
  </si>
  <si>
    <t>2019/10/15 13:26:17</t>
  </si>
  <si>
    <t>米多点，由于资金紧张，逾期一天，想协商解决，客服要我延期，七日需379元，典型高利贷，要不然还全款，协商未果后，用我的电话号码到处注册，骚扰，严重扰乱我的生活，请求处理。</t>
  </si>
  <si>
    <t>淘宝店铺购买水果燕麦片质量问题</t>
  </si>
  <si>
    <t>http://ts.21cn.com/tousu/show/id/1363129</t>
  </si>
  <si>
    <t>2019/10/15 13:22:45</t>
  </si>
  <si>
    <t>10月04日在淘宝网上“村上阿素"店铺购买了1袋合水果燕麦片，价格为11.9元，第二次打开包装后我用开水冲泡了一小碗，吃到一半吃到一个硬物,拿出来一看是树枝.，这个情况在卖家店铺里的评论中发现其他人也有类似评价，目前这袋开封的燕麦我还保留着，可以通过正规检验机构检查是否有质量问题，针对这个出售问题食品的情况，我要求店铺按《食品安全法》第一百四十八条第二款，生产不符合食品安全标准的食品或者经营明知是不符合食品安全标准的食品，消费者除要求赔偿损失外，还可以向生产者或者经营者要求支付价款十倍或者损失三倍的赔偿金；</t>
  </si>
  <si>
    <t>用他们收款码收款第一天就扣我钱</t>
  </si>
  <si>
    <t>http://ts.21cn.com/tousu/show/id/1363127</t>
  </si>
  <si>
    <t>2019/10/15 13:22:40</t>
  </si>
  <si>
    <t>投诉人许先生投诉对象微易客新零售涉诉金额5501元问题类型诉求类型投诉详情用微易客新零售收款码收款第一天就卡我钱不给我。</t>
  </si>
  <si>
    <t>和信阴阳合同高利贷暴力催收</t>
  </si>
  <si>
    <t>http://ts.21cn.com/tousu/show/id/1363126</t>
  </si>
  <si>
    <t>2019/10/15 13:22:39</t>
  </si>
  <si>
    <t>1.高利贷、砍头息：2018年6月左右经介绍在和信九江办理了一笔贷款，实际到账金额不足2万元，但合同金额为33987.62元，分36期总计应还4万元！根据合同约定的等额本息算法，实际综合年利率已经超过50%，严重违法，2.暴力催收，骚扰通讯录：第一次是在2019年3月份，还款日当日，我扣款账户中早已提前存好当期还款金额，和信在尚未扣款的情况下，于还款日当天已“光大银行信用卡”未还的名义对我的通讯录进行骚扰；第二次是这个月13号的还款日，我对利息费率提出质疑后无人回应，在可以联系到我的情况下，从昨天开始疯狂骚</t>
  </si>
  <si>
    <t>http://ts.21cn.com/tousu/show/id/1363118</t>
  </si>
  <si>
    <t>2019/10/15 13:21:29</t>
  </si>
  <si>
    <t>本人于2019年7月18号在钱站爱钱进借款2000元，借款成功后，想提前还款，发现还款是3000元分3期每期还1056.66元！属于高利贷，本人已经还了2期希望钱站爱钱进给我一个合理的解释。</t>
  </si>
  <si>
    <t>退回服务费</t>
  </si>
  <si>
    <t>http://ts.21cn.com/tousu/show/id/1363123</t>
  </si>
  <si>
    <t>2019/10/15 13:19:50</t>
  </si>
  <si>
    <t>由于家庭原因现在无法操作股市，需退回剩余服务费，申请至今半个多月未见处理，请帮忙处理一下，谢谢。</t>
  </si>
  <si>
    <t>银生宝为非法网站提供资金结算</t>
  </si>
  <si>
    <t>http://ts.21cn.com/tousu/show/id/1359431</t>
  </si>
  <si>
    <t>2019/10/15 13:19:18</t>
  </si>
  <si>
    <t>本人电话131****6969，本人在2019年五月中在网吧上网，看到有人在网上赚钱，被他诱惑入金，造成直接损失人民币72497元.结果血本无归，平台未能如期返利，经银联查我的钱被银生宝公司扣走，银生宝支付机构非法为博彩网站提供充值洗*钱渠道，并非正规的购彩网站通过中国人民银行和支付清算协会沟通得知第三方支付公司不得向证券、期货、博彩等机构提供支付结算业务，为违法违规机构平台提供支付结算通道即产生了洗*钱的嫌疑，后来发现是网络非法博彩平台，并非正规的购彩网站通过中国人民银行和支付清算协会沟通得知，第三方支付</t>
  </si>
  <si>
    <t>http://ts.21cn.com/tousu/show/id/1363116</t>
  </si>
  <si>
    <t>2019/10/15 13:16:20</t>
  </si>
  <si>
    <t>报的24个的课程，缴纳百分之十首付然后在度小满金融上教育分期，后来没有上课程英孚又不予退款就这样拖的我白白还教育分期当时被销售电话说的天花乱坠，然后就报名开始学习说的是办了教育分期每月都要还，然而开始学习后发现小组的话题课程与教材完全不同步，当过了一个月后连之前一直关心学习进度的老师也没有了，作为一个在外边实习的大学生根本没有这么多时间进行学习再加上生活原有，作为一名消费者我连基础的知情权都没有完全不知道，过了一段时间再次电话400总部结果说30天后不予退款，完全就是套路一步一步诱导我进入圈套就这样英孚一直</t>
  </si>
  <si>
    <t>杭银消费协商还款一次还清</t>
  </si>
  <si>
    <t>http://ts.21cn.com/tousu/show/id/1363115</t>
  </si>
  <si>
    <t>2019/10/15 13:16:17</t>
  </si>
  <si>
    <t>希望平台与我沟通，降低利息，一次还清，协商还款。</t>
  </si>
  <si>
    <t>小赢卡贷注销账号让提供手持身份证等隐私信息</t>
  </si>
  <si>
    <t>http://ts.21cn.com/tousu/show/id/1363112</t>
  </si>
  <si>
    <t>2019/10/15 13:15:29</t>
  </si>
  <si>
    <t>投诉人吕先生投诉对象小赢卡贷涉诉金额0元问题类型诉求类型投诉详情本人于2018年11月19日从小赢卡贷网贷平台借款1000元分12期，前10期每月分期还款后于第11期前即2019年10月13日提前结清剩下所有分期欠款本金与利息等相关费用共计2539.94元，其中剩余2期账单进行提前还清该平台还收取我剩余2期的全部利息，，还完后准备注销小赢卡贷平台账号，该平台客服告诉我必须提供个人身份证正反照片和本人手持身份证照片以及提供银行流水账单我只是注销账号而已有必要提供这些隐私信息吗，打电话客服告诉他们我最多只是提供</t>
  </si>
  <si>
    <t>http://ts.21cn.com/tousu/show/id/1363107</t>
  </si>
  <si>
    <t>2019/10/15 13:14:28</t>
  </si>
  <si>
    <t>借款1000还2000三期希望协商降低利率偿还，停止对我家里人和朋友同事的骚扰，。</t>
  </si>
  <si>
    <t>招商银行信用卡暴利催收爆通讯录骚扰家人</t>
  </si>
  <si>
    <t>http://ts.21cn.com/tousu/show/id/1363105</t>
  </si>
  <si>
    <t>2019/10/15 13:13:21</t>
  </si>
  <si>
    <t>投诉人魏女士投诉对象招商银行信用卡涉诉金额64258元问题类型诉求类型投诉详情用招商信用卡十年了，之前一直都没有逾期，信用良好！今年年初因为做生意，资金链断裂所以外面欠了很多贷款，但是招商卡我到处借钱还所以都没有逾期，招商信用卡中心应该是今年六月份左右发短信来说查到我征信不好，所以准备停我的卡了！然后本来就负载累累的我这回彻底没有保住招商信用卡，之前有联系客服协商能不能每个月还几百分期还，客服回答是说没有这个业务！然后一直到现在逾期了将近4个月，开始2个多月因为手机出问题没有电话提示所以没有接到电话我也不知</t>
  </si>
  <si>
    <t>爱又米平台借款变相收取利息取现担保费</t>
  </si>
  <si>
    <t>http://ts.21cn.com/tousu/show/id/1363104</t>
  </si>
  <si>
    <t>2019/10/15 13:13:19</t>
  </si>
  <si>
    <t>投诉人 高先生        投诉对象  爱又米        涉诉金额  5 000 元    问题类型    诉求类型投诉详情  想要一次性结清 然后除去多余收取的高额利息</t>
  </si>
  <si>
    <t>贷款逾期，催收要求上门</t>
  </si>
  <si>
    <t>http://ts.21cn.com/tousu/show/id/1363101</t>
  </si>
  <si>
    <t>2019/10/15 13:12:53</t>
  </si>
  <si>
    <t>贷款1万，销售引导分期30期，还款16期，本金还完了，还剩14期八千多的利息没还，当地催收要求一次性结清5680块，这两天先还两千，不还就报警，上门，在派出所和我协商，本人觉得利息太高，要求再减免一点，态度很强烈一直不答应。</t>
  </si>
  <si>
    <t>融易花诬陷我有欠他们钱</t>
  </si>
  <si>
    <t>http://ts.21cn.com/tousu/show/id/1363095</t>
  </si>
  <si>
    <t>2019/10/15 13:10:01</t>
  </si>
  <si>
    <t>融易花诬陷我借款，电话骚扰，让我无法正常工作。</t>
  </si>
  <si>
    <t>智行软件无注销功能</t>
  </si>
  <si>
    <t>http://ts.21cn.com/tousu/show/id/1363093</t>
  </si>
  <si>
    <t>2019/10/15 13:08:20</t>
  </si>
  <si>
    <t>请及时将182******94账户注销，以防耽误以后使用，谢谢。</t>
  </si>
  <si>
    <t>招联金融骚扰恐吓通讯录</t>
  </si>
  <si>
    <t>http://ts.21cn.com/tousu/show/id/1363092</t>
  </si>
  <si>
    <t>2019/10/15 13:07:33</t>
  </si>
  <si>
    <t>长期恶意骚扰电话短信轰炸，立即停止骚扰恐吓！。</t>
  </si>
  <si>
    <t>恶意催收骚扰通讯录</t>
  </si>
  <si>
    <t>http://ts.21cn.com/tousu/show/id/1363084</t>
  </si>
  <si>
    <t>2019/10/15 13:04:46</t>
  </si>
  <si>
    <t>投诉人 汪女士        投诉对象  微粒贷,微众银行        涉诉金额  6 000 元    问题类型    诉求类型投诉详情  恶意催收，暴通讯录，骚扰通讯录，暴露隐私。</t>
  </si>
  <si>
    <t>短信骚扰亲友</t>
  </si>
  <si>
    <t>http://ts.21cn.com/tousu/show/id/1363082</t>
  </si>
  <si>
    <t>2019/10/15 13:04:13</t>
  </si>
  <si>
    <t>平安银行新一贷总金额9.9万，分36期每期3600多，还有6期的样子还完，剩余未还总金额不到2.5万，本期因为逾期第三天，平安银行来电都接了的并态度很好说正在处理，但平安银行发信息给我亲友说联系不上让互相转告，这已影响到我的正常生活。</t>
  </si>
  <si>
    <t>途家/去哪儿民宿深夜无法入住，房东未接电话，楼下被人尾随，申请售后却拒绝退款</t>
  </si>
  <si>
    <t>http://ts.21cn.com/tousu/show/id/1363081</t>
  </si>
  <si>
    <t>2019/10/15 13:03:34</t>
  </si>
  <si>
    <t>，本人通过去哪儿的沟通对话工具，给房东留言提问最晚几点可以到，房东一直未回复，019年8月10日通过去哪儿（实质为途家网）预定了10月6日-10月8日（共2晚）意大利威尼斯的民宿温泽赛托派赛托民宿单卧室标准公寓，；考虑到已经预定并确认就应该不会有太大问题，我们下火车后即拖着行李从火车站经过两趟水上公交，走了1.8公里的路，在晚上10：00来到指定地点，其中经过了一条特别长的巷子，此时有人尾随我们，这真的非常恐怖，3、当我们找到民宿的门时，我们开始敲门，但没有人回应，然后我们开始打电话，反反复复打了4-5个都</t>
  </si>
  <si>
    <t>网贷宣传与实际不符造成损失</t>
  </si>
  <si>
    <t>http://ts.21cn.com/tousu/show/id/1363079</t>
  </si>
  <si>
    <t>2019/10/15 13:03:10</t>
  </si>
  <si>
    <t>我在平台上申请信用卡代还50000元，平台显示预计的月还款金额是4436.78元，合计一年共还53241.36元，两天后手机短信提示实际放款是30000元，我看到显示贷款通过，就点了确认贷款，没想到显示的欠款是37197.21元，刚到账如果想全部还款就要支付多余的七千多元。</t>
  </si>
  <si>
    <t>http://ts.21cn.com/tousu/show/id/1363071</t>
  </si>
  <si>
    <t>2019/10/15 13:00:53</t>
  </si>
  <si>
    <t>每天几十个电话骚扰，翻来覆去的威胁，都已经和他们解释清楚了，也说了还款日期，还是每天骚扰，还打电话给我家人朋友威胁我，现在发展到用我手机号码注册各种类型账号，发这么多验证码过来，对我生活工作造成了非常大的困扰，我要求他们立刻停止这种行为。</t>
  </si>
  <si>
    <t>喵下贷阴阳合同高利贷砍头息</t>
  </si>
  <si>
    <t>http://ts.21cn.com/tousu/show/id/1363070</t>
  </si>
  <si>
    <t>2019/10/15 13:00:35</t>
  </si>
  <si>
    <t>本人在9月23日向喵下贷借款2000元到账1300元。</t>
  </si>
  <si>
    <t>51人品贷黑心高利贷，砍头息，骚扰通讯录联系人</t>
  </si>
  <si>
    <t>http://ts.21cn.com/tousu/show/id/1363062</t>
  </si>
  <si>
    <t>2019/10/15 12:57:47</t>
  </si>
  <si>
    <t>投诉人王先生投诉对象51人品涉诉金额9500元问题类型诉求类型投诉详情51人品贷非法收取砍头息及手续费，在51人品贷借款9500元分12期，结果51人品贷藐视国家利率规定，玩阴阳合同，第一期就额外收取砍头息服务费820元，其余每期违法收取除本金利息额外155元服务费，本人已还11期共11661元，现要求减免第12期金额，出结清证明，退还非法收取金额，并停止对本人及通讯录联系人骚扰恐吓，并做出道歉。</t>
  </si>
  <si>
    <t>喵下贷高利贷5天到账1300还款1999</t>
  </si>
  <si>
    <t>http://ts.21cn.com/tousu/show/id/1363060</t>
  </si>
  <si>
    <t>2019/10/15 12:56:54</t>
  </si>
  <si>
    <t>投诉人 张女士        投诉对象  喵下贷        涉诉金额  2 000 元    问题类型    诉求类型投诉详情  超级高利贷！10号放款1300 5天需要还款2000 中间不给取消借款 强制下款 暴力催收 催收人员qq：1073228425</t>
  </si>
  <si>
    <t>害人软件</t>
  </si>
  <si>
    <t>http://ts.21cn.com/tousu/show/id/1363013</t>
  </si>
  <si>
    <t>2019/10/15 12:50:26</t>
  </si>
  <si>
    <t>我在这个叫网贷商的平台上借钱&amp;nbsp;开头他问我要不要买包装费&amp;nbsp;包装费1500元&amp;nbsp;包装费就是他给我一些假信息&amp;nbsp;让我填&amp;nbsp;我跟他填了&amp;nbsp;然后他就说我认证成功&amp;nbsp;我的天&amp;nbsp;自己都不敢相信会成功&amp;nbsp;居然说成功了&amp;nbsp;于是他问我要不要提现&amp;nbsp;要体现的话就先把那个包装费给了才可以提现&amp;nbsp;可是我把这个银行卡号填错&amp;nbsp;但我也不知道是不是我真的把自己的银行卡号填错&amp;nbsp;因为填银行卡号的时候要验证手机号的&amp;nbsp;所</t>
  </si>
  <si>
    <t>胖胖有米强制放款，砍头子恶意出卖客服信息</t>
  </si>
  <si>
    <t>http://ts.21cn.com/tousu/show/id/1363051</t>
  </si>
  <si>
    <t>2019/10/15 12:49:50</t>
  </si>
  <si>
    <t>胖胖有米借款2500元，填写完资料没有提交借款直接放款，放款时才发现实际只到账1375元，平台不合理收取服务费1125元，属于高利贷，套路贷砍头息行为，而且次日接到胖胖有米客服电话说要帮助办理长期分期，被骗1100元，怀疑资料被恶意出售，本人无力承担高额利息，也无法接受，希望胖胖有米能够调整还款金额，我实际收到账款1375元，最多还款1500元。</t>
  </si>
  <si>
    <t>去哪儿机票退款严重超出国家法律法规</t>
  </si>
  <si>
    <t>http://ts.21cn.com/tousu/show/id/1363049</t>
  </si>
  <si>
    <t>2019/10/15 12:49:04</t>
  </si>
  <si>
    <t>投诉人何先生投诉对象去哪儿涉诉金额502元问题类型诉求类型投诉详情去哪儿机票退票扣款60%，严重超出国家法律法规10%-20%，订单号xss1*************5，提前10天退款仅退款约30%，本人承诺所说一切属实。</t>
  </si>
  <si>
    <t>投诉微信冻我9600不给提现</t>
  </si>
  <si>
    <t>http://ts.21cn.com/tousu/show/id/1363046</t>
  </si>
  <si>
    <t>2019/10/15 12:47:33</t>
  </si>
  <si>
    <t>投诉人 叶先生        投诉对象  微信支付        涉诉金额  9 600 元    问题类型    诉求类型投诉详情  无故冻结他人资金，霸王条款，不给别人提现</t>
  </si>
  <si>
    <t>拍拍贷高利贷爆力催收</t>
  </si>
  <si>
    <t>http://ts.21cn.com/tousu/show/id/1363040</t>
  </si>
  <si>
    <t>2019/10/15 12:46:39</t>
  </si>
  <si>
    <t>借拍拍贷3900元，还了400元，剩下3500元未还，因经济困难，无钱还，逾期从2019年4月到2019年9月1日要还5166.24元。</t>
  </si>
  <si>
    <t>闪银协商砍头息，一直联系不上</t>
  </si>
  <si>
    <t>http://ts.21cn.com/tousu/show/id/1363038</t>
  </si>
  <si>
    <t>2019/10/15 12:45:40</t>
  </si>
  <si>
    <t>本人因以贷养贷，造成无能力还款，现在家人东借西借，还是差部分钱，现在与平台协商，平台在线客服，几次都等1.2个小时一直排队中，打客服电话一直没人接听，我没逾期前与客服联系过，后来催收人员我也说了联系不上，挂了催收电话照他说的也联系不上客服，无法接通，现在逾期9天，费用也再递增，让我雪上添霜，免去砍头息与逾期费。</t>
  </si>
  <si>
    <t>http://ts.21cn.com/tousu/show/id/1363035</t>
  </si>
  <si>
    <t>2019/10/15 12:44:11</t>
  </si>
  <si>
    <t>有钱花对我暴力催收，恐吓我的家人，亲朋好友，对我的生活影响太大，忘领导做主。</t>
  </si>
  <si>
    <t>现控达人高额砍头息</t>
  </si>
  <si>
    <t>http://ts.21cn.com/tousu/show/id/1363028</t>
  </si>
  <si>
    <t>2019/10/15 12:41:34</t>
  </si>
  <si>
    <t>没逾期之前就和客服沟通协商本金和合法的利息，但客服态度强硬，后面就联系不了客服导致逾期，只想尽快把问题解决，。</t>
  </si>
  <si>
    <t>捷信公司打通讯录</t>
  </si>
  <si>
    <t>http://ts.21cn.com/tousu/show/id/1363027</t>
  </si>
  <si>
    <t>2019/10/15 12:41:01</t>
  </si>
  <si>
    <t>绑定代扣银行卡，平台不主动扣款，拨打通讯录骚扰亲朋好友，暴力催收，。</t>
  </si>
  <si>
    <t>一秒陛下砍头子，高利贷</t>
  </si>
  <si>
    <t>http://ts.21cn.com/tousu/show/id/1363024</t>
  </si>
  <si>
    <t>2019/10/15 12:40:06</t>
  </si>
  <si>
    <t>10月14日借款2207元，实际到账1430，实际金额使用时间才5天！汇潮支付为其提供支付渠道，本人无力偿还高额利息，请聚投诉平台协助本人提前还款处理，本人愿偿还本金+合理利息解决此事并1500。</t>
  </si>
  <si>
    <t>平安信用卡恶意催收威胁</t>
  </si>
  <si>
    <t>http://ts.21cn.com/tousu/show/id/1363022</t>
  </si>
  <si>
    <t>2019/10/15 12:39:25</t>
  </si>
  <si>
    <t>一开始是2万额度，一直都还款良好，一月份借了备用金47000分6期还款，一期8000多，三期还款良好，后三期因为生意失败导致资金紧张，但每个月都有还款不低于5000，没有到最低还款额，然后给降额度到1万，冻结卡片，上个月还到了29000，这个月马上就变成了30900多，一个月的利息就要2000块钱，现还剩最后一期备用金，希望能协商还款减免利息。</t>
  </si>
  <si>
    <t>http://ts.21cn.com/tousu/show/id/1363019</t>
  </si>
  <si>
    <t>2019/10/15 12:38:07</t>
  </si>
  <si>
    <t>由招联金融提供我的个人信息，委托的第三方催收公司在未经本人允许的前提下，利用我的个人信息进行非常规查询，但不限于非法查询等手段获取我的住址，公司等信息，并经常致电骚扰我司人事部门，意图用软暴力促使本人还款，这种催收方式既不合理也不合规，请接到投诉尽快核实并停止目前对我一系列不合规的催收方式。</t>
  </si>
  <si>
    <t>享骑电动车押金超时未退遭用户集体投诉</t>
  </si>
  <si>
    <t>http://ts.21cn.com/tousu/show/id/1363017</t>
  </si>
  <si>
    <t>2019/10/15 12:37:05</t>
  </si>
  <si>
    <t>投诉人 伍先生        投诉对象  享骑电单车        涉诉金额  402 元    问题类型    诉求类型投诉详情  享骑电单车 3个月押金一直未退 客服电话变空号，押金299 充值余额121.7 共计402.7 要求退款</t>
  </si>
  <si>
    <t>卧龙钱包砍头息，高利贷</t>
  </si>
  <si>
    <t>http://ts.21cn.com/tousu/show/id/1363016</t>
  </si>
  <si>
    <t>2019/10/15 12:36:24</t>
  </si>
  <si>
    <t>本人于10.14日借款2207元，实际到账1430元，该平台砍头息，高利贷，本人无法偿还高额利息，要求提前还款本金加合理的一天利息！1500元销账！。</t>
  </si>
  <si>
    <t>京东金融推荐活力花利息过高非法催还</t>
  </si>
  <si>
    <t>http://ts.21cn.com/tousu/show/id/1363008</t>
  </si>
  <si>
    <t>2019/10/15 12:33:49</t>
  </si>
  <si>
    <t>逾期8天利息就100多，本金1800多，而且一上午打几十个电话，还打电话威胁家人！！。</t>
  </si>
  <si>
    <t>你我贷利息超标</t>
  </si>
  <si>
    <t>http://ts.21cn.com/tousu/show/id/1363006</t>
  </si>
  <si>
    <t>2019/10/15 12:33:04</t>
  </si>
  <si>
    <t>你我贷借款一万元，12个月，利息高达3595.18，远远高于国家规定百分之三十六，要求调整利率，赔偿超出部分。</t>
  </si>
  <si>
    <t>360借条恶意骚扰威胁恐吓</t>
  </si>
  <si>
    <t>http://ts.21cn.com/tousu/show/id/1363005</t>
  </si>
  <si>
    <t>2019/10/15 12:32:39</t>
  </si>
  <si>
    <t>投诉人 姚磊        投诉对象  360借条        涉诉金额  0 元    问题类型    诉求类型投诉详情  360每天恶意骚扰 电话威胁恐吓 并且辱骂本人</t>
  </si>
  <si>
    <t>电话短信多次辱骂并泄露个人信息与私人照片</t>
  </si>
  <si>
    <t>http://ts.21cn.com/tousu/show/id/1363002</t>
  </si>
  <si>
    <t>2019/10/15 12:31:25</t>
  </si>
  <si>
    <t>多次打电话发短信进行人身攻击并对亲人好友进行电话骚扰辱骂，折扣个人信息等。</t>
  </si>
  <si>
    <t>豆豆钱以保费名义砍头息，合同贷款利率与实际利率不符</t>
  </si>
  <si>
    <t>http://ts.21cn.com/tousu/show/id/1362997</t>
  </si>
  <si>
    <t>2019/10/15 12:30:21</t>
  </si>
  <si>
    <t>豆豆钱收取砍头息，我借款到账后以客户风险评估服务为由直接到账扣取保费899元，合同贷款利率与实际还款利率不一致，合同利率为15.60%/每年，实际利率46.79%/每年，远超国家规定的最高贷款利率，每月实际还款金额与放款前显示金额不一致，每月需多还150元担保费，要求退回砍头息及已支付的每月担保费，并取消后续每月的150元担保费。</t>
  </si>
  <si>
    <t>户县饿了么无视合同涨价不正当竞争恶意设置后台配送范围</t>
  </si>
  <si>
    <t>http://ts.21cn.com/tousu/show/id/1362995</t>
  </si>
  <si>
    <t>2019/10/15 12:30:01</t>
  </si>
  <si>
    <t>投诉人 陶先生        投诉对象  饿了么        涉诉金额  1 000 元    问题类型    诉求类型投诉详情  西安鄠邑区余下 饿了么无视合同涨价 恶意设置后台配送范围 限制商家接单 18%涨价20% 后台限制配送范围</t>
  </si>
  <si>
    <t>http://ts.21cn.com/tousu/show/id/1362994</t>
  </si>
  <si>
    <t>2019/10/15 12:29:38</t>
  </si>
  <si>
    <t>投诉人何女士投诉对象同程旅游涉诉金额6000元问题类型诉求类型投诉详情同程提钱游披着合法外衣的高利贷砍头息暴力催收要求退换砍头息费用。</t>
  </si>
  <si>
    <t>中经汇通卡无法使用</t>
  </si>
  <si>
    <t>http://ts.21cn.com/tousu/show/id/1362991</t>
  </si>
  <si>
    <t>2019/10/15 12:29:30</t>
  </si>
  <si>
    <t>9月16日，中经汇通发来一条短信，您的卡*********充值-1491元，可用余额为0，这是什么操作，连油卡里的钱直接就给你干一分钱没有了，后面就这样一直一个月过去了，请问你们这两家公司是怎么处理事情的。</t>
  </si>
  <si>
    <t>立马进钱呆呆苞超高利贷收取非法高额利息</t>
  </si>
  <si>
    <t>http://ts.21cn.com/tousu/show/id/1362973</t>
  </si>
  <si>
    <t>2019/10/15 12:27:30</t>
  </si>
  <si>
    <t>投诉人邹先生投诉对象立马进钱,畅捷支付涉诉金额2800元问题类型诉求类型投诉详情本人于通过客服微信连接下载app立马借钱，9月6日从立马进钱APP里的呆呆苞里借了2800元，分4期每期8天还款，每期还款1022.4元，畅捷支付为其提供违规支付通道，4期共计需还款4089.6元，利息高达1289.6元，利息远超国家规定的利率，是名副其实的高利贷，属于国家严厉打击的行为，APP一直无法登陆还款，400电话也一直打不通，无法还款导致产生高额利息，该问题已在立马进钱APP上反馈要求协商还款至今无人理会，请立马进钱呆</t>
  </si>
  <si>
    <t>http://ts.21cn.com/tousu/show/id/1362986</t>
  </si>
  <si>
    <t>2019/10/15 12:27:09</t>
  </si>
  <si>
    <t>投诉人 于先生        投诉对象  马上消费金融        涉诉金额  6 000 元    问题类型    诉求类型投诉详情  暴力催收 恐吓辱骂 群发消息 骚扰 影响生活</t>
  </si>
  <si>
    <t>信用钱包威胁恐吓暴力催收</t>
  </si>
  <si>
    <t>http://ts.21cn.com/tousu/show/id/1362984</t>
  </si>
  <si>
    <t>2019/10/15 12:26:45</t>
  </si>
  <si>
    <t>首先得承认自己的错误，导致逾期，只能再此向信用钱包借款方致歉，还有就是希望信用钱包能够协商还款时间及金额，本人生意失败资金断裂，现在确实无条件还款，强调一下，再此不是投诉，毕竟是我逾期在先，错在我，大家的目的都是还钱，我也不是拒还耍赖，信用钱包借了10000，还了7055了，还欠5644，希望贵公司能够减免部分利息也希望催收人员不要骚扰到家人朋友暴力催收，如果骚扰到无故第三人，给本人和他人造成困扰，本人愿意向扫黑办公案部门反映，也希望贵公司能让一个素质好的工作人员与我进行协商谢谢！电话没能接听请加微信187</t>
  </si>
  <si>
    <t>美团小贷骚扰</t>
  </si>
  <si>
    <t>http://ts.21cn.com/tousu/show/id/1362983</t>
  </si>
  <si>
    <t>2019/10/15 12:26:15</t>
  </si>
  <si>
    <t>美团小贷三快科技有限公司在未经本人允许群发骚扰信息给我的亲戚朋友，严重侵犯了我的名誉权和隐私权，本人的亲戚朋友也被该公司的催收人员天天电话短信骚扰。</t>
  </si>
  <si>
    <t>http://ts.21cn.com/tousu/show/id/1362980</t>
  </si>
  <si>
    <t>2019/10/15 12:25:37</t>
  </si>
  <si>
    <t>闪银奇异群发我家人朋友短信，造成本人名誉尽毁，并且借款1000元强制要求还款23548.8元，期间并未通知本人还款，现要求停止恶意群发，并向我道歉，本人不以追究法律责任。</t>
  </si>
  <si>
    <t>易开出行迟迟不退押金</t>
  </si>
  <si>
    <t>http://ts.21cn.com/tousu/show/id/1362975</t>
  </si>
  <si>
    <t>2019/10/15 12:22:58</t>
  </si>
  <si>
    <t>本人于2019年9月1日申请退还押金，答应十五个工作日退回押金，也就是二十天左右的时间，但押金至今未退，已经有将近两个月，易开出行客服一直拖延时间，请一定要让易开出行尽快退回押金，我是大学生，2000块钱对我来说真的很多。</t>
  </si>
  <si>
    <t>苹果商店</t>
  </si>
  <si>
    <t>http://ts.21cn.com/tousu/show/id/1362972</t>
  </si>
  <si>
    <t>2019/10/15 12:21:07</t>
  </si>
  <si>
    <t>游戏充值不到账…游戏方客服查询不到到账记录，找了苹果客服又不给退款。</t>
  </si>
  <si>
    <t>闪银各种扣费买凭证</t>
  </si>
  <si>
    <t>http://ts.21cn.com/tousu/show/id/1362964</t>
  </si>
  <si>
    <t>2019/10/15 12:19:53</t>
  </si>
  <si>
    <t>投诉人 董先生        投诉对象  Wecash闪银        涉诉金额  2 000 元    问题类型    诉求类型投诉详情  每一笔借款至少都扣了200以上的凭证。还有征信保。拒必赔等各种费用，每一笔都有。</t>
  </si>
  <si>
    <t>斗牛士app，在不知合同和同意的情况下强制下款，收取高额利息，望解决！</t>
  </si>
  <si>
    <t>http://ts.21cn.com/tousu/show/id/1362962</t>
  </si>
  <si>
    <t>2019/10/15 12:19:21</t>
  </si>
  <si>
    <t>没有同意强制下款，实际到账2100，还款却要3520。</t>
  </si>
  <si>
    <t>催收骚扰</t>
  </si>
  <si>
    <t>http://ts.21cn.com/tousu/show/id/1362961</t>
  </si>
  <si>
    <t>2019/10/15 12:19:16</t>
  </si>
  <si>
    <t>联系催收协商时间还款时间，答应了还一直打电话骚扰。</t>
  </si>
  <si>
    <t>钱包易贷威胁恐吓</t>
  </si>
  <si>
    <t>http://ts.21cn.com/tousu/show/id/1362959</t>
  </si>
  <si>
    <t>2019/10/15 12:18:00</t>
  </si>
  <si>
    <t>因为遇到资金困难，钱包易贷威胁我！平台给与处理，不然我就以死明示！。</t>
  </si>
  <si>
    <t>民生银行信用卡暴力催收</t>
  </si>
  <si>
    <t>http://ts.21cn.com/tousu/show/id/1362954</t>
  </si>
  <si>
    <t>2019/10/15 12:16:36</t>
  </si>
  <si>
    <t>办的白金卡，1万5，二话不说降额度变成5千，5千也叫白金卡，真丢人，后来又二话不说停卡，只能还不能用，无法协商，因为家里老人住院，需要用钱，导致逾期，疯狂催收，全部各地呼死你的骚扰电话多的要，今天发信息威胁，我就奇怪了，都没一个电话跟短信跟我协商，咋就说我不同意呢，这是霸王条款，要求停止骚扰。</t>
  </si>
  <si>
    <t>借贷宝收取高额逾期费用</t>
  </si>
  <si>
    <t>http://ts.21cn.com/tousu/show/id/1362951</t>
  </si>
  <si>
    <t>2019/10/15 12:15:51</t>
  </si>
  <si>
    <t>我们私下与朋友协商借钱，现金交易，借贷宝是宣称提供借款合同服务，到期后我们私下还款，但不知情需要登录借贷宝进行合同撤销或展期，之前一未收到短信通知到期需要登录操作，突然收到借贷宝短信显示已催收，但是已经逾期了一天，需要支付800多元的预期费用给他们平台，借贷宝不是债权人，我们借款人与债权人都协商处理好的，借贷宝确称需要支付逾期费用给他们平台作为催收费用！。</t>
  </si>
  <si>
    <t>小赢卡贷阴阳合同拒绝协商提前结清本金</t>
  </si>
  <si>
    <t>http://ts.21cn.com/tousu/show/id/1362950</t>
  </si>
  <si>
    <t>2019/10/15 12:15:19</t>
  </si>
  <si>
    <t>本人于2019年5月10日在小赢卡贷借款10000元，分12期，目前已还5870.55元，还剩7期共计7728.73元，合同内标注年利率为7.2%，实际利率35.99%，目前打算提前还款，合同中未约定提前还款收剩余的利息，已与小赢卡贷客服联系，说不收剩余利息，但有个提前还款的手续费与剩余利息相当，不同意减免任何费用，希望能够协调提前还款，不收取利息和额外的费用，我负债太高，已经无力承受，和家人坦白了，家人愿意协助我还清债务，以后好好生活，作为资方放款是为了给有需要的人收取合理利息达到双赢，本质目的并不是搞垮</t>
  </si>
  <si>
    <t>牛牛贷收钱后不清帐</t>
  </si>
  <si>
    <t>http://ts.21cn.com/tousu/show/id/1362948</t>
  </si>
  <si>
    <t>2019/10/15 12:15:02</t>
  </si>
  <si>
    <t>投诉人王晓玉投诉对象牛牛贷涉诉金额2000元问题类型诉求类型投诉详情牛牛贷账单日在软件上直接支付宝还款，还款后一直不更新账单，联系客服，说需要备注姓名电话，无法清帐，要两日之后退款，或在给他提供的对公账户汇款，牛牛贷还款点支付宝直接就是扫码支付，无可备注的地方.恶意造成逾期.。</t>
  </si>
  <si>
    <t>你我平台骚扰</t>
  </si>
  <si>
    <t>http://ts.21cn.com/tousu/show/id/1362942</t>
  </si>
  <si>
    <t>2019/10/15 12:13:04</t>
  </si>
  <si>
    <t>我从头到尾都不知道此平台，我也不知道我什么时候在此平台借钱了，还说我欠了7883，太可笑了，你们怎么不联系我，给我亲朋好友发信息，我希望聚投诉本平台严查，同时也希望此平台给我个合理的说法。</t>
  </si>
  <si>
    <t>http://ts.21cn.com/tousu/show/id/1362940</t>
  </si>
  <si>
    <t>2019/10/15 12:12:27</t>
  </si>
  <si>
    <t>蓝店公司严重损害商户利益，我于2019年8月13号申请提现，到2019年10月15号为止，此款项还没到账，现要求蓝店公司在3个工作日，将所有款项汇入本人相关账号，否则本人将依法提起商诉讼，维护自身利益！。</t>
  </si>
  <si>
    <t>http://ts.21cn.com/tousu/show/id/1362937</t>
  </si>
  <si>
    <t>2019/10/15 12:11:36</t>
  </si>
  <si>
    <t>小花钱包天天电话短信骚扰，恐吓爆通讯录，请停止骚扰。</t>
  </si>
  <si>
    <t>平安信用卡恐吓暴力辱骂</t>
  </si>
  <si>
    <t>http://ts.21cn.com/tousu/show/id/1362931</t>
  </si>
  <si>
    <t>2019/10/15 12:09:28</t>
  </si>
  <si>
    <t>投诉人 顾海林        投诉对象  平安银行        涉诉金额  4 000 元    问题类型    诉求类型投诉详情  收到平安信用卡的暴力催收 辱骂 威胁 一直接到平安银行信用卡的人员催收 协商不妥就发短信 之后开始电话不停的打 辱骂 不敢承认自己是谁 但是录音截图我都有 证据确凿 你不说你也跑不掉</t>
  </si>
  <si>
    <t>投诉买买乐购分期恶意催收</t>
  </si>
  <si>
    <t>http://ts.21cn.com/tousu/show/id/1362929</t>
  </si>
  <si>
    <t>2019/10/15 12:08:45</t>
  </si>
  <si>
    <t>我在2019年1月份办理了买买乐购现金分期2000，本来都是正常还款还了几期，可是家里老人突然生病做手术花了大量药费和手术费，导致我无法正常还款，我也跟买买乐购分期公司主动联系，说明我的困难，可是他们不但不理解，他们还恶意对我和家人朋友进行催收，每天无数个电话，并且泄露我的隐私，侮辱我，伪造律师函恐吓我，我要求并且投诉《买买乐购》停止一切骚扰，给我作出道歉，恢复我的名誉，并且赔偿我的精神损失费5000元，请聚投诉官方予以制止！谢谢。</t>
  </si>
  <si>
    <t>来分期催收达到3次以上及更多，要求停止骚扰</t>
  </si>
  <si>
    <t>http://ts.21cn.com/tousu/show/id/1362926</t>
  </si>
  <si>
    <t>2019/10/15 12:08:41</t>
  </si>
  <si>
    <t>投诉人张先生投诉对象来分期涉诉金额1284元问题类型诉求类型投诉详情本人在来分期贷款，之前未过还款日之前，来分期就打电话催收个不停，隔十几分钟打一次，对本人造成极大的骚扰和影响，今天账单逾期之后，因本人家中人住院，资金周转不过来，主动去联系来分期app客服告知原因，有意愿还款，申请延后，最终客服以不能逾期为由拒绝，本人现在暂时无法按时还款，来分期过后就一直打电话来催收，已经构成恶意骚扰，要求立刻停止骚扰，并做出相应的处罚。</t>
  </si>
  <si>
    <t>http://ts.21cn.com/tousu/show/id/1362920</t>
  </si>
  <si>
    <t>2019/10/15 12:06:37</t>
  </si>
  <si>
    <t>正常贷款15000元，到手12000元、存有砍头息，水莲金条催收人员在催收过程中暴露借款人信息，并且将借款人的通讯录朋友都打一遍，严重影响到借款人的正常生活、这种软暴力已涉及扫黑除恶范畴、法律上已构成侵犯个人隐私权、现要求赔礼道歉，去除砍头息、不然收集证据走司法程序。</t>
  </si>
  <si>
    <t>催款人毫无人性，省呗借款平台大曝光</t>
  </si>
  <si>
    <t>http://ts.21cn.com/tousu/show/id/1362918</t>
  </si>
  <si>
    <t>2019/10/15 12:04:50</t>
  </si>
  <si>
    <t>3.省呗平台客服对我的投诉不作为4.电话号码拨打秒接秒挂，告知联系不到我诉求官方告知催款人电话号码和住址官方道歉官方赔偿经济损失费，精神损失费，由曝光通讯录后造成的所有经济损失处理结果如果满意：一次性付清所有欠款与2019年10月15日6点整纠纷由2019年10月14日下午6点四十开始。</t>
  </si>
  <si>
    <t>今日头条鲁班电商恶意拖延退还商家保证经</t>
  </si>
  <si>
    <t>http://ts.21cn.com/tousu/show/id/1362915</t>
  </si>
  <si>
    <t>2019/10/15 12:04:41</t>
  </si>
  <si>
    <t>9月21日才行，自己在商户后台提出申请退还了，头条说还要提交终止协议书，没有参照模板与说明的情况下快递寄回，审核人员十分苛刻百般刁难，千层审批、，目的只有一个尽可能的拖延时间，前后提交了三次终获通过，后台再次提交后，提交时显示2周到账，本以为从此坐等钱来，，万里长征只是第一步，鲁班电商完成了不行，说是押金在今日头条空间变换公司，询问为啥迟迟不退款，姗姗来迟又发来一纸合同，还是终止合作之类的合同，合同显示退款时间1-6个月，我的娘啊，与开始合作时的承诺越差越远了，提交后一直显示审核中，所有与沟通方式里就是没有</t>
  </si>
  <si>
    <t>http://ts.21cn.com/tousu/show/id/1362908</t>
  </si>
  <si>
    <t>2019/10/15 12:01:53</t>
  </si>
  <si>
    <t>上海拍拍贷，之前贷款5500，要求还7000，还了两期后因为资金紧张没有还上，现在要求还9000多，因协商处理没有协商好！无休止违法的使用网络电话轰炸！辱骂！威胁家人！现要求立即停止骚扰！按照国家法定利率结清！。</t>
  </si>
  <si>
    <t>立借高额利息</t>
  </si>
  <si>
    <t>http://ts.21cn.com/tousu/show/id/1362907</t>
  </si>
  <si>
    <t>本人在立借借款6000元，合同说12期还款，实际上前三期就已经还完了，实际需要还8152元多，严重超出国家法律标准，本人现已经还了两期，总记5489.94元，现在我愿意承担剩余本金510.6和500元利息销帐，请尽快联系我，如果不能完成我的诉求，我将依法投诉至12315和国家银监会。</t>
  </si>
  <si>
    <t>虚假商品变相高利贷</t>
  </si>
  <si>
    <t>http://ts.21cn.com/tousu/show/id/1362904</t>
  </si>
  <si>
    <t>2019/10/15 12:01:28</t>
  </si>
  <si>
    <t>以变相出售虚拟商品的形式的高利贷，借款1100，一个月到期需归还1269，逾期后表示同意归还本金及合法利息，对方不同意后恶意透露本人信息给亲朋好友，并以购买我的产品为由多次打电话到我上班的公司威胁我要投诉我！款我已经还了，不想有什么诉求，只想大家看到信而富公司就是一家高利贷公司！。</t>
  </si>
  <si>
    <t>信用管家（能能钱包）里的神马借，主动还款不了，造成逾期一直不给解决</t>
  </si>
  <si>
    <t>http://ts.21cn.com/tousu/show/id/1362898</t>
  </si>
  <si>
    <t>2019/10/15 11:59:52</t>
  </si>
  <si>
    <t>里使用了神马借的信贷，借款3000元，到账2625元，分4期28天要偿还3584元，利息远远超出了国家允许的利率标准，我以还款了两期，在第三期的时候，无法还款，而且主动还款也不成功，造成了我的逾期，当天我多次联系平台客服，都是无法接通状态，怀疑神马借平台恶意套路用户，从而收取高额逾期费用。</t>
  </si>
  <si>
    <t>不按约定退还押金</t>
  </si>
  <si>
    <t>http://ts.21cn.com/tousu/show/id/1362896</t>
  </si>
  <si>
    <t>2019/10/15 11:59:05</t>
  </si>
  <si>
    <t>在8月份下载听说负面信息申请退押金，说最近交易要超过20天才能申请！后来申请之后迟迟没有答复，成都公司也没了，地图可用车也没了！没有任何消息，没有任何回应！官网微博也没有任何通知，犹如石沉大海！通过APP联系客服电话一直没有人接听，到底现在是什么情况，希望有关部门能进行调查，并向大家说明情况，后续怎么处理。</t>
  </si>
  <si>
    <t>小赢卡贷恶意拨打联系人电话</t>
  </si>
  <si>
    <t>http://ts.21cn.com/tousu/show/id/1362895</t>
  </si>
  <si>
    <t>2019/10/15 11:58:46</t>
  </si>
  <si>
    <t>由于本人2019年10月14日未来的及还款并且在逾期的一天情况下，先处理了部分金额，小赢卡贷在15早上给本人打电话，接了一秒就挂，或者半分钟不说话，打了好几个这样的电话，我每个都接了，然后就爆我的通讯录，说找不到我，说好的只要有还款意向就不打联系人的，请给我个说法！！！！本人不是不还款，而是在逾期一天的情况下，打电话不说话或者秒挂，我也不是没有还款意向，为什么要爆我的通讯录。</t>
  </si>
  <si>
    <t>小象优品借款一次性还清</t>
  </si>
  <si>
    <t>http://ts.21cn.com/tousu/show/id/1362894</t>
  </si>
  <si>
    <t>2019/10/15 11:58:31</t>
  </si>
  <si>
    <t>本人在小象优品借款20000元，每期还款2266.67X12期，12期手续费共7200元，年利息高于国家标准，现在要求协商减免利息，结清全部还款！。</t>
  </si>
  <si>
    <t>恒易贷阴阳合同，高利贷，砍头息，暴力催收</t>
  </si>
  <si>
    <t>http://ts.21cn.com/tousu/show/id/1362891</t>
  </si>
  <si>
    <t>2019/10/15 11:58:14</t>
  </si>
  <si>
    <t>暴力催收，频繁骚扰电话，态度恶劣，恐吓、侮辱本人以及家人。</t>
  </si>
  <si>
    <t>交易猫售出的游戏qq账号被买家仲裁</t>
  </si>
  <si>
    <t>http://ts.21cn.com/tousu/show/id/1362892</t>
  </si>
  <si>
    <t>2019/10/15 11:58:07</t>
  </si>
  <si>
    <t>在交易猫上卖了一个三无绑定的qq游戏号，之后就被买家申请仲裁，qq账号已经被修改密码，买家说要充值会员，可是食物语这款游戏中根本没有会员服务，账号自带的腾讯视频会员和qq会员都不需要续费，如果一拖再拖，qq账号反而无法找回，钱财两空。</t>
  </si>
  <si>
    <t>前期费用</t>
  </si>
  <si>
    <t>http://ts.21cn.com/tousu/show/id/1362893</t>
  </si>
  <si>
    <t>2019/10/15 11:58:03</t>
  </si>
  <si>
    <t>前期费用扣了1000左右，什么保险费什么的。</t>
  </si>
  <si>
    <t>通联支付乱扣费，莫名扣费169元，诉求全额退款</t>
  </si>
  <si>
    <t>http://ts.21cn.com/tousu/show/id/1362890</t>
  </si>
  <si>
    <t>2019/10/15 11:57:34</t>
  </si>
  <si>
    <t>通联支付乱扣费，莫名扣费169元，诉求全额退款。</t>
  </si>
  <si>
    <t>招联金融恐吓催收想主动还款的我</t>
  </si>
  <si>
    <t>http://ts.21cn.com/tousu/show/id/1362888</t>
  </si>
  <si>
    <t>2019/10/15 11:56:51</t>
  </si>
  <si>
    <t>因家里发生变故，16年欠了各大银行信用卡快20万，中间一直在努力工作一家家还钱，已还清了中信信用卡，建行信用卡两张，交通信用卡，支付宝借呗，花呗，就差招联金融没有还完，目前正在跟招联第三方协商，欠招联金融本金7000+，三年多滚利息到13800+，每个月还没有停息，我有主动还款意愿，但是逾期利率特别高，要求调整利率还款，一年利息高达2000左右，严重的高利贷，暴通讯录，利息之高、服务费之高！本身年化率就达到了百分之三十，还要收取手续费，这不是高利贷吗，9月底有招联第三方跟我联系协商，之后10月换人了，又换个</t>
  </si>
  <si>
    <t>滴滴金融不让更换还款银行卡</t>
  </si>
  <si>
    <t>http://ts.21cn.com/tousu/show/id/1362887</t>
  </si>
  <si>
    <t>2019/10/15 11:56:35</t>
  </si>
  <si>
    <t>滴滴金融还款银行卡app无法跟换，刚办的建设银行都无法绑定，提示发送失败，要么直接收不到短信，只能杭银消费金融股份有限公司对公转账太麻烦。</t>
  </si>
  <si>
    <t>中腾信恶意催收，虚假合同，强行放款，利率百分之65</t>
  </si>
  <si>
    <t>http://ts.21cn.com/tousu/show/id/1362886</t>
  </si>
  <si>
    <t>期间客服声称先提交信息和3个月的通话详单看额度，再决定是否贷款，根本没有还款渠道于是中腾信和声称是中腾信委托催收平台的鼎泰鑫开始向我恶意催收，我依照客服提示提交信息和3个月的通话详单后，中腾信app直接放款48000元整，期限36期，我提出撤销，这是强制高利贷放款，但客服和APP平台全部严厉拒绝，现我已还款33000元，但中腾信APP无故下线，微信公众号空白，根本没有还款渠道，于是中腾信和声称是中腾信委托催收平台的鼎泰鑫开始向我恶意催收，中腾信和鼎泰鑫向我的家人、同事、单位、通讯录所有人发短信打电话，态度暴</t>
  </si>
  <si>
    <t>http://ts.21cn.com/tousu/show/id/1362885</t>
  </si>
  <si>
    <t>2019/10/15 11:56:29</t>
  </si>
  <si>
    <t>你我贷借款7000，强制分期12个月，前两期还1688元，剩下的十期每期需要还618，借款7000，12个月下来共需要还9516元，已经超出国家标准，如果你我贷平台不给我一个合理的解释，我将联合更多受害者进行维权，还有剩下的还款我是不会再还，直到你们给我一个合理的解释为止。</t>
  </si>
  <si>
    <t>http://ts.21cn.com/tousu/show/id/1362882</t>
  </si>
  <si>
    <t>2019/10/15 11:54:39</t>
  </si>
  <si>
    <t>实际32天应还款共3067.2还款日当天平台未扣款，现在接到客服电话说可以减免30%的逾期费用，因为贵公司的原因导致的逾期凭什么由我承担逾期费用。</t>
  </si>
  <si>
    <t>http://ts.21cn.com/tousu/show/id/1362881</t>
  </si>
  <si>
    <t>2019/10/15 11:54:38</t>
  </si>
  <si>
    <t>投诉人顾海林投诉对象马上消费金融涉诉金额5000元问题类型诉求类型投诉详情之前马上消费金融逾期的时候给官方打过电话协商客服说会有专门的工作人员与我联系但是等到的却是重庆023的座机每天不下20次的一直轰炸我电话不接一直打接了就是让还钱并且是直到你还钱才会停不还就会一直打到你还为止持续了20天左右电话停了等来的是各个地方的催收每个月不停的换人最近又开始不停的换催收加我微信给我发一些盖了章的律师函等一些文件也不知道是真是假也不知道是不是马上消费金融伪造的只要不还钱就起诉你分期不可能找谁也不好使其中有一个自称马上</t>
  </si>
  <si>
    <t>借款问题</t>
  </si>
  <si>
    <t>http://ts.21cn.com/tousu/show/id/1362880</t>
  </si>
  <si>
    <t>2019/10/15 11:54:24</t>
  </si>
  <si>
    <t>投诉人 郑女士        投诉对象  来分期        涉诉金额  2 800 元    问题类型    诉求类型投诉详情  没有逾期就不能借了 问他们客服多少是等几天在试 下个月在试 既然给我额度为什么不能借 之前借的都还有几期没有还 必须给个合理的解释</t>
  </si>
  <si>
    <t>退中信信用卡罚息违约金等</t>
  </si>
  <si>
    <t>http://ts.21cn.com/tousu/show/id/1362879</t>
  </si>
  <si>
    <t>2019/10/15 11:54:18</t>
  </si>
  <si>
    <t>之前欠信用卡，因使用不当导致逾期，后家人帮忙处理，未申请任何减免，全额结清欠款，希望追回部分罚息，经过电话致电银行客服，拒不退款。</t>
  </si>
  <si>
    <t>还款日联系不上App客户，无人联系解决还款问题</t>
  </si>
  <si>
    <t>http://ts.21cn.com/tousu/show/id/1362878</t>
  </si>
  <si>
    <t>2019/10/15 11:54:09</t>
  </si>
  <si>
    <t>10月15日到期，之前一直通过支付宝还款，但是APP从前几天就一直显示无法连接服务器，今天直接验证失效，原来客服给的链接下载后也无法正常打开，到期也没接到任何短信提醒和电话，对于这种情况造成的被动逾期及产生的相关责任本人拒绝承担！。</t>
  </si>
  <si>
    <t>贷款利息超过国家标准</t>
  </si>
  <si>
    <t>http://ts.21cn.com/tousu/show/id/1362877</t>
  </si>
  <si>
    <t>2019/10/15 11:53:55</t>
  </si>
  <si>
    <t>利息太高，应及早下架，望有关部门尽早处理一下。</t>
  </si>
  <si>
    <t>不签合同不发工资。</t>
  </si>
  <si>
    <t>http://ts.21cn.com/tousu/show/id/1362876</t>
  </si>
  <si>
    <t>2019/10/15 11:53:50</t>
  </si>
  <si>
    <t>23号上班，今天是15号，期间离职不给办理，就是各种不给开工资，而且这长时间也不给签合同。</t>
  </si>
  <si>
    <t>http://ts.21cn.com/tousu/show/id/1362875</t>
  </si>
  <si>
    <t>2019/10/15 11:53:49</t>
  </si>
  <si>
    <t>本人用交通银行信用卡已经有几年了，之前都是一直按时还款，近期因为被诈骗数额较大，导致无法正常还款，最近总是接到交通银行催收电话，表明还款意愿，停息分期还款，但是交通电话不同意，在本人没有失联的情况下，到处给亲朋好友打电话，还给前单位同事打电话，一连打很多次，这种行为已构成暴力催收，，我不是不还钱，只是每个人都有难处，我确实不想造成逾期，希望交通银行客服和我沟通协商，停催、停息、并与我协商适应的还款年限及还款计划。</t>
  </si>
  <si>
    <t>阴阳合同，高额服务费，借款人无知情权，泄露个人信息，客服及工作人员态度差</t>
  </si>
  <si>
    <t>http://ts.21cn.com/tousu/show/id/1362874</t>
  </si>
  <si>
    <t>2019/10/15 11:52:46</t>
  </si>
  <si>
    <t>1月11日，于人人贷借款公司借一笔款项，当时人人贷宣传月利率超低，查询后本人月利率仅为0.75%，合计年利率9%一年，并未附加让本人亲自签订服务费合同文件，借款审批20000元，签订合同后，实际到账20000元整，后续更新软件才发现，合同金额变成了23000元，并且附加每月服务费合同，每月让我还1055.56元，合计36个月共计要还款38000.16元，合同写的年利率还是9%，每月本金只有五百多，加利息总计六百多，剩余三百多全为服务费，截止到2019年9月，本人已还款20000多元，发现还要还18000多，</t>
  </si>
  <si>
    <t>小米移动停机号码，客户不接电话</t>
  </si>
  <si>
    <t>http://ts.21cn.com/tousu/show/id/1362873</t>
  </si>
  <si>
    <t>2019/10/15 11:52:35</t>
  </si>
  <si>
    <t>要求小米移动公司快速给答复，客服一直无人接听，并有时提醒拨打无效。</t>
  </si>
  <si>
    <t>乱扣费，强制收取担保费199元，诉求全额退款</t>
  </si>
  <si>
    <t>http://ts.21cn.com/tousu/show/id/1362871</t>
  </si>
  <si>
    <t>2019/10/15 11:52:18</t>
  </si>
  <si>
    <t>9月17日在闪银平台借款1400元，强制收取所谓的担保费199元，收款账户：中融创融资担保公司乱收费，闪银平台联合中融创融欺诈消费，强制收取担保费199元，诉求全额退款。</t>
  </si>
  <si>
    <t>超级马力贷</t>
  </si>
  <si>
    <t>http://ts.21cn.com/tousu/show/id/1362869</t>
  </si>
  <si>
    <t>2019/10/15 11:52:07</t>
  </si>
  <si>
    <t>申请了超级玛丽贷，申请金额2000元，必须先购买会员卡500元才能下款，30天要求还款2060，利息高达560元，现要求协商处理，提供结清证明！在此平台一共借了4次，第一次1300，购买会员卡325，第二次2000，购买会员卡500，第三次2000，购买会员卡500，第四次2000，购买会员卡500。</t>
  </si>
  <si>
    <t>大庆沃尔沃人资挑衅态度恶劣</t>
  </si>
  <si>
    <t>http://ts.21cn.com/tousu/show/id/1362868</t>
  </si>
  <si>
    <t>2019/10/15 11:52:04</t>
  </si>
  <si>
    <t>本人于2019年9月17号入职沃尔沃，2019年10月8日向班组长提出离职，但是由于个人原因延迟离职办理，2019年1014号正式办理离职，大庆沃尔沃拖延离职办理，我从早上八点多等到下午四点多才办完离职，期间一直在班组等待，后去人资办理离职是人资专员态度恶劣，因为大庆五险一金是需要当月预先缴纳下月的，因此十一月五险公司提前缴纳要求我补偿公司部分，我提出质疑，因为我在8号就已经提出离职，但是人资一开始说他们没有接到书面申请所以不算，我说我有微信和班组长提出的离职截图，后人资又拿劳动法说我没有提前30天申请离职</t>
  </si>
  <si>
    <t>嘀嗒出行严重侵犯消费者公平交易权和知情权，涉嫌虚假宣传、无法提现以及注销账户</t>
  </si>
  <si>
    <t>http://ts.21cn.com/tousu/show/id/1362870</t>
  </si>
  <si>
    <t>2019/10/15 11:52:03</t>
  </si>
  <si>
    <t>嘀嗒出行管理混乱，无视用户利益，严重侵犯消费者公平交易权和知情权，在订单爽约后所谓赔偿的2元后竟然说不满10元无法提现，难道这2元不是我自己的，其二，嘀嗒出行霸王条款视用户体验如无物，日常管理混乱随意侵害用户利益，账号无法自由注销百般恶心用户，符合侵害消费者公平交易权，这样的平台我们可以不用，但根据中国消费者权益保护法，我一定要将嘀嗒出行投诉到底，鉴于目前嘀嗒出行侵犯消费者公平交易权和知情权的行为，已将案件已经报料至新浪等相关媒体，近期将继续升级投诉至国家有关信访部门。</t>
  </si>
  <si>
    <t>银盛通POS机刷卡金不入账</t>
  </si>
  <si>
    <t>http://ts.21cn.com/tousu/show/id/1362867</t>
  </si>
  <si>
    <t>2019/10/15 11:51:54</t>
  </si>
  <si>
    <t>说100元换成180元优惠券??说她的话术怎么怎么样。</t>
  </si>
  <si>
    <t>中信银行信用卡中心乱推销产品</t>
  </si>
  <si>
    <t>http://ts.21cn.com/tousu/show/id/1362866</t>
  </si>
  <si>
    <t>2019/10/15 11:50:56</t>
  </si>
  <si>
    <t>在中信银行信用卡动卡空间APP进行大额贷款的申请，结果没有通过，但是没有通过后该App竟然主动跳出来一个第三方平台的借款中银易贷，我以为这个是和中信银行信用卡合作关系的，就借了款项，也通过了，明明签署合同中显示借款30000元，每个月大概还2900左右，但是第一个月竟然跳出来一个什么保险服务费接近2000，我是真的很无语，保险费用这么高，难道不应该写出来吗，我真的很想投诉中信银行信用卡的运营部门是什么情况，竟然和这种平台合作！吐了。</t>
  </si>
  <si>
    <t>http://ts.21cn.com/tousu/show/id/1362865</t>
  </si>
  <si>
    <t>2019/10/15 11:50:36</t>
  </si>
  <si>
    <t>本人于7月16日在及贷申请一笔两万借款，分六期偿还，现在还了2期，一共是7992.56，想提前结清，但及贷要我继续还15985.12，等于我借款三个月，一共需要还款23977.68，利息是3977.68，年利息达到79%，高利贷，要求平台主持公道，减免费用，支付合法的利息！合同上还强制性变成购买保险！。</t>
  </si>
  <si>
    <t>暴力催收，进行侮辱，恐吓</t>
  </si>
  <si>
    <t>http://ts.21cn.com/tousu/show/id/1362864</t>
  </si>
  <si>
    <t>2019/10/15 11:50:28</t>
  </si>
  <si>
    <t>借了呗贷款平台借款1900元，到账只有1300.，8天砍头利息600多标准的·714套路带.，现在已经保留证据，本地派出所已经报警，另外举报电话：0451-84696346,0451-58699097；举报电子邮箱：hs******8法人。</t>
  </si>
  <si>
    <t>未经同意扣除本人银行卡的钱</t>
  </si>
  <si>
    <t>http://ts.21cn.com/tousu/show/id/1362863</t>
  </si>
  <si>
    <t>2019/10/15 11:50:26</t>
  </si>
  <si>
    <t>12号短信发送下载情人花APP，让注册借款，绑定了银行卡之后，就没操作了，之后15号凌晨扣款288。</t>
  </si>
  <si>
    <t>http://ts.21cn.com/tousu/show/id/1362862</t>
  </si>
  <si>
    <t>2019/10/15 11:50:08</t>
  </si>
  <si>
    <t>12号申请了人人花贷款被拒绝，15号从我卡里扣288，要求退回，本人视为不合理。</t>
  </si>
  <si>
    <t>小花钱包威胁恐吓，擅自窃取通讯录，造成名誉侵权</t>
  </si>
  <si>
    <t>http://ts.21cn.com/tousu/show/id/1362861</t>
  </si>
  <si>
    <t>2019/10/15 11:49:58</t>
  </si>
  <si>
    <t>委托催收威胁恐吓，擅自非法窃取通讯录，造成名誉侵权。</t>
  </si>
  <si>
    <t>http://ts.21cn.com/tousu/show/id/1362841</t>
  </si>
  <si>
    <t>2019/10/15 11:49:47</t>
  </si>
  <si>
    <t>投诉人王女士投诉对象拍拍贷,宜人贷涉诉金额50000元问题类型诉求类型投诉详情网贷真的很可怕，不让你有任何申辩的机会，现在这个社会真的就是欠钱了就该欠命吗，走到这一步以贷养贷拆东补西，因为害怕呀，他们会爆你通讯录，他们会给你施加压力，你去偷去抢反正你给我还钱，最终还是走到了这一步还不起的一步，生意也失败了，什么都没有了，我想好好上班挣钱，他们不给我活的机会。</t>
  </si>
  <si>
    <t>http://ts.21cn.com/tousu/show/id/1362860</t>
  </si>
  <si>
    <t>2019/10/15 11:49:07</t>
  </si>
  <si>
    <t>本人因家里原因安逸花逾期2天，安逸花直接把我循环额度关闭，刚才催收打电话过来，威胁五点不还款，上报征信，然后联系父母，对我造成威胁，如果安逸花不能给一个满意答复，直接报警处理，拒绝偿还余下欠款。</t>
  </si>
  <si>
    <t>http://ts.21cn.com/tousu/show/id/1362859</t>
  </si>
  <si>
    <t>2019/10/15 11:47:50</t>
  </si>
  <si>
    <t>暴力催收，一直打联系人电话，高利贷，借款4000每月还1990还了30期，要求按贷款时的利率百分之24算。</t>
  </si>
  <si>
    <t>http://ts.21cn.com/tousu/show/id/1362858</t>
  </si>
  <si>
    <t>2019/10/15 11:47:30</t>
  </si>
  <si>
    <t>投诉人 李女士        投诉对象  来分期        涉诉金额  1 300 元    问题类型    诉求类型投诉详情  没到期就一天二十几个电话骚扰，</t>
  </si>
  <si>
    <t>无良平台拼多多私自扣押货款，不让提现</t>
  </si>
  <si>
    <t>http://ts.21cn.com/tousu/show/id/1362856</t>
  </si>
  <si>
    <t>2019/10/15 11:47:11</t>
  </si>
  <si>
    <t>拼多多在毫无预兆的情况下，没有投诉，没有工单，然后提现的货款又退回去了，我现在提现货款以网络繁忙为由，拒绝我们提现货款，拼多多有什么理由扣押我们的货款，保证金是干什么的，联系拼多多在线客服，反复让我提供订单编号，店铺编号，手机号等相关信息，但是一直没有消息，而且中间再和他们客服联系，还是一样的一句话让我等，无限期拖延！这就是拼多多的处理方式，我一个老头子，刚学着开网店，他们就店大欺客！没有人能治得了他们，拼多多这种服务态度，还有哪个商户敢在他们平台开店，希望拼多多能有赶紧处理，别让老头子伤心欲绝，扣着我得血</t>
  </si>
  <si>
    <t>钱站3000砍头息</t>
  </si>
  <si>
    <t>http://ts.21cn.com/tousu/show/id/1362857</t>
  </si>
  <si>
    <t>2019/10/15 11:46:59</t>
  </si>
  <si>
    <t>投诉人 彭先生        投诉对象  钱站        涉诉金额  3 000 元    问题类型    诉求类型投诉详情  借8000到手5000，3000的砍头息</t>
  </si>
  <si>
    <t>翼钱包砍头息！连连银通为其提供便捷</t>
  </si>
  <si>
    <t>http://ts.21cn.com/tousu/show/id/1362855</t>
  </si>
  <si>
    <t>2019/10/15 11:46:50</t>
  </si>
  <si>
    <t>第三方软暴力催收</t>
  </si>
  <si>
    <t>http://ts.21cn.com/tousu/show/id/1362852</t>
  </si>
  <si>
    <t>2019/10/15 11:46:22</t>
  </si>
  <si>
    <t>华夏银行信用卡，本来额度6000,从三个月前开始，无故降额度，前两个月一还最低还款额度进去就降到刚好不能使用的额度，也不直接提醒我的额度降到多少，上个月因资金周转困难，逾期一个多月，从逾期第一天起，就使用第三方一直电话催收，期间也有说明情况，今天一早通过微信，邮箱发以下信息给我，银行方面一直发短信，确从未自己致电给本人，本人现也会就此问题向银监会投诉。</t>
  </si>
  <si>
    <t>http://ts.21cn.com/tousu/show/id/1362851</t>
  </si>
  <si>
    <t>2019/10/15 11:45:58</t>
  </si>
  <si>
    <t>才刚充满电想看会电视，结果一直重启，弄了一晚上没睡。</t>
  </si>
  <si>
    <t>虫虫快借非法高利贷汇潮支付为高利贷提供支付通道</t>
  </si>
  <si>
    <t>http://ts.21cn.com/tousu/show/id/1362816</t>
  </si>
  <si>
    <t>2019/10/15 11:45:25</t>
  </si>
  <si>
    <t>无力偿还，协商无果，对方态度强硬威胁我要轰炸爆我的通讯录。</t>
  </si>
  <si>
    <t>你我贷恶意催收，电话骚扰恐吓</t>
  </si>
  <si>
    <t>http://ts.21cn.com/tousu/show/id/1362849</t>
  </si>
  <si>
    <t>2019/10/15 11:45:10</t>
  </si>
  <si>
    <t>你我贷工作人员暴利催收，打电话恐吓欠款人，一天好几个电话骚扰，搞得我不能好好工作，。</t>
  </si>
  <si>
    <t>哆米黑卡私自扣费</t>
  </si>
  <si>
    <t>http://ts.21cn.com/tousu/show/id/1362848</t>
  </si>
  <si>
    <t>2019/10/15 11:45:04</t>
  </si>
  <si>
    <t>哆米黑卡私自扣款，我压根不知道然后银行卡就被扣走了299现在联系不上客服，我已经报警。</t>
  </si>
  <si>
    <t>畅捷pos机涉嫌忽悠顾客办理</t>
  </si>
  <si>
    <t>http://ts.21cn.com/tousu/show/id/1362755</t>
  </si>
  <si>
    <t>2019/10/15 11:44:53</t>
  </si>
  <si>
    <t>畅捷的业务员上门推销的时候&amp;nbsp;&amp;nbsp;本来是办信用卡&amp;nbsp;&amp;nbsp;结果没办理成功&amp;nbsp;&amp;nbsp;然后&amp;nbsp;办理pos机&amp;nbsp;&amp;nbsp;结果在用的我的身份证绑定pos机时并没有说明要加三百押金&amp;nbsp;也并没有说要刷满四十万才能退押金&amp;nbsp;&amp;nbsp;继而在后面下载软件的时候才说明&amp;nbsp;&amp;nbsp;涉嫌忽悠办理&amp;nbsp;&amp;nbsp;未考虑顾客感受&amp;nbsp;&amp;nbsp;造成损失&amp;nbsp;&amp;nbsp;后续又说可以解绑&amp;nbsp;&amp;nbsp;但不给予退</t>
  </si>
  <si>
    <t>招联金融暴利催收，骚扰我正常生活，威胁爆我通讯录</t>
  </si>
  <si>
    <t>http://ts.21cn.com/tousu/show/id/1362844</t>
  </si>
  <si>
    <t>2019/10/15 11:44:34</t>
  </si>
  <si>
    <t>本人在招联金融的招联好期贷9号还款日，工作人员打电话过来催收已说明要等20号发工资还，催收电话还是一天几十个骚扰我，严重影响我正常生活，还威胁爆我通讯录。</t>
  </si>
  <si>
    <t>http://ts.21cn.com/tousu/show/id/1362843</t>
  </si>
  <si>
    <t>2019/10/15 11:44:32</t>
  </si>
  <si>
    <t>朋友用我信用卡还不上，交通银行频繁打电话催收，要联系身边人，家人。</t>
  </si>
  <si>
    <t>交通银行信用卡暴利催收</t>
  </si>
  <si>
    <t>http://ts.21cn.com/tousu/show/id/1362846</t>
  </si>
  <si>
    <t>2019/10/15 11:44:26</t>
  </si>
  <si>
    <t>交通银行信用卡崔收，严重影响个人隐私，暴力崔收，还打亲戚朋友电话，几次跟他们协商了要求年底结清欠款，现在没有能力来还，无数次跟他们协商了，天天打电话给我和我的亲戚朋友，严重影响个人隐私和工作，你们天天影响我的工作到时候没能还清欠款也是你们这帮垃圾崔收的缘故，我提前给你们打声招呼，你们在这样影响我的生活和工作到时候我还不了欠款不要怪我。</t>
  </si>
  <si>
    <t>贷上钱逾期一天威胁我通讯录好友</t>
  </si>
  <si>
    <t>http://ts.21cn.com/tousu/show/id/1362842</t>
  </si>
  <si>
    <t>2019/10/15 11:44:17</t>
  </si>
  <si>
    <t>逾期一天，爆打我通讯录好友，威胁我通讯录好友。</t>
  </si>
  <si>
    <t>被暴力催收</t>
  </si>
  <si>
    <t>http://ts.21cn.com/tousu/show/id/1362838</t>
  </si>
  <si>
    <t>2019/10/15 11:43:39</t>
  </si>
  <si>
    <t>对我进行辱骂，我的家人朋友不良言语侮辱，我表示还钱意愿却还是对我进行暴力催收。</t>
  </si>
  <si>
    <t>钱站爱钱进的催缴进行威胁</t>
  </si>
  <si>
    <t>http://ts.21cn.com/tousu/show/id/1362840</t>
  </si>
  <si>
    <t>2019/10/15 11:43:38</t>
  </si>
  <si>
    <t>投诉人 李女士        投诉对象  钱站        涉诉金额  6 元    问题类型    诉求类型投诉详情  还有4万的欠款没还，该公司g长息到24万。并且要骚扰我公司的同事</t>
  </si>
  <si>
    <t>http://ts.21cn.com/tousu/show/id/1362837</t>
  </si>
  <si>
    <t>2019/10/15 11:43:32</t>
  </si>
  <si>
    <t>我在2018年6月20号申请钱站贷款89600元。</t>
  </si>
  <si>
    <t>http://ts.21cn.com/tousu/show/id/1362836</t>
  </si>
  <si>
    <t>2019/10/15 11:43:31</t>
  </si>
  <si>
    <t>投诉人张先生投诉对象捷信金融涉诉金额0元问题类型诉求类型投诉详情我医院的座机被捷信公司严重骚扰，就因为我职工的老公因利息过高没还款，就骚扰我医院的座机，已经严重影响院方运转。</t>
  </si>
  <si>
    <t>http://ts.21cn.com/tousu/show/id/1362839</t>
  </si>
  <si>
    <t>2019/10/15 11:43:28</t>
  </si>
  <si>
    <t>招商银行，每天都有这么多电话打给我，已经严重的，影响了，我的工作和生活，每次打电话来威胁我，要上门找我父母，我从来没说不还钱，我在上班还给我打电话，说个不停，我想说，我不上班只接你电话，我那有钱还。</t>
  </si>
  <si>
    <t>洋钱罐高利贷</t>
  </si>
  <si>
    <t>http://ts.21cn.com/tousu/show/id/1362834</t>
  </si>
  <si>
    <t>2019/10/15 11:43:27</t>
  </si>
  <si>
    <t>7月14日在洋钱罐借款10000，已经还了两期一共3344元，剩下的提前结清还需要还10240，一共要还13584元，也就是借三个月，利息就有3584，年利息达到了143%，严重超过了国家法定的利率，高利贷，还恶意电话骚扰。</t>
  </si>
  <si>
    <t>信而富平台高额砍头息</t>
  </si>
  <si>
    <t>http://ts.21cn.com/tousu/show/id/1362833</t>
  </si>
  <si>
    <t>2019/10/15 11:43:14</t>
  </si>
  <si>
    <t>借款1300强制要求购买199-212元不等的虚拟物品，过期之后才和我说激活码，现要求平台退还总共411元购物砍头息。</t>
  </si>
  <si>
    <t>恶意爆通讯录被群发短信</t>
  </si>
  <si>
    <t>http://ts.21cn.com/tousu/show/id/1362830</t>
  </si>
  <si>
    <t>2019/10/15 11:43:06</t>
  </si>
  <si>
    <t>投诉人 刘女士        投诉对象  拍拍贷        涉诉金额  3 000 元    问题类型    诉求类型投诉详情  群发短信给我朋友家而且骚扰通讯录电话。客服从来不承认</t>
  </si>
  <si>
    <t>万事如寓单方面违约不退房租及押金</t>
  </si>
  <si>
    <t>http://ts.21cn.com/tousu/show/id/1362829</t>
  </si>
  <si>
    <t>2019/10/15 11:42:58</t>
  </si>
  <si>
    <t>因万事如寓单方面欠房东租金未给导致租户必须搬离。</t>
  </si>
  <si>
    <t>唯品会外包催收威胁爆通讯录</t>
  </si>
  <si>
    <t>http://ts.21cn.com/tousu/show/id/1362828</t>
  </si>
  <si>
    <t>2019/10/15 11:42:39</t>
  </si>
  <si>
    <t>昨天处理唯品花的逾期欠款500之后，今天又今天唯品花外包催收威胁爆通讯录的电话，我说了月底处理1500还是威胁不停。</t>
  </si>
  <si>
    <t>多米贷暴力催收</t>
  </si>
  <si>
    <t>http://ts.21cn.com/tousu/show/id/1362827</t>
  </si>
  <si>
    <t>2019/10/15 11:42:24</t>
  </si>
  <si>
    <t>投诉人屈女士投诉对象多米贷涉诉金额510元问题类型诉求类型投诉详情京东金融里面微贷网多米贷欠款逾期4天，我商量说是我现在还不了钱，做生意现在欠款40多万，现在没有还款能力，过几天再还款，电话里面不行，恐吓我，让我1个半小时之内还清，要不就爆我通讯录，银监会明文规定，未经本人同意不得骚扰亲戚朋友，多米贷催收让我后果自负！。</t>
  </si>
  <si>
    <t>退货退款困难</t>
  </si>
  <si>
    <t>http://ts.21cn.com/tousu/show/id/1362825</t>
  </si>
  <si>
    <t>2019/10/15 11:42:21</t>
  </si>
  <si>
    <t>投诉人叶先生投诉对象途虎养车网涉诉金额299元问题类型诉求类型投诉详情2019年10月7日在途虎养车购买一对led灯泡，灯泡到达后我到途虎养车指定安装点进行安装，安装过程中安装师傅表示此灯泡接口型号不对，不能安装，但是在当时途虎页面上显示我的车是可以安装的，于是我在联系途虎客服，向其说明情况，要求退货退款，在10月11日快递被签收后没有任何人主动和我联系，后来我多次主动联系途虎客服，了可解退款进程并确认退款日期，但对方一直叫我等，待，期间通知我提交退货快递单号我也顺利提交。</t>
  </si>
  <si>
    <t>拍拍贷无视国家国定，威胁欠款人</t>
  </si>
  <si>
    <t>http://ts.21cn.com/tousu/show/id/1362826</t>
  </si>
  <si>
    <t>2019/10/15 11:42:02</t>
  </si>
  <si>
    <t>投诉人单女士投诉对象拍拍贷涉诉金额234元问题类型诉求类型投诉详情拍拍贷逾期17天，金额234，今天上午拍拍贷催收人员给我打电话，通知我11点处理欠款，不然就联系我通讯录其他人和村委会，在我表明了逾期是因为家人生病了，资金周转不开，会尽快周转资金，处理欠款，这名催收人员根本不听我说话，在我要求听我把话说完后拒绝跟我沟通，再说完她的话以后就挂掉了电话，并且诬陷我恶意拖欠，在11点的时候又再次打来电话说了一堆让我尽快还款不然就联系其他人得话后，迫于无奈我把准备给病人买药的钱拿出来还进去了，催收电话有没有打给我其</t>
  </si>
  <si>
    <t>高利息，不能减免</t>
  </si>
  <si>
    <t>http://ts.21cn.com/tousu/show/id/1362823</t>
  </si>
  <si>
    <t>2019/10/15 11:41:45</t>
  </si>
  <si>
    <t>投诉人刘女士投诉对象万达贷涉诉金额30000元问题类型诉求类型投诉详情本人之前因陷入套路贷，资金周转不开，导致从8月份的万达贷逾期了一部分，到现在逾期的罚息太高，循环还的话利息完差不多要2000了，实在无力承担，与万达贷客服协商减免罚息，客服说罚息减免不了，除非全额还款，本人已经循环了逾期天数短的，希望能减免天数长的罚息。</t>
  </si>
  <si>
    <t>招联金融催收外包，协商未果</t>
  </si>
  <si>
    <t>http://ts.21cn.com/tousu/show/id/1362821</t>
  </si>
  <si>
    <t>2019/10/15 11:41:15</t>
  </si>
  <si>
    <t>招联金融让我撤销案件，接着来人加我说是招联金融工作人员，协商后出了点意外，被招联自动扣款，协商后又说我违约，又说我不还钱，我说的清清楚楚，协商的也清清楚楚我并没有不还款，这种恶意中伤侮辱人格的行为，请立马给我道歉！。</t>
  </si>
  <si>
    <t>花财华夏信财威胁本人</t>
  </si>
  <si>
    <t>http://ts.21cn.com/tousu/show/id/1362820</t>
  </si>
  <si>
    <t>2019/10/15 11:41:05</t>
  </si>
  <si>
    <t>还得差不多了就剩下一两期暂时资金有点紧张至于这样的威胁吗。</t>
  </si>
  <si>
    <t>http://ts.21cn.com/tousu/show/id/1362822</t>
  </si>
  <si>
    <t>2019/10/15 11:40:59</t>
  </si>
  <si>
    <t>本人承担逾期利息，减免催收费，停止威胁恐吓，本人已经接电话，答应还款，本人愿意月底之前处理了。</t>
  </si>
  <si>
    <t>有用分期高利贷高利息，电话骚扰。暴力催收。要求停止催收。</t>
  </si>
  <si>
    <t>http://ts.21cn.com/tousu/show/id/1362819</t>
  </si>
  <si>
    <t>2019/10/15 11:40:22</t>
  </si>
  <si>
    <t>有用分期高利贷高利息，借款18700，12期还款27000。</t>
  </si>
  <si>
    <t>受到钱站威胁</t>
  </si>
  <si>
    <t>http://ts.21cn.com/tousu/show/id/1362818</t>
  </si>
  <si>
    <t>2019/10/15 11:39:36</t>
  </si>
  <si>
    <t>明明都有与工作人员沟通公司发薪日期，记得备注，没有用公司发薪没能按时，我也从来没说过不还，但客服一上来就威胁，真的很受不了，不能商量吗。</t>
  </si>
  <si>
    <t>http://ts.21cn.com/tousu/show/id/1362817</t>
  </si>
  <si>
    <t>2019/10/15 11:39:30</t>
  </si>
  <si>
    <t>被骗在借贷宝打条，不放款，借贷宝平台什么问题都解决不了现在还让对我进行催收，而且催收蛮不讲理，态度恶劣，不解决问题反而还对我的亲朋好友进行骚扰！。</t>
  </si>
  <si>
    <t>不知情情况下被扣款情人花app扣款商户安庆盛通信息科技有限公司</t>
  </si>
  <si>
    <t>http://ts.21cn.com/tousu/show/id/1362815</t>
  </si>
  <si>
    <t>2019/10/15 11:38:32</t>
  </si>
  <si>
    <t>投诉人 蔡先生        投诉对象  情人花app        涉诉金额  288 元    问题类型    诉求类型投诉详情  在未知情情况下从我卡里扣掉288元 诱导消费者 未提供相关服务 简直就是骗钱 扣款前根本没经过本人同意</t>
  </si>
  <si>
    <t>新袋钱包高利贷套路贷</t>
  </si>
  <si>
    <t>http://ts.21cn.com/tousu/show/id/1362257</t>
  </si>
  <si>
    <t>2019/10/15 11:38:28</t>
  </si>
  <si>
    <t>投诉人赵女士投诉对象汇聚支付涉诉金额2700元问题类型诉求类型投诉详情信用管家的新袋钱包高利贷，套路贷，借款金额2700，新袋钱包更是每期639.69，还要还1900多，而且已经还了多少没有，看不到界面，这种行为违规了吧，希望处理。</t>
  </si>
  <si>
    <t>闪电借款威胁我通讯录</t>
  </si>
  <si>
    <t>http://ts.21cn.com/tousu/show/id/1362814</t>
  </si>
  <si>
    <t>2019/10/15 11:38:24</t>
  </si>
  <si>
    <t>投诉人刘松鹤投诉对象掌众金服涉诉金额8000元问题类型诉求类型投诉详情闪电借款逾期一天，威胁我通讯录好友，对通讯录好友进行恐吓。</t>
  </si>
  <si>
    <t>百度有钱花说要上门催收</t>
  </si>
  <si>
    <t>http://ts.21cn.com/tousu/show/id/1362812</t>
  </si>
  <si>
    <t>2019/10/15 11:38:17</t>
  </si>
  <si>
    <t>投诉人陈先生投诉对象百度有钱花涉诉金额50000元问题类型诉求类型投诉详情之前还了几期，最近因为经济困难实在无力偿还，等有点钱，我会继续还的，工作人员威胁说要上门，我该怎么维护自己的安全。</t>
  </si>
  <si>
    <t>平安银行暴利催收辱骂单位同事</t>
  </si>
  <si>
    <t>http://ts.21cn.com/tousu/show/id/1362813</t>
  </si>
  <si>
    <t>2019/10/15 11:38:13</t>
  </si>
  <si>
    <t>本人名下有一张平安银行信用卡，一直保持良好的还款记录，但因近期资金周转不灵，近两期账单一直在还款但是未达到最低要求，现平安银行信用卡催收天天打电话到单位，同事不搭理还辱骂同事，还发短信微信威胁说要安排人员上单位，现要求平安银行停止打电话行为，友好协商还款。</t>
  </si>
  <si>
    <t>美团生活费暴力催收，连几个小时都不肯等，就爆我通讯录</t>
  </si>
  <si>
    <t>http://ts.21cn.com/tousu/show/id/1362811</t>
  </si>
  <si>
    <t>2019/10/15 11:37:52</t>
  </si>
  <si>
    <t>投诉人林女士投诉对象美团金融涉诉金额800元问题类型诉求类型投诉详情美团生活费暴力催收十一点还在给打电话给我家人。</t>
  </si>
  <si>
    <t>http://ts.21cn.com/tousu/show/id/1362808</t>
  </si>
  <si>
    <t>2019/10/15 11:37:05</t>
  </si>
  <si>
    <t>当时看他要提前扣费就放弃办理，过了几天却偷偷扣我银行账户钱。</t>
  </si>
  <si>
    <t>海尔各种忽悠就是不退款</t>
  </si>
  <si>
    <t>http://ts.21cn.com/tousu/show/id/1362810</t>
  </si>
  <si>
    <t>2019/10/15 11:37:03</t>
  </si>
  <si>
    <t>6月20日购买，之后电联房屋拆改完成发货安装，9月11日卖家发货未告知，9月20日自动确认收货，10月2日申请退款，卖家各种推脱，找天猫商城投诉卖家，天猫不作为，在事实面前仍告知要等待商家处理。</t>
  </si>
  <si>
    <t>小花钱包高利贷恶意催收</t>
  </si>
  <si>
    <t>http://ts.21cn.com/tousu/show/id/1362807</t>
  </si>
  <si>
    <t>2019/10/15 11:36:47</t>
  </si>
  <si>
    <t>以至于没有及时还款本期还款差不多1300元，最近工资晚发了几天 以至于没有及时还款本期还款差不多1300元 小花钱包催收各种电话 短信威胁 要电话信息我亲朋好友 我明确表明会还 只是晚几天 希有关部门能整顿这些黑网贷 没有经过本人同意就骚扰我通讯录里的亲朋好友 我会投诉到底。</t>
  </si>
  <si>
    <t>宜信公司宜人贷嗜血高利贷、阴阳合同、砍头息，高额利率，账目混乱，巧立名目收取高额信息咨询服务费、高额的逾期手续。</t>
  </si>
  <si>
    <t>http://ts.21cn.com/tousu/show/id/1362806</t>
  </si>
  <si>
    <t>2019/10/15 11:36:38</t>
  </si>
  <si>
    <t>我的孩子也是宜信公司宜人贷的受害者，合同金额和实际到账金额不符，2016年9月贷10万元，合同上18.82万元，其中信息咨询服务费5.42万元，标明借款金额13.4万元，而2016年9月18日实际到手10万元，分36期每期还6250.93元，其中本金4684.09，息费1566.84元，10万元三年要还28.21万元，利息和各类所谓的信息服务费高得惊人，涉阴阳合同，砍头息，信息咨询服务费，高利贷，高额逾期手续费等等高得离谱，由于各种收费太高，加之个人经济出现紧张状况，致使还款逾期，从2016年10月开始还款</t>
  </si>
  <si>
    <t>http://ts.21cn.com/tousu/show/id/1362805</t>
  </si>
  <si>
    <t>2019/10/15 11:36:22</t>
  </si>
  <si>
    <t>每隔1小时左右就打一遍电话，刚刚打电话说要爆通讯录了，。</t>
  </si>
  <si>
    <t>芒果筹高利贷平台恶意造成逾期收取高昂逾期费</t>
  </si>
  <si>
    <t>http://ts.21cn.com/tousu/show/id/1362804</t>
  </si>
  <si>
    <t>2019/10/15 11:35:56</t>
  </si>
  <si>
    <t>直到18号app开始无法正常还款卡里有钱不扣款，直到今天客服打电话来威胁还款不然打遍联系人，想问一下再这样一个法治社会，再扫黑除恶严打套路贷的情况下，为什么还有公司通过这种不正当的手段盈利，为了躲避国家规定从一开始的砍头息变成了增高利息，畅捷支付还给这些套路贷做后盾吸普通人民的血，和我一样的受害者有很多，大多数都是曾经一直正常还款的老客户，无奈遭遇此事，本人希望能通过聚投诉平台解决此事让这件事得到一个说法，如果贵公司依旧如此本人将依法像贵公司所在地扫黑办金融办举报并且报警处理。</t>
  </si>
  <si>
    <t>未经允许刷我信用卡</t>
  </si>
  <si>
    <t>http://ts.21cn.com/tousu/show/id/1362803</t>
  </si>
  <si>
    <t>2019/10/15 11:34:59</t>
  </si>
  <si>
    <t>异常定单，盗刷信用卡，未经本人允许，扣费不明。</t>
  </si>
  <si>
    <t>http://ts.21cn.com/tousu/show/id/1362802</t>
  </si>
  <si>
    <t>2019/10/15 11:34:57</t>
  </si>
  <si>
    <t>本人前段时间在现金巴士借款2000元，由于个人原因导致无法按时偿还欠款，近期本人将更换后的手机号码及银行卡在现金巴士APP更新欲偿还欠款，但现金巴士催收人员不予以协商，并威胁本人期间恶意拨打本人亲属及亲友电话，欲向亲朋好友施压来逼迫本人承担法律规定范围以外的欠款，这种行为严重影响了本人及亲友的生活，望有关部门严查，现金巴士方立即停止对本人亲友的骚扰，并责罚催收人员做出道歉并赔偿损失，在上次投诉超过24小时的情况下没有回复，没有相关人员联系，并且还在骚扰威胁本人及通讯录亲朋好友，。</t>
  </si>
  <si>
    <t>拍拍贷暴力催收、恐吓、威胁人生安全</t>
  </si>
  <si>
    <t>http://ts.21cn.com/tousu/show/id/1362801</t>
  </si>
  <si>
    <t>2019/10/15 11:34:47</t>
  </si>
  <si>
    <t>拍拍贷催收第一个电话我接听了，正在忙，让催收人员晚点打，第二个未接上。</t>
  </si>
  <si>
    <t>http://ts.21cn.com/tousu/show/id/1362799</t>
  </si>
  <si>
    <t>2019/10/15 11:34:22</t>
  </si>
  <si>
    <t>本人在壹心分期上借款两次1700元，实际到账1225元，15天还款一次，现在已经无力偿还高额利息，要求协商，本金销账。</t>
  </si>
  <si>
    <t>http://ts.21cn.com/tousu/show/id/1362800</t>
  </si>
  <si>
    <t>2019/10/15 11:34:13</t>
  </si>
  <si>
    <t>借款次数多打30次，每次均扣取前期费用，同客服沟通协商还款无效，逾期后多次骚扰亲人朋友，严重违反法律规定，望现金巴士及富友支付归还部分前期费用，否则我会多次举报，直至归还部分损失为至。</t>
  </si>
  <si>
    <t>投诉豆豆钱放款扣除砍头息</t>
  </si>
  <si>
    <t>http://ts.21cn.com/tousu/show/id/1362797</t>
  </si>
  <si>
    <t>2019/10/15 11:34:05</t>
  </si>
  <si>
    <t>本人于2019年9月18日在维信豆豆钱申请借款18000元，下款后立马被扣除1500元，打客服电话说是什么风险管理费，借款之前没有说，下款了确立马扣走，本人很是不解，多次与该公司沟通，不行。</t>
  </si>
  <si>
    <t>佰仟金融暴力催收冒充公检法</t>
  </si>
  <si>
    <t>http://ts.21cn.com/tousu/show/id/1361863</t>
  </si>
  <si>
    <t>2019/10/15 11:33:50</t>
  </si>
  <si>
    <t>佰仟金融暴力催收盗取我的个人信息散播，精神威胁逼迫，拖欠情况属实遇见经济困难，但绝对没有恶意不还的意思，之前也都有还款记录，因为每天持续性威胁催收，导致我精神衰弱，有轻生念头，之前一直在还，不过利息高的吓人，已经超出我借款本金太多，我愿协商解决，期望能延期分期，撤销不合理利息。</t>
  </si>
  <si>
    <t>点投发老师带单造成巨大亏损</t>
  </si>
  <si>
    <t>http://ts.21cn.com/tousu/show/id/1362796</t>
  </si>
  <si>
    <t>2019/10/15 11:33:44</t>
  </si>
  <si>
    <t>北京和嘉琪琳科技有限公司,北京琳智和达科技有限公司,富友支付，点头发张磊带我操作股票，让我跟着他买肯定是赚的，告诉我赚多少个点，什么时候买进，什么时候卖出，跟着几次操作亏多赚少，前前后后亏损了22726元，然后经过一番调查发现这个平台根本没有做股票证券的资质，后面联系平台也无法提供交割单，以及相关可以做证券的合法资质。</t>
  </si>
  <si>
    <t>拼多多监管不严，庇护无良商家，系统不显示差评信息！</t>
  </si>
  <si>
    <t>http://ts.21cn.com/tousu/show/id/1362795</t>
  </si>
  <si>
    <t>2019/10/15 11:33:37</t>
  </si>
  <si>
    <t>从无良商家哪里买的电脑系统出了问题，2019年10月9日给商家差评居然到今天还看不到，和拼多多客服协商了一星期了，没有解决问题，光解释是系统延迟，请问怎样的服务器延迟可以延迟将近一周，我差评有理有据，真实反应消费情况，也没有申请退款，为什么不能显示出来。</t>
  </si>
  <si>
    <t>花转转樱桃小借</t>
  </si>
  <si>
    <t>http://ts.21cn.com/tousu/show/id/1362793</t>
  </si>
  <si>
    <t>2019/10/15 11:33:33</t>
  </si>
  <si>
    <t>本人在2019年8月22日在花转转平台借款2100元，到账2100元分4期32天，也就是说8天一期，总共要还3000多块，相当于一个月利息高达900多块，属于严重的高利贷，而且本人已经还了3期了，共计2300多块钱，早已把本金还了，本人在2019年9月7日又借了一笔2800元的本金，到账2800元，也是4期32天，以还一期1022元，总共要还4000多块，也就是说本金2800还要多还利息高达1200多块钱，本来本人打算还了一了百了，但是当时到还款日时，打算还款，但是他们APP有问题到账本人无法还款，给他们打</t>
  </si>
  <si>
    <t>聚富分期，投诉后不解决问题，电话威逼投诉者。没有退换款项！</t>
  </si>
  <si>
    <t>http://ts.21cn.com/tousu/show/id/1362794</t>
  </si>
  <si>
    <t>威逼我不结案不退款，可问题没有解决，怎么结案，这是小孩都明白的套路。</t>
  </si>
  <si>
    <t>京东白条未与本人成功取得联系，直接爆通讯录</t>
  </si>
  <si>
    <t>http://ts.21cn.com/tousu/show/id/1362791</t>
  </si>
  <si>
    <t>2019/10/15 11:33:22</t>
  </si>
  <si>
    <t>我在外面忙，没听到手机响，给回电话，根本无法拨出，是空号，没与本人成功取得联系，就暴露个人隐私，爆通讯录，让身边的人都知道，这种做法真的很过分。</t>
  </si>
  <si>
    <t>不打紧急联系人，爆通讯录里面的</t>
  </si>
  <si>
    <t>http://ts.21cn.com/tousu/show/id/1362792</t>
  </si>
  <si>
    <t>2019/10/15 11:33:07</t>
  </si>
  <si>
    <t>爆人家通讯录不打紧急联系人，都说被骗了让他们上门协商解决还一直爆通讯录说录音了。</t>
  </si>
  <si>
    <t>钱站贷款太坑人</t>
  </si>
  <si>
    <t>http://ts.21cn.com/tousu/show/id/1362789</t>
  </si>
  <si>
    <t>2019/10/15 11:33:01</t>
  </si>
  <si>
    <t>投诉人韦先生投诉对象凡普金科集团有限公司涉诉金额2000元问题类型诉求类型投诉详情本人于2019年10月12号在钱站贷款app申请贷款，审核通过提示能借2660元，而到银行账户才2000，放款完成后才提示每个月要还986元，三个月还2950元，而合同显示的是借款2660元，当时借款时也没说分三期还多少钱，款到账户了才显示，打电话询问平台，说什么手机审核费，太吭人，无法无天，不铲除难以服众，我现要求马上归还本金，不能收取任何费用。</t>
  </si>
  <si>
    <t>好享用高利贷</t>
  </si>
  <si>
    <t>http://ts.21cn.com/tousu/show/id/1362790</t>
  </si>
  <si>
    <t>2019/10/15 11:32:55</t>
  </si>
  <si>
    <t>投诉人张桠岚投诉对象好享用涉诉金额1500元问题类型诉求类型投诉详情好享用平台借款1500到账1150元，续期350三次，所续期的高额费用已超过本金，好享用无视国家法律法规与以上高利贷平台合作。</t>
  </si>
  <si>
    <t>京东白条骚扰电话不断影响正常生活</t>
  </si>
  <si>
    <t>http://ts.21cn.com/tousu/show/id/1362788</t>
  </si>
  <si>
    <t>2019/10/15 11:32:29</t>
  </si>
  <si>
    <t>我是真的服了，一天恨不得18个电话，早上8点多打，晚上8点多也打，白天一个小时来一次，严重影响了我的生活和工作，既然我在聚投诉的你们京东客服不理会，那我晚上去互金网投诉。</t>
  </si>
  <si>
    <t>名校贷不处理</t>
  </si>
  <si>
    <t>http://ts.21cn.com/tousu/show/id/1362787</t>
  </si>
  <si>
    <t>2019/10/15 11:32:07</t>
  </si>
  <si>
    <t>投诉人 郑女士        投诉对象  名校贷,麦子金服        涉诉金额  8 000 元    问题类型    诉求类型投诉详情  我上次因为忽略了我们休假不发工资的问题 承诺今天还款 但是我们单位补国庆节假日8天 到下礼拜一才上班 我请求协商 但是没有任何回应 不知道啥意思</t>
  </si>
  <si>
    <t>襄阳恒昌信贷暴力催收，态度恶劣</t>
  </si>
  <si>
    <t>http://ts.21cn.com/tousu/show/id/1362786</t>
  </si>
  <si>
    <t>2019/10/15 11:31:36</t>
  </si>
  <si>
    <t>17年3月我在襄阳恒昌公司信用贷款94014元,分36期，每期还4158.89.合同上写的12万，扣平台管理费4千多，在我不知情的情况下获取我的通讯录，通话记录，qq通讯录.一直以来都能按时还款，已经还了18个月，这个月家里遇到变故，一下子无力偿还，恒昌的就不停打电话给我本人，我已经跟他们讲明困难，可他们硬让我非还不可，再联系上我的情况下到处给我亲朋打电话，爆通讯录。</t>
  </si>
  <si>
    <t>中国联通恶意扣款</t>
  </si>
  <si>
    <t>http://ts.21cn.com/tousu/show/id/1362785</t>
  </si>
  <si>
    <t>2019/10/15 11:31:07</t>
  </si>
  <si>
    <t>本人从未订阅过小沃直播这项业务，今天无意中看到账单有这一项业务。</t>
  </si>
  <si>
    <t>信用星球阴阳合同,变相收取高额砍头息</t>
  </si>
  <si>
    <t>http://ts.21cn.com/tousu/show/id/1362783</t>
  </si>
  <si>
    <t>2019/10/15 11:30:15</t>
  </si>
  <si>
    <t>信用星期阴阳合同,变相收取高额砍头息,借款1600,砍头400多,远远超过国家法定利率.并且清空借款记录,,让你找不到证据,本人可提供银行转账记录.。</t>
  </si>
  <si>
    <t>高利贷，逾期1174元，22天收我140逾期费？</t>
  </si>
  <si>
    <t>http://ts.21cn.com/tousu/show/id/1362782</t>
  </si>
  <si>
    <t>2019/10/15 11:29:58</t>
  </si>
  <si>
    <t>1174元，逾期22天收我140元逾期费，你走法院起诉我算了。</t>
  </si>
  <si>
    <t>快易花暴力催收</t>
  </si>
  <si>
    <t>http://ts.21cn.com/tousu/show/id/1362781</t>
  </si>
  <si>
    <t>2019/10/15 11:29:56</t>
  </si>
  <si>
    <t>由于本人资金链锻炼、快易花逾期了2天时间，催收电话打来我希望能协商给我几天时间处理，他们居然说我在他们平台是没有诚信的，借了这么久你们公司的资金，每次都是还上的吧，没有不还你们，快易花我就只剩3000多没还了，催收说了400块钱是小钱感觉我骗他们一样还不出来的，说还不出来就要联系我联系人去帮我借钱还款，说了很难听的话，的确对于你们来说400多块钱真的不是什么，但是对于我们身陷套路贷的人来说是一笔不容易的款项，我也一直在想办法还你们钱，你们一直在逼我，难道非要把我逼死才行吗。</t>
  </si>
  <si>
    <t>http://ts.21cn.com/tousu/show/id/1362780</t>
  </si>
  <si>
    <t>2019/10/15 11:29:50</t>
  </si>
  <si>
    <t>被扣款288元说是征信报告，邦定银行卡后不通过本人同意随便扣款。</t>
  </si>
  <si>
    <t>在我银行卡明莫名其妙扣钱</t>
  </si>
  <si>
    <t>http://ts.21cn.com/tousu/show/id/1362777</t>
  </si>
  <si>
    <t>2019/10/15 11:29:39</t>
  </si>
  <si>
    <t>今天早晨起来，手机短信铃声提醒一下，我一看宝付支付153.6元，我莫名其妙，宝付是什么意思啊，我捉摸不透，也是我就想起投诉的办法，看看能不能要回来我的钱。</t>
  </si>
  <si>
    <t>暴力催收辱骂</t>
  </si>
  <si>
    <t>http://ts.21cn.com/tousu/show/id/1362776</t>
  </si>
  <si>
    <t>2019/10/15 11:29:27</t>
  </si>
  <si>
    <t>态度恶劣，辱骂我，各种威胁，这是什么世道，没能力还款现在，就可以这样对待我吗。</t>
  </si>
  <si>
    <t>趣花分期暴力催收程度令人发指，现提起诉讼</t>
  </si>
  <si>
    <t>http://ts.21cn.com/tousu/show/id/1362751</t>
  </si>
  <si>
    <t>2019/10/15 11:29:17</t>
  </si>
  <si>
    <t>投诉人王先生投诉对象趣花分期涉诉金额8400元问题类型诉求类型投诉详情对于暴力催收不管不问，暴力催收图片不能上传，先这样，提供给法院了。</t>
  </si>
  <si>
    <t>http://ts.21cn.com/tousu/show/id/1362775</t>
  </si>
  <si>
    <t>2019/10/15 11:29:05</t>
  </si>
  <si>
    <t>我这明明白白的写着是三期的还款，怎么就26期了，他们平台一点都不合理，三天就打一个电话，还说要找我家人，我现在真的是没发工资，我不是不还款，他们平台就要求给我家里人打电话说合适情况，我现在就希望能帮助我把这个平台的分期帮我弄好了，然后给我减免，我要求不高，他们之前给我姑姑吓出心脏病我还没要求赔偿，他们现在就说我不还款，还要给我通讯录打电话，怎么这么不合理呢。</t>
  </si>
  <si>
    <t>捷信成天骚扰电话</t>
  </si>
  <si>
    <t>http://ts.21cn.com/tousu/show/id/1362773</t>
  </si>
  <si>
    <t>2019/10/15 11:28:55</t>
  </si>
  <si>
    <t>最近家里出了很多问题，我一直也没有工作，没有收入来源，亲戚朋友也不愿意帮忙，我实在是没能力赶快偿还，之前也都按时偿还了，现在逾期了，想进行沟通，却一直没有沟通，成功，客服态度还不好，有时候好好的说请给一点时间，他们说让我必须今天还款，一下子就挂了电话，希望捷信金融给我重新分期，我现在实在无力承担一个月2000多的还款额，这对我来说是很大的一个压力。</t>
  </si>
  <si>
    <t>蓝田县合管科</t>
  </si>
  <si>
    <t>http://ts.21cn.com/tousu/show/id/1362774</t>
  </si>
  <si>
    <t>2019/10/15 11:28:43</t>
  </si>
  <si>
    <t>蓝田县住院后，直接清算费用未报销合疗！每个管事的都不在，现在无人问津。</t>
  </si>
  <si>
    <t>玖富万卡客服给的对公账户不存在</t>
  </si>
  <si>
    <t>http://ts.21cn.com/tousu/show/id/1362771</t>
  </si>
  <si>
    <t>2019/10/15 11:28:06</t>
  </si>
  <si>
    <t>我要求玖富万卡道歉并将协商金额21200保留到玖富万卡给本人提供有效的账户后。</t>
  </si>
  <si>
    <t>万贯街退回利息</t>
  </si>
  <si>
    <t>http://ts.21cn.com/tousu/show/id/1362772</t>
  </si>
  <si>
    <t>2019/10/15 11:28:00</t>
  </si>
  <si>
    <t>本人于2018年因为急需用钱陷入套路贷，从宁夏海胜通互联网小额贷款有限公司app“万贯街”借款多次，每次到账1200元，周期为7天，实则只有5天，需要还款1506.9元，其中300元以游戏币的形式收取，套路本人现金23000余元，期间若有逾期就穷凶极恶暴力催收，典型的黑恶势力套路贷，利用连连支付的通道，连连支付为非法套路贷提供结算通道，本人所查游戏公司为盛大游戏，盛大游戏间接控股改公司从事非法放贷，使本来就穷途末路的借款人精神造成严重压力折磨，生活更穷困潦倒几近绝望，万贯街套路贷是最应该打击的，感谢国家严查</t>
  </si>
  <si>
    <t>钱包易贷高利贷</t>
  </si>
  <si>
    <t>http://ts.21cn.com/tousu/show/id/1362768</t>
  </si>
  <si>
    <t>2019/10/15 11:27:30</t>
  </si>
  <si>
    <t>暴力催收，盗用信息，超过国家标准的利息，长治银行明知违法行为故意纵容。</t>
  </si>
  <si>
    <t>我来数科暴力催收！！恶意威胁！！</t>
  </si>
  <si>
    <t>http://ts.21cn.com/tousu/show/id/1362769</t>
  </si>
  <si>
    <t>2019/10/15 11:27:25</t>
  </si>
  <si>
    <t>暴力催收！用威胁的方式恶意催收砍头息高利贷，套路贷！恶意侵犯对方隐私，窃取对方用户信息！！。</t>
  </si>
  <si>
    <t>人人贷高额利息，与宣传不符，套路贷</t>
  </si>
  <si>
    <t>http://ts.21cn.com/tousu/show/id/1362767</t>
  </si>
  <si>
    <t>2019/10/15 11:26:30</t>
  </si>
  <si>
    <t>我于9月21在人人贷借款6000元整，款项在两日之后到达了我的银行账户，我立即登录人人贷客户端查询，我如果提前还款，需要我归还7458.03元整，请问这不是高利贷是什么，我当日就给他们客服打电话协商给我降回正常利息，并且我还清借款，协商多次，客服不处理，结果人人贷平台坐视不管，我举报碰壁，希望在这里能找到帮助，请各级领导明鉴！。</t>
  </si>
  <si>
    <t>http://ts.21cn.com/tousu/show/id/1362766</t>
  </si>
  <si>
    <t>2019/10/15 11:26:25</t>
  </si>
  <si>
    <t>垃圾来分期没想到你是这样的来分期，还是个支付宝里面的来分期，欠你点钱逾期两天电话打到爆一天7，8个电话，电话打过来还不让人说话直接劈头盖脸骂你一通威胁爆家里人通讯录把我名声搞臭，说实话我10几家网贷都一起逾期还真会怕多你一家爆吗，作为一名催收你打电话给我也就是个工作而已分内事我也理解，你们来分期就没好好教一下如何催收吗，都什么时候了，我知道我欠钱了没按时还上是我不对，2、3十万我也得想办法去凑钱处理呀，逾期你两天好像吃了你家人一样你何必呢，一直以来都觉得你来分期还算正规，出了事了见真晓，我自己的问题欠了十几</t>
  </si>
  <si>
    <t>玖富万卡砍头息</t>
  </si>
  <si>
    <t>http://ts.21cn.com/tousu/show/id/1362763</t>
  </si>
  <si>
    <t>2019/10/15 11:26:07</t>
  </si>
  <si>
    <t>我在玖富万卡贷款14000，说地是年利息11%，每月等额还，分期24个月，里面多了一个7579地服务费，每个月还1003元，总共要还2400千多，还了15个月，还欠9029.91，现在要求一次结清，按国家利息结清。</t>
  </si>
  <si>
    <t>拼多多包庇店家以此牟利</t>
  </si>
  <si>
    <t>http://ts.21cn.com/tousu/show/id/1362765</t>
  </si>
  <si>
    <t>2019/10/15 11:25:57</t>
  </si>
  <si>
    <t>包庇阳阳店铺，不发货直接扣款，后来发现原来是一家阴阳店铺是一个洗黑钱的店铺，打电话给予客服处理，后面发现店铺被关，拼多多也不给与受害者退款，严重怀疑拼多多以此欺骗消费者，查封店铺然后不予退款，以此牟暴利，把店铺欺骗到的钱掏进自己腰包。</t>
  </si>
  <si>
    <t>闲聊app</t>
  </si>
  <si>
    <t>http://ts.21cn.com/tousu/show/id/1362762</t>
  </si>
  <si>
    <t>2019/10/15 11:25:48</t>
  </si>
  <si>
    <t>闲聊app既然是实名制为何别人用我的信息进行一系列的盗用，希望能帮我处理下，我怕别人拿我信息贷款，谢谢。</t>
  </si>
  <si>
    <t>高利贷套路贷恶意催收</t>
  </si>
  <si>
    <t>http://ts.21cn.com/tousu/show/id/1362764</t>
  </si>
  <si>
    <t>2019/10/15 11:25:47</t>
  </si>
  <si>
    <t>现在倒是来了，有个女的给我打电话说要是不还他们就不会停止流程。</t>
  </si>
  <si>
    <t>即有分期本来每月该还530元，剩最后一期了收1113</t>
  </si>
  <si>
    <t>http://ts.21cn.com/tousu/show/id/1362761</t>
  </si>
  <si>
    <t>2019/10/15 11:25:36</t>
  </si>
  <si>
    <t>我妈妈在你们家公司办的分期，就剩最后一月了本来该还530元，除了逾期罚息为什么多出来583元能解释一下这583从哪出来的吗。</t>
  </si>
  <si>
    <t>豆豆钱威胁</t>
  </si>
  <si>
    <t>http://ts.21cn.com/tousu/show/id/1362760</t>
  </si>
  <si>
    <t>2019/10/15 11:25:25</t>
  </si>
  <si>
    <t>豆豆钱暴力催收，恐吓要上门，不高利贷，利息高，还威胁恐吓，望相关部门严查。</t>
  </si>
  <si>
    <t>http://ts.21cn.com/tousu/show/id/1362758</t>
  </si>
  <si>
    <t>2019/10/15 11:25:03</t>
  </si>
  <si>
    <t>众安保险捆绑黑心网贷收取高额保险费用，个人借款保证保险。</t>
  </si>
  <si>
    <t>未经许可可以扣款吗？</t>
  </si>
  <si>
    <t>http://ts.21cn.com/tousu/show/id/1362759</t>
  </si>
  <si>
    <t>2019/10/15 11:24:57</t>
  </si>
  <si>
    <t>本人已经和玖富在协商全额还款，未经许可私自扣款，要求退款，。</t>
  </si>
  <si>
    <t>维信金科豆豆钱暴力催收，套路贷！砍头息！</t>
  </si>
  <si>
    <t>http://ts.21cn.com/tousu/show/id/1362757</t>
  </si>
  <si>
    <t>2019/10/15 11:24:52</t>
  </si>
  <si>
    <t>本人于2018年12月向维信豆豆钱办理贷款一笔，金额30000，逾期第一天就被豆豆客服暴力催收并且爆通讯录！时隔一个多月，豆豆钱变本加厉！群发骚扰短信，并且发送引导以贷还贷的短信！涉嫌套路贷！豆豆钱请管好你们家的催收！请遵守催收公约！如果再次受到骚扰将报警处理！。</t>
  </si>
  <si>
    <t>聚橙票务霸王条款，橙PLUS卡充值只能充值999及其倍数，余额也不能提现，卡不退不换</t>
  </si>
  <si>
    <t>http://ts.21cn.com/tousu/show/id/1362756</t>
  </si>
  <si>
    <t>2019/10/15 11:24:11</t>
  </si>
  <si>
    <t>聚橙票务的橙PLUS卡，涉嫌使用霸王条款，限制消费者正当自由充值与退卡提现的权利，橙PLUS卡只能充值999元及其倍数的面额，卡内余额若用不完，不能提现，也不能退卡，但是聚橙客服表示卡内余额无法提现，如果提现需要退卡退票，但是由于票已经使用过了，所以无法退卡，也无法退钱，客服也表示按照规定卡内余额无法退回，事情经过2019.3.1我想在聚橙票务购买音乐剧《CATS》770元演出票两张，由于付款时提示充值橙PLUS卡，可获得充值999，送100元的优惠，由于两张票加起来要1540元，于是我开通了橙PLUS卡，</t>
  </si>
  <si>
    <t>中信银行信用卡暴力催收无关亲朋好友</t>
  </si>
  <si>
    <t>http://ts.21cn.com/tousu/show/id/1362753</t>
  </si>
  <si>
    <t>2019/10/15 11:23:37</t>
  </si>
  <si>
    <t>给通讯录人员发催收信息和恐吓函件！违法获取和泄露个人通讯录和通话记录隐私信息！。</t>
  </si>
  <si>
    <t>投诉小花钱包</t>
  </si>
  <si>
    <t>http://ts.21cn.com/tousu/show/id/1362752</t>
  </si>
  <si>
    <t>2019/10/15 11:23:35</t>
  </si>
  <si>
    <t>我向小花APP平台借贷，小花利用阴阳合同，故意规避国家法律，贷款金额和实际的放款金额不一样，进行砍头息，实际贷完经计算才发现利息、咨询服务费等综合年化利率高达35%以上，远高于国家规定的最高利率红线24%，可以小花辩称没有超过，实际上是进行了法律规避，全部算进去是远远超过，现在本人要求提前还款，可是小花仍要求支付未到期的利息，显然不合理，请聚投诉协调相关单位调查并督促平台整改，降低贷款利率，维护金融秩序，维护借款人的合法权益，另外，现申请提前还清该笔贷款，按照低于国家规定最高利率24%来算且提前还款应该免剩</t>
  </si>
  <si>
    <t>立借钱置宝app造成逾期让用户承担</t>
  </si>
  <si>
    <t>http://ts.21cn.com/tousu/show/id/1362749</t>
  </si>
  <si>
    <t>2019/10/15 11:23:05</t>
  </si>
  <si>
    <t>钱置宝到期还款不成功造成用户大量逾期，多日后催收要用户承担逾期费用，4008692809这个是钱置宝的客服电话，消除逾期金额直接清帐。</t>
  </si>
  <si>
    <t>你我贷说我撤销投诉就协商结清现在不管不问</t>
  </si>
  <si>
    <t>http://ts.21cn.com/tousu/show/id/1362750</t>
  </si>
  <si>
    <t>2019/10/15 11:22:54</t>
  </si>
  <si>
    <t>你我贷，说协商还款还是高利贷，现在骗我还款充值，然后客服不在回复，也不销账。</t>
  </si>
  <si>
    <t>http://ts.21cn.com/tousu/show/id/1362748</t>
  </si>
  <si>
    <t>2019/10/15 11:22:52</t>
  </si>
  <si>
    <t>恶意扣款299，收到投诉请直接退款，我看到后会点击同意的。</t>
  </si>
  <si>
    <t>活力花暴利催收辱骂骚扰我亲朋好友，</t>
  </si>
  <si>
    <t>http://ts.21cn.com/tousu/show/id/1362746</t>
  </si>
  <si>
    <t>2019/10/15 11:22:47</t>
  </si>
  <si>
    <t>活力花利息高，还要多重收费，保险费，过期费用每天除利息多加十多元，本金近3080元，三个月利息长到3600暴利催收辱骂，骚扰家人朋友母亲，无法协商，希望贵平台给于帮助，我有录音准备去报警。</t>
  </si>
  <si>
    <t>想还款找不到还款入口</t>
  </si>
  <si>
    <t>http://ts.21cn.com/tousu/show/id/1362747</t>
  </si>
  <si>
    <t>2019/10/15 11:22:41</t>
  </si>
  <si>
    <t>希望让我还款，马上到期了，到时候又要收违约金，一些乱七八糟的费用，让客服主动联系我，我需要还款，很着急。</t>
  </si>
  <si>
    <t>有钱花爆通讯录骚扰</t>
  </si>
  <si>
    <t>http://ts.21cn.com/tousu/show/id/1362745</t>
  </si>
  <si>
    <t>之前都有按时还款，最近真的是遇到困难了，然后也联系不到他们的客服电话，他们打过来可能被拦截了，所以就打了我家人电话进行骚扰，希望不要进行骚扰，我会尽快还上，谢谢。</t>
  </si>
  <si>
    <t>广发银行客服诱导威胁恐吓客户，暴力催收！！</t>
  </si>
  <si>
    <t>http://ts.21cn.com/tousu/show/id/1362743</t>
  </si>
  <si>
    <t>2019/10/15 11:22:32</t>
  </si>
  <si>
    <t>广发银行客服工号24108，02095508天天暴力电话催收，我反馈的问题得不到解决！每次致电反馈的问题！就跟没反馈一样！广发银行都不服务到我！请问我怎么还能使用这个！！额度还了14个月！还了一万元了！这个额度还一直1000元！终止提前还款！剩余利息还要给！然后这边又在暴力催收！！！爆我通讯录！！！没有任何致歉！我看了一下合同！如果是多次联系不上！我就一次没接到电话！没有拒绝！也没有不接电话！爆通讯录是不是很过分了！严重影响到了我的名誉！！！。</t>
  </si>
  <si>
    <t>高利贷，阴阳合同，恶意砍头息</t>
  </si>
  <si>
    <t>http://ts.21cn.com/tousu/show/id/1362742</t>
  </si>
  <si>
    <t>2019/10/15 11:22:25</t>
  </si>
  <si>
    <t>投诉人方先生投诉对象榕树贷款涉诉金额18000元问题类型诉求类型投诉详情本人于4月19号在榕树贷款app里面的恒易贷贷款20000元，而实际到帐确是18000元，总共12期，每期平均还款1985.64元，总利息是5837.68折合下来年化率超过了百分之36，已经超过国家法定利率，关键在于在我确认贷款之前，在不知情的情况下扣掉了2000元，人工服务那边有语音为证，实际到帐18000，而在最近下载了恒易贷app里面显示我贷了20571.43，我不知道为何我贷款之前的金额为什么会和app的有差距，我已经还了5期，</t>
  </si>
  <si>
    <t>壹心分期砍头息</t>
  </si>
  <si>
    <t>http://ts.21cn.com/tousu/show/id/1362741</t>
  </si>
  <si>
    <t>2019/10/15 11:22:15</t>
  </si>
  <si>
    <t>借款1700，到账1275，砍头475，第二次借款2100，到账1525，砍头575，都是一些没用的权益，易宝支付纵容这个砍头的平台诱导借款人，本人本着有借有还的原则，要求只尝还借款时到账的本金。</t>
  </si>
  <si>
    <t>你我贷高利贷催收威胁恐吓</t>
  </si>
  <si>
    <t>http://ts.21cn.com/tousu/show/id/1362740</t>
  </si>
  <si>
    <t>2019/10/15 11:21:40</t>
  </si>
  <si>
    <t>本人2019年5月12日借款25500，需还34666.2，利率36%，因2019年8月创业失败，暂时无还款能力，8月份和9月份借亲戚朋友的钱还的该平台，但10月份无钱可借了，和平台沟通还款时间，因为亲戚可以在2019年1月帮助我全部还清，但是平台催收电话里各种威胁，威胁我打公司，同事，朋友，街道居委会散播我不还钱，我从未表达过不还钱，一个电话131******54的号码对我各种威胁，我的诉求：1.协商还款期，按国家利率24%，2.停止对我周边人的电话骚扰和信息散播。</t>
  </si>
  <si>
    <t>钱站提前结清高利贷不减免利息</t>
  </si>
  <si>
    <t>http://ts.21cn.com/tousu/show/id/1362738</t>
  </si>
  <si>
    <t>2019/10/15 11:21:34</t>
  </si>
  <si>
    <t>7月18日在钱站APP上借款25000，实际放款金额也是25000，放款后看协议才发现借款金额变成了33000，阴阳合同，而且现在已经还了三期一共8942元，提前结清还要还28911.55，就是说三个月的时间，要连本带息还37853.86，借款三个月要付4284.62的利息，年利息达到了68%，完全是高利贷了！请平台主持公道，降低到合法的利息范围！。</t>
  </si>
  <si>
    <t>首汽约车司机辱骂乘客并强行赶乘客在马路中心下车</t>
  </si>
  <si>
    <t>http://ts.21cn.com/tousu/show/id/1362736</t>
  </si>
  <si>
    <t>2019/10/15 11:20:59</t>
  </si>
  <si>
    <t>2019年10月15日早上8点10分左右，首汽APP上叫了一辆车上班，车牌粤B7M6F3，黑色凯美瑞，司机姓王，黑色凯美瑞靠左边行驶从桥洞穿过去吧，黑色凯美瑞我自己会开、不用你指挥，在一个路口，我：“靠左边行驶从桥洞穿过去吧”；司机很讽刺地回：“我自己会开、不用你指挥”；我：“为什么这么凶啊，”司机回头开始辱骂：“你坐个摆什么谱、你怎么不开飞机上班、SB”等，并在一个转弯处停车，强行要求下车，不下车他就不走，我下车后，他摇下车窗继续辱骂，面目狰狞，我赶紧找了个花坛高处站上去，感觉他随时会开车过来撞我们，我沉</t>
  </si>
  <si>
    <t>轰炸催收</t>
  </si>
  <si>
    <t>http://ts.21cn.com/tousu/show/id/1362735</t>
  </si>
  <si>
    <t>2019/10/15 11:20:51</t>
  </si>
  <si>
    <t>频繁催收对我得生活已经严重影响，家人朋友造成困扰。</t>
  </si>
  <si>
    <t>http://ts.21cn.com/tousu/show/id/1362737</t>
  </si>
  <si>
    <t>2019/10/15 11:20:41</t>
  </si>
  <si>
    <t>我在玖富万卡是申请5000元借款，分36期，每期还288.9，算下来一共要还10396.8元，玖富万卡收高利息，达到61%，违反法律规定，忘相关部门严查。</t>
  </si>
  <si>
    <t>360借条爆通讯录，拒绝协商</t>
  </si>
  <si>
    <t>http://ts.21cn.com/tousu/show/id/1362713</t>
  </si>
  <si>
    <t>2019/10/15 11:20:31</t>
  </si>
  <si>
    <t>投诉人赵先生投诉对象360借条,南京银行涉诉金额2054元问题类型诉求类型投诉详情360借条因自己不足无法进行足额还款，360借条不能自主选择还款必须按照订单顺序还款，导致本来可以不逾期的账单被动逾期，期间也都有进行还款，协商发工资就还款，催收拒绝协商，早上就爆通讯录，诽谤借款人恶意金融骗贷，要求360停止骚扰诽谤协商还款，另南京银行与360合作期间发送所谓律师函件恐吓，要求道歉。</t>
  </si>
  <si>
    <t>客服与我联系</t>
  </si>
  <si>
    <t>http://ts.21cn.com/tousu/show/id/1362733</t>
  </si>
  <si>
    <t>2019/10/15 11:20:30</t>
  </si>
  <si>
    <t>投诉人 司先生        投诉对象  闪电借款,掌众金服        涉诉金额  3 200 元    问题类型    诉求类型投诉详情  闪电借款逾期五天，请催收人员尽快与我联系</t>
  </si>
  <si>
    <t>惠花花贷款APP已强制购买商品方式砍头息</t>
  </si>
  <si>
    <t>http://ts.21cn.com/tousu/show/id/1362732</t>
  </si>
  <si>
    <t>2019/10/15 11:20:29</t>
  </si>
  <si>
    <t>该平台强制购买商品的形式收取头息，变相高利贷，要求退还。</t>
  </si>
  <si>
    <t>造艺科技扣款</t>
  </si>
  <si>
    <t>http://ts.21cn.com/tousu/show/id/1362734</t>
  </si>
  <si>
    <t>2019/10/15 11:20:20</t>
  </si>
  <si>
    <t>投诉人 蒋先生        投诉对象  造艺科技        涉诉金额  100 元    问题类型    诉求类型投诉详情  造艺科技旗下的软件恶意扣费，请尽快退给我。</t>
  </si>
  <si>
    <t>诱导充值，拒不退款，提无理要求</t>
  </si>
  <si>
    <t>http://ts.21cn.com/tousu/show/id/1362707</t>
  </si>
  <si>
    <t>2019/10/15 11:20:14</t>
  </si>
  <si>
    <t>投诉人刘步云投诉对象翰银科技涉诉金额30000元问题类型诉求类型投诉详情本人被网上境外app诱导充值了，收款机构翰银科技，已与翰银客服沟通，本人也提交了交易订单编号，银联工作人员也给我证实了收款机构是翰银科技，现在翰银科技拒不退款，提一系列无理要求，希望平台能跟进处理一下，翰银科技就是正大光明的犯罪团伙，洗黑钱团伙，与境外一些不法企业合伙坑害中国年轻人，同时希望国家有关部门能如实贯彻2019净网行动，不要做违法乱纪的保护伞。</t>
  </si>
  <si>
    <t>自由魔卡六便士高额砍头</t>
  </si>
  <si>
    <t>http://ts.21cn.com/tousu/show/id/1362730</t>
  </si>
  <si>
    <t>2019/10/15 11:19:33</t>
  </si>
  <si>
    <t>自由魔卡六便士高额砍头息,前期买会员需要500块,之前借过很多次了，利息都给了几千块钱了,这次实在是困难,联系客服协商还款,客服直接消失.没人协商,。</t>
  </si>
  <si>
    <t>广发银行提前还款剩余手续费照样收</t>
  </si>
  <si>
    <t>http://ts.21cn.com/tousu/show/id/1362729</t>
  </si>
  <si>
    <t>2019/10/15 11:19:28</t>
  </si>
  <si>
    <t>投诉人曾先生投诉对象广发银行涉诉金额72000元问题类型诉求类型投诉详情广发银行信用卡的财智金业务，在用户提前还款的情况下，剩余手续费照收不误，理由是当时贷款时跟用户确认过，但是纸质合同都没有，只是说电话里面确认过，而且电话录音用户是不可见的，对于广大老百姓来说，一个电话就能说清楚所有条款是否可能。</t>
  </si>
  <si>
    <t>51人品贷高利贷，暴利催收骚扰联系人</t>
  </si>
  <si>
    <t>http://ts.21cn.com/tousu/show/id/1362728</t>
  </si>
  <si>
    <t>2019/10/15 11:19:21</t>
  </si>
  <si>
    <t>本人借款剩余两期未还，本金已经全部还清，但是利息属于高利贷超出国家法定24-36%，本人和公司协商按照正常利息会归还，但是还是有第三方催收骚扰和恐吓！本人每通电话都有录音为证，这些催收已经对我家人及朋友造成骚扰，对我生活已经造成重大损失，请求道歉并赔偿损失，同时已经报案，公安局让提供骚人人联系方式，会进行对51人品贷进行彻查，一下证据不一一截图了，请彻查！本人会配合公安局。</t>
  </si>
  <si>
    <t>杉德支付为违规平台提供支付服务，提供支付通道，包括714</t>
  </si>
  <si>
    <t>http://ts.21cn.com/tousu/show/id/1362727</t>
  </si>
  <si>
    <t>2019/10/15 11:18:43</t>
  </si>
  <si>
    <t>杉德支付为违规平台提供支付服务，包括714这种违规平台。</t>
  </si>
  <si>
    <t>京东快递三个大箱包裹丢失，迟迟没有回复</t>
  </si>
  <si>
    <t>http://ts.21cn.com/tousu/show/id/1362726</t>
  </si>
  <si>
    <t>2019/10/15 11:18:21</t>
  </si>
  <si>
    <t>孩子跟老婆回家寄的行李，通过京东快递，一个行李箱，一个米粉的箱子，两包尿不湿，2019年10月5日上午下单下午取的件，当时下单上面写的是预计2019年10月11日23点59分送达，但是11日并没有送达，到12日上午打客服电话说是寄件有可能丢失，真的是想吐槽京东快递，那么大的三个包裹都能说弄丢，而且是第一次寄这么多东西，出于对京东公司的信任，填写保价的时候并没有特别在意，以为这么大的公司应该不会出什么问题，我从14年到现在一直是京东的钻石会员，对京东非常信服的，通过这次包裹丢失让我对京东有了一个新的认识，或许</t>
  </si>
  <si>
    <t>及贷高利贷，利率90%</t>
  </si>
  <si>
    <t>http://ts.21cn.com/tousu/show/id/1362723</t>
  </si>
  <si>
    <t>2019/10/15 11:18:14</t>
  </si>
  <si>
    <t>投诉人孙先生投诉对象及贷涉诉金额7000元问题类型诉求类型投诉详情1.暴力催收，泄露个人隐私，银保监明确规定不得透露债务人债务信息，2.借款7000,还款10500多，半年的利息三千多你算算，3.发短信拿法律法规压我，法律规定利率24%你们自己听了么，4.协商人员态度蛮横，说自己去算算利率，不解决就不解决，5.阴阳合同，到手7000,合同8000多，7.曾多次联系客服，协商还款事宜，均未得到满意答案且多次骚扰通讯录好友，涉嫌个人信息泄露，8.我可以提供相关债务证明，也希望早日解决与本公司的债务关系，希望你们</t>
  </si>
  <si>
    <t>暴力催收骚扰亲朋好友</t>
  </si>
  <si>
    <t>http://ts.21cn.com/tousu/show/id/1362725</t>
  </si>
  <si>
    <t>2019/10/15 11:18:07</t>
  </si>
  <si>
    <t>投诉人 李女士        投诉对象  贷上钱,带上钱        涉诉金额  3 000 元    问题类型    诉求类型投诉详情  逾期不到一天爆通讯录 暴力催收 骚扰亲朋好友 高利贷 借3000 还4081.77 还额外收900</t>
  </si>
  <si>
    <t>拼多多包庇店家</t>
  </si>
  <si>
    <t>http://ts.21cn.com/tousu/show/id/1362722</t>
  </si>
  <si>
    <t>2019/10/15 11:17:58</t>
  </si>
  <si>
    <t>链接显示一件生活日用品，付款直接扣费，也没有发货也没有，显示，联系不上商家，商品内东西不支持7天，也没有退款入口。</t>
  </si>
  <si>
    <t>立借好易贷爱分期高利贷阴阳合同说好分12期其实3期就完</t>
  </si>
  <si>
    <t>http://ts.21cn.com/tousu/show/id/1362720</t>
  </si>
  <si>
    <t>2019/10/15 11:17:42</t>
  </si>
  <si>
    <t>投诉人陈先生投诉对象爱分期,好易贷,立借涉诉金额8000元问题类型诉求类型投诉详情之前投诉过立借，客服回复说减免360元利息一次还清可是立借这个爱分期的利息前3个月利息就高达3572元，因为工作和身体原因，高额分期款无法一次还完，协商多分几期还款，客服人员不与沟通，嚣张跋扈，不与协商，威胁走流程，现要求要么后续款项多分几期还完，要么只还剩余本金加200销账。</t>
  </si>
  <si>
    <t>中国移动太牛</t>
  </si>
  <si>
    <t>http://ts.21cn.com/tousu/show/id/1362721</t>
  </si>
  <si>
    <t>2019/10/15 11:17:39</t>
  </si>
  <si>
    <t>我在2010办了一张移动卡，用到现在，为了保卡号每月8元钱，打10086客服说48小时给我处理，现在92小时了，没有回复我。</t>
  </si>
  <si>
    <t>武汉万事如寓房屋租凭中介公司房租押金不退还</t>
  </si>
  <si>
    <t>http://ts.21cn.com/tousu/show/id/1362719</t>
  </si>
  <si>
    <t>2019/10/15 11:17:26</t>
  </si>
  <si>
    <t>武汉万事如寓房屋租凭中介公司，在我租住期间，单方面终止合同承诺退款3215元，后续拖欠房租租押金，长达一个半月，几次商议未果，给的答复就是公司没钱。</t>
  </si>
  <si>
    <t>小象优品逾期暴力催收并骚扰通讯录</t>
  </si>
  <si>
    <t>http://ts.21cn.com/tousu/show/id/1362718</t>
  </si>
  <si>
    <t>2019/10/15 11:17:15</t>
  </si>
  <si>
    <t>我在小象优品借款8900分6期，每期1750.35元，现在逾期三期，逾期至今累计每期本金加违约金达2492元，正常的每期还本金1483.35，但是手续费每期高达267元，正常明显高利贷，逾期之后之后开始拨打我的通讯录电话人员，并且态度非常差，还恶意骚扰我通讯录中亲戚，本人要求此借款剩下本金提前一次性结清销账。</t>
  </si>
  <si>
    <t>停止爆力催收</t>
  </si>
  <si>
    <t>http://ts.21cn.com/tousu/show/id/1362717</t>
  </si>
  <si>
    <t>2019/10/15 11:15:45</t>
  </si>
  <si>
    <t>总共借54000元，已经还了13个月共计已还44824元，现在还让我一次性还4万多元。</t>
  </si>
  <si>
    <t>调包鞋子</t>
  </si>
  <si>
    <t>http://ts.21cn.com/tousu/show/id/1362715</t>
  </si>
  <si>
    <t>2019/10/15 11:14:56</t>
  </si>
  <si>
    <t>在平台验货鉴定中，以我的鞋子有瑕疵为理由，退回了我的商品，1.我的鞋在卖出去之前仔细检查过，不可能这么明显的瑕疵而我没有看到，2.鞋舌有明显的脏，污渍，我买的鞋子全新，鞋舌部位和我寄走之前拍照上不一样，3.如果是做工瑕疵，我当时也不会买，因为我本来就是买来卖的，仔仔细细检查好才结账的，最后一张是我寄走前拍的照片，明显和毒退回来的不一样。</t>
  </si>
  <si>
    <t>未在每天花借过款，却收到了还款信息</t>
  </si>
  <si>
    <t>http://ts.21cn.com/tousu/show/id/1362716</t>
  </si>
  <si>
    <t>2019/10/15 11:14:54</t>
  </si>
  <si>
    <t>并未从此平台借过钱，却收到还款短信，此平台还下载不下来，也找不到客服联系方式，希望能给我做出解释，我什么时候借的钱，我也好心里有个数，平台都打不开，我从哪里借的款，麻烦给个合理的解释，希望客服可以与我联系一下。</t>
  </si>
  <si>
    <t>马上消费金融电话轰炸恐吓威胁</t>
  </si>
  <si>
    <t>http://ts.21cn.com/tousu/show/id/1362714</t>
  </si>
  <si>
    <t>2019/10/15 11:14:37</t>
  </si>
  <si>
    <t>投诉人胡先生投诉对象马上消费金融涉诉金额100元问题类型诉求类型投诉详情马上消费金融电话骚扰轰炸，我又不是不还你的钱只是现在没有钱，缓缓也不行吗。</t>
  </si>
  <si>
    <t>拍拍贷催收用私人电话威胁</t>
  </si>
  <si>
    <t>http://ts.21cn.com/tousu/show/id/1362711</t>
  </si>
  <si>
    <t>2019/10/15 11:13:53</t>
  </si>
  <si>
    <t>拍拍贷泄漏用户信息，催收人员用私人电话发送威胁短信，联系客服投诉，客服回复逾期超过七天就会把借款人信息公示给出借方，但是又不承认泄漏了信息，还说没有把借款人信息告知出借方！前后矛盾！每天骚扰电话，没停过，还短信威胁！问他哪儿的居然还不敢承认是你们拍拍贷的！。</t>
  </si>
  <si>
    <t>用钱宝放款问题</t>
  </si>
  <si>
    <t>http://ts.21cn.com/tousu/show/id/1362712</t>
  </si>
  <si>
    <t>2019/10/15 11:13:34</t>
  </si>
  <si>
    <t>因本人家庭急需用钱，之前在用钱宝申请过一次借款，也完成还款手续，之后再借款不可以了，都显示放款失败，麻烦用钱宝可以审核通过，当天放款，谢谢。</t>
  </si>
  <si>
    <t>关于不按合同退费的</t>
  </si>
  <si>
    <t>http://ts.21cn.com/tousu/show/id/1358258</t>
  </si>
  <si>
    <t>2019/10/15 11:13:18</t>
  </si>
  <si>
    <t>投诉人刘燕投诉对象北京祥云未来科技有限公司,北京英利好学教育科技有限公司涉诉金额4500元问题类型诉求类型投诉详情本人于2019年四月底在北京祥云未来科技有限公司报了公三考试培训班&amp;nbsp;但由于个人家里原因选择放弃考试并退款&amp;nbsp;按照合同个人原因没有参加考试会扣除我145元的费用&amp;nbsp;但是培训机构却以各种理由不履行合同内容&amp;nbsp;要扣除我一千费用&amp;nbsp;期间与机构负责退费的老师沟通多次&amp;nbsp;并没有什么用。</t>
  </si>
  <si>
    <t>卡乐付暴力催收</t>
  </si>
  <si>
    <t>http://ts.21cn.com/tousu/show/id/1362710</t>
  </si>
  <si>
    <t>2019/10/15 11:12:53</t>
  </si>
  <si>
    <t>卡乐付贷款非本人操作，有贷款公司联系我至其公司申请贷款，是由其公司人拿我证件手机操作，表示贷款有了还单独收取了手续费，现在查询APP也无法登陆，现收到催收电话短信影响正常生活，暴力催收，恐吓，短信电话轰炸，侵犯他人隐私。</t>
  </si>
  <si>
    <t>高利贷砍头息，恶意爆通讯录</t>
  </si>
  <si>
    <t>http://ts.21cn.com/tousu/show/id/1362708</t>
  </si>
  <si>
    <t>2019/10/15 11:12:52</t>
  </si>
  <si>
    <t>高利贷砍头息，在能联系到本人的情况下曝光通讯录，现在本人要求偿还本金及合法的利息并做销账处理，如果月光侠再次联系本人的通讯录，本人将会保存相关证据交给公安部门处理。</t>
  </si>
  <si>
    <t>http://ts.21cn.com/tousu/show/id/1362709</t>
  </si>
  <si>
    <t>2019/10/15 11:12:51</t>
  </si>
  <si>
    <t>本人于2019年8月24日接到嗨学网老师的联系电话，自称为班主任老师，在电话中他表示办理普通班的老师只是销售，他才是我的班主任老师，想着第一次的入班老师态度很好很负责人，就很信任嗨学机构，在谈话中那个老师问我的学习时间，我说一般是晚上7点到11点，他说这样学不完，所以在老师的介绍下付款升班，之后老师表示之后有什么事情可跟他联系；中间老师表示APP的课程不用学了，之后会有归纳的重点考试前学下就能拿到证，结果付款半个月后，迟迟等不到老师联系，此后联系老师电话停机，微信不回复却发朋友圈，联系APP班主任说不是他们</t>
  </si>
  <si>
    <t>http://ts.21cn.com/tousu/show/id/1362706</t>
  </si>
  <si>
    <t>2019/10/15 11:12:31</t>
  </si>
  <si>
    <t>信用卡总额度只有14878.22银行要让我还21160.49元，打电话给客服协商减免利息及违约金，客服回复稍后会有专业客服与我联系，结果与我联系的是第三方催收公司，态度不好，语言强横，无故挂电话，希望与贵公司客服直接协商，一次性还清。</t>
  </si>
  <si>
    <t>北京捷越公司非法爆我通迅录！给我爱人单位同事乱打电话话</t>
  </si>
  <si>
    <t>http://ts.21cn.com/tousu/show/id/1362705</t>
  </si>
  <si>
    <t>2019/10/15 11:12:29</t>
  </si>
  <si>
    <t>投诉人屈先生投诉对象18729559162涉诉金额40000元问题类型诉求类型投诉详情我借7万到帐6.6已经还了5.4万还要求还4万不还乱打我爱人单位电话同事电话。</t>
  </si>
  <si>
    <t>捷信金融高利贷</t>
  </si>
  <si>
    <t>http://ts.21cn.com/tousu/show/id/1362703</t>
  </si>
  <si>
    <t>2019/10/15 11:12:08</t>
  </si>
  <si>
    <t>我在捷信金融APP平台有一笔借款，我贷了30000元，实际到账17053.85元，剩下的一部分用于结清之前的贷款，实际到手了17053.85元，已经还了15期16360.2元，客服跟我说我还了一万六千多元之中只有四千多块是本金，如果想结清欠款要让我偿付29077.62元，贷了三万元到手17053.85，还款45437.82元，多余出来的15437.82元全是利息和所谓的乱七八糟的服务费用，我要求给我个说法，降低利率，我偿还剩余欠款后销户。</t>
  </si>
  <si>
    <t>恶意扣款购买会员</t>
  </si>
  <si>
    <t>http://ts.21cn.com/tousu/show/id/1362702</t>
  </si>
  <si>
    <t>2019/10/15 11:11:33</t>
  </si>
  <si>
    <t>“淘豆分期”在没有任何提示的情况下，从绑定银行卡扣款299元会员费，并且沟通不推荐。</t>
  </si>
  <si>
    <t>http://ts.21cn.com/tousu/show/id/1362701</t>
  </si>
  <si>
    <t>我一直和客服有好好沟通父母这身体不好都是重病。</t>
  </si>
  <si>
    <t>没有借贷就发催收信息</t>
  </si>
  <si>
    <t>http://ts.21cn.com/tousu/show/id/1362700</t>
  </si>
  <si>
    <t>2019/10/15 11:10:55</t>
  </si>
  <si>
    <t>没有借过快来贷，经常发这样催收信息，必须给我道歉，太过分有这么骗人的吗。</t>
  </si>
  <si>
    <t>英雄花高额套路贷，恐吓威胁其家人</t>
  </si>
  <si>
    <t>http://ts.21cn.com/tousu/show/id/1362699</t>
  </si>
  <si>
    <t>2019/10/15 11:10:41</t>
  </si>
  <si>
    <t>投诉人周女士投诉对象英雄花涉诉金额2000元问题类型诉求类型投诉详情高额套路贷，一次还款利息钱比收到的本金还高，家庭实在背负不起。</t>
  </si>
  <si>
    <t>360点睛不退余额肆意侵吞个人财产</t>
  </si>
  <si>
    <t>http://ts.21cn.com/tousu/show/id/1362698</t>
  </si>
  <si>
    <t>2019/10/15 11:10:23</t>
  </si>
  <si>
    <t>我在360点睛的账号为：康辉闵微芳23，账户余额472元，既不能使用也不能退款，与360点睛沟通拒不退款，捏造霸王条款肆意侵吞消费者财产，360点睛的电话：4000-360-360，邮箱：ss*f@360.cn。</t>
  </si>
  <si>
    <t>记得花714高利贷</t>
  </si>
  <si>
    <t>http://ts.21cn.com/tousu/show/id/1362697</t>
  </si>
  <si>
    <t>2019/10/15 11:10:14</t>
  </si>
  <si>
    <t>收到1300元钱款入帐我银行卡账户，这几天经本人查询到是一个叫记得花的平台下款到我账户里打款人是个人账户！在国家高压打压714非法高利贷的情形下，此平台还顶风作案！实属无视国家法律法规！请聚投诉平台严厉打击714非法平台！不要再让714非法平台在继续危害社会了！谢谢，请求平台帮忙处理！。</t>
  </si>
  <si>
    <t>正常还款遭放款资金方上报征信还款违约</t>
  </si>
  <si>
    <t>http://ts.21cn.com/tousu/show/id/1362695</t>
  </si>
  <si>
    <t>2019/10/15 11:09:58</t>
  </si>
  <si>
    <t>2019年5月份通过信用钱包APP借款，批复额度6000元人民币，放款银行为众邦银行，每月10号还款，至今已经还了5期，每月均按时还款，在宜人贷贷款30万审批时候需要本人拉征信报告，征信报告出来后查出问题，是众邦银行上报贷款有违约，导致综合评分不够，与信用钱包沟通下来查询确实都是按时还款，并无违约，与众邦银行沟通了2次，从2019年9月14日第一次沟通到9月18日第二次沟通，客服一直表示在查，至今10月15日已经快将近一个月仍然没有给回复，家里人生病急用钱，此次征信的误报造成不可逆的影响，现在不需要提供补偿</t>
  </si>
  <si>
    <t>移动公司私自撕毁宽带合约，暂停基站，停用宽带，月月扣钱</t>
  </si>
  <si>
    <t>http://ts.21cn.com/tousu/show/id/1362696</t>
  </si>
  <si>
    <t>2019/10/15 11:09:50</t>
  </si>
  <si>
    <t>本人移动公司办理宽带套餐合约，移动公司单方面撕毁宽带合约说基站停了，造成本人家里宽带无法正常使用长达一年，却依然继续扣费，多次反馈却依然不处理，此种无耻行为实在可恨，前年也是不通知客户私自停用宽带依然扣费。</t>
  </si>
  <si>
    <t>拼多多包庇阴阳店铺</t>
  </si>
  <si>
    <t>http://ts.21cn.com/tousu/show/id/1362692</t>
  </si>
  <si>
    <t>2019/10/15 11:09:38</t>
  </si>
  <si>
    <t>诱导链接，阳阳店铺，拍的时候是一件日用品，没收到货，直接扣款，后来发现是一家阴阳店铺，原来是打着幌子，做违法犯罪勾当，没发货直接扣款。</t>
  </si>
  <si>
    <t>联动云驾驶证预约押金未到账</t>
  </si>
  <si>
    <t>http://ts.21cn.com/tousu/show/id/1362693</t>
  </si>
  <si>
    <t>2019/10/15 11:09:27</t>
  </si>
  <si>
    <t>本人于2019年10月8日处理联动云汽车违章，缴纳联动云行驶证2张押金1000元，并申请退款，行驶证已按期归还，于今日收到微信支付提示退款已到账，但银行卡并未资金到账，问工作人员也没有得到回复。</t>
  </si>
  <si>
    <t>钱站阴阳合同。</t>
  </si>
  <si>
    <t>http://ts.21cn.com/tousu/show/id/1362564</t>
  </si>
  <si>
    <t>2019/10/15 11:09:18</t>
  </si>
  <si>
    <t>投诉人 徐先生        投诉对象  钱站        涉诉金额  1 000 元    问题类型    诉求类型投诉详情  我余10月14号申请借款。平台审批了1330元。我就借了。实际到账1000。分三个月。每个月要还520多。这是什么利息。当时没说有怎么高的利息。</t>
  </si>
  <si>
    <t>拍拍贷暴力催收无视监管</t>
  </si>
  <si>
    <t>http://ts.21cn.com/tousu/show/id/1362690</t>
  </si>
  <si>
    <t>2019/10/15 11:08:57</t>
  </si>
  <si>
    <t>味道文书，暴力催收，无法无天！请立刻停止暴力催收，马上向通讯录好友道歉。</t>
  </si>
  <si>
    <t>拼多多货款提现失败</t>
  </si>
  <si>
    <t>http://ts.21cn.com/tousu/show/id/1362689</t>
  </si>
  <si>
    <t>2019/10/15 11:08:56</t>
  </si>
  <si>
    <t>投诉人 范先生        投诉对象  拼多多        涉诉金额  100 000 元    问题类型    诉求类型投诉详情  正常经营的拼多多店铺 提现货款的时候显示系统繁忙 多次尝试依然不行 拼多多额度暂扣商家货款</t>
  </si>
  <si>
    <t>宜人贷暴力催收，利息高，砍头息，</t>
  </si>
  <si>
    <t>http://ts.21cn.com/tousu/show/id/1362687</t>
  </si>
  <si>
    <t>2019/10/15 11:08:37</t>
  </si>
  <si>
    <t>投诉人余先生投诉对象宜人贷涉诉金额60000元问题类型诉求类型投诉详情一，宜人贷在我借款后，本金为6W，合同上标明68100，属于变相砍头息，极不合理，二，收取高额咨询费及保险费用，加起来8100多，不明算法，要求解释合同，8100费用算进本金并计算利息极不合理三，已经还了27期，由于资金问题他们一直打电话恐吓，还威胁说打电话给公司和亲戚朋友，我认为这是黑社会性质，希望对方给出解释并赔偿。</t>
  </si>
  <si>
    <t>短信问题得不到解决</t>
  </si>
  <si>
    <t>http://ts.21cn.com/tousu/show/id/1362688</t>
  </si>
  <si>
    <t>2019/10/15 11:08:35</t>
  </si>
  <si>
    <t>短信无法正常发送，第一时间打移动客服但是客服迟迟得不到回复，态度及其恶劣，而且短信费正常扣除，未经我方同意私自将短信功能屏蔽。</t>
  </si>
  <si>
    <t>闪银哼哼贷款收取保险费砍头息</t>
  </si>
  <si>
    <t>http://ts.21cn.com/tousu/show/id/1362686</t>
  </si>
  <si>
    <t>2019/10/15 11:08:24</t>
  </si>
  <si>
    <t>闪银里的哼哼贷已强制买保险的方式砍头息，收取远超国家标注的利息，要求退还保险费。</t>
  </si>
  <si>
    <t>拍拍贷高利高贷行为，电话，邮箱骚扰</t>
  </si>
  <si>
    <t>http://ts.21cn.com/tousu/show/id/1362685</t>
  </si>
  <si>
    <t>2019/10/15 11:07:38</t>
  </si>
  <si>
    <t>在拍拍贷借款5000.之前还了5期一还了2000多，因为高利高贷，现在涨到差不多一万，他们不知道从哪里搞到我信息，天天打电话骚扰，发邮件威胁。</t>
  </si>
  <si>
    <t>小赢钱包（摇钱花）支付失败金额产生不退款</t>
  </si>
  <si>
    <t>http://ts.21cn.com/tousu/show/id/1362683</t>
  </si>
  <si>
    <t>2019/10/15 11:07:30</t>
  </si>
  <si>
    <t>10月13日下午使用绑定在微信支付的赢卡支付了96.64元，当时显示支付失败，我就又换了交通银行的卡支付了，可是赢卡上这笔钱确扣走了，多次联系平台客服不解决，一张图是小赢钱包的账单另一张是我微信支付的账单详情，上边显示的是交通银行支付的。</t>
  </si>
  <si>
    <t>微粒贷暴力催收</t>
  </si>
  <si>
    <t>http://ts.21cn.com/tousu/show/id/1362682</t>
  </si>
  <si>
    <t>2019/10/15 11:07:14</t>
  </si>
  <si>
    <t>催收人员人身攻击我！侮辱我！威胁上门，威胁联系亲朋好友，态度极其恶劣！我有录音！。</t>
  </si>
  <si>
    <t>360借条说要搞的我亲戚邻居都知道</t>
  </si>
  <si>
    <t>http://ts.21cn.com/tousu/show/id/1362681</t>
  </si>
  <si>
    <t>2019/10/15 11:06:44</t>
  </si>
  <si>
    <t>今天360借条给我打电话，说我弟弟欠款，告知我如果不还会通知户籍地，还要找亲戚邻居，我问她合同条款哪一条，国家法律哪一款让你们公司有这样的权利，回答不上来，让我自己去看，并且最后通知我，并且强制挂断了我的电话，我从事金融行业很多年，从来没有如此把合规至于底下摩擦的公司，我询问公司地址，催收员闭口不谈，在整过国家打黑除恶，严打暴力催收的基础上，360，借条还毫不收敛，第一今天请360平台今天给我回电，解释，第二但凡我父母或者我弟弟通讯录任何一个人接到催收电话，我将向互联网金融协会投诉，并且联合其他被暴力催收家</t>
  </si>
  <si>
    <t>新浪分期利息高，客服态度差</t>
  </si>
  <si>
    <t>http://ts.21cn.com/tousu/show/id/1362679</t>
  </si>
  <si>
    <t>2019/10/15 11:06:21</t>
  </si>
  <si>
    <t>我2019-06-09在新浪分期，借了两笔一笔25000一笔8000，分12期，每个月需要还个3699.7元，当时没注意看合同，手续费太高，也不符合国家法定年利率，我打给客服想要提前结清，客服电话打了很多天才接通，接通时就说不支持提前结清就挂了，我已经投诉了那么久，平台一点反应没有，也没有人和我联系。</t>
  </si>
  <si>
    <t>威胁恐吓高利贷</t>
  </si>
  <si>
    <t>http://ts.21cn.com/tousu/show/id/1362678</t>
  </si>
  <si>
    <t>2019/10/15 11:06:20</t>
  </si>
  <si>
    <t>投诉人 刘女士        投诉对象  MY钱包        涉诉金额  4 000 元    问题类型    诉求类型投诉详情  恐吓 威胁 暴力催收 扰乱我的生活 协商态度差！</t>
  </si>
  <si>
    <t>洋钱罐借五千半年要还六千</t>
  </si>
  <si>
    <t>http://ts.21cn.com/tousu/show/id/1362676</t>
  </si>
  <si>
    <t>2019/10/15 11:06:04</t>
  </si>
  <si>
    <t>借了五千块钱已经还了一千三了还要还四千七百五。</t>
  </si>
  <si>
    <t>万达贷暴力催收辱骂</t>
  </si>
  <si>
    <t>http://ts.21cn.com/tousu/show/id/1362674</t>
  </si>
  <si>
    <t>2019/10/15 11:05:54</t>
  </si>
  <si>
    <t>催收打电话，先是威胁，态度非常差，处处伤人，说话极其难听，一个女的说话难听到这个地步，然后我并没有说什么只是说我现在情绪很不好，然后开始骂我，换着电话威胁我，我一会可以上传录音，这么没素质故意激怒人。</t>
  </si>
  <si>
    <t>暴力催收，合同金额与到款金额不符合</t>
  </si>
  <si>
    <t>http://ts.21cn.com/tousu/show/id/1362675</t>
  </si>
  <si>
    <t>2019/10/15 11:05:46</t>
  </si>
  <si>
    <t>借款金额到手40000,催收人员说合同上金额是55000,当初和信总部催收人员让把本金40000还完结清！现在又继续换部门催收！。</t>
  </si>
  <si>
    <t>http://ts.21cn.com/tousu/show/id/1362673</t>
  </si>
  <si>
    <t>2019/10/15 11:05:37</t>
  </si>
  <si>
    <t>投诉人 任女士        投诉对象  光大银行        涉诉金额  0 元    问题类型    诉求类型投诉详情  每天打骚扰电话，别人欠你们的钱，跟我要钱</t>
  </si>
  <si>
    <t>万达贷不当催收，威胁联系第三方</t>
  </si>
  <si>
    <t>http://ts.21cn.com/tousu/show/id/1362672</t>
  </si>
  <si>
    <t>2019/10/15 11:05:10</t>
  </si>
  <si>
    <t>因现资金困难，造成逾期，欠债还钱，但万达贷威胁不还款就骚扰恐吓家人朋友，这样会影响正常生活，暴力催收，恐吓，短信电话轰炸，侵犯他人隐私。</t>
  </si>
  <si>
    <t>苏宁金融短信骚扰亲友</t>
  </si>
  <si>
    <t>http://ts.21cn.com/tousu/show/id/1362670</t>
  </si>
  <si>
    <t>2019/10/15 11:04:40</t>
  </si>
  <si>
    <t>国家现在这么严格，竟然还有顶风作案的恶意催收，现在因为个人原因，资金困难，但是我也在上月还了一笔款，家人身心已经深受打击，妻子已经因为这些恶意催收和我离婚，生活中人人都有坎，但是这些恶意催收实在可恶！请求有关部门严肃处理。</t>
  </si>
  <si>
    <t>按时还款无任何逾期，短信通知家人</t>
  </si>
  <si>
    <t>http://ts.21cn.com/tousu/show/id/1362669</t>
  </si>
  <si>
    <t>2019/10/15 11:04:35</t>
  </si>
  <si>
    <t>按时还款无任何逾期，短信通知家人，恶意中伤。</t>
  </si>
  <si>
    <t>购买的螃蟹重量小了一半还有一只死蟹</t>
  </si>
  <si>
    <t>http://ts.21cn.com/tousu/show/id/1361710</t>
  </si>
  <si>
    <t>10月13日发货，14日收到货物后发现实物与购物卡上标明的重量严重不符，原有2.8斤的螃蟹，称量后不足1.5斤，另有一只死蟹，拍有视频和照片为证。</t>
  </si>
  <si>
    <t>立借高利贷，暴力催收</t>
  </si>
  <si>
    <t>http://ts.21cn.com/tousu/show/id/1362671</t>
  </si>
  <si>
    <t>2019/10/15 11:04:26</t>
  </si>
  <si>
    <t>立借高利贷，暴力催收，恶意恐吓如果你们继续骚扰我的家庭，我会直接报案让警方来处理。</t>
  </si>
  <si>
    <t>平安信用卡要求恢复原来额度</t>
  </si>
  <si>
    <t>http://ts.21cn.com/tousu/show/id/1358351</t>
  </si>
  <si>
    <t>2019/10/15 11:04:05</t>
  </si>
  <si>
    <t>本人持有平安车主卡多年，原来额度29000元，前一期还完款直接变成18000，这期还完又直接变成14000，本人还款记录一直良好，从未逾期，车险也是一直在平安，也很信任平安银行，这样做是不负责任的，严重伤害客户对平安的信任，要求平安恢复。</t>
  </si>
  <si>
    <t>美团金融轰炸我公司电话</t>
  </si>
  <si>
    <t>http://ts.21cn.com/tousu/show/id/1362668</t>
  </si>
  <si>
    <t>2019/10/15 11:04:00</t>
  </si>
  <si>
    <t>欠债还钱是正常的，每个人都会遇到困难，美团金融不问缘由直接发信息去到我公司的同事手机，利用自己的大数据为所欲为，今天打来我公司知道我去了新公司上班，轰炸我公司电话，我手机一直没有关机，之前也有其他工作人员联系我了，情况我也说明了，美图金融是要我失业，就可以乱发信息，不作为我的紧急联系人你们有什么资格乱发我的私人事情给人。</t>
  </si>
  <si>
    <t>买了个包包付款了商家说没货也不退钱</t>
  </si>
  <si>
    <t>http://ts.21cn.com/tousu/show/id/1362666</t>
  </si>
  <si>
    <t>2019/10/15 11:03:22</t>
  </si>
  <si>
    <t>投诉人 张雨        投诉对象  天津鼎膳餐饮服务有限公司        涉诉金额  530 元    问题类型    诉求类型投诉详情  付款了商家没货，也不退钱，要求全额退款。。</t>
  </si>
  <si>
    <t>友缘在线恶意扣款</t>
  </si>
  <si>
    <t>http://ts.21cn.com/tousu/show/id/1362667</t>
  </si>
  <si>
    <t>2019/10/15 11:03:10</t>
  </si>
  <si>
    <t>通过爱奇艺主界面下载了附近约爱APP然后友缘在线用0元体验3天的会员的方式，在我支付0元的同时，未经过我同意开启支付宝免密支付的协议，两次扣除共99+69元。</t>
  </si>
  <si>
    <t>钱站注销账户困难</t>
  </si>
  <si>
    <t>http://ts.21cn.com/tousu/show/id/1362664</t>
  </si>
  <si>
    <t>2019/10/15 11:02:49</t>
  </si>
  <si>
    <t>钱站注销账号需要提供身份证照片，手持身份证照片，我害怕信息泄露不提供，注销不了账号。</t>
  </si>
  <si>
    <t>拼多多包庇店家洗黑钱</t>
  </si>
  <si>
    <t>http://ts.21cn.com/tousu/show/id/1362662</t>
  </si>
  <si>
    <t>2019/10/15 11:02:41</t>
  </si>
  <si>
    <t>拼多多包庇商户阴阳店铺暗自准许店铺洗黑钱，让赌博平台肆意妄为。</t>
  </si>
  <si>
    <t>快来贷我没借你们公司的钱，为什么发信息给我。</t>
  </si>
  <si>
    <t>http://ts.21cn.com/tousu/show/id/1362663</t>
  </si>
  <si>
    <t>2019/10/15 11:02:34</t>
  </si>
  <si>
    <t>涉诉金额2955元问题类型诉求类型投诉详情请问我什么时候借你们公司的钱啦。</t>
  </si>
  <si>
    <t>购买了会员卡没发货没收到东西</t>
  </si>
  <si>
    <t>http://ts.21cn.com/tousu/show/id/1362661</t>
  </si>
  <si>
    <t>2019/10/15 11:02:18</t>
  </si>
  <si>
    <t>我都说现在好困难了，没有钱还要过段时间时间还，隔二、三天就打电话来催，真的无法正常生活和工作了，还威胁我说15号不还，16号早上就开始打我村委会那些人和我通信录里面的人电话，还说要在我QQ里面群发短信让人知道，这样已经侵犯我的隐私了，是我欠钱，又不是我家人跟朋友欠钱，干嘛要打扰我身边的人呢，希望公安机关有关部门调查一下，整改一下这样的作风。</t>
  </si>
  <si>
    <t>马春良、马上金融</t>
  </si>
  <si>
    <t>http://ts.21cn.com/tousu/show/id/1362660</t>
  </si>
  <si>
    <t>2019/10/15 11:02:16</t>
  </si>
  <si>
    <t>保单费、担保费……以至灵活还款包费用............。</t>
  </si>
  <si>
    <t>我来贷变相收取高额催收费</t>
  </si>
  <si>
    <t>http://ts.21cn.com/tousu/show/id/1362659</t>
  </si>
  <si>
    <t>2019/10/15 11:02:10</t>
  </si>
  <si>
    <t>逾期利息太高，木有提示，就恶意太高逾期利息。</t>
  </si>
  <si>
    <t>秒购APP砍头息高利贷</t>
  </si>
  <si>
    <t>http://ts.21cn.com/tousu/show/id/1362658</t>
  </si>
  <si>
    <t>2019/10/15 11:02:08</t>
  </si>
  <si>
    <t>秒购APP已买保险扣头息的形式收取高额贷款费用，远远超过国家规定标准，已经是变相高利贷，要求退还返款扣除的费用。</t>
  </si>
  <si>
    <t>凡普信恶意催收威胁</t>
  </si>
  <si>
    <t>http://ts.21cn.com/tousu/show/id/1362656</t>
  </si>
  <si>
    <t>2019/10/15 11:01:41</t>
  </si>
  <si>
    <t>我在凡普信申请的贷款本月还款日为15号，金额是3809元，由于个人资金问题导致今天还款困难，要求17日还款，今天可以部分处理，而且逾期费用可以承担，但凡普信催收员根本不予以协商，一直以爆通讯录来威胁，要求必须今日全额还款！。</t>
  </si>
  <si>
    <t>及贷骚扰联系人</t>
  </si>
  <si>
    <t>http://ts.21cn.com/tousu/show/id/1362655</t>
  </si>
  <si>
    <t>2019/10/15 11:01:32</t>
  </si>
  <si>
    <t>投诉人张女士投诉对象及贷涉诉金额0元问题类型诉求类型投诉详情大早上的也不管别人是不是本人就连续发送四条短信前来骚扰打过去还欺骗我说是系统发送明明是一个手机号码发送的还有多个朋友也收到骚扰短信想要和对方理论对方挂电话198******45。</t>
  </si>
  <si>
    <t>捷信欺诈消费</t>
  </si>
  <si>
    <t>http://ts.21cn.com/tousu/show/id/1362654</t>
  </si>
  <si>
    <t>2019/10/15 11:01:27</t>
  </si>
  <si>
    <t>捷信多公司催收，在未通知债务人的情况下将合同转让给其他公司，贷款15000.还款11000.还要再还24000.完全超出了国家标准.请给出合理解释.。</t>
  </si>
  <si>
    <t>高额利息且到期无客服可联系到</t>
  </si>
  <si>
    <t>http://ts.21cn.com/tousu/show/id/1362653</t>
  </si>
  <si>
    <t>2019/10/15 11:01:21</t>
  </si>
  <si>
    <t>本人于今日到期需要线上还款，可是软件无法操作，客服联系不到，导致我无法操作～且利息高的离谱～超过国家标准！要求赶紧联系我处理！如果逾期产生的一切费用，不由我本人承担。</t>
  </si>
  <si>
    <t>平安普惠协商还款变相砍头息</t>
  </si>
  <si>
    <t>http://ts.21cn.com/tousu/show/id/1362652</t>
  </si>
  <si>
    <t>2019/10/15 11:01:14</t>
  </si>
  <si>
    <t>本人于17年2月20日在平安普惠app进行借款多次，共计借款金额82300，现在已经还款108133，利息共支付了25833，本人现深陷套路贷无力偿还更多金额，已经还进去这么多但是平安普惠i贷的app却还是显示本金还进去的金额，每次利息自动扣除，同时每期还款除了利息之外还有保险费，管理费服务费，美其名曰保险费其实就是变相的砍头息，如果按利息算早已经超过了年百分之36，同时在还没有经过我同意的情况下平安普惠骚扰我的通讯录好友，希望能重视这个问题给予合理的解释，并且协商还款，希望聚投诉向相关部门反映问题。</t>
  </si>
  <si>
    <t>http://ts.21cn.com/tousu/show/id/1362650</t>
  </si>
  <si>
    <t>2019/10/15 11:01:05</t>
  </si>
  <si>
    <t>说过目前资金周转不开、有钱时第一时间还上、可不给说话的机会、就是威胁说出现任何后果让我自己承担。</t>
  </si>
  <si>
    <t>敏付违规操作</t>
  </si>
  <si>
    <t>http://ts.21cn.com/tousu/show/id/1362651</t>
  </si>
  <si>
    <t>2019/10/15 11:00:57</t>
  </si>
  <si>
    <t>轻信网上的朋友，被待入黑彩平台，血本无归，现了解到慧金宝违规提供接口，请求退还一部分血汗钱，本人现在妻离子散！无家可归！。</t>
  </si>
  <si>
    <t>威胁催收恐吓</t>
  </si>
  <si>
    <t>http://ts.21cn.com/tousu/show/id/1362649</t>
  </si>
  <si>
    <t>2019/10/15 11:00:45</t>
  </si>
  <si>
    <t>投诉人 黎先生        投诉对象  飞贷        涉诉金额  17 000 元    问题类型    诉求类型投诉详情  威胁催收 恐吓 电话骚扰朋友和公司 影响工作开展</t>
  </si>
  <si>
    <t>7天高利贷</t>
  </si>
  <si>
    <t>http://ts.21cn.com/tousu/show/id/1362628</t>
  </si>
  <si>
    <t>2019/10/15 11:00:42</t>
  </si>
  <si>
    <t>投诉人陈先生投诉对象双辽市春天支农小额贷款有限公司,汇潮支付涉诉金额3000元问题类型诉求类型投诉详情本人使用大菠萝app借款3000元，实际到账1950元，借款期限7天，目前延期费用已超过到账本金，经查该笔借款由双辽市春天支农小额贷款有限公司通过汇潮支付平台打款，要求立即销账，停止骚扰。</t>
  </si>
  <si>
    <t>http://ts.21cn.com/tousu/show/id/1362647</t>
  </si>
  <si>
    <t>2019/10/15 11:00:39</t>
  </si>
  <si>
    <t>本人在立借钱置宝借款2100元，实际总的要还3000多，实际到账1400多，分一个月还，一个星期还700多，我能力有限，已经还2300多，有客服打电话来催收，我也实际告诉她，我能力有限，只能还款这么多了，客服说好的，就挂电话，今天又来催收说要还1000多，说不还就采取相关政策。</t>
  </si>
  <si>
    <t>拿钱花呗在本人不知情的情况下扣款</t>
  </si>
  <si>
    <t>http://ts.21cn.com/tousu/show/id/1362629</t>
  </si>
  <si>
    <t>2019/10/15 10:59:51</t>
  </si>
  <si>
    <t>投诉人杨先生投诉对象拿钱花呗,现代金控-广州欧福科技有限公司,广州欧福科技有限公司涉诉金额199元问题类型诉求类型投诉详情本人由于资金需求在“拿钱花呗”上按要求注册和填写完相关信息，在本人并不知情的情况下，该公司无故扣我199元开通会员。</t>
  </si>
  <si>
    <t>多次与兴业银行进行协商，根本无法与催收人员沟通</t>
  </si>
  <si>
    <t>http://ts.21cn.com/tousu/show/id/1362645</t>
  </si>
  <si>
    <t>2019/10/15 10:59:26</t>
  </si>
  <si>
    <t>本人于2019年5月份开始家里人相继住院做手术，家里出了各种状况，还问了亲戚朋友借钱进行医疗，本人中途也有进行还款，表达我有强烈的还款意向，只是现在真的十分困难，恳请贵行能给我停息，每月还800至1300元，本人现在开滴滴每月收入也就是2500元，希望贵行能给我一条活路，给我家老小一条活路，不要老是我接了电话，还要去骚扰我的家人！还说一些不负责任的话，我也会想办法找一些兼职增加自身收入，尽快处理好。</t>
  </si>
  <si>
    <t>新浪分期逾期威胁还款，利息高出规定</t>
  </si>
  <si>
    <t>http://ts.21cn.com/tousu/show/id/1362643</t>
  </si>
  <si>
    <t>2019/10/15 10:58:43</t>
  </si>
  <si>
    <t>前两个月在新浪分期上贷款8000元，因为没有专业的了解，利息什么都不懂，但最近家人帮我算了利息，高出国家规定的范围，前段时间想和他们协商还款不肯，最近没钱，还不上，逾期三天了，他们打电话来语气很不好，还威胁准备暴力催收了，想利用这个平台和他们协商还款利息到国家正常范围。</t>
  </si>
  <si>
    <t>京东永久专卖店自行车实物与宣传图片不符</t>
  </si>
  <si>
    <t>http://ts.21cn.com/tousu/show/id/1362642</t>
  </si>
  <si>
    <t>2019/10/15 10:58:39</t>
  </si>
  <si>
    <t>2019年9月20日在京东永久专卖店购买的一台自行车，收货后发现变速器与宣传的图片不符，和客服进行沟通，客服含糊的回答不予处理，。</t>
  </si>
  <si>
    <t>钱站阴阳合同，高利贷，不诚信</t>
  </si>
  <si>
    <t>http://ts.21cn.com/tousu/show/id/1362641</t>
  </si>
  <si>
    <t>2019/10/15 10:58:14</t>
  </si>
  <si>
    <t>合同显示金额2660元，分期3个月还款，每期1047元，共计需还款3168元，10月13日第一期到期，故意未还，14日13时联系钱站客服提出提前一次性结清，对方客服原反馈需要按照APP上显示金额还款，我未同意，借2000还3168，另故意逾期1天，再加100元违约金，，要求协商降低金额，客服回复下午会有人员与我联系协商事宜，至14日16时未接到任何人员电话来协商，又致电客服催促，客服做好记录后告知继续等待，14日系统自动扣除银行卡中部分余额用作第一期还款。</t>
  </si>
  <si>
    <t>暴力威胁催收，已协商还款日期还在继续</t>
  </si>
  <si>
    <t>http://ts.21cn.com/tousu/show/id/1362639</t>
  </si>
  <si>
    <t>2019/10/15 10:57:58</t>
  </si>
  <si>
    <t>投诉人方先生投诉对象我来数科涉诉金额1306元问题类型诉求类型投诉详情本人因资金周转困难，已多次联系我来贷现为我来数科，承诺本月20号还款，已经协商同意的，现在又来催收，不停的骚扰威胁本人今天处理，询问此催收人员身份信息不告知，本人已保留电话录音，强烈要求我来数科今天给本人做出解释，如果给本人和家人单位造成名誉受损，我讲选择报警处理。</t>
  </si>
  <si>
    <t>高利贷骚扰</t>
  </si>
  <si>
    <t>http://ts.21cn.com/tousu/show/id/1362640</t>
  </si>
  <si>
    <t>2019/10/15 10:57:50</t>
  </si>
  <si>
    <t>高息催收，还往户籍所在地发催收邮件，严重影响生活，借了2笔，一笔7000，要求还8600，一笔12000，要求还16500，现在本金已还，要求立即销账。</t>
  </si>
  <si>
    <t>拼多多阳阳店铺</t>
  </si>
  <si>
    <t>http://ts.21cn.com/tousu/show/id/1362638</t>
  </si>
  <si>
    <t>2019/10/15 10:57:33</t>
  </si>
  <si>
    <t>包庇商家店铺阴阳店铺，点进去是生活日用品，实际不发货，为赌博平台洗黑钱，涉案金额巨大。</t>
  </si>
  <si>
    <t>QQ游戏龙魂沙城关服欺诈</t>
  </si>
  <si>
    <t>http://ts.21cn.com/tousu/show/id/1362644</t>
  </si>
  <si>
    <t>2019/10/15 10:57:15</t>
  </si>
  <si>
    <t>投诉人杨赛坤投诉对象重庆迅游科技有限公司涉诉金额88000元问题类型诉求类型投诉详情QQ游戏里面的龙魂沙城即将关服，我在这个里面充值了RMB87650元。</t>
  </si>
  <si>
    <t>http://ts.21cn.com/tousu/show/id/1362619</t>
  </si>
  <si>
    <t>2019/10/15 10:56:40</t>
  </si>
  <si>
    <t>投诉人范先生投诉对象钱站,爱钱进涉诉金额5000元问题类型诉求类型投诉详情本人于2019年9月9日在该公司第一笔借款3000元，没下款之前我就致电该公司希望取消借款，可是该公司说需要等钱下来了才能取消，而且3000块就要收取一百多的违约金，否则就不划账，可见该公司之霸道，可是该公司工作人员直接就说几点之前不把钱还进去就怎么怎么样样，又于2019年9月12日在钱站第二次借款5000千元，分6期，每期需要还款一千五百多，可见其利息之高，现目前本人经济上出现困难，与他们客服沟通，希望本月月底还款，且一次性结清，但</t>
  </si>
  <si>
    <t>714高炮平台，恶意催收</t>
  </si>
  <si>
    <t>http://ts.21cn.com/tousu/show/id/1362636</t>
  </si>
  <si>
    <t>2019/10/15 10:56:30</t>
  </si>
  <si>
    <t>恶意催收，打扰我的正常生活，714高炮，高利贷，希望他们做出道歉，不许再打扰，让他们协商还他们本金销账了事，不然就报警处理，汇潮支付给714高炮平台放款！。</t>
  </si>
  <si>
    <t>http://ts.21cn.com/tousu/show/id/1362635</t>
  </si>
  <si>
    <t>2019/10/15 10:56:21</t>
  </si>
  <si>
    <t>投诉人 李红朋先生        投诉对象  钱站        涉诉金额  300 元    问题类型    诉求类型投诉详情  借300还540</t>
  </si>
  <si>
    <t>投诉简学教育退款时间过长，不合理。</t>
  </si>
  <si>
    <t>http://ts.21cn.com/tousu/show/id/1362634</t>
  </si>
  <si>
    <t>2019/10/15 10:56:09</t>
  </si>
  <si>
    <t>我于2019年四月在北京简学教育长春分校报名消防工程师及高升专双证班，全款12800元，前期教育机构承诺只在长春报名考试，到报名时间通知我长春不能报名，只能去外地报名考试，补充协议写明未在长春报名成功予以退款，我现在申请退款很麻烦，交钱的时候我是一次付清，用信用卡分期支付，现在退款很麻烦，退款申请要15个工作日办理，款项还要分三次才能都返给我，第一次55个工作日返百分之四十，第二次还要55个工作日返百分之四十，第三次还要55个工作日返完，退款是不是太不合理了，是他们未履行协议在先，我退款还要这么长时间，是不</t>
  </si>
  <si>
    <t>马上金融公司利用黑恶势力威胁用户</t>
  </si>
  <si>
    <t>http://ts.21cn.com/tousu/show/id/1360397</t>
  </si>
  <si>
    <t>2019/10/15 10:55:52</t>
  </si>
  <si>
    <t>投诉人李先生投诉对象马上消费金融涉诉金额10000元问题类型诉求类型投诉详情利用恐吓用户收取费用，并且泄露用户个人信息。</t>
  </si>
  <si>
    <t>信用钱包天天换不同的人过来骚扰</t>
  </si>
  <si>
    <t>http://ts.21cn.com/tousu/show/id/1362633</t>
  </si>
  <si>
    <t>2019/10/15 10:55:37</t>
  </si>
  <si>
    <t>信用钱包天天换不同的人过来骚扰，严重影响了本人工作。</t>
  </si>
  <si>
    <t>迪士尼少儿英语霸王条款，收取学费不予退还</t>
  </si>
  <si>
    <t>http://ts.21cn.com/tousu/show/id/1362632</t>
  </si>
  <si>
    <t>2019/10/15 10:55:36</t>
  </si>
  <si>
    <t>孩子在迪士尼少儿英语北京磁器口校区报名课程，后来孩子上了一次课后因病没有继续上课，该机构在没有任何问询的情况下擅自将课程继续，经多次沟通后仍不肯退费。</t>
  </si>
  <si>
    <t>电话频繁</t>
  </si>
  <si>
    <t>http://ts.21cn.com/tousu/show/id/1362631</t>
  </si>
  <si>
    <t>2019/10/15 10:55:10</t>
  </si>
  <si>
    <t>几分钟七八个电话，说话很难听，还找第三方电话频繁联系。</t>
  </si>
  <si>
    <t>http://ts.21cn.com/tousu/show/id/1362630</t>
  </si>
  <si>
    <t>2019/10/15 10:54:49</t>
  </si>
  <si>
    <t>去年浦发银行委托第三方对我进行暴力催收，对我家老人在电话里威胁，多次打骚扰电话，也不给说法，就在昨天在没有通知我的情况下，没有收到任何起诉书和电话的情况下，通过法院查封了我的微信账户的余额。</t>
  </si>
  <si>
    <t>厂家昧良心生产，京东昧良心卖货。明知都有问题，一个继续生产，一个继续卖。</t>
  </si>
  <si>
    <t>http://ts.21cn.com/tousu/show/id/1362627</t>
  </si>
  <si>
    <t>2019/10/15 10:54:19</t>
  </si>
  <si>
    <t>9月22日CCTV13套节目的《每周质检报告》对现有电商平台所卖的网线做了质检专题节目，并对京东进行了点名批评，节目里明确表示5月19日对京东及厂商下达了整改通知，京东居然还不下架，京东要求厂家对我进行了电话售后沟通，厂家客服人员表示只肯退款，普通家庭很难发觉问题网线；但我是用在弱电工程，这种不合规的网线不符合需求，完全不能使用，这种隐蔽工程所用的线材，一直不敢马虎，并且一直只在京东购买，谁知京东也堕落了，多次与京东沟通，京东客服给我的明确答复是，只做退款处理，哪有这种好事，这样卖假货完全没风险，没有处罚，</t>
  </si>
  <si>
    <t>数来宝故意逾期，高利贷</t>
  </si>
  <si>
    <t>http://ts.21cn.com/tousu/show/id/1362603</t>
  </si>
  <si>
    <t>2019/10/15 10:54:18</t>
  </si>
  <si>
    <t>投诉人秦先生投诉对象数来宝涉诉金额1600元问题类型诉求类型投诉详情本人准备提前几天还款，但是数来宝的客服无法联系，没有还款信息链接无法登录app无法登录，客服没有任何通知我还款，导致本人逾期，我将举报到互金到公安报警备案。</t>
  </si>
  <si>
    <t>二郎神砍头息，高利贷，暴力催收</t>
  </si>
  <si>
    <t>http://ts.21cn.com/tousu/show/id/1362626</t>
  </si>
  <si>
    <t>2019/10/15 10:54:14</t>
  </si>
  <si>
    <t>由贷上钱平台提供二郎神申请借款3000到账2100，砍头息900，分4期每期7天还款770元，现已经还款两期，要求协商还款第三期做销账处理，申请协商了三四次号称，不协商一分不少，称聚投诉也会毫无作用，希望聚投诉能起到作用，不让这些违法公司这么猖獗。</t>
  </si>
  <si>
    <t>催收，多次打电话到公司，骚扰亲朋好友</t>
  </si>
  <si>
    <t>http://ts.21cn.com/tousu/show/id/1362625</t>
  </si>
  <si>
    <t>2019/10/15 10:54:03</t>
  </si>
  <si>
    <t>多次打电话到公司，打电话给亲朋好友，进行骚扰。</t>
  </si>
  <si>
    <t>http://ts.21cn.com/tousu/show/id/1362624</t>
  </si>
  <si>
    <t>2019/10/15 10:53:34</t>
  </si>
  <si>
    <t>招联金融暴力催收，轰炸公司电话，已对本人工作，所在公司正常工作造成了不能正常的运行的状况，对本人的生活名誉造成了不可挽回的损失。</t>
  </si>
  <si>
    <t>欺诈消费者开会员要求退款</t>
  </si>
  <si>
    <t>http://ts.21cn.com/tousu/show/id/1362622</t>
  </si>
  <si>
    <t>2019/10/15 10:53:15</t>
  </si>
  <si>
    <t>开会员前和我说好了只有15天收10元的云计算和会员费，结果开了之后是每个活动都要10元，而且还有什么货比三家这些都需要额外付费，没看会员之前答应好了说领取的人少可以退款我一天40单都没有领完找他们退款没人处理，完全就是骗人的，要求退我2680的会员费会员账户里面充值剩余的1665一共4345。</t>
  </si>
  <si>
    <t>http://ts.21cn.com/tousu/show/id/1362621</t>
  </si>
  <si>
    <t>2019/10/15 10:52:42</t>
  </si>
  <si>
    <t>前后借了大概20次，金额5万左右，利息高达2万。</t>
  </si>
  <si>
    <t>信用管家推介平台现控达人高利贷，暴力催收，套路贷</t>
  </si>
  <si>
    <t>http://ts.21cn.com/tousu/show/id/1362611</t>
  </si>
  <si>
    <t>2019/10/15 10:52:39</t>
  </si>
  <si>
    <t>投诉人莫先生投诉对象信用管家涉诉金额2800元问题类型诉求类型投诉详情在现控达人微豆荚APP借款2800，周期一个月还4000多，畅捷支付为高利贷提供支付渠道，还了第一期，然后app不能正常使用，卸载后不能找回app，逾期一个月，一直无人联系还款事宜，今天突然有客服联系还款7000元，加上之前已还部分共计8000元这是赤裸裸的套路贷，畅捷支付为套路贷提供支付通道现控达人高利贷暴力催收催收电话020-66323937，现在投诉信用管家推介高利贷平台，畅捷支付为套路贷提供支付通道，现控达人高利贷暴力催收催收电话</t>
  </si>
  <si>
    <t>http://ts.21cn.com/tousu/show/id/1362620</t>
  </si>
  <si>
    <t>2019/10/15 10:51:46</t>
  </si>
  <si>
    <t>投诉人 李红朋先生        投诉对象  钱站        涉诉金额  300 元    问题类型    诉求类型投诉详情  高利息</t>
  </si>
  <si>
    <t>兴业银行信用卡暴力催收威胁</t>
  </si>
  <si>
    <t>http://ts.21cn.com/tousu/show/id/1362617</t>
  </si>
  <si>
    <t>2019/10/15 10:51:31</t>
  </si>
  <si>
    <t>兴业银行雇用外包公司暴力催款，总共欠37000对方说今天1点前还款只有还38000多，如果今天1点没还进去就要还43000多还威胁上门骚扰，还说他们是司法局的‭。</t>
  </si>
  <si>
    <t>http://ts.21cn.com/tousu/show/id/1362618</t>
  </si>
  <si>
    <t>2019/10/15 10:51:27</t>
  </si>
  <si>
    <t>因工资未发，逾期一天未还款，早上打几个电话催款，我说等发工资就还。</t>
  </si>
  <si>
    <t>http://ts.21cn.com/tousu/show/id/1362616</t>
  </si>
  <si>
    <t>2019/10/15 10:51:13</t>
  </si>
  <si>
    <t>在微信公众号与客服协商延期还款，客服同意，今天早上连续几个催收电话，恶意威胁，催收态度非常恶劣！要求做出道歉，已经对我的工作生活带来了严重影响。</t>
  </si>
  <si>
    <t>微信支付给非法平台提供网络付款业务</t>
  </si>
  <si>
    <t>http://ts.21cn.com/tousu/show/id/1362614</t>
  </si>
  <si>
    <t>2019/10/15 10:51:10</t>
  </si>
  <si>
    <t>本人喜欢体育彩票足彩，误听可以网络买彩，导致陷入非法网络彩票平台，导致债台高筑，家庭陷入混乱，微信支付非法给网络赌球公司提供付款，付款时还没有分险提示，导致我深陷其中。</t>
  </si>
  <si>
    <t>投诉光大银行信用卡收取高额年费</t>
  </si>
  <si>
    <t>http://ts.21cn.com/tousu/show/id/1362615</t>
  </si>
  <si>
    <t>2019/10/15 10:50:50</t>
  </si>
  <si>
    <t>1、2018年光大银行信用卡中心通过电话的方式多次诱导本人升级办理白金信用卡，说可以享受更高的额度和更多的权益，本人在办公时间，也没有仔细听，稀里糊涂的就同意办理了，2、这次看到账单信息，这张卡年费1188，瞬间惊呆！我怀疑在2018年度也扣过年费，本人没去查证，这张所谓的白金卡，到现在额度也才3万多，本人在用卡期间也没有享受过特殊的权益，试问这个高额年费的合理性在哪里，3、本人认为光大银行在关于年费这个问题上故意含糊，已诱导的形式忽悠我办卡，后续也从来没有通过任何方式告知我卡年费的具体情况，包括达到什么样</t>
  </si>
  <si>
    <t>有米分期放款后扣款购买保险实际没有购买</t>
  </si>
  <si>
    <t>http://ts.21cn.com/tousu/show/id/1362570</t>
  </si>
  <si>
    <t>2019/10/15 10:50:45</t>
  </si>
  <si>
    <t>有米分期在下款以后扣除了600的保险费用，根据查询结果，实际没有购买。</t>
  </si>
  <si>
    <t>广发催收打单位电话骚扰</t>
  </si>
  <si>
    <t>http://ts.21cn.com/tousu/show/id/1362613</t>
  </si>
  <si>
    <t>2019/10/15 10:50:41</t>
  </si>
  <si>
    <t>老公的信用卡欠款，在能联系到他本人的情况下，恶意骚扰工作单位其他部门同事。</t>
  </si>
  <si>
    <t>信而富协商好还是暴力催收</t>
  </si>
  <si>
    <t>http://ts.21cn.com/tousu/show/id/1362612</t>
  </si>
  <si>
    <t>2019/10/15 10:50:28</t>
  </si>
  <si>
    <t>之前协商好的，时间没到又换人了，而且不停骚扰电话，还发骚扰短信。</t>
  </si>
  <si>
    <t>http://ts.21cn.com/tousu/show/id/1362610</t>
  </si>
  <si>
    <t>2019/10/15 10:49:58</t>
  </si>
  <si>
    <t>没有借过此平台，莫名收到短信，恐吓威胁，请平台及时跟进，谢谢。</t>
  </si>
  <si>
    <t>http://ts.21cn.com/tousu/show/id/1362609</t>
  </si>
  <si>
    <t>2019/10/15 10:49:51</t>
  </si>
  <si>
    <t>本人2017年12月20日通过平安普惠金融APP借款30000元，分36期还款，一次性初收费了900元钱，初期到账只有29100元，至今为止已还15期合计金额27985.44元，本人于近期打算结清全部欠款，平台说明需要还13821.46元，于是查看已还费用明细发现实际已还本金只有16579.33元，已还利息3279.11元，另外还有不知名的保险费与服务费合计一共8127元，本人要求平台退回不知名的高额保险费和服务费，结清账单销账。</t>
  </si>
  <si>
    <t>酒店国庆节订单，携程没有按照备注结算</t>
  </si>
  <si>
    <t>http://ts.21cn.com/tousu/show/id/1362608</t>
  </si>
  <si>
    <t>2019/10/15 10:49:50</t>
  </si>
  <si>
    <t>投诉人吴先生投诉对象携程旅游涉诉金额1315元问题类型诉求类型投诉详情以上4个订单编号，都是国庆节酒店订单，当时酒店方没有接受，携程联系再三主动提出按照备注，特殊要求给酒店结算，可是事后结算却没有按照备注要求，并且打电话给客服，态度强硬，踢皮球。</t>
  </si>
  <si>
    <t>借款显示有额度申请后不给予额度</t>
  </si>
  <si>
    <t>http://ts.21cn.com/tousu/show/id/1362606</t>
  </si>
  <si>
    <t>2019/10/15 10:49:11</t>
  </si>
  <si>
    <t>借款显示有额度申请后不给予额度反复几次无果，严重影响资金使用。</t>
  </si>
  <si>
    <t>芒果筹高利贷恶意逾期收取高昂逾期费</t>
  </si>
  <si>
    <t>http://ts.21cn.com/tousu/show/id/1362585</t>
  </si>
  <si>
    <t>2019/10/15 10:49:07</t>
  </si>
  <si>
    <t>投诉人王先生投诉对象芒果筹,畅捷支付涉诉金额4000元问题类型诉求类型投诉详情本人之前通过小黑鱼下载了轻周转app，直到国庆前夕app开始无法正常还款卡里有钱不扣款，只提供了一个支付宝账号但账号显示有问题根本无法转账，直到今天客服打电话来威胁还款不然打遍联系人，想问一下再这样一个法治社会，再扫黑除恶严打套路贷的情况下，为什么还有公司通过这种不正当的手段盈利，而且利息也是借2800还4200元十天一期，为了躲避国家规定从一开始的砍头息变成了增高利息，畅捷支付还给这些套路贷做后盾吸普通人民的血，和我一样的受害者</t>
  </si>
  <si>
    <t>暴力吹收，进行侮辱，恐吓</t>
  </si>
  <si>
    <t>http://ts.21cn.com/tousu/show/id/1362607</t>
  </si>
  <si>
    <t>2019/10/15 10:49:06</t>
  </si>
  <si>
    <t>打电话进行侮辱，群发短信垃圾信息，对本人以及身边朋友进行恐吓，发骚扰信息。</t>
  </si>
  <si>
    <t>遭到小贷平台恶意收款催款</t>
  </si>
  <si>
    <t>http://ts.21cn.com/tousu/show/id/1362605</t>
  </si>
  <si>
    <t>2019/10/15 10:48:47</t>
  </si>
  <si>
    <t>本人于2017年10月18开始用维信卡卡贷平台借款周转，多次和维信卡卡贷协商退还 他们只说退一半后又答应我全部退还 结果维信卡卡贷迟迟没有履行义务 导致我的账单因恶意扣款无法偿还 影响了我的征信 他们联系了我的家人朋友 又不找不到我人 他们给我打电话我都有录音 催债部门说不管他们事他们就是要债的必须还，让我有问题就找客服 举报无门，先后借款五千、两千七千五、四千！近半月前我收到催款电话，是维信卡卡贷平台合作的催款公司打来的说我没有履行义务还款，后我将钱存进卡里准备还款，维信卡卡贷当时未进过我允许扣除我的保护</t>
  </si>
  <si>
    <t>http://ts.21cn.com/tousu/show/id/1362602</t>
  </si>
  <si>
    <t>2019/10/15 10:48:24</t>
  </si>
  <si>
    <t>新橙优品窃取本人通讯录联系人，进行恶意骚扰，严重影响本人正常生活，给本人通讯录联系人造成不必要的麻烦。</t>
  </si>
  <si>
    <t>恶意获取客户隐私，严重骚扰，爆通讯录</t>
  </si>
  <si>
    <t>http://ts.21cn.com/tousu/show/id/1362601</t>
  </si>
  <si>
    <t>2019/10/15 10:48:22</t>
  </si>
  <si>
    <t>交通银行非法获取我通讯录，暴力催收，一天十几个电话，对我恐吓威胁，对我生活造成严重影响，私自联系我通讯录里面的家人朋友，怎么获取我通讯录的必须给我合理解释。</t>
  </si>
  <si>
    <t>微粒贷委托第三方恶意骚扰</t>
  </si>
  <si>
    <t>http://ts.21cn.com/tousu/show/id/1362604</t>
  </si>
  <si>
    <t>2019/10/15 10:48:20</t>
  </si>
  <si>
    <t>只说微粒贷委托方，不敢说出他公司任何信息，还给我亲朋好友打电话，威胁，盗取信息，辱骂，吵架！。</t>
  </si>
  <si>
    <t>http://ts.21cn.com/tousu/show/id/1362600</t>
  </si>
  <si>
    <t>2019/10/15 10:47:33</t>
  </si>
  <si>
    <t>分期乐用了四年多了，最近几个月家里出了问题，贷了高利贷，也是迫不得已，现在分期乐还有总共不到一千块钱还清了，你们打骚扰打到家人打到以前工作的同事哪里，我现在连个正经工作都没有，我不是不还，我在攒钱，我父母本来体弱多病，现在被你们搞得天天住院。</t>
  </si>
  <si>
    <t>暴力催收，电话一直骚扰</t>
  </si>
  <si>
    <t>http://ts.21cn.com/tousu/show/id/1362599</t>
  </si>
  <si>
    <t>2019/10/15 10:46:59</t>
  </si>
  <si>
    <t>16年开始使用浦发银行信用卡，截止19年6月，从未逾期，因为19年5月底开始，家庭变故，本人离婚，每个月要付孩子的抚养费，期间又借了很多网贷，目前各个总欠款二十多万，每个月光利息就要还五千多，已无力偿还，申请停息还本，分48期偿还。</t>
  </si>
  <si>
    <t>每日优鲜涉及用返利误导消费者</t>
  </si>
  <si>
    <t>http://ts.21cn.com/tousu/show/id/1362576</t>
  </si>
  <si>
    <t>2019/10/15 10:46:18</t>
  </si>
  <si>
    <t>投诉人林女士投诉对象每日优鲜涉诉金额500元问题类型诉求类型投诉详情每日优鲜平台于2019年8月22日在其小程序/APP上推出摇钱树活动，并宣传“躺赢佣金，走上水果自由道路”，如图所示，活动介绍了具体的规则和获利模式，我开始根据其规则拉人加入战队，为其平台进行推广和提高客户使用率，截至到2019年10月9日被我拉入战队人数已达100余人，在此期间该平台一直按照当初约定给我发放金币返利，但是，10月9日该平台突然发布通知告知活动将于2019年10月11日升级规则并下线，届时将不再产生金币，我们认为这样做跟当初</t>
  </si>
  <si>
    <t>牛牛贷套路贷，暴力威胁催收</t>
  </si>
  <si>
    <t>http://ts.21cn.com/tousu/show/id/1362590</t>
  </si>
  <si>
    <t>投诉人王先生投诉对象牛牛贷,汇潮支付涉诉金额2000元问题类型诉求类型投诉详情牛牛贷借2000，到账1280，6天后还款2000，收取高利贷坎头息，还款日当天上午10点多暴力催收，威胁爆通讯录，同时短信也开始威胁联系亲朋好友，恶心至极，要求1.清算至合理范围，要求2工作人员道歉，要求3下架产品，以免继续祸害其他人，聚投诉上投诉牛牛贷的特别多，没有实际解决问题的。</t>
  </si>
  <si>
    <t>暴力催收恐吓威胁无力偿还要求减免利息</t>
  </si>
  <si>
    <t>http://ts.21cn.com/tousu/show/id/1362598</t>
  </si>
  <si>
    <t>2019/10/15 10:46:16</t>
  </si>
  <si>
    <t>投诉人 于先生        投诉对象  蚂蚁借呗        涉诉金额  2 000 元    问题类型    诉求类型投诉详情  暴力催收 恐吓 威胁 严重影响生活，无力偿还 要求减免利息 三方代偿</t>
  </si>
  <si>
    <t>信用星球砍头息催款辱骂家人</t>
  </si>
  <si>
    <t>http://ts.21cn.com/tousu/show/id/1362597</t>
  </si>
  <si>
    <t>2019/10/15 10:46:09</t>
  </si>
  <si>
    <t>信用星球属于上海信用飞，本人协商还款对方不同意，态度恶劣，辱骂家人，骚扰朋友，性质恶劣，本人在信用星球上海信用飞公司借款九次已经结清，从一开始七天砍头息到后来的十五天三十天，一起有九次，信用星球打电话来说处理骚扰辱骂的事件，并且要求发送邮件辱骂录音和图片，发送了过去两个月一直没有动静，今天在没有任何解释的情况下要求还本金，本人深受其害，追究到底，要求对方合理的处理九次的砍头息费用。</t>
  </si>
  <si>
    <t>咨询问题付款后没人回复打客服电话没人接</t>
  </si>
  <si>
    <t>http://ts.21cn.com/tousu/show/id/1362596</t>
  </si>
  <si>
    <t>2019/10/15 10:46:07</t>
  </si>
  <si>
    <t>10月8号我在律飞平台付费咨询法律问题，今天15号了没有回复，联系律师界面也找不到一直也不回复，给客服打电话也不接，我想退款！。</t>
  </si>
  <si>
    <t>http://ts.21cn.com/tousu/show/id/1362595</t>
  </si>
  <si>
    <t>2019/10/15 10:46:05</t>
  </si>
  <si>
    <t>微信恐吓，暴力催收，电话骚扰，给家人，朋友，亲戚，同事，同学。</t>
  </si>
  <si>
    <t>工行信用卡不理会</t>
  </si>
  <si>
    <t>http://ts.21cn.com/tousu/show/id/1362594</t>
  </si>
  <si>
    <t>2019/10/15 10:45:24</t>
  </si>
  <si>
    <t>距离上次投诉已经过去一个星期了，至今没收到任何回复，如3天内没回复，会直接联系北京监管部门。</t>
  </si>
  <si>
    <t>恒昌公司旗下恒易贷合同金额远高于实际借款金额并乱收催收服务费</t>
  </si>
  <si>
    <t>http://ts.21cn.com/tousu/show/id/1362592</t>
  </si>
  <si>
    <t>2019/10/15 10:45:19</t>
  </si>
  <si>
    <t>恒昌公司旗下恒易贷实际借款金额跟合同金额不一样，利息超过国家规定，砍了头息还要在还款期限里追加服务费！并且乱收逾期费用。</t>
  </si>
  <si>
    <t>http://ts.21cn.com/tousu/show/id/1362591</t>
  </si>
  <si>
    <t>2019/10/15 10:45:07</t>
  </si>
  <si>
    <t>平安银行强行搭售贷款保险和收取高额服务费用。</t>
  </si>
  <si>
    <t>http://ts.21cn.com/tousu/show/id/1362562</t>
  </si>
  <si>
    <t>2019/10/15 10:44:58</t>
  </si>
  <si>
    <t>投诉人朱先生投诉对象钱站涉诉金额300元问题类型诉求类型投诉详情我今年9月14号申请向钱站贷款300元，到账日是9月16号晚上22点26分35秒，分三期每期要还158元总金额需要还474元现在逾期一天要我还575元，分三期前两期就要还417元还有一期需要158元。</t>
  </si>
  <si>
    <t>武汉善学进智教育不退钱</t>
  </si>
  <si>
    <t>http://ts.21cn.com/tousu/show/id/1362589</t>
  </si>
  <si>
    <t>2019/10/15 10:43:11</t>
  </si>
  <si>
    <t>我是8月15号在武汉善学进智教育机构报了一个6160自考大专，微信首付转616给善学，其他在他们给的咖啡易融平台上贷款5544分9期，目前已经还完2期了，但是他们说我不符合退款条件，这是霸王条约啊！我可以接受10%到20%的扣除材料费等等，但我不理解一分钱不退。</t>
  </si>
  <si>
    <t>玖富万卡APP，借款需支付高额保险费，砍头息</t>
  </si>
  <si>
    <t>http://ts.21cn.com/tousu/show/id/1362588</t>
  </si>
  <si>
    <t>2019/10/15 10:42:54</t>
  </si>
  <si>
    <t>玖富万卡APP，借款需支付高额保险费，砍头息，利息合计高达50%。</t>
  </si>
  <si>
    <t>京东白条无理催收霸道条款</t>
  </si>
  <si>
    <t>http://ts.21cn.com/tousu/show/id/1362586</t>
  </si>
  <si>
    <t>2019/10/15 10:42:45</t>
  </si>
  <si>
    <t>联系到我的当日就及时结清了当前逾期并且京东剩下的账单都未出账。</t>
  </si>
  <si>
    <t>U卡贷强行不合理要违约金</t>
  </si>
  <si>
    <t>http://ts.21cn.com/tousu/show/id/1362542</t>
  </si>
  <si>
    <t>2019/10/15 10:42:18</t>
  </si>
  <si>
    <t>U卡贷暴力催收，威胁，APP有问题根本登陆不上&amp;nbsp;看不到自己的任何信息就要求转账还款还要加违约金，他们电话里告诉我这个月把钱存在中信卡里，结果我存了他们没扣&amp;nbsp;成了我违约，必须要我缴纳160块钱违约金，不交就找人催收我，他们不对自己说过的话负责，强行催款，提前还款还不行，利息不减免，真是太恶劣了，希望聚投诉给我一个说法。</t>
  </si>
  <si>
    <t>在分期通购买会员299，申请贷款不通过可退，我申请没有通过，不退会员</t>
  </si>
  <si>
    <t>http://ts.21cn.com/tousu/show/id/1362583</t>
  </si>
  <si>
    <t>2019/10/15 10:41:28</t>
  </si>
  <si>
    <t>我在分期通申请借款说要开通会员，我就开通会员299，过后申请借款没有成功，会员费也没有退给我。</t>
  </si>
  <si>
    <t>http://ts.21cn.com/tousu/show/id/1362582</t>
  </si>
  <si>
    <t>2019/10/15 10:41:10</t>
  </si>
  <si>
    <t>投诉人 吕女士        投诉对象  多宝分期        涉诉金额  7 500 元    问题类型    诉求类型投诉详情  手机借钱里的多宝分期 第一次分三期 第二次复借突然就要变四期 我才看到 借款7500 一期要还2961 我已经还了三期 超过了本金很多了 第四期我不会再还利息实在太高</t>
  </si>
  <si>
    <t>会分期APP恶意扣钱我都不这钱是干什么扣的也没有所谓的合同跟说明，等我的钱被扣了才有合同给你看这钱扣的我都懵了。</t>
  </si>
  <si>
    <t>http://ts.21cn.com/tousu/show/id/1362580</t>
  </si>
  <si>
    <t>投诉人 陈培生        投诉对象  会分期APP（特约）上海信霖信息科技有限        涉诉金额  199 元    问题类型    诉求类型投诉详情  我希望我的投诉能得到及时的处理。要求会分期把扣我的钱退回来。</t>
  </si>
  <si>
    <t>以各种名义收取利息</t>
  </si>
  <si>
    <t>http://ts.21cn.com/tousu/show/id/1362581</t>
  </si>
  <si>
    <t>2019/10/15 10:41:02</t>
  </si>
  <si>
    <t>以各种名义增加利息，收取各种服务费用，超出本金57108.3元，以还款22014元，提前还款居然还差69046元，。</t>
  </si>
  <si>
    <t>http://ts.21cn.com/tousu/show/id/1362579</t>
  </si>
  <si>
    <t>2019/10/15 10:40:57</t>
  </si>
  <si>
    <t>一天打30多个点话，结通就挂了，跟亲戚朋友要钱。</t>
  </si>
  <si>
    <t>http://ts.21cn.com/tousu/show/id/1362578</t>
  </si>
  <si>
    <t>2019/10/15 10:40:46</t>
  </si>
  <si>
    <t>投诉人 邓之伟        投诉对象  时光分期        涉诉金额  1 300 元    问题类型    诉求类型投诉详情  不停骚扰，说我欠钱，又不能提供身份证明。。</t>
  </si>
  <si>
    <t>http://ts.21cn.com/tousu/show/id/1362577</t>
  </si>
  <si>
    <t>2019/10/15 10:40:28</t>
  </si>
  <si>
    <t>办卡地点在赤峰市，工作人员穿着机场制服1.每次买票只能折扣2--50元，办卡时并未说明，且办卡时声称，是会员购票比任何渠道都便宜，可事实上，机票贵于所有平台2.说办卡可以携带一位朋友进入贵宾室，本次去机场却被告知，条例修改了，只能一人使用，这样单方面违约，欺诈消费者3.要求公司解决时，态度恶劣，挂断电话。</t>
  </si>
  <si>
    <t>http://ts.21cn.com/tousu/show/id/1362574</t>
  </si>
  <si>
    <t>2019/10/15 10:40:02</t>
  </si>
  <si>
    <t>申请退压力几个月了,一点消息都没有,一直不退,这是个骗子传销平台。</t>
  </si>
  <si>
    <t>中国联通电销人员态度恶劣</t>
  </si>
  <si>
    <t>http://ts.21cn.com/tousu/show/id/1362575</t>
  </si>
  <si>
    <t>10月12日中午打电话给我，让我办理套餐，明确表明自己不需要，工作人员一再质问我，要求提供工号，拒绝回答，后得知其工号为924，当天下午工号419回复说已对该工作人员进行处分，并且道歉，但是并没有收到相关道歉，今日924回电，沟通一分多钟，并无丝毫道歉的行为，还是一再质问我，挂断电话之后，924再次致电，造成骚扰，现在是工作时间，一而再再而三打电话又不道歉是什么意思。</t>
  </si>
  <si>
    <t>去哪儿拿去花侵犯公民财产、违规操作</t>
  </si>
  <si>
    <t>http://ts.21cn.com/tousu/show/id/1362573</t>
  </si>
  <si>
    <t>2019/10/15 10:39:00</t>
  </si>
  <si>
    <t>10月15日收到短信说拿去花自动扣款失败，需要我还款，我点进去APP查看账单，显示我2019-9-21日，客服反馈我关闭就可以，但是关闭后仍然显示有订单未还清，并未停止侵犯，去哪儿及去哪儿拿去花存在侵占公民财产的嫌疑，也存在违规金融操作，未经用户同意或明确提醒信息，我要求对此进行赔偿我的损失，返还我这笔压根没消费过的订单金额，并停止继续侵犯财产及个人信息，同时对我道歉。</t>
  </si>
  <si>
    <t>新橙优品骚扰本人，催收他人欠款</t>
  </si>
  <si>
    <t>http://ts.21cn.com/tousu/show/id/1362572</t>
  </si>
  <si>
    <t>2019/10/15 10:38:36</t>
  </si>
  <si>
    <t>别人欠款关我什么事，一直打电话骚扰，没事找事是吧。</t>
  </si>
  <si>
    <t>暴力催款，高利贷</t>
  </si>
  <si>
    <t>http://ts.21cn.com/tousu/show/id/1362571</t>
  </si>
  <si>
    <t>2019/10/15 10:38:13</t>
  </si>
  <si>
    <t>玖富万卡，砍头息，高利贷，一次性扣除两个1640，又计算利息两千多，借款五千实际到手一千多，还要支付高额的利息，利息两千多，现在逾期又收取高额的逾期费用，现在天天打电话，用不同的电话号码，对我本人就行骚扰，恐吓，侮辱，还涉及征信问题，投诉到本平台，玖富万卡，并未作出任何回应，本平台未解决，希望本平台能严厉惩治这些不法高利贷。</t>
  </si>
  <si>
    <t>http://ts.21cn.com/tousu/show/id/1362569</t>
  </si>
  <si>
    <t>2019/10/15 10:37:33</t>
  </si>
  <si>
    <t>京东白条暴力催收，威胁我今天不还钱就联系村委上门，逼迫我还钱。</t>
  </si>
  <si>
    <t>http://ts.21cn.com/tousu/show/id/1362549</t>
  </si>
  <si>
    <t>2019/10/15 10:37:17</t>
  </si>
  <si>
    <t>投诉人覃先生投诉对象51人品涉诉金额25500元问题类型诉求类型投诉详情投诉51人品贷：虚假广告，下款后修改账单高额手续费，高利贷，暴力催收，管理部及领导都找我谈话还在早会全公司员工进行宣导网贷事情，搞的我精神崩溃，饮食睡眠全部无法正常，精神恍惚，9/28从楼梯摔倒，右手手肘骨折，至少半年无法正常工作，当初在51人品贷网站上看到广告，贷款利息低，就下载了51人品贷APP，申请额度25500，分12期，每个月利息1%，但是放款以后，就多出一笔6700的管理费服务费，第一个月除了利息，要还2200服务费，后面十</t>
  </si>
  <si>
    <t>淘集集在资源位上的产品，不让下架产品，要求下架资源位。</t>
  </si>
  <si>
    <t>http://ts.21cn.com/tousu/show/id/1362567</t>
  </si>
  <si>
    <t>2019/10/15 10:37:11</t>
  </si>
  <si>
    <t>淘集集在资源位上的产品，不让下架产品，要求下架资源位，下架产品，已经申请了https://jinshuju.net/f/Wy2Gut，说好了1-2天处理，现在2天都过去了，还未处理。</t>
  </si>
  <si>
    <t>电话暴力催收、影响公司正常办公、恶意骚扰女员工</t>
  </si>
  <si>
    <t>http://ts.21cn.com/tousu/show/id/1362568</t>
  </si>
  <si>
    <t>2019/10/15 10:36:56</t>
  </si>
  <si>
    <t>0730-8260085多次拨打公司办公电话，干扰正常办公，恶意骚扰女员工、使用侮辱性词语、性骚扰女员工。</t>
  </si>
  <si>
    <t>请求中信银行信用卡中心协商还款</t>
  </si>
  <si>
    <t>http://ts.21cn.com/tousu/show/id/1362566</t>
  </si>
  <si>
    <t>2019/10/15 10:36:29</t>
  </si>
  <si>
    <t>本人多少次进行与中信银行信用卡中心协商还款，请求中信银行信用卡中心不要置之不理。</t>
  </si>
  <si>
    <t>唯品会爆公司电话骚扰无辜人士</t>
  </si>
  <si>
    <t>http://ts.21cn.com/tousu/show/id/1362565</t>
  </si>
  <si>
    <t>2019/10/15 10:36:28</t>
  </si>
  <si>
    <t>投诉人 苏女士        投诉对象  唯品会        涉诉金额  500 元    问题类型    诉求类型投诉详情  打到公司电话骚扰公司员工。而且该电话是与我完全无关的人员。对别人的工作造成骚扰。</t>
  </si>
  <si>
    <t>奇虎360暴力催收</t>
  </si>
  <si>
    <t>http://ts.21cn.com/tousu/show/id/1362563</t>
  </si>
  <si>
    <t>2019/10/15 10:36:21</t>
  </si>
  <si>
    <t>本人因家庭出事现360借条逾期，360借条在没有经过本人同意的情况下拨打除紧急联系人以外我通讯录的所有联系人，并在爆完通讯录后添加本人微信继续威胁不还款就继续爆我的通讯录，态度恶劣，比高利贷还横，他们为了逃避责任还一直不肯直接亮明身份。</t>
  </si>
  <si>
    <t>京东威胁、恐吓</t>
  </si>
  <si>
    <t>http://ts.21cn.com/tousu/show/id/1362561</t>
  </si>
  <si>
    <t>2019/10/15 10:36:10</t>
  </si>
  <si>
    <t>本人在京东购买手机，付款时使用白条，后因本人出现特殊情况，导致白条未能及时归还，不知名的电话就一直打进来，说是受京东委托进行催收，本人一再表明还款意愿的前提下，仍采取暴力催收，威胁、恐吓、联系第三方联系人，甚至伪造法院传书，如京东不能妥善解决问题，将在微博，国家相关机关、媒体、市长热线、公布所有威胁、恐吓信息。</t>
  </si>
  <si>
    <t>http://ts.21cn.com/tousu/show/id/1362560</t>
  </si>
  <si>
    <t>2019/10/15 10:35:49</t>
  </si>
  <si>
    <t>因本人做生意失败，度小满有钱花4万多的借款有2万多逾期，在本人能联系到并且每月都有还款的情况下，度小满有钱花催收人员还联系我通讯录家人好友，泄露我的个人隐私。</t>
  </si>
  <si>
    <t>候补订单没有收到退款</t>
  </si>
  <si>
    <t>http://ts.21cn.com/tousu/show/id/1362559</t>
  </si>
  <si>
    <t>2019/10/15 10:35:36</t>
  </si>
  <si>
    <t>退款没有到账，12306显示已退回给支付宝，实际上支付宝没有收到退款。</t>
  </si>
  <si>
    <t>在升学教育，报考了成人自考感觉虚假宣传，想要退款。</t>
  </si>
  <si>
    <t>http://ts.21cn.com/tousu/show/id/1362558</t>
  </si>
  <si>
    <t>2019/10/15 10:35:26</t>
  </si>
  <si>
    <t>投诉人 杨女士        投诉对象  升学教育        涉诉金额  7 182 元    问题类型    诉求类型投诉详情  支付宝有转账记录，诱导我们贷款。</t>
  </si>
  <si>
    <t>http://ts.21cn.com/tousu/show/id/1362557</t>
  </si>
  <si>
    <t>2019/10/15 10:35:07</t>
  </si>
  <si>
    <t>投诉人 吕女士        投诉对象  维信金科,鸿飞担保        涉诉金额  999 元    问题类型    诉求类型投诉详情  都过了一星期 都没解决好 维信金科和西安鸿飞私自从卡里扣的风险费 到底还不还 我都按时还款了几个月 突然私自卡里扣除了风险费 我不会认同 ，再不解决 我就去银监部门了 还款也不会还 这样私下从我卡里扣钱</t>
  </si>
  <si>
    <t>花转转樱桃小借高利贷砍头息</t>
  </si>
  <si>
    <t>http://ts.21cn.com/tousu/show/id/1362556</t>
  </si>
  <si>
    <t>2019/10/15 10:34:59</t>
  </si>
  <si>
    <t>实际到账金额2800，还款要4000多，且在第一次还款时多次就出现无法扣款情况且多次尝试都失败，人工让联系在线客服，均联系不上，app反馈问题迟迟不做答，被迫逾期，今天催收打电话逾期费只减免30%，存在平台故意造成逾期的欺骗行为。</t>
  </si>
  <si>
    <t>黑心第三方盗刷代扣问题</t>
  </si>
  <si>
    <t>http://ts.21cn.com/tousu/show/id/1362555</t>
  </si>
  <si>
    <t>2019/10/15 10:34:18</t>
  </si>
  <si>
    <t>2019年10月15日凌晨3点43分，被迅联智付中兴付账户扣款28000元，请求平台追回款项，谢谢。</t>
  </si>
  <si>
    <t>云闪付为网络赌平台开启充值渠道，希望其关闭同道，追回损失</t>
  </si>
  <si>
    <t>http://ts.21cn.com/tousu/show/id/1362554</t>
  </si>
  <si>
    <t>2019/10/15 10:33:55</t>
  </si>
  <si>
    <t>被引诱到一个*充值入金4万多，后来发现是不正规平台，并非正规的购彩*，和支付清算协会沟通得知第三方支付业务应审核客户的相关信息，第三方支付业务公司不得向证券，期货，博彩等机构提供支付结算业务，本以为通过云闪付正规线上支付是正规*机构，后来才知道是非法*平台，通过中国人民银行，中国银联，和支付清算协会沟通得知，第三方支付业务应审核客户的相关信息，第三方支付业务公司不得向证券，期货，博彩等机构提供支付结算业务，作为有牌照的支付公司没有履行国家结算通道的义务，即产生了非法洗钱的嫌疑，金融机构客户身份识别和客户身份</t>
  </si>
  <si>
    <t>京东白条第三方恶意催收</t>
  </si>
  <si>
    <t>http://ts.21cn.com/tousu/show/id/1362551</t>
  </si>
  <si>
    <t>2019/10/15 10:33:40</t>
  </si>
  <si>
    <t>本人并没有接触过京东金融，没有使用过京东白条，但是经常接受到相似的恶意暴力催收短信，总是骚扰有违法合同法行为等，甚至半夜也有接到催收电话，现在表示很烦，希望贵平台能重视！。</t>
  </si>
  <si>
    <t>你我贷逾期协商</t>
  </si>
  <si>
    <t>http://ts.21cn.com/tousu/show/id/1362553</t>
  </si>
  <si>
    <t>2019/10/15 10:33:37</t>
  </si>
  <si>
    <t>工资没按时发，逾期一天，十七号发了工资还上。</t>
  </si>
  <si>
    <t>预约单成交率</t>
  </si>
  <si>
    <t>http://ts.21cn.com/tousu/show/id/1362550</t>
  </si>
  <si>
    <t>2019/10/15 10:32:42</t>
  </si>
  <si>
    <t>投诉人 周先生        投诉对象  滴滴出行        涉诉金额  0 元    问题类型    诉求类型投诉详情  预约单轮胎扎钉子了！我取消了，申诉不通过</t>
  </si>
  <si>
    <t>哪吒聚宝高利贷收取砍头息，暴力催收，协商还款找不到客服</t>
  </si>
  <si>
    <t>http://ts.21cn.com/tousu/show/id/1362548</t>
  </si>
  <si>
    <t>2019/10/15 10:31:35</t>
  </si>
  <si>
    <t>哪吒聚宝以服务费为由收取砍头息，借2500到1600，三天后还2500，账单到期当天疯狂催收，并发短信侮辱家人去世，app无法正常还款，账单未到期也继续催收，联系客服客服直接说滚，无奈只能暂时续期，今天又到账单日，找客服协商还款客服电话为空号，加微信无人理会，先要求解决此事。</t>
  </si>
  <si>
    <t>微粒贷逾期严重骚扰</t>
  </si>
  <si>
    <t>http://ts.21cn.com/tousu/show/id/1362547</t>
  </si>
  <si>
    <t>2019/10/15 10:31:14</t>
  </si>
  <si>
    <t>本人于前几年申请开通微粒贷，用了几年中途一直正常借还，但是在2019年2月份于@微众银行@微粒贷借款人民币52000元整，中途还款四个月，现在本金41000元逾期50天，从9月底开始陆续到现在期间0755的电话多次沟通要求本人于几天内一次性结清41000元欠款，本人中途因为经营投资失败导致逾期，期间微粒贷委托的催收任何一个电话本人无一遗漏的接听，微粒贷委托的催收上门跑去我家一次，中途打电话到我家里给我父母三次，家里父母年纪大了，而且身体不好，我已经跟微粒贷催收说了，本人自己的负债本人自己负责，不要在继续骚扰</t>
  </si>
  <si>
    <t>交通银行信用卡暴力催收，骚扰电话无数</t>
  </si>
  <si>
    <t>http://ts.21cn.com/tousu/show/id/1362546</t>
  </si>
  <si>
    <t>2019/10/15 10:30:50</t>
  </si>
  <si>
    <t>本人用交通银行信用卡已经有几年了，之前都是一直按时还款，最近确实是有特殊原因，出了些问题，导致无法正常还款，最近总是接到交通银行催收电话，已经和客服沟通愿意协商分期还款，可骚扰电话还是打到我家人那里去了，一连打很多次，对我家人造成很大困扰，我不是不还钱，只是每个人都有难处，我确实不想造成逾期，我愿意协商分期还，希望交通银行客服和我沟通协商，不要再骚扰我的家人。</t>
  </si>
  <si>
    <t>信而富违规出售借款资格作为商品，收取高额砍头息</t>
  </si>
  <si>
    <t>http://ts.21cn.com/tousu/show/id/1362545</t>
  </si>
  <si>
    <t>2019/10/15 10:30:33</t>
  </si>
  <si>
    <t>我在信而富公司购买了8次对方所描述的产品，共计3165元，只有一次墨镜得到实物价格300元，其他7次并未得到真正的产品，是对方的借款权，商品名称叫优先借款包旅游卡，共计2865元，作为中国公民企业以及个人，应遵守国家法治社会健全，现在本人资金困难，希望退回这部分费用2865元，参与的扣款通道中金支付，希望一并配合信而富企业处理。</t>
  </si>
  <si>
    <t>优酷网自动续费扣款陷阱</t>
  </si>
  <si>
    <t>http://ts.21cn.com/tousu/show/id/1360887</t>
  </si>
  <si>
    <t>2019/10/15 10:30:28</t>
  </si>
  <si>
    <t>优酷视频网站在本人不知情并且没有任何通知的情况，订立连续包月服务，并且在后续同犯支付宝的默契下，在自动扣费时，即没有短信通知，也没有扣款通知，导致本人从19年6月12日直到19年10月14日的五个月时间，一直被非法自动扣费，且事主本人处于被蒙蔽状态，直到10月13日第一次短信通知将为我自动续费，19年10月14日支付宝失误弹出优酷扣费通知，本人才知情，如此行为极其恶劣，事主本人的财富，居然在被扣除时毫无察觉，这个行为非法，试问尝到这个收入甜头后，优酷公司会不会扩大这个营收模式的范围，今天扣10块，让人毫无察</t>
  </si>
  <si>
    <t>京东大闸蟹提不到货</t>
  </si>
  <si>
    <t>http://ts.21cn.com/tousu/show/id/1362543</t>
  </si>
  <si>
    <t>2019/10/15 10:30:25</t>
  </si>
  <si>
    <t>大闸蟹商户无法联系上，卡券上面的三种联系方式均无法联系。</t>
  </si>
  <si>
    <t>阴阳合同高额逾期费用</t>
  </si>
  <si>
    <t>http://ts.21cn.com/tousu/show/id/1362544</t>
  </si>
  <si>
    <t>2019/10/15 10:30:12</t>
  </si>
  <si>
    <t>投诉人 黄先生        投诉对象  畅快车贷        涉诉金额  9 000 元    问题类型    诉求类型投诉详情  投诉上去也没有一个答复 具体的给个话 你们的费用怎么算的 以前承诺的都是忽悠我们的 提前还款没有违约金 不按合同金额来计算 现在呢 你们属于欺诈行为 希望给我一个合理的答复 不然天天投诉</t>
  </si>
  <si>
    <t>百度有钱花外包催收恶意催收</t>
  </si>
  <si>
    <t>http://ts.21cn.com/tousu/show/id/1362541</t>
  </si>
  <si>
    <t>2019/10/15 10:29:37</t>
  </si>
  <si>
    <t>这个催收是智障吗，之前不是跟客服小哥哥沟通了，说15号还款么，非逼我12点前还，真的有毛病，服了，谁还怕你联系三方啊，好好的跟你聊天沟通你不理，非得威胁，谁还害怕你么，真有意思。</t>
  </si>
  <si>
    <t>南昌君安文华传媒有限公司收取贷款评估费拒绝退款</t>
  </si>
  <si>
    <t>http://ts.21cn.com/tousu/show/id/1362526</t>
  </si>
  <si>
    <t>2019/10/15 10:29:31</t>
  </si>
  <si>
    <t>投诉人施先生投诉对象南昌君安文化传媒有限公司涉诉金额30元问题类型诉求类型投诉详情本人最近急需用钱，10月8日就在微信公众号“草根帮”里面注册了，然后支付了29.8元评估费，当时其承诺借款失败7天退还评估费，但是现在该公司并未退款。</t>
  </si>
  <si>
    <t>分期乐公司暴利催收，利息胜高利贷</t>
  </si>
  <si>
    <t>http://ts.21cn.com/tousu/show/id/1362540</t>
  </si>
  <si>
    <t>2019/10/15 10:29:26</t>
  </si>
  <si>
    <t>在我电话沟通协商还款时间和还款金额的时候一直打电话骚扰我的家人，威胁恐吓，态度非常恶劣！。</t>
  </si>
  <si>
    <t>高德打车在我支付了车费的前提下显示我未支付车费</t>
  </si>
  <si>
    <t>http://ts.21cn.com/tousu/show/id/1362539</t>
  </si>
  <si>
    <t>2019/10/15 10:29:24</t>
  </si>
  <si>
    <t>昨天我打车付了现金，第二天平台显示未付款，打了很多电话司机终于接了，结果他说没有收到钱，在已支付车费前提下显示我未支付车费显示我逾期，对我造成的不良影响谁来承担。</t>
  </si>
  <si>
    <t>订单为赌博平台提供充值渠道</t>
  </si>
  <si>
    <t>http://ts.21cn.com/tousu/show/id/1361594</t>
  </si>
  <si>
    <t>2019/10/15 10:29:00</t>
  </si>
  <si>
    <t>投诉人蒋奇为投诉对象拼多多涉诉金额5000元问题类型诉求类型投诉详情之前在网上看到有消息说利用业务时间来做兼职就可以赚钱，结果慢慢投入了一点结果发现是骗人的，我是在拼多多上面支付的，他们就该为此事负责。</t>
  </si>
  <si>
    <t>http://ts.21cn.com/tousu/show/id/1362538</t>
  </si>
  <si>
    <t>2019/10/15 10:28:57</t>
  </si>
  <si>
    <t>注销账号，除了要提供本人的身份证号外，还要提供本人手持身份证的正反面拍照露脸，我不认可这种方式，因为有很多贷款方式就会需要这种操作，万一我的身份信息泄露了，被他人用去其他用途的贷款，那损失让读秒公司来承担，可以吗，其他公司的注销方式都很简单明了，为何你们公司需要身份证的正反面，还要本人露脸拍照，是为了保证账号安全，还是为了能方便把个人信息卖给其他公司，我需要你们更换一种方式来注销账号。</t>
  </si>
  <si>
    <t>湖州恒大珺睿府违约不退认购款</t>
  </si>
  <si>
    <t>http://ts.21cn.com/tousu/show/id/1362537</t>
  </si>
  <si>
    <t>2019/10/15 10:28:49</t>
  </si>
  <si>
    <t>我于2019年10月2日认购湖州恒大珺睿府楼盘房源13幢1103室，并于当日交缴2万元认购款，并当日签订了湖州恒大珺睿府商品房认购书，约定于2019年10月10日上午10点携带身份证、银行信用、流水证明等资料来现场办理网签、商品房销售合同、交付首付款、以及办理贷款事宜，我于此时间准时到达后，该司销售代表方红娟女士告知无法办理正式的房管局网签和商品房销售合同，仅可以与该司签订销售合同，并于半年后才可办理房管局网签，并告知必须于当日即10月10日将至少3成首付汇于贵司，否则没收认购款2万元整。</t>
  </si>
  <si>
    <t>在能联系到我本人的情况下，还要联系紧急联系人</t>
  </si>
  <si>
    <t>http://ts.21cn.com/tousu/show/id/1362534</t>
  </si>
  <si>
    <t>2019/10/15 10:27:24</t>
  </si>
  <si>
    <t>投诉人马女士投诉对象钱站涉诉金额2513元问题类型诉求类型投诉详情在可以联系到我本人的情况下，协商不成功，还威胁我要联系紧急联系人，致使本人血压升高，心脏跳的特别快。</t>
  </si>
  <si>
    <t>http://ts.21cn.com/tousu/show/id/1362533</t>
  </si>
  <si>
    <t>捷信催收打电话给我让我今天务必还款，如果不还他们安排上门催收，说会影响我的个人生活，可是我无力偿还，贷款15000现在已经还款18000！。</t>
  </si>
  <si>
    <t>http://ts.21cn.com/tousu/show/id/1362535</t>
  </si>
  <si>
    <t>2019/10/15 10:27:21</t>
  </si>
  <si>
    <t>投诉人谢女士投诉对象小赢卡贷涉诉金额20000元问题类型诉求类型投诉详情催收人员态度恶劣，天天打电话进去催收，严重影响我和我们家人的正常工作和生活，在能联系到我本人的时候，还去联系我的家人和朋友，因此这件事情给我照成我和我的爱人离婚了，朋友都知道欠的事情，在给我打电话同时，我的同事也都知道了，也要面临失业了，我有通话录音为证。</t>
  </si>
  <si>
    <t>点点来钱盗窃银行卡</t>
  </si>
  <si>
    <t>http://ts.21cn.com/tousu/show/id/1362536</t>
  </si>
  <si>
    <t>2019/10/15 10:27:20</t>
  </si>
  <si>
    <t>点点来钱平台通过梁山仙域信息技术公司盗刷我银行卡资金288.没有任何授权，没有任何提示，要求退款:点点来钱尊敬的用户，您尾号4434的银行卡于2019年10月14日成功付款288.00元用于生成《秒查征信评估报告》，商户：梁山仙域信息技术有限公司，如非本人操作，请联系仙域技术，如有疑问请咨询客服热线02161516849。</t>
  </si>
  <si>
    <t>小赢卡贷威胁我爆通讯录</t>
  </si>
  <si>
    <t>http://ts.21cn.com/tousu/show/id/1362530</t>
  </si>
  <si>
    <t>2019/10/15 10:26:50</t>
  </si>
  <si>
    <t>打电话威胁我，恐吓我，态度恶劣，一直在威胁我。</t>
  </si>
  <si>
    <t>发假货不肯退款</t>
  </si>
  <si>
    <t>http://ts.21cn.com/tousu/show/id/1362529</t>
  </si>
  <si>
    <t>2019/10/15 10:26:37</t>
  </si>
  <si>
    <t>我向他买了一部苹果手机，他却给我发了一部三星手机，还是假的。</t>
  </si>
  <si>
    <t>http://ts.21cn.com/tousu/show/id/1362528</t>
  </si>
  <si>
    <t>2019/10/15 10:26:30</t>
  </si>
  <si>
    <t>投诉人茅先生投诉对象钱橙无忧涉诉金额84元问题类型诉求类型投诉详情钱橙无忧莫名扣我银行卡84元，9号看了一下app，今天15号突然扣钱，app都没有了，我的风险要你评估个什么。</t>
  </si>
  <si>
    <t>高利贷捷信金融</t>
  </si>
  <si>
    <t>http://ts.21cn.com/tousu/show/id/1362524</t>
  </si>
  <si>
    <t>2019/10/15 10:25:02</t>
  </si>
  <si>
    <t>于2017年12月接到捷信工作人员电话可以办理五万元贷款利息很低办理54期只要还1977.64！当时没考虑那么多！就办理了！现在已还21期总还款41530.44元现在想提前还款联系客服还要让我还39856.97元！21一个月光利息就31387.41元！比高利贷还高利贷！之前有过几次逾期手机都快打爆了。</t>
  </si>
  <si>
    <t>光大银行工作人员辱骂客户</t>
  </si>
  <si>
    <t>http://ts.21cn.com/tousu/show/id/1362523</t>
  </si>
  <si>
    <t>2019/10/15 10:24:58</t>
  </si>
  <si>
    <t>光大银行工作人员，辱骂客户！给脸不要脸！说话口气很不好！。</t>
  </si>
  <si>
    <t>银行卡被扣款显示微信支付</t>
  </si>
  <si>
    <t>http://ts.21cn.com/tousu/show/id/1362525</t>
  </si>
  <si>
    <t>2019/10/15 10:24:53</t>
  </si>
  <si>
    <t>投诉人刘女士投诉对象微信支付涉诉金额1000元问题类型诉求类型投诉详情招商银行卡显示微信支付1000元本人未收到短信提示！微信查不到扣款记录。</t>
  </si>
  <si>
    <t>乱扣299.50申请退款</t>
  </si>
  <si>
    <t>http://ts.21cn.com/tousu/show/id/1362522</t>
  </si>
  <si>
    <t>2019/10/15 10:24:26</t>
  </si>
  <si>
    <t>投诉人 塔女士        投诉对象  造艺科技        涉诉金额  299 元    问题类型    诉求类型      投诉详情  聚福钱包 无缘无故从卡里扣走什么信审费 而且并没有借款成功 打电话给客服 申请退款无效 属于欺骗消费者</t>
  </si>
  <si>
    <t>无力偿还要求减免利息</t>
  </si>
  <si>
    <t>http://ts.21cn.com/tousu/show/id/1362521</t>
  </si>
  <si>
    <t>2019/10/15 10:24:19</t>
  </si>
  <si>
    <t>投诉人于先生投诉对象支付宝花呗涉诉金额2000元问题类型诉求类型投诉详情无力偿还三方代还要求减免利息</t>
  </si>
  <si>
    <t>我的银行卡被乱扣款金额299元</t>
  </si>
  <si>
    <t>http://ts.21cn.com/tousu/show/id/1362520</t>
  </si>
  <si>
    <t>2019/10/15 10:23:55</t>
  </si>
  <si>
    <t>投诉人 曾先生        投诉对象  海南圣云可网络科技有限公司        涉诉金额  300 元    问题类型    诉求类型      投诉详情  我的银行卡被乱扣了289.5元 诉求退回来</t>
  </si>
  <si>
    <t>我来贷暴力催收，态度恶劣，巨额利息</t>
  </si>
  <si>
    <t>http://ts.21cn.com/tousu/show/id/1362519</t>
  </si>
  <si>
    <t>2019/10/15 10:23:42</t>
  </si>
  <si>
    <t>投诉人冯先生投诉对象我来数科涉诉金额1000元问题类型诉求类型投诉详情我来贷催收态度极其恶劣，爆通讯录，骚扰单位。</t>
  </si>
  <si>
    <t>大狗钱包旗下王者钱包是套路贷高率贷</t>
  </si>
  <si>
    <t>http://ts.21cn.com/tousu/show/id/1362510</t>
  </si>
  <si>
    <t>2019/10/15 10:23:05</t>
  </si>
  <si>
    <t>10月14日，实际不足5天，但是在借过程中没有告诉我要收取1153.2的利息，并且在我填完信息，直接就下款了，并且没有办法撤回，属于国家严厉打击的高利贷、套路贷，我要求更改为国家法定利息，望大狗钱包、王者钱包平台、汇潮支付尽快与我协商联系。</t>
  </si>
  <si>
    <t>畅快车贷不办理结清手续</t>
  </si>
  <si>
    <t>http://ts.21cn.com/tousu/show/id/1362517</t>
  </si>
  <si>
    <t>2019/10/15 10:22:15</t>
  </si>
  <si>
    <t>2017年在办理车辆抵押贷款，截止2019年9月10日全部结清，结清后联系客服出具结清手续，客服说需要等7个工作日，向客服索要门店联系方式未果。</t>
  </si>
  <si>
    <t>盗刷银行卡，一直推脱不处理</t>
  </si>
  <si>
    <t>http://ts.21cn.com/tousu/show/id/1362516</t>
  </si>
  <si>
    <t>2019/10/15 10:22:11</t>
  </si>
  <si>
    <t>投诉人 王女士        投诉对象  聊城市洦聊机械        涉诉金额  27 650 元    问题类型    诉求类型投诉详情  要求商家快速解决问题，全额退款回原银行卡</t>
  </si>
  <si>
    <t>弹个车提前结清要绿本</t>
  </si>
  <si>
    <t>http://ts.21cn.com/tousu/show/id/1362515</t>
  </si>
  <si>
    <t>2019/10/15 10:21:57</t>
  </si>
  <si>
    <t>投诉人韩先生投诉对象弹个车涉诉金额80000元问题类型诉求类型投诉详情2016年年初我看广告不错就在弹个车购买了一辆日产天籁，谁知道各种费用跟我类似收拖车费这种，车盖子上面也有蓝光，看着不像新车，保险也必须上两年他们的，小5000第一年就给30万，第二年5000才给50万，我这都不在乎，现在我租车用了一年，买断分了三年，我已经付了1年多了，我想提前结清，还跟我要利息，一个最低配的天籁，都下来，顶上人家凯迪拉克了。</t>
  </si>
  <si>
    <t>马上消费金融，每天多次电话骚扰我和家人.</t>
  </si>
  <si>
    <t>http://ts.21cn.com/tousu/show/id/1362514</t>
  </si>
  <si>
    <t>2019/10/15 10:21:49</t>
  </si>
  <si>
    <t>投诉人吴女士投诉对象马上消费金融涉诉金额1566元问题类型诉求类型投诉详情从9月25日开始一直到现在每天早上9点左右开始打电话骚扰，开头的电话，不管你接听还是不接听都会打5-10个电话.有些刚接通那边就挂电话，明显恶意骚扰，现在非常影响我工作.。</t>
  </si>
  <si>
    <t>招联金融嘲讽威胁</t>
  </si>
  <si>
    <t>http://ts.21cn.com/tousu/show/id/1362513</t>
  </si>
  <si>
    <t>2019/10/15 10:21:45</t>
  </si>
  <si>
    <t>本来已经与客服协商可以结案并过两天还款，昨天也有客服催收来电话，并把情况告知，说过两天还款，，客服当天打我联系人电话，在联系得到我的情况下并没有通知我，，然后今天就有客服打电话提及本人是不是很喜欢投诉，，我会继续往别的平台投诉及找媒体说出事情经过并提供录音。</t>
  </si>
  <si>
    <t>中信银行信用卡恶意催收，联系家人</t>
  </si>
  <si>
    <t>http://ts.21cn.com/tousu/show/id/1362512</t>
  </si>
  <si>
    <t>2019/10/15 10:21:36</t>
  </si>
  <si>
    <t>投诉人周先生投诉对象中信银行信用卡中心涉诉金额0元问题类型诉求类型投诉详情中信银行信用卡恶意催收，联系家人，还威胁我规定时间内没还钱继续骚扰家人。</t>
  </si>
  <si>
    <t>平安普惠侵吞个人资产</t>
  </si>
  <si>
    <t>http://ts.21cn.com/tousu/show/id/1362511</t>
  </si>
  <si>
    <t>2019/10/15 10:21:31</t>
  </si>
  <si>
    <t>本人在今年4月份帮朋友在平安普惠代还过一笔逾期借款，所以有了平安普惠的公司账号，在6月29日我通过手机转账误转了一笔12600的款项到了平安普惠，多次和平安普惠客服协商，平安普惠客服一直不处理，后来本人说会在聚投诉投诉，甚至报警，平安普惠工作人员才在7月初给我回电让我不要投诉，承诺3个月会退回这笔款！但是到现在一直敷衍不予退款！。</t>
  </si>
  <si>
    <t>网贷平台恶心扣钱</t>
  </si>
  <si>
    <t>http://ts.21cn.com/tousu/show/id/1362508</t>
  </si>
  <si>
    <t>2019/10/15 10:21:11</t>
  </si>
  <si>
    <t>本来是填写网贷数据，结果跳出来一个扣款，这明显是挖的陷阱。</t>
  </si>
  <si>
    <t>我明明已经销户快一年了却还有贷后管理要求拒绝取消查贷后</t>
  </si>
  <si>
    <t>http://ts.21cn.com/tousu/show/id/1362509</t>
  </si>
  <si>
    <t>要求拒绝和取消查贷后管理，我之前已经反馈给客服。</t>
  </si>
  <si>
    <t>湖北省武汉市光谷软件园交通银行信用卡催收部强制要求员工加班</t>
  </si>
  <si>
    <t>http://ts.21cn.com/tousu/show/id/1362507</t>
  </si>
  <si>
    <t>2019/10/15 10:20:35</t>
  </si>
  <si>
    <t>1、武汉交通银行信用卡催收部门，经常要求员工强制加班到7、8点，每天没有正常下班过，并且没有加班补贴，2、19年十一期间正常休息时间为12天，如果上班10月1、2、3号的三薪班次的，那么正常剩余时间为9天，但是交通银行只有8天，剩余的一天不知道哪里去了，也没有一个正常说法，3、加班原因极为可笑，第一，回款业绩未达到每天设定目标值，即便达标了的，也要安排加班，，自己团队内部组织的回款比赛，武汉中心没有回赢其他中心，要求安排加班。</t>
  </si>
  <si>
    <t>平安普惠催收人员套路</t>
  </si>
  <si>
    <t>http://ts.21cn.com/tousu/show/id/1362506</t>
  </si>
  <si>
    <t>2019/10/15 10:20:25</t>
  </si>
  <si>
    <t>本人以前通过平安普惠借款1万多元，每期都按时还款的，10元12日642元因为最近工程未收到款，导致当天没有还款，当天催收人员打电话威胁不按时还款，会联系催收，我说我以前都没这种情况，现在实在是特殊情况，希望缓几天处理，催收人员说可以帮我办理循环贷，只要不逾期，没问题，我说明了我现在的情况，平安普惠催收人员说迈开还款日没逾期就可以，我在朋友那里也说明了情况，还了之后，10月13日和14日两天，按照他们要求填了资料，现在催收人员一句话说没有通过，我请问你们平安普惠是什么意思。</t>
  </si>
  <si>
    <t>客服</t>
  </si>
  <si>
    <t>http://ts.21cn.com/tousu/show/id/1362490</t>
  </si>
  <si>
    <t>2019/10/15 10:20:05</t>
  </si>
  <si>
    <t>投诉人林先生投诉对象滴滴出行涉诉金额1元问题类型诉求类型投诉详情我是滴滴快车司机，滴滴自动给我升成优享，我接不到单，要申请退出优享，客服就叫我优享的服务分升满再降，快车也就一样满分了，我就听信客服，放弃了旅游高峰，坚持把分升到满分，然而我降下来了分居然还是以前的分数，这样的欺骗影响到我的正常出行，希望平台给我一个满意的答复，不是用欺骗的行为来忽悠司机，不要把我们的努力坚持当透明，。</t>
  </si>
  <si>
    <t>建设银行逾期拒绝协商</t>
  </si>
  <si>
    <t>http://ts.21cn.com/tousu/show/id/1362503</t>
  </si>
  <si>
    <t>2019/10/15 10:20:04</t>
  </si>
  <si>
    <t>因本人9月10月家中生意出现重大变故，从优质客户从未逾期，所以建设银行才会给我临时额度，现在因重大变故无法全额还款，但是本人积极还款与建行客服多次打电话协商无法达成一致，但本人积极想还款希望建设银行有关部门帮我把账单重组分期违约金减免，如果非要不能协商账单重组，逼的我一直被动逾期建设银行也无法收到我的还款这样两败俱伤，何必呢，况且我这个钱并不多真的是遇到困难了。</t>
  </si>
  <si>
    <t>豆豆钱逾期一天每笔费用加100罚息</t>
  </si>
  <si>
    <t>http://ts.21cn.com/tousu/show/id/1362504</t>
  </si>
  <si>
    <t>2019/10/15 10:19:57</t>
  </si>
  <si>
    <t>本来14号还款，结果晚上在APP无法还款，我以为凌晨会自动扣款，结果早上起来显示逾期，768元，利息100，公务员一天工资没那么多。</t>
  </si>
  <si>
    <t>捷信骚扰</t>
  </si>
  <si>
    <t>http://ts.21cn.com/tousu/show/id/1362505</t>
  </si>
  <si>
    <t>2019/10/15 10:19:55</t>
  </si>
  <si>
    <t>你们捷信是不是死人了 请不到人还是怎么了 高利贷还说合法经营 催收无下限。</t>
  </si>
  <si>
    <t>协商浦发银行</t>
  </si>
  <si>
    <t>http://ts.21cn.com/tousu/show/id/1362502</t>
  </si>
  <si>
    <t>2019/10/15 10:19:16</t>
  </si>
  <si>
    <t>投诉人于先生投诉对象浦发信用卡涉诉金额5600元问题类型诉求类型投诉详情本人是浦发银行信用卡客户！本人本周内可以还款、希望协商还款时间问题、希望银行给予允许。</t>
  </si>
  <si>
    <t>ofo小黄车更换手机号无法登陆押金无法退还</t>
  </si>
  <si>
    <t>http://ts.21cn.com/tousu/show/id/1362501</t>
  </si>
  <si>
    <t>2019/10/15 10:18:48</t>
  </si>
  <si>
    <t>在2019年3月23日用支付宝扫码骑ofo小黄车，并缴纳押金199元，使用完毕想退押金时，发现登录的是原来使用的手机账号，提示下载ofoAPP才能退款，下载了之后显示是新的手机号登录，原来的停用手机号已经收不到验证码，返回支付宝原来手机号登录的页面也没有找到账号申诉等页面，拨打客服电话迟迟无法接通，线上也一直没人处理，时长已经7个月，所以我要投诉，并且退款，谢谢。</t>
  </si>
  <si>
    <t>即有生活销户难</t>
  </si>
  <si>
    <t>http://ts.21cn.com/tousu/show/id/1362499</t>
  </si>
  <si>
    <t>2019/10/15 10:18:34</t>
  </si>
  <si>
    <t>投诉人 丘先生        投诉对象  即有生活        涉诉金额  0 元    问题类型    诉求类型投诉详情  即有生活 不给用户注销账户！希望有关部门处理一下。</t>
  </si>
  <si>
    <t>占用农田</t>
  </si>
  <si>
    <t>http://ts.21cn.com/tousu/show/id/1362498</t>
  </si>
  <si>
    <t>2019/10/15 10:18:21</t>
  </si>
  <si>
    <t>投诉人吴女士投诉对象工路局,书记涉诉金额10000元问题类型诉求类型投诉详情村里修路占用老百姓农田，不经过老百姓同意，还要集体组织打老百姓。</t>
  </si>
  <si>
    <t>信用管家的现控达人高利贷暴力催收</t>
  </si>
  <si>
    <t>http://ts.21cn.com/tousu/show/id/1362433</t>
  </si>
  <si>
    <t>2019/10/15 10:18:13</t>
  </si>
  <si>
    <t>本人通过2345贷款王推荐平台在现控达人借款，2800，每期七天还款1078.4，超高利息高利贷714，还了一期以后，app不能使用，一直没人来联系，现在突然联系还款，逾期一个月，这是套路贷本息共计8000元，严重超过国家合法利息，催收态度恶劣，要挟爆通讯录，让我所有亲人朋友的手机用了，催收电话147******91，要求本金+合法利息协商还款。</t>
  </si>
  <si>
    <t>维信豆豆钱本已同本人协商还款但是后来反悔</t>
  </si>
  <si>
    <t>http://ts.21cn.com/tousu/show/id/1362494</t>
  </si>
  <si>
    <t>2019/10/15 10:17:50</t>
  </si>
  <si>
    <t>本人于2019年9月30日与维信金科客服经理协商一致，将于2019年10月8日对本人维信豆豆钱剩余4期共计4696元的欠款一次性提前结清，维信豆豆钱将减免息费等共计1000元，本人在国庆节后一直联系不上该客服经理，并且，豆豆钱app上全部结清也未减免费用，本人就拒绝还款，并2次联系豆豆钱人工客服，但人工客服也未给我任何解释及答复，现在我有一期还款已逾期，并且维信也开始暴力催收，搔扰我的亲朋好友，本人要求维信豆豆钱赔礼道谦。</t>
  </si>
  <si>
    <t>收去高额逾期费用</t>
  </si>
  <si>
    <t>http://ts.21cn.com/tousu/show/id/1362497</t>
  </si>
  <si>
    <t>2019/10/15 10:17:46</t>
  </si>
  <si>
    <t>收去高于国家规定的逾期费用，并且不合理还款日制定。</t>
  </si>
  <si>
    <t>网贷不能提前还款</t>
  </si>
  <si>
    <t>http://ts.21cn.com/tousu/show/id/1362496</t>
  </si>
  <si>
    <t>2019/10/15 10:17:45</t>
  </si>
  <si>
    <t>想要提前还款，他们都不给提前还款，希望可以提前还款。</t>
  </si>
  <si>
    <t>http://ts.21cn.com/tousu/show/id/1362495</t>
  </si>
  <si>
    <t>2019/10/15 10:17:38</t>
  </si>
  <si>
    <t>没有借过钱，没有申请过，就做“任务”绑定了一个个人银行卡。</t>
  </si>
  <si>
    <t>闪银强制购买商品，切商品变质</t>
  </si>
  <si>
    <t>http://ts.21cn.com/tousu/show/id/1362493</t>
  </si>
  <si>
    <t>2019/10/15 10:17:20</t>
  </si>
  <si>
    <t>闪银变相收取砍头息，切强制购买商品，而且寄的商品都变质了。</t>
  </si>
  <si>
    <t>投诉淘豆分期扣款</t>
  </si>
  <si>
    <t>http://ts.21cn.com/tousu/show/id/1362492</t>
  </si>
  <si>
    <t>2019/10/15 10:16:54</t>
  </si>
  <si>
    <t>在不知情的情况下自动扣费，突然就成为了淘豆分期的会员，我并没有享受到淘豆分期会员的特权，而且淘豆分期更多的是推荐其他借款平台，强烈要求淘豆分期全额退款，并要求有关部门予以严厉打击，。</t>
  </si>
  <si>
    <t>http://ts.21cn.com/tousu/show/id/1362488</t>
  </si>
  <si>
    <t>2019/10/15 10:16:44</t>
  </si>
  <si>
    <t>投诉人史女士投诉对象Wecash闪银涉诉金额939元问题类型诉求类型投诉详情逾期是不对，但是最近的确是资金周转困难，多次与闪银协商不成，客服态度不好，需要威胁，多次电话骚扰，严重影响生活工作，忘解决。</t>
  </si>
  <si>
    <t>宜人贷高利息贷</t>
  </si>
  <si>
    <t>http://ts.21cn.com/tousu/show/id/1362489</t>
  </si>
  <si>
    <t>2019/10/15 10:16:41</t>
  </si>
  <si>
    <t>投诉人史女士投诉对象宜人贷涉诉金额3500元问题类型诉求类型投诉详情去年年初在宜人贷申请贷款20000，还款几个月以后需要归还的钱还跟本金差不多，后来提前结清，收取了其他的费用，跟按期还款差不多了，现在在app已经查看不到之前的借款记录跟合同，在个人银行流水能查到这些款项。</t>
  </si>
  <si>
    <t>马上金融退罚利息</t>
  </si>
  <si>
    <t>http://ts.21cn.com/tousu/show/id/1362487</t>
  </si>
  <si>
    <t>2019/10/15 10:15:58</t>
  </si>
  <si>
    <t>本人于2017年初分期向马上金融贷款8000元，加上灵活和各种费用还了将近16000元，于2018年下旬全部还清，中间有过逾期一段时间，但是该公司违法国家法律法规，披着合法外衣发放高利贷，因为向银监局12315等平台，合法保障个人合法权益。</t>
  </si>
  <si>
    <t>钱伴注销账号困难</t>
  </si>
  <si>
    <t>http://ts.21cn.com/tousu/show/id/1362486</t>
  </si>
  <si>
    <t>2019/10/15 10:15:53</t>
  </si>
  <si>
    <t>投诉人刘杰投诉对象钱伴涉诉金额0元问题类型诉求类型投诉详情本人已结清钱伴的账款，现在想注销账号，却要非常多的手续，还要手持身份证照片，摆明了是不让注销账号。</t>
  </si>
  <si>
    <t>骚扰平繁打电话，现以被停职</t>
  </si>
  <si>
    <t>http://ts.21cn.com/tousu/show/id/1362485</t>
  </si>
  <si>
    <t>2019/10/15 10:15:40</t>
  </si>
  <si>
    <t>招联金融催收人员骚扰工作单位电话，且导致我处于被辞退边缘，前面一套背后一套，上次协商好，换个人就成另外一个面孔，打电话恐吓，说我被支付宝通缉，一直侮辱，天天爆手机，我工作才刚刚好起来，如果不想让我丢了工作，请停止电话骚扰。</t>
  </si>
  <si>
    <t>花无极套路贷</t>
  </si>
  <si>
    <t>http://ts.21cn.com/tousu/show/id/1362484</t>
  </si>
  <si>
    <t>2019/10/15 10:15:34</t>
  </si>
  <si>
    <t>投诉人王先生投诉对象花无极,快钱支付涉诉金额2026元问题类型诉求类型投诉详情也算是花无极的老客户了，以前是一期的，现在做的是分期到帐1450分四期要还2000多，七天一期！最主要的是一到还款日当天，就有女催收问现在处理！态度很差，现在要求调整利率协商还款，才刚第一期！我要求全部结清，减少不合理的利率、。</t>
  </si>
  <si>
    <t>http://ts.21cn.com/tousu/show/id/1362482</t>
  </si>
  <si>
    <t>2019/10/15 10:15:18</t>
  </si>
  <si>
    <t>停止骚扰联系人，调整利率，对造成的影响做出道歉。</t>
  </si>
  <si>
    <t>支付宝给网络彩票公司提供支付</t>
  </si>
  <si>
    <t>http://ts.21cn.com/tousu/show/id/1362483</t>
  </si>
  <si>
    <t>2019/10/15 10:15:09</t>
  </si>
  <si>
    <t>违反央行规定给网络彩票公司提供支付，交易过程未提醒风险。</t>
  </si>
  <si>
    <t>投诉智行平台机票服务</t>
  </si>
  <si>
    <t>http://ts.21cn.com/tousu/show/id/1362481</t>
  </si>
  <si>
    <t>2019/10/15 10:14:16</t>
  </si>
  <si>
    <t>在6日联系平台希望提高机票的电子发票，回答没有，必须收费寄快递，8号联系平台寄快递，付了20快递费，答应10号寄出，EMS单号：9760996683008.今天15日联系智行平台，希望尽快处理，要求：重寄发票，或者提供电子发票。</t>
  </si>
  <si>
    <t>广州二三四五小贷私自扣款要求退还</t>
  </si>
  <si>
    <t>http://ts.21cn.com/tousu/show/id/1362480</t>
  </si>
  <si>
    <t>2019/10/15 10:13:56</t>
  </si>
  <si>
    <t>广州二三四五突然从我银行卡扣钱，要求退还扣的十元钱。</t>
  </si>
  <si>
    <t>先花一亿元推销骚扰电话</t>
  </si>
  <si>
    <t>http://ts.21cn.com/tousu/show/id/1362478</t>
  </si>
  <si>
    <t>2019/10/15 10:13:43</t>
  </si>
  <si>
    <t>先花一亿元推销骚扰电话，每天早上或者晚上都会打推销贷款电话，全是9开头的网络机器人电话。</t>
  </si>
  <si>
    <t>http://ts.21cn.com/tousu/show/id/1362479</t>
  </si>
  <si>
    <t>2019/10/15 10:13:38</t>
  </si>
  <si>
    <t>投诉人张女士投诉对象招联金融涉诉金额11000元问题类型诉求类型投诉详情本人在招联金融借款11000元分期还款，由于资金出现问题本期已逾期，逾期不对但不是不还，现收到招联金融恐吓催收知信，请做出处理。</t>
  </si>
  <si>
    <t>骚扰家人，催收人员恐吓，上门贴催收单</t>
  </si>
  <si>
    <t>http://ts.21cn.com/tousu/show/id/1224256</t>
  </si>
  <si>
    <t>2019/10/15 10:13:24</t>
  </si>
  <si>
    <t>投诉人王胜投诉对象捷信金融涉诉金额20000元问题类型诉求类型投诉详情在捷信金融上借了20000元，分36期，已经还了20期了，每期还款1115.78元，36期要还40168.08元，甚至催收员还说上门去找老人说现在已经严重影响了我的生活和工作，借两万最后要还四万多，明显的高利贷，而且现在每天不停的打电话骚扰我的家人，现在的确是资金困难，我又没有说过不还钱，每天不断的骚扰，让我无心工作，不工作哪有钱来还呢。</t>
  </si>
  <si>
    <t>电话打不进，也不回复我</t>
  </si>
  <si>
    <t>http://ts.21cn.com/tousu/show/id/1362477</t>
  </si>
  <si>
    <t>2019/10/15 10:13:15</t>
  </si>
  <si>
    <t>借款3000，到账2400，现在要协商还款，平台电话打不通，客服不回复，我现在要求经过聚投诉联系他们，并想说明，我只还到手本金，适当可以加点利息，如谈不好，我们走司法途径，你们不要搞上门这一套。</t>
  </si>
  <si>
    <t>盗刷私自扣款要求退款</t>
  </si>
  <si>
    <t>http://ts.21cn.com/tousu/show/id/1362476</t>
  </si>
  <si>
    <t>2019/10/15 10:12:39</t>
  </si>
  <si>
    <t>投诉人王女士投诉对象小铜钱涉诉金额190元问题类型诉求类型投诉详情套路扣款，完全是欺骗下载顾客，希望受害者同胞们一起举报他们。</t>
  </si>
  <si>
    <t>西马行健身房倒闭会籍私教费索赔</t>
  </si>
  <si>
    <t>http://ts.21cn.com/tousu/show/id/1362442</t>
  </si>
  <si>
    <t>2019/10/15 10:12:23</t>
  </si>
  <si>
    <t>投诉人汪女士投诉对象深圳西马行健身有限公司涉诉金额5197元问题类型诉求类型投诉详情2018年11月26日在深圳市西马行健身有限公司白石洲店办了两年零两个月的会籍卡，并连续报了数十节私教课，2019年9月4日又报了12节私教，总计3960元，每节330元，只上了两节后，9月17日便被通知“内部调整”，去问说是倒闭了，员工工资都发不出来，健身房不开了，现希望能返还剩余的会籍费1896.92元及私教费3300元，共计5196.92元。</t>
  </si>
  <si>
    <t>信而富销户难</t>
  </si>
  <si>
    <t>http://ts.21cn.com/tousu/show/id/1362475</t>
  </si>
  <si>
    <t>2019/10/15 10:12:15</t>
  </si>
  <si>
    <t>投诉人 丘先生        投诉对象  信而富        涉诉金额  0 元    问题类型    诉求类型      投诉详情  要求信而富注销本人的账户。希望有关部门处理一下。</t>
  </si>
  <si>
    <t>拍拍收取高额不合法利息</t>
  </si>
  <si>
    <t>http://ts.21cn.com/tousu/show/id/1362474</t>
  </si>
  <si>
    <t>2019/10/15 10:12:00</t>
  </si>
  <si>
    <t>本人在拍拍贷借款11000元，4个月时间总还12634.49元，实际费率高达44.58%，这完全就是高利贷，完全超出国家法律规定！！拍拍贷借款合同明确所写借款年执行利率11%！！拍拍贷应退还合同外违法所得，本人本着协商的态度，望贵平台进行协调！。</t>
  </si>
  <si>
    <t>种族歧视侮辱东北人</t>
  </si>
  <si>
    <t>http://ts.21cn.com/tousu/show/id/1362471</t>
  </si>
  <si>
    <t>2019/10/15 10:11:14</t>
  </si>
  <si>
    <t>投诉人张先生投诉对象拼多多涉诉金额0元问题类型诉求类型投诉详情我买了贵妃芒商家发的玉芒品种不对！我在维权的过程中多次种族歧视～诋毁我们东北人现来投诉！而且投诉到底。</t>
  </si>
  <si>
    <t>月光侠违法催收</t>
  </si>
  <si>
    <t>http://ts.21cn.com/tousu/show/id/1362473</t>
  </si>
  <si>
    <t>2019/10/15 10:11:13</t>
  </si>
  <si>
    <t>本人在月光侠分期有一笔为期三期借款，还款日为每个月15号，今天为15号，我并未逾期，月光侠分期恶意使用虚拟电话骚扰我的联系人，试问，我并未逾期，且贵方如何得知我通讯录中联系人，侵犯并且盗取我的隐私，而且我并未逾期，还骚扰我的朋友，亲属，作何解释。</t>
  </si>
  <si>
    <t>你我贷，高利贷，年利息35.9%，一直行走在法律的边缘。软暴力催收</t>
  </si>
  <si>
    <t>http://ts.21cn.com/tousu/show/id/1362470</t>
  </si>
  <si>
    <t>2019/10/15 10:11:07</t>
  </si>
  <si>
    <t>本人于2019年5月22日借款11000分期12期，前三期已还款6213.59元，总还款达到14959.62元，年化达到35.99%，游走在高利贷的边缘，本人资金出现问题，寻求客服协商还款减免利息，没想到公司不理会继续找第三方催收爆我的通讯录，还威胁我上征信，不给我协商还款的机会，打电话威胁我，威胁我还款，要不打电话给紧急联系人，如果你我贷公司拒绝我减免利息的请求，本人拒绝还剩余贷款！。</t>
  </si>
  <si>
    <t>还款日到期没有短信或电话提醒，直接告知我家人欠款问题，侵犯我的名誉权。</t>
  </si>
  <si>
    <t>http://ts.21cn.com/tousu/show/id/1362472</t>
  </si>
  <si>
    <t>投诉人林泽阳投诉对象新橙优品涉诉金额3000元问题类型诉求类型投诉详情①还款日到期前没有任何还款短信跟电话的提醒，导致用户逾期，②拨打本人手机号，本人不可能24小时手机带在身边，导致漏接一个电话，直接告知我家人我欠款问题，③我的手机没带在身上，打电话给我，被别人接了，没问清楚接电话的是跟我什么关系，直接告诉接电话的人，我逾期没还，这做法无非跟爆我通讯录有何区别。</t>
  </si>
  <si>
    <t>马上金融暴力催收，威胁</t>
  </si>
  <si>
    <t>http://ts.21cn.com/tousu/show/id/1362467</t>
  </si>
  <si>
    <t>2019/10/15 10:10:57</t>
  </si>
  <si>
    <t>投诉人纪先生投诉对象马上消费金融涉诉金额600元问题类型诉求类型投诉详情在明确表达还款意愿后，表示努力周转筹钱，仍然被客服暴力催收，要求几点前必须还款，不然后果自负，威胁上征信，联系家人什么的，说完直接挂断电话，根本不听人讲话。</t>
  </si>
  <si>
    <t>安庆盛通信息科技有限公司盗刷我90元钱</t>
  </si>
  <si>
    <t>http://ts.21cn.com/tousu/show/id/1362469</t>
  </si>
  <si>
    <t>2019/10/15 10:10:53</t>
  </si>
  <si>
    <t>在未经本人同意的情况下盗刷本人农业银行尾489370，银行卡90元金额，且有查询到该公司多次涉嫌盗刷嫌疑，希望国家管一管！。</t>
  </si>
  <si>
    <t>蛋壳公寓不合理收取违约金</t>
  </si>
  <si>
    <t>http://ts.21cn.com/tousu/show/id/1362468</t>
  </si>
  <si>
    <t>2019/10/15 10:10:51</t>
  </si>
  <si>
    <t>投诉人曲女士投诉对象蛋壳公寓涉诉金额1146元问题类型诉求类型投诉详情我参加蛋壳公寓大学生免押金租房活动，租房期间我和我的房管家反复确认退租时不需要承担违约金，随时住随时走，现在我提交退租，要求我支付违约金。</t>
  </si>
  <si>
    <t>闪银打电话给朋友说话很难听</t>
  </si>
  <si>
    <t>http://ts.21cn.com/tousu/show/id/1362466</t>
  </si>
  <si>
    <t>2019/10/15 10:10:45</t>
  </si>
  <si>
    <t>啥意思，一直打电话爆通讯录，我上班没有时间接电话。</t>
  </si>
  <si>
    <t>http://ts.21cn.com/tousu/show/id/1362464</t>
  </si>
  <si>
    <t>2019/10/15 10:10:24</t>
  </si>
  <si>
    <t>短信电话各种骚扰威胁，还要给通讯录里的联系人发短信电话骚扰.。</t>
  </si>
  <si>
    <t>京东白条催收暴力催收，给联系人乱打电话</t>
  </si>
  <si>
    <t>http://ts.21cn.com/tousu/show/id/1362462</t>
  </si>
  <si>
    <t>2019/10/15 10:09:58</t>
  </si>
  <si>
    <t>因为工作原因，上班时间有时候无法接听电话，京东白条不知道有没有打过我电话我不知道，直接给我家人朋友打电话，逾期后我也从来没接到过京东白条的催收电话，直接给我家人朋友打电话，。</t>
  </si>
  <si>
    <t>畅捷支付为高利贷提供划扣款</t>
  </si>
  <si>
    <t>http://ts.21cn.com/tousu/show/id/1362438</t>
  </si>
  <si>
    <t>2019/10/15 10:09:21</t>
  </si>
  <si>
    <t>投诉人杨先生投诉对象畅捷支付,薪意袋涉诉金额2250元问题类型诉求类型投诉详情1，入口信用管家，2，借款2250元，10天一期，一期还款522，总共6期，4，本人要求畅捷支付立即联系该平台，按照国家政策利率结清，销账，5，国庆刚刚过去，无良平台又开始兴风作浪，希望有关部门能重视！。</t>
  </si>
  <si>
    <t>贷上钱暴露催收</t>
  </si>
  <si>
    <t>http://ts.21cn.com/tousu/show/id/1362461</t>
  </si>
  <si>
    <t>2019/10/15 10:09:20</t>
  </si>
  <si>
    <t>逾期一天无止境的骚扰通讯录，骚扰亲朋好友，侮辱，恐吓，这个社会是还存在黑社会吗，国家规定不是不能骚扰通讯录，难道贷上钱真的目中无人嘛，每个月借款的利息早就超过了本金，是不是真的要逼死人才会有人重视。</t>
  </si>
  <si>
    <t>http://ts.21cn.com/tousu/show/id/1362459</t>
  </si>
  <si>
    <t>2019/10/15 10:08:25</t>
  </si>
  <si>
    <t>投诉人田茂富投诉对象聚福钱包涉诉金额100元问题类型诉求类型投诉详情银行卡里余额就100多，直接扣了我100！其他199说卡里有钱会继续扣款我都不敢卡里存钱了！现在要求退款！在我不知情的情况下扣款！。</t>
  </si>
  <si>
    <t>路人钱包高额利息骚扰亲朋好友</t>
  </si>
  <si>
    <t>http://ts.21cn.com/tousu/show/id/1362458</t>
  </si>
  <si>
    <t>2019/10/15 10:07:51</t>
  </si>
  <si>
    <t>骚扰联系人并且高额利息，2300元借款合同实际到账金额1400元，期限七天，。</t>
  </si>
  <si>
    <t>未经允许泄露个人借贷信息给三方，短信威胁</t>
  </si>
  <si>
    <t>http://ts.21cn.com/tousu/show/id/1362457</t>
  </si>
  <si>
    <t>2019/10/15 10:07:25</t>
  </si>
  <si>
    <t>利息超过国家规定，暴力催收，短信威胁，未经允许骚扰通讯联系人，将个人借贷信息泄露三方，要求停止一切不合法催收骚扰，保留所有证据，维护自身合法权益。</t>
  </si>
  <si>
    <t>你我贷砍头息</t>
  </si>
  <si>
    <t>http://ts.21cn.com/tousu/show/id/1362456</t>
  </si>
  <si>
    <t>2019/10/15 10:07:18</t>
  </si>
  <si>
    <t>你我贷存在高额利息，乱收取手续费，服务器！多次电话骚扰通讯录联系人！现只能按国家规定的利息进行一次性结清！一个加贷，借1600.，已还286一个借4500.已还3179，现全部只能按国家规定的利息来还清。</t>
  </si>
  <si>
    <t>蜡笔超卡女催收找茬诽谤本人</t>
  </si>
  <si>
    <t>http://ts.21cn.com/tousu/show/id/1362455</t>
  </si>
  <si>
    <t>2019/10/15 10:07:01</t>
  </si>
  <si>
    <t>这几个月一直都收不到蜡笔超卡的还款提醒短信，每次过了还款日两三天催收人员打来电话都会及时还进去，此前的催收人员知道应该是他们的提醒系统有问题，我也不是故意逾期，所以态度都算友好，今天的女催收上来就直呼本人姓名，质问为什么没有还款，我解释说这几个月都没有收到还款短信和语音电话提醒，女催收就故意找茬挂断电话，马上又打过来质问我为什么挂断电话，还说我对她态度不好，在国家监管如此严厉的情况下，蜡笔超卡女催收还敢故意找茬，一副盛气凌人的态度。</t>
  </si>
  <si>
    <t>有用分期高利贷公司</t>
  </si>
  <si>
    <t>http://ts.21cn.com/tousu/show/id/1362454</t>
  </si>
  <si>
    <t>2019/10/15 10:06:31</t>
  </si>
  <si>
    <t>超高利息网贷公司，借5600，还九期连本带息要还10000，逾期几天就各种威胁恐吓和手机电话轰炸，冒充司法人员伪造假法院传票。</t>
  </si>
  <si>
    <t>微信无缘无故被打标</t>
  </si>
  <si>
    <t>http://ts.21cn.com/tousu/show/id/1362453</t>
  </si>
  <si>
    <t>2019/10/15 10:06:21</t>
  </si>
  <si>
    <t>微信无缘无故给打标，淘宝买东西都没有恶意退款，也没有给差评，反而我在微信上给人骗了，投诉无门，有证据请提供，没有的话，请取消我的打标，请有证据再打标，都是可以随意打标的吗，你的随意打标造成别人很大的麻烦，难道我一辈子都要背着这个所谓的臭名，请平台给与一个合理的说法。</t>
  </si>
  <si>
    <t>逾期六天威胁爆通讯录</t>
  </si>
  <si>
    <t>http://ts.21cn.com/tousu/show/id/1362452</t>
  </si>
  <si>
    <t>2019/10/15 10:06:16</t>
  </si>
  <si>
    <t>2017年开始接触到360借条并使用，期间没有出现过一次逾期，2018年接到其业务人员电话，诱导本人一次性借出全部额度19000元，说是能够提升额度并循环使用！可借出后至今就关闭额度，只能还不能借了！至今已还16000多，总共还欠3000！由于前段时间本人公司经营失败，失去了经济来源，至今也没有找到工作，所以暂时丧失还款能力，直接导致逾期6天，逾期这些天内，多次接到360借条的催收电话，也告知逾期原因，并表明因剩余欠款不多，会再有了收入之后第一时间还清逾期欠款！今天又接到催收电话，表示11点钱还不结清欠款，</t>
  </si>
  <si>
    <t>万达普惠暴力催收骚扰</t>
  </si>
  <si>
    <t>http://ts.21cn.com/tousu/show/id/1362451</t>
  </si>
  <si>
    <t>2019/10/15 10:06:03</t>
  </si>
  <si>
    <t>投诉人贺先生投诉对象万达普惠,快钱-快易花涉诉金额1094元问题类型诉求类型投诉详情万达普惠工作人员是本人见过催收最恶劣之一，催收人员趾高气昂的各种威胁，恐吓，去年万达普惠客服打本人电话打了两次让我在他平台借款，在今年本人没任何逾期情况下不许循环使用导致资金断裂，然而本人逾期一天催收电话不停，还骚扰联系人，各种威胁恐吓，态度及其恶劣，本人不是不还，要求他们道歉就还，但万达催收依旧如此威胁，本人在不需要他们产品的时候邀请借款各种忽悠我，然而借了后征信被他们弄坏了，五逾期的情况下不给循环，现在还暴力催收威胁，最</t>
  </si>
  <si>
    <t>贷上钱元宝钱包</t>
  </si>
  <si>
    <t>http://ts.21cn.com/tousu/show/id/1362450</t>
  </si>
  <si>
    <t>2019/10/15 10:05:56</t>
  </si>
  <si>
    <t>贷上钱元宝钱包逾期一天，刚刚催收打来电话态度嚣张，蛮横，给他说了资金困难暂时没钱处理，根本就不听，还一直威胁还款，现在的高利贷都是藐视法律的吗，爆通讯录还不承认，只希望平台能够管管这些高利贷。</t>
  </si>
  <si>
    <t>随意拨打通讯录联系人</t>
  </si>
  <si>
    <t>http://ts.21cn.com/tousu/show/id/1362449</t>
  </si>
  <si>
    <t>2019/10/15 10:05:46</t>
  </si>
  <si>
    <t>在与本人取得联系的情况下，随意骚扰我的通讯录联系人，对我的亲人朋友造成骚扰！！！要求国美易卡停止骚扰，作出道歉！！！。</t>
  </si>
  <si>
    <t>御剑飞行恶意辱骂，催收</t>
  </si>
  <si>
    <t>http://ts.21cn.com/tousu/show/id/1362447</t>
  </si>
  <si>
    <t>2019/10/15 10:05:13</t>
  </si>
  <si>
    <t>本人因个人资金周转原因，与2019年十月十日下午通过小七平台下载了里面一个叫御剑飞行的app，由于此app里面的虚假广告，阴阳合同等手段，填写资料过后自动下款，导致我从此app中借款2100元，当下款到账时，我才发现还款就需要还3517元，甚至只有五天时间，导致我立马进app找客服联系退款取消合同，但是怎么都联系不到客服，中间一直都联系不上，导致与2019年十月十四日中午，到了还款当天，中午催收人员就用恐吓威胁的语气说下午必须还款，不听任何解释就挂电话，由于我的工作是给领导开车，导致下午开车过程中，他们无线</t>
  </si>
  <si>
    <t>芸学院教育机构霸王条款</t>
  </si>
  <si>
    <t>http://ts.21cn.com/tousu/show/id/1362448</t>
  </si>
  <si>
    <t>2019/10/15 10:05:12</t>
  </si>
  <si>
    <t>当时说可以考人力资源三级我才报名，现在不可以考我要求退款，但是APP上课要签订霸王条款才可看课，且课程都是以前的，报名后无收据，无发票，也没有人工督促学习，交完钱没人管。</t>
  </si>
  <si>
    <t>小闪分期退还保费</t>
  </si>
  <si>
    <t>http://ts.21cn.com/tousu/show/id/1362445</t>
  </si>
  <si>
    <t>2019/10/15 10:04:51</t>
  </si>
  <si>
    <t>要求小闪卡贷给出借款合同和保险合同，并且说明保险合同作用。</t>
  </si>
  <si>
    <t>途牛首付催收恶劣</t>
  </si>
  <si>
    <t>http://ts.21cn.com/tousu/show/id/1362443</t>
  </si>
  <si>
    <t>2019/10/15 10:04:38</t>
  </si>
  <si>
    <t>投诉人 周女士        投诉对象  途牛        涉诉金额  160 元    问题类型    诉求类型投诉详情  逾期三天说了难处迟两天处理。催收说直接打联系人通知。态度恶劣。</t>
  </si>
  <si>
    <t>http://ts.21cn.com/tousu/show/id/1362444</t>
  </si>
  <si>
    <t>2019/10/15 10:04:25</t>
  </si>
  <si>
    <t>本人在宜人贷宁德门店贷款85000分36期还，每期还3998元，已还19期，但现在资金出现困难已逾期，催收人员打电话进行催收，不给解释机会直接表示会打亲朋好友，并爆通讯录，这已属爆力催收，该平台利息属于高利息，请禁止这种行为。</t>
  </si>
  <si>
    <t>凡普金科砍头息</t>
  </si>
  <si>
    <t>http://ts.21cn.com/tousu/show/id/1362414</t>
  </si>
  <si>
    <t>2019/10/15 10:04:22</t>
  </si>
  <si>
    <t>投诉人张先生投诉对象凡普信涉诉金额82100元问题类型诉求类型投诉详情实际借款6万元，合同金额为82100元，高额砍头息加阴阳合同，假装打款82100元，马上又从该卡里扣走21000元，实际到账60000元，。</t>
  </si>
  <si>
    <t>投诉银盛通信强制扣费</t>
  </si>
  <si>
    <t>http://ts.21cn.com/tousu/show/id/1362440</t>
  </si>
  <si>
    <t>2019/10/15 10:04:06</t>
  </si>
  <si>
    <t>使用银盛通信已经很长时间了，当时图方便买的给父亲在用，当时也没有让实名登记，月初扣除了60多月租，在五号左右卡突然说停机了，然后以为是欠费又充值了20元，但还是不能用，然后打客服，说需要实名补登，然后我说要过户他麻烦了，老人家也不会弄，要求退费，客服不给退，说要退给原机主银行卡，搞笑了，然后又按照客服要求让我父亲重新实名登记，但就是一直在审核，打客服电话又喊核名字那些，但我父亲身份证号我能背下来，问客服为什么告知需要实名登记直接停卡，害得我充那么多费，客服态度嚣张又强硬，我现在强烈要求投诉银盛通信，这种强制</t>
  </si>
  <si>
    <t>维信卡卡贷客服不作为，利息过高</t>
  </si>
  <si>
    <t>http://ts.21cn.com/tousu/show/id/1362437</t>
  </si>
  <si>
    <t>2019/10/15 10:03:18</t>
  </si>
  <si>
    <t>三个月前通过维信卡卡贷借款11000元，今天早上收到还款信息，然后通过400166电话与对方沟通全额还款事宜，女客服查询后给出结清金额是9203元，因为事先按照每月1200多接近1300还款三期，扣除保险费999元实际到账是一万元整，觉得这个全额还款金额太高后转接男性客服，告知今天不能全额还款，前后不一致。</t>
  </si>
  <si>
    <t>高额利息远超国家规定红线，忘协商</t>
  </si>
  <si>
    <t>http://ts.21cn.com/tousu/show/id/1362436</t>
  </si>
  <si>
    <t>2019/10/15 10:02:41</t>
  </si>
  <si>
    <t>借款1000还款1900远超国家规定利率，阴阳合同，发短信威胁，逾期费用高得吓人，现在本人想与对方协商归还本金。</t>
  </si>
  <si>
    <t>捷信违法</t>
  </si>
  <si>
    <t>http://ts.21cn.com/tousu/show/id/1362435</t>
  </si>
  <si>
    <t>2019/10/15 10:02:04</t>
  </si>
  <si>
    <t>并且但是分期买手机没有留下任何的通讯录号码，本人今年3月份新办的一张联通卡催收都能知道，催收所做的一切违法行为还感觉自己是光明正大。</t>
  </si>
  <si>
    <t>信用管家平台新袋钱包贷款高利贷</t>
  </si>
  <si>
    <t>http://ts.21cn.com/tousu/show/id/1362269</t>
  </si>
  <si>
    <t>2019/10/15 10:02:02</t>
  </si>
  <si>
    <t>本人在信用管家平台，提供借款新袋钱包，到账2700，共6期，期限15天，每期还款639，共需还3800多，已还本金4期，2560，无力偿还高额利息，协商国家允许利率还款。</t>
  </si>
  <si>
    <t>平安普惠违法盗取贷款人通讯录</t>
  </si>
  <si>
    <t>http://ts.21cn.com/tousu/show/id/1362434</t>
  </si>
  <si>
    <t>2019/10/15 10:01:41</t>
  </si>
  <si>
    <t>本人在2018年3月在平安普惠贷款，之后还款一直良好从未逾期，今年10月因一些原因未能按时还款，也和平安普惠的工作人员说明了原因，但是，他们不仅打了我紧急联系人的电话，还通过非法手段获取了我的通讯录联系人，甚至连我通讯录里面没有的电话他们都去查到了，不停的进行骚扰！这个公司是什么性质的公司。</t>
  </si>
  <si>
    <t>要求闪电借款延期催收</t>
  </si>
  <si>
    <t>http://ts.21cn.com/tousu/show/id/1362432</t>
  </si>
  <si>
    <t>2019/10/15 10:01:19</t>
  </si>
  <si>
    <t>投诉人董先生投诉对象掌众金服涉诉金额1800元问题类型诉求类型投诉详情今天是闪电借款第五天因特殊原因导致5天逾期，需要等17号把剩下的1800还清请宽限到17号不要骚扰联系人。</t>
  </si>
  <si>
    <t>高利息擅自修改还款期数，修改合同</t>
  </si>
  <si>
    <t>http://ts.21cn.com/tousu/show/id/1362375</t>
  </si>
  <si>
    <t>2019/10/15 10:01:15</t>
  </si>
  <si>
    <t>投诉人吴静投诉对象水莲金条涉诉金额3000元问题类型诉求类型投诉详情2019年5月5日借了水莲金条3000元，借款期限是6个月，每个月还505.72元，2019年10月15日软件更新，平台私自修改合同期限6个月，变成还款期限7个月，本来只还6个月，第7个月不会还的！现在6个月已合部还清！！！！打击严查这种违法，高利息还私自修改合同，修改后的合同很糊，看不清楚，这种也叫合同！！！合同上是400多一个月，实际上还500多一个月。</t>
  </si>
  <si>
    <t>网易云买了东西结果货没收到物流信息也全是假的</t>
  </si>
  <si>
    <t>http://ts.21cn.com/tousu/show/id/1362431</t>
  </si>
  <si>
    <t>2019/10/15 10:00:31</t>
  </si>
  <si>
    <t>我明明是13号买的结果物流是11号还提示已经被签收。</t>
  </si>
  <si>
    <t>立借钱置宝恶意逾期</t>
  </si>
  <si>
    <t>http://ts.21cn.com/tousu/show/id/1362429</t>
  </si>
  <si>
    <t>2019/10/15 10:00:30</t>
  </si>
  <si>
    <t>投诉人樊先生投诉对象钱置宝,立借涉诉金额2250元问题类型诉求类型投诉详情钱置宝还款日期还不了款，跟客服联系客服说必须把逾期费还了，这个不是我愿意逾期，下面有图还款显示0怎么还，今天又有催收人员打电话喊还款20分钟爆通讯录，打电话过去协商还本金加利息消帐被拒绝，喊处理，不处理就爆通讯录，拒绝协商，请聚投诉帮忙，每天加的逾期费用太高，说还本金加利息又拒绝消帐。</t>
  </si>
  <si>
    <t>http://ts.21cn.com/tousu/show/id/1362430</t>
  </si>
  <si>
    <t>2019/10/15 10:00:18</t>
  </si>
  <si>
    <t>在贷上钱借款2000一月后要还2500，逾期协商不成威胁打亲戚朋友工作单位电话，对生活工作严重影响，希望停止骚扰。</t>
  </si>
  <si>
    <t>微粒贷非法催收，冻结微信号</t>
  </si>
  <si>
    <t>http://ts.21cn.com/tousu/show/id/1362428</t>
  </si>
  <si>
    <t>2019/10/15 10:00:16</t>
  </si>
  <si>
    <t>投诉人刘先生投诉对象微粒贷软暴力催收涉诉金额2500元问题类型诉求类型投诉详情之前与微粒贷催收已经说明还款方案，但近期发现微粒贷的催收，通过抖音，支付宝等发私信骚扰，非法冻结我本人的微信号，这么大平台背后干这些勾当。</t>
  </si>
  <si>
    <t>立即平台高利贷</t>
  </si>
  <si>
    <t>http://ts.21cn.com/tousu/show/id/1362426</t>
  </si>
  <si>
    <t>2019/10/15 09:59:58</t>
  </si>
  <si>
    <t>平台说好分期12期还款，但是前3期要求归还本金，利息超高，借款下款7000元前3期还8890元，严重高利贷，后面9期每期还有77.7元利息要还！。</t>
  </si>
  <si>
    <t>中金支付收取砍头息并欺诈用户</t>
  </si>
  <si>
    <t>http://ts.21cn.com/tousu/show/id/1362427</t>
  </si>
  <si>
    <t>投诉人刘先生投诉对象中金支付涉诉金额1526元问题类型诉求类型投诉详情我于2019年9月14日投诉由中金支付提供通道收取砍头息的问题，当时客服联系我协商撤销投诉就退款最近两笔，然而我撤销投诉后客服态度敷衍，只退款一笔剩下的一个月过去了客服告知退款失败让我重新等，每天咨询客服都是让我等，根本不处理问题，他们联合起来欺骗我撤销投诉又不退款给我，无限期让我等，这个问题已经伤害到我的感情，如果此问题得不到妥善解决我将向12363央行投诉热线继续申诉维权。</t>
  </si>
  <si>
    <t>小花钱包暴力催收威胁恐吓上门</t>
  </si>
  <si>
    <t>http://ts.21cn.com/tousu/show/id/1362425</t>
  </si>
  <si>
    <t>2019/10/15 09:59:44</t>
  </si>
  <si>
    <t>投诉人王女士投诉对象小花钱包涉诉金额6500元问题类型诉求类型投诉详情小花钱包本金8500，因为有困难所以逾期了，但是和他们的工作人员协商好，每个月发了工资会还上一部分，之后两个月我也说到做到一发工资就还了，谁知道第三个月也就是这个十月份小花钱包就把我的这个案子转外包了，打电话客服不肯协商，说我长期拖欠要上门一次性收全款，剩余本金六千多外包公司非说八千多，而且说上门还要收上门费，简直就是逼死人的节奏，打黑扫恶，为什么小花钱包还能这么猖獗。</t>
  </si>
  <si>
    <t>广东寰宇集团上级移联科技公司套路忽悠欺诈我</t>
  </si>
  <si>
    <t>http://ts.21cn.com/tousu/show/id/1362413</t>
  </si>
  <si>
    <t>2019/10/15 09:58:55</t>
  </si>
  <si>
    <t>投诉人黄先生投诉对象盛pos,移联科技涉诉金额299元问题类型诉求类型投诉详情投诉广东寰宇集团公司n多次，盛pos机器有问题又用不了，官方又解决不了，又不敢退款，直到闹到上级移联科技公司答应我走流程五个工作日退款，拖延到最后一天了，结果说处理这件事的工作人员放假了。</t>
  </si>
  <si>
    <t>http://ts.21cn.com/tousu/show/id/1362423</t>
  </si>
  <si>
    <t>本人在2016年左右开始使用招联金融，一直都按期还款，就算再有困难都想尽一切办法还款，但到近期确实因为实在没有钱还了，造成逾期，招联金融打电话过来我告诉他们我会还钱，逾期该算的费用照样算，短时间内我拿不出来，然后得到到回复就是限今天几点前必须还钱，限明天几点前必须还钱，每天至少4个电话以上，然后直接给我发函，威胁我不还钱将通知我单位，我单位上级单位，我亲人等，具体内容我将上传，我并不是不还钱，是真没有了，逾期的利息我也认，也说清楚了，为何要咄咄相逼。</t>
  </si>
  <si>
    <t>http://ts.21cn.com/tousu/show/id/1362422</t>
  </si>
  <si>
    <t>2019/10/15 09:58:41</t>
  </si>
  <si>
    <t>投诉人 曹先生        投诉对象  友信        涉诉金额  20 000 元    问题类型    诉求类型      投诉详情  借款20000 还三年36期 开始3期接近俩倍的 以后每月997.78 太坑人了 非法高利贷本人辛苦还了快三年了 现在app 进不去了 就补了一个照片</t>
  </si>
  <si>
    <t>51恶意催收暴力催收高利贷</t>
  </si>
  <si>
    <t>http://ts.21cn.com/tousu/show/id/1362421</t>
  </si>
  <si>
    <t>2019/10/15 09:58:20</t>
  </si>
  <si>
    <t>昨天处理一个账单，忘记另一个了今天逾期一天。</t>
  </si>
  <si>
    <t>凤凰智信喜鹊快贷高额利息，暴力催收</t>
  </si>
  <si>
    <t>http://ts.21cn.com/tousu/show/id/1362420</t>
  </si>
  <si>
    <t>2019/10/15 09:58:17</t>
  </si>
  <si>
    <t>我从来没用过除支付宝以外的网贷，喜鹊快贷发信息给我，我在好奇的情况下，下载了喜鹊快贷app,当时看到有一万的额度，但是看不到利息什么的，我想着可能需要借款后才能看到利息吧，借款应该和支付宝一样随时可以还款的，按日付利息，然后就借了款，借款后才知道他们需要收4000多的利息，我当时并不缺钱，就打电话电话给客服，客服提供了个微信号，让我转11000过去，我不怎么相信，所以也不敢转，一直也不知道怎么解决，就只好在App上按每期还款，而且他们App经常就是还款失败，然后按逾期处理，还打电话骚扰我的家人、同事、朋友，</t>
  </si>
  <si>
    <t>胖胖有米高利贷砍头息</t>
  </si>
  <si>
    <t>http://ts.21cn.com/tousu/show/id/1362418</t>
  </si>
  <si>
    <t>2019/10/15 09:58:07</t>
  </si>
  <si>
    <t>10月12日上午，下载胖胖有米app后，填写资料过程中手机运营商验证很多遍，抓取信息一直失败，因为资料填写不完整根本借不了款，遂放弃借款，删除了app，没想到了下午，我的尾号6021的中国银行银行卡到账1375元，然后我又重新下载胖胖有米apo，上面显示还款额是2512.33元，5天期限，因为我手机运营商一直验证不成功，借款并不是我本人操作，是平台主动放款，且砍头息严重，现在希望跟胖胖有米协商取消订单，收回放款，打款的1375，一直在银行卡并没有动。</t>
  </si>
  <si>
    <t>维信卡卡贷工作人员暴力催收</t>
  </si>
  <si>
    <t>http://ts.21cn.com/tousu/show/id/1362419</t>
  </si>
  <si>
    <t>2019/10/15 09:57:53</t>
  </si>
  <si>
    <t>今天上午一位卡卡贷工作人员于上午9点34分021-60460206用打电话催收，当时在开车，跟她说了我在开车不方便接听电话，客服人员一直不停的恐吓威胁，我说我不是不还，因为账单被冻结，我也就此问题反映过给贵司，工作人员就是不听，于是我将电话挂机，该工作人员就是不听我的解释，该客服工号6601.现强烈要求该客服致电道歉。</t>
  </si>
  <si>
    <t>智行火车票软件在没告知我要加速包的情况下，收了我18元加速包的费用，要求退还</t>
  </si>
  <si>
    <t>http://ts.21cn.com/tousu/show/id/1362416</t>
  </si>
  <si>
    <t>2019/10/15 09:57:50</t>
  </si>
  <si>
    <t>投诉人陈女士投诉对象智行涉诉金额18元问题类型诉求类型投诉详情智行火车票软件在没告知我要加速包的情况下，收了我18元加速包的费用，在完成订单时我才知情，结果已经自动扣费了，这是欺骗消费者，强制消费，所以要求退还加速包费用。</t>
  </si>
  <si>
    <t>美团生活费骚扰客户导致公司造成损失</t>
  </si>
  <si>
    <t>http://ts.21cn.com/tousu/show/id/1362424</t>
  </si>
  <si>
    <t>2019/10/15 09:57:48</t>
  </si>
  <si>
    <t>投诉人黄先生投诉对象美团金融涉诉金额8000元问题类型诉求类型投诉详情屡次骚扰客户，导致公司造成巨大损失，现在已被革职，工资奖金都没了。</t>
  </si>
  <si>
    <t>第三方催收威胁</t>
  </si>
  <si>
    <t>http://ts.21cn.com/tousu/show/id/1362415</t>
  </si>
  <si>
    <t>2019/10/15 09:57:32</t>
  </si>
  <si>
    <t>发来三张照片，是本人居委会和居住的楼下门牌号，不说明发照片的原因，或者是哪里的人，本人很担心家里两个老人人身安全，在国家严打黑恶势力的时候竟然还有这种暗示威胁性短信存在，让人很担心，希望相关部门能查清是哪里的人发送的照片。</t>
  </si>
  <si>
    <t>豆豆钱以保险费名义砍头息，阴阳合同</t>
  </si>
  <si>
    <t>http://ts.21cn.com/tousu/show/id/1362412</t>
  </si>
  <si>
    <t>2019/10/15 09:56:13</t>
  </si>
  <si>
    <t>豆豆钱收取砍头息，我借款到账后以保险费为由直接到账扣取，一开始在APP页面显示保单金额，并未告知保险费要单独扣除，然而借款确认以后到账直接扣下，且利息完全超过了国家规定，每月实际还款金额与放款前显示金额不一致，我有银行流水可随时查到，每月还款额都大于合同金额，约26%左右，我也是最近查看合同才得知请立刻予以退还每个月都多5/6百元。</t>
  </si>
  <si>
    <t>拍拍货一年前还完款，现在又收到催款信息</t>
  </si>
  <si>
    <t>http://ts.21cn.com/tousu/show/id/1362411</t>
  </si>
  <si>
    <t>2019/10/15 09:56:00</t>
  </si>
  <si>
    <t>我在2018年9月19日与拍拍贷的员工已协商还款，但在2019年我又收到拍拍贷的催款信息，。</t>
  </si>
  <si>
    <t>http://ts.21cn.com/tousu/show/id/1362410</t>
  </si>
  <si>
    <t>2019/10/15 09:55:54</t>
  </si>
  <si>
    <t>投诉人 曹先生        投诉对象  小花钱包        涉诉金额  5 000 元    问题类型    诉求类型投诉详情  高利贷 砍头息 暴力催收 广州公司 请知悉</t>
  </si>
  <si>
    <t>掌buy商城收取高额砍头息</t>
  </si>
  <si>
    <t>http://ts.21cn.com/tousu/show/id/1362409</t>
  </si>
  <si>
    <t>2019/10/15 09:55:41</t>
  </si>
  <si>
    <t>就是变相的高利贷产品，伪装成商城的形式，其实就是挂羊头卖狗肉，里面有个黑卡的东西就是变相的砍头息，然后你买了黑卡之后就可以借款，黑卡价格是180，借款1200，到手只有800，这里面又扣了400，到期之后需要还款1250，然后该平台不支持自动扣款直接就是逾期，一天的逾期费高达100元，该公司对接的支付通道就是春禾还款，希望有关平台好好查查，严查这种放高利贷的公司跟支持该公司的支付公司。</t>
  </si>
  <si>
    <t>小黄车ofo不退还押金、客服挂客户电话</t>
  </si>
  <si>
    <t>http://ts.21cn.com/tousu/show/id/1362408</t>
  </si>
  <si>
    <t>2019/10/15 09:55:02</t>
  </si>
  <si>
    <t>投诉人于先生投诉对象ofo涉诉金额199元问题类型诉求类型投诉详情退款一年了还排在九百万以后这要等到何时才能退回来，电话打不通，这简直就是欺诈消费者的权益，这样的企业没人管吗。</t>
  </si>
  <si>
    <t>凡普信变相高利贷</t>
  </si>
  <si>
    <t>http://ts.21cn.com/tousu/show/id/1362407</t>
  </si>
  <si>
    <t>2019/10/15 09:54:49</t>
  </si>
  <si>
    <t>投诉人林女士投诉对象凡普信涉诉金额43000元问题类型诉求类型投诉详情本人于7月15日借款43000元，分24期，到账61300元后马上被扣18300元作为趸缴服务费，请问这费用是否合理，到手才43000元，实际要偿还81996.69元，足足差不多一倍，请平台给予帮助。</t>
  </si>
  <si>
    <t>民生银行催收</t>
  </si>
  <si>
    <t>http://ts.21cn.com/tousu/show/id/1362406</t>
  </si>
  <si>
    <t>2019/10/15 09:54:26</t>
  </si>
  <si>
    <t>民生银行催收态度恶劣，恐吓威胁骚扰其他无关人员，本人因为所在公司倒闭，外债收不回，导致经济困难信用卡逾期，现打零工为业，请求协商还款，停息挂账，停止第三方利益集团骚扰。</t>
  </si>
  <si>
    <t>神马借恶意使用户逾期</t>
  </si>
  <si>
    <t>http://ts.21cn.com/tousu/show/id/1362405</t>
  </si>
  <si>
    <t>2019/10/15 09:53:54</t>
  </si>
  <si>
    <t>本人之前通过助理钱包app申请神马借这一贷款，借2250还3072，砍头息822元，本人第四期到期时app无法还款，客服联系不上，发过投诉帖子也无人回应，导致逾期，逾期根本就不是我的问题，现在通过投诉平台申请维护自己合法权益，要求减掉最后一期账单。</t>
  </si>
  <si>
    <t>罚息超出国家规定</t>
  </si>
  <si>
    <t>http://ts.21cn.com/tousu/show/id/1362404</t>
  </si>
  <si>
    <t>2019/10/15 09:53:50</t>
  </si>
  <si>
    <t>本人因交通事故丧失劳动能力，不是故意逾期，但是罚息太高3000多的本金现在要还5000多，无力承担，要求协商。</t>
  </si>
  <si>
    <t>拍下商品不发货一直让我退货</t>
  </si>
  <si>
    <t>http://ts.21cn.com/tousu/show/id/1362402</t>
  </si>
  <si>
    <t>2019/10/15 09:53:25</t>
  </si>
  <si>
    <t>已购买商品，付款成功后商家不承认价格，电话我退款。</t>
  </si>
  <si>
    <t>http://ts.21cn.com/tousu/show/id/1362401</t>
  </si>
  <si>
    <t>2019/10/15 09:53:17</t>
  </si>
  <si>
    <t>非工作时间打电话骚扰，之前的电话无法接通，我主动联系平台留下现在的电话，和他们好说好商量希望能宽限到18号处理账单。</t>
  </si>
  <si>
    <t>http://ts.21cn.com/tousu/show/id/1362400</t>
  </si>
  <si>
    <t>2019/10/15 09:53:04</t>
  </si>
  <si>
    <t>158******13这个号码一直骚扰公司座机电话。</t>
  </si>
  <si>
    <t>http://ts.21cn.com/tousu/show/id/1362396</t>
  </si>
  <si>
    <t>2019/10/15 09:52:49</t>
  </si>
  <si>
    <t>投诉人唐先生投诉对象小赢卡贷涉诉金额600元问题类型诉求类型投诉详情小赢卡贷最后一期，委派的第三方催收都什么素质，说话就是想激怒你，说了在周转唧唧歪歪一堆，有钱谁愿意接催收电话，小赢催收真是恶心，这个公司怎么上市的。</t>
  </si>
  <si>
    <t>辱骂短信</t>
  </si>
  <si>
    <t>http://ts.21cn.com/tousu/show/id/1362399</t>
  </si>
  <si>
    <t>投诉人唐女士投诉对象借了呗涉诉金额1300元问题类型诉求类型投诉详情打电话骚扰，发辱骂短信，希望他们停止骚扰。</t>
  </si>
  <si>
    <t>建设银行信用卡上门</t>
  </si>
  <si>
    <t>http://ts.21cn.com/tousu/show/id/1362398</t>
  </si>
  <si>
    <t>2019/10/15 09:52:46</t>
  </si>
  <si>
    <t xml:space="preserve">投诉人 冉先生        投诉对象  建设银行信用卡        涉诉金额  14 000 元    问题类型    诉求类型      投诉详情  上个星期五你们建设银行的的催收上门 他说有什么都需要直接报备你们银行 我的情况他也知道 我现在用的是别人的手机号 那个电话因为催收已经没用了 我希望可以减免点利息 3个月内还清 因为你们的上门我爸妈已经不管我了 我25号发工资能先还5000 所以恳求贵行给我一个机会 我也想尽快把这些事处理了 希望停止催收 </t>
  </si>
  <si>
    <t>无缘无故没经过我同意从银行卡里面扣款</t>
  </si>
  <si>
    <t>http://ts.21cn.com/tousu/show/id/1362397</t>
  </si>
  <si>
    <t>2019/10/15 09:52:41</t>
  </si>
  <si>
    <t>上海造艺网络技术有限公司涉诉金额600元问题类型诉求类型投诉详情无缘无故也不经过本人同意，也没有个提示，就扣两次300元。</t>
  </si>
  <si>
    <t>对于小象优品轰炸通讯录，拒不承认的投诉</t>
  </si>
  <si>
    <t>http://ts.21cn.com/tousu/show/id/1362395</t>
  </si>
  <si>
    <t>2019/10/15 09:52:30</t>
  </si>
  <si>
    <t>对自己的暴击催收形象拒不承认，并进行第二次通讯录轰炸，他们所谓的联系紧急联系人。</t>
  </si>
  <si>
    <t>逾期一天催收就开始打电话，威胁1小时内处理</t>
  </si>
  <si>
    <t>http://ts.21cn.com/tousu/show/id/1362403</t>
  </si>
  <si>
    <t>2019/10/15 09:52:14</t>
  </si>
  <si>
    <t>投诉人陆先生投诉对象现金借款涉诉金额950元问题类型诉求类型投诉详情最后一期还款，因为资金目前有点困难，正在想办法处理，逾期地第一天早上9点半，催收就开始打电话，说必须在10点半前处理，不然封额度，并且上报征信。</t>
  </si>
  <si>
    <t>di di</t>
  </si>
  <si>
    <t>http://ts.21cn.com/tousu/show/id/1362394</t>
  </si>
  <si>
    <t>2019/10/15 09:52:01</t>
  </si>
  <si>
    <t>坐标南宁，从今年八月份开始我就开始我关于车证的诉求了！本人积极响应国家政策，办理了车证和人证，后面南宁滴滴改变政策，限制派单，要求过他们滴滴平台办证不然限制派单，哪怕车证国家承认它滴滴牛就是不认！好，你无敌滴滴！为了生活迫于无奈，注销车证，活它们滴滴平台办理，九月十七交的材料，现在十月十五号了！快一个月了！什么动静都没有！忽悠逼迫我的注销，让我每天开车都是脚发抖！怕被捉！期间找过他们实体店的工作人员，态度冷漠，来来回回都是你到时候打电话给400，会有专人处理，问怎么处理，不说化，问罚款谁出不说话，问驾驶证被</t>
  </si>
  <si>
    <t>http://ts.21cn.com/tousu/show/id/1362393</t>
  </si>
  <si>
    <t>2019/10/15 09:51:28</t>
  </si>
  <si>
    <t>高额砍头息，电话骚扰，信息群发骚扰，要求返还一千多保险费，否则不处理，。</t>
  </si>
  <si>
    <t>遭广州银联网络支付公司盗款</t>
  </si>
  <si>
    <t>http://ts.21cn.com/tousu/show/id/1360824</t>
  </si>
  <si>
    <t>2019/10/15 09:50:23</t>
  </si>
  <si>
    <t>姓名：林秀容银行卡号：62****************8手机号码：150******59本人在不知情的情况下被广州银联网络支付公司盗款,该公司单方面盗款了4笔，2019-10-14，乐王收费的，本人与其无任何交易来往，也未签订任何代扣协议，完全是单方面行为，希望贵公司能退还所扣金额，避免公司信誉受损，退款后本人不在追究，谢谢。</t>
  </si>
  <si>
    <t>钱站是高利贷，阴阳合同</t>
  </si>
  <si>
    <t>http://ts.21cn.com/tousu/show/id/1362391</t>
  </si>
  <si>
    <t>2019/10/15 09:50:09</t>
  </si>
  <si>
    <t>投诉人房先生投诉对象钱站涉诉金额1000元问题类型诉求类型投诉详情钱站是高利贷，阴阳合同，放款1000，还要1400多，比例高达60%，合同是自动生成的，根本没经过签名确认，逾期一天，逾期费高达一百多，好黑暗。</t>
  </si>
  <si>
    <t>北京有缘科技股份有限公司未经本人允许从我支付宝扣款</t>
  </si>
  <si>
    <t>http://ts.21cn.com/tousu/show/id/1362390</t>
  </si>
  <si>
    <t>2019/10/15 09:49:59</t>
  </si>
  <si>
    <t>下了一个软件然后聊天交友的吗不知道怎么的就开通了免密支付，开通了也罢了吗但是我没有订购任何的业务，他帮我订购了两个业务，分别扣去了69元和99元，还开通了续费服务，现在我要求全额退款，并且退订续费服务。</t>
  </si>
  <si>
    <t>还呗公司态度不好威胁我</t>
  </si>
  <si>
    <t>http://ts.21cn.com/tousu/show/id/1362389</t>
  </si>
  <si>
    <t>2019/10/15 09:49:42</t>
  </si>
  <si>
    <t>投诉人 肖先生        投诉对象  还呗        涉诉金额  19 000 元    问题类型    诉求类型投诉详情  昨天说要我处理处理完可以给我宽限几天 但是没周转这么多只能处理少点 今天说我没处理好 今天威胁我说走流程什么的 还态度不好</t>
  </si>
  <si>
    <t>51人品贷收高额利息费用</t>
  </si>
  <si>
    <t>http://ts.21cn.com/tousu/show/id/1362388</t>
  </si>
  <si>
    <t>2019/10/15 09:49:40</t>
  </si>
  <si>
    <t>7月11日在51人品贷借款33100元，三个月，还了三期每期金额3734.78，一共是11204.34，提前结清还要我还25987.62，一共还37191.96，也就是三个月一共需要支付利息4091.96，年利息达到了49%，已经是高利贷了！！！。</t>
  </si>
  <si>
    <t>恐吓高利贷砍头息电话威胁</t>
  </si>
  <si>
    <t>http://ts.21cn.com/tousu/show/id/1362387</t>
  </si>
  <si>
    <t>2019/10/15 09:49:24</t>
  </si>
  <si>
    <t>投诉人 汪先生        投诉对象  信乐优        涉诉金额  2 200 元    问题类型    诉求类型      投诉详情  砍头息 高利贷 今日还款日到期 没有逾期 早上九点就开始打电话催收 并且威胁爆我通讯录 希望聚投诉跟进一下 协商本金归还并停止骚扰威胁</t>
  </si>
  <si>
    <t>http://ts.21cn.com/tousu/show/id/1362386</t>
  </si>
  <si>
    <t>2019/10/15 09:49:06</t>
  </si>
  <si>
    <t>最近一段时间由于个人原因，资金大量用在周转上，情况特殊，与闪银所属至尊借款催收人员进行积极沟通，表示会努力偿还借款，希望进行协商，我一再申明，我绝不推脱属于自己的责任，会还清所有款项，也烦请你们理解不要恐吓暴力催收。</t>
  </si>
  <si>
    <t>广发信用卡暴力催收</t>
  </si>
  <si>
    <t>http://ts.21cn.com/tousu/show/id/1362385</t>
  </si>
  <si>
    <t>2019/10/15 09:48:57</t>
  </si>
  <si>
    <t>广发信用卡要求一次还款，我现在没有能力还款。</t>
  </si>
  <si>
    <t>洋钱罐未经我本人同意私自打我通讯录联系人</t>
  </si>
  <si>
    <t>http://ts.21cn.com/tousu/show/id/1362384</t>
  </si>
  <si>
    <t>2019/10/15 09:47:34</t>
  </si>
  <si>
    <t>忘了还款过了还款日，逾期第一天早上就打我联系人！给我造成了严重的骚扰。</t>
  </si>
  <si>
    <t>百付宝（还我血汗钱）</t>
  </si>
  <si>
    <t>http://ts.21cn.com/tousu/show/id/1362383</t>
  </si>
  <si>
    <t>2019/10/15 09:47:16</t>
  </si>
  <si>
    <t>不知情的情况下、自己的建设银行卡里面的钱，被，在最近2019年10月13日分别扣了我：292.44元，自己的奶奶也是胃癌晚期、奶奶正需要钱的时候，从小和奶奶长大，还我血汗钱、还我公道啊！。</t>
  </si>
  <si>
    <t>半个月不下款还扣款，退费无门槛优惠券</t>
  </si>
  <si>
    <t>http://ts.21cn.com/tousu/show/id/1362382</t>
  </si>
  <si>
    <t>2019/10/15 09:46:48</t>
  </si>
  <si>
    <t>10月15日未到账，而且无缘无故被扣了个299元，一直联系不上客服，要求退回299元！</t>
  </si>
  <si>
    <t>现金巴士高逾期费以及暴力催收</t>
  </si>
  <si>
    <t>http://ts.21cn.com/tousu/show/id/1362379</t>
  </si>
  <si>
    <t>2019/10/15 09:46:19</t>
  </si>
  <si>
    <t>投诉人 陈先生        投诉对象  现金巴士        涉诉金额  1 000 元    问题类型    诉求类型      投诉详情  现金巴士暴力催收 逾期费超出合法利息 再这样投诉举报到有关部门 全力打击你们这种套路贷高利贷 催收抓一波是一波</t>
  </si>
  <si>
    <t>http://ts.21cn.com/tousu/show/id/1362381</t>
  </si>
  <si>
    <t>2019/10/15 09:46:17</t>
  </si>
  <si>
    <t>高利贷，套路贷，砍头息严重，，希望该平台下架。</t>
  </si>
  <si>
    <t>http://ts.21cn.com/tousu/show/id/1362377</t>
  </si>
  <si>
    <t>2019/10/15 09:45:45</t>
  </si>
  <si>
    <t>分期通，要求退款，骗人的app，大家不要相信。</t>
  </si>
  <si>
    <t>微贷多米贷私自扣款</t>
  </si>
  <si>
    <t>http://ts.21cn.com/tousu/show/id/1362378</t>
  </si>
  <si>
    <t>2019/10/15 09:45:38</t>
  </si>
  <si>
    <t>投诉人董女士投诉对象微贷网涉诉金额3000元问题类型诉求类型投诉详情微贷多米贷严重砍头息，三千到账2400.分六期还3500。</t>
  </si>
  <si>
    <t>高利贷骚扰公司及亲友</t>
  </si>
  <si>
    <t>http://ts.21cn.com/tousu/show/id/1362376</t>
  </si>
  <si>
    <t>2019/10/15 09:45:08</t>
  </si>
  <si>
    <t>恶意骚扰工作单位，及亲人朋友，无法协商解决。</t>
  </si>
  <si>
    <t>来电共享充电宝无良商家</t>
  </si>
  <si>
    <t>http://ts.21cn.com/tousu/show/id/1362373</t>
  </si>
  <si>
    <t>2019/10/15 09:44:32</t>
  </si>
  <si>
    <t>然后客服还说了我把充电宝还进去有50元的现金券拿，把充电宝给你了而且有没损坏或者什么的凭什么不能退我那100，我希望来电共享充电宝给我一个完美的解决就行了。</t>
  </si>
  <si>
    <t>及贷收取高额利息逾期恐吓威胁</t>
  </si>
  <si>
    <t>http://ts.21cn.com/tousu/show/id/1362374</t>
  </si>
  <si>
    <t>2019/10/15 09:44:29</t>
  </si>
  <si>
    <t>我于2018年4月4日申请及贷三万元整，分期24期，计算下来每月偿还2012元，今年才知道国家要求所有的信贷公司的贷款利息不能超过36%，2012*24=48288元，三万元的最高利息10800，及贷公司收的利息高出国家规定，和高利贷可以比拼，借款合同中显示年利率是12%，可是又写加上综合费用超过36%，仔细看了每月的本金才1250元剩余的762都是利息，已经达到50%，比高利贷还高还厉害，而且由于我这几个月无力偿还分期金额，每月还款日后都遭到恐吓和威胁，还派驻太原的黑社会上门到我家里面讨要，我上有老下有小</t>
  </si>
  <si>
    <t>暴力催收！恶语伤人！恐吓威胁！</t>
  </si>
  <si>
    <t>http://ts.21cn.com/tousu/show/id/1362371</t>
  </si>
  <si>
    <t>2019/10/15 09:44:08</t>
  </si>
  <si>
    <t>投诉人刘女士投诉对象及贷涉诉金额3000元问题类型诉求类型投诉详情私人号码打电话威胁微信威胁恐吓暴力催收！。</t>
  </si>
  <si>
    <t>http://ts.21cn.com/tousu/show/id/1362372</t>
  </si>
  <si>
    <t>2019/10/15 09:43:59</t>
  </si>
  <si>
    <t>欺诈、欺骗消费者、要求退款，2019年10月15日诱导本人支付哆咪黑卡费用，直接从我账户上扣款。</t>
  </si>
  <si>
    <t>基于您的历史交易行为综合判断，您本次理赔申请不符合运费险赔付标准</t>
  </si>
  <si>
    <t>http://ts.21cn.com/tousu/show/id/1362368</t>
  </si>
  <si>
    <t>2019/10/15 09:43:27</t>
  </si>
  <si>
    <t>卖家收到货后同意退款，买家退货时间均在7天之内，也在确认收货之前申请的退货退款，退货都在规定的流程范围内，但众安保险拒绝理赔。</t>
  </si>
  <si>
    <t>闪银销账</t>
  </si>
  <si>
    <t>http://ts.21cn.com/tousu/show/id/1362367</t>
  </si>
  <si>
    <t>2019/10/15 09:42:54</t>
  </si>
  <si>
    <t>在闪银借了2600，还了5期还了总共2471.33，最后一期要求协商销账，给工作人员也提供了医疗证明，每次都推拖，没有给回复，直到最后一期，要求快点给回复，协商销账。</t>
  </si>
  <si>
    <t>http://ts.21cn.com/tousu/show/id/1362366</t>
  </si>
  <si>
    <t>2019/10/15 09:42:51</t>
  </si>
  <si>
    <t>我在8月16号购买了梧桐诚选的1000元月月盈产品，9月16号申请转让提现，原本应该在9月转让提现成功，却一直都在排队中，连续一个月都在拨打梧桐诚选的人工电话4006543298,没有任何人接听，联系APP在线客服，一直都没有人工回复。</t>
  </si>
  <si>
    <t>宜人贷高利贷阴阳合同</t>
  </si>
  <si>
    <t>http://ts.21cn.com/tousu/show/id/1362365</t>
  </si>
  <si>
    <t>2019/10/15 09:42:19</t>
  </si>
  <si>
    <t>本人于2017年11月在宜人贷平台申请借款30000元，分24期归还，一直还款良好，近几个月因为出了点事，还款有延迟，一天的滞纳金和逾期费就是一百多，同时还骚扰我的朋友，让我朋友联系我还钱，我借款到账30000，现在app，显示我合同金额是35100元，还有5100元信息咨询服务费，总欠款高达40004.36元，现在app，还款只剩下两期，昨天还款日我需要还款1635元，钱不够，只还了500元，今天显示我还需要还款1301元，逾期费用165.87元，这不是高利贷是什么，我现在在手机app看不到借款合同，宜人</t>
  </si>
  <si>
    <t>招联金融威胁爆通讯录</t>
  </si>
  <si>
    <t>http://ts.21cn.com/tousu/show/id/1362364</t>
  </si>
  <si>
    <t>2019/10/15 09:41:55</t>
  </si>
  <si>
    <t>投诉人王先生投诉对象招联金融涉诉金额615元问题类型诉求类型投诉详情刚刚电话说我11点前不还款就要爆通讯录了，我现在也是没有办法。</t>
  </si>
  <si>
    <t>http://ts.21cn.com/tousu/show/id/1362361</t>
  </si>
  <si>
    <t>2019/10/15 09:41:22</t>
  </si>
  <si>
    <t>本人于2019.10.14在虫虫快借借款3500元合同期限5天，实际到账1925元，砍头息竟然高达1575元，，巨额砍头息本人无力偿还那么多，希望虫虫快借能够协商偿还避免造成双方的损失。</t>
  </si>
  <si>
    <t>小赢卡贷威胁骚扰本人通讯录联系人</t>
  </si>
  <si>
    <t>http://ts.21cn.com/tousu/show/id/1362360</t>
  </si>
  <si>
    <t>逾期第一天，我给催收协商公司拖欠了工资，明天可以处理，催收态度强硬，说10点不处理，就打电话给联系人，让他们知道我欠款的事，要求对催收作出处罚。</t>
  </si>
  <si>
    <t>微信支付永久冻结请求解冻，提取零钱</t>
  </si>
  <si>
    <t>http://ts.21cn.com/tousu/show/id/1362362</t>
  </si>
  <si>
    <t>2019/10/15 09:41:18</t>
  </si>
  <si>
    <t>微信支付永久冻结，腾讯客服电话打不通，无人解决问题，申诉多次结果都是失败，请求客服帮我解冻。</t>
  </si>
  <si>
    <t>延期交房事件</t>
  </si>
  <si>
    <t>http://ts.21cn.com/tousu/show/id/1362359</t>
  </si>
  <si>
    <t>2019/10/15 09:41:17</t>
  </si>
  <si>
    <t>本人于2018.10月份购买泰安市东平县佛山明珠小区房产一套，合同是2019.5.31日交房，但至今未交房，多次找开发商协商，他们却一次次的敷衍，一直没有结果，导致孩子上学都是问题，现在处于停工状态，没人干活，我们买房子都是借的钱，不能就这样打水漂了啊，还希望有关部门替我们做主啊。</t>
  </si>
  <si>
    <t>京东白条第三方催收威胁</t>
  </si>
  <si>
    <t>http://ts.21cn.com/tousu/show/id/1362358</t>
  </si>
  <si>
    <t>2019/10/15 09:40:48</t>
  </si>
  <si>
    <t>本人与前俩月使用了京东白条买东西，当时绑定的银行卡因为没存钱所以没自动还款，导致逾期，但逾期是我不对谁没有困难的时候，这两天什么所谓的京东第三方催收一直叫我一次还清钱，作为刚出来的学生党实在没那么多，我把逾期和利息哪些出来的账单钱先还上了，但下个月月账单还没有出，第三方催收非叫我全部还完，不还完还恐吓我说会提交案件和登门拜访，现在真的困难而且我也把逾期的钱都还了，京东白条入口也没让我全部还所以我希望一个月还一个月的账单慢慢还现在我也出来上班了肯定会慢慢还，请京东停止让第三方催收骚扰威胁！！。</t>
  </si>
  <si>
    <t>在小闪分期申请贷款21天还在审核中</t>
  </si>
  <si>
    <t>http://ts.21cn.com/tousu/show/id/1362357</t>
  </si>
  <si>
    <t>2019/10/15 09:40:28</t>
  </si>
  <si>
    <t>投诉人帅先生投诉对象小闪分期涉诉金额15000元问题类型诉求类型投诉详情2019年9月24日我在该平台小闪分期，提交贷款信息、直至今天该平台对于我的贷款还在审核中、打了几次客服电话都叫我等、还说等不及可以撤销等等.....我觉得该平台就属于骗取客户信息的平台、贷款都是假的！请求聚投诉帮忙跟进一下！感谢。</t>
  </si>
  <si>
    <t>先花一亿元严重骚扰</t>
  </si>
  <si>
    <t>http://ts.21cn.com/tousu/show/id/1362356</t>
  </si>
  <si>
    <t>2019/10/15 09:39:46</t>
  </si>
  <si>
    <t>先花一亿元、请贵公司停止对我的骚扰、请问为什么有欠款的时候也是提前很多天高频轰炸、没欠款的时候也要高频轰炸，很多人在高空作业给你一直打电话过来高频轰炸、你知道影响多大么，请贵公司立即停止对我的骚扰、又没欠款、贵公司凭什么骚扰我的生活、请立即与我联系解释清楚、并停止骚扰。</t>
  </si>
  <si>
    <t>花转转，畅捷支付协商无果，从新申请投诉</t>
  </si>
  <si>
    <t>http://ts.21cn.com/tousu/show/id/1362349</t>
  </si>
  <si>
    <t>2019/10/15 09:39:40</t>
  </si>
  <si>
    <t>投诉人吕女士投诉对象花转转,畅捷支付涉诉金额2800元问题类型诉求类型投诉详情本人9月3日在花转转平台借款2800，分四期，一个月还清，一期费用1022，现已还3069，导致逾期，花转转电话一直打不通，只能等他们联系我，之后，每天都能收到催收，2点多钟打电话，正是上班的时候，拒接第二天就会态度很不好，从新发投诉贴，是之前投诉无果，本人不是老赖，也在积极解决问题，现在每天接到骚扰催收，告知他们已经还完本金合法利息也是没有用，现在要求撤销逾期账单，请平台尽快联系，给予解决，如果他们在东家推西家的态度，本人只能选</t>
  </si>
  <si>
    <t>停止骚扰，停止起诉法院，请求合理分期付款</t>
  </si>
  <si>
    <t>http://ts.21cn.com/tousu/show/id/1362355</t>
  </si>
  <si>
    <t>2019/10/15 09:39:09</t>
  </si>
  <si>
    <t>投诉人刘女士投诉对象中信银行信用卡涉诉金额14600元问题类型诉求类型投诉详情因两年前误入歧途，陷入高利贷套路贷网贷，导致自己身上背有几十万的外债，中信信用卡我之前给逾期是不对，但是没有不想不还款，只是经济条件无能为力，现在可以慢慢还款了，但是中信第三方催收依然不愿意给机会给时间，依然是那个态度，必须尽快全额还款，否则去工作单位闹，等着坐牢，我现在是走投无路，现在都在回头，在慢慢还款，难道不能给一个愿意回头的人机会吗，为什么要咄咄逼人，逼得我每时每刻不知道该怎么办，真的要我只能选择最后一条路，无法回头的路吗</t>
  </si>
  <si>
    <t>左右钱包5天砍头息高炮</t>
  </si>
  <si>
    <t>http://ts.21cn.com/tousu/show/id/1362348</t>
  </si>
  <si>
    <t>2019/10/15 09:38:50</t>
  </si>
  <si>
    <t>10月15日到期，实际金额使用时间才5天！汇潮支付为其提供支付渠道，请聚投诉平台协助处理！因本人债务爆发，无力偿还如此之高的利息，现本人愿偿还本金+合理利息解决此事并销账处理。</t>
  </si>
  <si>
    <t>http://ts.21cn.com/tousu/show/id/1362353</t>
  </si>
  <si>
    <t>2019/10/15 09:38:49</t>
  </si>
  <si>
    <t>本人现在因为工作和手身出了问题引起的逾期是我不对，和催收部门解释了15号发工资马上还款，客服态度恶劣，不听解释，本来身体不好被吓到心脏气闷。</t>
  </si>
  <si>
    <t>闪银客服打电话威胁暴力催收</t>
  </si>
  <si>
    <t>http://ts.21cn.com/tousu/show/id/1362350</t>
  </si>
  <si>
    <t>2019/10/15 09:37:22</t>
  </si>
  <si>
    <t>我在闪银里面借款了4000元，第二期因为其他原因没有按时还款，还1500左右，4天利息近60元我也认了，我给客服说了我会尽快还款，但是客服态度恶劣，而且威胁说今天中午不管要爆通讯录，协助还款，这是什么意思，我个人的义务，如果你们觉得我违约了，可以走相关程序，为什么要这样威胁。</t>
  </si>
  <si>
    <t>钱站超利贷</t>
  </si>
  <si>
    <t>http://ts.21cn.com/tousu/show/id/1362351</t>
  </si>
  <si>
    <t>2019/10/15 09:37:21</t>
  </si>
  <si>
    <t>钱站息费不合理，3个月借2800要还5000。</t>
  </si>
  <si>
    <t>拼多多已网络繁忙为由限制商家提现</t>
  </si>
  <si>
    <t>http://ts.21cn.com/tousu/show/id/1362347</t>
  </si>
  <si>
    <t>2019/10/15 09:36:29</t>
  </si>
  <si>
    <t>要提现拼多多一直以网络繁忙，请稍后再试为由冻结商家资金，已多次联系拼多多客服，客服一直以催处理为借口不处理，我查了店铺没有任何违规现象，天天联系拼多多客服也没有说什么原因，一直以催处理的借口让我们等回复，由于资金无法体现导致无法正常经营，发货的资金一直积累在平台里，只进不出，已经严重影响稳定我的生活了，一直失眠，请求贵平台帮忙尽快解决。</t>
  </si>
  <si>
    <t>暴力催收、砍头息</t>
  </si>
  <si>
    <t>http://ts.21cn.com/tousu/show/id/1362346</t>
  </si>
  <si>
    <t>2019/10/15 09:35:47</t>
  </si>
  <si>
    <t>投诉人高女士投诉对象洋钱罐涉诉金额5000元问题类型诉求类型投诉详情洋钱罐暴力催收，骚扰我通讯录好友，砍头息严重违反国家规定。</t>
  </si>
  <si>
    <t>微贷网多米贷强制投保以及强制购买麻将赌博虚拟币</t>
  </si>
  <si>
    <t>http://ts.21cn.com/tousu/show/id/1362345</t>
  </si>
  <si>
    <t>2019/10/15 09:35:26</t>
  </si>
  <si>
    <t>投诉人曹先生投诉对象微贷网涉诉金额700元问题类型诉求类型投诉详情本人在2019年9月19号贷款5000，分期3个月，实际还款5300，实际到账4300，这是严重的高利贷，强制要求借款人购买麻将币赌博，希望退回强制购买投保以及强制购买麻将赌博虚拟币的钱，。</t>
  </si>
  <si>
    <t>约单App流氓软件，充值后提现不了</t>
  </si>
  <si>
    <t>http://ts.21cn.com/tousu/show/id/1362341</t>
  </si>
  <si>
    <t>2019/10/15 09:33:43</t>
  </si>
  <si>
    <t>约单App充值时提示可以退款，我在充值后找不到退款渠道，联系客服后说是一个月，现在到了一个月提现要收取10％的手续费，还要本人手持身份证照片才能提现，我想说流氓软件你咋不去抢钱呢，强烈要求退款！退款为什么要提供手持身份证照片。</t>
  </si>
  <si>
    <t>爆通讯录骚扰我亲友</t>
  </si>
  <si>
    <t>http://ts.21cn.com/tousu/show/id/1362340</t>
  </si>
  <si>
    <t>2019/10/15 09:33:36</t>
  </si>
  <si>
    <t>投诉人 李先生        投诉对象  洋钱罐借钱        涉诉金额  0 元    问题类型    诉求类型投诉详情  爆通讯录 骚扰亲友 还掩盖事实真相 并对我个人声誉进行诋毁</t>
  </si>
  <si>
    <t>平安普惠恶意催收</t>
  </si>
  <si>
    <t>http://ts.21cn.com/tousu/show/id/1362342</t>
  </si>
  <si>
    <t>2019/10/15 09:33:33</t>
  </si>
  <si>
    <t>投诉人 袁先生        投诉对象  平安普惠        涉诉金额  9 600 元    问题类型    诉求类型投诉详情  轰炸我打公司座机电话 一直不停的轰炸 我给催收人员打电话他也不接 就是一直轰炸</t>
  </si>
  <si>
    <t>分期乐长期协商还款</t>
  </si>
  <si>
    <t>http://ts.21cn.com/tousu/show/id/1362324</t>
  </si>
  <si>
    <t>2019/10/15 09:32:45</t>
  </si>
  <si>
    <t>投诉人吴先生投诉对象分期乐涉诉金额1200元问题类型诉求类型投诉详情因为个人收入能力有限暂时没有还款能力，需要与分期乐进行协商还款，希望能够和我联系共同协商进行还款工作。</t>
  </si>
  <si>
    <t>态度太差</t>
  </si>
  <si>
    <t>http://ts.21cn.com/tousu/show/id/1362339</t>
  </si>
  <si>
    <t>之前有投诉协商过还款，也协商好了，之前我尽力还进去了一部分，另有一笔89.72逾期了第四天了，打电话过来催还款，我说我下午发了工资就还进去，说给不了我这个时间，说我就是拒绝还款，可是我不是拒绝还款啊，我说11点之前我没有，下午就能还进去了，他说他那边处理不了，我说我11点之前还不进去，那你要怎么做呢，他就直接把电话挂了。</t>
  </si>
  <si>
    <t>http://ts.21cn.com/tousu/show/id/1362338</t>
  </si>
  <si>
    <t>2019/10/15 09:32:41</t>
  </si>
  <si>
    <t>本人在小赢卡贷平台借款到期，跟客服说了有困难需要几天，客服还是骚扰联系人，威胁本人。</t>
  </si>
  <si>
    <t>宝付支付为违规平台提供扣款渠道</t>
  </si>
  <si>
    <t>http://ts.21cn.com/tousu/show/id/1362331</t>
  </si>
  <si>
    <t>2019/10/15 09:32:27</t>
  </si>
  <si>
    <t>2019年8月接到钱站平台贷款电话，利息为1分左右，8月份通过该平台借款实到2000元，还款3000元，砍头息1000元，还款周期为3个月，还款年利率高达360%，第二个月因资金周转困难无意逾期3天，遭受该平台暴力催收，导致通讯录被爆，对本人生活与工作造成严重影响，在逾期后第二天与工作人员协商时间仍对本人通讯录进行骚扰，该平台工作人员承认借款本金2000元，1000余元为平台服务费及利息。</t>
  </si>
  <si>
    <t>鸿运当头犀利高</t>
  </si>
  <si>
    <t>http://ts.21cn.com/tousu/show/id/1362337</t>
  </si>
  <si>
    <t>2019/10/15 09:32:14</t>
  </si>
  <si>
    <t>投诉人钟女士投诉对象鸿运当头涉诉金额1920元问题类型诉求类型投诉详情借了1920元，要我还2995，我续期了好多次了，加起来本金和利息都还了，利息都超过国家规定了的，5次续期就已经5375元，超过了本金和所谓利息的2380元，不求还给我，但至少要销账，谢谢。</t>
  </si>
  <si>
    <t>立刻出行押金退不出来</t>
  </si>
  <si>
    <t>http://ts.21cn.com/tousu/show/id/1362336</t>
  </si>
  <si>
    <t>2019/10/15 09:31:46</t>
  </si>
  <si>
    <t>立刻出行广州网点已无法用车，申请退保证金，申请时间已达半月无人处理。</t>
  </si>
  <si>
    <t>http://ts.21cn.com/tousu/show/id/1362335</t>
  </si>
  <si>
    <t>2019/10/15 09:31:12</t>
  </si>
  <si>
    <t>投诉人司先生投诉对象掌众金服,闪电借款涉诉金额3200元问题类型诉求类型投诉详情本人闪电借款已逾期五天，与客服沟通今天还款，但由于本人工资卡和公司规定银行不一致，晚到账两天，本人承诺17号下午五点之前把欠款还清。</t>
  </si>
  <si>
    <t>交通银行骚扰恐吓</t>
  </si>
  <si>
    <t>http://ts.21cn.com/tousu/show/id/1362333</t>
  </si>
  <si>
    <t>2019/10/15 09:30:39</t>
  </si>
  <si>
    <t>本人8.9月份与交通信用卡一直联系，一直在协商还款，工作人员让还2700在协商，如果还不进去，就要起诉我，联系我们村的人协助还款等！说还完这2600以后，让我提供资料办理分期，我还款以后资料也按照他们的要求提交了，现在又换了一个客服人员让我全款还清，我九月份被银行爆通讯录丢了'工作！家里母亲在看家里常年患病的老人，母亲身体也不好，我父亲工资加上我的工资维持生活，信用卡是母亲的，我想替母亲还这张信用卡，现在天天发短信，打电话，只希望能给我一个分期的还款计划，强烈要求给我分期偿还！。</t>
  </si>
  <si>
    <t>借贷宝催收恐吓，暴力催收</t>
  </si>
  <si>
    <t>http://ts.21cn.com/tousu/show/id/1362330</t>
  </si>
  <si>
    <t>2019/10/15 09:30:30</t>
  </si>
  <si>
    <t>投诉人陆先生投诉对象借贷宝涉诉金额2000元问题类型诉求类型投诉详情本人因为临时需要周转，在借贷宝平台打了条子借了2000，周期是7天，但是实际到手之后只有1400，但是借贷宝平台催收的态度实在让人害怕，我已经与借款人线下协商沟通好每天还一部分钱直到20号发工资一下子还清，可是借贷宝催收根本不管本人与借款人之间的协议，不仅仅每天产生100多的管理费用还打电话来说全面催收我，一位男催收，语气态度极其恶劣，恐吓我，辱骂我，电话已经全部保有录音，请借贷宝停止对我的暴力催收，本人已与借款人协商好会偿还这笔借款。</t>
  </si>
  <si>
    <t>http://ts.21cn.com/tousu/show/id/1362332</t>
  </si>
  <si>
    <t>2019/10/15 09:30:23</t>
  </si>
  <si>
    <t>请问月服务费和月保险费是哪里冒出来的，借款时不说，存在欺骗性质和套中套。</t>
  </si>
  <si>
    <t>合利宝助长714高炮为非作歹</t>
  </si>
  <si>
    <t>http://ts.21cn.com/tousu/show/id/1362329</t>
  </si>
  <si>
    <t>2019/10/15 09:30:11</t>
  </si>
  <si>
    <t>投诉人尹先生投诉对象由你分期,完美时贷,飞鸟钱包涉诉金额12600元问题类型诉求类型投诉详情四个714高炮平台全是同一账号，希望该平台能提供该帐号所有人信息，以便我去公安局举报。</t>
  </si>
  <si>
    <t>钱盆网通过中介公司放贷获取高利</t>
  </si>
  <si>
    <t>http://ts.21cn.com/tousu/show/id/1362328</t>
  </si>
  <si>
    <t>2019/10/15 09:30:07</t>
  </si>
  <si>
    <t>钱盆网通过中介公司获取高利，合同与实际还款不一样，本人在2016年11月作为共同借款人在桂林富朗金融公司签了一份13万借款合同，可是我和共同借款人一直按照月息三分息还，说是中间的平台维护费，我多次与富朗公司协商按合同利率还款，但是那边不予受理，我觉得月息三分太压力大了，近期一直与他们商量，现在他们以钱盆网要上征信为由要求我还款现在我才知道我的是通过钱盆网放的款，那既然钱盆网要上我征信，那么钱盆网到底扮演什么样的角色呢，请问，钱盆网通过中介公司放款是否合规，借的是钱盆网的钱我也希望和钱盆网商议按照合同18%还</t>
  </si>
  <si>
    <t>招联金融暴力催收还恐吓</t>
  </si>
  <si>
    <t>http://ts.21cn.com/tousu/show/id/1362326</t>
  </si>
  <si>
    <t>2019/10/15 09:29:53</t>
  </si>
  <si>
    <t>招联金融工作人员暴力催收，爆我通讯录，要给我朋友打电话他们去借钱，这属于黑社会，无法无天了，这还有人管吗，还侮辱我，希望严惩。</t>
  </si>
  <si>
    <t>http://ts.21cn.com/tousu/show/id/1362327</t>
  </si>
  <si>
    <t>2019/10/15 09:29:38</t>
  </si>
  <si>
    <t>投诉人关女士投诉对象Wecash闪银涉诉金额5000元问题类型诉求类型投诉详情借款5000，收取900块钱的费用，然后现在逾期，要拨打通讯录，我说到25号发工资归还不同意，直接要拨打通讯录。</t>
  </si>
  <si>
    <t>http://ts.21cn.com/tousu/show/id/1362325</t>
  </si>
  <si>
    <t>2019/10/15 09:29:08</t>
  </si>
  <si>
    <t>投诉人 刘佳        投诉对象  小鱼钱包        涉诉金额  1 500 元    问题类型    诉求类型投诉详情  本金1500到账1100利息400 高利贷 暴力催收</t>
  </si>
  <si>
    <t>钱站提前还款就不给额度了</t>
  </si>
  <si>
    <t>http://ts.21cn.com/tousu/show/id/1362323</t>
  </si>
  <si>
    <t>2019/10/15 09:27:43</t>
  </si>
  <si>
    <t>在钱站借款1000每个月还500多每个月都提前还款了，然后他们就不给我涨额度反而额度变成0，现要求涨额度到2000。</t>
  </si>
  <si>
    <t>合肥甘麦商贸有限公司为境外博彩公司做收钱充值</t>
  </si>
  <si>
    <t>http://ts.21cn.com/tousu/show/id/1362321</t>
  </si>
  <si>
    <t>2019/10/15 09:27:26</t>
  </si>
  <si>
    <t>自己抵制不了诱惑，被诱导网络博彩，希望国家能够重拳出击，不要再害人了。</t>
  </si>
  <si>
    <t>想提前还款，发现利息太高</t>
  </si>
  <si>
    <t>http://ts.21cn.com/tousu/show/id/1362322</t>
  </si>
  <si>
    <t>2019/10/15 09:27:20</t>
  </si>
  <si>
    <t>我一个借款102000元，已经还款了28814元，现在提前还款还要89741元，加起来我提前还款还要花89741元，一共要还118555，这个借几个月的利息，让我有点吃不消，之前说好的日利息0.02，随借随还。</t>
  </si>
  <si>
    <t>钱站收取高额砍头息，还称之为手机服务费</t>
  </si>
  <si>
    <t>http://ts.21cn.com/tousu/show/id/1362320</t>
  </si>
  <si>
    <t>2019/10/15 09:26:56</t>
  </si>
  <si>
    <t>本人申请1500元贷款，结果合同上显示申请金额为1995元，三个月期限每期要还842元，三个月下来将近多还1100元，。</t>
  </si>
  <si>
    <t>工作人员失职，导致还款时间偏差，造成多次逾期！</t>
  </si>
  <si>
    <t>http://ts.21cn.com/tousu/show/id/1362319</t>
  </si>
  <si>
    <t>2019/10/15 09:24:59</t>
  </si>
  <si>
    <t>告知还款时间不明确！导致还款时间存在偏差！每个月推送信使费照常扣款！收不到推送信息！每个月1154.4元的月供由于贵行该做应做的事情没做到位造成现在接近黑户！发生这些事情做为客户后知后觉自己查征信才发现！多次联系客服，与办贷款人员都是推上在推下！不解决问题！恳请贵行面对问题不推脱！也希望媒体协助解决！谢谢。</t>
  </si>
  <si>
    <t>http://ts.21cn.com/tousu/show/id/1362318</t>
  </si>
  <si>
    <t>2019/10/15 09:24:44</t>
  </si>
  <si>
    <t>本人2019年8月2号至8月4号在玖富万卡总借金额6000块钱，分3次借钱，一次2000，实际到账1400，莫名扣取高额保费，而到账金额却显示到账2600，要求玖富给个合理解释，借款6000实际到账4200，而本金➕利息超出政府规定的百分之24，况且到账金额与实际借款金额不同，为何我还要支付高额息费。</t>
  </si>
  <si>
    <t>严重骚扰我</t>
  </si>
  <si>
    <t>http://ts.21cn.com/tousu/show/id/1362317</t>
  </si>
  <si>
    <t>2019/10/15 09:23:06</t>
  </si>
  <si>
    <t>天天打电话过来骚扰，让办理贷款，平台就是个高利贷平台，以前用过，典型的714平台，停止骚扰，。</t>
  </si>
  <si>
    <t>付款后订单自动取消未退款</t>
  </si>
  <si>
    <t>http://ts.21cn.com/tousu/show/id/1362316</t>
  </si>
  <si>
    <t>2019/10/15 09:23:02</t>
  </si>
  <si>
    <t>付款后订单自动取消未退款，不管是联系电话客服还是在线客服始终都是说要核实一下、已反馈了、催促了，让耐心等待，款项会在1~3个工作日到账，但二十多天过去了，还是没有退款。</t>
  </si>
  <si>
    <t>贷上钱是准备逼我</t>
  </si>
  <si>
    <t>http://ts.21cn.com/tousu/show/id/1356639</t>
  </si>
  <si>
    <t>2019/10/15 09:22:58</t>
  </si>
  <si>
    <t>投诉人黄小姐投诉对象贷上钱涉诉金额2000元问题类型诉求类型投诉详情每天无止境的骚扰通讯录，骚扰亲朋好友，侮辱，恐吓，这个社会是还存在黑社会吗，国家规定不是不能骚扰通讯录，难道贷上钱真的目中无人嘛，每个月借款的利息早就超过了本金，是不是真的要逼死人才会有人重视。</t>
  </si>
  <si>
    <t>http://ts.21cn.com/tousu/show/id/1362315</t>
  </si>
  <si>
    <t>2019/10/15 09:22:38</t>
  </si>
  <si>
    <t>投诉人 刘佳        投诉对象  欢享钱包        涉诉金额  2 500 元    问题类型    诉求类型投诉详情  高利贷，暴力催收 欢享钱包本金2500，到账1495</t>
  </si>
  <si>
    <t>辛辛苦苦挣的血汗钱，不明不白的被盗走！</t>
  </si>
  <si>
    <t>http://ts.21cn.com/tousu/show/id/1362313</t>
  </si>
  <si>
    <t>2019/10/15 09:21:25</t>
  </si>
  <si>
    <t>本人于2019.10.14凌晨两点到五点左右被盗，从未与雅酷公司来往过，一个人在外地打工攒的一点钱，现在不敢和父母说，报警也没有就立个案，所以想在网上寻求帮助，被盗不止我一个百度微博上都有证据。</t>
  </si>
  <si>
    <t>http://ts.21cn.com/tousu/show/id/1362312</t>
  </si>
  <si>
    <t>2019/10/15 09:21:22</t>
  </si>
  <si>
    <t>本人于去年在QQ游戏下载龙魂沙城游戏，29区账号名称树梢丶猫花蕊累计充值约6万余元，开服不到一年，官方要求关服，给予玩家的补偿是游戏元宝及游戏内材料，都要关服了给这些东西有什么用，现要求部分退还充值款项，关服不是玩家的原因造成。</t>
  </si>
  <si>
    <t>http://ts.21cn.com/tousu/show/id/1362311</t>
  </si>
  <si>
    <t>2019/10/15 09:21:14</t>
  </si>
  <si>
    <t>巨额高利贷：借款5500用了两个多月，提前还款还是7840元，客服说逾期费减免并且逾期客服也有不可推卸的责任当时软件一直登录不上，所以协商减免了逾期费，用了两个多月利息高达42%，超出规定的年利率百分之六，并且借款时间不足三个月，请求能正面给我个答复以及作出超额补偿。</t>
  </si>
  <si>
    <t>充值会员本来到账了今天登陆一看又没了</t>
  </si>
  <si>
    <t>http://ts.21cn.com/tousu/show/id/1362310</t>
  </si>
  <si>
    <t>2019/10/15 09:20:41</t>
  </si>
  <si>
    <t>投诉人 张先生        投诉对象  网易云音乐商城        涉诉金额  6 元    问题类型    诉求类型投诉详情  充值的会员原本到账了啊 不知道咋个事又没有了 也联系不到客服 网易官方电话打不通 在线人工也没有了……</t>
  </si>
  <si>
    <t>得仕股份，上海银生宝公司为彩票公司提供充值</t>
  </si>
  <si>
    <t>http://ts.21cn.com/tousu/show/id/1362304</t>
  </si>
  <si>
    <t>2019/10/15 09:20:06</t>
  </si>
  <si>
    <t>投诉人陈先生投诉对象得仕股份,上海银生宝涉诉金额104600元问题类型诉求类型投诉详情银生宝和得仕公司给彩票提供通道，又不让出款，还包庇经营异常商户，投诉到客服也不处理，希望聚投诉可以将我的投诉请求传递到这些合法的第三方公司内部，我这边可以提供充值完整视频和商户异常信息。</t>
  </si>
  <si>
    <t>http://ts.21cn.com/tousu/show/id/1362286</t>
  </si>
  <si>
    <t>2019/10/15 09:19:38</t>
  </si>
  <si>
    <t>人人花，虚假广告，乱扣费，点击进入借款，是我1000元，提示绑银行卡扣一元卡费，等绑好卡了，就扣掉288元的评估费，明显的乱扣费，要求退回288元费用。</t>
  </si>
  <si>
    <t>买买乐购软暴力催收</t>
  </si>
  <si>
    <t>http://ts.21cn.com/tousu/show/id/1362308</t>
  </si>
  <si>
    <t>2019/10/15 09:19:06</t>
  </si>
  <si>
    <t>逾期一天，该单位不联系提醒通知，直接群发消息。</t>
  </si>
  <si>
    <t>洋钱罐协商提前还款要全部利息</t>
  </si>
  <si>
    <t>http://ts.21cn.com/tousu/show/id/1362306</t>
  </si>
  <si>
    <t>本人在洋钱罐借款1万，12期需要还款13600，现在已经还了两期，现在要求提前还款所有的，洋钱罐要求还所有的利息，本人实在承受不了，因为我现在多头借贷，确实没有钱，现在要求洋钱罐免除费用。</t>
  </si>
  <si>
    <t>微信支付永久冻结，请求解封，提取零钱</t>
  </si>
  <si>
    <t>http://ts.21cn.com/tousu/show/id/1362305</t>
  </si>
  <si>
    <t>2019/10/15 09:19:01</t>
  </si>
  <si>
    <t>微信支付永久冻结，零钱无法提现，腾讯客服电话打不通，没人解决问题，提交申诉永远都是失败，请求腾讯客服联系我。</t>
  </si>
  <si>
    <t>360借条恶意催收</t>
  </si>
  <si>
    <t>http://ts.21cn.com/tousu/show/id/1362307</t>
  </si>
  <si>
    <t>2019/10/15 09:18:57</t>
  </si>
  <si>
    <t>360借条打电话说我朋友借钱不还，我只是在这个朋友的通讯录里，并且打电话的态度极其嚣张，直接说有种拍死他，并且说我想骚扰你就骚扰你，警察能把我怎样。</t>
  </si>
  <si>
    <t>你我贷高利贷催收</t>
  </si>
  <si>
    <t>http://ts.21cn.com/tousu/show/id/1362270</t>
  </si>
  <si>
    <t>2019/10/15 09:18:50</t>
  </si>
  <si>
    <t>本人于6月4日借款3600元，前三期已还款2033.52元，本期晚了一天，打电话给我，威胁2小时内还款，要不打电话给紧急联系人，而且再三核算，实属高额利息，请平台给予帮助。</t>
  </si>
  <si>
    <t>先花一亿元不要打假人语音骚扰了！</t>
  </si>
  <si>
    <t>http://ts.21cn.com/tousu/show/id/1362303</t>
  </si>
  <si>
    <t>2019/10/15 09:17:20</t>
  </si>
  <si>
    <t>我请求贵平台停止骚扰，派一个真人跟我协商还款。</t>
  </si>
  <si>
    <t>尚德机构咖啡金融套路贷款强制消费</t>
  </si>
  <si>
    <t>http://ts.21cn.com/tousu/show/id/1362302</t>
  </si>
  <si>
    <t>2019/10/15 09:17:00</t>
  </si>
  <si>
    <t>我报的是专本连读，只想把咖啡易融的贷款停止，钱都是经过尚德机构，他们提议我办理咖啡易融，后面首付付了1000多块，上了段时间课，由于工作变动，感情原因无心学习，想要停止贷款，无通道，无取到，必须由尚德来终止，侵犯消费者权益，想要退费，他们就以体验时间过期为由拒绝。</t>
  </si>
  <si>
    <t>暴力催债，语音威胁</t>
  </si>
  <si>
    <t>http://ts.21cn.com/tousu/show/id/1362300</t>
  </si>
  <si>
    <t>2019/10/15 09:16:26</t>
  </si>
  <si>
    <t>投诉人 刘女士        投诉对象  Wecash闪银        涉诉金额  1 500 元    问题类型    诉求类型投诉详情  打电话威胁，语音恐吓！不是一次两次， 私人号码打电话来的，威胁了好几次了。</t>
  </si>
  <si>
    <t>银谷普惠高额砍头息，套路贷，阴阳合同，勾结黑恶势力多次频繁爆通讯录泄露个人隐私，骚扰软暴力催收</t>
  </si>
  <si>
    <t>http://ts.21cn.com/tousu/show/id/1362298</t>
  </si>
  <si>
    <t>2019/10/15 09:15:33</t>
  </si>
  <si>
    <t>银谷普惠高额砍头息，套路贷，阴阳合同，勾结黑恶势力暴力催收，多次频繁爆通讯录泄露个人隐私，骚扰软暴力催收，连在外地读书的孩子银谷都不放过，不停的骚扰，本人2018年经人介绍在本地银谷普惠门店面签借款合同，合同金额，分24期，每期还款2755.10元，24期还完是，在本人还款12个月后，2019.5.7日第13个月还款日时，因家中老人病重住院急需用钱，暂时没钱还，就和银谷催收协商延迟几天，第三天时北京催收人员一姓陈的告诉我三天违约金300元，然后告诉我在1月份和2月份已经严重逾期，并以此要挟我们必须全款结清，</t>
  </si>
  <si>
    <t>高利贷，砍头息，催收</t>
  </si>
  <si>
    <t>http://ts.21cn.com/tousu/show/id/1362295</t>
  </si>
  <si>
    <t>2019/10/15 09:13:33</t>
  </si>
  <si>
    <t>借款700，还一千，已经续期费用高达九百多，申请销账处理。</t>
  </si>
  <si>
    <t>美利车金融恶性催收！</t>
  </si>
  <si>
    <t>http://ts.21cn.com/tousu/show/id/1362294</t>
  </si>
  <si>
    <t>2019/10/15 09:12:10</t>
  </si>
  <si>
    <t>投诉人 赵先生        投诉对象  美利车金融        涉诉金额  4 990 元    问题类型    诉求类型投诉详情  美利车金融在逾期首日，恐吓、诱导消费者。频频逼问。</t>
  </si>
  <si>
    <t>要求宽限还款期限</t>
  </si>
  <si>
    <t>http://ts.21cn.com/tousu/show/id/1362293</t>
  </si>
  <si>
    <t>2019/10/15 09:12:08</t>
  </si>
  <si>
    <t>由于生意失败欠了很多钱，资金周转需要时间，请求给更多的时间来处理资金问题，然后进行还款。</t>
  </si>
  <si>
    <t>微粒贷工作人员不守信用，说可以免利息的，还了一大半人找不着，微信删除，电话不接，导致我现在陷入绝境</t>
  </si>
  <si>
    <t>http://ts.21cn.com/tousu/show/id/1362292</t>
  </si>
  <si>
    <t>2019/10/15 09:12:06</t>
  </si>
  <si>
    <t>本人在微粒贷欠款35000，由于投资失败逾期了，通过微粒贷接待工作人员反复沟通说可以给我减免利息，我东拼西借还了二万五，剩下的沟通好这个月底28号还清，但是之前的工作人员现在电话不接微信删除，接手的工作人员说并收到我的减免材料，要我还要还一万三千多，这对于现在负债累累的我一个致命打击，我现在真的走头无路，希望你们帮我处理一下减免利息，我尽全力把剩下的还上。</t>
  </si>
  <si>
    <t>宜信普惠恶意骚扰人身攻击</t>
  </si>
  <si>
    <t>http://ts.21cn.com/tousu/show/id/1362291</t>
  </si>
  <si>
    <t>2019/10/15 09:11:58</t>
  </si>
  <si>
    <t>本人是协商解决处理，宜信委托了无道德第三方来恶意恐吓、威胁我家人以及骚扰我单位领导和同事，影响到我现单位正常的运营管理工作，单位运营带来严重影响……宜信普惠工作人员还说只要我上班一天，他就会和第三方的一起打电话给单位以及领导，说是这个程序是正常催收，正常恐吓，叫我不还钱，会每天催每天催……本人在宜信普惠借贷20000元，已还款10000元，宜信普惠要求还需要还款21000元，本人无法接受，请求给予帮助，本人打电话给宜信普惠要求自行给予解决处理结果，宜信普惠没有给出解决结果，反而宜信普惠和第三方互相串通，没有</t>
  </si>
  <si>
    <t>汇潮支付违规帮助高利贷支付</t>
  </si>
  <si>
    <t>http://ts.21cn.com/tousu/show/id/1362288</t>
  </si>
  <si>
    <t>2019/10/15 09:11:48</t>
  </si>
  <si>
    <t>投诉人周方忠投诉对象汇潮支付涉诉金额2000元问题类型诉求类型投诉详情金鸡下蛋是高利贷app平台，由汇潮支付负责打款支付，借款2000，到账1400，五天还款2000元，续期一次300元，只能推迟两天，严重超过了国家法定借款利息！而且未到还款时间暴力催收，言语粗鲁！三个平台同属于一个公司，而且嚣张的说报警也不怕，无事国家法律！请求相关部门予以查处！。</t>
  </si>
  <si>
    <t>强制借款高利贷套路贷</t>
  </si>
  <si>
    <t>http://ts.21cn.com/tousu/show/id/1362290</t>
  </si>
  <si>
    <t>2019/10/15 09:11:26</t>
  </si>
  <si>
    <t>投诉人 曾先生        投诉对象  钱站        涉诉金额  7 000 元    问题类型    诉求类型投诉详情  高利贷 砍头息 强制下款不能取消 利息高</t>
  </si>
  <si>
    <t>立刻出行APP押金499元，申请退押金110天了，还没退押金。</t>
  </si>
  <si>
    <t>http://ts.21cn.com/tousu/show/id/1362289</t>
  </si>
  <si>
    <t>2019/10/15 09:08:57</t>
  </si>
  <si>
    <t>我于2019年5月15日在立刻出行app上面，缴纳了499元保证金。</t>
  </si>
  <si>
    <t>http://ts.21cn.com/tousu/show/id/1362287</t>
  </si>
  <si>
    <t>2019/10/15 09:08:07</t>
  </si>
  <si>
    <t>欺骗，没有密码，恶意扣款，造成风险，要求退款。</t>
  </si>
  <si>
    <t>暴力催收，电话接通就辱骂</t>
  </si>
  <si>
    <t>http://ts.21cn.com/tousu/show/id/1362284</t>
  </si>
  <si>
    <t>2019/10/15 09:06:18</t>
  </si>
  <si>
    <t>逾期第二天，接通电话就辱骂，威胁，暴力催收。</t>
  </si>
  <si>
    <t>携程网订票强制购买额外租车券</t>
  </si>
  <si>
    <t>http://ts.21cn.com/tousu/show/id/1362285</t>
  </si>
  <si>
    <t>2019/10/15 09:06:13</t>
  </si>
  <si>
    <t>携程订票强制购买租车券，并未提前告知～现在要求退还额外强制购买的租车券。</t>
  </si>
  <si>
    <t>京东客服退款踢皮球</t>
  </si>
  <si>
    <t>http://ts.21cn.com/tousu/show/id/1362283</t>
  </si>
  <si>
    <t>2019/10/15 09:04:45</t>
  </si>
  <si>
    <t>前天购买商品，当时显示的时间嗝日到，询问客服货是从西安发货，过一会又问，说又从杭州发货，当时就取消订单，但是京东方一直不退款，客服与厂商踢皮球，一直就是说些让耐心等待的话欺骗客户，却不处理问题，询问客服不下十次，没有任何结果，货物我也没见影子，我也没有收到货，现在我要求立即退款。</t>
  </si>
  <si>
    <t>我来贷催收骚扰</t>
  </si>
  <si>
    <t>http://ts.21cn.com/tousu/show/id/1362282</t>
  </si>
  <si>
    <t>2019/10/15 09:03:45</t>
  </si>
  <si>
    <t>投诉人 陈先生        投诉对象  我来数科        涉诉金额  1 133 元    问题类型    诉求类型投诉详情  我来贷电话骚扰太严重 如果不还还会发短信骚扰甚至联系通讯录的人。希望能停止骚扰，协商</t>
  </si>
  <si>
    <t>银谷还钱</t>
  </si>
  <si>
    <t>http://ts.21cn.com/tousu/show/id/1362281</t>
  </si>
  <si>
    <t>2019/10/15 09:03:11</t>
  </si>
  <si>
    <t>2018.4.4号购买一年期产品500元，今年2019.4.3到期，距今到期已经六个多月了，至今没有兑付。</t>
  </si>
  <si>
    <t>http://ts.21cn.com/tousu/show/id/1362279</t>
  </si>
  <si>
    <t>2019/10/15 09:02:08</t>
  </si>
  <si>
    <t>华夏银行信用卡中心委托方，在联系到本人协议还款未达成协议一致的情况下，依旧对我公司实行电话骚扰，并且电话轰炸，并且有一个自称叫陈莉的女孩子，使用两个归属地的手机号，对我公司老板及公司的电话不停的骚扰，及短信。</t>
  </si>
  <si>
    <t>马上金融恐吓威胁违法催收</t>
  </si>
  <si>
    <t>http://ts.21cn.com/tousu/show/id/1362278</t>
  </si>
  <si>
    <t>2019/10/15 09:00:01</t>
  </si>
  <si>
    <t>马上金融威胁如不还款，加大力度联系家人朋友以及工作单位！欠款只是我个人的问题，如果以任何方式联系骚扰我家人，朋友，同事，单位泄漏我的欠款，逾期，违约，或者其他方式对我的家庭，生活，工作造成影响和后果，我会依法追究。</t>
  </si>
  <si>
    <t>广州是海珠区中影德金影城（客村丽影店）强制消费不开发票</t>
  </si>
  <si>
    <t>http://ts.21cn.com/tousu/show/id/1362277</t>
  </si>
  <si>
    <t>2019/10/15 08:59:38</t>
  </si>
  <si>
    <t>我与朋友两人于2019-10-14日晚到该店观影，电影结束后，我要求前台给我开局发票，前台答复必须要消费满200元才开据发票，我们没消费够200元，不能给我们开票，我消费，你开发票，这是很合理的要求，竟然被前台理直气壮地拒绝了，实在难以接受，望有关部门能对该店的错误行为予以纠正。</t>
  </si>
  <si>
    <t>投诉新疆前海保险与网贷非法合作</t>
  </si>
  <si>
    <t>http://ts.21cn.com/tousu/show/id/1362276</t>
  </si>
  <si>
    <t>2019/10/15 08:59:18</t>
  </si>
  <si>
    <t>在本人未知的情况下强行给本人提供了两份保险。</t>
  </si>
  <si>
    <t>高利贷，套路贷暴力催收，高额利息</t>
  </si>
  <si>
    <t>http://ts.21cn.com/tousu/show/id/1362268</t>
  </si>
  <si>
    <t>2019/10/15 08:56:55</t>
  </si>
  <si>
    <t>投诉人刘佳投诉对象蜜蜂速贷涉诉金额2500元问题类型诉求类型投诉详情高利贷，砍头息蜜蜂本金2500到账1800。</t>
  </si>
  <si>
    <t>http://ts.21cn.com/tousu/show/id/1362275</t>
  </si>
  <si>
    <t>投诉人张女士投诉对象下了么涉诉金额1300元问题类型诉求类型投诉详情高利贷砍头息逾期费用与所述不符无法联系客服。</t>
  </si>
  <si>
    <t>哈罗出行助力车只退还50%的费用</t>
  </si>
  <si>
    <t>http://ts.21cn.com/tousu/show/id/1362273</t>
  </si>
  <si>
    <t>2019/10/15 08:56:30</t>
  </si>
  <si>
    <t>第一次骑哈罗助力车，并不知道超出它规定的范围会扣费，扣了30，只退了15。</t>
  </si>
  <si>
    <t>http://ts.21cn.com/tousu/show/id/1362274</t>
  </si>
  <si>
    <t>2019/10/15 08:56:25</t>
  </si>
  <si>
    <t>借钱2000，分三个月总共居然要还3700多，这不就是高利贷吗，昨天已经逾期沟通月底发工资还，对方不肯协调，半夜骚扰恐吓我妹妹。</t>
  </si>
  <si>
    <t>阴阳合同高利贷高违约金</t>
  </si>
  <si>
    <t>http://ts.21cn.com/tousu/show/id/1362271</t>
  </si>
  <si>
    <t>2019/10/15 08:55:44</t>
  </si>
  <si>
    <t>凡普金科集团有限公司,北京会牛科技有限公司,钱站，借款合同标注借款本金是6650，实际到账是5000元，分三期每期还款2873.65，总计借款5000元三个月还款8620.95，逾期一天需要另外收取罚息17.24元，违约金是287.37元！！！！远远已经超过了36%。</t>
  </si>
  <si>
    <t>信用管家里面薪意贷高额利息</t>
  </si>
  <si>
    <t>http://ts.21cn.com/tousu/show/id/1362254</t>
  </si>
  <si>
    <t>2019/10/15 08:54:39</t>
  </si>
  <si>
    <t>投诉人吴先生投诉对象薪意贷涉诉金额3200元问题类型诉求类型投诉详情在信用管家里面薪意贷借款，当时申请时候没有看清楚，以为没有砍头息，结果还款两期后发现放款金额2250，需要还款3200多，比砍头息还要高，申请减免费用，明显的高利贷。</t>
  </si>
  <si>
    <t>偿还合理利息</t>
  </si>
  <si>
    <t>http://ts.21cn.com/tousu/show/id/1362265</t>
  </si>
  <si>
    <t>2019/10/15 08:52:48</t>
  </si>
  <si>
    <t>借款1000，分3期要还1907.85！利息不合法，属于高利贷，现已还一期，剩下两期我要求只还剩下的本金，合理的利息，而且是阴阳合同，明明是借1000，合同却写着1870，我不赖账，但我只还我应该还的。</t>
  </si>
  <si>
    <t>米米罐存在高利贷</t>
  </si>
  <si>
    <t>http://ts.21cn.com/tousu/show/id/1362264</t>
  </si>
  <si>
    <t>2019/10/15 08:52:26</t>
  </si>
  <si>
    <t>米米罐涉嫌存在高利贷，借款本金1900元，借款周期一个月，需要偿还2936.56元，其中多出的900多元是以征信费的名义收取的。</t>
  </si>
  <si>
    <t>及贷逾期</t>
  </si>
  <si>
    <t>http://ts.21cn.com/tousu/show/id/1362263</t>
  </si>
  <si>
    <t>2019/10/15 08:51:52</t>
  </si>
  <si>
    <t>实在抱歉通过此平台联系你们，我的及贷昨天是最后一期，因这个月家里出现变故，请求给予两天的宽限期，账单是昨天到期的，此次账单是最后一期还款日，我会在明天下午5点前结清此次欠款，请求平台给予帮助。</t>
  </si>
  <si>
    <t>现金巴士恶意扣款，有会员费，加速费，暴力催收</t>
  </si>
  <si>
    <t>http://ts.21cn.com/tousu/show/id/1362262</t>
  </si>
  <si>
    <t>2019/10/15 08:51:10</t>
  </si>
  <si>
    <t>现金巴士高利贷，一共反复借了八九次，爆我通讯录，该公司急用爬虫技术手段，获得我通讯记录，通话记录，暴力催收，言语威胁，每次借款都有加速费用，会员费，零零散散总计1500元左右，现要求退款，道歉，对我做出赔偿，没有借款合同，app也下载不了。</t>
  </si>
  <si>
    <t>收取高额逾期费用</t>
  </si>
  <si>
    <t>http://ts.21cn.com/tousu/show/id/1362260</t>
  </si>
  <si>
    <t>2019/10/15 08:49:32</t>
  </si>
  <si>
    <t>卡牛瑞贷收取高额逾期费用，1200元逾期一天逾期费用180，电话跟卡牛客服沟通撤销逾期费用还款，客服拒绝沟通，说是合理合法收取费用，请帮助处理。</t>
  </si>
  <si>
    <t>我的号码被电话邦误标记了，审核每次都驳回</t>
  </si>
  <si>
    <t>http://ts.21cn.com/tousu/show/id/1362259</t>
  </si>
  <si>
    <t>2019/10/15 08:48:58</t>
  </si>
  <si>
    <t>这是我私人的号码，被电话邦误标记了，我申诉了三次都给我驳回了，非要我去营业厅开证明，标记的时候那么随意，取消的时候这么麻烦，我去营业厅营业厅又说打不了，真无语！。</t>
  </si>
  <si>
    <t>投诉出行唯选，要回自己办卡的一千九百九十八元</t>
  </si>
  <si>
    <t>http://ts.21cn.com/tousu/show/id/1362242</t>
  </si>
  <si>
    <t>2019/10/15 08:48:47</t>
  </si>
  <si>
    <t>2019年7月21日下午4点我到兰州中川机场乘坐前往阿克苏的航班，进去之后办理值机服务，自动值机台出现问题，这时一名穿着制度的服务人员帮我办理值机后，给我介绍出行唯选的会员卡办理，当时未付款之前说充值1998送1000块，并且可以用来买飞机票，而且出行唯选后期订购机票可享受优惠，可当我充值完之后才告知我只能用来抵扣基建和燃油费，并且只限我本人，而且平台机票价格并没有优惠，后面我去找相关人员要求退款，相关人员告知不好办理退款，这时已临近登机我只好先登机，之后我联系客服，客服一直让我等待回复，两天过去了，没有任</t>
  </si>
  <si>
    <t>客服跟我解释不清楚，我还款了是怕越滚越多，但是我并不是认可，这期今天也是逾期一天，还还是1409逾期一天逾期费用是百分</t>
  </si>
  <si>
    <t>http://ts.21cn.com/tousu/show/id/1362256</t>
  </si>
  <si>
    <t>2019/10/15 08:47:55</t>
  </si>
  <si>
    <t>前段时间也投诉过这问题，后来忘记回复，系统默认结案了，上次客服跟我解释不清楚，我还款了是怕越滚越多，但是我并不是认可，这期看了，还是一样问题，也是逾期一天，，逾期一天逾期费用是百分之五，我看正规平台最多不超万分之五每天，洋钱罐逾期一天是百分之5.也就是万分之500，可就是没人管，我们借款的是弱势群体，反应能有人帮忙吗，谢谢，上次投诉得单号图片截图，。</t>
  </si>
  <si>
    <t>求分期乐给时间周转宽限</t>
  </si>
  <si>
    <t>http://ts.21cn.com/tousu/show/id/1362258</t>
  </si>
  <si>
    <t>2019/10/15 08:47:50</t>
  </si>
  <si>
    <t>投诉人尚女士投诉对象分期乐涉诉金额2100元问题类型诉求类型投诉详情本人之前通过分期乐app申请两笔贷款，原定还款日为10月11日，但本人最近身体出现问题一直住院，钱要两天之后才能周转开，所以现在想通过投诉平台协商一下，于10月17日前结清当期所有贷款。</t>
  </si>
  <si>
    <t>玖富高利贷暴力催收</t>
  </si>
  <si>
    <t>http://ts.21cn.com/tousu/show/id/1362253</t>
  </si>
  <si>
    <t>2019/10/15 08:45:42</t>
  </si>
  <si>
    <t>不停的电话和短信轰炸，骚扰家人，已严重影响生活。</t>
  </si>
  <si>
    <t>京东金融私自泄露个人隐私信息</t>
  </si>
  <si>
    <t>http://ts.21cn.com/tousu/show/id/1362251</t>
  </si>
  <si>
    <t>2019/10/15 08:45:17</t>
  </si>
  <si>
    <t>京东金融私自泄露我的通讯录好友电话，骚扰我通讯录好友，。</t>
  </si>
  <si>
    <t>钱站高利贷不合法网贷</t>
  </si>
  <si>
    <t>http://ts.21cn.com/tousu/show/id/1362252</t>
  </si>
  <si>
    <t>2019/10/15 08:45:09</t>
  </si>
  <si>
    <t>钱站高利贷！借4000元分3期！每期还2540元！一共要还7620元！利息近4000元跟本金差不多了！。</t>
  </si>
  <si>
    <t>钱站诱惑欺诈目无王法</t>
  </si>
  <si>
    <t>http://ts.21cn.com/tousu/show/id/1362250</t>
  </si>
  <si>
    <t>2019/10/15 08:44:11</t>
  </si>
  <si>
    <t>钱站横行霸道，不讲理扭曲事实，谎言诱惑，每天骚扰电话不断，短信威胁，本人在2017年11月27日钱站贷款70000万元，当时申请额度70000万元本人当时没有申请入账怕有猫腻，两天后客服给我打电话说让我把钱确认入账还说没有任何其他费用符合和标准利率，我才申请的到账，到账以后合同发到我的邮箱里一看我贷款70000万元，实际到账也是70000万元，合同写的是75600万元，和客服联系说是服务费，这是砍头息吧，然后我登陆钱站APP又一个合同写的是我每个月要多还1000元的服务费，我是分三年还清，正常算法是7000</t>
  </si>
  <si>
    <t>求闪银给两天时间宽限</t>
  </si>
  <si>
    <t>http://ts.21cn.com/tousu/show/id/1362249</t>
  </si>
  <si>
    <t>2019/10/15 08:43:36</t>
  </si>
  <si>
    <t>本人之前通过闪银app申请两笔贷款，原定还款日为10月14日，但本人最近身体出现问题一直住院，钱要两天之后才能周转开，所以现在想通过投诉平台协商一下，于10月17日前结清所有贷款。</t>
  </si>
  <si>
    <t>中信银行暴利催收</t>
  </si>
  <si>
    <t>http://ts.21cn.com/tousu/show/id/1362248</t>
  </si>
  <si>
    <t>2019/10/15 08:40:17</t>
  </si>
  <si>
    <t>上门威胁恐吓老人，搞得老人高血压住医院了，骚扰家人，明明只差21000，上门和老人说欠6万，。</t>
  </si>
  <si>
    <t>退还我的保险费用，包括之前我还清的也要退还</t>
  </si>
  <si>
    <t>http://ts.21cn.com/tousu/show/id/1362247</t>
  </si>
  <si>
    <t>2019/10/15 08:40:05</t>
  </si>
  <si>
    <t>我一直没有逾期去还款，因为之前不知道借款里面还有保险费用，最近别人告诉我才知道，现在我要求你们退还我的保险费用，一笔我已经还清的9000元还有一笔是我剩最后一期的5400，并且合同上也没有标明这份保险的费用，现在我要求必须退还我的保险费。</t>
  </si>
  <si>
    <t>百度服务乱扣费、（血汗钱）</t>
  </si>
  <si>
    <t>http://ts.21cn.com/tousu/show/id/1362246</t>
  </si>
  <si>
    <t>2019/10/15 08:38:58</t>
  </si>
  <si>
    <t>不知情的情况下、自己的建设银行卡里面的钱，被，分别在2019年7月、8月、9月、10月都有扣去我的血汗钱，在最近2019年10月13日分别扣了我：292.44元，自己的奶奶也是胃癌晚期、奶奶正需要钱的时候，从小和奶奶长大，还我血汗钱、还我公道啊！，打电话问是建设银行说是还呗扣取、然而自己也没在app上贷款！。</t>
  </si>
  <si>
    <t>http://ts.21cn.com/tousu/show/id/1362245</t>
  </si>
  <si>
    <t>2019/10/15 08:38:40</t>
  </si>
  <si>
    <t>9月26日，本人经过广州天河韦博英语，被派传单的人陈某拉进去体验英语，韦博英语内部老师star顺理成章地讲我骗去百度有钱花进行教育分期贷款，从2018年起至2020年共两年的教育分期贷款，最近有钱花在催款了，恳请您帮我让韦博英语还款，谢谢！。</t>
  </si>
  <si>
    <t>小当家还不了款</t>
  </si>
  <si>
    <t>http://ts.21cn.com/tousu/show/id/1362243</t>
  </si>
  <si>
    <t>2019/10/15 08:38:00</t>
  </si>
  <si>
    <t>投诉人 郭先生        投诉对象  小当家        涉诉金额  1 200 元    问题类型    诉求类型投诉详情  小当家还不了款，客服联系不上，链接登不上。希望客服尽快联系我</t>
  </si>
  <si>
    <t>点我达恶意扣款</t>
  </si>
  <si>
    <t>http://ts.21cn.com/tousu/show/id/1362241</t>
  </si>
  <si>
    <t>2019/10/15 08:36:52</t>
  </si>
  <si>
    <t>在点我达接到莞圆蒸品二个单，找不到商家，在点我达打给商家竟然无号码，显示打不出，又找不到商家，怎么取餐，后来打点我达客服，说明了原因，点我达客服人员说，如果像这种情况，可以选择商家问题取消订单，后来我就选择商家问题取消了订单，然而这样又取消不了，打点我达客服叫他们帮我取消，但是他们就说商家要我配送，如果选择转单的话，一单扣50，但你叫我送至少要联系的到商家呀，连商家号码都没有，怎么过商家那边取餐，又怎么送，怎么知道商家详细地址，后来点我达就主动取消了两个单，一单扣50，两单就扣了我100元。</t>
  </si>
  <si>
    <t>http://ts.21cn.com/tousu/show/id/1362238</t>
  </si>
  <si>
    <t>2019/10/15 08:35:35</t>
  </si>
  <si>
    <t>本人卡的额度是8000元，卡被封了，由于前段时间家里母亲生病，自己住院，为了看病借遍了亲戚朋友的钱，有时候连看病的钱都没有，就逾期了到昨天为止3期了，还进去了2400元，本来就是分期的卡，现在让一次性结清欠款，确实也是没有这个能力，和催收以及客服协商分期还款无果，现在催收每天都对我进行心里上的威胁，告诉我几点不还就会让人来我家，并去公安局告我恶意透支，信用卡诈骗，还说叫我父母给我准备好身份证户口本，会把我带走，还说会起诉我，到时候会把我的还款通道关闭，想还都还不进去，现在本人单独抚养一个刚出生一个月的宝宝，</t>
  </si>
  <si>
    <t>闪银哼哼，瞬瞬套路贷</t>
  </si>
  <si>
    <t>http://ts.21cn.com/tousu/show/id/1362239</t>
  </si>
  <si>
    <t>2019/10/15 08:35:22</t>
  </si>
  <si>
    <t>本人在闪银哼哼，瞬瞬借款，各1400多，借款显示一个月利息只要40多元，但是存在阴阳合同，借款必须要买他们的产品才能放款，而且这些产品都是垃圾，我还打过他们邮寄产品的电话，他们都不敢承认自己寄出的东西，产品价值480元，但是这些东西不要100元。</t>
  </si>
  <si>
    <t>拍拍贷盗取用户信息，频繁骚扰不相关联系人</t>
  </si>
  <si>
    <t>http://ts.21cn.com/tousu/show/id/1362237</t>
  </si>
  <si>
    <t>2019/10/15 08:35:14</t>
  </si>
  <si>
    <t>拍拍贷盗取我的手机信息，在我没有留做紧急联系人的情况下，频繁骚扰对方，对我以及对方的工作和生活造成严重影响。</t>
  </si>
  <si>
    <t>双证司机流水得不到保障派单公平没有倾斜</t>
  </si>
  <si>
    <t>http://ts.21cn.com/tousu/show/id/1362236</t>
  </si>
  <si>
    <t>2019/10/15 08:34:51</t>
  </si>
  <si>
    <t>双征齐全的司机，平台长时间不派单，一直给无证黑车派单。</t>
  </si>
  <si>
    <t>滴滴平台不公平，乱扣钱</t>
  </si>
  <si>
    <t>http://ts.21cn.com/tousu/show/id/1362234</t>
  </si>
  <si>
    <t>2019/10/15 08:34:29</t>
  </si>
  <si>
    <t>定单是代叫订单，接到乘客后，乘客问多久时间到，我和乘客解释了现在是高峰期时段堵车，按照导航走的话，时间要挺久的，如果走高速路线的话就快很多，现在平台判我绕路，扣我钱和服务分，我不同意，因为我是按照乘客要求走的。</t>
  </si>
  <si>
    <t>海南胜云可网络科技有限公司</t>
  </si>
  <si>
    <t>http://ts.21cn.com/tousu/show/id/1362232</t>
  </si>
  <si>
    <t>2019/10/15 08:32:33</t>
  </si>
  <si>
    <t>投诉人李女士投诉对象海南胜云可网络科技有限公司涉诉金额298元问题类型诉求类型投诉详情莫名其妙的银行卡消费了298.5元，经银联查询，是海南胜云可网络科技有限公司，新声支付，要求全额退回。</t>
  </si>
  <si>
    <t>中行银企对接无故代收费</t>
  </si>
  <si>
    <t>http://ts.21cn.com/tousu/show/id/1362231</t>
  </si>
  <si>
    <t>2019/10/15 08:31:26</t>
  </si>
  <si>
    <t>本人中国银行的借记卡在2019年10月14日凌晨四点27分到5点10分，先后分五笔，每笔都是9888元被广东特约乐王通过中国银行银企对接，在本人毫不知情，且没有进行任何操作的情况下将钱从我的借记卡里面转走，我这张卡从来没有办理什么贷款，也没有签约什么代扣协议，现投诉中国银行和特约乐王两家公司，希望尽早给我回复并且处理问题，全额退款。</t>
  </si>
  <si>
    <t>百度金融第三方催收不知道哪里弄来我现在公司电话，严重影响我的工作</t>
  </si>
  <si>
    <t>http://ts.21cn.com/tousu/show/id/1362230</t>
  </si>
  <si>
    <t>2019/10/15 08:31:25</t>
  </si>
  <si>
    <t>投诉人杨玉君投诉对象有钱花涉诉金额1000元问题类型诉求类型投诉详情以前在百度金融借的一笔钱，还有1500元忘了还款，后来手机号码也换了，我也换工作了，就是不知道他哪里弄到我现在工作的公司电话，居然打电话乱说一通，严重影响我现在的工作。</t>
  </si>
  <si>
    <t>合同欺诈</t>
  </si>
  <si>
    <t>http://ts.21cn.com/tousu/show/id/1362229</t>
  </si>
  <si>
    <t>2019/10/15 08:26:37</t>
  </si>
  <si>
    <t>借款2500实际到帐2500，中间未有任何费用明细，后在还款账单发现本人需还3741.42，合同涉嫌造假并涉嫌恶意隐瞒。</t>
  </si>
  <si>
    <t>http://ts.21cn.com/tousu/show/id/1362228</t>
  </si>
  <si>
    <t>2019/10/15 08:26:32</t>
  </si>
  <si>
    <t>投诉人林女士投诉对象万惠及贷涉诉金额13000元问题类型诉求类型投诉详情已还四期，6115.86元，发现剩余还款还要还11000多元，利息实在太高了，综合息费每月还要300多元，请求平台给予帮助解决。</t>
  </si>
  <si>
    <t>捷信利息太高，高出国家规定利息</t>
  </si>
  <si>
    <t>http://ts.21cn.com/tousu/show/id/1362227</t>
  </si>
  <si>
    <t>2019/10/15 08:25:57</t>
  </si>
  <si>
    <t>投诉人张先生投诉对象捷信金融涉诉金额49000元问题类型诉求类型投诉详情捷信金融借款49000，分五十四期已还三期，总共还款99557.1利息太高，加上利息多还五万多，已经超出国家规定利息，不合法，高利贷，承受不起了，恳求国家管理人员看到立即处理，现在我的家庭因为这个高利息已经家破人亡，老娘被气的一病不起，媳妇带着孩子也跑了，逼得我已经没有退路，要不你们来找我吧，不是不还，而是没有能力了，利息都五万多，我也不懂这些贷款什么的，听身边的人一给我说我的利息高出来这么多，当时就蒙了，这要是还到何年何月，一点都不合</t>
  </si>
  <si>
    <t>省呗-高利贷</t>
  </si>
  <si>
    <t>http://ts.21cn.com/tousu/show/id/1362226</t>
  </si>
  <si>
    <t>2019/10/15 08:24:57</t>
  </si>
  <si>
    <t>投诉人李先生投诉对象省呗涉诉金额34950元问题类型诉求类型投诉详情我于2019.7.10在APP省呗借款34950元，期限12个月，每期还款3441.64元，包括2912.50元本金和529.14费用，总共要还金额41299.68，年化费率31.99%，利息太高，已经超出我的承受范围，希望平台协助我，让其降低费率，在我还款能力允许的前提下，延长还款时间，达成一致的还款方案，把双方的损失降到最低。</t>
  </si>
  <si>
    <t>爆我通讯录骚扰我亲戚</t>
  </si>
  <si>
    <t>http://ts.21cn.com/tousu/show/id/1361571</t>
  </si>
  <si>
    <t>2019/10/15 08:23:21</t>
  </si>
  <si>
    <t>爆我通讯录，不处理，还一直在打，让我无法工作了利息一样高，。</t>
  </si>
  <si>
    <t>希望闪银延期</t>
  </si>
  <si>
    <t>http://ts.21cn.com/tousu/show/id/1362225</t>
  </si>
  <si>
    <t>2019/10/15 08:22:27</t>
  </si>
  <si>
    <t>投诉人王先生投诉对象Wecash闪银涉诉金额2200元问题类型诉求类型投诉详情本人因为刚毕业，公司压了一个月工资，工作期间自己又垫了将近一万元，一时也借不上钱，故此逾期一天希望闪银方面能出个延期，感谢。</t>
  </si>
  <si>
    <t>中信银行信用卡催收假冒公安函</t>
  </si>
  <si>
    <t>http://ts.21cn.com/tousu/show/id/1362209</t>
  </si>
  <si>
    <t>2019/10/15 08:22:09</t>
  </si>
  <si>
    <t>投诉人 王先生        投诉对象  中信银行信用卡催收部        涉诉金额  7 000 元    问题类型    诉求类型投诉详情  假冒公安机关立案函催收，涉及恐吓违规催收</t>
  </si>
  <si>
    <t>及贷智享贷</t>
  </si>
  <si>
    <t>http://ts.21cn.com/tousu/show/id/1362224</t>
  </si>
  <si>
    <t>2019/10/15 08:20:59</t>
  </si>
  <si>
    <t>本来就是套路贷我已经还了一部分了还有这么多，已经还了700了还要还2800严重涉嫌套路贷严重涉嫌黑恶。</t>
  </si>
  <si>
    <t>飞贷年利率是36%，是高利贷，逾期几天威胁上门砍人</t>
  </si>
  <si>
    <t>http://ts.21cn.com/tousu/show/id/1362222</t>
  </si>
  <si>
    <t>2019/10/15 08:20:08</t>
  </si>
  <si>
    <t>飞贷高利贷，威胁我和我的家人，说要找黑社会上门砍我们，还说叫人绑架。</t>
  </si>
  <si>
    <t>肥猫应急什么时候处理</t>
  </si>
  <si>
    <t>http://ts.21cn.com/tousu/show/id/1362223</t>
  </si>
  <si>
    <t>2019/10/15 08:20:06</t>
  </si>
  <si>
    <t>本人于十月九号在肥猫应急上申请一笔4500的借款。</t>
  </si>
  <si>
    <t>及贷变相高息高利贷</t>
  </si>
  <si>
    <t>http://ts.21cn.com/tousu/show/id/1362221</t>
  </si>
  <si>
    <t>2019/10/15 08:19:25</t>
  </si>
  <si>
    <t>本人于5月借款13000元，实际到账只有11000，已还四期，6115.86元，发现剩余还款还要还11000多元，利息实在太高了，综合息费每月还要300多元，请求平台给予帮助解决。</t>
  </si>
  <si>
    <t>http://ts.21cn.com/tousu/show/id/1362220</t>
  </si>
  <si>
    <t>2019/10/15 08:17:13</t>
  </si>
  <si>
    <t>一直在周周花花平台借款，借了很多次，利息越借越高，借3000一个月还5000多，逾期一天就要扣100的罚息，实在是太吓人了，最近周转压力实在太大！联系客服协商减免，客服电话永远打不通，我不想逾期也不想强制我只想协商减免还款都这么困难。</t>
  </si>
  <si>
    <t>威尔士健身，威尔士工作人员告知虚假合同，申请退卡迟迟不受理，提出无理条件，不给我办退卡事宜</t>
  </si>
  <si>
    <t>http://ts.21cn.com/tousu/show/id/1361922</t>
  </si>
  <si>
    <t>2019/10/15 08:16:57</t>
  </si>
  <si>
    <t>投诉人祝女士投诉对象威尔士健身涉诉金额2273元问题类型诉求类型投诉详情本人2019年4月13日在上海威尔士健身，，在威尔士健身的工作人员销售经理处办理会员卡和游泳课程，销售经理允诺办理一年会员卡有赠与一个月免费的体验，承诺累计叠加使用卡的有效果时长为13个月，办理时有告知威尔士工作人员自己学完泳课可能会离开上海会办理退卡，销售经理告知届时会帮忙转卡或者承担违约金，并承诺一定给我安排女教练，后因女教练有事临时变更男教练给我上课，起初断断续续学了两三个月的课程，期间有回老家整整两个月，一次未到健身会所，在家期</t>
  </si>
  <si>
    <t>汇潮为高利贷提供支付通道</t>
  </si>
  <si>
    <t>http://ts.21cn.com/tousu/show/id/1362219</t>
  </si>
  <si>
    <t>2019/10/15 08:15:32</t>
  </si>
  <si>
    <t>本人12号无意间通过一个广告信息下载了一个叫虫虫快借app，借款3000元期限5天实际到账1650，支付方是汇潮支付，短短5天断头息高达1350元，还款期限就要到了，但现在app已经打不开了也不知道如何联系，要求协商还款。</t>
  </si>
  <si>
    <t>上下班每天同一位置骑突然一天扣调度费20</t>
  </si>
  <si>
    <t>http://ts.21cn.com/tousu/show/id/1362216</t>
  </si>
  <si>
    <t>2019/10/15 08:13:43</t>
  </si>
  <si>
    <t>每天上下班连续骑了两个月，都是泰安北路至商务中心门口。</t>
  </si>
  <si>
    <t>http://ts.21cn.com/tousu/show/id/1362193</t>
  </si>
  <si>
    <t>2019/10/15 08:13:36</t>
  </si>
  <si>
    <t>虚假发货，空单，非法为骗局游戏提供支付通道，误导消费者以为是正规平台，希望追回钱款，并对商家作出处罚。</t>
  </si>
  <si>
    <t>洋钱包恶意盗窃扣款</t>
  </si>
  <si>
    <t>http://ts.21cn.com/tousu/show/id/1362215</t>
  </si>
  <si>
    <t>2019/10/15 08:13:11</t>
  </si>
  <si>
    <t>从未注册app，就今早起床后才发现五点多收到扣款信息，发现也被扣款，属盗窃行为，要求立即退款返还！！。</t>
  </si>
  <si>
    <t>钱伴催收人员私加微信</t>
  </si>
  <si>
    <t>http://ts.21cn.com/tousu/show/id/1362213</t>
  </si>
  <si>
    <t>2019/10/15 08:11:56</t>
  </si>
  <si>
    <t>投诉人 房雨        投诉对象  钱伴        涉诉金额  5 000 元    问题类型    诉求类型投诉详情  钱伴私加微信 打电话给我家人 严重涉嫌黑恶希望严查钱伴平台 建议下架快贷和钱伴</t>
  </si>
  <si>
    <t>阴阳合同，恶意骚扰暴力催收，高额利息，不让提前还款，还款当日系统屏蔽不让主动还款，也不扣款</t>
  </si>
  <si>
    <t>http://ts.21cn.com/tousu/show/id/1362214</t>
  </si>
  <si>
    <t>2019/10/15 08:11:53</t>
  </si>
  <si>
    <t>2019年5月申请的一笔20600元贷款，贷款利息和当初申请的不一致，严重怀疑是阴阳合同，对比同有一笔2019年1月份申请的贷款21300元，月还款额仅为2062.55，而借款20600元的却要月均还款2293.47元，年利息高出近35%，明显就是套路贷，阴阳合同，超越了国家管理的范围，，甚至在服务后台更改了相关的合同内容和条款，另外，打电话咨询维信金科客服，提前还请贷款不减免后面的利息和每月服务费，我贷款已经还了近6个月，现在想提前还清，后面六个月的利息和服务费为什么还要缴纳，这就是套路贷，霸王条款啊。</t>
  </si>
  <si>
    <t>恶意代扣</t>
  </si>
  <si>
    <t>http://ts.21cn.com/tousu/show/id/1362212</t>
  </si>
  <si>
    <t>2019/10/15 08:11:37</t>
  </si>
  <si>
    <t>投诉人吴先生投诉对象京东金融,网线在线,网银在线涉诉金额2000元问题类型诉求类型投诉详情帮714高炮趣借钱恶意代扣银行卡上钱，每天晚上9点10左右恶意代扣。</t>
  </si>
  <si>
    <t>豆豆钱屡次骚扰亲友，威胁当事人</t>
  </si>
  <si>
    <t>http://ts.21cn.com/tousu/show/id/1362211</t>
  </si>
  <si>
    <t>2019/10/15 08:10:19</t>
  </si>
  <si>
    <t>投诉人陈女士投诉对象豆豆钱涉诉金额163元问题类型诉求类型投诉详情豆豆钱不看时间，屡次骚扰亲友，早上七点半，六点45便开始骚扰，屡次投诉无用，如要联系，请直接联系我妈198******00。</t>
  </si>
  <si>
    <t>泰康人寿赔付金额与业务员所说严重不符</t>
  </si>
  <si>
    <t>http://ts.21cn.com/tousu/show/id/1362207</t>
  </si>
  <si>
    <t>2019/10/15 08:09:51</t>
  </si>
  <si>
    <t>我父亲在2009年听信同村泰康人寿保险公司业务员的话买了该公司的分红险，当时说好一年交一万，交满5年，10年后可得75000元，但现在合同已到期，却只有62000多元，相差13000元左右，所得到的金额与当时的业务工作人员所说的严重不符，我已多次致电泰康人寿保险公司，安庆分公司工作人员解释说这是当时的该公司业务人员口头承诺，并不能代表最后实际赔付金额，而且已离职，已经没有任何办法了，我想该公司作为行业龙头企业，应该有一定的相关政策，如果该公司没有这样的政策说明，当年的该业务员敢怎么说吗，这是严重欺骗消费者行</t>
  </si>
  <si>
    <t>民生银行威胁父母</t>
  </si>
  <si>
    <t>http://ts.21cn.com/tousu/show/id/1362210</t>
  </si>
  <si>
    <t>2019/10/15 08:09:28</t>
  </si>
  <si>
    <t>投诉人李先生投诉对象民生银行涉诉金额25000元问题类型诉求类型投诉详情打电话威胁父母，还有骚扰父母，暴力催收，搞的父母现在精神患得遗失。</t>
  </si>
  <si>
    <t>http://ts.21cn.com/tousu/show/id/1362208</t>
  </si>
  <si>
    <t>2019/10/15 08:07:24</t>
  </si>
  <si>
    <t>嗨学网联系我并宣传报考消防工程师保过，不过可以退费或重修，2019/06/27日，我报名了嗨学网的消防工程师并缴费3498元，导学老师告知操作方法，点击了协议并告知两到三天内会有班主任老师指导学习，班主任王老师讲述消防工程师前景及考试难度，提出有特训班，考前有模拟真题，90%与当年考题一样，可以保证一次过，需要交10000多元，不然根本过不了，诱导再交报名费。</t>
  </si>
  <si>
    <t>壹心分期高额利息</t>
  </si>
  <si>
    <t>http://ts.21cn.com/tousu/show/id/1362206</t>
  </si>
  <si>
    <t>2019/10/15 08:02:10</t>
  </si>
  <si>
    <t>本来今天是打算还款的，可是今天一打开软件，利息居然那么高，我借的是1700，到账1235，如果需要银行流水我可以马上去打，本人确实是因为点原因没有及时还款，但是这利息也太高点了吧，到账1235需要还2500多，如果需要我还这些钱就在给我10天时间，我连利息一起还，要不就给我减免逾期费用，和高出国家利息，如果爆我通讯录的话，我立马报警，觉不姑息，。</t>
  </si>
  <si>
    <t>http://ts.21cn.com/tousu/show/id/1362205</t>
  </si>
  <si>
    <t>2019/10/15 07:59:10</t>
  </si>
  <si>
    <t>出了点交通事故手机被交警收走，导致逾期，开机就看到催收满天飞，是逾期一个月了吗，非要通过外包催收来骚扰，逼别人都赌气放弃还款就是最终目的。</t>
  </si>
  <si>
    <t>贷上钱暴力催收</t>
  </si>
  <si>
    <t>http://ts.21cn.com/tousu/show/id/1362204</t>
  </si>
  <si>
    <t>2019/10/15 07:59:09</t>
  </si>
  <si>
    <t>投诉人 王女士        投诉对象  贷上钱        涉诉金额  1 814 元    问题类型    诉求类型投诉详情  还款日当天就有很多电话打来 威胁今天不还就爆通讯录，没有不想还 只是确实遇到一些问题希望能协商还款 16号发工资之后在处理</t>
  </si>
  <si>
    <t>http://ts.21cn.com/tousu/show/id/1362203</t>
  </si>
  <si>
    <t>2019/10/15 07:58:46</t>
  </si>
  <si>
    <t>我都不知道怎么分期的利息怎么算的看不懂不明细。</t>
  </si>
  <si>
    <t>平安银行让第三方催债，暴力催收</t>
  </si>
  <si>
    <t>http://ts.21cn.com/tousu/show/id/1362202</t>
  </si>
  <si>
    <t>2019/10/15 07:58:32</t>
  </si>
  <si>
    <t>平安银行信用卡无视我的诉求，我希望要和平安银行工作人员沟通，但是对方一直无视我的要求，让第三方催收公司不合法催收，如果对方继续这样下去，我要投诉银监会。</t>
  </si>
  <si>
    <t>http://ts.21cn.com/tousu/show/id/1362200</t>
  </si>
  <si>
    <t>2019/10/15 07:56:14</t>
  </si>
  <si>
    <t>投诉人 梁先生        投诉对象  借花钱        涉诉金额  298 元    问题类型    诉求类型投诉详情  我就注册绑定了卡就扣款198元 没任何提示就扣款 这是恶意扣款 我就注册他家之后 现在每天都有20左右个推销骚扰电话 严重怀疑他家把我信用卖了 要求尽快把钱退款</t>
  </si>
  <si>
    <t>北京有缘在线网络让我猝不及防</t>
  </si>
  <si>
    <t>http://ts.21cn.com/tousu/show/id/1362172</t>
  </si>
  <si>
    <t>2019/10/15 07:55:18</t>
  </si>
  <si>
    <t>在QQ上看到一个叫处处的APP，下载完了一下说0元支付可以享受三天会员，但是要开通免密支付，然后我就开通了，想想APP上不会存在骗钱，结果还真扣了我198，一开始就没有说要支付198，只是说支付0元的&amp;nbsp;不然我也不会去开通免密。</t>
  </si>
  <si>
    <t>高利贷，暴力催收，严重骚扰我的联系人</t>
  </si>
  <si>
    <t>http://ts.21cn.com/tousu/show/id/1362199</t>
  </si>
  <si>
    <t>2019/10/15 07:54:28</t>
  </si>
  <si>
    <t>借款8000，9期还10159.77，这么高的利息，严重超出国家规定的24%，在我逾期之后每天骚扰我的联系人，要求对对利息作出解释。</t>
  </si>
  <si>
    <t>协商还款，停止恶意催收骚扰</t>
  </si>
  <si>
    <t>http://ts.21cn.com/tousu/show/id/1361937</t>
  </si>
  <si>
    <t>2019/10/15 07:50:53</t>
  </si>
  <si>
    <t>投诉人张女士投诉对象微粒贷涉诉金额44000元问题类型诉求类型投诉详情本人于2019年6月18日被冒充公检法的不良分子，诱导以追查线索的名义向微粒贷借款44000元，已经向上海浦东派出所立刑事案件侦查，被骗总金额八十多万，因借款金额巨大，每月只有几千块钱的工资收入无力偿还，与微粒贷人员多次协商还款失败，对方让去各处借款偿还，这么大的数额，亲戚朋友都已无处可借，生活都逼上绝境；目前已经逾期接近三个月，微粒贷平台没有根据我的实际收入及还款能力放如此大额的额度，让我如何承担的起，现在微粒贷外包催收人员发催收好恐吓</t>
  </si>
  <si>
    <t>钱站高利贷砍头息高额服务费变相高利息</t>
  </si>
  <si>
    <t>http://ts.21cn.com/tousu/show/id/1362198</t>
  </si>
  <si>
    <t>2019/10/15 07:50:32</t>
  </si>
  <si>
    <t>投诉人 兰女士        投诉对象  钱站        涉诉金额  90 000 元    问题类型    诉求类型投诉详情  钱站收取高额砍头息 高额服务费 要求退还服务费砍头息 出具结清证明 借款九万实际到账八万多 现在已经还款十二万多 早都还够本金了</t>
  </si>
  <si>
    <t>小赢卡贷恶意骚扰联系人，威胁催收</t>
  </si>
  <si>
    <t>http://ts.21cn.com/tousu/show/id/1362196</t>
  </si>
  <si>
    <t>2019/10/15 07:48:12</t>
  </si>
  <si>
    <t>投诉人田先生投诉对象小赢卡贷涉诉金额1145元问题类型诉求类型投诉详情我爱人的小赢卡贷逾期未处理，客服在能与我和我爱人取得联系的情况下恶意的骚扰联系人，并威胁称不在规定时间内还款就一直给联系人打电话，损坏名誉，我处理了一次，因对公账号不对，被退回来了，后来存进卡里，代扣，结果被别的贷款抢先扣了，催收人员感觉我骗他，然后就开始疯狂拨打我的联系人，而且小赢卡贷还强制不让更改预留手机号和紧急联系人，强制强制！！！！强烈抗议，典型暴力催收的行为，请给我回复！！！！。</t>
  </si>
  <si>
    <t>http://ts.21cn.com/tousu/show/id/1362195</t>
  </si>
  <si>
    <t>2019/10/15 07:47:18</t>
  </si>
  <si>
    <t>投诉人宋先生投诉对象小集钱包涉诉金额299元问题类型诉求类型投诉详情本人下载的活力花借款登陆直接推荐小集钱包，之后在小集钱包平台注册申请网上借贷，小集钱包在未明确告知情况下私自凌晨五点扣款收取299元的评估推荐服务费。</t>
  </si>
  <si>
    <t>http://ts.21cn.com/tousu/show/id/1362194</t>
  </si>
  <si>
    <t>2019/10/15 07:43:01</t>
  </si>
  <si>
    <t>不知情的情况下，为其他不认识的人购买每月582.12元的保险费用。</t>
  </si>
  <si>
    <t>江西风尚购物卖假货</t>
  </si>
  <si>
    <t>http://ts.21cn.com/tousu/show/id/1326340</t>
  </si>
  <si>
    <t>2019/10/15 07:41:27</t>
  </si>
  <si>
    <t>投诉人张彦武投诉对象江西风尚家庭购物有限公司涉诉金额7980元问题类型诉求类型投诉详情我是2014年12月份被江西风尚电视购物忽悠购买的“豪美雅顶级原皮沙发床”，当时导购吹捧该产品质量如何好，是顶级小牛皮，可以用一辈子，如假包退，他们利用国家媒体的威望，欺骗消费者，结果用了不到两年就漏了原形，顶级小牛皮变成了人造革，，他们把人造革当小牛皮出售纯属欺骗，当时售价7980元，附发票及产品照片。</t>
  </si>
  <si>
    <t>闪电借款买了黑卡不下款也不退黑卡钱</t>
  </si>
  <si>
    <t>http://ts.21cn.com/tousu/show/id/1362192</t>
  </si>
  <si>
    <t>2019/10/15 07:37:24</t>
  </si>
  <si>
    <t>10月13日购买黑卡花了360元，但是也不下款，也联系不到客服，客服后来说让天天试，每次都是那样，这不是骗人的吗，希望退款。</t>
  </si>
  <si>
    <t>豆豆钱给我亲戚朋友打骚扰电话恶意恐吓催收</t>
  </si>
  <si>
    <t>http://ts.21cn.com/tousu/show/id/1362191</t>
  </si>
  <si>
    <t>2019/10/15 07:34:33</t>
  </si>
  <si>
    <t>逾期几天，我又不是不还，就爆通讯录，给我亲戚朋友打骚扰电话，恶意恐吓。</t>
  </si>
  <si>
    <t>http://ts.21cn.com/tousu/show/id/1362190</t>
  </si>
  <si>
    <t>2019/10/15 07:32:57</t>
  </si>
  <si>
    <t>借款金额4500，借的时候提示还款5800，结果合同显示借款5900，实际到账4500，而还款6期总共还款需要9000，钱站不把利率调整回来，我银行卡直接注销，一毛不还。</t>
  </si>
  <si>
    <t>敏付违规提供充值通道</t>
  </si>
  <si>
    <t>http://ts.21cn.com/tousu/show/id/1362189</t>
  </si>
  <si>
    <t>2019/10/15 07:32:32</t>
  </si>
  <si>
    <t>通过中国人民银行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t>
  </si>
  <si>
    <t>捷信消费金融有限公司收取高额不合法服务费，手续费，存在欺瞒行为</t>
  </si>
  <si>
    <t>http://ts.21cn.com/tousu/show/id/1362188</t>
  </si>
  <si>
    <t>2019/10/15 07:32:30</t>
  </si>
  <si>
    <t>2018年11月捷信消费金融有限公司电话致本人可申请其公司贷款，并在电话里告知贷款本金60000元，分51期还款，每期2126.12元，未告知里面包含高额的服务费和手续费，本人未知情的情况下同意办理，在此合同还款了13期，共还款27639.56元之后，2019年1月，捷信消费金融有限公司又电话致电本人，将合同升级为70000，以前的合同可以抵消，并可再放款一万元，其它费用细节没说的情况下，本人同意办理，在新合同还款了10期，每期2440.97元，共24409.7元，本人想要提前还款，发现还要还66000多元</t>
  </si>
  <si>
    <t>中国移动话费套餐陷阱</t>
  </si>
  <si>
    <t>http://ts.21cn.com/tousu/show/id/1362186</t>
  </si>
  <si>
    <t>2019/10/15 07:30:15</t>
  </si>
  <si>
    <t>，前几天去营业厅查询，结果从下个月开始变成128元的套餐，而且没有通话时间了，，打一分钟就要收取一分钟的通话费，我就提出更改套餐，结果客服说不能更改套餐。</t>
  </si>
  <si>
    <t>恶意催收，干扰生活，714高炮</t>
  </si>
  <si>
    <t>http://ts.21cn.com/tousu/show/id/1362185</t>
  </si>
  <si>
    <t>2019/10/15 07:29:59</t>
  </si>
  <si>
    <t>高额利息，砍头息，714高炮平台，关键没有想借，点开直接借款没有同意提示，就下款了，想退没有客服电话，只有5天，希望他们协商解决问题。</t>
  </si>
  <si>
    <t>网银在线违反清算管理规定、非金融机构支付服务管理办法相关规定</t>
  </si>
  <si>
    <t>http://ts.21cn.com/tousu/show/id/1362184</t>
  </si>
  <si>
    <t>2019/10/15 07:28:56</t>
  </si>
  <si>
    <t>本人与2018年9月初被一个自称合法网上购买彩票的境外平台方通过虚拟号码短信发送链接的方式进行了初次下载，进入主页显示的合作商都是国内拥有合法支付牌照的服务公司，就信以为真，当我充值第一笔的时候发现里面页面有赌博性质，就想取出钱不在此平台购彩，谁知道取不出，必须达到网站要求的流水才可以取出，更加确定了该平台是有违法行为的，并联系了客服，客服不给处理，说必须按照流水要求，就这样陷入进去，人财两空，网银在线，科技有限公司由于违反清算管理规定、非金融机构支付服务管理办法相关规定，现召集群众对其进行投诉，你方对于客</t>
  </si>
  <si>
    <t>一直不给解决问题</t>
  </si>
  <si>
    <t>http://ts.21cn.com/tousu/show/id/1362181</t>
  </si>
  <si>
    <t>2019/10/15 07:23:49</t>
  </si>
  <si>
    <t>打客服电话投诉，说三个工作日给回电话，我就想问过去一个月了，这是多少工作日了。</t>
  </si>
  <si>
    <t>北京友缘在线网络科技有限公司欺诈用户要求退款</t>
  </si>
  <si>
    <t>http://ts.21cn.com/tousu/show/id/1362179</t>
  </si>
  <si>
    <t>2019/10/15 07:20:28</t>
  </si>
  <si>
    <t>投诉人曹先生投诉对象友缘在线,北京友缘在线网络科技有限公司涉诉金额99元问题类型诉求类型投诉详情忘了在哪下的软件，点进去，说什么有0元使用3天的vip，但是需要免密支付宝，结果弹出一个界面，一点就很快的扣除了我99元，而且钱扣除了，也没能得到相应的服务。</t>
  </si>
  <si>
    <t>微品分期收取高额手续费</t>
  </si>
  <si>
    <t>http://ts.21cn.com/tousu/show/id/1362178</t>
  </si>
  <si>
    <t>2019/10/15 07:18:14</t>
  </si>
  <si>
    <t>微品分期涉嫌高额高利贷，借2300元一个月需还2938元，其中有600元所谓的委托代收，其实就是高额利息，国家利率规定年息24％，24％～36％不在国家保护范围内，超过国家规定36％即属于高利贷属违法操作，微品分期月利率达到26％按年算年利率达到312％超过国家规定的10倍以上，现在微品分期借2300元要还2938元已经超出该还部分的569元，也就是要多还569元，如果不同意2369元我都不会还，如果骚扰我的家人和朋友不仅这个钱没了，我将会投诉到银监会及中国互联网金融举报信息平台或报警处理。</t>
  </si>
  <si>
    <t>网易云商城取消订单却发货给别人</t>
  </si>
  <si>
    <t>http://ts.21cn.com/tousu/show/id/1362177</t>
  </si>
  <si>
    <t>2019/10/15 07:17:51</t>
  </si>
  <si>
    <t>我在早上取消的订单当时还没有发货，结果晚上一看，货物直接出库了，我真服了，然后昨晚客服留言了，早上起来一看，直接发给别人，我连货都没有了。</t>
  </si>
  <si>
    <t>现金巴士前期有收费，后面利息不符合</t>
  </si>
  <si>
    <t>http://ts.21cn.com/tousu/show/id/1362176</t>
  </si>
  <si>
    <t>2019/10/15 07:15:13</t>
  </si>
  <si>
    <t>借款一千，一开始就要付款168才能下款，后面三期，合同是339，但是实际364。</t>
  </si>
  <si>
    <t>贷上钱网络高利贷</t>
  </si>
  <si>
    <t>http://ts.21cn.com/tousu/show/id/1362175</t>
  </si>
  <si>
    <t>2019/10/15 07:12:12</t>
  </si>
  <si>
    <t>在微信公众号中下载贷上钱，之前是清风钱包，借款2000，30天需要还款2560元，游戏币消费500，无游戏币，属于绑定消费，利息一月60，纯粹的网络高利贷，不给协商处理，骚扰联系人，c催收态度恶劣，要求减免游戏币消费，要求去掉游戏币，停止骚扰联系人，严厉打击网络高利贷，变相收取服务费。</t>
  </si>
  <si>
    <t>金猪钱包套路</t>
  </si>
  <si>
    <t>http://ts.21cn.com/tousu/show/id/1362174</t>
  </si>
  <si>
    <t>2019/10/15 07:06:29</t>
  </si>
  <si>
    <t>借3000分四期每月分别还750，上月25号第三期到期，我说协商两期一起还，他们说等3号，让我把钱留够，结果等5号才给我打电话又说不能减免还款，只能减免我的逾期费，截止这月12号开始让我必须还1500，或者给个支付宝账号让部分还款，这么深的套路怎么敢部分还款，用打我联系人威胁我，截止昨晚，态度极度恶劣，要求本金还款。</t>
  </si>
  <si>
    <t>谎称退款，实际没退</t>
  </si>
  <si>
    <t>http://ts.21cn.com/tousu/show/id/1362173</t>
  </si>
  <si>
    <t>2019/10/15 07:05:14</t>
  </si>
  <si>
    <t>投诉人 黄先生        投诉对象  聚富分期        涉诉金额  150 元    问题类型    诉求类型投诉详情  之前投诉过，对方谎称已经退款，就给结案了。今天查询，发现并没有退款。</t>
  </si>
  <si>
    <t>唯品会威胁本人</t>
  </si>
  <si>
    <t>http://ts.21cn.com/tousu/show/id/1362171</t>
  </si>
  <si>
    <t>2019/10/15 07:01:38</t>
  </si>
  <si>
    <t>唯品花催收威胁我如继续不还款就要爆我通讯录协助我还款。</t>
  </si>
  <si>
    <t>利息高暴力催收骚扰</t>
  </si>
  <si>
    <t>http://ts.21cn.com/tousu/show/id/1362170</t>
  </si>
  <si>
    <t>2019/10/15 07:01:15</t>
  </si>
  <si>
    <t>投诉人于先生投诉对象马上消费金融,玖富,招联金融涉诉金额50000元问题类型诉求类型投诉详情利息高骚扰本人以及家人本人无力偿还要求减免利息。</t>
  </si>
  <si>
    <t>在智行买火车票未取票不给退款</t>
  </si>
  <si>
    <t>http://ts.21cn.com/tousu/show/id/1362169</t>
  </si>
  <si>
    <t>2019/10/15 06:57:57</t>
  </si>
  <si>
    <t>投诉人刘先生投诉对象智行涉诉金额32元问题类型诉求类型投诉详情本人在智行平台买了一张9月30号21:34从赣州开往南昌的火车票，由于当天行程临时发生改变未出行，未取票，当时忙于公司事务，未及时在网络进行退票，事后再联系智行平台进行退款，结果不予处理。</t>
  </si>
  <si>
    <t>银行卡钱通过在国美app支付被盗刷4100元充值话费多次联系国美并提交相关信息一直以推卸责任为由让我联系警察客服人员不处</t>
  </si>
  <si>
    <t>http://ts.21cn.com/tousu/show/id/1362168</t>
  </si>
  <si>
    <t>2019/10/15 06:52:24</t>
  </si>
  <si>
    <t>2019年10月14日下午本人刚睡醒手机接到多条银行发过来的消费信息，国美给我回复说这几笔钱是在国美话费充值平台上进行了话费充值，我搞不懂我的账户密码没有给别人知道支付的时候应该还有验证码，就一直推卸责任让我去报警，让警方去处理，搞得我被盗刷损失的钱财，跟他国美一点关系都没有一样，，后面给国美打电话给客服人员发信息均都不理睬，表示我钱财损失跟他们没有任何关系没有收到任何回复，，一直不给予受理我被盗刷者在国美平台充话费的损失，被盗刷的钱财4100元全部流入了国美的美信网络技术有限公司商户，国美的工作人员还表示</t>
  </si>
  <si>
    <t>http://ts.21cn.com/tousu/show/id/1362167</t>
  </si>
  <si>
    <t>2019/10/15 06:49:53</t>
  </si>
  <si>
    <t>在能联系到本人的情况下，不断的给公司座机打电话骚扰，现在已经被公司开除，精神压力很大，上不了班走到哪骚扰到哪，连经济收入都没了怎么还钱，如果死能让你们满意，你们给我收尸。</t>
  </si>
  <si>
    <t>http://ts.21cn.com/tousu/show/id/1362166</t>
  </si>
  <si>
    <t>2019/10/15 06:48:24</t>
  </si>
  <si>
    <t>豹子贷,上海造艺网络科技,造艺网络科技,银码头，豹子贷未经过本人同意，就扣银行卡里面的钱，严重侵犯自己的财产，我没有贷款，我也不需要贷款。</t>
  </si>
  <si>
    <t>发货错误异地签收</t>
  </si>
  <si>
    <t>http://ts.21cn.com/tousu/show/id/1362165</t>
  </si>
  <si>
    <t>2019/10/15 06:46:20</t>
  </si>
  <si>
    <t>我填的收货地址是福建省南平市，结果商家发货广东去还签收了，微信里面的快手小店的魔筷订单，恶意欺骗消费者。</t>
  </si>
  <si>
    <t>http://ts.21cn.com/tousu/show/id/1362164</t>
  </si>
  <si>
    <t>2019/10/15 06:46:19</t>
  </si>
  <si>
    <t>骚扰通讯录好友，造成个人名誉损害，要求道歉。</t>
  </si>
  <si>
    <t>http://ts.21cn.com/tousu/show/id/1362163</t>
  </si>
  <si>
    <t>2019/10/15 06:41:43</t>
  </si>
  <si>
    <t>天天打电话骚扰我工作单位，我已经被开除，根本没办法正常工作，到哪上班都会被打电话，班都上不了怎么还钱，我现在精神压力很大，没有经济收入，不想活了，还在打电话逼我。</t>
  </si>
  <si>
    <t>骚扰我恐吓我</t>
  </si>
  <si>
    <t>http://ts.21cn.com/tousu/show/id/1362162</t>
  </si>
  <si>
    <t>2019/10/15 06:40:48</t>
  </si>
  <si>
    <t>老是打电话骚扰我，恐吓我，爆通讯录，骚扰我的家人，。</t>
  </si>
  <si>
    <t>钱站黑心乱扣钱，捏造借款合同</t>
  </si>
  <si>
    <t>http://ts.21cn.com/tousu/show/id/1362161</t>
  </si>
  <si>
    <t>2019/10/15 06:39:23</t>
  </si>
  <si>
    <t>，于2019年8月6日又一次性还了3216.84元，以为结清了，谁知道还完后期数直接从合同的3620元分的三期，分别1226.21元、1231.08元、1231.09元，变成了25期每期114.29，于2019年8月20日通过“快钱支付网联商委”分几次又扣除了我1700元，我就算安合同也在借了3620元，更何况还有共所周知的“砍头息”，我想问我究竟要还多少才足够。</t>
  </si>
  <si>
    <t>好易借超额收取逾期费用</t>
  </si>
  <si>
    <t>http://ts.21cn.com/tousu/show/id/1362160</t>
  </si>
  <si>
    <t>2019/10/15 06:38:12</t>
  </si>
  <si>
    <t>好易借超额收取300元逾期费用，赔偿至今仍未到账。</t>
  </si>
  <si>
    <t>拍拍贷恶意催收骚扰通讯录虚假律师函恐吓亲友</t>
  </si>
  <si>
    <t>http://ts.21cn.com/tousu/show/id/1362159</t>
  </si>
  <si>
    <t>2019/10/15 06:31:06</t>
  </si>
  <si>
    <t>投诉人 兰女士        投诉对象  拍拍贷        涉诉金额  10 000 元    问题类型    诉求类型投诉详情  拍拍贷盗取个人信息 骚扰通讯录 打电话恐吓亲友 要求马上停止骚扰通讯录</t>
  </si>
  <si>
    <t>http://ts.21cn.com/tousu/show/id/1362157</t>
  </si>
  <si>
    <t>2019/10/15 06:25:09</t>
  </si>
  <si>
    <t>借款20003个月，要还4000利息高的离谱，要求调整利息。</t>
  </si>
  <si>
    <t>信用管家APP</t>
  </si>
  <si>
    <t>http://ts.21cn.com/tousu/show/id/1362156</t>
  </si>
  <si>
    <t>2019/10/15 06:23:19</t>
  </si>
  <si>
    <t>申请3000元，砍头息750元，实际到账2250元，分30天每10天还次，高出国家规定利率，要求按国家法定利率协商处理还款事宜。</t>
  </si>
  <si>
    <t>豆豆钱乱扣保险费</t>
  </si>
  <si>
    <t>http://ts.21cn.com/tousu/show/id/1362155</t>
  </si>
  <si>
    <t>2019/10/15 06:22:06</t>
  </si>
  <si>
    <t>投诉人 熊女士        投诉对象  豆豆钱        涉诉金额  900 元    问题类型    诉求类型投诉详情  在正常还款一个月后。私自签订保险协议并扣除900元保险费。变相砍头息。全程非自愿。强制。请客服上午联系我下午上班没时间</t>
  </si>
  <si>
    <t>借款70000，合同上是借款78000，实到账70000元，分36期还款一共要还120000多</t>
  </si>
  <si>
    <t>http://ts.21cn.com/tousu/show/id/1362154</t>
  </si>
  <si>
    <t>2019/10/15 06:20:48</t>
  </si>
  <si>
    <t>在钱站借款70000元，可是合同上写的是78000元，但是实际到账才70000元，分36期还款，但是算下来一共要还120256.92元，还没到还款日就各种打电话各种短信催收还款，每个月要多出1千多块的利息，无法承受，这个已属于高利贷。</t>
  </si>
  <si>
    <t>http://ts.21cn.com/tousu/show/id/1362153</t>
  </si>
  <si>
    <t>2019/10/15 06:17:56</t>
  </si>
  <si>
    <t>资金被冻结</t>
  </si>
  <si>
    <t>http://ts.21cn.com/tousu/show/id/1362152</t>
  </si>
  <si>
    <t>2019/10/15 06:12:06</t>
  </si>
  <si>
    <t>我在淘手游买了100块的商品然后充值980要积分解封然后没有通过二维码付款冻结了又充值980银行卡多填了一位又冻结了叫我充值5900解封，然后充值5900没通过二维码又冻结还需要5900我没钱了客服也不管我想这是不是套。</t>
  </si>
  <si>
    <t>恶意骚扰通讯录好友，且晚上骚扰</t>
  </si>
  <si>
    <t>http://ts.21cn.com/tousu/show/id/1362151</t>
  </si>
  <si>
    <t>2019/10/15 06:07:36</t>
  </si>
  <si>
    <t>没有经过本人同意恶意多次骚扰通讯录好友，并且公司的催收电话骚扰我本人晚上的正常休息。</t>
  </si>
  <si>
    <t>（特约）迅付信息科技有限公司乱扣费</t>
  </si>
  <si>
    <t>http://ts.21cn.com/tousu/show/id/1362150</t>
  </si>
  <si>
    <t>2019/10/15 06:00:18</t>
  </si>
  <si>
    <t>2019082714:32:17无故扣款208元。</t>
  </si>
  <si>
    <t>拍拍贷简直黑社会啊在这严打黑的时间还是那么嚣张</t>
  </si>
  <si>
    <t>http://ts.21cn.com/tousu/show/id/1362149</t>
  </si>
  <si>
    <t>2019/10/15 05:59:11</t>
  </si>
  <si>
    <t>未经授权“疯狂骚扰威胁”亲戚朋友，还威胁说再不还我死定了，捏造事情，损坏污蔑我的个人形象，情节极度恶劣。</t>
  </si>
  <si>
    <t>http://ts.21cn.com/tousu/show/id/1362148</t>
  </si>
  <si>
    <t>2019/10/15 05:59:02</t>
  </si>
  <si>
    <t>投诉人钱女士投诉对象乐意花,乐开花,海尔消费金融涉诉金额5000元问题类型诉求类型投诉详情乐意花借款5000元，分12期归还，每期需还款636.1元，12期共需还款7633.2，总利息高达2633.2元，年利率接近53%，远超国家规定的最高利率，现在要求调整利率！现已经还够借款金额要求退还保费！变相砍头息！否则将报警及上级有关部门处理！。</t>
  </si>
  <si>
    <t>钱站高利贷阴阳合同，非法催收，暴力恐吓</t>
  </si>
  <si>
    <t>http://ts.21cn.com/tousu/show/id/1362147</t>
  </si>
  <si>
    <t>2019/10/15 05:46:30</t>
  </si>
  <si>
    <t>或者把剩下的3000补发于我，如果逾期我愿承担一切后果，。</t>
  </si>
  <si>
    <t>http://ts.21cn.com/tousu/show/id/1362146</t>
  </si>
  <si>
    <t>2019/10/15 05:12:22</t>
  </si>
  <si>
    <t>投诉人 吴先生        投诉对象  聚福钱包        涉诉金额  299 元    问题类型    诉求类型投诉详情  造艺技术 聚福钱包app恶意扣款 未经同意直接扣除银行卡中余额 多次投诉未果，不给予处理</t>
  </si>
  <si>
    <t>百合网诱导贷款消费、签订霸王条款前后描述的不一样</t>
  </si>
  <si>
    <t>http://ts.21cn.com/tousu/show/id/1362140</t>
  </si>
  <si>
    <t>2019/10/15 04:57:15</t>
  </si>
  <si>
    <t>投诉人危先生投诉对象百合网广州万菱汇线下实体店涉诉金额13800元问题类型诉求类型投诉详情本人于今年5.8之前的某天接到了一个声称是百合网的工作人员的电话，说问我要不要找对象；在沟通的过程中我还说考虑一下，工作人员把我叫到一个小房间里头进行长达2个小时左右的情感一对一问话（后来听说在网上和我一样遭遇的人称这只不过跟传销的洗脑没任何区别，至于那个给我洗脑的王姓工作人员对我说她就是负责你的个人服务，6.15那一天；在与对方姑娘见面之前那个林姓的红娘还对我说约会的时间只有30分钟，你自己好好的把握，回到家之后的第</t>
  </si>
  <si>
    <t>恶意乱扣我钱</t>
  </si>
  <si>
    <t>http://ts.21cn.com/tousu/show/id/1362145</t>
  </si>
  <si>
    <t>2019/10/15 04:52:57</t>
  </si>
  <si>
    <t>易宝支付，未经本人同意从我银行卡自动扣款249要求退款，侵犯我隐私权，恶意扣款，违法行为。</t>
  </si>
  <si>
    <t>莫名其妙的的征信报告费</t>
  </si>
  <si>
    <t>http://ts.21cn.com/tousu/show/id/1362144</t>
  </si>
  <si>
    <t>2019/10/15 04:50:37</t>
  </si>
  <si>
    <t>上海两橙信息科技有限公司在我不知情的情况下扣走我银行卡100块钱，美名其曰征信报告费，要求退还100元。</t>
  </si>
  <si>
    <t>借了3000还了1000多，到头还欠2000多，借2000还了1000多还欠1000多，这是什么道理？终止合同我时间还没到就把后面的利息都算了进</t>
  </si>
  <si>
    <t>http://ts.21cn.com/tousu/show/id/1362143</t>
  </si>
  <si>
    <t>2019/10/15 04:45:54</t>
  </si>
  <si>
    <t>我借了一个3000可还了一千多了可到头还显示欠俩千多，合同还没到期就终止合同了，可还把后面的利息也给算了进去，列外还有个2000的还了1000多了本来就只千几百了，可也就因合同没到终止了，也把后面利息算了进去，还有什么违约金等，搞的本来就只差几百，一下就变成了1000多了，。</t>
  </si>
  <si>
    <t>小闪分期，借款利息高</t>
  </si>
  <si>
    <t>http://ts.21cn.com/tousu/show/id/1362142</t>
  </si>
  <si>
    <t>2019/10/15 04:39:40</t>
  </si>
  <si>
    <t>我在2019年7月份，申请小闪分期借款6000元，每期加上利息要还，1281元，请问按照国家规定的利率，利息是不是高了呢！借款6000元，6期的利息就是在1686元，请问，这个利息是怎么得来的呢。</t>
  </si>
  <si>
    <t>月光侠高额砍头息，恐吓催收</t>
  </si>
  <si>
    <t>http://ts.21cn.com/tousu/show/id/1362141</t>
  </si>
  <si>
    <t>2019/10/15 04:37:03</t>
  </si>
  <si>
    <t>月光侠高额砍头息，本人一共从他们公司借了两笔借款，第一笔4月12号，借款3000元，实际到账2131.59元，砍头息868.41元，每期还款1050.24元，三期共还款3150.71元，第二笔7月12号，，借款4100元，实际到账2870元，砍头息1230元，每期还款1436.7元，三期需要还款4308元，本人第二笔借款还剩最后一期，结合砍头息以及所还款部分已经远远超出国家合法范围，月光侠催收对我本人及朋友进行骚扰催收，现在要求他们停止对我本人以及朋友的骚扰，销账，退还合法利息部分，以及对我本人道歉，还我一</t>
  </si>
  <si>
    <t>捷信高利贷骚扰通讯录违法上传征信数据</t>
  </si>
  <si>
    <t>http://ts.21cn.com/tousu/show/id/1362138</t>
  </si>
  <si>
    <t>2019/10/15 04:33:52</t>
  </si>
  <si>
    <t>投诉人屈先生投诉对象捷信金融涉诉金额29700元问题类型诉求类型投诉详情捷信于2017年通过业务员拨打电话，向本人推荐贷款一万五千元，当时由于没有仔细算，不了解贷款国家利率规定，还款时才发现15000分30期每期970多，合计要还29000多，本人已经还款25期，远远超过国家规定利率，现捷信每天电话骚扰，还威胁上报征信系统。</t>
  </si>
  <si>
    <t>华夏信财暴力催收</t>
  </si>
  <si>
    <t>http://ts.21cn.com/tousu/show/id/1362137</t>
  </si>
  <si>
    <t>2019/10/15 04:33:30</t>
  </si>
  <si>
    <t>投诉人窦强投诉对象华夏信财涉诉金额3000元问题类型诉求类型投诉详情我在华夏信财贷款，因为暂时没有还款能力，逾期了一个星期，华夏信财的催收爆通讯录，群发短信，拨打公司电话，要求华夏信财停止一切骚扰行为。</t>
  </si>
  <si>
    <t>卖的手机是假的，退不了货</t>
  </si>
  <si>
    <t>http://ts.21cn.com/tousu/show/id/1362136</t>
  </si>
  <si>
    <t>2019/10/15 04:29:35</t>
  </si>
  <si>
    <t>我在广东名为振兴路公司买的收机，用不了，想退货，退不回去，圆通找不到地址，。</t>
  </si>
  <si>
    <t>http://ts.21cn.com/tousu/show/id/1362135</t>
  </si>
  <si>
    <t>2019/10/15 04:28:06</t>
  </si>
  <si>
    <t>本人10月14日因急用钱在小赢卡贷推荐的借款软件99下款王上注册了，99下款王又推荐了一个借款app：小狮子，填写资料时显示借款2200，5天后还款2207.92，结果点击借款后到账只有1430，简直是高利贷，现在要求还款销账，小狮子的支付方为：汇潮支付；之前投诉过一次，客服联系我给我改了还款金额，我同意结案了，结果等我登入app还款时超了一天居然利息要百分之十，简直无法接受。</t>
  </si>
  <si>
    <t>恶意扣款，请求协助追回</t>
  </si>
  <si>
    <t>http://ts.21cn.com/tousu/show/id/1362134</t>
  </si>
  <si>
    <t>2019/10/15 04:21:12</t>
  </si>
  <si>
    <t>今天凌晨三点多到四点，被壹钱包无故扣费两次，金额1155.18元，不需支付密码，显示无卡消费很是吓人，本人从没下载过壹钱包，也上第一次知道这个软件，请求帮忙追回。</t>
  </si>
  <si>
    <t>四年被贷款竟不知情查征信方知逾期缘由</t>
  </si>
  <si>
    <t>http://ts.21cn.com/tousu/show/id/1362133</t>
  </si>
  <si>
    <t>2019/10/15 04:13:32</t>
  </si>
  <si>
    <t>10月10日支付宝借呗额度突然从52000元降至3000元，突然想起表弟曾联系三回，说经常有催收公司电话骚扰，我有苏宁借贷未还已逾期，因多年未使用苏宁购物也没有什么贷款就认为是骗子，因为借呗的突然降额，于是在12日上网查了人生的第一次征信报告，结果竟然有一笔2015年12月份的苏宁消费单款，而且一直逾期到现在已成呆账上了征信，遂联系苏宁问明情况，说明并不是本人消费贷款，在两天的多次电话要求下苏宁才告知是买了一个iPad，14日上午去中国人民银行延安分行征信异议申请，20个工作日内会有结果，回来后又联系苏宁并</t>
  </si>
  <si>
    <t>捷信分期利息高吗？</t>
  </si>
  <si>
    <t>http://ts.21cn.com/tousu/show/id/1362132</t>
  </si>
  <si>
    <t>2019/10/15 04:07:59</t>
  </si>
  <si>
    <t>我想问问，这个利息一万块钱一年利息两千多，高吗。</t>
  </si>
  <si>
    <t>京东白条所谓委托方爆通讯录</t>
  </si>
  <si>
    <t>http://ts.21cn.com/tousu/show/id/1362127</t>
  </si>
  <si>
    <t>2019/10/15 04:02:09</t>
  </si>
  <si>
    <t>还款前我会同京东金融确认还款金额和账户信息，新疆地区同我国其它省份有2.5小时的北京时间时间差，故没有及时给我发催收短信息上所留电话号码的电话回电话和打电话，其根据短信息内容说很像京东商城方面发出的短信息，客服人员也对所发短信息号码和相关“详询客服热线”所留手机号码做相应记录。</t>
  </si>
  <si>
    <t>http://ts.21cn.com/tousu/show/id/1362131</t>
  </si>
  <si>
    <t>2019/10/15 04:00:58</t>
  </si>
  <si>
    <t>借款5000到账5000合同写的是7550分三个月还每个月要还2567三个月的利息就2700超级高利贷，要求按照国家正常利息来！。</t>
  </si>
  <si>
    <t>信用管家的聚福钱包登陆app盗取信息银行卡钱财</t>
  </si>
  <si>
    <t>http://ts.21cn.com/tousu/show/id/1362130</t>
  </si>
  <si>
    <t>2019/10/15 03:58:59</t>
  </si>
  <si>
    <t>信用管家,聚福钱包,海南圣云可网络有限公司，聚福钱包在没有任何提示下，假用申请额度的名义，未经本人允许且在不知明的情况下，扣取本人银行卡299元。</t>
  </si>
  <si>
    <t>天天爆通讯录</t>
  </si>
  <si>
    <t>http://ts.21cn.com/tousu/show/id/1362129</t>
  </si>
  <si>
    <t>2019/10/15 03:56:49</t>
  </si>
  <si>
    <t>本人8.9月份与平安信用卡一直联系，一直在协商还款，工作人员让还2700在协商，如果还不进去，就别打电话了！现在让一个月还3万多，我五六月份被银行爆通讯录丢了两份工作！现在天天给我爸妈发短信，打电话，本身自己有强直性脊柱炎，每月要吃药，现在目前上班工作3500一个月，强烈要求给我分期偿还！。</t>
  </si>
  <si>
    <t>信用星球变相砍头息高利贷</t>
  </si>
  <si>
    <t>http://ts.21cn.com/tousu/show/id/1362128</t>
  </si>
  <si>
    <t>2019/10/15 03:43:31</t>
  </si>
  <si>
    <t>2019年7月24日在上海晓途网络科技有限公司，信用星球，借款1400元并于8月22完成还款1428元，但在借款过程中被以所谓的“星享包”的名义强制收取元砍头息318元，借款到账后就被扣走，但是我根本不知道所谓的“星享包”到底是什么，也从未在此项服务中有任何收益。</t>
  </si>
  <si>
    <t>你我贷高利贷砍头息平台贷后服务费</t>
  </si>
  <si>
    <t>http://ts.21cn.com/tousu/show/id/1362126</t>
  </si>
  <si>
    <t>2019/10/15 03:37:03</t>
  </si>
  <si>
    <t>投诉人王女士投诉对象你我贷涉诉金额6000元问题类型诉求类型投诉详情你我贷平台借款问题2019年4月14日申请了6000借款金额，4月17日到账6000元，分12期等额本息还款方式偿还，还款日每月18日，每月本息还款529.73元，，其中第1期和第2期分别额外收取了270平台服务费+630贷后服务费，根据计算还款总额达到8156.76元，年化率远超过36%，为高利贷！！！且没有逾期过但也收到过骚扰电话，现申诉调息并提前结清本人合理应还的款额，谢谢！。</t>
  </si>
  <si>
    <t>中华财险拒不赔偿厚本金融出借人全额本息</t>
  </si>
  <si>
    <t>http://ts.21cn.com/tousu/show/id/1361880</t>
  </si>
  <si>
    <t>2019/10/15 03:35:02</t>
  </si>
  <si>
    <t>尊敬的银保监会郭树清主席：&amp;lt;br&amp;gt;我们是厚本金融的出借者，最近发生了厚本金融被举报，&amp;amp;nbsp;向其提供履约保证保险的中华财险公司充当缩头乌龟不愿履行法定理赔义务的事情，是金融界罕有的大事件，想必您应该了解不少，甚至比我们受害者更多，您的话就是我们投资界的指路明灯，您是银保监界的指路明灯，是党和政府在金融届的宰相，是投资界伟大的舵手、伟大的领袖、伟大的统帅、伟大的导师，中华财险如果赖账，损害的是党和国家的信誉、郭主席的清誉、银保监会的监管能力，当前香港局势纷乱，其国际金融中心的支柱作用堪</t>
  </si>
  <si>
    <t>欺骗消费者要求退款</t>
  </si>
  <si>
    <t>http://ts.21cn.com/tousu/show/id/1362119</t>
  </si>
  <si>
    <t>2019/10/15 03:34:05</t>
  </si>
  <si>
    <t>投诉人方瑜基投诉对象友缘在线,爱奇艺涉诉金额168元问题类型诉求类型投诉详情通过爱奇艺主界面下载了附近约爱APP然后友缘在线用0元体验3天的会员的方式，在我支付0元的同时，未经过我同意开启支付宝免密支付的协议，两次扣除共99元。</t>
  </si>
  <si>
    <t>退还1800元包装费撤销订单</t>
  </si>
  <si>
    <t>http://ts.21cn.com/tousu/show/id/1362125</t>
  </si>
  <si>
    <t>2019/10/15 03:32:21</t>
  </si>
  <si>
    <t>收取包装费1800元不放款，说你银行卡号错误贷款金额已放款但被冻解要9000元解冻费。</t>
  </si>
  <si>
    <t>不让还款强制逾期</t>
  </si>
  <si>
    <t>http://ts.21cn.com/tousu/show/id/1362124</t>
  </si>
  <si>
    <t>2019/10/15 03:25:31</t>
  </si>
  <si>
    <t>我还款银行卡余额充足，每期应还金额283元分12期，之前2019年9月29号试过提前还款失败了，等到还款日10月14号没自动扣取，手动还款还是失败，分期还款和全额还款也是失败，卡里有钱不让还，10月15号就要逾期，如果影响征信，我将保留信息追责到底！。</t>
  </si>
  <si>
    <t>多宝分期非法收取高额利息</t>
  </si>
  <si>
    <t>http://ts.21cn.com/tousu/show/id/1362123</t>
  </si>
  <si>
    <t>2019/10/15 03:24:04</t>
  </si>
  <si>
    <t>投诉人于先生投诉对象多宝分期涉诉金额6400元问题类型诉求类型投诉详情本人十月6日申请盈盈有钱时资料未审核通过并且自动跳转平台协融借中的多宝分期申请贷款4000元四期还清每期15天应还1599.25元远远超过国家规定利率高利贷无疑一定要做出处罚并且调整利率对我做出相应赔偿。</t>
  </si>
  <si>
    <t>婚介机构诱签无效合同损失14000元</t>
  </si>
  <si>
    <t>http://ts.21cn.com/tousu/show/id/1362121</t>
  </si>
  <si>
    <t>2019/10/15 03:21:38</t>
  </si>
  <si>
    <t>2019年10月13日下午两点，本人在宁波三生三世婚姻介绍服务有限公司经销售红娘诱导，签下无效合同，金额涉及14000元，该合同多项违反《合同法》，本人在在未接受任何服务的情况下，于14日要求，被拒，该公司违反《消费者权益保护法》，具体违反条例请看照片。</t>
  </si>
  <si>
    <t>安逸花马上金融乱收费</t>
  </si>
  <si>
    <t>http://ts.21cn.com/tousu/show/id/1362120</t>
  </si>
  <si>
    <t>2019/10/15 03:21:00</t>
  </si>
  <si>
    <t>我今天看了下还欠多钱，结果就有灵活费，保险费还有借款提现费，这些费用之前没有，一直用了好几年了，额度降了还不能体现，把从开始到现在的灵活费，息费保险费提现费麻烦全额退给我，就是高利贷提前还款还不行，还要多花钱垃圾空壳公司。</t>
  </si>
  <si>
    <t>即贷骚扰通信录</t>
  </si>
  <si>
    <t>http://ts.21cn.com/tousu/show/id/1362118</t>
  </si>
  <si>
    <t>2019/10/15 03:09:57</t>
  </si>
  <si>
    <t>骚扰通信录，对本人工作影响，弄得本人连工作也没了。</t>
  </si>
  <si>
    <t>违规提供支付通道</t>
  </si>
  <si>
    <t>http://ts.21cn.com/tousu/show/id/1362116</t>
  </si>
  <si>
    <t>2019/10/15 03:01:16</t>
  </si>
  <si>
    <t>本人被引诱充值入金3000后来发现是*部不正规平台，并非正规的购彩*，和支付清算协会沟通得知第三方支付业务应审核客户的相关信息，第三方支付业务公司不得向证券，期货，博彩等机构提供支付结算业务，本以为通过云闪付正规线上支付是正规*机构，后来才知道是非法*平台，通过中国人民银行，中国银联，和支付清算协会沟通得知，第三方支付业务应审核客户的相关信息，第三方支付业务公司不得向证券，期货，博彩等机构提供支付结算业务，作为有牌照的支付公司没有履行国家结算通道的义务，即产生了非法洗钱的嫌疑，金融机构客户身份识别和客户身份</t>
  </si>
  <si>
    <t>青客公寓优惠返还欺诈</t>
  </si>
  <si>
    <t>http://ts.21cn.com/tousu/show/id/1362115</t>
  </si>
  <si>
    <t>2019/10/15 02:58:00</t>
  </si>
  <si>
    <t>这是业务员，还有客服的聊天记录，业务员图中所说的是差价，而不是以积分形式退我，在业务员推广赚钱即使签合同明面你写点券，但是，业务员暗地里告诉是退差价也就是现金，这种退现金方式两个月你们就暗改为积分，只能在你们平台使用，按照国家法律，已经是属于阴阳合同，欺诈消费者了。</t>
  </si>
  <si>
    <t>贷上钱不给注销帐号</t>
  </si>
  <si>
    <t>http://ts.21cn.com/tousu/show/id/1362114</t>
  </si>
  <si>
    <t>2019/10/15 02:48:28</t>
  </si>
  <si>
    <t>本人之前在贷上钱借过钱，后面也已还清，可是现在不用这个软件了不给注销，问客服注销还得身份证正反面，还特么得有手持身份证，录视频之类的，这他么的信息都可以在去贷网贷了，我强烈要求注销本人帐号，不用联系本人你只要注销了，我就撤诉不注销一直挂着吧，反正你们的投诉也够多了，也是个高炮公司怕什么。</t>
  </si>
  <si>
    <t>京东金融</t>
  </si>
  <si>
    <t>http://ts.21cn.com/tousu/show/id/1362113</t>
  </si>
  <si>
    <t>2019/10/15 02:46:44</t>
  </si>
  <si>
    <t>骚扰电话及骚扰信息打到发到家人朋友那里，我公司破产，投资失败，现在是真的非常困难，希望京东停止骚扰，给2个月时间还款，之前有协商推迟还款，招联业务态度恶劣，不相信我没钱还。</t>
  </si>
  <si>
    <t>http://ts.21cn.com/tousu/show/id/1362112</t>
  </si>
  <si>
    <t>2019/10/15 02:46:32</t>
  </si>
  <si>
    <t>本人不知情的情况下，无故扣我银行卡里的钱，要求全额退款，并道歉。</t>
  </si>
  <si>
    <t>http://ts.21cn.com/tousu/show/id/1362111</t>
  </si>
  <si>
    <t>2019/10/15 02:43:18</t>
  </si>
  <si>
    <t>在本人不知情的情况下私自扣费，客服电话一直打不通。</t>
  </si>
  <si>
    <t>白条分期私自扣我银行卡里249元钱，完全没有通知</t>
  </si>
  <si>
    <t>http://ts.21cn.com/tousu/show/id/1362101</t>
  </si>
  <si>
    <t>2019/10/15 02:39:37</t>
  </si>
  <si>
    <t>投诉人陈先生投诉对象白条分期涉诉金额249元问题类型诉求类型投诉详情从8月份开始扣了我的钱，和客服交涉，一直推脱，且态度恶劣，没有要处理的意思，现在只好投诉，把钱给我退回来。</t>
  </si>
  <si>
    <t>钱站高利贷砍头息</t>
  </si>
  <si>
    <t>http://ts.21cn.com/tousu/show/id/1362107</t>
  </si>
  <si>
    <t>2019/10/15 02:31:47</t>
  </si>
  <si>
    <t>在钱站有1500的额度，借款时只能借一千我以为借款直能借几千块整，后面借完款我发现居然要还1600，提前结清要1400，我想知道借一千三个月利息600是不是高利贷，一年利息就是2400，综合年利率利率240%属于高利贷，我要求直接还款1000元，砍头息高利贷我接受不了。</t>
  </si>
  <si>
    <t>你我贷我已还款了，怎么还是逾期</t>
  </si>
  <si>
    <t>http://ts.21cn.com/tousu/show/id/1362106</t>
  </si>
  <si>
    <t>2019/10/15 02:30:46</t>
  </si>
  <si>
    <t>投诉人焦先生投诉对象你我贷涉诉金额750元问题类型诉求类型投诉详情有事导致逾期两天请不要再打电话，这期我已还完。</t>
  </si>
  <si>
    <t>华为合作品牌商-佑美京东自营旗舰店虚假活动，商家虚假名单</t>
  </si>
  <si>
    <t>http://ts.21cn.com/tousu/show/id/1362105</t>
  </si>
  <si>
    <t>2019/10/15 02:30:35</t>
  </si>
  <si>
    <t>投诉人张先生投诉对象京东商城涉诉金额1499元问题类型诉求类型投诉详情虚假活动，商家虚假名单，9月20日16点参加的京东活动，10月8日公布的名单，名单为虚假名单，名单更改过3次，其中12点的时间段人名全换了，而且id也很假，每个id前面都带下划线，明显批量注册的账号，或者为编造的账号，12点和20点的中手机的账号和订单又出现了惊人相似，和京东客服完整聊天记录也上传了，看看京东客服是怎么处理的。</t>
  </si>
  <si>
    <t>腾讯企点QQ包庇纵容违法违规营销QQ，对违法违规帐号不处理，投诉过程中多次逃避问题或置之不理</t>
  </si>
  <si>
    <t>http://ts.21cn.com/tousu/show/id/1362104</t>
  </si>
  <si>
    <t>2019/10/15 02:25:53</t>
  </si>
  <si>
    <t>违法违规营销qq账号800**4520推送信息包含手机号188****2889给客户并引导客户至个人qq或微信进行违法违规经营花呗套现行为，曾对腾讯110举报，后腾讯110对涉及违规的个人qq账号742089731进行了查封处理，但是为什么只查封涉及违规的个人qq账号742089731，却不对涉及违规作为引导客户违规的营销qq账号800**4520进行查封处理，该营销qq起到了引导客户至个人qq进行违法行为，如果只对个人qq进行了查封，那么该营销qq推送的手机号码不做清退处理并查封该营销QQ帐号，不法份子更</t>
  </si>
  <si>
    <t>【玖富集团】对外投资对个714高炮公司，并且第三方支付机构为其提供违规支付业务。</t>
  </si>
  <si>
    <t>http://ts.21cn.com/tousu/show/id/1362103</t>
  </si>
  <si>
    <t>2019/10/15 02:21:14</t>
  </si>
  <si>
    <t>宝付支付,通联支付,翼支付,中国银联,银生宝,富友支付,快钱支付,联动优势,拉卡拉支付，玖富万卡累计借贷10次闪银奇异累计借贷37次闪管家累计借贷3次闪闪花累计借贷1次先花一亿元累计借贷超过10次，以上平台累计付出利息高达三四万，最高一次为8800元，分24期，其余都是小额短期，以上平台均为玖富集团控股，因上市，顾在今年退出了股东名单，对本人多头放贷，并且暴力催收，一边催收还款，一边对本人多头放贷，并且群发本人手势照，本人一开始怕这些网贷公司爆通讯录，只以贷养贷，并且借了很多714高炮，导致本人累计付出利息</t>
  </si>
  <si>
    <t>钱伴平台高利贷，暴力催收</t>
  </si>
  <si>
    <t>http://ts.21cn.com/tousu/show/id/1362102</t>
  </si>
  <si>
    <t>2019/10/15 02:20:00</t>
  </si>
  <si>
    <t>钱伴公司年利率高达59.34％，超过国家法定的年利率35%之上，跟催收说清楚情况后还侮辱本人骗贷，还恐吓本人要联系亲戚朋友每天不停的电话骚扰通信录和本人的正常生活！。</t>
  </si>
  <si>
    <t>手机借钱高利贷</t>
  </si>
  <si>
    <t>http://ts.21cn.com/tousu/show/id/1362100</t>
  </si>
  <si>
    <t>2019/10/15 02:11:25</t>
  </si>
  <si>
    <t>投诉人唐女士投诉对象手机借钱涉诉金额4000元问题类型诉求类型投诉详情本人通过手机借钱APP平台在8月18号申请了多宝分期的借款，借款4000元分4期每期15天，一期居然要还差不多1600元，合计还款差不多6000元利息等费用居然年化利率远远超过国家法律规定的年化率，现在借款已还第三期，超过本金800元了，还剩一期没还，手机借钱对平台出借方没有严格审查，居然让这样的高利贷进入，放任不管，现要求多宝分期协商还款本金并做出销账结清处理，退还之前多收的利息，要求手机借钱APP道歉协助处罚高利贷违法行为。</t>
  </si>
  <si>
    <t>现金巴士套路用户</t>
  </si>
  <si>
    <t>http://ts.21cn.com/tousu/show/id/1362099</t>
  </si>
  <si>
    <t>2019/10/15 01:58:17</t>
  </si>
  <si>
    <t>套路用户还了在贷就出不来，不能下就关停app。</t>
  </si>
  <si>
    <t>云闪付提供网赌平台支付通道</t>
  </si>
  <si>
    <t>http://ts.21cn.com/tousu/show/id/1362098</t>
  </si>
  <si>
    <t>2019/10/15 01:56:48</t>
  </si>
  <si>
    <t>被引诱到一个网站充值入金119万多，后来发现是网络部不正规平台，并非正规的购彩网站，和支付清算协会沟通得知第三方支付业务应审核客户的相关信息，第三方支付业务公司不得向证券，期货，博彩等机构提供支付结算业务，本以为通过云闪付正规线上支付是正规彩票机构，后来才知道是非法赌博平台，通过中国人民银行，中国银联，和支付清算协会沟通得知，第三方支付业务应审核客户的相关信息，第三方支付业务公司不得向证券，期货，博彩等机构提供支付结算业务，作为有牌照的支付公司没有履行国家结算通道的义务，即产生了非法洗钱的嫌疑，金融机构客户</t>
  </si>
  <si>
    <t>阴阳合同，不知情恶意扣费</t>
  </si>
  <si>
    <t>http://ts.21cn.com/tousu/show/id/1362097</t>
  </si>
  <si>
    <t>2019/10/15 01:47:44</t>
  </si>
  <si>
    <t>拇指下款,新生支付,海南圣云可网络科技有限公司，查完银行卡转账记录才得知本人联系客户没有回应，打客服电话忙线中。</t>
  </si>
  <si>
    <t>退还担保费</t>
  </si>
  <si>
    <t>http://ts.21cn.com/tousu/show/id/1362096</t>
  </si>
  <si>
    <t>2019/10/15 01:46:45</t>
  </si>
  <si>
    <t>我在及贷借款4笔，还清3笔，每次都被扣除了担保费，这个费用是不合法的，我咨询过律师！及贷的年利率也高过了国家的标准百分之24.我现在要求及贷退还我4次借款的担保费！。</t>
  </si>
  <si>
    <t>协商展期</t>
  </si>
  <si>
    <t>http://ts.21cn.com/tousu/show/id/1362095</t>
  </si>
  <si>
    <t>2019/10/15 01:45:40</t>
  </si>
  <si>
    <t>投诉人 张先生        投诉对象  米米罐        涉诉金额  2 000 元    问题类型    诉求类型投诉详情  协商展期处理 开了拦截骚扰电话打不通可以微信联系</t>
  </si>
  <si>
    <t>微信充值后无法实现视频转码</t>
  </si>
  <si>
    <t>http://ts.21cn.com/tousu/show/id/1362094</t>
  </si>
  <si>
    <t>2019/10/15 01:34:36</t>
  </si>
  <si>
    <t>迅捷视频转码软件中，提示我需要进行充值会员才能实现视频转码，，充值88元后无法实现我的需求，现要求该商家全额退款。</t>
  </si>
  <si>
    <t>退还保险费</t>
  </si>
  <si>
    <t>http://ts.21cn.com/tousu/show/id/1362093</t>
  </si>
  <si>
    <t>2019/10/15 01:33:23</t>
  </si>
  <si>
    <t>我在微贷网里的多米贷贷款2次，以前不懂砍头息，运营管理费是违法，违规的，一笔8100的贷款扣了639.9的管理费，一笔6400的费款扣了505.62元的贷款，现在要求该公司退回这些钱！。</t>
  </si>
  <si>
    <t>首汽约车司机没有接到客人，却给客人发了250元的账单，然而投诉首汽约车客服，客服不管不问！</t>
  </si>
  <si>
    <t>http://ts.21cn.com/tousu/show/id/1362092</t>
  </si>
  <si>
    <t>2019/10/15 01:32:37</t>
  </si>
  <si>
    <t>我没有上车，首汽司机，发来250元的账单，叫我支付，打电话给客服，客服表示无法处理，没有权利，叫我打电话给司机，我想问问，你们客服就是这样服务的吗。</t>
  </si>
  <si>
    <t>同程旅游提钱游砍头息</t>
  </si>
  <si>
    <t>http://ts.21cn.com/tousu/show/id/1362091</t>
  </si>
  <si>
    <t>2019/10/15 01:31:50</t>
  </si>
  <si>
    <t>我在同程旅游提钱游中借款，借款中以我的信用评分不足为由让我购买99-159元不等的权益卡，明确违反国家的相关法律法规，年化利率高达百分之几百，实属高利贷中的高利贷！！联系客服要求对未激活的权益卡退款，同程金服曾在新闻发布会上公开称未激活权益卡可退款，，我要求我购买的6次权益卡，共计金额894元进行退款，客服对我百般推诿，拒不退款！我要求同程金服与我协商退款事宜，不要推诿！我保留向消费者协会、市场监管、银监会以及公安局等机构投诉举报同程金服侵犯消费者权益和涉嫌放高利贷的权利，同时保留向公众媒体和人民法院寻求帮</t>
  </si>
  <si>
    <t>新生支付联合人人花恶意盗取私人钱财</t>
  </si>
  <si>
    <t>http://ts.21cn.com/tousu/show/id/1362090</t>
  </si>
  <si>
    <t>2019/10/15 01:29:57</t>
  </si>
  <si>
    <t>尊敬的聚投诉官方，2019年10月13日下午19:47分新生支付与人人花借贷平台未经我本人同意，恶意盗取我银行卡288元，请立刻退款，否则法律途径处理，你们凭什么这样做。</t>
  </si>
  <si>
    <t>我来数科套路贷高利贷</t>
  </si>
  <si>
    <t>http://ts.21cn.com/tousu/show/id/1362088</t>
  </si>
  <si>
    <t>2019/10/15 01:29:50</t>
  </si>
  <si>
    <t>我来数科原名我来贷套路贷高利贷合同明明写着年利率9%而实际还款超过36%远超国家规定，请退还违法收取费用。</t>
  </si>
  <si>
    <t>“百度网盘”自身漏洞造成客户经济损失，处理态度恶劣、逃避责任，客服不处理、不作为、不退款</t>
  </si>
  <si>
    <t>http://ts.21cn.com/tousu/show/id/1362089</t>
  </si>
  <si>
    <t>2019/10/15 01:29:45</t>
  </si>
  <si>
    <t>，故于2019年10月11日，超级会员到期日10月15日前，通过网盘网页支付中心再次续费了3个月，价格为86元，订单号：1****************9，附件最多添加4张图片我是自动续费会员，也从未取消过自动续费功能，为何不以我自动续费价格（68元）扣款，而扣了86元？附件最多添加4张图片自动续费扣款的价格是以您第一次购买自动续费的价格为准，附件最多添加4张图片那我如何取消这笔手动续费？请提供解决方案，附件最多添加4张图片百度网盘套餐是即时生效的，无法办理退款和更改，感谢您对百度网盘的支持！，在线客服处</t>
  </si>
  <si>
    <t>美团消费贷款骚扰借款人亲属</t>
  </si>
  <si>
    <t>http://ts.21cn.com/tousu/show/id/1362087</t>
  </si>
  <si>
    <t>2019/10/15 01:28:32</t>
  </si>
  <si>
    <t>美团消费贷款逾期了，催收客服不断联系我的亲属，口气采用强硬，软暴力特征突出，在国家三令五申不得联系亲属，这种平台还一而再再而三的这样，肆无忌惮，如此大的平台企业无任何社会担当和做为。</t>
  </si>
  <si>
    <t>钱橙无忧APP存在欺诈行为，在本人不知情下私自恶意扣款249元！</t>
  </si>
  <si>
    <t>http://ts.21cn.com/tousu/show/id/1362086</t>
  </si>
  <si>
    <t>2019/10/15 01:28:29</t>
  </si>
  <si>
    <t>投诉人林先生投诉对象深圳市恒富创融科技公司,钱橙无忧APP,钱橙无忧涉诉金额249元问题类型诉求类型投诉详情深圳市恒富创融科技公司名下的钱橙无忧借款平台存在欺骗行为，2019年10月15日0:45分，本人在钱橙无忧APP里注册了，由于急用点钱，所以注册了，想借点钱用，绑定了银行卡，进去点了两下提款，，就扣了两笔款，168元，81元，一分钱都没有贷到帐，反倒是扣了两笔款，我本人强烈要求退回我的两笔款项，后续如果还有扣款的话，也要如实追回，谢谢！。</t>
  </si>
  <si>
    <t>众人帮悬赏任务唐人捕鱼跑路</t>
  </si>
  <si>
    <t>http://ts.21cn.com/tousu/show/id/1362085</t>
  </si>
  <si>
    <t>2019/10/15 01:26:20</t>
  </si>
  <si>
    <t>在2019年10月14号下午时许，众人帮APP里面的唐人捕鱼任务，本人好像充钱进去玩，第二天凌晨就显示服务器登不进去，我怀疑他跑路，没有公告何时能登上服务器，这很容易让我们怀疑是跑路。</t>
  </si>
  <si>
    <t>拍拍贷还款从晚上十一点半开始还款，多次还款还不进去导致逾期</t>
  </si>
  <si>
    <t>http://ts.21cn.com/tousu/show/id/1362084</t>
  </si>
  <si>
    <t>2019/10/15 01:25:53</t>
  </si>
  <si>
    <t>本人于2019年10月14晚上23点34分开始还款，一直还不进去，期间换别的银行卡也还不进去，一直到现在10月15日01:18扔还不进去。</t>
  </si>
  <si>
    <t>交易猫卖家恶意不发货不退款</t>
  </si>
  <si>
    <t>http://ts.21cn.com/tousu/show/id/1362083</t>
  </si>
  <si>
    <t>2019/10/15 01:19:11</t>
  </si>
  <si>
    <t>我说取消订单，交易猫阿神手游代充中心客服态度及其恶劣，强行恶意拖时间，现在我也取消不了订单。</t>
  </si>
  <si>
    <t>http://ts.21cn.com/tousu/show/id/1362081</t>
  </si>
  <si>
    <t>2019/10/15 01:16:45</t>
  </si>
  <si>
    <t>豹子贷,上海造艺网络科技,造艺网络科技,银码头，重开始到最后都没有提示要扣我今天晚上刚刚把钱提现到银行卡里面直接都给我扣了。</t>
  </si>
  <si>
    <t>汇潮支付有限公司为非法平台提供支付渠道</t>
  </si>
  <si>
    <t>http://ts.21cn.com/tousu/show/id/1362079</t>
  </si>
  <si>
    <t>2019/10/15 01:16:01</t>
  </si>
  <si>
    <t>投诉人 赵女士        投诉对象  汇潮支付        涉诉金额  3 700 元    问题类型    诉求类型投诉详情  汇潮支付有限公司为小贷平台提供支付渠道。小贷平台非法催收。不肯协商！！！</t>
  </si>
  <si>
    <t>拍拍贷还款日当日晚23点不能手动还款恶意被逾期</t>
  </si>
  <si>
    <t>http://ts.21cn.com/tousu/show/id/1362080</t>
  </si>
  <si>
    <t>2019/10/15 01:15:57</t>
  </si>
  <si>
    <t>投诉人赵女士投诉对象拍拍贷涉诉金额19200元问题类型诉求类型投诉详情本人于2019年6月13日通过拍拍贷客服电话邀约申请办理了19200元贷款，还款日为每月14日，前三期均无逾期，但在2019年10月14日这个还款日当日银行卡余额充足，23:39操作手动还款时，一直到23:44五分钟内依旧未收到扣费短信，怕耽误在23:59点前还款于是选择主页面“充值提现”中充值这个功能进行还款，然而再次操作还款时发现并不能使用充值金额进行还款，急于提现回至还款银行卡却在23:46收到拍拍贷两条短信“拍拍贷XX您好，由于扣</t>
  </si>
  <si>
    <t>天猫平台霸王条款不退款</t>
  </si>
  <si>
    <t>http://ts.21cn.com/tousu/show/id/1362065</t>
  </si>
  <si>
    <t>2019/10/15 01:13:43</t>
  </si>
  <si>
    <t>投诉人袁涛投诉对象天猫商城涉诉金额129元问题类型诉求类型投诉详情天猫平台购买牛肉，没有收到货，天猫平台不退款，我提供所有证据，天猫客服不受里，快递派件说我电话关机，就没有关机，天猫平台客服人员说我拒绝签收快递，我这里都有通话记录，快递就没有打我电话，还有平台商家承诺再次安排快递派件，为什么不履行承诺。</t>
  </si>
  <si>
    <t>http://ts.21cn.com/tousu/show/id/1362053</t>
  </si>
  <si>
    <t>2019/10/15 01:13:27</t>
  </si>
  <si>
    <t>投诉人于先生投诉对象钱站,爱钱进涉诉金额2000元问题类型诉求类型投诉详情阴阳合同高利贷吗！借2000三月要还3150你这什么利息！而且我借了2000你合同为啥写2660！那剩下的钱你吃了吗。</t>
  </si>
  <si>
    <t>来分期来好好解释一下</t>
  </si>
  <si>
    <t>http://ts.21cn.com/tousu/show/id/1362074</t>
  </si>
  <si>
    <t>2019/10/15 01:13:14</t>
  </si>
  <si>
    <t>投诉人李先生投诉对象来分期涉诉金额7100元问题类型诉求类型投诉详情我就想来分期好好解释一下你们既然是贷款平台又给了我额度为什么我每次申请都不通过然后就给我推荐到别的借款平台然后我查看订单详情都是显示在排队然后购物额度也不给我使用购物额度原本是八千多前几天无缘无故给我涨到一万多但是涨之前和涨之后都是无法使用的既然你们平台不能借款那你给我额度做什么直接额度成为零就好了也不用天天申请了给了额度又不让用有时候还涨额度是在调戏别人吗自己就是借款平台为什么每次一申请就跳转到别的平台我在你们平台借款从未逾期过你们现在如</t>
  </si>
  <si>
    <t>无故扣款，扯皮，不退款</t>
  </si>
  <si>
    <t>http://ts.21cn.com/tousu/show/id/1362078</t>
  </si>
  <si>
    <t>2019/10/15 01:12:29</t>
  </si>
  <si>
    <t>投诉人沈先生投诉对象聚福钱包涉诉金额299元问题类型诉求类型投诉详情在聚福钱包借款借款钱平台没有明确说明需要扣我本人298才能出报告.扣完后我看了平台的协议说我要是借款失败可以退回.我申请借款都失败了找平台客服都是以各种理由推脱.我看了论坛有很多人被这个平台给坑了希望聚投诉能尽快帮我处理追回,来借贷平台本身就是需要用钱才来借款的,￼已。</t>
  </si>
  <si>
    <t>网贷借款</t>
  </si>
  <si>
    <t>http://ts.21cn.com/tousu/show/id/1362077</t>
  </si>
  <si>
    <t>2019/10/15 01:11:46</t>
  </si>
  <si>
    <t>在我和360借条，借款过程中我就五万块钱，他说，我应该通不过审核，要求我转5000块钱作为包装费，审核通过后获得额度之后，转2500块钱，放款到账之后转2500块钱，他没有给我解释清楚，那个放款到账是到APP上面的，不是到我银行卡上面的，全部转给他了之后，放款失败，原因是我的银行卡号填写错误，所以他要求我写一个委托书给他去银行改掉银行卡，没过多久他说银行要我，转我借款的30%的保证金，所以我没同意，我要求退款，他说我违约只能退700多块钱，要扣除违约金2500块钱，还有第一期的还款本金和利息，钱都没到我帐上</t>
  </si>
  <si>
    <t>拇指下款恶意扣款，盗取他人钱财！</t>
  </si>
  <si>
    <t>http://ts.21cn.com/tousu/show/id/1362076</t>
  </si>
  <si>
    <t>2019/10/15 01:09:33</t>
  </si>
  <si>
    <t>本人于10月13日下载上海跃吉网络科技有限公司的拇指下款app，用手机号注册账号之后填写个人资料提交审核，期间需要勾选评估服务协议，推荐服务协议等，需要绑定银行卡信息和手机验证码，个人评估有一个是现金支付一个是券支付，选择了券支付，app里并没有显眼说明这个券支付是会自动绑定银行卡扣款购买的，发现扣款名称是平台的小银券，里面没有退款路径，也没有扣款提醒，联系平台客服电话029-68280977，得到的答复是我自愿并知情下选择的行为，这是文字陷阱诱导的误导行为，客服一套话术不正面回应退款诉求，后来上网搜索发现</t>
  </si>
  <si>
    <t>拿钱花呗app私自扣款</t>
  </si>
  <si>
    <t>http://ts.21cn.com/tousu/show/id/1362075</t>
  </si>
  <si>
    <t>2019/10/15 01:08:04</t>
  </si>
  <si>
    <t>1月15日凌晨下载了拿钱花呗app想去借钱，填写了个人信息，填写了银行卡账号后私自扣款199元，并且填写资料的时候并没有说明要扣款项，此事已经属于诈骗行为！。</t>
  </si>
  <si>
    <t>活力花收取砍头息保险费用</t>
  </si>
  <si>
    <t>http://ts.21cn.com/tousu/show/id/1362073</t>
  </si>
  <si>
    <t>2019/10/15 01:07:13</t>
  </si>
  <si>
    <t>工资差一天马上金融延期一天还</t>
  </si>
  <si>
    <t>http://ts.21cn.com/tousu/show/id/1362072</t>
  </si>
  <si>
    <t>2019/10/15 01:06:33</t>
  </si>
  <si>
    <t>投诉人 陈先生        投诉对象  马上消费金融        涉诉金额  1 340 元    问题类型    诉求类型      投诉详情  我已经是马上金融的老用户了 这个月工资迟了一天 希望马上金融不要爆我通讯录 让我15号还 感谢聚投诉</t>
  </si>
  <si>
    <t>邯郸市永年区裴坡庄小区无证施工扰民</t>
  </si>
  <si>
    <t>http://ts.21cn.com/tousu/show/id/1362071</t>
  </si>
  <si>
    <t>2019/10/15 01:04:44</t>
  </si>
  <si>
    <t>邯郸市永年区裴坡庄小区违章建筑无产权住宅楼，白天停工，夜里偷偷施工，大型机械声音扰民！。</t>
  </si>
  <si>
    <t>淘宝方祁旗舰店涉及欺诈</t>
  </si>
  <si>
    <t>http://ts.21cn.com/tousu/show/id/1362070</t>
  </si>
  <si>
    <t>2019/10/15 01:02:33</t>
  </si>
  <si>
    <t>投诉人王先生投诉对象淘宝网涉诉金额66元问题类型诉求类型投诉详情买啦他的螃蟹，到现在一看店快关了，兑换螃蟹卷要等预约排队到明年，我等不及，要求退款，天猫店里一点销量都没有了，关掉店圈我们客户的钱走人了我还上哪个去换螃蟹去，请平台帮忙处理。</t>
  </si>
  <si>
    <t>解决支付宝逾期记录</t>
  </si>
  <si>
    <t>http://ts.21cn.com/tousu/show/id/1362069</t>
  </si>
  <si>
    <t>2019/10/15 01:01:54</t>
  </si>
  <si>
    <t>本人于2019.10.10在长沙市国金大厦使用高德打车，并没有乘坐，打车订单已取消，产生了一笔8元的费用，造成支付宝信用逾期，希望借助聚投诉平台能帮我解决一下！。</t>
  </si>
  <si>
    <t>悦如公寓租房押金退换</t>
  </si>
  <si>
    <t>http://ts.21cn.com/tousu/show/id/1362068</t>
  </si>
  <si>
    <t>2019/10/15 01:01:48</t>
  </si>
  <si>
    <t>投诉人王女士投诉对象悦如公寓涉诉金额1360元问题类型诉求类型投诉详情本人于2018年7月15日入住悦如公寓，于2019面7月16日续签合同一年。</t>
  </si>
  <si>
    <t>本人投诉滴滴司机未经乘客上车私自开启行程，未打电话给我</t>
  </si>
  <si>
    <t>http://ts.21cn.com/tousu/show/id/1362067</t>
  </si>
  <si>
    <t>2019/10/15 01:01:16</t>
  </si>
  <si>
    <t>投诉人陈先生投诉对象滴滴出行,百度地图涉诉金额31元问题类型诉求类型投诉详情两公里的路程跑出了31.70块怎么解决。</t>
  </si>
  <si>
    <t>http://ts.21cn.com/tousu/show/id/1362066</t>
  </si>
  <si>
    <t>2019/10/15 01:01:13</t>
  </si>
  <si>
    <t>北京友缘在线网络科技有限公司欺诈用户要求退款。</t>
  </si>
  <si>
    <t>玖富万卡高利贷，暴力催收</t>
  </si>
  <si>
    <t>http://ts.21cn.com/tousu/show/id/1362064</t>
  </si>
  <si>
    <t>2019/10/15 00:59:51</t>
  </si>
  <si>
    <t>投诉人丁女士投诉对象玖富涉诉金额25000元问题类型诉求类型投诉详情在玖富万卡借款25000元，分期还款居然要47424.6元，这不是高利贷这是什么，现在已经还款27664.35元，之前已经跟客服那边协商还款，一直没有谈成，我也说了，我还到我没有能力还为止，到了这个月，实在没办法还了，催收那边就联系了我通讯录，没有跟本人联系确认，直接爆通讯录?唯一诉求就是结清账单，因为真的没有办法了。</t>
  </si>
  <si>
    <t>66小游戏欺诈用户推广</t>
  </si>
  <si>
    <t>http://ts.21cn.com/tousu/show/id/1362063</t>
  </si>
  <si>
    <t>2019/10/15 00:59:12</t>
  </si>
  <si>
    <t>都是分享微信朋友或者微信群推广的，邀请规则也没有说会审核失败，明显是欺诈用户，虚假宣传，一毛钱不给，都审核失败，66小游戏联系客服都没有，难道就这样任意骗子公司虚假宣传，影响用户时间！希望平台还我个公道！。</t>
  </si>
  <si>
    <t>http://ts.21cn.com/tousu/show/id/1362062</t>
  </si>
  <si>
    <t>2019/10/15 00:59:07</t>
  </si>
  <si>
    <t>高额的服务费是怎么回事，每月800的保险费是保的什么，要求这两项做出解释，年月的1100元的服务费和800的保险费加起来比利息还高，是不是变相的高利贷。</t>
  </si>
  <si>
    <t>诱导小孩子消费</t>
  </si>
  <si>
    <t>http://ts.21cn.com/tousu/show/id/1362061</t>
  </si>
  <si>
    <t>2019/10/15 00:55:26</t>
  </si>
  <si>
    <t>投诉人 杨先生        投诉对象  雷霆游戏        涉诉金额  900 元    问题类型    诉求类型投诉详情  小孩子天天偷钱充钱诱导小孩子玩游戏 不上学 偷钱充钱就为了在这个游戏里赌博 这个游戏里面设置了赌博 可以用钱买里面的游戏币 然后赌博</t>
  </si>
  <si>
    <t>宜人贷，砍头息，高利息</t>
  </si>
  <si>
    <t>http://ts.21cn.com/tousu/show/id/1362060</t>
  </si>
  <si>
    <t>2019/10/15 00:55:10</t>
  </si>
  <si>
    <t>5月28日第一期，到目前已还17期，即3388.46*17期=57603.82元，再查账单有64380.69元待还，总应还成了122961.14元，，提前结清还有58050.64元，如此巨额利息，合法吗，第一次借款时的高额砍头息和利息，我认为已还够宜人贷的本金和部分利息，希望终止合同，另外今年家中发生变故，家中两个老人生病住院，一个患恶性肿瘤，一个脊柱受伤，又要照顾医院的老人，孩子，到处筹钱，目前收入零散。</t>
  </si>
  <si>
    <t>http://ts.21cn.com/tousu/show/id/1362059</t>
  </si>
  <si>
    <t>2019/10/15 00:52:44</t>
  </si>
  <si>
    <t>借了一千，三个月需要还一千九下款时还必须买会员就直接相当于借一千还两千，现在只想还本金，不想多给利息，还有就是别骚扰我家人，。</t>
  </si>
  <si>
    <t>我想过正常人的生活，还望浦发信用卡中心高抬贵手</t>
  </si>
  <si>
    <t>http://ts.21cn.com/tousu/show/id/1362058</t>
  </si>
  <si>
    <t>2019/10/15 00:48:34</t>
  </si>
  <si>
    <t>本人承诺一下陈述句句属实，本人今年31岁，2014年由于自己创业需要资金周转，正好办信用卡的业务员跑进店中问要不要办理信用卡，那时我25岁，家里经理状况也很不好，父母就是普通农民，靠几亩地为生，从小受父母教育，无论干什么自己要努力靠自己，自己想干点事又不想给父母增加负担，就办理了信用卡，不曾想这就是噩梦的开始，刚开始浦发卡额度办下来是27000.由于平时用卡还款都一直很好，自己也从未打电话提过额度，银行就给我一次次提额度，直到涨到165000.自己这么多年一直被陷在信用卡的还款里，就像滚雪球一样，额度越来越</t>
  </si>
  <si>
    <t>人人花APP未经允许胡乱扣款</t>
  </si>
  <si>
    <t>http://ts.21cn.com/tousu/show/id/1362057</t>
  </si>
  <si>
    <t>2019/10/15 00:47:54</t>
  </si>
  <si>
    <t>前两天下载并注册了人人花APP，以为这个APP可以借款，但是发现只是一个贷款超市就卸载了，在此期间按照引导进行借款，也绑定了银行卡，其中有一个信用报告，但是没有标注需要收费，今天莫名其妙就被扣了288元，要求退回，也希望曝光不要再上当了。</t>
  </si>
  <si>
    <t>悠融u卡贷未逾期打联系人侮辱恐吓</t>
  </si>
  <si>
    <t>http://ts.21cn.com/tousu/show/id/1362000</t>
  </si>
  <si>
    <t>2019/10/15 00:47:03</t>
  </si>
  <si>
    <t>首先，我没有逾期！没有逾期！没有逾期！因为我没接到催款电话，先是短信轰炸，然后打联系人，今天正好我妈生日，打到我妈那，我妈在做事腾不开手让我4岁孩子接的，那个催收女直接对着我孩子喊，让我们全家人死光等侮辱的话，想我一直秉承良心，逾期了每天100多的利息也交，现在还了10期，逾期费都交了670多，合同金额写的是14000多其实只有10000，如果没这事我也就常规还了，逾期给利息哪怕利息高，好歹当初是自己借的，哪怕这利息不合法，利息足够！！！如果我接到亲戚朋友电话说有催收骚扰，我就直接去告悠融资产，我没有别的逾</t>
  </si>
  <si>
    <t>拼多多商家彤莕家具官方旗舰店欺诈消费者</t>
  </si>
  <si>
    <t>http://ts.21cn.com/tousu/show/id/1362056</t>
  </si>
  <si>
    <t>2019/10/15 00:46:12</t>
  </si>
  <si>
    <t>本人于10月9日在拼多多彤莕家具旗舰店购买了一个儿童衣柜，当时我需要的是他链接的主图款，而且我有问客服，她说了，主图款我才下订单购买的，结果，10月15日也就是今天到货安装才发现柜子不但质量差，而且与我拍下的不符，找客服说，客服只说不明白然后就不再回话，这个柜子的质量真的是差的没话说，只要组装了一点点都不可以挪动，要么直接散架，而且柜子门特别重，柜子现在只要立起来也会被柜门坠散，摇摇晃晃……这样的柜子在家里如果突然散架家里有小孩子的真的很危险！如果真的出了危险这个责任谁来承担，望有关部门管理一下这些黑心商家</t>
  </si>
  <si>
    <t>http://ts.21cn.com/tousu/show/id/1362055</t>
  </si>
  <si>
    <t>2019/10/15 00:45:50</t>
  </si>
  <si>
    <t>投诉人邹剑彬投诉对象安庆盛通信息科技服务有限公司,人人花涉诉金额288元问题类型诉求类型投诉详情这个公司在我根本不是本人抄作的情况下直接扣我银行卡的钱，简直就是盗窃。</t>
  </si>
  <si>
    <t>美团打车在车子没营运证，司机没从业资格证的情况下让注册账号跑网约车</t>
  </si>
  <si>
    <t>http://ts.21cn.com/tousu/show/id/1362003</t>
  </si>
  <si>
    <t>2019/10/15 00:44:38</t>
  </si>
  <si>
    <t>本人于2019年9月19日在南京市雨花台区铁心桥大周路科创城C2栋2005室途虎网约车租赁公司南京分公司租了一台比亚迪汽车跑网约车，当时公司承诺的是证件齐全，协助帮司机办理网约车从业资格证，美团账号我自己注册不了，还必须公司给注册，现在都快一个月了，到现在为止没有找我一次要我办理从业资格证，而且昨天我才知道这辆车连营运证都没有，我不知道美团的审核是什么情况，在人证车站都没有的情况下竟然会审核通过，光明正大的可以跑网约车，这不是诱使别人违法吗，这这也造成我现在要求退车他们公司以我合同违约为名强扣我一万的押金！</t>
  </si>
  <si>
    <t>微博借钱无法更换手机号</t>
  </si>
  <si>
    <t>http://ts.21cn.com/tousu/show/id/1362052</t>
  </si>
  <si>
    <t>2019/10/15 00:44:14</t>
  </si>
  <si>
    <t>我在7.14号在微博借钱借款，然后微博借钱app.一直无法更改注册手机号，只能使用原手机号，原手机号在后来注销了，因为看过很多报道说第一天催收人员联系不到本人就会联系我的家人朋友，所以希望微博这边想办法改过来我的手机号，因为我不是故意联系不到的，我15号，就是今天发工资，不想因为589块钱一期的账单打扰到亲戚朋友，谢谢。</t>
  </si>
  <si>
    <t>北京光宇诱导玩家充钱</t>
  </si>
  <si>
    <t>http://ts.21cn.com/tousu/show/id/1362051</t>
  </si>
  <si>
    <t>2019/10/15 00:42:09</t>
  </si>
  <si>
    <t>投诉人 杨先生        投诉对象  光宇游戏        涉诉金额  900 元    问题类型    诉求类型投诉详情  小孩子乱玩游戏 充钱 才9岁 自己偷偷充钱玩 偷了爸爸的身份证 陷进去了 天天玩这个游戏 卸载了还给下载管不了了 还充钱 希望能给退回来 毕竟是虚拟的 谢谢了</t>
  </si>
  <si>
    <t>拼多多商家给客户处理售后就要交10万保证金</t>
  </si>
  <si>
    <t>http://ts.21cn.com/tousu/show/id/1362050</t>
  </si>
  <si>
    <t>2019/10/15 00:40:52</t>
  </si>
  <si>
    <t>我于19年10月14日收到拼多多消息通知，说我违规诱导客户，需要交10万保证金方可继续经营，，凭良心给客户是送年卡会员，真的不是为啦引流出去了只是要个评价，赠送客户年卡看电影是为了可以能到店继续购买，得到好评，客户信赖拼多多才来拼多多找货源，，怎么会就这么容易被引流到别的地方，10万真的拿不出来，辛苦经营一年多的网店面临关闭，货物积压，难过，希望撤销处罚，本人保证以后不违规操作哪怕是误操作也不会有，谢谢帮我解决。</t>
  </si>
  <si>
    <t>http://ts.21cn.com/tousu/show/id/1362049</t>
  </si>
  <si>
    <t>2019/10/15 00:39:48</t>
  </si>
  <si>
    <t>在钱站借款1400，到帐1400，合同上面却写1862，明显的阴阳合同，而且利息高达26%，借款3期每月要还917.61，逾期一天利息高达96，高利贷，我现在要求停止骚扰通讯录好友，并调整利息，协商还款。</t>
  </si>
  <si>
    <t>51人品贷套路贷高利贷砍头息服务费</t>
  </si>
  <si>
    <t>http://ts.21cn.com/tousu/show/id/1362048</t>
  </si>
  <si>
    <t>2019/10/15 00:39:14</t>
  </si>
  <si>
    <t>51信用卡管家套路贷高利贷砍头息，请退还违法收取费用。</t>
  </si>
  <si>
    <t>部落冲突号被盗了，拿回来发现号被永久封禁</t>
  </si>
  <si>
    <t>http://ts.21cn.com/tousu/show/id/1362047</t>
  </si>
  <si>
    <t>2019/10/15 00:37:47</t>
  </si>
  <si>
    <t>投诉人刘先生投诉对象部落冲突涉诉金额3000元问题类型诉求类型投诉详情我的QQ号，前两天被盗了，今天刚找回来，然后登录部落冲突发现号被永久封禁，联系客服也没有解决方法，请求恢复我的账号。</t>
  </si>
  <si>
    <t>闲鱼乱扣分</t>
  </si>
  <si>
    <t>http://ts.21cn.com/tousu/show/id/1362046</t>
  </si>
  <si>
    <t>2019/10/15 00:37:22</t>
  </si>
  <si>
    <t>投诉人窦先生投诉对象淘宝闲鱼涉诉金额0元问题类型诉求类型投诉详情希望闲鱼不要封，正常使用闲鱼，多学习闲鱼规则。</t>
  </si>
  <si>
    <t>今巴蟹提货不到</t>
  </si>
  <si>
    <t>http://ts.21cn.com/tousu/show/id/1362045</t>
  </si>
  <si>
    <t>2019/10/15 00:35:01</t>
  </si>
  <si>
    <t>今巴蟹提货两年都提不到货，电话不接或大不通，浪费时间和精力。</t>
  </si>
  <si>
    <t>要求支付宝给个处理结果合理解释</t>
  </si>
  <si>
    <t>http://ts.21cn.com/tousu/show/id/1362044</t>
  </si>
  <si>
    <t>2019/10/15 00:32:44</t>
  </si>
  <si>
    <t>本人手机丢失淘宝账户被盗，当天就联系了支付宝客服处理，要求注销被盗账户客服没有处理，这是第2次联系淘宝客服，要求客服查询本人名下实名得淘宝账户数量，客服也是无法查询，要求注销账户，客服也无法注销，客服告知我，我在淘宝发布了交易任务，无法注销，但本人在淘宝上没有发布过任何卖卖交易，这让我更加怀疑自己账户被盗，被别有用心之人利用，发布虚假交易，售卖假货得勾当，所以要求支付宝立刻冻结或注销账户，支付宝都不于处理，连我要求询自己名下总共有几个实名账户都不于查询，难道我自己连我自己信息都没知情权吗，说平台没有查询入口</t>
  </si>
  <si>
    <t>拍拍贷扣款失败导致逾期一天要多收25元手续费</t>
  </si>
  <si>
    <t>http://ts.21cn.com/tousu/show/id/1362043</t>
  </si>
  <si>
    <t>2019/10/15 00:31:35</t>
  </si>
  <si>
    <t>早上银行卡确实钱不够导致扣款失败，晚上10点左右充值到卡里了，也自己登录了app还款，还是失败，我有银行卡余额证明，可以证明在10点左右的时候余额是够还款的，看到请联系，你们自己扣款失败导致的逾期费，我是不会付的！我可以提供当晚10点左右的银行卡余额。</t>
  </si>
  <si>
    <t>安庆盛通信息科技有限公司欺诈，恶意扣费</t>
  </si>
  <si>
    <t>http://ts.21cn.com/tousu/show/id/1362041</t>
  </si>
  <si>
    <t>2019/10/15 00:30:45</t>
  </si>
  <si>
    <t>投诉人曹先生投诉对象新生支付涉诉金额198元问题类型诉求类型投诉详情诱导开通代扣协议，未提供相关服务却晚上11:59扣款198元，要求退还并将我代扣全部注销，如白天工作未接听电话，请短信给我有效客服联系方式探讨解决方案，谢谢！。</t>
  </si>
  <si>
    <t>http://ts.21cn.com/tousu/show/id/1362042</t>
  </si>
  <si>
    <t>2019/10/15 00:30:37</t>
  </si>
  <si>
    <t>无需银行密码，无需电话，在不知情的情况下进行扣费，分两次84扣缴，共计168元，钱款去向是以购买机票形式扣款，事后并未提供任何服务，客服电话变更，app登不上去，莫名其妙，望有关部门严查，处理，现成千上万的用户喊冤叫屈，骗资庞大，。</t>
  </si>
  <si>
    <t>东莞虎门小红马舞蹈利用58招聘为由培训贷款学费</t>
  </si>
  <si>
    <t>http://ts.21cn.com/tousu/show/id/1362040</t>
  </si>
  <si>
    <t>2019/10/15 00:29:34</t>
  </si>
  <si>
    <t>身边三四个朋友都报名了全能教练班，没有一个学下去的，去上课呢老学员跟一节课都没上过的一起上，跟个傻子似的跟不上，学费一两万跟我们说可以分期，结果分期是要四五千手续费的，签合同的时候直接让我们签字，看都不让看，合同也只有她们有我们啥都没有，一开始的500定金也不退一开始说报名成功会返回给我们结果就不退，后面去问人家说给你减了500学费，我就呵呵了，学费18800我们贷款就是贷的18800一份都没少，减哪去了，天天一大队人扛着旗子游街，没去的还真会被唬到了，上课的时候学员就那么零零散散的三四个好的时候七八个，报</t>
  </si>
  <si>
    <t>我要投诉拼多多定制的商品支持退货退款</t>
  </si>
  <si>
    <t>http://ts.21cn.com/tousu/show/id/1362039</t>
  </si>
  <si>
    <t>2019/10/15 00:29:28</t>
  </si>
  <si>
    <t>投诉人岳先生投诉对象拼多多涉诉金额2000元问题类型诉求类型投诉详情我们是给客户定制旗子的定制之前说明定制产品不能第二次销售不能退货退款，已我发的图片多次确认，客户已他不是他想的红退货退款，我已多次提醒确认颜色，定制不能退货退款他也答应不退货退款，但收到货他就申请退货退款，拼多多还支持他退货退款还要我们承担退回的快递费，天理何在，口头协议都有法律的支持我已经和客户约定不能退货退款拼多多还支持拼多多建立在法律之上吗让我赔了2000多我们就这么卑微吗。</t>
  </si>
  <si>
    <t>http://ts.21cn.com/tousu/show/id/1362038</t>
  </si>
  <si>
    <t>2019/10/15 00:28:46</t>
  </si>
  <si>
    <t>在好易借申请借款，收取高额担保费，期限12个月单3个月就基本还清了，套路贷，要求退还多余费用。</t>
  </si>
  <si>
    <t>去天信贷app平台网贷交了手续费不给放款</t>
  </si>
  <si>
    <t>http://ts.21cn.com/tousu/show/id/1362013</t>
  </si>
  <si>
    <t>2019/10/15 00:26:12</t>
  </si>
  <si>
    <t>应本人需求在天信贷app平台贷款，天信贷的客服经理要求我必须先交手续费才能放款，不然我的贷款不到账，而且还每月必须还款，本人不知道网贷平台还有这种操作就先把手续费交了，这笔贷款的手续费是4000元，应本人只有3500，天信贷的客服经理叫天信贷公司转500给我，这样才够4000的手续费，我从2019年的9月27号等到2019年10月15号，天信贷公司一直找各种理由拖延，客服经理也不回我的问题。</t>
  </si>
  <si>
    <t>安庆盛通信息科技有限公司的情人花App存在欺诈，恶意扣费</t>
  </si>
  <si>
    <t>http://ts.21cn.com/tousu/show/id/1362037</t>
  </si>
  <si>
    <t>2019/10/15 00:23:32</t>
  </si>
  <si>
    <t>诱导开通代扣协议，未提供相关服务却半夜扣款198元，要求退还并将我代扣全部注销，如白天工作未接听电话，请短信给我有效客服联系方式探讨解决方案，谢谢！。</t>
  </si>
  <si>
    <t>投诉淘宝网，多次限制下单</t>
  </si>
  <si>
    <t>http://ts.21cn.com/tousu/show/id/1362036</t>
  </si>
  <si>
    <t>2019/10/15 00:22:44</t>
  </si>
  <si>
    <t>一直在用淘宝网，买东西，有次买了商品，我不想要了，我去申请了退款，然后突然弹出一个公告，说淘宝账号风险，滥用申请退款权利，，我怎么不能退款，我不想买这个东西，你还要我吃了不成，7天限制下单，我想着7天后就可以正常使用没事了，谁知道，我还是买了东西，我就不能退款，请问我是必须交钱给卖家了，消费者的权利，就是淘宝网说了算吗，自从马云走了，我看淘宝也不行了。</t>
  </si>
  <si>
    <t>南京途虎网约车租赁公司欺诈消费者，强扣保证金</t>
  </si>
  <si>
    <t>http://ts.21cn.com/tousu/show/id/1361364</t>
  </si>
  <si>
    <t>2019/10/15 00:21:59</t>
  </si>
  <si>
    <t>本人9月19号在南京途虎网约车租赁公司租了一辆比亚迪e5汽车跑网约车，租金一个月4500，450，理论续航里程460公里，而且说的是全新车，证件齐全！但是在我签完合同以后提成发现车子根本不是新车，后来跟比亚迪售后查询到车子也根本上不是450而且网约版400，而且理论续航里程也只有400公里，这些我都忍了，最可气的是我今天才查到这个车竟然连网约车运营者都没有，这种车租给我们跑不是诱使我们违法吗，而且之前承诺如果被抓到公司全权处理，不需要我们承担任何责任，后面又改成公司处理，但是司机得再交5000的押金，我想知</t>
  </si>
  <si>
    <t>http://ts.21cn.com/tousu/show/id/1362035</t>
  </si>
  <si>
    <t>2019/10/15 00:21:17</t>
  </si>
  <si>
    <t>本来想在聚富分期测试一下额度，绑定了农业银行卡后软件告诉我已经购买了298.5元的服务，软件从来没提示过要收费，我根本不知情，我赶紧查询了手机银行，没想到自己的银行卡被扣除了298.5元，后来打客服说还要扣一笔钱没扣成功，我要求聚富分期做出解释并且退款。</t>
  </si>
  <si>
    <t>http://ts.21cn.com/tousu/show/id/1362034</t>
  </si>
  <si>
    <t>2019/10/15 00:20:50</t>
  </si>
  <si>
    <t>利息高的吓人，借款7400，借款合同上却显示九千多，实际到账也是7400，但是还款要还10000多，人都要逼疯了。</t>
  </si>
  <si>
    <t>尚德机构虚假宣传</t>
  </si>
  <si>
    <t>http://ts.21cn.com/tousu/show/id/1362033</t>
  </si>
  <si>
    <t>2019/10/15 00:19:07</t>
  </si>
  <si>
    <t>1.本人于2019年2月份得知尚德机构可以报名大专，想咨询，有人加了我微信告知我可以打折并且当时语音告诉我，报名考试过后可以在学信网查询，就参加了报名，资方也不告诉且跟虚假宣传的尚德机构合伙作案放助学贷，2.报名以后由另外一个王老师添加我微信告知我怎么参加报名，并且又推荐告诉我可以多加一点钱报名个专科升本科，并且还可以贷款，只要付款10%后面可以分期，然后诱导我进行在融易分期进行贷款，3.在融易分期贷款后，我查询到每个月还款日会有人打钱给我并且利息超过国家标准，虽然没有我出钱还利息，但是我想说融易分期后台有</t>
  </si>
  <si>
    <t>拍拍贷在账户有足够金额的情况下仍然无法还款</t>
  </si>
  <si>
    <t>http://ts.21cn.com/tousu/show/id/1362031</t>
  </si>
  <si>
    <t>2019/10/15 00:17:04</t>
  </si>
  <si>
    <t>1、不支持在线从银行卡上扣款了，一直显示还款失败，但是银行卡金额是充足的；2、换一个银行卡依旧无法解决问题；3、充值到拍拍拍贷账户中后，依旧无法还款！！且穷尽所有办法4、找不到客服，自动回答的问题都是答非所问！5、要求撤销自10.14日之后的滞纳金！不属于我这边的问题，为什么要扣我的钱！。</t>
  </si>
  <si>
    <t>乱收费无缘无故扣我钱</t>
  </si>
  <si>
    <t>http://ts.21cn.com/tousu/show/id/1362029</t>
  </si>
  <si>
    <t>2019/10/15 00:16:00</t>
  </si>
  <si>
    <t>乱扣我的钱，我和他们根本就没有业务往来，为什么要扣我的钱。</t>
  </si>
  <si>
    <t>活力花暴力催收，威胁</t>
  </si>
  <si>
    <t>http://ts.21cn.com/tousu/show/id/1362028</t>
  </si>
  <si>
    <t>2019/10/15 00:14:57</t>
  </si>
  <si>
    <t>活力花暴力催收，一天几十个催收电话，还加微信声称要拨打亲戚朋友和公司领导电话骚扰！不还钱就一直打！。</t>
  </si>
  <si>
    <t>http://ts.21cn.com/tousu/show/id/1362025</t>
  </si>
  <si>
    <t>2019/10/15 00:14:42</t>
  </si>
  <si>
    <t>今天一直有电话打进来我没接，然后晚上十二点半就被人人花莫名其妙的扣了288块钱。</t>
  </si>
  <si>
    <t>钱站app违法收取砍头息</t>
  </si>
  <si>
    <t>http://ts.21cn.com/tousu/show/id/1362027</t>
  </si>
  <si>
    <t>2019/10/15 00:14:32</t>
  </si>
  <si>
    <t>钱站app借款前未给借款人了解收费情况，违法以收取服务费的形式收取高额砍头息，借款金额申请两千元整，合同却写了两千六百六十元整，试问，这六百六十元被狗吃了，都是新时代新社会，还在钻法律的空子去赚缺钱急用钱人的钱。</t>
  </si>
  <si>
    <t>遭遇砍头息</t>
  </si>
  <si>
    <t>http://ts.21cn.com/tousu/show/id/1362026</t>
  </si>
  <si>
    <t>2019/10/15 00:14:31</t>
  </si>
  <si>
    <t>投诉人吴先生投诉对象恒易贷涉诉金额1925元问题类型诉求类型投诉详情遭遇砍头息1925元，要求归还，力争做诚信商户！。</t>
  </si>
  <si>
    <t>汇潮支付联合违法网贷为其提供支付通道</t>
  </si>
  <si>
    <t>http://ts.21cn.com/tousu/show/id/1362023</t>
  </si>
  <si>
    <t>2019/10/15 00:12:59</t>
  </si>
  <si>
    <t>投诉人程女士投诉对象汇潮支付,王者钱包涉诉金额2511元问题类型诉求类型投诉详情我于2019-10-0819点左右在王者钱包平台借款1550元七天还但利息却有961，这是高利贷，并且汇潮支付为违法平台提供支付通道，我于2019-10-12日王者钱包工作人员暴力催收，并威胁爆通讯录，要打扰我的家人，随后下午扣款了2511元，态度恶劣十分过分，要求汇潮支付联系王者钱包平台尽快退还利息961元，请尽快退款。</t>
  </si>
  <si>
    <t>中程建教育机构诱导学员交钱</t>
  </si>
  <si>
    <t>http://ts.21cn.com/tousu/show/id/1361990</t>
  </si>
  <si>
    <t>2019/10/15 00:08:47</t>
  </si>
  <si>
    <t>投诉人袁先生投诉对象中程建教育涉诉金额7500元问题类型诉求类型投诉详情2018年8月20日北京中程建教育在今日头条投放招生广告，我点开浏览了下，就有招生办的陈老师打电话过来说可以注册一级消防工程师证书，说了一些证书的含金量，我自己了解了下，证书含金量确实很高，随后加了微信，就一直给我推荐她们机构有多好，多好，我自己查了下报考条件，前提必须是大专文凭，但是我暂时并未取得大专文凭，而陈老师说可以代报名，但必须交两千块钱，可以管3年，就跟考驾驶证一样，3年的有效期，我自己也向身边的朋友了解了下，他们都说不靠谱，</t>
  </si>
  <si>
    <t>信而富变相收砍头息</t>
  </si>
  <si>
    <t>http://ts.21cn.com/tousu/show/id/1362021</t>
  </si>
  <si>
    <t>2019/10/15 00:08:31</t>
  </si>
  <si>
    <t>投诉人郑先生投诉对象信而富涉诉金额2200元问题类型诉求类型投诉详情7.31号贷款2200，变相让我购买优先特权包，，现因合法维护自己的权益，举报投诉信而富是高利贷收取砍头息，若不退款，继续举报至银监会，附图证明收费338的优先特权包。</t>
  </si>
  <si>
    <t>平安普惠自身支付系统故障造成扣款失败判定我逾期</t>
  </si>
  <si>
    <t>http://ts.21cn.com/tousu/show/id/1362020</t>
  </si>
  <si>
    <t>2019/10/15 00:07:27</t>
  </si>
  <si>
    <t>投诉人邱先生投诉对象平安普惠涉诉金额10000元问题类型诉求类型投诉详情平安普惠app借款剩最后两期平台自身系统故障，按照平台客服办法反复重试若干次，换三个还款渠道！若干次致电客服，要么说同样的废话解决不了问题，要么让我找央行，要么叫我找工行！作为出来割韭菜的行业之一虽说滞后不健全的制度赋予你们这类平台肆意妄为以个人征信要挟平台不负责，不主动解决还款问题！拖延……这就是已经被广大被坑群众喂饱吃撑的平安普惠，这是很多加入割韭菜行列企业共同特征！对于社会公信力的践踏到了肆意妄为的地步！切实可恨可恶！。</t>
  </si>
  <si>
    <t>个人被朋友骗，不小心借了分期乐2000，想还款，发现要还3000多</t>
  </si>
  <si>
    <t>http://ts.21cn.com/tousu/show/id/1361999</t>
  </si>
  <si>
    <t>2019/10/15 00:07:01</t>
  </si>
  <si>
    <t>本人被朋友骗了，说乱写工作来借分期乐36期能有好多优惠，而且本人无业游民，事实上几年没工作，都是吃低保的，实在是没有能力去还款，而且还款还不上，联系客服也联系不上发现要还3000多，我现在只想把本金还了，把账号销了。</t>
  </si>
  <si>
    <t>转转坑卖家保证金</t>
  </si>
  <si>
    <t>http://ts.21cn.com/tousu/show/id/1362019</t>
  </si>
  <si>
    <t>2019/10/15 00:06:46</t>
  </si>
  <si>
    <t>投诉人康先生投诉对象转转涉诉金额59元问题类型诉求类型投诉详情垃圾转转平台发布商品就提示要交保证金能得到更多曝光，商品下架或卖出保证金原路返回，当时没多想59就用微信支付了，第二天就碰到这个买家，一句话不说就拍下商品，发消息不回语音通话也不接，点开个人资料一看才注册两天并且连实名认证都没有就拍了60个商品，这肯定是个骗子啊，垃圾平台连未实名也能随意拍商品怎么去保证卖家的利息，然后问题就来了，这种人我肯定不敢卖，要取消订单，尼玛显示取消订单就会被扣保证金，强买强卖了，联系客服一个个都说没权限关闭订单叫我耐心稍</t>
  </si>
  <si>
    <t>骑行哈啰单车中途突发故障单导致残疾谁来赔偿</t>
  </si>
  <si>
    <t>http://ts.21cn.com/tousu/show/id/1362018</t>
  </si>
  <si>
    <t>2019/10/15 00:06:40</t>
  </si>
  <si>
    <t>投诉人阮女士投诉对象哈啰出行涉诉金额50000元问题类型诉求类型投诉详情2019.6.16我骑行哈啰出行单车回家，途中车辆车把开裂歪斜，我发现异常后紧急刹车，此时车辆刹车抱死，轮胎侧滑，由于车辆轮胎抱死惯性较大，我被摔下车，当时无法动弹，右腿三处骨折，事后我将车辆故障上传，并要求哈啰出行的公司将车辆锁定，一同进行三方检测，确定车辆问题，但该公司拒绝提供车辆，不给进行检测，该公司在修复车辆故障后重新将车辆投入运营，我由于摔伤现已残疾，手术后，身体打了22个钉子，2个板子，生活无法自理，整日想死，我要求哈啰出行</t>
  </si>
  <si>
    <t>http://ts.21cn.com/tousu/show/id/1362017</t>
  </si>
  <si>
    <t>2019/10/15 00:04:46</t>
  </si>
  <si>
    <t>投诉人杜肖投诉对象我来数科涉诉金额85000元问题类型诉求类型投诉详情在我来贷平台两笔借款总金额为8500，在我没逾期的时候，我都会按时还款，近段时间因出现资金困难，导致多次逾期，有几次逾期我来贷产生逾期催收费，经过协商我来贷给我减免逾期费，但是由于近期10月11日逾期还没到一天本平台催收就电话短信骚扰我也与催收协商，均不理会，甚至还群发短信给我家人，通过抖音APP的手段找到我的抖音号，对我进行评论还款骚扰，至此我的亲朋好友同学都在抖音里看到，我与本平台客服投诉多次，她们客服都没给我处理，每次我投诉就敷衍了</t>
  </si>
  <si>
    <t>http://ts.21cn.com/tousu/show/id/1362016</t>
  </si>
  <si>
    <t>2019/10/15 00:03:58</t>
  </si>
  <si>
    <t>投诉人金先生投诉对象新橙优品涉诉金额1382元问题类型诉求类型投诉详情今年六月分在新橙子优品借款3000元分六期还款却不知竟然共计还款竟然高达接近4200元且无法提前还清远超国家法定利率！目前已还4期，由在此申请合理结清并且给出合理利率否则继续投诉如愿意协商会议打185******13以前的号码没用了。</t>
  </si>
  <si>
    <t>人人车拍卖平台人人快卖不退保证金</t>
  </si>
  <si>
    <t>http://ts.21cn.com/tousu/show/id/1362014</t>
  </si>
  <si>
    <t>2019/10/15 00:02:08</t>
  </si>
  <si>
    <t>投诉人易先生投诉对象人人车,人人快卖涉诉金额1000元问题类型诉求类型投诉详情人人车平台旗下拍卖平台人人快卖，冻结了保证金长达8个月之久，但迟迟没有退款，每次打电话过去都以“尽快处理，在走流程”之类话语搪塞。</t>
  </si>
  <si>
    <t>投诉广州市汇聚支付电子科技有限公司违规违法给博彩平台提供充值通道</t>
  </si>
  <si>
    <t>http://ts.21cn.com/tousu/show/id/1362011</t>
  </si>
  <si>
    <t>2019/10/14 23:59:23</t>
  </si>
  <si>
    <t>投诉人杨先生投诉对象汇聚支付涉诉金额55000元问题类型诉求类型投诉详情本人在今年1月份，在网上被网络广告宣传营销人员诱骗以做兼职，赚流水等理由被人拉进兼职群，说以购买彩票方式赚取佣金，后在充值页面发现可以通过中国银联官方渠道进行正规线上支付，而且对应的收单机构均为有着正规的支付牌照公司，以为是被相关部门认可的正规彩票购买渠道，并通过银联在线支付，而广州市汇聚支付电子科技有限公司为赌博平台提供通道以至于我损失55000多元，进行充值，从第一次充值，1个月的时间，损失了55000多元，后来才发现这是境外非法博</t>
  </si>
  <si>
    <t>恶性催收，威胁，</t>
  </si>
  <si>
    <t>http://ts.21cn.com/tousu/show/id/1362010</t>
  </si>
  <si>
    <t>2019/10/14 23:58:46</t>
  </si>
  <si>
    <t>投诉人陈女士投诉对象小花钱包涉诉金额12340元问题类型诉求类型投诉详情恶意催收，多次威胁，多次恐吓，泄露个人信息。</t>
  </si>
  <si>
    <t>http://ts.21cn.com/tousu/show/id/1362007</t>
  </si>
  <si>
    <t>2019/10/14 23:57:07</t>
  </si>
  <si>
    <t>豹子贷,上海造艺网络科技,造艺网络科技,银码头，本人因急用钱与2019.10.13人注册了豹子贷账号，后因审核不通过，卸载了该APP，豹子贷和海南圣云科技有限公司与2019.10.14日下午16:35:54不经本人同意，在本人不知情下从银行卡扣款298.5元。</t>
  </si>
  <si>
    <t>骚扰朋友家人</t>
  </si>
  <si>
    <t>http://ts.21cn.com/tousu/show/id/1362008</t>
  </si>
  <si>
    <t>投诉人 郑先生        投诉对象  恒易贷        涉诉金额  10 000 元    问题类型    诉求类型投诉详情  未逾期情况下，骚扰家人。导致家人有意见，产生误会，严重影响了！ 需要做出解释！！！！</t>
  </si>
  <si>
    <t>我来贷10.45以后无法还款</t>
  </si>
  <si>
    <t>http://ts.21cn.com/tousu/show/id/1362005</t>
  </si>
  <si>
    <t>2019/10/14 23:56:05</t>
  </si>
  <si>
    <t>我来贷还款日当天超过10.45无法还款，导致被动逾期一天。</t>
  </si>
  <si>
    <t>钱站借6000还12000调整率率还款</t>
  </si>
  <si>
    <t>http://ts.21cn.com/tousu/show/id/1362004</t>
  </si>
  <si>
    <t>2019/10/14 23:55:36</t>
  </si>
  <si>
    <t>九月份钱站申请贷款6000,没看清点错结果申请无法撤销，借6000现要还快12000，分六个月还完一个月要还将近两千，本金利息翻倍，严重超过国家法规法定，，本人现在实在承担不起，也不想家人朋友受到骚扰，希望通过聚投诉可以协商降低率率还款。</t>
  </si>
  <si>
    <t>诱导未成年儿童充值游戏</t>
  </si>
  <si>
    <t>http://ts.21cn.com/tousu/show/id/1362002</t>
  </si>
  <si>
    <t>2019/10/14 23:55:09</t>
  </si>
  <si>
    <t>年幼7岁小孩因父母外出由爷爷奶奶带，在大人不知情的情况下拿了爷爷手机下载了一款叫《葫芦娃》的游戏，因他爷爷不识字，我给他设置的密码比较简单，不小心被孩子看到，在玩游戏过程中对游戏充值较大金额，被发现后多次尝试联系客服一直无法联系上。</t>
  </si>
  <si>
    <t>黑心丰田汽车4S店恶劣欺诈消费者</t>
  </si>
  <si>
    <t>http://ts.21cn.com/tousu/show/id/1362001</t>
  </si>
  <si>
    <t>2019/10/14 23:54:44</t>
  </si>
  <si>
    <t>本人于2019年7月20号在广州兆方丰田汽车销售服务有限公司白云分公司购买亚洲龙车型，以整车落地价格283800，元签订购车合同《新车订购单》并按商家要求预先支付5000购车款，每次联系商家都说叫我耐心等待，直到10月10号商家告知10月还是无法按时交车，询问商家什么时候可以交车给我，商家告知11月，12月都无法交车，问及具体何时可以交车，商家回复不确定，商家承诺10月一定可以交车，销售人员以及店经理，一个劲地劝说叫我信任他们，并信誓旦旦承诺10月一定能交车，并列举大量例子说一般都是2个月左右就交车，现在商</t>
  </si>
  <si>
    <t>http://ts.21cn.com/tousu/show/id/1361998</t>
  </si>
  <si>
    <t>2019/10/14 23:53:47</t>
  </si>
  <si>
    <t>2019年10月12日我在新华金融贷款10000元审核通过，需要办理vip才可以放款，我办理了中级vip598元系统说名额已被强光需要办理高级vip才可以放款，我又办理了高级vip1288元，还是未能下款，信贷员说我银行卡填写错误没能下款，信贷员又让我在交3000元的风控保证金才可以下款，而且我怀疑是不是你们修改了我的银行卡号码，我从来没有填写错过，你们这是存在恶意欺诈，要求新华金融app退还我的vip费用共计1886元，而且信贷员威胁我说如果不交风控费用还告我欺诈贷款。</t>
  </si>
  <si>
    <t>及贷存在砍头息，催收人员威胁暴力催收</t>
  </si>
  <si>
    <t>http://ts.21cn.com/tousu/show/id/1361993</t>
  </si>
  <si>
    <t>2019/10/14 23:46:58</t>
  </si>
  <si>
    <t>本人2018年12月在及贷平台借款30000元，实际到账28590，每期还款3258.72，共计12期，一共需要还款39096！本人还款记录一直良好，最近由于资金紧张，还到第九期时，资金不足，导致逾期一天，本人一直在想办法处理，及贷工作人员多次来电催促还款，临近第一天结束时，工作人员威胁如果当天6点不处理，后续将联系亲戚朋友告知欠款情况，威胁本人表示后续催收力度很大，将会对本人生活产生严重影响，本人一直在积极还款，但及贷工作人员催收恶语相向，丝毫不留余地，完全黑社会作风！。</t>
  </si>
  <si>
    <t>北京友缘在线旗下处处app未经同意不知道通过什么手段开启了免密支付导致被扣费用存在严重欺诈行为</t>
  </si>
  <si>
    <t>http://ts.21cn.com/tousu/show/id/1361971</t>
  </si>
  <si>
    <t>2019/10/14 23:38:49</t>
  </si>
  <si>
    <t>在百度上哦然看见北京友缘在线旗下处处app，由于信任百度便下载一个玩一玩，进入之后，看见有一个什么支付元领三天会员，变点了进去，然后就开启了免密之后，然后就莫名其妙支付了两笔账单，一公168元，要求退回。</t>
  </si>
  <si>
    <t>http://ts.21cn.com/tousu/show/id/1361982</t>
  </si>
  <si>
    <t>2019/10/14 23:33:04</t>
  </si>
  <si>
    <t>本人在百事普惠app申请借款，绑定了银行卡，未经同意扣除我账户298.5元，本人对此很气愤，再次要求退款。</t>
  </si>
  <si>
    <t>http://ts.21cn.com/tousu/show/id/1361965</t>
  </si>
  <si>
    <t>2019/10/14 23:15:46</t>
  </si>
  <si>
    <t>本人在十月份时候被人误导宣传进入违法软件，在云闪付进入充值后发现是违法软件，中国银联在老百姓心中是可靠的平台，竟然为违法软件进行提供三方充值，和支付清算协会沟通得知第三方支付业务应审核客户的相关信息，第三方支付业务公司不得向证券，期货，博彩等机构提供支付结算业务，，在看到了中国银联的标志，也相信了平台是合法彩票平台，，损失10万元，但是现在发现次彩票平台根本不是合法平台，家都散了，可怜至极，惨不忍睹！！！！，不要再为不法分子提供便利，恳求聚投诉平台帮我拿回血汗钱！！！，本人于通过云闪付支付充值，本以为通过中</t>
  </si>
  <si>
    <t>我在凡普金科（凡普金科集团有限公司）小贷公司贷款8万，凡普金科3年收取了我高达57000元的高额利息</t>
  </si>
  <si>
    <t>http://ts.21cn.com/tousu/show/id/1361917</t>
  </si>
  <si>
    <t>2019/10/14 22:54:33</t>
  </si>
  <si>
    <t>投诉人张先生先生投诉对象凡普金科集团有限公司,凡普互金有限公司涉诉金额137124元问题类型诉求类型投诉详情事件简介：我的妻子于2017年9月7日在凡普金科集团有限公司，位于四川绵阳的小额贷款公司申请到贷款80000元，合同上写的却是115700元，扣除了35700元手续费，我们卡里实际收款80000元，每月还款3809元，36期算下来总共要还137124元，利息高达57000元，目前我们已经还款2年零1个月也就是25期，总共还了98225元，我们联系凡普提前还款希望能对还款金额有所减免，但是凡普不给予任何</t>
  </si>
  <si>
    <t>关于微信同城艺龙买退车票</t>
  </si>
  <si>
    <t>http://ts.21cn.com/tousu/show/id/1361939</t>
  </si>
  <si>
    <t>2019/10/14 22:53:31</t>
  </si>
  <si>
    <t>本人于2019年10月14日下午4点左右，在微信平台提供的第三方软件同城艺龙，同时退票与订票，最后因为账户问题退票失败，确订票成功了，因为我在微信第三方平台上订的票，平台却为提醒，只发了信息在手机号码上，因为手机于微信不在一起，再次看到信息是发车信息，我找客服核实到底有没有退票时，才确定是退票失败了。</t>
  </si>
  <si>
    <t>360借条提前还款也需要把剩下几期利息全部还上</t>
  </si>
  <si>
    <t>http://ts.21cn.com/tousu/show/id/1361928</t>
  </si>
  <si>
    <t>2019/10/14 22:43:53</t>
  </si>
  <si>
    <t>360借条合同明确表示使用几天就还几天的利息，但是借完款几天，要提前还，发现分几期就有几期利息，，借了17500,只用四五天让我还十二个月利息就是20650.8，他这种是强制还所有本金和利息，太不公平，太不道德了，找客服，客服翻来覆去就是那一句话，意思就是这是他们平台的规则，真气人。</t>
  </si>
  <si>
    <t>要求百度有钱花减掉罚息和高利息</t>
  </si>
  <si>
    <t>http://ts.21cn.com/tousu/show/id/1361906</t>
  </si>
  <si>
    <t>2019/10/14 22:32:01</t>
  </si>
  <si>
    <t>我一个亲戚被这个百度有钱花的高利息高罚息催收逼得离家出走一个多月了，怎么都找不到人，都不知道是死是活，家里人都着急坏了，离家出走之前他和我说过，被这网贷催收打电话发短信威胁，不还钱就打爆通讯录，上门闹，上工作单位闹，每天上百个电话轰炸，我们这些亲戚的号码也是整天被电话轰炸，已经严重的影响了我们的生活，利息和罚息已经远远超过了国家规定的24％年利率，我们这些亲戚朋友商量着说，帮他把钱还上，想和网贷公司协商减掉罚息，该还的我们一分不少，可是这些网贷公司态度很强硬，说一分都不能少，还威胁我们，说有我们全班人的资料</t>
  </si>
  <si>
    <t>欺诈消费者，恶意扣款</t>
  </si>
  <si>
    <t>http://ts.21cn.com/tousu/show/id/1361894</t>
  </si>
  <si>
    <t>2019/10/14 22:25:46</t>
  </si>
  <si>
    <t>没有在罗汉分期APP上借款成功，只是注册成功后，在没告知的情况下恶意扣款，请退款，注销这种欺骗人的小贷公司。</t>
  </si>
  <si>
    <t>支付功能关闭</t>
  </si>
  <si>
    <t>http://ts.21cn.com/tousu/show/id/1361883</t>
  </si>
  <si>
    <t>2019/10/14 22:16:51</t>
  </si>
  <si>
    <t>投诉人 江先生        投诉对象  微信支付        涉诉金额  2 490 元    问题类型    诉求类型投诉详情  微信支付功能被保护，里面的钱也提现不了，</t>
  </si>
  <si>
    <t>升学教育退学学费难</t>
  </si>
  <si>
    <t>http://ts.21cn.com/tousu/show/id/1361872</t>
  </si>
  <si>
    <t>2019/10/14 22:12:51</t>
  </si>
  <si>
    <t>升学教育老师工作期间严重失职，没给我抢到深圳的成考考场，还一度骗本人广东的考场都没有了，本人登陆广东考试院，查看还有大把考场！因此本人非常的气愤！！！不但没有悔改之心，态度还非常恶劣，还一度骗我去报开放大学，告诉我社招全日制需要去学校读书，我打听别的机构，根本就不需要去学校读书！！！难道这不是诱导我去报开放大学吗，因此需要办理退学，退费期间办理退费手续工作人员谎话连篇，告诉我10月14号帮我办理好退费手续，至今了无音信！！！升学教育机构销售人员，专科老师，办理退费的统统都谎话连篇，希望聚投诉可以帮大众取回公</t>
  </si>
  <si>
    <t>http://ts.21cn.com/tousu/show/id/1361869</t>
  </si>
  <si>
    <t>2019/10/14 22:12:12</t>
  </si>
  <si>
    <t>投诉人马先生投诉对象爱农支付涉诉金额6000元问题类型诉求类型投诉详情本以为通过中国银联正规线上支付是正规彩票机构，后来才知道是非法赌博平台，和支付清算协会沟通得知第三方支付业务应审核客户的相关信息，第三方支付公司不得向证券、期货、博彩等机构提供支付结算业务，通过中国人民银行，中国银联，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t>
  </si>
  <si>
    <t>保障消费者合法权益</t>
  </si>
  <si>
    <t>http://ts.21cn.com/tousu/show/id/1361861</t>
  </si>
  <si>
    <t>2019/10/14 22:08:21</t>
  </si>
  <si>
    <t>我3月份在淘宝上购买一张移动的纯流量卡，购买后用了一个月就给我停机了，要求换卡，换了以后我的流量充值套餐就变贵了一点，当时也没在意，结果换了还没用上10天，又不能用了，又要求换卡，花上邮费换回来了，结果流量套餐给我变得很贵了，我跟他们要求改回原来的套餐，居然受到了威胁，卡直接给我停了。</t>
  </si>
  <si>
    <t>厦门快乐时代科技有限公司</t>
  </si>
  <si>
    <t>http://ts.21cn.com/tousu/show/id/1361850</t>
  </si>
  <si>
    <t>2019/10/14 21:55:31</t>
  </si>
  <si>
    <t>投诉人 陆锐莹        投诉对象  厦门快乐时代科技有限公司        涉诉金额  620 元    问题类型    诉求类型投诉详情  无缘无故被扣了600多 什么也没弄</t>
  </si>
  <si>
    <t>不知情扣款</t>
  </si>
  <si>
    <t>http://ts.21cn.com/tousu/show/id/1361829</t>
  </si>
  <si>
    <t>2019/10/14 21:46:17</t>
  </si>
  <si>
    <t>投诉人牟先生投诉对象小浦优客涉诉金额296元问题类型诉求类型投诉详情我在10月14号准备消费是发现银行卡没钱去查了一下，被莫名奇妙的消费扣款了，我打电话问银行，银行告诉我去银联查查看，我打电话问银联，银联也查不到只有单号又让我打通联问一下，我打电话问通联他们告诉我的钱是被小浦忧客扣了，我也没下载小浦忧客更没有在上面注册呀，这款不知道怎么扣去的，希望他们把扣的款退还给我02169076118这是小浦忧客的电话也没人接。</t>
  </si>
  <si>
    <t>享换机暴力催收</t>
  </si>
  <si>
    <t>http://ts.21cn.com/tousu/show/id/1361818</t>
  </si>
  <si>
    <t>2019/10/14 21:39:56</t>
  </si>
  <si>
    <t>投诉人 田士栋        投诉对象  享换机        涉诉金额  220 元    问题类型    诉求类型投诉详情  因失业在家 现没有能力偿还 我会近期周转几天 就200块钱 你们扬言要打通讯录 我请问 你们怎么来的通讯录电话？ 是通过正规渠道得来的吗？ 你们的行为是不是处于违法行为？ 给我一个合理解释</t>
  </si>
  <si>
    <t>要求平安银行，北京爱农，天津融宝支付，易通支付，全额退款</t>
  </si>
  <si>
    <t>http://ts.21cn.com/tousu/show/id/1361811</t>
  </si>
  <si>
    <t>2019/10/14 21:36:13</t>
  </si>
  <si>
    <t>爱农驿站电话永远无法转接人工，已多次发送邮件给爱农驿站询问处理结果，只回复了一封邮件：订单已反馈商户处理中，怀疑爱农驿站勾结虚假商户，非法收款，欺骗消费者，伙同违法平台利用自己的互联网支付对接非法行为，为非法网站进行合作，提供支付功能，本人充值很多账单，并未收到过任何东西，充值的钱经过银行查询全部已到该公司商户名下，希望通过投诉得到相应处理，这些公司严重违反了《中华人民共和国反洗钱法》和金融机构反洗钱规定》等规定，作为一个有牌照的支付公司没有履行国家相关法律法规要求，为违法违规的平台提供了支付结算等账务，如</t>
  </si>
  <si>
    <t>http://ts.21cn.com/tousu/show/id/1361807</t>
  </si>
  <si>
    <t>2019/10/14 21:35:29</t>
  </si>
  <si>
    <t>投诉人王女士投诉对象小赢卡贷涉诉金额6000元问题类型诉求类型投诉详情在小赢卡贷APP平台总共有4笔贷款合计金额27317元，本金分别为7317、6000、8000、6000，已还本金➕利息合计16762.18元，平台显示剩余未还本金包括利息合计18068.85元，我计划提前结清借款，平台没有全部结清功能，只能一笔一笔偿还借款，但是提前结清的相关利率并没有任何减免。</t>
  </si>
  <si>
    <t>捷信金融平台工作人员态度极其差</t>
  </si>
  <si>
    <t>http://ts.21cn.com/tousu/show/id/1361795</t>
  </si>
  <si>
    <t>2019/10/14 21:30:12</t>
  </si>
  <si>
    <t>捷信金融这个平台实在是不行，找客服咨询点小问题，都不耐烦，态度恶劣，有时候还侮辱人，所谓的服务行业服务这么差怎么继续下去。</t>
  </si>
  <si>
    <t>虚假信息，糊弄借款者</t>
  </si>
  <si>
    <t>http://ts.21cn.com/tousu/show/id/1361784</t>
  </si>
  <si>
    <t>2019/10/14 21:25:19</t>
  </si>
  <si>
    <t>借钱前说什么要开通会员才可以借到钱，开通后就拒绝通过。</t>
  </si>
  <si>
    <t>http://ts.21cn.com/tousu/show/id/1361773</t>
  </si>
  <si>
    <t>2019/10/14 21:21:32</t>
  </si>
  <si>
    <t>中金支付四川分公司，未经允许，恶意扣款，也没有任何提示。</t>
  </si>
  <si>
    <t>招联金融诱导消费者借款，不履行承诺</t>
  </si>
  <si>
    <t>http://ts.21cn.com/tousu/show/id/1361762</t>
  </si>
  <si>
    <t>2019/10/14 21:16:59</t>
  </si>
  <si>
    <t>招联客服为了不让消费者注销招联做出虚假承诺，大玩文字游戏，以至于消费者在招联金融借款，然而等消费者借了款之后，并没有得到他们的承诺，。</t>
  </si>
  <si>
    <t>诱惑导购冻结押金</t>
  </si>
  <si>
    <t>http://ts.21cn.com/tousu/show/id/1361751</t>
  </si>
  <si>
    <t>2019/10/14 21:13:23</t>
  </si>
  <si>
    <t>投诉人 陈先生        投诉对象  北京盛华有限公司,保利拍卖有限公司        涉诉金额  400 元    问题类型    诉求类型投诉详情  设局欺骗套取冻结金额400 不给退款及处理 问客服什么公司的也不理我了</t>
  </si>
  <si>
    <t>http://ts.21cn.com/tousu/show/id/1361740</t>
  </si>
  <si>
    <t>2019/10/14 21:08:52</t>
  </si>
  <si>
    <t>8月28日，他们的报名老师漆老师，诱导我自考这次不报名，以后再也报不上了，还说要改革什么，于是在该机构8980元报名学习专升本市场营销专业，在报名老师那手续办完后，报名老师把我移交到班主任处，班主任制定学习计划是，发过来的文件里最下面有，1000助学金可以直接抵扣学费，当时申请时，班主任说学费是9980元，我交了8980元是已经抵扣过了，当时报名老师说的学费就是8980元，他们说法不一致，联系过同班同专业同学校的同学，他们的学费都是8980元，然后减去1000的助学金，所交学费7980元，之后和报名老师、班</t>
  </si>
  <si>
    <t>高利息违约金！</t>
  </si>
  <si>
    <t>http://ts.21cn.com/tousu/show/id/1361736</t>
  </si>
  <si>
    <t>2019/10/14 21:07:55</t>
  </si>
  <si>
    <t>先是进行通讯录恐吓！再进行言行侮辱！答应还，钱还要我还高额利息！我只同意还应该的本金！超过的利息不偿还！利息越滚越多，变成高额利息！希望尽快处理！把利息消除！我会每期还。</t>
  </si>
  <si>
    <t>希望360借条收取合理利息</t>
  </si>
  <si>
    <t>http://ts.21cn.com/tousu/show/id/1361652</t>
  </si>
  <si>
    <t>2019/10/14 21:07:47</t>
  </si>
  <si>
    <t>投诉人刘先生投诉对象360借条涉诉金额6000元问题类型诉求类型投诉详情2019年9月21日孩子在他人的引导下在360借条贷款6000元，现在已报警了，警方的意见我们自己先联系客服看怎样提前还贷款必要时警方出证明材料，但我联系客服说明情况后他们让我要还12个月利息1000多元我无法接受，为什么提前还款还要多还那么多利息，孩子还在上大学即然被他人误导我们也认了，为什么还让我们雪上加霜。</t>
  </si>
  <si>
    <t>浦发银行，协商停息分期，停止无休止骚扰！</t>
  </si>
  <si>
    <t>http://ts.21cn.com/tousu/show/id/1361720</t>
  </si>
  <si>
    <t>2019/10/14 21:00:49</t>
  </si>
  <si>
    <t>浦发万用金，16年年底到17年初申请，总共24万，每期还款8400左右，一直还款良好；17年自己开的公司因为经营不善导致亏损大几十万，但是一直在坚持还万用金；到18年底，资金链断裂，导致今年年初逾期，客服在4月份左右协商过一次，而且欠款总额是13万多；还了两期之后实在是没钱还；后来客服打电话过来，一直是积极协商，，到7月份左右，武汉这边的信用卡法务部先是去了3个人到我户籍地，然后跟我联系叫我去他们武汉的信用卡中心协商还款中心协商，去了之后，我表明我的还款意愿，因为现在每个月5000左右的工资，而且有一个小孩</t>
  </si>
  <si>
    <t>卡牛瑞贷恶意逾期</t>
  </si>
  <si>
    <t>http://ts.21cn.com/tousu/show/id/1361696</t>
  </si>
  <si>
    <t>2019/10/14 21:00:40</t>
  </si>
  <si>
    <t>投诉人邬女士投诉对象卡牛信用管家涉诉金额1000元问题类型诉求类型投诉详情还款当日关闭主动还款，存款也不扣，隔日联系客服说先还一笔，又不扣款，恶意让我逾期，还暴力催收，侮辱，简直不是人。</t>
  </si>
  <si>
    <t>我带了三万还了两万多，还要在还两万</t>
  </si>
  <si>
    <t>http://ts.21cn.com/tousu/show/id/1361719</t>
  </si>
  <si>
    <t>2019/10/14 21:00:15</t>
  </si>
  <si>
    <t>利息太高天天打电话，恐吓要起诉找到家里，吓得恐慌抑郁无法正常生活。</t>
  </si>
  <si>
    <t>房东恶意拖欠押金</t>
  </si>
  <si>
    <t>http://ts.21cn.com/tousu/show/id/1361708</t>
  </si>
  <si>
    <t>2019/10/14 20:55:54</t>
  </si>
  <si>
    <t>走的时候还专门请了一个保洁阿姨打扫收拾了房间，但是黑心房东以房子没打扫干净不肯退还押金。</t>
  </si>
  <si>
    <t>拉卡拉暂缓结算冻结资金180天</t>
  </si>
  <si>
    <t>http://ts.21cn.com/tousu/show/id/1361706</t>
  </si>
  <si>
    <t>2019/10/14 20:55:26</t>
  </si>
  <si>
    <t>拉卡拉收款码钱给冻结了，让提交资料我提交三次了，第一次审核不通过说我交易说明没写清楚，第二次也是，第三次说不符合逻辑，给他解释半天，客服想听不懂一样，让我180以后再提交资料解封，180天以后再不给怎么办，逻辑不符合问题出在，我第一次提交资料有聊天记录卖狗截图，她问我那天是不是全部都是去家买的狗我说是的，他说你也有微信卖狗，请问我微信不可以卖一单吗，就是不给，。</t>
  </si>
  <si>
    <t>网贷平台把个人信息泄露</t>
  </si>
  <si>
    <t>http://ts.21cn.com/tousu/show/id/1361667</t>
  </si>
  <si>
    <t>2019/10/14 20:53:29</t>
  </si>
  <si>
    <t>本人因急需用钱&amp;nbsp;&amp;nbsp;在网络好借，平台申请了一笔5万的现金贷款，当时初审通过，平台也显示有信贷经理&amp;nbsp;&amp;nbsp;没过2分钟&amp;nbsp;&amp;nbsp;本人就接到一个来自浙江自称是好借平台的下款经理电话，他要求本人添加他的私人QQ&amp;nbsp;&amp;nbsp;&amp;nbsp;本人添加通过后他就发信息问我需要贷多少钱&amp;nbsp;&amp;nbsp;&amp;nbsp;分多少期还&amp;nbsp;本人告诉他后&amp;nbsp;&amp;nbsp;他就叫本人提供身份证&amp;nbsp;&amp;nbsp;手机号&amp;nbsp;银行卡和别人手持身份证照片，本</t>
  </si>
  <si>
    <t>马上金融公司恶意拨打通讯录，威胁非借款人</t>
  </si>
  <si>
    <t>http://ts.21cn.com/tousu/show/id/1361685</t>
  </si>
  <si>
    <t>2019/10/14 20:48:36</t>
  </si>
  <si>
    <t>投诉人邱先生投诉对象马上消费金融涉诉金额5000元问题类型诉求类型投诉详情恶意拨打通讯录，并威胁非欠款人，态度极其恶劣，骂人，侮辱人格，行为已经构成犯法。</t>
  </si>
  <si>
    <t>天下信用威胁我</t>
  </si>
  <si>
    <t>http://ts.21cn.com/tousu/show/id/1361675</t>
  </si>
  <si>
    <t>2019/10/14 20:45:11</t>
  </si>
  <si>
    <t>在秒白条借款了三次，每次扣除前期费用420元，天下信用前几天并且还威胁我说如果再投诉，他会让我的信用不良，第一我没有逾期，他们收取前期费用，还让我信用不良。</t>
  </si>
  <si>
    <t>捷信员工以业务不足为由，请学生刷单，并私自办理购买商品业务分期，要求学生偿还</t>
  </si>
  <si>
    <t>http://ts.21cn.com/tousu/show/id/1361663</t>
  </si>
  <si>
    <t>2019/10/14 20:40:29</t>
  </si>
  <si>
    <t>捷信金融公司员工以自己业务不足为由，请学生刷单，请学生帮忙刷单拿到业绩提成，并承诺不会对本人有任何影响，现在却出现购买商品的贷款，并要求帮忙刷单的人偿还贷款，贷款一月一期，共24期，每期偿还590.3元人民币，本金加利息合计14167.2元，高额的费用加利息学生怎么承担的起。</t>
  </si>
  <si>
    <t>招联金融利用循环额度欺诈客户</t>
  </si>
  <si>
    <t>http://ts.21cn.com/tousu/show/id/1361641</t>
  </si>
  <si>
    <t>2019/10/14 20:35:15</t>
  </si>
  <si>
    <t>招联金融一直打着循环额度是只要有额度就可以循环使用，朋友已经启用了3个年头，没有任何逾期和不良行为，专属额度就是用一次申请一次，今天登陆App还款看到额度以冻结，这个属于什么。</t>
  </si>
  <si>
    <t>街电无缘无故扣我99</t>
  </si>
  <si>
    <t>http://ts.21cn.com/tousu/show/id/1361630</t>
  </si>
  <si>
    <t>2019/10/14 20:32:18</t>
  </si>
  <si>
    <t>投诉人 黄秋萍        投诉对象  街电        涉诉金额  99 元    问题类型    诉求类型投诉详情  无缘无故扣了99元 打电话客服 客服各种理由推脱 说是支付宝代转 找支付宝客服 还有 交易显示10月3号借了街电未归还 充电宝不在我手里 我本人没有借过 也没有借过亲戚朋友借过 非要我承认我借了街电未归还而扣了钱 我还是个学生 虽然99块钱对你们来讲不是很多 但是是我们父母的辛苦钱 如果退款不成功 我只能告知家长*处理 维护自己的权益</t>
  </si>
  <si>
    <t>借款本金与合同本金不一致</t>
  </si>
  <si>
    <t>http://ts.21cn.com/tousu/show/id/1361609</t>
  </si>
  <si>
    <t>2019/10/14 20:26:54</t>
  </si>
  <si>
    <t>借款金额与合同不一致，还款后，额度更新与还款金额出入差距太大，骚扰，威胁，暴力催收。</t>
  </si>
  <si>
    <t>小象优品高利贷逾期四天恶意催收</t>
  </si>
  <si>
    <t>http://ts.21cn.com/tousu/show/id/1361599</t>
  </si>
  <si>
    <t>2019/10/14 20:23:31</t>
  </si>
  <si>
    <t>小象优品高利贷恶意催收，提前结清还一分少不了，本人因有事陪朋友去澳门因手机没有开通漫游，才逾期四天，小象优品恶爆通信录，群发短信，希望有关部门管一下，这种平台不知要害死多少人，息高，催收狠跟高利贷有啥分别....逾期费用又恶...。</t>
  </si>
  <si>
    <t>要求分期宝返我多付的利息钱</t>
  </si>
  <si>
    <t>http://ts.21cn.com/tousu/show/id/1361575</t>
  </si>
  <si>
    <t>2019/10/14 20:12:13</t>
  </si>
  <si>
    <t>9月6日，由于资金周转，通过分期贷款借钱平台APP软件下载了分期宝App，并且注册了用户，通过一切资料认证后显示可借额度2800，当时提交申请后并没有显示还款计划，完全属于套路贷，后期下午到账了1960，当时没人回访直接下款，后面看到还款计划后每隔5天还一次，每期910.32，10号扣了一起，当时没在意，15号周末本人出去休假去了，没有接到催收的电话，下午催收直接爆我通讯录，辱骂我家人，亲朋好友等，本人并没有采取进一步措施，本来以为还了三期应该就够了，谁知第四期，一位女的打电话来威胁，辱骂，恐吓，本人保有聊</t>
  </si>
  <si>
    <t>捷信高额利息超过规定</t>
  </si>
  <si>
    <t>http://ts.21cn.com/tousu/show/id/1361564</t>
  </si>
  <si>
    <t>2019/10/14 20:07:53</t>
  </si>
  <si>
    <t>在捷信金融借款20000元.分12期还款.每期还款金额3千多元.目前已还8期.还款金额总数已超出了本金.严重属于高利贷行为。</t>
  </si>
  <si>
    <t>http://ts.21cn.com/tousu/show/id/1361558</t>
  </si>
  <si>
    <t>2019/10/14 20:05:10</t>
  </si>
  <si>
    <t>高利贷平台，骚扰通讯录，轰炸通讯录，扬言放火烧屋，聚投诉理不理这些人，。</t>
  </si>
  <si>
    <t>超高利贷套路套暴力催收</t>
  </si>
  <si>
    <t>http://ts.21cn.com/tousu/show/id/1361553</t>
  </si>
  <si>
    <t>2019/10/14 20:03:31</t>
  </si>
  <si>
    <t>好易分期App原威力贷，高利贷暴力催收，催收人员简直是太恶劣了，人神共愤，希望聚投诉爆光这个高利贷平台，它们用网络电话进行催收，希望聚投诉能帮助我要讨回展期费，。</t>
  </si>
  <si>
    <t>平安i贷暴为催收</t>
  </si>
  <si>
    <t>http://ts.21cn.com/tousu/show/id/1361542</t>
  </si>
  <si>
    <t>2019/10/14 19:59:07</t>
  </si>
  <si>
    <t>因家人生命迟还遭到电话催收并威胁打亲朋好友电话筹钱还该笔项款！严重泄露了我个人隐私。</t>
  </si>
  <si>
    <t>中信银行短信骚扰和恐吓</t>
  </si>
  <si>
    <t>http://ts.21cn.com/tousu/show/id/1361531</t>
  </si>
  <si>
    <t>2019/10/14 19:54:28</t>
  </si>
  <si>
    <t>中信银行以公安的名义进行恐吓而且群发短信对我前妻，女儿，公司亲属群发骚扰短信对我工作对我女儿学业造成严重影响。</t>
  </si>
  <si>
    <t>招联金融恶意骚扰通讯录，暴利催收</t>
  </si>
  <si>
    <t>http://ts.21cn.com/tousu/show/id/1361520</t>
  </si>
  <si>
    <t>2019/10/14 19:49:44</t>
  </si>
  <si>
    <t>本人因投资失败资金链断导致逾期，正在尽快想办法处理，招联金融催收曾威胁不还款就找家人朋友帮忙处理，群发短信，，对我的生活工作已造成极大困扰，无法继续正常生活，我虽然欠了钱，但我没有欠命，取通讯录是不是合理行为。</t>
  </si>
  <si>
    <t>玖富万卡联合玖富万卡协商部演双簧</t>
  </si>
  <si>
    <t>http://ts.21cn.com/tousu/show/id/1361498</t>
  </si>
  <si>
    <t>2019/10/14 19:42:28</t>
  </si>
  <si>
    <t>投诉人齐女士投诉对象玖富涉诉金额30030元问题类型诉求类型投诉详情本人7月26在玖富借款3万元因利息特别高不想用啦，发现如果还款的话要把全年的利息全还进去，也就是说这个钱你用不用都要还利息，借三万需要还4万多，其中隐藏的有阴阳合同服务费，保险费，还有其他费用，打400电话要求还款他说让我搜索微信公众号协商还款，然后我找到啦协商部，他给我提供啦结清证明，上面身份证号，银行卡个人信息我看都是对着的，把钱转过去，他说30分钟销账，然后我打400电话跟他们联系，他们说没有这个协商部，也没有那个对公账户，那么请问为</t>
  </si>
  <si>
    <t>聚富分期强制扣款</t>
  </si>
  <si>
    <t>http://ts.21cn.com/tousu/show/id/1361487</t>
  </si>
  <si>
    <t>2019/10/14 19:35:10</t>
  </si>
  <si>
    <t>我11号通过短信下载这聚富分期，当时没下款，我就直接删了，这都14号了，突然给我来个扣款信息，还是就扣了50块，我银行卡内幸亏钱少，要不就都扣走了，我想去找这个app，已经找不到了！请聚投诉帮我联系，让他们把扣的钱退到我扣款的卡上！。</t>
  </si>
  <si>
    <t>网贷不合法涉县高利贷</t>
  </si>
  <si>
    <t>http://ts.21cn.com/tousu/show/id/1361465</t>
  </si>
  <si>
    <t>2019/10/14 19:23:31</t>
  </si>
  <si>
    <t>今年我一个朋友跟我讲说国家的利息是百分之二十四，然后我拿计算器算了一下明显高出了国家保护利息。</t>
  </si>
  <si>
    <t>闪电借款暴性催收骚扰他人</t>
  </si>
  <si>
    <t>http://ts.21cn.com/tousu/show/id/1361454</t>
  </si>
  <si>
    <t>2019/10/14 19:15:15</t>
  </si>
  <si>
    <t>2019年8月份在该公司借款1300元，砍头息最先交了200元，9月到期高利息还款1400，到期后该公司并未正式发出一条正常短信通知或者电话通知联系，导致个人非意愿逾期！！！！多次发一些不能获取内容的彩信威胁骚扰本人，擅自窃取个人通讯录名单，电话骚扰他人，传播中伤个人名誉，多次联系该公司客服无果，只好通过法律途径进行维权，履行该履行的义务。</t>
  </si>
  <si>
    <t>http://ts.21cn.com/tousu/show/id/1361443</t>
  </si>
  <si>
    <t>2019/10/14 19:10:09</t>
  </si>
  <si>
    <t>一直不说明是哪个公司，说我自己心里有数然后给我发个链接过来，还说要给我所有的通讯录发这条短信。</t>
  </si>
  <si>
    <t>http://ts.21cn.com/tousu/show/id/1361442</t>
  </si>
  <si>
    <t>2019/10/14 19:09:41</t>
  </si>
  <si>
    <t>小象优品逾期协商目前无法还款，过段时间挣钱了会还上，但是平台拒绝协商，小象优品催收公司暴力电话轰炸通讯录，严重妨碍身边亲朋好友正常生活！小象优品年利率达到36%多，已经超过国家规定合法的利率，本就属于非法高利贷，加上暴力催收电话骚扰通讯录好友，完成严重生活影响！必须严厉查处！。</t>
  </si>
  <si>
    <t>工作人员不办事</t>
  </si>
  <si>
    <t>http://ts.21cn.com/tousu/show/id/1361421</t>
  </si>
  <si>
    <t>2019/10/14 18:57:34</t>
  </si>
  <si>
    <t>本人7月11日通过期待科技APP借款5000元，放款方为海尔消费金融，已于7月底通过客服沟通提前取消分期并作结清处理并已注销账户，但目前还有海尔下发的催收短信，征信记录也还没有作结清处理！请火速处理！。</t>
  </si>
  <si>
    <t>兴业银行协商还款不成</t>
  </si>
  <si>
    <t>http://ts.21cn.com/tousu/show/id/1361410</t>
  </si>
  <si>
    <t>2019/10/14 18:54:24</t>
  </si>
  <si>
    <t>因个人换工作原因，压工资，没法还最低还款，但是一有钱的时候我都能还就还了，上个月手机掉了，一直上班也没能请假去补办，所以没联系上我，就说我恶意诈骗，交给了第三方催收，要来我家上门催收，我父母心脏不太好，要是出个问题怎么办，我好好的跟他们协商，因为这个月16号就开工资了，我就可以把工资一下还信用卡了，怎么都不肯，说我现在就算是还了全款也是得有刑事程序，我也不是不还，前几天还还了600，然后陆陆续续的就算我有几十块钱，我也先还了信用卡了，说就是因为我几十几十的还的，所以才被认为是恶意诈骗。</t>
  </si>
  <si>
    <t>买个2800元的账号玩了不到7个小时就被封，投保居然不赔付</t>
  </si>
  <si>
    <t>http://ts.21cn.com/tousu/show/id/1361352</t>
  </si>
  <si>
    <t>2019/10/14 18:46:13</t>
  </si>
  <si>
    <t>我于10月7日早上10点在交易猫购买了一个皇室战争游戏账号，账号2550元，保险费用255元，对于我在交易猫客服的留言和提问视若无睹，直接关闭赔付要求，结果在下午5点，再次登录游戏时，提示账号已被封禁，我已经购买了被封号保险理赔，交易猫要求我提供的任何证据，均已提供，客服要求我提供的信息为：游戏官方的封禁原因和封禁时间，游戏方，账号分享，是由于买卖账号，卖家登录、交易猫登录，我登录，短时间内，3地登录导致，，当我再次询问游戏官方封禁时间时，官方以封禁账号，不予回答，2、游戏方，在这个账号也就是豌豆荚，我已经</t>
  </si>
  <si>
    <t>你我贷以平台服务费变相收取高利息</t>
  </si>
  <si>
    <t>http://ts.21cn.com/tousu/show/id/1361388</t>
  </si>
  <si>
    <t>2019/10/14 18:44:00</t>
  </si>
  <si>
    <t>你我贷平台前三期以收取平台服务费为由变相收取高利息，现在要求退还这三个月的服务费，或者以这个抵账，并且还暴力催收恐吓，恶心死了，害人。</t>
  </si>
  <si>
    <t>西部航空退票手续费如此昂贵！</t>
  </si>
  <si>
    <t>http://ts.21cn.com/tousu/show/id/1361377</t>
  </si>
  <si>
    <t>2019/10/14 18:38:24</t>
  </si>
  <si>
    <t>因订票填写错姓氏，所以退票时只退30%，这样算不算欺诈消费者。</t>
  </si>
  <si>
    <t>物品运输损坏，顺丰快递电话客服公然违背事实，撒谎!</t>
  </si>
  <si>
    <t>http://ts.21cn.com/tousu/show/id/1361366</t>
  </si>
  <si>
    <t>2019/10/14 18:37:43</t>
  </si>
  <si>
    <t>投诉人高女士投诉对象顺丰速运涉诉金额12000元问题类型诉求类型投诉详情10月2日寄件方通过顺丰速递从北京邮寄一条18K宝格丽黄金项链到我处，，物品到达后我们在顺丰派件员的监督下开箱验货，发现箱内物品由于安放不当导致运输过程中严重损坏，，当面拒签封箱让顺丰派件员拿回等待处理，顺丰派件员愿意对此事作证！此后顺丰通过电话客服与我们沟通，客服工号为：435031，此名客服在向我方核实情况后承诺会联系双方顺丰网点进行确认，并答应会索要物品相关照片进行确认，来电，电话中却谎称已拿到双方物品图片进行确认，认为无问题并希</t>
  </si>
  <si>
    <t>汇潮支付退回砍头息</t>
  </si>
  <si>
    <t>http://ts.21cn.com/tousu/show/id/1361355</t>
  </si>
  <si>
    <t>2019/10/14 18:28:12</t>
  </si>
  <si>
    <t>汇潮支付利用支付宝的扣款通道为多个714提供违法结算通道，导致本人资金损失惨重，现在要求支付宝和汇潮支付按照人民银行相关规定先行赔偿本人损失。</t>
  </si>
  <si>
    <t>希望得到小象优品的再次协商联系</t>
  </si>
  <si>
    <t>http://ts.21cn.com/tousu/show/id/1361344</t>
  </si>
  <si>
    <t>2019/10/14 18:24:27</t>
  </si>
  <si>
    <t>前几天在聚投诉有投诉一个与小象优品借款逾期的相关问题。</t>
  </si>
  <si>
    <t>德祐地产拖欠中介费，多次沟通不予退还</t>
  </si>
  <si>
    <t>http://ts.21cn.com/tousu/show/id/1361333</t>
  </si>
  <si>
    <t>2019/10/14 18:19:54</t>
  </si>
  <si>
    <t>陕西优悦房地产信息咨询有限公司,德佑房地产经纪服务有限公司，承租了一套房子，该房源是属于乐伽公寓，后来乐伽公寓跑路，无法履行合同，德祐承诺退还之前我所支付的中介服务费，同时要求我签订了解约协议，我已配合签署，但是德祐至今仍没有履行退还中介服务费，据承诺的退还时间已经过去近2个月之久，仍在已各种理由推脱不予履行，希望相关部门能介入调查，督促其履行合同，退还费用，规范西安房产中介的环境，谢谢。</t>
  </si>
  <si>
    <t>广东乐王扣走我帐户19998</t>
  </si>
  <si>
    <t>http://ts.21cn.com/tousu/show/id/1361311</t>
  </si>
  <si>
    <t>2019/10/14 18:12:46</t>
  </si>
  <si>
    <t>9999的金额我压根没有用过相关业务的操作就被扣走19998。</t>
  </si>
  <si>
    <t>小象优品骚扰通讯录</t>
  </si>
  <si>
    <t>http://ts.21cn.com/tousu/show/id/1361308</t>
  </si>
  <si>
    <t>2019/10/14 18:10:53</t>
  </si>
  <si>
    <t>投诉人 韩先生        投诉对象  小象优品        涉诉金额  8 900 元    问题类型    诉求类型投诉详情  非法途径获得我的通讯录并骚扰 希望给个合理的解释</t>
  </si>
  <si>
    <t>闪银放高利贷、扣高额砍头息爆、通讯录</t>
  </si>
  <si>
    <t>http://ts.21cn.com/tousu/show/id/1361306</t>
  </si>
  <si>
    <t>2019/10/14 18:09:43</t>
  </si>
  <si>
    <t>本人于2019年5月11号在闪银借款3250元，13号被扣取500元砍头息，相当于实际到账2750元，但是3期账单总共要还3444.03元，典型高利贷！6月11号还款1148.01元，后面因为被网贷催收各种暴力催收，无数次爆通讯录，害得我丢了工作，后面换了2次工作照样被骚扰到被辞退！很多朋友家人被骚扰到受不了就断了和我的联系，导致我经济非常的困难！而且我这几个月已经被折磨的换上了严重的抑郁症和其他精神疾病！多次自杀未遂……而且我身体被检查出了其他重疾！已经多次和闪银催收说明情况，但还是苦苦相逼，他们有通讯录</t>
  </si>
  <si>
    <t>高利贷！</t>
  </si>
  <si>
    <t>http://ts.21cn.com/tousu/show/id/1361300</t>
  </si>
  <si>
    <t>2019/10/14 18:06:42</t>
  </si>
  <si>
    <t>投诉人 郭荣利        投诉对象  Wecash闪银        涉诉金额  1 000 元    问题类型    诉求类型投诉详情  我说了不协商逾期费你们自己承担！ 我只还1000</t>
  </si>
  <si>
    <t>招商银行信用卡拒绝协商违约金</t>
  </si>
  <si>
    <t>http://ts.21cn.com/tousu/show/id/1361289</t>
  </si>
  <si>
    <t>2019/10/14 18:04:17</t>
  </si>
  <si>
    <t>招商银行信用卡6月份开始逾期，期间打电话给招商反馈的时候，不允许协商还款，而且利用第三方多次暴力催收信用卡欠款，多次电话骚扰，说要起诉我，而且违约金也不能减免，现在从亲戚朋友那边借钱于9月2号全部结清，但是已经强制销卡，现在生活困难，生病也没钱去住院，请求有关部门介入，退回违约金。</t>
  </si>
  <si>
    <t>http://ts.21cn.com/tousu/show/id/1361278</t>
  </si>
  <si>
    <t>2019/10/14 17:59:50</t>
  </si>
  <si>
    <t>2019.08.14在立借APP上借5500,当时都是下款后才看见还款计划及利息，典型的套路贷！借款已经还了第一期2639.97！本人愿意在2019.10,20日一次性结清剩余本金2860.63+500元利息！开结清证明以及销户处理！拒绝通讯录骚扰！希望平台尽快联系戳和协商！谢谢。</t>
  </si>
  <si>
    <t>http://ts.21cn.com/tousu/show/id/1361267</t>
  </si>
  <si>
    <t>2019/10/14 17:54:59</t>
  </si>
  <si>
    <t>我来贷借款属于个人借款，我来贷已严重违反法律规定条例，群发短信，骚扰朋友家人，本人严重造成精神分裂，要求给出解释。</t>
  </si>
  <si>
    <t>淘宝账户登入异常.无任何人工答复。投诉无门、申诉无门.消费者权益何在？</t>
  </si>
  <si>
    <t>http://ts.21cn.com/tousu/show/id/1361256</t>
  </si>
  <si>
    <t>2019/10/14 17:49:52</t>
  </si>
  <si>
    <t>2019年10月11日晚登录不上淘宝账号开始，找淘宝客服进行询问，期间，由普通的阿里小二，转接到了专业的账号客服，明确告知我应该有一个30天临时登录处理权限，让我尝试电脑版淘宝网登录，然后尝试之后依旧不能登录，然后账号专家给我做了升级处理告知48小时内恢复，在与此同时我拨打了热线小二电话9610211来进行询问，这位热线小二告知我我的号码因为开店造成的重大违规而造成了永久冻结，我再次跟客服表示商家小二核对之后明确表示了我没有开过店的行为，截止到14日发文前还是我本人联系的淘宝客服来进行询问并没有解决表示再次</t>
  </si>
  <si>
    <t>快钱旗下如意果小魔鱼，快钱为其提供通道，高利贷，砍头息</t>
  </si>
  <si>
    <t>http://ts.21cn.com/tousu/show/id/1361245</t>
  </si>
  <si>
    <t>2019/10/14 17:45:34</t>
  </si>
  <si>
    <t>快钱旗下的如意果小魔鱼，套路贷，高利贷，恐吓，砍头息，我在两个app借款一共四次，第一次是因为小孩点错了，他们这个app设计简单，借款不需要验证密码，一点击就进行了借款，我当时小孩乱点我就联系了他们客服，但是他们app里面没有客服电话，只有一个人工客服，但是无人回应，我当时就说把钱退还，但是他们没有人回复我，等到6天到期，打来电话催收，恐吓我不还全款，马上轰炸我的通讯录，我根本就没有借钱，要我还2500，到账的金额才1625，我答应还本金，但是他们不愿意，恐吓我，不还钱群发所有好友家人，我说我没钱，小魔鱼那</t>
  </si>
  <si>
    <t>平安普惠群发通讯录短信泄露个人信息</t>
  </si>
  <si>
    <t>http://ts.21cn.com/tousu/show/id/1361234</t>
  </si>
  <si>
    <t>2019/10/14 17:41:27</t>
  </si>
  <si>
    <t>未经允许催收人员群发通讯录，使个人名誉受到严重伤害。</t>
  </si>
  <si>
    <t>http://ts.21cn.com/tousu/show/id/1361223</t>
  </si>
  <si>
    <t>2019/10/14 17:37:57</t>
  </si>
  <si>
    <t>没能接到你们公司电话，你们工作人员打电话给我老公说让尽快处理欠款，本来我老公今天发工资的，但是由于公司那边今天发不了，要等明天才能发工资，要么就是我们一个多月没还这个钱你们联系户籍所在地我们也没话说现在我是逾期五天，希望你们能再给一天时间，也就是10月15日17.30分之前处理，你们工作人员不同意，非要我们今天一个小时内处理，不然就联系户籍所在地，就一天，你们工作人员就恐吓我们说要联系户籍所在地，如果我们说不还这个钱了，要么就是我们一个多月没还这个钱你们联系户籍所在地我们也没话说，现在我是逾期五天，希望你们</t>
  </si>
  <si>
    <t>招联催收</t>
  </si>
  <si>
    <t>http://ts.21cn.com/tousu/show/id/1361212</t>
  </si>
  <si>
    <t>2019/10/14 17:34:24</t>
  </si>
  <si>
    <t>招联好期待欠款，现在加上利息大概在17500左右，现在电话打到我的工作单位，请问这种事情应该怎么处理。</t>
  </si>
  <si>
    <t>多次要求办理业务不下款</t>
  </si>
  <si>
    <t>http://ts.21cn.com/tousu/show/id/1361201</t>
  </si>
  <si>
    <t>2019/10/14 17:29:36</t>
  </si>
  <si>
    <t>投诉人 任女士        投诉对象  加宝云,金雨云        涉诉金额  5 000 元    问题类型    诉求类型投诉详情  多次要求办理业务却迟迟不肯下款 想法设法索要手续费 骗取钱财</t>
  </si>
  <si>
    <t>培训贷、不予退款、霸王条款</t>
  </si>
  <si>
    <t>http://ts.21cn.com/tousu/show/id/1361179</t>
  </si>
  <si>
    <t>2019/10/14 17:23:14</t>
  </si>
  <si>
    <t>1、提出教育分期诱导学生办理分期，却从未告知是与自己合作的小贷公司，2、报名时告知会全部直播课程形式学习，却没有考虑学生入学时间，导致未能看到应有的课程，未能对报名课程进行相关学习，咨询和报名时只字未提合同内容，也未曾和我们确认相关事项，未征得同意，4、还未开始学习课程，并没有收到任何资料，就告知不能退款，并未询问我们考生户籍的情况下要求报考，我们不了解所以并不知情，当其他考生都提交完资料准备考试时，才因为我们不能提供相关资料，延误报考，老师给出的解释是明年再报，这样直接影响我的本科学习。</t>
  </si>
  <si>
    <t>贷上钱违法催收骚扰通讯录</t>
  </si>
  <si>
    <t>http://ts.21cn.com/tousu/show/id/1361168</t>
  </si>
  <si>
    <t>2019/10/14 17:19:32</t>
  </si>
  <si>
    <t>骚扰通讯录联系人，泄露个人信息，要本人拿身份证上村委会。</t>
  </si>
  <si>
    <t>在拼多多买了用品不给发货</t>
  </si>
  <si>
    <t>http://ts.21cn.com/tousu/show/id/1361157</t>
  </si>
  <si>
    <t>2019/10/14 17:17:12</t>
  </si>
  <si>
    <t>在拼多多上付款4285元，没收到货，客服一直不处理，也不提供商家的联系方式。</t>
  </si>
  <si>
    <t>尽享花乱发信息说在他们平台有欠款</t>
  </si>
  <si>
    <t>http://ts.21cn.com/tousu/show/id/1361135</t>
  </si>
  <si>
    <t>2019/10/14 17:16:18</t>
  </si>
  <si>
    <t>投诉人宋先生投诉对象尽享花涉诉金额2900元问题类型诉求类型投诉详情根本没借过，无缘无故发好几条短信，一开始不当回事，后来还发，不知道有么有影响我的个人信息和生活，必须严肃查处。</t>
  </si>
  <si>
    <t>关于月光分期侠账单及借款</t>
  </si>
  <si>
    <t>http://ts.21cn.com/tousu/show/id/1361146</t>
  </si>
  <si>
    <t>2019/10/14 17:11:43</t>
  </si>
  <si>
    <t>10月8号借款2700元，14号到账，账单显示分三期每月8号还款1466.56元，合同显示借款3591元，并且合同显示每月本息还款是1221.22元，表面账单和实际账单严重不符，最为严重的是合同金额和到账金额相差800多元更是虚假，请有关部门彻查！电话联系客服时态度极其恶劣，说账单他们说几号就是几号，霸王条款！！！！请查实！。</t>
  </si>
  <si>
    <t>http://ts.21cn.com/tousu/show/id/1361126</t>
  </si>
  <si>
    <t>2019/10/14 17:06:43</t>
  </si>
  <si>
    <t>目前本人被高利贷公司害惨了，妻离子散，目前上吊自杀，我流浪街头，闪银奇异把我剩余欠款自行销账处理，等到我自杀时，就晚了。</t>
  </si>
  <si>
    <t>敷衍了事的公司</t>
  </si>
  <si>
    <t>http://ts.21cn.com/tousu/show/id/1361124</t>
  </si>
  <si>
    <t>2019/10/14 17:06:12</t>
  </si>
  <si>
    <t>这个快递从9号已经揽收中午已经到深圳转运中心了，，然后10号我就联系官方客服问怎么回事这件快递，客服说会有人联系我的，帮我催件，等到了第二天晚上的时候我又联系了快递公司，客服说帮我催下，会让人联系我的，到了第三天还是没有人联系处理给我一个说法，我就又联系了客服，客服又是帮我催，帮我去联系客服，人人联系我，接下来的几天都是没有人联系我，都是我联系他们，联系客服，客服的说法都是一样的，敷衍，催，应付顾客，从10号打电话投快递公司，诉,催件到现在为止没有人给我一个说法。</t>
  </si>
  <si>
    <t>钱站非法导入通讯录电话骚扰</t>
  </si>
  <si>
    <t>http://ts.21cn.com/tousu/show/id/1361125</t>
  </si>
  <si>
    <t>2019/10/14 17:06:07</t>
  </si>
  <si>
    <t>钱站非法盗取通讯录，骚扰其他人，给他人生活带来严重影响，还望监管部门对此做出相应管制，我做为借款人，也经常收到电话恐吓，逼着我跳楼，自杀，还给我朋友，家人及通讯录所有人打电话骚扰！。</t>
  </si>
  <si>
    <t>中华联合财产保险逾期不赔</t>
  </si>
  <si>
    <t>http://ts.21cn.com/tousu/show/id/1361113</t>
  </si>
  <si>
    <t>2019/10/14 17:03:50</t>
  </si>
  <si>
    <t>2018年在爆雷期为厚本平台做保，充分说明全线产品本息承保，今年出险不理赔，不出赔付方案，置16000厚本出借人于水火之中，名为保险公司，实则一旦出险就理赔，拉出不相关理由推卸责任，为保险界的败类。</t>
  </si>
  <si>
    <t>投诉白领贷麦子金服套路贷高利贷</t>
  </si>
  <si>
    <t>http://ts.21cn.com/tousu/show/id/1361102</t>
  </si>
  <si>
    <t>2019/10/14 17:00:29</t>
  </si>
  <si>
    <t>投诉人 徐伟峰        投诉对象  麦子金服        涉诉金额  210 000 元    问题类型    诉求类型投诉详情  投诉麦子金服旗下 白领金库 极速金卡 高利贷 借款时候每个月利息都是合法的 下款之后 立马每个月强制性还款6400 和8000 后30期每个月2700和5600 这样算下来每个月6万还12万 12万还24万 总共借你18万要还36万 这不是高利贷是什么 要求只还余下剩余的本金 只是本金 多出来的利息不会还</t>
  </si>
  <si>
    <t>一点分期触犯国家法律法规借款有砍头息</t>
  </si>
  <si>
    <t>http://ts.21cn.com/tousu/show/id/1361090</t>
  </si>
  <si>
    <t>2019/10/14 16:56:56</t>
  </si>
  <si>
    <t>！本人忍不了这种欺诈欺骗行为，若贵公司不与我进行退还我多余的费用，我将通过法律途径，维护也合法权益，或将投诉举报给银监会给我一个说法。</t>
  </si>
  <si>
    <t>小通商城恶意扣款</t>
  </si>
  <si>
    <t>http://ts.21cn.com/tousu/show/id/1361069</t>
  </si>
  <si>
    <t>2019/10/14 16:50:57</t>
  </si>
  <si>
    <t>小通商城恶意盗刷我银行卡余额，不存于小通商城有过经济交易，要求无良商家赔偿。</t>
  </si>
  <si>
    <t>闪电借款，购买财神黑卡时显示说还款成功以后可以退款，现在又说不能退款</t>
  </si>
  <si>
    <t>http://ts.21cn.com/tousu/show/id/1361058</t>
  </si>
  <si>
    <t>2019/10/14 16:47:56</t>
  </si>
  <si>
    <t>50天前花700块购买财神黑卡借款6200元，到账金额只有5300多，购买黑卡时显示的是还款成功以后退还黑卡！还款成功以后又说黑卡不能退！我想请问，加上购买黑卡的钱和扣除实际到账的钱，都快2000了！借款6200，50天的利息要2000块吗，打电话给客户，让提供黑卡可以退款的截图，请问谁会去截图保存到50天以后，如果当时就告诉黑卡不能退，谁会去借6200块50天快2000块钱利息的钱！不要说够买黑卡是购买黑卡的钱，你黑卡不让退就是变相的利息！。</t>
  </si>
  <si>
    <t>京东商城手机质量问题不退换</t>
  </si>
  <si>
    <t>http://ts.21cn.com/tousu/show/id/1361047</t>
  </si>
  <si>
    <t>2019/10/14 16:44:43</t>
  </si>
  <si>
    <t>投诉人张先生投诉对象京东商城涉诉金额5499元问题类型诉求类型投诉详情开始要求退货退款，后面他们客服打电话过来，说还出现这种情况，直接退货退款，现在发消息不回，发语音不接，一直拖着。</t>
  </si>
  <si>
    <t>光华普惠暴力催收</t>
  </si>
  <si>
    <t>http://ts.21cn.com/tousu/show/id/1361036</t>
  </si>
  <si>
    <t>2019/10/14 16:39:55</t>
  </si>
  <si>
    <t>投诉人任金堡投诉对象笑脸金融涉诉金额0元问题类型诉求类型投诉详情深圳光华普惠催收部门多次电话联系我，态度恶劣，并且多次进行电话骚扰，要求相关领导回电话。</t>
  </si>
  <si>
    <t>钱站发威胁短信</t>
  </si>
  <si>
    <t>http://ts.21cn.com/tousu/show/id/1361014</t>
  </si>
  <si>
    <t>2019/10/14 16:33:33</t>
  </si>
  <si>
    <t>对于短信中的失联我并不认同，昨天才于你们催收部门工作人员沟通，我向她解释了逾期的原因，并承诺努力赚钱把欠款还上，她跟我表示，不还的话就联系紧急联系人，紧急联系人不应该是联系不上本人的情况下才去联系的吗，你问我亲朋好友甚至父母也没有用啊，我也已经求助过他们，他们对我的情况一清二楚，只是没能力帮我，我只能靠自己努力赚钱。</t>
  </si>
  <si>
    <t>兴业银行暴力催收</t>
  </si>
  <si>
    <t>http://ts.21cn.com/tousu/show/id/1361003</t>
  </si>
  <si>
    <t>2019/10/14 16:29:36</t>
  </si>
  <si>
    <t>态度太差，威胁恐吓，态度非常恶劣，恐吓说话难听。</t>
  </si>
  <si>
    <t>我的农业银行网上银行无缘无故被（特约）广东乐王实业有限公司扣款</t>
  </si>
  <si>
    <t>http://ts.21cn.com/tousu/show/id/1360817</t>
  </si>
  <si>
    <t>2019/10/14 16:29:35</t>
  </si>
  <si>
    <t>2019年10月13日晚上9点20分至9点30分之间，我联络的几个客户给我打款，让我查收，我登录上农业银行网银后发现我卡里的余额不对，就看了一下明细，结果我客户打给我的钱已经收到了，但是钱无缘无故消费走了，对方信息是，9389*******1097，我和这个公司并没有任何来往，原本月应该是11952元，无缘无故消费走了8765元，我看着情况是被盗刷了，就把剩下的余额3187元转走了，然后这个账号就被恶意输入密码错误超限锁定了，这个情况实在是太恶劣了，乐王这个公司盗刷我的银行卡，还把我的银行卡锁定了，必须要求</t>
  </si>
  <si>
    <t>中腾信砍头息，暴力催收，爆通讯录，乱骂人</t>
  </si>
  <si>
    <t>http://ts.21cn.com/tousu/show/id/1360992</t>
  </si>
  <si>
    <t>2019/10/14 16:25:27</t>
  </si>
  <si>
    <t>18年初在网上通过51信用卡办理的贷款，到账金额73000多一点，合同金额我看不到，好久没见过合同了，51信用卡里面也没有中腾信了，每期3345.33，已经还了18期，也可以派工作人员上门来协商，请注意他们说话不要威胁人，，打电话侮辱辱骂我同事，要求立刻停止，并道歉赔偿。</t>
  </si>
  <si>
    <t>http://ts.21cn.com/tousu/show/id/1360981</t>
  </si>
  <si>
    <t>2019/10/14 16:22:53</t>
  </si>
  <si>
    <t>本人于2019年9月27日在厦门高崎机场转机遇到穿着机场工作人员制服的服务人员，我本来只是问路，然后就给我推荐消费1980元购买民航联盟的会员卡，以享受一些购票优惠等活动，办卡当日说充值1980享受5000元积分，并在我反复提问下坚持表示可以使用该会员卡积分直接购买飞机票或火车票而无需再次花费任何金额，且可以享受免费机场VIP厅，而且是终身制，因为当时告知会员信息等第二天才会进系统，所以根本无法知道这5000积分到底怎么形式存在在卡里，今日购买机票登录公众号时才知道那5000积分并非可以随意购买机票，而是只</t>
  </si>
  <si>
    <t>钱伴催收部门威胁爆通讯录</t>
  </si>
  <si>
    <t>http://ts.21cn.com/tousu/show/id/1360970</t>
  </si>
  <si>
    <t>2019/10/14 16:20:30</t>
  </si>
  <si>
    <t>钱伴催收部门恐吓说要爆通讯录，本人已经对逾期做出解释，并且承诺努力赚钱把欠款还上，也求助过亲朋好友，父母也无法帮助我还款。</t>
  </si>
  <si>
    <t>汇潮支付有限公司违规操作提供第三方支付通道</t>
  </si>
  <si>
    <t>http://ts.21cn.com/tousu/show/id/1360966</t>
  </si>
  <si>
    <t>2019/10/14 16:18:58</t>
  </si>
  <si>
    <t>被引诱到一个网站充值入金12万多，后来发现是网络部不正规平台，并非正规的购彩网站，和支付清算协会沟通得知第三方支付业务应审核客户的相关信息，第三方支付业务公司不得向证券，期货，博彩等机构提供支付结算业务，本以为通过云闪付正规线上支付是正规彩票机构，后来才知道是非法赌博平台，通过中国人民银行，中国银联，和支付清算协会沟通得知，第三方支付业务应审核客户的相关信息，第三方支付业务公司不得向证券，期货，博彩等机构提供支付结算业务，作为有牌照的支付公司没有履行国家结算通道的义务，即产生了非法洗钱的嫌疑，金融机构客户身</t>
  </si>
  <si>
    <t>财神小管家欺诈消费者</t>
  </si>
  <si>
    <t>http://ts.21cn.com/tousu/show/id/1360916</t>
  </si>
  <si>
    <t>2019/10/14 16:16:26</t>
  </si>
  <si>
    <t>本人在闪电借款借款，平台让购买黑卡，由财神小管家提供，上面明确写明了黑卡特权，返现红包红包最低25元，我在购买了1900元黑卡后在闪电借款7000元，没有什么所谓的黑卡返现红包，闪电借款平台让我找财神小管家平台，财神小管家平台永远联系不到客服。</t>
  </si>
  <si>
    <t>闲鱼顾客退货，货未收到就退款</t>
  </si>
  <si>
    <t>http://ts.21cn.com/tousu/show/id/1360949</t>
  </si>
  <si>
    <t>2019/10/14 16:13:48</t>
  </si>
  <si>
    <t>写明不退不换，等发货后，顾客申请退款，拒收，卖的是陶瓷，东西还没退回，运费也没有给我就全额退款了，东西二次退回也要运费，现在闲鱼直接退款了。</t>
  </si>
  <si>
    <t>云闪付违规操作提供第三方支付通道要求退款</t>
  </si>
  <si>
    <t>http://ts.21cn.com/tousu/show/id/1360943</t>
  </si>
  <si>
    <t>2019/10/14 16:12:03</t>
  </si>
  <si>
    <t>被引诱到一个网站充值，后来发现是网络部不正规平台，并非正规的购彩网站，和支付清算协会沟通得知第三方支付业务应审核客户的相关信息，第三方支付业务公司不得向证券，期货，博彩等机构提供支付结算业务，本以为通过云闪付正规线上支付是正规彩票机构，后来才知道是非法赌博平台，通过中国人民银行，中国银联，和支付清算协会沟通得知，第三方支付业务应审核客户的相关信息，第三方支付业务公司不得向证券，期货，博彩等机构提供支付结算业务，作为有牌照的支付公司没有履行国家结算通道的义务，即产生了非法洗钱的嫌疑，金融机构客户身份识别和客户</t>
  </si>
  <si>
    <t>随手记高利贷，阴阳合同，高额逾期费</t>
  </si>
  <si>
    <t>http://ts.21cn.com/tousu/show/id/1360938</t>
  </si>
  <si>
    <t>2019/10/14 16:10:10</t>
  </si>
  <si>
    <t>随手记,卡牛,随手福贷,深圳随手记科技有限公司，本人于2019年5月13日在随手记借款6500元，于14日收到深圳随手记科技有限公司款项，后来因为划扣失败逾期一天收取高额逾期费100以上，并且合同上明明写的年利率百分之10，但是我借款6500每期还款736.55，总共要还9147.51，利息2647，年化利率早已经超过合同约定的百分之10，而且随手记逾期一天根本不给协商减免逾期费还打通讯录，希望随手记可以协商还款，希望聚投诉可以帮忙投诉联系相关部门，谢谢。</t>
  </si>
  <si>
    <t>上海翰银为赌博平台收单，请求瀚银为我全额退款挽回经济损失</t>
  </si>
  <si>
    <t>http://ts.21cn.com/tousu/show/id/1360929</t>
  </si>
  <si>
    <t>2019/10/14 16:07:33</t>
  </si>
  <si>
    <t>本人在网上被人诱骗以做兼职，赚流水等理由被人拉进兼职群，以购买彩票方式赚取佣金，后来才知道是非法赌博平台，和支付清算协会沟通得知第三方支付业务应审核客户的相关信息，第三方支付公司不得向证券、期货、博彩等机构提供支付结算业务，本人在此期间充值11367元，本人损失惨重，资金都是家里贷款得来，现在家人精神崩溃随时会出事，请求退款赔偿，通过中国人民银行，中国银联，和支付清算协会沟通得知，第三方支付业务应审核客户的相关信息，第三方支付公司不得向证券、期货、博彩等机构提供支付结算业务，作为有牌照的支付公司没有履行国家</t>
  </si>
  <si>
    <t>投诉钱站高利贷，砍头息，阴阳合同</t>
  </si>
  <si>
    <t>http://ts.21cn.com/tousu/show/id/1360927</t>
  </si>
  <si>
    <t>2019/10/14 16:06:49</t>
  </si>
  <si>
    <t>投诉人罗女士投诉对象钱站涉诉金额7000元问题类型诉求类型投诉详情钱站借7000合同写9800，要还11000，逾期爆通讯录，威胁亲戚朋友。</t>
  </si>
  <si>
    <t>对我进行辱骂并威胁我</t>
  </si>
  <si>
    <t>http://ts.21cn.com/tousu/show/id/1360905</t>
  </si>
  <si>
    <t>2019/10/14 16:00:42</t>
  </si>
  <si>
    <t>投诉人李先生投诉对象深圳世华地产有限公司涉诉金额0元问题类型诉求类型投诉详情深圳世华地产有限公司工作人员对我进行威胁恐吓4009000999这个号码服务态度极差。</t>
  </si>
  <si>
    <t>谩骂骚扰通讯录好友</t>
  </si>
  <si>
    <t>http://ts.21cn.com/tousu/show/id/1360893</t>
  </si>
  <si>
    <t>2019/10/14 15:55:35</t>
  </si>
  <si>
    <t>投诉人李女士投诉对象你我贷涉诉金额3200元问题类型诉求类型投诉详情前两期还了接近六千，目前已还八千八，协商还剩余本金，骚扰我朋友，进行谩骂父母。</t>
  </si>
  <si>
    <t>威胁，骚扰，暴力，催款</t>
  </si>
  <si>
    <t>http://ts.21cn.com/tousu/show/id/1360882</t>
  </si>
  <si>
    <t>2019/10/14 15:52:57</t>
  </si>
  <si>
    <t>投诉人陶女士投诉对象及贷涉诉金额2000元问题类型诉求类型投诉详情言语充满威胁，暴力催款，骚扰通讯录的亲朋好友。</t>
  </si>
  <si>
    <t>小赢卡贷骚扰联系人，群发短信</t>
  </si>
  <si>
    <t>http://ts.21cn.com/tousu/show/id/1360871</t>
  </si>
  <si>
    <t>2019/10/14 15:51:10</t>
  </si>
  <si>
    <t>第二天就通知住址村委会，群发短信根本就是黑社会作风，顶风作案。</t>
  </si>
  <si>
    <t>第三方为赌博平台提供支付通道我的血汗钱没了希望能得到解决</t>
  </si>
  <si>
    <t>http://ts.21cn.com/tousu/show/id/1360605</t>
  </si>
  <si>
    <t>2019/10/14 15:50:51</t>
  </si>
  <si>
    <t>事情的经过是这样，五月中旬的时候我由于生意失败想着要赚点钱，和支付清算协会沟通得知第三方支付业务应审核客户的相关信息，第三方支付公司不得向证券、期货、博彩等机构提供支付结算业务，想着在网上赚点外块我游览网页的时候发现0投资可赚钱我就点开看了留下了联系方式，过了几天有一个qq加我说可以带我投资赚钱紧接着我被拉入一个群里面，里面天天都是赚钱赚了多少我一时被蒙蔽了双眼就开始按照那个人的操作进行，一天晚上我就存入了5万多元想着我也能有很多收益，第二天发现还没有钱后面发现这是个赌博的平台，我通过银行想把钱找回来查到了</t>
  </si>
  <si>
    <t>分期还714套路贷退还砍头息</t>
  </si>
  <si>
    <t>http://ts.21cn.com/tousu/show/id/1360868</t>
  </si>
  <si>
    <t>2019/10/14 15:50:03</t>
  </si>
  <si>
    <t>分期还,宁波金江小贷互联网有限公司,易宝支付，分期还平台为国家通报的714套路贷平台，本人在该平台借款15次之多，每次到账1615元14天需还款1917.74元，很短的时间，分期还套路本人进3万余元，使本就穷途末路的借款人更穷困潦倒精神崩溃，现在国家严查套路贷之际，一个也不放过，易宝作为第三方支付平台助纣为虐，赚取昧心钱，现要求宁波金江互联网小额贷款有限公司退还砍头息并作出赔偿！。</t>
  </si>
  <si>
    <t>结清</t>
  </si>
  <si>
    <t>http://ts.21cn.com/tousu/show/id/1360860</t>
  </si>
  <si>
    <t>2019/10/14 15:47:28</t>
  </si>
  <si>
    <t>协商好还款次日给到还清证明短信，一直没有收到结清信息。</t>
  </si>
  <si>
    <t>信汇违规违法支付行为</t>
  </si>
  <si>
    <t>http://ts.21cn.com/tousu/show/id/1360642</t>
  </si>
  <si>
    <t>2019/10/14 15:45:38</t>
  </si>
  <si>
    <t>本人2月到10月期间通过云闪付平台充值几百笔金额高达11万多，另外通过中国人民银行和支付清算协会沟通得知第三方支付业务应审核客户的相关信息，第三方支付公司不得向证券、期货、博彩等机构提供支付结算业务，根据银行流水查到资金是通过信汇支付公司支付的，以二维码支付以及在线银联支付方式，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希望有工作人员能够联</t>
  </si>
  <si>
    <t>http://ts.21cn.com/tousu/show/id/1360772</t>
  </si>
  <si>
    <t>2019/10/14 15:43:36</t>
  </si>
  <si>
    <t>投诉人关先生投诉对象深圳卫盈智信科技有限公司我来贷涉诉金额8700元问题类型诉求类型投诉详情我来贷的催收严重侵犯个人隐私权，暴力催收，恶意骚扰借款人身边的亲朋好友，本人逾期后进行恐吓，骚扰，对本人和通讯录的人严重影响，打电话到本人之前的公司去诋毁，因为爆通讯导致本人失业，在午睡的时候连续打电话对通讯录的人，本人借了8700本金.还了5期4900多，还要本人还7000多，逾期后加200逾期费，已经超过国家的合法利息，本人已经报警立安，要求停止骚扰，协商处理问题。</t>
  </si>
  <si>
    <t>360借条暴力催收、骚扰父母，爆通讯录，要求停止骚扰</t>
  </si>
  <si>
    <t>http://ts.21cn.com/tousu/show/id/1360839</t>
  </si>
  <si>
    <t>2019/10/14 15:39:49</t>
  </si>
  <si>
    <t>我因暂无还款能力，360借条已经逾期了，他们就对我展开暴力催收，威胁我本人，骚扰我父母，爆我的通讯录，丝毫不顾及别人的感受，其行为无耻至极！不仅如此，平台还收取不正常的高额罚息，我并没有逃避不还，只是暂时没有还款能力，我会连本带息全部还清。</t>
  </si>
  <si>
    <t>http://ts.21cn.com/tousu/show/id/1360828</t>
  </si>
  <si>
    <t>2019/10/14 15:38:05</t>
  </si>
  <si>
    <t>投诉人 朱先生        投诉对象  深圳市及响科技有限公司        涉诉金额  10 000 元    问题类型    诉求类型投诉详情  已经打扰我正常生活 和家人 要求赔偿</t>
  </si>
  <si>
    <t>特约中归胡乱扣款</t>
  </si>
  <si>
    <t>http://ts.21cn.com/tousu/show/id/1360814</t>
  </si>
  <si>
    <t>2019/10/14 15:33:03</t>
  </si>
  <si>
    <t>本人不知道什么特约中归，也没有跟这个公司签署什么扣款协议，今天扣了我100元，请求退回。</t>
  </si>
  <si>
    <t>瀚银科技违法支付行为，尽快退款</t>
  </si>
  <si>
    <t>http://ts.21cn.com/tousu/show/id/1360598</t>
  </si>
  <si>
    <t>2019/10/14 15:32:23</t>
  </si>
  <si>
    <t>查到资金是通过瀚银科技公司，以二维码支付以及在线银联支付方式，另外通过中国人民银行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希望有工作人员能够联系，要求第三方支付机构退回被扣款项以下提供部门交易截图证据，更多证据我这里都有希</t>
  </si>
  <si>
    <t>希财猫app充值后无法退款</t>
  </si>
  <si>
    <t>http://ts.21cn.com/tousu/show/id/1360806</t>
  </si>
  <si>
    <t>2019/10/14 15:28:51</t>
  </si>
  <si>
    <t>之前在信贷公司上班，注册了希财猫app进行获客，用了一段时间后没有成功过客户，现在已经离职，app也已下架无法使用，一直用不到app，希望可以退回用剩的余额款项。</t>
  </si>
  <si>
    <t>京东退款与实付款不符合</t>
  </si>
  <si>
    <t>http://ts.21cn.com/tousu/show/id/1360803</t>
  </si>
  <si>
    <t>2019/10/14 15:28:35</t>
  </si>
  <si>
    <t>本人在京东上买东西，微信实付的款和京东商品上的钱不一致，且相差较大。</t>
  </si>
  <si>
    <t>自由魔卡超级马力贷</t>
  </si>
  <si>
    <t>http://ts.21cn.com/tousu/show/id/1360794</t>
  </si>
  <si>
    <t>2019/10/14 15:26:38</t>
  </si>
  <si>
    <t>申请了超级玛丽贷，申请金额2000元，必须先购买会员卡500元才能下款，30天要求还款2060，利息高达560元。</t>
  </si>
  <si>
    <t>http://ts.21cn.com/tousu/show/id/1360791</t>
  </si>
  <si>
    <t>2019/10/14 15:26:08</t>
  </si>
  <si>
    <t>上海造艺百事普惠在未经本人允许的情况下扣款299元。</t>
  </si>
  <si>
    <t>停止骚扰并道歉</t>
  </si>
  <si>
    <t>http://ts.21cn.com/tousu/show/id/1360780</t>
  </si>
  <si>
    <t>2019/10/14 15:24:00</t>
  </si>
  <si>
    <t>投诉人焦先生投诉对象去哪儿涉诉金额33000元问题类型诉求类型投诉详情停止骚扰并做出解释，协商还款。</t>
  </si>
  <si>
    <t>中信百信银行与网贷点融魔借捆绑销售产品</t>
  </si>
  <si>
    <t>http://ts.21cn.com/tousu/show/id/1360761</t>
  </si>
  <si>
    <t>2019/10/14 15:19:49</t>
  </si>
  <si>
    <t>投诉人邱先生投诉对象中信百信银行,魔借涉诉金额2572元问题类型诉求类型投诉详情本人于2019.6.4日在魔借平台借款10000元，合同是10000元分12期还，每期1096.13元，合计13153.56元，平台转了11572.70元给我后，立刻扣除了2572.70，实际到账9000，却要还13153.56元，已经超过国家法法律规定36%范围，后来一查，才知道是中信百信银行湖北分公司扣款，我要求将这无缘无故扣除的2572.70元退回给我，这和砍头息有区别吗。</t>
  </si>
  <si>
    <t>严重骚扰，影响极大</t>
  </si>
  <si>
    <t>http://ts.21cn.com/tousu/show/id/1360759</t>
  </si>
  <si>
    <t>2019/10/14 15:18:57</t>
  </si>
  <si>
    <t>威胁恐吓家人，给家人公司打电话造成极其恶劣影响导致失业，对家里老人造成心理压力，引发心脏病发！所有和催收人员通话都已录音，可随时作证，望严肃处理！。</t>
  </si>
  <si>
    <t>闪银至尊借款滞纳金太高</t>
  </si>
  <si>
    <t>http://ts.21cn.com/tousu/show/id/1360750</t>
  </si>
  <si>
    <t>2019/10/14 15:15:24</t>
  </si>
  <si>
    <t>投诉人 杨先生        投诉对象  Wecash闪银        涉诉金额  534 元    问题类型    诉求类型投诉详情  逾期滞纳金太高 都快分期还款本金的一半了</t>
  </si>
  <si>
    <t>http://ts.21cn.com/tousu/show/id/1360748</t>
  </si>
  <si>
    <t>2019/10/14 15:14:57</t>
  </si>
  <si>
    <t>本人在恒昌名下恒易贷贷款两笔，一笔已还14个月，一笔已还4个月，由于资金出现问题暂时无法还款，催收人打电话表示要打单位电话，欠钱是本人的责任，逾期是本人的不对但没说不还，打单位电话会影响本人名誉和影响单位正常办公，上次已经进行爆力催收，烦请禁止这种爆力催收行为。</t>
  </si>
  <si>
    <t>砍头息捆绑式销售</t>
  </si>
  <si>
    <t>http://ts.21cn.com/tousu/show/id/1360737</t>
  </si>
  <si>
    <t>2019/10/14 15:10:15</t>
  </si>
  <si>
    <t>从融360上申请的微贷网多米贷借款3000元，借款发放后发现有扣除600元保险费用，实际到账金额2400元，552元一期还了5期，还有一期552要还，严重高利贷，催收在能联系到我本人的情况下，为什么要联系我留的紧急联系人电话，谁给你们的权利。</t>
  </si>
  <si>
    <t>百万钱包砍头息2028元</t>
  </si>
  <si>
    <t>http://ts.21cn.com/tousu/show/id/1360729</t>
  </si>
  <si>
    <t>2019/10/14 15:07:53</t>
  </si>
  <si>
    <t>3月18号在百万钱包借款13000元，到账后马上通过代扣协议扣除砍头息2028元，要求退还砍头息。</t>
  </si>
  <si>
    <t>高利贷拒绝协商</t>
  </si>
  <si>
    <t>http://ts.21cn.com/tousu/show/id/1360726</t>
  </si>
  <si>
    <t>2019/10/14 15:07:38</t>
  </si>
  <si>
    <t>1月4日，通过微信在微金快借微信处借款，借款额度3000实到2700，利息每天90元，按天支付，后因为本人家里有事，协商还本金，对方不同意，利息降到每天50，现在又在协商还本金，对方还是不同意，而且最晚半夜22.30分还在打电话，现在支付利息已经超过本金数倍，要求协商，希望贵平台给与帮助解决。</t>
  </si>
  <si>
    <t>豆豆钱保险费未退</t>
  </si>
  <si>
    <t>http://ts.21cn.com/tousu/show/id/1360718</t>
  </si>
  <si>
    <t>2019/10/14 15:03:53</t>
  </si>
  <si>
    <t>投诉人邹先生投诉对象豆豆钱涉诉金额11000元问题类型诉求类型投诉详情要求退回已经结清的强制要求购买的保费还有一些查不到的保单合同请尽快恢复能正常查看状态。</t>
  </si>
  <si>
    <t>ofo退款</t>
  </si>
  <si>
    <t>http://ts.21cn.com/tousu/show/id/1360715</t>
  </si>
  <si>
    <t>2019/10/14 15:02:54</t>
  </si>
  <si>
    <t>投诉人吴先生投诉对象ofo小黄车涉诉金额8元问题类型诉求类型投诉详情ofo共享单车不退款，这不是坑人买吗。</t>
  </si>
  <si>
    <t>大数据杀熟，要求退款</t>
  </si>
  <si>
    <t>http://ts.21cn.com/tousu/show/id/1360707</t>
  </si>
  <si>
    <t>2019/10/14 15:02:29</t>
  </si>
  <si>
    <t>投诉人蓝女士投诉对象携程旅游涉诉金额2184元问题类型诉求类型投诉详情投诉人于2019年9月16日15:54通过被投诉人经营的携程APP下单订购由被投诉人作为旅行社提供的旅游产品迪拜+阿布扎比6日5万半自助游，，订单金额为29249元，投诉人使用满减券500元，实际支付人民币28749元，支付完成时间为15:55，时隔20分钟，投诉人16:18再次打开携程APP查询该旅游产品，发现产品价格已下降为27065元，降价达2184元，投诉人随即向携程客服反馈要求全额退还差价，携程态度傲慢、拖延处理并始终拒绝全额退</t>
  </si>
  <si>
    <t>http://ts.21cn.com/tousu/show/id/1360585</t>
  </si>
  <si>
    <t>2019/10/14 15:02:18</t>
  </si>
  <si>
    <t>投诉人田先生投诉对象玖富万卡涉诉金额10000元问题类型诉求类型投诉详情10月初在玖富万卡，易美付借得10000，实际到账13000多点，然后直接砍头扣了3000多点的保险费，易美付App没有提前还款，先还了一期600多，10月14号打客服电话让在玖富万卡还款12549，总计还款13100多，用了10000，结果等于发生了前后6000多的费用，10多天这是什么利息！年化利率得几千了！要求返还多余的费用！。</t>
  </si>
  <si>
    <t>淘豆分期未经同意私自扣除银行卡内199元</t>
  </si>
  <si>
    <t>http://ts.21cn.com/tousu/show/id/1360681</t>
  </si>
  <si>
    <t>2019/10/14 15:02:12</t>
  </si>
  <si>
    <t>停止报案骚扰</t>
  </si>
  <si>
    <t>http://ts.21cn.com/tousu/show/id/1360704</t>
  </si>
  <si>
    <t>2019/10/14 15:01:40</t>
  </si>
  <si>
    <t>希望平安银行能协商解决还款，我因工资拖欠导致平安银行信用卡逾期，也和客服说明了情况，希望能撤销对我的报案，能协商解决还款，而且我也想分期还款，也不是有钱不还。</t>
  </si>
  <si>
    <t>http://ts.21cn.com/tousu/show/id/1360695</t>
  </si>
  <si>
    <t>2019/10/14 14:58:41</t>
  </si>
  <si>
    <t>投诉人 刘女士        投诉对象  交通银行信用卡        涉诉金额  900 元    问题类型    诉求类型投诉详情  交通银行一天打了无数电话，已经告诉她。晚上我来处理还是不停地打电话。我挂断还是依然没完没了的打电话。</t>
  </si>
  <si>
    <t>http://ts.21cn.com/tousu/show/id/1360692</t>
  </si>
  <si>
    <t>2019/10/14 14:57:59</t>
  </si>
  <si>
    <t>暴力催收，恐吓，威胁，电话轰炸，提出道歉，。</t>
  </si>
  <si>
    <t>赫美微贷砍头息</t>
  </si>
  <si>
    <t>http://ts.21cn.com/tousu/show/id/1360684</t>
  </si>
  <si>
    <t>2019/10/14 14:57:06</t>
  </si>
  <si>
    <t>在赫美微贷借款2万，打到卡上31780马上就扣除11780以服务费扣除，现在已经还了28期差不多3万要有8440,按照国家的标准属于高利贷，曾有过逾期，打电话恐吓、爆通讯录、暴力崔收，现在电话号号码也换了以前的号码都不用了，全是骚扰电话，换还款也是第三方，到现在本金以还利息也付了9000多了，按照国家法律该要还的一分不少，打了好多次客服刚接通就挂掉根本不跟你协商的机会。</t>
  </si>
  <si>
    <t>http://ts.21cn.com/tousu/show/id/1360673</t>
  </si>
  <si>
    <t>2019/10/14 14:52:07</t>
  </si>
  <si>
    <t>投诉人 谢先生        投诉对象  my钱包贷款        涉诉金额  5 000 元    问题类型    诉求类型投诉详情  高额利息，中间收取担保费</t>
  </si>
  <si>
    <t>滴滴平台欺凌司机</t>
  </si>
  <si>
    <t>http://ts.21cn.com/tousu/show/id/1360670</t>
  </si>
  <si>
    <t>2019/10/14 14:51:26</t>
  </si>
  <si>
    <t>滴滴平台欺凌司机，每一次给客服打电话都是解决不了问题，需要你客服干什么，每一个有争议的订单，平台都可以调取系统的录音功能，今天一个乘客早高峰时段打车，她赶时间自己选择的路线，导航路线严重堵车，结果下车投诉我绕路，当时我还问的清清楚楚明明白白的，也怕有这种纠纷，结果申诉一直失败，你平台以什么规则去判断司机师傅有责，就因为乘客投诉。</t>
  </si>
  <si>
    <t>投诉华为mate20pro质量问题</t>
  </si>
  <si>
    <t>http://ts.21cn.com/tousu/show/id/1360662</t>
  </si>
  <si>
    <t>2019/10/14 14:47:55</t>
  </si>
  <si>
    <t>本人于2019年8月2号在淘宝华为官方店买了一部华为mate20pro，就出现反复自动关机，播放视频有杂音的问题，询问客服，让我到最近的华为检测点检测，去到华为的人员说是系统问题，好了几天，过了一个星期这样有出现绿屏问题，再询问客服，他让我换主板，我花五千块钱买了一部手机，用了不到一个月，说要换主板的问题，那谁能接受啊，这摆明就是华为有质量问题，让他给我换一部，淘宝客服只会说理解你的心情，但是抱歉，出了理解跟抱歉，什么都不会，打电话给华为的投诉电话，回复我也一样，根据三包政策不能换，只能修，抱歉，只会说抱歉</t>
  </si>
  <si>
    <t>记得花无敌高炮催收言语恐吓威胁</t>
  </si>
  <si>
    <t>http://ts.21cn.com/tousu/show/id/1360649</t>
  </si>
  <si>
    <t>2019/10/14 14:45:14</t>
  </si>
  <si>
    <t>我是通过鹿贷小屋申请的记得花无敌高炮而且借款前并不知道要砍头，借2000老头700到手1300，逾期一天100，5天就要全额还款，催收爆通讯录言语恐吓威胁我的家人朋友。</t>
  </si>
  <si>
    <t>证大财富（证大金服）违规高利贷及暴力催收</t>
  </si>
  <si>
    <t>http://ts.21cn.com/tousu/show/id/1360651</t>
  </si>
  <si>
    <t>2019/10/14 14:45:07</t>
  </si>
  <si>
    <t>本人经证大直通车介绍在证大财富借款30000元，36期每月还款1805，总共需还款64980元，已经远远超出国家标准，希望调整利率，但是一直无人管，但是暴力催收的人很多，几乎每月换一波，几次与总部联系商议说总部已经没人，但是这些催收的是哪些人呢。</t>
  </si>
  <si>
    <t>兴业信用卡催收公司威胁恐吓</t>
  </si>
  <si>
    <t>http://ts.21cn.com/tousu/show/id/1360640</t>
  </si>
  <si>
    <t>2019/10/14 14:42:38</t>
  </si>
  <si>
    <t>投诉人苗先生投诉对象兴业银行信用卡涉诉金额11000元问题类型诉求类型投诉详情兴业信用卡委托兰州一家催收公司，自称公安法院恐吓威胁，打骚扰电话，并发送各种短信验证码。</t>
  </si>
  <si>
    <t>连连银通为高利贷翼钱包提供渠道</t>
  </si>
  <si>
    <t>http://ts.21cn.com/tousu/show/id/1360638</t>
  </si>
  <si>
    <t>2019/10/14 14:41:42</t>
  </si>
  <si>
    <t>本人与2019年10月8日14点10分申请翼钱包2000元的贷款，之前期限为14天，现为8天，并砍头息600元，实际到账1400元，远远超过国家利息标准，绝对是违法高利贷，翼钱包运营方为山东鲁信汇金商务咨询有限公司，客服电话为4001890017，而且连连支付平台为其违法行为提供支付渠道现希望借助聚投诉平台报案给相关部门，本人借款的确是自愿的，希望合理息费还款销账。</t>
  </si>
  <si>
    <t>钱站放款一个月不到账取消不了</t>
  </si>
  <si>
    <t>http://ts.21cn.com/tousu/show/id/1360627</t>
  </si>
  <si>
    <t>2019/10/14 14:37:24</t>
  </si>
  <si>
    <t>放款一个月还未到账，打客服电话一直在反馈，都反馈半个月了没有消息，又不能取消！强烈要求作出赔偿！。</t>
  </si>
  <si>
    <t>云联牧场（云耕云牧）提现困难，客服无法联系</t>
  </si>
  <si>
    <t>http://ts.21cn.com/tousu/show/id/1360619</t>
  </si>
  <si>
    <t>2019/10/14 14:35:54</t>
  </si>
  <si>
    <t>我是云联牧场员工，于2017年7月-2018年8月任职产品经理职位，一个半年标5000元的回款没回。</t>
  </si>
  <si>
    <t>桔子商城分期骚扰</t>
  </si>
  <si>
    <t>http://ts.21cn.com/tousu/show/id/1360616</t>
  </si>
  <si>
    <t>2019/10/14 14:33:34</t>
  </si>
  <si>
    <t>因个人原因导致账单逾期，现平均每月尽我能力还款部分，已还一千多元，现在桔子分期要求必须关系完全部欠款，在正常工作时间对我，亲朋好友，拨打电话，已经严重干扰到我及身边亲朋好友正常生活，请立即停止骚扰。</t>
  </si>
  <si>
    <t>http://ts.21cn.com/tousu/show/id/1360608</t>
  </si>
  <si>
    <t>2019/10/14 14:31:29</t>
  </si>
  <si>
    <t>本人银行卡在身上也没验证码的情况下，于2019/10/14银行卡三次被百度特约服务盗刷500元，第一次盗刷时就解约了所有快捷支付，下午仍被盗刷两笔。</t>
  </si>
  <si>
    <t>敏付慧金宝支付为非法博彩平台违规提供充值通道</t>
  </si>
  <si>
    <t>http://ts.21cn.com/tousu/show/id/1360595</t>
  </si>
  <si>
    <t>2019/10/14 14:29:12</t>
  </si>
  <si>
    <t>通过收到陌生人信息进入了非法网站本人认为有第三方支付公司是合法的，后来通过中国人民银行和支付清算协会沟通得知，第三方支付业务应审核客户的相关信息，第三方支付公司不得向证券、期货、博彩等机构提供支付结算业务，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t>
  </si>
  <si>
    <t>恶意盗刷信用卡，不肯退款</t>
  </si>
  <si>
    <t>http://ts.21cn.com/tousu/show/id/1360596</t>
  </si>
  <si>
    <t>2019/10/14 14:28:59</t>
  </si>
  <si>
    <t>投诉人廖梓豪投诉对象重庆来卡世界网络科技有限公司,懒猫生活涉诉金额400元问题类型诉求类型投诉详情我在微信朋友圈看到他们公司的推广,然后我就注册使用了懒猫吧平台,实名认证了,申请代还信用卡,但是他们平台扣了手续费之后,不帮代还信用卡,而且后续还乱扣我的信用卡的钱,找他们客服就恶意骂人,不解决问题,直接挂电话,恳请聚投诉帮忙查封他们平台,不然还会有更多的受害者.大概支付了400余元手续费,他们客服不给与退款,还辱骂我,恳请查看他们平台.。</t>
  </si>
  <si>
    <t>拼多多包庇网赌拒不退款</t>
  </si>
  <si>
    <t>http://ts.21cn.com/tousu/show/id/1360593</t>
  </si>
  <si>
    <t>2019/10/14 14:28:53</t>
  </si>
  <si>
    <t>191011-2*************0，一个是我家里人支付的，因为家里人有网赌的习惯，我也很痛苦很痛恨网赌，家里还有一个白两岁多的孩！这就是这半个多余的支付情况，我请求聚投诉帮帮我处理一下，一直给拼多多打电话找客服一直拖着不给我处理！我希望拒投诉能让他们给我退款，谢谢！，附上给拼多多的通话记录和短信截图！他们一直一个发短信给我说1个工作日处理，但是一直都没人联系我，给我处理！，这些钱都是我自己做去兼职给孩子弄的奶粉钱，希望聚投诉一定帮帮我。</t>
  </si>
  <si>
    <t>玖富万卡暴力催收威逼利诱</t>
  </si>
  <si>
    <t>http://ts.21cn.com/tousu/show/id/1360582</t>
  </si>
  <si>
    <t>2019/10/14 14:25:04</t>
  </si>
  <si>
    <t>玖富万卡高利贷，每月都有还款，由于发薪日是15日，账单日是12日，今年每期还款都会延迟到15号还款，早期已经跟客服说明情况了，申请能否改下到15号还款，客服说没权利，女催收员说那我只好把你转到风控部门让人审核你的还款能力，我话还没说完她就挂了，问工号也不说各种威逼利诱，录音都有，实在忍受不了了，催收员态度极其恶劣，威胁我说今天几点几点不还，将交给风控部审核个人还款能力，必要时还会联系紧急联系人！我一直说明天15号发工资，一定会还，就一天时间，逾期费什么的，我也都会一并还，催收员很嚣张坚决要我今天还款，还让我</t>
  </si>
  <si>
    <t>http://ts.21cn.com/tousu/show/id/1360574</t>
  </si>
  <si>
    <t>2019/10/14 14:22:26</t>
  </si>
  <si>
    <t>投诉人 王先生王锋        投诉对象  聚福钱包        涉诉金额  299 元    问题类型    诉求类型投诉详情  尽快把我退给我要快。快把我我的事情处理掉处理好</t>
  </si>
  <si>
    <t>360借条暴力催款寄律师函将律师函交由村委街道进行告栏公示通知起诉我</t>
  </si>
  <si>
    <t>http://ts.21cn.com/tousu/show/id/1360571</t>
  </si>
  <si>
    <t>2019/10/14 14:21:29</t>
  </si>
  <si>
    <t>律师事务所发信息说律师函直接申请交由村委街道进行告栏公示通知起诉我。</t>
  </si>
  <si>
    <t>蔡司镜头京东回收10元？</t>
  </si>
  <si>
    <t>http://ts.21cn.com/tousu/show/id/1360539</t>
  </si>
  <si>
    <t>2019/10/14 14:20:31</t>
  </si>
  <si>
    <t>投诉人黄谢明投诉对象京东商城涉诉金额1800元问题类型诉求类型投诉详情京东拍拍回收我的蔡司镜头，回收价格10元，联系客服要回镜头，延迟处理，接近四天之后客服才打电话联系我处理这件事情！然后花四天时间说追回我的镜头，最后被告知镜头找不回了。</t>
  </si>
  <si>
    <t>罗汉分期在没有通知的情况下扣出198</t>
  </si>
  <si>
    <t>http://ts.21cn.com/tousu/show/id/1360563</t>
  </si>
  <si>
    <t>2019/10/14 14:18:39</t>
  </si>
  <si>
    <t>罗汉分期在我并不知情的情况下扣除我198的费用而且我并不知道这个198是因为什么扣费，但是平白无故花了198真的很生气我不想再有人被骗198了。</t>
  </si>
  <si>
    <t>上海移动恶意关闭我手机短信功能</t>
  </si>
  <si>
    <t>http://ts.21cn.com/tousu/show/id/1360560</t>
  </si>
  <si>
    <t>2019/10/14 14:18:14</t>
  </si>
  <si>
    <t>莫名其妙地给我短信功能停止了、我要维权、不知道谁给他们这些权益。</t>
  </si>
  <si>
    <t>协商2次分期</t>
  </si>
  <si>
    <t>http://ts.21cn.com/tousu/show/id/1360552</t>
  </si>
  <si>
    <t>2019/10/14 14:14:56</t>
  </si>
  <si>
    <t>小米贷款不考虑实际人的情况，不同意协商分期。</t>
  </si>
  <si>
    <t>浦发银行协商额度问题</t>
  </si>
  <si>
    <t>http://ts.21cn.com/tousu/show/id/1300896</t>
  </si>
  <si>
    <t>2019/10/14 14:14:07</t>
  </si>
  <si>
    <t>投诉人陈先生投诉对象浦发信用卡涉诉金额3000元问题类型诉求类型投诉详情由于本人资金困难逾期了几天还款3000降到了1000，请求浦发信用卡恢复额度，本来就额度低，我也知道是我的问题，在这里向浦发银行申请恢复额度，帮帮忙吧。</t>
  </si>
  <si>
    <t>小赢卡贷爆力催收打村委会电话，轰炸通讯录</t>
  </si>
  <si>
    <t>http://ts.21cn.com/tousu/show/id/1360541</t>
  </si>
  <si>
    <t>2019/10/14 14:12:47</t>
  </si>
  <si>
    <t>暴力催收，本人借款逾期一天，威胁打电话给我村委会，威胁打电话爆通讯录。</t>
  </si>
  <si>
    <t>贷上钱暴力催收，态度恶劣</t>
  </si>
  <si>
    <t>http://ts.21cn.com/tousu/show/id/1360530</t>
  </si>
  <si>
    <t>2019/10/14 14:08:13</t>
  </si>
  <si>
    <t>由于资金周转困难逾期，在我本人没有失联并今天已经偿还部分款项，有还款意愿后。</t>
  </si>
  <si>
    <t>http://ts.21cn.com/tousu/show/id/1360528</t>
  </si>
  <si>
    <t>2019/10/14 14:07:48</t>
  </si>
  <si>
    <t>伙同人人花，强制扣款，协议不明，以绑卡扣0.1元为由，骗取绑定第三方支付，拒不退款。</t>
  </si>
  <si>
    <t>拍拍贷暴力催收客服态度恶劣</t>
  </si>
  <si>
    <t>http://ts.21cn.com/tousu/show/id/1360517</t>
  </si>
  <si>
    <t>2019/10/14 14:01:38</t>
  </si>
  <si>
    <t>客服给我打电话说让我还款，我说15号发了工资就还，商量不行，在我不知道的情况下查我的通讯录给我家里人打电话，严重影响我的生活。</t>
  </si>
  <si>
    <t>美乐家具一直未发货申请全额退款</t>
  </si>
  <si>
    <t>http://ts.21cn.com/tousu/show/id/1360319</t>
  </si>
  <si>
    <t>2019/10/14 13:59:32</t>
  </si>
  <si>
    <t>分6张订单号订购一批家具，官网可查询订单号分别为：1.2019040481630；2.2019040667195；3.2019040627675；4.2019040617268；5.2019040663434；6.2019040521292；订单合计金额：26751元，从2019年7月4日开始我多次电话催促供方发货，供方却因种种理由拖延，一直都是以敷衍的态度至今没有货物发出，目前供方客服电话已无法接通，仅能联系澳门店工作人员李晶，联系电话137******95，据李晶反映：从2019年初开始供方经营状况出现</t>
  </si>
  <si>
    <t>网贷平台暴力催收恐吓</t>
  </si>
  <si>
    <t>http://ts.21cn.com/tousu/show/id/1360509</t>
  </si>
  <si>
    <t>2019/10/14 13:58:12</t>
  </si>
  <si>
    <t>没给我打电话，今天给我亲人朋友打了一上午电话号码，下午收到这样的短信。</t>
  </si>
  <si>
    <t>闪银哼哼威胁还款</t>
  </si>
  <si>
    <t>http://ts.21cn.com/tousu/show/id/1360506</t>
  </si>
  <si>
    <t>2019/10/14 13:56:09</t>
  </si>
  <si>
    <t>闪银哼哼逾期4天，以前一直没逾期过，也有接电话，一直都有还款的意愿，只是由于近期周转困难，已经跟客服说过申请延期还款，催收人员还打电话过来要求我向父母要钱，威胁我自己不说，他会自己跟我父母说，要求停止催收，协商延期还款。</t>
  </si>
  <si>
    <t>在绿森商城购买的苹果手机9千多客服说最晚13号发货，结果到时不发，无诚信，应受到惩罚，商城应诚实守信</t>
  </si>
  <si>
    <t>http://ts.21cn.com/tousu/show/id/1360497</t>
  </si>
  <si>
    <t>2019/10/14 13:55:00</t>
  </si>
  <si>
    <t>投诉人周先生投诉对象绿森数码涉诉金额9299元问题类型诉求类型投诉详情我于9月22号在绿森商城购买苹果手机9299元，产品图片显示我购买的绿色最晚发货时间21天内，也就是10月13号，所以特定跟商城客服沟通好，最晚发货时间帮我定在13号内安排发出，结果到了10月14号一直不发货，再次问商城客服，客服的回复是没办法保证什么时候发货，投诉1对于消费者来说，一直不发货，也不能给发货时间，这严重影响到了消费者的权益，2商城客服先说13号前发货，结果到时候不发货，3打商城4006866893客服电话一直无法接通。</t>
  </si>
  <si>
    <t>我要投诉淘集集，商品下不了架，钱也提现几个月都没处理，</t>
  </si>
  <si>
    <t>http://ts.21cn.com/tousu/show/id/1360494</t>
  </si>
  <si>
    <t>2019/10/14 13:52:56</t>
  </si>
  <si>
    <t>投诉人彭先生投诉对象淘集集涉诉金额2075元问题类型诉求类型投诉详情淘集集这种平台真是垃圾，我当时注册只是想尝试下，没想到连个处理的客服都没有，申请提现几个月没处理，产品也下不了架，我现在店铺也退不了，保证金也退不了，跟骗子平台有什么区别。</t>
  </si>
  <si>
    <t>苏宁易购以airpods2塑封膜拆封为由拒绝履行7天无理由退货，霸王条款</t>
  </si>
  <si>
    <t>http://ts.21cn.com/tousu/show/id/1360486</t>
  </si>
  <si>
    <t>2019/10/14 13:49:10</t>
  </si>
  <si>
    <t>苏宁易购以airpods2塑封膜拆封为由拒绝履行7天无理由退货，苹果官网都可以14天拆封无理由退货，苏宁易购不让退，霸王条款，售后服务太差。</t>
  </si>
  <si>
    <t>捷信骚扰电话</t>
  </si>
  <si>
    <t>http://ts.21cn.com/tousu/show/id/1360483</t>
  </si>
  <si>
    <t>2019/10/14 13:48:25</t>
  </si>
  <si>
    <t>骚扰电话次数太多，已经和捷信金融客服解释很多很多次我非借款客户，捷信一直电话骚扰我，我本人为中国人寿保险股份有限公司代理人，朱新好为我客户，烦请贵公司核实关系后不再电话骚扰我，万分感谢！。</t>
  </si>
  <si>
    <t>维信卡卡贷通过了一个月没下款</t>
  </si>
  <si>
    <t>http://ts.21cn.com/tousu/show/id/1360475</t>
  </si>
  <si>
    <t>2019/10/14 13:46:13</t>
  </si>
  <si>
    <t>联系10多次客服，每次都说一到7个工作日能下款，已经20多天了依旧没有下款，说办理会员可以加快放款速度，会员办了依旧无用。</t>
  </si>
  <si>
    <t>我来贷故意不扣款导致逾期</t>
  </si>
  <si>
    <t>http://ts.21cn.com/tousu/show/id/1360472</t>
  </si>
  <si>
    <t>2019/10/14 13:45:16</t>
  </si>
  <si>
    <t>到期不扣款，我来数科故意让客户逾期，产生逾期费用。</t>
  </si>
  <si>
    <t>我来贷非法高利贷</t>
  </si>
  <si>
    <t>http://ts.21cn.com/tousu/show/id/1360464</t>
  </si>
  <si>
    <t>2019/10/14 13:41:18</t>
  </si>
  <si>
    <t>我来贷真的高利贷，我有一笔贷款3万元，分12期，现在每期还3399块多，明显高于国家标准。</t>
  </si>
  <si>
    <t>泄漏个人信息恶心群发催收信息</t>
  </si>
  <si>
    <t>http://ts.21cn.com/tousu/show/id/1360461</t>
  </si>
  <si>
    <t>2019/10/14 13:39:31</t>
  </si>
  <si>
    <t>给我生活带来了很大的影响，上一次个人投诉没有用今天才联名投诉的。</t>
  </si>
  <si>
    <t>网校销售人员刻意隐瞒考试主办方混淆概念虚假宣传课程，购买课程后尚未使用且不予退款</t>
  </si>
  <si>
    <t>http://ts.21cn.com/tousu/show/id/1360453</t>
  </si>
  <si>
    <t>2019/10/14 13:37:18</t>
  </si>
  <si>
    <t>投诉人李先生投诉对象环球网校涉诉金额5980元问题类型诉求类型投诉详情环球网校销售人员销售BIM课程时，宣传是人社部全国BIM等级考试课程，并且百分百包过，实际上却是人社部继续教育协会的BIM策略规划师证书，他们从头至尾都将人社部继续教育协会刻意简称为人社部用来混淆人力资源与社会保障部出的全国BIM等级证书，我在他们的刻意隐瞒与诱导下购买了这款课程，可是在后续与助教老师的沟通中发现了这两个证完全不同，人社部继续教育协会出的证在社会上认可度极低，而且课程我没有签任何协议也没有使用，他们就声称无法退款。</t>
  </si>
  <si>
    <t>黑心钱站</t>
  </si>
  <si>
    <t>http://ts.21cn.com/tousu/show/id/1360450</t>
  </si>
  <si>
    <t>2019/10/14 13:35:19</t>
  </si>
  <si>
    <t>钱站app借款11000元合同写的是14500元，分12期每期要还1400，提前结清要15249，与客服联系，客服说是担保费和服务费。</t>
  </si>
  <si>
    <t>无故遭北京海科融通信息技术有限公司盗款</t>
  </si>
  <si>
    <t>http://ts.21cn.com/tousu/show/id/1360442</t>
  </si>
  <si>
    <t>2019/10/14 13:33:49</t>
  </si>
  <si>
    <t>投诉人苏先生投诉对象支付通Qpos,北京海科融通信息技术有限公司,重庆锦然服装有限公司,河南省郑州市金水区Firstmeet初见涉诉金额40400元问题类型诉求类型投诉详情本人在不知情的情况下被北京海科融通信息技术有限公司盗款该公司单方面扣款了5笔，2019-10-1316:30:509,400、2019-10-1316:27:3910,000、2019-10-1316:26:4610,000、2019-10-1316:23:3310,000、2019-10-1313:47:531,000、总共金额4,04</t>
  </si>
  <si>
    <t>玖富万卡自己还够本金，却还要还2倍的钱</t>
  </si>
  <si>
    <t>http://ts.21cn.com/tousu/show/id/1360431</t>
  </si>
  <si>
    <t>2019/10/14 13:27:50</t>
  </si>
  <si>
    <t>投诉人洪先生投诉对象玖富涉诉金额6500元问题类型诉求类型投诉详情玖富万卡借了3000多，已经还了3000左右，却还要还6500多。</t>
  </si>
  <si>
    <t>51人品贷违规撮合银行资金参与P2P网络借贷</t>
  </si>
  <si>
    <t>http://ts.21cn.com/tousu/show/id/1360429</t>
  </si>
  <si>
    <t>2019/10/14 13:27:06</t>
  </si>
  <si>
    <t>本人在51人品贷申请2.7万贷款，结果发现放款为武汉众邦银行，根据整治办141号文件，第四条，不得撮合银行业金融机构参与P2P网络借贷。</t>
  </si>
  <si>
    <t>云充吧退费问题</t>
  </si>
  <si>
    <t>http://ts.21cn.com/tousu/show/id/1360420</t>
  </si>
  <si>
    <t>2019/10/14 13:24:36</t>
  </si>
  <si>
    <t>投诉人 蒋先生        投诉对象  云充吧        涉诉金额  100 元    问题类型    诉求类型投诉详情  9月10号借的充电宝，晚上7点归还不进去。</t>
  </si>
  <si>
    <t>立借高利贷，套路贷</t>
  </si>
  <si>
    <t>http://ts.21cn.com/tousu/show/id/1360418</t>
  </si>
  <si>
    <t>2019/10/14 13:24:27</t>
  </si>
  <si>
    <t>9.8号申请了笔立借额度6500，但看不见利息，绑卡才能看见，绑卡审核放款后，发现利息太高，6500三期，每期3000点，总得还9035，，说取消借款，客服说不能取消，想到被坑了就算了，这里以贷养贷超过了还款能力范围，协商立借方，还本金加正规利息，6500我用了一月，立借协商要求我还8060，多还11期利息，每天客服跟我电话，有钱还没，不接受他们的协商，利息正常滚起走，我现在没多余钱还，现在都在到处跟亲戚凑钱还本金，每期除了本金利息还有个600多其它费用，不清不楚。</t>
  </si>
  <si>
    <t>无法与拍拍贷协商提前还款</t>
  </si>
  <si>
    <t>http://ts.21cn.com/tousu/show/id/1360407</t>
  </si>
  <si>
    <t>2019/10/14 13:21:27</t>
  </si>
  <si>
    <t>9月5日，应还款额803.7，本金563.7，利息240，，第二期，10月5日，应还款额803.7，本金580.62，利息223.08也就是，因为不懂相关法律我都是按年利率36%和月利率3%还的，后来咨询律师，还款人是可以每月最多还2%的，法律规定只支持年利率最多24%,超过36%的可以申诉归还，所以我其实每月最多只支付2%的利息，但是我还是支付了2期3%的利息，现在到了第三期我跟客服协商说这次最多只还2%的利息，因为法律允许我有这样的权利，并且想提前结清算有欠款，但是告知对于提前结清无法减免，即使我第三期</t>
  </si>
  <si>
    <t>钱站高利贷收取非法高利息以及所谓的高额逾期费</t>
  </si>
  <si>
    <t>http://ts.21cn.com/tousu/show/id/1360398</t>
  </si>
  <si>
    <t>2019/10/14 13:20:09</t>
  </si>
  <si>
    <t>10月13日，平台私自收取100元高额逾期费，而且强行从银行卡划走这就是套路贷，现要求退还高额利息及所谓的高额逾期费，如不退还，本人将投诉至互联网金融信息举报平台，拨打12363至人民银行投诉到底。</t>
  </si>
  <si>
    <t>广州今潮创意潮汕餐厅商品未煮熟，负责人承认存在问题但拒绝退款，表示随便投诉</t>
  </si>
  <si>
    <t>http://ts.21cn.com/tousu/show/id/1360395</t>
  </si>
  <si>
    <t>2019/10/14 13:19:22</t>
  </si>
  <si>
    <t>8月25日，本人在该店就餐，该店出售的黄花鱼未烹饪煮熟，夹带生肉，带有血丝，伴有腥味，基本信息商家名称广州今潮创意潮汕餐厅商家地址：广州市海珠区新港东路1685号保利广场5层C501A商家电话：020-89052729问题商品：黄花鱼（盐水煎） 商品价格：78元争议时间：2019-08-25 19:27:13 二、投诉事项：2.1 8月25日，本人在该店就餐，该店出售的黄花鱼未烹饪煮熟，夹带生肉，带有血丝，伴有腥味，承认产品存在问题给差评是无耻行为，顾客应该感到羞耻，随便投诉，当晚结账时该店主管表示，“可能</t>
  </si>
  <si>
    <t>哪吒聚宝暴力催收</t>
  </si>
  <si>
    <t>http://ts.21cn.com/tousu/show/id/1360384</t>
  </si>
  <si>
    <t>2019/10/14 13:14:53</t>
  </si>
  <si>
    <t>app登录不上，好多人冒充哪吒聚宝，让我线下还款，我不确定能不能销账，然后催收就威胁恐吓。</t>
  </si>
  <si>
    <t>投诉南宁我主良缘办理巨额费用会员.要求全额退款被拒.投诉全额退款</t>
  </si>
  <si>
    <t>http://ts.21cn.com/tousu/show/id/1360153</t>
  </si>
  <si>
    <t>2019/10/14 13:13:51</t>
  </si>
  <si>
    <t>2019年7月我参加了公益性相亲活动，于是填写了一下基本信息，之后就有位我主良缘的覃老师多次电话联系我，说有个性格很好的女生很适合我，叫我过去了解一下，10月13日晚当时觉得自己单身又刚好想找一个对象，然后就答应了过去，随行的还有父亲，去到那里之后就叫我到前台签到然后拿一张表叫我去左边的一个小房间里填，填完之后那个换了姚老师来了，说是要单独谈谈就支开了父亲，然后就是一轮接着一轮地夸奖和赞美，说我多帅多帅，又说了好几个我主良缘的成功案例，最后说叫我在她们这里办了然后让爸妈好放心，当时就心软了，之后她就拿了那个</t>
  </si>
  <si>
    <t>万和京东自营旗舰店电热水器的赠品未按规定赠送</t>
  </si>
  <si>
    <t>http://ts.21cn.com/tousu/show/id/1360365</t>
  </si>
  <si>
    <t>2019/10/14 13:13:37</t>
  </si>
  <si>
    <t>本人于9月9日在万和京东自营旗舰店购买了万和电热水器，当时购买时注明评价晒安装图后赠送叮咚智能音响及保修卡，在介绍详情中，该智能音响是可以配合热水器使用的，本人收到货并安装后，于9月11日点评晒图并发给客服，客服表示登记核实后会在25个工作日左右安排寄出，直到10月12日客服才联系说音响缺货，需要更换成炒锅，本人购买电热水器时综合比较过，是因为看到该款电热水器有宣传音响能调解热水器水温才购买的，赠品我可以接受同等价位和功能但不同品牌的音响，但绝对不能接受更换成其他产品，而且现在该款热水器的页面还是注明晒单送</t>
  </si>
  <si>
    <t>京东为第三方提供违法充值渠道</t>
  </si>
  <si>
    <t>http://ts.21cn.com/tousu/show/id/1360377</t>
  </si>
  <si>
    <t>2019/10/14 13:10:42</t>
  </si>
  <si>
    <t>本人于2019年6月-9月被引诱到一个网站充值8000余元，通过京东金融充值进去之后发现是违法的赌博平台，通过中国人民银行和支付清算协会沟通得知第三方支付业务应审核客户的相关信息，第三方支付公司不得向证券、期货、博彩等机构提供支付结算业务，请京东公司尽快与我协商退款，通过中国人民银行和支付清算协会沟通得知，第三方支付业务应审核客户的相关信息，第三方支付公司不得向证券、期货、博彩等机构提供支付结算业务，作为有牌照的支付公司没有履行国家相关法律法规要求，请求京东金融尽快为我解决，退回我部分款项，能让我恢复正常人</t>
  </si>
  <si>
    <t>翼勋金融借贷套路贷</t>
  </si>
  <si>
    <t>http://ts.21cn.com/tousu/show/id/1360373</t>
  </si>
  <si>
    <t>2019/10/14 13:09:51</t>
  </si>
  <si>
    <t>合同本金却写98000元，实际收到67000元的放款，之前一直没发觉，当我还了14期后，申请一次性还清，仍需还63000元，实际合同本利息和113000元，后有翼勋办公人员与我联系，我提出去翼勋公司当面解决，或走法律程序，并无答复也不告知任何办公地点，这几天催收打电话5秒即自动挂断，故意不让我有接听时间，直接电话轰炸我亲朋，同事。</t>
  </si>
  <si>
    <t>贷上钱游戏豆</t>
  </si>
  <si>
    <t>http://ts.21cn.com/tousu/show/id/1360362</t>
  </si>
  <si>
    <t>2019/10/14 13:06:49</t>
  </si>
  <si>
    <t>借款4000，游戏豆1200是需要多还款的，已经还款两期接近4000。</t>
  </si>
  <si>
    <t>广发信用卡协商还款</t>
  </si>
  <si>
    <t>http://ts.21cn.com/tousu/show/id/1360354</t>
  </si>
  <si>
    <t>2019/10/14 13:04:06</t>
  </si>
  <si>
    <t>因本人做生意失败，现在无力偿还信用卡欠款，多次协商未能通过，现在实在没有能力偿还，之前还了17000，不知道为什么还了这么多还欠这么多，我还了这么久只还的利息，本金根本没显示还，现在已经上班争取挣钱尽快还上可是银行不同意要我全还上现在已经影响到我的正常生活，我不是不还只是太多一下还不上，想协商还款，银行一直没回应，都是第三方020-22513116。</t>
  </si>
  <si>
    <t>聚富分期私自扣款299元并不给予退款</t>
  </si>
  <si>
    <t>http://ts.21cn.com/tousu/show/id/1360351</t>
  </si>
  <si>
    <t>2019/10/14 13:03:35</t>
  </si>
  <si>
    <t>聚富分期，无缘无故扣了我299元，我要去退款，客服说点小银分，然后点对小银分有疑问，我根本点不开，然后又让我提供6家平台申请失败的截图证明，可是根本没有提供6家平台那么多，我也点不开申请，最后说14天后会退，可现在都一个月了也没有收到退款，还有，扣款的时候我一点提示都没有收到，就直接收到付款成功的短信，如果说我在平台上借到了欠就算了，可是你们也没有给我下款，这种行为算是欺诈行为吧，我现在只要求退还全部扣款就可以了，一共是299块。</t>
  </si>
  <si>
    <t>招联金融恶意针对，还款未销账</t>
  </si>
  <si>
    <t>http://ts.21cn.com/tousu/show/id/1360343</t>
  </si>
  <si>
    <t>2019/10/14 12:59:18</t>
  </si>
  <si>
    <t>投诉人范女士投诉对象招联金融涉诉金额13000元问题类型诉求类型投诉详情招联金融还款后不结清账单，一直在拖延时间，每个月还给我上报逾期还款记录至征信。</t>
  </si>
  <si>
    <t>高利息砍头息，泄露客户信息</t>
  </si>
  <si>
    <t>http://ts.21cn.com/tousu/show/id/1360340</t>
  </si>
  <si>
    <t>2019/10/14 12:58:19</t>
  </si>
  <si>
    <t>退还砍头息，退还保证金，保险费之类的，希望平台给我解决问题。</t>
  </si>
  <si>
    <t>捷信贷款放款失败，取消不了合同</t>
  </si>
  <si>
    <t>http://ts.21cn.com/tousu/show/id/1360321</t>
  </si>
  <si>
    <t>2019/10/14 12:50:03</t>
  </si>
  <si>
    <t>捷信金融打电话说给我三万额度，我就下载了APP，然后点了合同进行了签署，我就打了客服电话，他们说给我处理，到现在APP里面的合同还在，我怕不取消掉，他们会从我卡里扣掉钱。</t>
  </si>
  <si>
    <t>捷信催收</t>
  </si>
  <si>
    <t>http://ts.21cn.com/tousu/show/id/1360310</t>
  </si>
  <si>
    <t>2019/10/14 12:48:05</t>
  </si>
  <si>
    <t>我就想问下捷信公司，你们钻法律空子钻的挺好，每天三个电话，接通你们催收员的电话说出了我占时还不上的原因，可是为什么你们每天还是这样打电话，打给我就算了，为啥去骚扰我朋友电话，我朋友电话你们打通以后就问他认不认识我，两句话不说你们就直接挂掉，我就想问下你们是不是想在整顿你们之前给每位用户都这样，我反应的这些不是我不还你们钱，别人几万，几十万的你们敢这样催收吗，我就几千块钱至于吗，一样聚投诉官方处理下，谢谢。</t>
  </si>
  <si>
    <t>钱站不取消借款</t>
  </si>
  <si>
    <t>http://ts.21cn.com/tousu/show/id/1360308</t>
  </si>
  <si>
    <t>2019/10/14 12:45:29</t>
  </si>
  <si>
    <t>本人10月6号在钱站app申请借款，12号没到账，找在线客服说帮我取消借款，客服说放款中取消不了，人工客服打不通，结果晚上到账了，到账更吓人，合同3990，到账3千，3期还差不多5600，而账单日却是每个月6号，总结：本人以为到账金额是3990才确认借款的，存在这种平台这种砍头息、利息，这里我就不谈法律法规问题了，诉求只有一个，希望钱站抓紧联系，把刚到账的本来收回去，本人用不起。</t>
  </si>
  <si>
    <t>猫眼不让我参加优惠买电影票</t>
  </si>
  <si>
    <t>http://ts.21cn.com/tousu/show/id/1360299</t>
  </si>
  <si>
    <t>2019/10/14 12:41:23</t>
  </si>
  <si>
    <t>在猫眼APP或者小程序上参加优惠购电影票的活动，无法享受优惠价，只能花更多的钱去买电影票！要求恢复我的账号优惠购票的权益。</t>
  </si>
  <si>
    <t>饰小屋商家扣款问题</t>
  </si>
  <si>
    <t>http://ts.21cn.com/tousu/show/id/1360296</t>
  </si>
  <si>
    <t>2019/10/14 12:39:50</t>
  </si>
  <si>
    <t>在支付宝小程序或者商家里面根本找不到这个商家也没有联系方式，想进去主动还款都不行，是不是跑路了，但是还在扣款，连我花呗都扣，信用服务里面显示逾期了，严重影响我的个人信用及生活。</t>
  </si>
  <si>
    <t>德州源头商务信息咨询有限公司非法为国外博彩网站提供充值平台</t>
  </si>
  <si>
    <t>http://ts.21cn.com/tousu/show/id/1360291</t>
  </si>
  <si>
    <t>2019/10/14 12:37:52</t>
  </si>
  <si>
    <t>德州源头商务信息咨询有限公司非法为国外博彩网站提供充值平台，本人祁麟，已向央行、中国反洗钱监测中心等相关主管部门举报，时间10.14号，电话153******59，博彩平台名称：亚博，平台网址:https://www.yabox17.com/，，2019年国庆有人加我微信宣传投资理财计划，给我了平台进行彩票投资机会，刚开始以为是正规的平台，后来发现是黑博彩平台，赢小输大，导致我亏损，充值渠道全部是通过转入德州源头商务信息咨询有限公司的账户，账户号：15761201040000971，，本人怀疑该公司疑似为国</t>
  </si>
  <si>
    <t>还款额已经超过本金，现在威胁我爆我通讯录</t>
  </si>
  <si>
    <t>http://ts.21cn.com/tousu/show/id/1360288</t>
  </si>
  <si>
    <t>2019/10/14 12:36:49</t>
  </si>
  <si>
    <t>还的钱已经超过借的本金，每期按时归还，本期由于资金不到位希望多宽限一天，都是对方恐吓我要爆我通讯录，刚已经接到父母电话，说有人态度恶劣跟他们打电话了，对我的生活造成了严重影响，细算一下，借款本金5500.一年要还差不多7500.这是严重的高利贷，而且催收还恐吓，电话轰炸，并且质问他们不承认，希望有关部门处理，谢谢！。</t>
  </si>
  <si>
    <t>投诉银联提供网络赌博通道</t>
  </si>
  <si>
    <t>http://ts.21cn.com/tousu/show/id/1360285</t>
  </si>
  <si>
    <t>2019/10/14 12:34:41</t>
  </si>
  <si>
    <t>涉嫌提供网络赌博通道！！我损失几十万！！真的太坑了，全是一些虚假商户！涉嫌单号太多了，，我没办法一一列出！！。</t>
  </si>
  <si>
    <t>关于平安银行车贷当日到期5点前与5点后逾期问题</t>
  </si>
  <si>
    <t>http://ts.21cn.com/tousu/show/id/1360277</t>
  </si>
  <si>
    <t>2019/10/14 12:31:48</t>
  </si>
  <si>
    <t>平安银行车贷当日还款日30号还款，那么5点之前处理，跟5点以后处理有什么区别，不都是30号，就因为是5点以后处理的就给我上了征信，导致我购买不了房子，本人希望平安银行给我一个合理的解释，从来没有逾期，贷款10万多，分三年，就几次5点以后还进去的，直接征信显示有逾期，导致我无法购买房子，还有王法吗。</t>
  </si>
  <si>
    <t>恒易贷提前还款不减免利息</t>
  </si>
  <si>
    <t>http://ts.21cn.com/tousu/show/id/1360274</t>
  </si>
  <si>
    <t>2019/10/14 12:31:09</t>
  </si>
  <si>
    <t>之前充钱在银行卡里没有自动提前还款，客服也没有告诉我说要充值到A片，导致现在提前还款利息增加。</t>
  </si>
  <si>
    <t>http://ts.21cn.com/tousu/show/id/1360266</t>
  </si>
  <si>
    <t>2019/10/14 12:29:43</t>
  </si>
  <si>
    <t>暴力催收，高额的逾期费用！还说如果规定时间内不还款降拨打公司电话和通讯录电话！给无关人员造成恶意骚扰。</t>
  </si>
  <si>
    <t>贷上钱逾期一天暴力催收</t>
  </si>
  <si>
    <t>http://ts.21cn.com/tousu/show/id/1360263</t>
  </si>
  <si>
    <t>2019/10/14 12:28:44</t>
  </si>
  <si>
    <t>9.13日在贷上钱平台贷款2000元，发现了，有一个恶魔猎手钻石币购买600元，但是我并没有什么恶魔猎手的游戏账号，贷上钱平台也没有给过我，这600的钻石币不知去向，还款需要还，期中和催收客服沟通说你已经跟我朋友父母联系了，我会去周转一下把钱还上，但是还是威胁要再次爆我通讯录，接受不了这种高额利息以及暴力催收。</t>
  </si>
  <si>
    <t>你我贷高利贷请降低利息</t>
  </si>
  <si>
    <t>http://ts.21cn.com/tousu/show/id/1360255</t>
  </si>
  <si>
    <t>2019/10/14 12:26:10</t>
  </si>
  <si>
    <t>你我贷利息太高，本金我已经还完了，现在加贷发现借不了，被套路，借15400还两万多，利息真的太高了，我现在没有能力偿还那么多钱，希望可以给我降低利息！联系不到平台客服，也没有电话回访！真的希望你们行行好我才21岁！。</t>
  </si>
  <si>
    <t>连连支付为高利贷收取砍头息</t>
  </si>
  <si>
    <t>http://ts.21cn.com/tousu/show/id/1360252</t>
  </si>
  <si>
    <t>2019/10/14 12:25:37</t>
  </si>
  <si>
    <t>投诉人孔女士投诉对象连连支付涉诉金额1500元问题类型诉求类型投诉详情连连支付为钱包易贷提供支付通道，以服务费方式收取砍头息，钱包易贷装死拒绝处理投诉，连连支付为高利贷保驾护航同样有责任，我要求退服务费和保险费。</t>
  </si>
  <si>
    <t>海尔金融够花关闭我的还款通道</t>
  </si>
  <si>
    <t>http://ts.21cn.com/tousu/show/id/1360245</t>
  </si>
  <si>
    <t>2019/10/14 12:22:17</t>
  </si>
  <si>
    <t>海尔金融借款逾期，后来还款时发现app被封住，无法自助还款，有客户联系了，但是就给了个账号让我往里面打款还钱，这个也不敢干相信。</t>
  </si>
  <si>
    <t>http://ts.21cn.com/tousu/show/id/1360244</t>
  </si>
  <si>
    <t>2019/10/14 12:22:03</t>
  </si>
  <si>
    <t>利息高的吓人，还款两万多，想提前还款才发现以前还的才还了本金3000元。</t>
  </si>
  <si>
    <t>咸鱼事后处理不当</t>
  </si>
  <si>
    <t>http://ts.21cn.com/tousu/show/id/1360241</t>
  </si>
  <si>
    <t>2019/10/14 12:20:42</t>
  </si>
  <si>
    <t>我在咸鱼发布了一双很便宜的阿迪鞋子，我也没说是正品，也没说是假货，咸鱼就说我发布假冒伪劣情形特别严重，后来我发起了申诉，申诉内容大致就是我当时并不知道这个东西是假货，因为这个鞋子是我在微店上看见的，微店也没说是假货，我就看着便宜就发布了，然后那个物品发布出来我也一直看过，也没人咨询我，也没人买，后来我申诉了，内容就是我最开始不知道这东西是假货，到现在我也不知道到底是不是假货，微店上也没说是不是假货，也没人能证明到底是什么品质，咸鱼让我提供进货凭证，我就把微店别人发布的图片发上去了，并且强调我不知道到底是假货</t>
  </si>
  <si>
    <t>恒易贷高利贷威胁</t>
  </si>
  <si>
    <t>http://ts.21cn.com/tousu/show/id/1360233</t>
  </si>
  <si>
    <t>2019/10/14 12:17:55</t>
  </si>
  <si>
    <t>到时候他们爆通讯录，上门都和他们无关！所有通话都已录音。</t>
  </si>
  <si>
    <t>平安银行信用卡</t>
  </si>
  <si>
    <t>http://ts.21cn.com/tousu/show/id/1360230</t>
  </si>
  <si>
    <t>2019/10/14 12:17:14</t>
  </si>
  <si>
    <t>我一次又一次跟平安银行协商说明自身情况，家里情况，我这么也一次又一次恳求她遵守信用卡第70条规则，中途我也有还过，有钱就处理点上去，他的逾期利息涨的可怕就算了，现在催收人员天天爆发短信到我的通讯录，还严重骚扰我的亲戚朋友，一次次恐吓威胁我，我跟他说了家里有老人小孩不希望上门，他们还威胁我，我可以自己去见面，但是他总不停恐吓威胁我，平安这么大银行非要逼人上绝路吗，我正好现在也不想活，老公欠了几百万，如果你们在这样骚扰其他人，，这两天狂打我电话，严重影响，我这边不止一次跟银行协商。</t>
  </si>
  <si>
    <t>期待合伙人，隐藏收费，高利贷，工作人员胡搅蛮缠</t>
  </si>
  <si>
    <t>http://ts.21cn.com/tousu/show/id/1360222</t>
  </si>
  <si>
    <t>2019/10/14 12:15:16</t>
  </si>
  <si>
    <t>本人于2019年12月在期待合伙人平台上借款9000元，工作人员说我勾选了什么服务，到账扣除1200，根本说不清楚，本人工作的上一任公司，几个月没有开工资，所以一直周转不开，已经找到新的工作，需要时间，目前暂无还款能力，希望借助贵平台能够帮助协商还款，暂停计息，停止催收。</t>
  </si>
  <si>
    <t>http://ts.21cn.com/tousu/show/id/1360211</t>
  </si>
  <si>
    <t>2019/10/14 12:12:22</t>
  </si>
  <si>
    <t>投诉人 王女士        投诉对象  安亿花        涉诉金额  198 元    问题类型    诉求类型投诉详情  申请了app就进不了，钱扣了。还说退款有进展让我去查看</t>
  </si>
  <si>
    <t>催收人员多次进行恐吓威胁骚扰</t>
  </si>
  <si>
    <t>http://ts.21cn.com/tousu/show/id/1360209</t>
  </si>
  <si>
    <t>2019/10/14 12:11:30</t>
  </si>
  <si>
    <t>因为生意失败导致资金困难，美团生活费的借钱分期近两个月还款不及时，但是每个月都会还，电话每次都会接，催收人员现在态度极其恶劣，多次对我及家人进行辱骂，恐吓，威胁，骚扰，并且威胁拨打家人电话进行辱骂，我再次表明态度，美团借我钱了，我肯定还，分期到期我会逾期几天，但是我每个月都有还款，没有逾期超过15天以上，逾期我也不想，确实因为资金困难没有办法，但是尽力每个月进行还款，而且保证每个月都进行过还款，逾期费用也都缴纳，希望美团停止催收人员的这种威胁恐吓，以下图片为证，再附上美团的电话记录，基本都有接到，很少漏接。</t>
  </si>
  <si>
    <t>钱站工作人员天天骚扰电话我司</t>
  </si>
  <si>
    <t>http://ts.21cn.com/tousu/show/id/1360178</t>
  </si>
  <si>
    <t>2019/10/14 12:10:11</t>
  </si>
  <si>
    <t>投诉人张先生投诉对象钱站涉诉金额0元问题类型诉求类型投诉详情以前的一位员工,跟钱站有经济纠纷,那位员工现已不是我司员工，自上月开始奉工作时间198******27自称钱站工作人员，天天打电话到我司电话,语言跟态度非常不有好,每天上午,下午,进行电话骚扰。</t>
  </si>
  <si>
    <t>缺钱么暴力催收（山东省滕州市昊洋大厦催收团队）</t>
  </si>
  <si>
    <t>http://ts.21cn.com/tousu/show/id/1360189</t>
  </si>
  <si>
    <t>2019/10/14 12:06:38</t>
  </si>
  <si>
    <t>言轰我通讯录，上门催收，有录音为证，如不处理，法院银监会见。</t>
  </si>
  <si>
    <t>http://ts.21cn.com/tousu/show/id/1360200</t>
  </si>
  <si>
    <t>2019/10/14 12:06:35</t>
  </si>
  <si>
    <t>投诉人李女士投诉对象小铜钱涉诉金额299元问题类型诉求类型投诉详情在本人不知情的情况下购买扣款希望予以退款。</t>
  </si>
  <si>
    <t>卖家虚假发货拒绝负责退货运费</t>
  </si>
  <si>
    <t>http://ts.21cn.com/tousu/show/id/1360186</t>
  </si>
  <si>
    <t>2019/10/14 12:06:01</t>
  </si>
  <si>
    <t>投诉人易先生投诉对象卖家,转转平台涉诉金额10元问题类型诉求类型投诉详情卖家虚假发货，收到货品与展示商品完全不一致，卖家坚称都是一样的，并拒绝了我在平台的退货申请，还说我骂人，让我感觉受到了侮辱，后我在转转平台申请客服介入，平台判定正常退货，但是由于我没有在收件时当场验货，所以自己负责退货运费，我由于工作性质原因无法当面签收货物，故选择由菜鸟驿站代收，向菜鸟驿站方面咨询，他们的政策是不支持开箱验货，且代收即签收，所以不能因为货物问题拒签退货，转转平台因为没能当场验货判定我自负运费是不合理的，更何况本起纠纷的</t>
  </si>
  <si>
    <t>北京爱农驿站为网赌平台提供支付渠道，请求为我退款挽回经济损失</t>
  </si>
  <si>
    <t>http://ts.21cn.com/tousu/show/id/1360177</t>
  </si>
  <si>
    <t>2019/10/14 12:04:47</t>
  </si>
  <si>
    <t>薪意贷砍头息高利贷</t>
  </si>
  <si>
    <t>http://ts.21cn.com/tousu/show/id/1360175</t>
  </si>
  <si>
    <t>2019/10/14 12:04:00</t>
  </si>
  <si>
    <t>本人在信用管家薪意贷贷款2250元，实际到账2250，需要还款522元6期，我已经还款4期，它们超出了国家规定的利率，希望联系我协商还款。</t>
  </si>
  <si>
    <t>要求翼支付随意借减掉罚息和高利息</t>
  </si>
  <si>
    <t>http://ts.21cn.com/tousu/show/id/1360164</t>
  </si>
  <si>
    <t>2019/10/14 11:59:59</t>
  </si>
  <si>
    <t>我一个亲戚被这个翼支付随意借网贷的高利息高罚息催收逼得离家出走一个多月了，怎么都找不到人，都不知道是死是活，家里人都着急坏了，离家出走之前他和我说过，被这网贷催收打电话发短信威胁，不还钱就打爆通讯录，上门闹，上工作单位闹，每天上百个电话轰炸，我们这些亲戚的号码也是整天被电话轰炸，已经严重的影响了我们的生活，利息和罚息已经远远超过了国家规定的24%年利率，我们这些亲戚朋友商量着说，帮他把钱还上，想和网贷公司协商减掉罚息和超过国家规定的利息，该还的我们一分不少，可是这些网贷公司态度很强硬，说一分都不能少，还威胁</t>
  </si>
  <si>
    <t>及贷催收人员恶意催收，盗取我个人用户信息！！</t>
  </si>
  <si>
    <t>http://ts.21cn.com/tousu/show/id/1360156</t>
  </si>
  <si>
    <t>2019/10/14 11:57:31</t>
  </si>
  <si>
    <t>投诉人孙先生投诉对象及贷涉诉金额9000元问题类型诉求类型投诉详情前期与及贷商家进行协商了还款事宜，现在有催收人员继续打电话威胁我，并且盗取了我的个人信息，以及很多住址还有联系方式，如果平台不能妥善处理此事，你们盗取的信息，还有联系我朋友的记录，自己看着办吧。</t>
  </si>
  <si>
    <t>暴力催收骚扰亲属朋友</t>
  </si>
  <si>
    <t>http://ts.21cn.com/tousu/show/id/1360151</t>
  </si>
  <si>
    <t>2019/10/14 11:56:40</t>
  </si>
  <si>
    <t>投诉人 李女士        投诉对象  喜鹊快贷        涉诉金额  5 000 元    问题类型    诉求类型投诉详情  暴力催收 发短信息 恐吓 骚扰亲属朋友</t>
  </si>
  <si>
    <t>要求小明出行押金退回</t>
  </si>
  <si>
    <t>http://ts.21cn.com/tousu/show/id/1360148</t>
  </si>
  <si>
    <t>2019/10/14 11:55:22</t>
  </si>
  <si>
    <t>投诉人 孙敏        投诉对象  小明出行        涉诉金额  699 元    问题类型    诉求类型投诉详情  2019年9月8日早晨使用小明出行软件 交付699押金 下午归还车辆 提交退押金申请 说21日后退回 当时也没在意 就等着吧 到今天2019年10月14日 仍为退回 客服电话 打过5次 给的结论是催促</t>
  </si>
  <si>
    <t>民航通虚假宣传，要求退还费用</t>
  </si>
  <si>
    <t>http://ts.21cn.com/tousu/show/id/1360145</t>
  </si>
  <si>
    <t>2019/10/14 11:55:09</t>
  </si>
  <si>
    <t>当时在四川泸州云龙机场一个叫张帅的工作人员以机场vip服务的方式诱导我和我父亲充了1480元进卡，当时给我们说的是充1480元返1520元，卡里会有三千，我们买票就会从这3000里扣，直到三千用完，才会抵折扣让微信或支付宝支付扣钱，可是我一次都没有用过然后第一次买还是要我微信支付并没有从3000元里扣，相当于我们白充咯1480元进去，民航存在虚假宣传。</t>
  </si>
  <si>
    <t>两次同意还款后减免迟纳金而两次失信</t>
  </si>
  <si>
    <t>http://ts.21cn.com/tousu/show/id/1360142</t>
  </si>
  <si>
    <t>2019/10/14 11:54:37</t>
  </si>
  <si>
    <t>身份证号5****************5，2017年因破产、丈夫去世、女儿生病出现愈期，金额四万七千多，后经银行催收，达成协议，再还40900就把剩余金额减免，我于今年五月到交行总部交涉，一位姓葛的女性工作人员，接待我，后来一直是她给我联系，最后达成一致，再还四千把后面的几千元利息、罚息减免了，她说银行的同意减免，不会再发生上次那种情况，我进行了录音，催收电话再次打过来，我给交行客服反应，姓葛工作人员再次打电话，说银行处理要走流程，需要时间，但近日有催收人员再次催收，而且一反以前的说法，说还需要还款，让</t>
  </si>
  <si>
    <t>投诉今日头条公司鲁班电商拖延退款</t>
  </si>
  <si>
    <t>http://ts.21cn.com/tousu/show/id/1360140</t>
  </si>
  <si>
    <t>2019/10/14 11:53:00</t>
  </si>
  <si>
    <t>9月26日邮寄，到现在依然没有给我退款，而且我的鲁班后台登录不上了。</t>
  </si>
  <si>
    <t>平台的对所售商品的安全措施不足，对商品、商家审查不严格，导致消费受到损害</t>
  </si>
  <si>
    <t>http://ts.21cn.com/tousu/show/id/1360134</t>
  </si>
  <si>
    <t>2019/10/14 11:51:24</t>
  </si>
  <si>
    <t>本人于2019年10月08日收到陌生来电，欺骗本人在拼多多平台上购买卡吧斯基充值店上四张“全国能用700面值沃尔玛电子卡礼品卡，本人在购买后无法进行充值时才发现上当受骗，于是马上到当地派出所进行报警，并在拼多多平台上申请退款，但商家一直以本人已充值消费为理由，不肯退款，本人申请拼多多平台与商家进行协商进行退款，但本人从无使用并充值过该四张卡，经多次协商，拼多多一直持以逃避责任的态度，拼多多作为平台，无法对消费者购买的商品，作出安全保障，且平台的对所售商品的安全措施不足，对商品、商家审查不严格，导致消费受到损</t>
  </si>
  <si>
    <t>薪意袋砍头息</t>
  </si>
  <si>
    <t>http://ts.21cn.com/tousu/show/id/1360131</t>
  </si>
  <si>
    <t>2019/10/14 11:50:26</t>
  </si>
  <si>
    <t>我在信用管家“薪意袋”申请一笔3000元贷款，被收取750元所谓的信用报告费用砍头息，实际到账2250元，分6期每期10天还款522元，共计需还款3132元，属于高利贷，我现在诉求依照到手本金及法律规定利率进行还款，但是联系不到平台客服，希望畅捷支付协助我退还砍头息费用或者只还到手本金及法律允许范围内的合法利息，如若不处理或互相推诿我将向政府金融办部门继续申诉。</t>
  </si>
  <si>
    <t>宜信贷款公司打骚扰电话</t>
  </si>
  <si>
    <t>http://ts.21cn.com/tousu/show/id/1360126</t>
  </si>
  <si>
    <t>2019/10/14 11:49:03</t>
  </si>
  <si>
    <t>本人由于被骗，暂时还不上贷款，和他说宽限几天，给我父亲天天打电话，要挟要报警，父亲身体不好，上医院了。</t>
  </si>
  <si>
    <t>微贷网多米贷冒充京东金融对借款人和联系人进行骚扰催收</t>
  </si>
  <si>
    <t>http://ts.21cn.com/tousu/show/id/1360120</t>
  </si>
  <si>
    <t>2019/10/14 11:48:36</t>
  </si>
  <si>
    <t>微贷网的多米贷的催收人员一直冒充自己是以京东金融的名义对借款人和联系人进行骚扰催收，本人电话核实京东金融客服人员不是京东金融的。</t>
  </si>
  <si>
    <t>兴业银行信用卡逾期一个账单</t>
  </si>
  <si>
    <t>http://ts.21cn.com/tousu/show/id/1360123</t>
  </si>
  <si>
    <t>2019/10/14 11:48:30</t>
  </si>
  <si>
    <t>2017年办了一张兴业银行信用卡，额度11000，到2019年9月之前一直正常使用，正常还款，直到9月底投资失败后导致资金链断裂，无法及时正常还款，10月份开始02120309328这个号码，一直暴力催收并威胁家里，我也申请过尽力而为，但是对方一直不予理睬，一直暴力催收，威胁家里老人，希望可以通过这个平台给予帮助。</t>
  </si>
  <si>
    <t>闪银闪贷频繁打电话催收影响我正常生活</t>
  </si>
  <si>
    <t>http://ts.21cn.com/tousu/show/id/1360115</t>
  </si>
  <si>
    <t>2019/10/14 11:48:04</t>
  </si>
  <si>
    <t>因资金周转不开，闪银闪贷逾期了4天，在第四天疯狂的给我打电话，我再三说明原因，也不同意协商，我是闪银的老客户了，我希望能延期到下个月，所有账单一起全部处理，期间出现的信用问题我个人承担，希望不要再骚扰我。</t>
  </si>
  <si>
    <t>诱导消费</t>
  </si>
  <si>
    <t>http://ts.21cn.com/tousu/show/id/1360112</t>
  </si>
  <si>
    <t>2019/10/14 11:46:37</t>
  </si>
  <si>
    <t>本人在内蒙古，木北造型在北京，出差机会去木北造型，诱导办卡，本人由于异地不能实现消费，现申请退卡。</t>
  </si>
  <si>
    <t>砍头息，提前还款还收其他费用</t>
  </si>
  <si>
    <t>http://ts.21cn.com/tousu/show/id/1360108</t>
  </si>
  <si>
    <t>2019/10/14 11:45:41</t>
  </si>
  <si>
    <t>8月26日，在拉卡拉易分期借款50000元，通过微信公众号直接找拉卡拉金融借取，分期12个月，每月还款为本金4035.2元+利息325.79元+其他费用628.7元，我现在要求提前还款，客服说，提前还款利息照收，我同意，其他费用是什么担保费和服务费，我还了一个月，准备提前还款，要求后面的担保费和服务费减免，不符合法律程序，而且我，都全部还款了，也不需要担保和服务了吧。</t>
  </si>
  <si>
    <t>京东白条骚扰亲朋好友</t>
  </si>
  <si>
    <t>http://ts.21cn.com/tousu/show/id/1360101</t>
  </si>
  <si>
    <t>2019/10/14 11:43:59</t>
  </si>
  <si>
    <t>京东金融白条群发文件，爆通讯录骚扰亲朋好友，给亲朋好友的生活带来了很大的影响，望有关部门重视妥善处理。</t>
  </si>
  <si>
    <t>闪闪花花不买商品不下款，变相砍头息，</t>
  </si>
  <si>
    <t>http://ts.21cn.com/tousu/show/id/1360098</t>
  </si>
  <si>
    <t>2019/10/14 11:43:39</t>
  </si>
  <si>
    <t>闪银旗下闪闪花花，标价268的茶叶其实就是十几块的廉价东西，变相砍头息，不买就不能通过，由于闪银在用的几笔借款同时套路，资金周转困难，想协商些时间周转，减免逾期费也不同意，不停表示要打通讯录联系人，威胁，要求停止骚扰协商还款。</t>
  </si>
  <si>
    <t>快捷通-成都安睿旺蜀网络科技有限公司在我不知情的情况下口我建设银行卡的钱，恶意扣费，要求退回</t>
  </si>
  <si>
    <t>http://ts.21cn.com/tousu/show/id/1360092</t>
  </si>
  <si>
    <t>2019/10/14 11:40:57</t>
  </si>
  <si>
    <t>快捷通-成都安睿旺蜀网络科技有限公司在我不知情的情况下口我建设银行卡的钱，恶意扣费，要求全额退回。</t>
  </si>
  <si>
    <t>小象优品不打电话直接爆我通讯录</t>
  </si>
  <si>
    <t>http://ts.21cn.com/tousu/show/id/1360087</t>
  </si>
  <si>
    <t>2019/10/14 11:39:13</t>
  </si>
  <si>
    <t>小象最后一期因为和发工资时间不在一起，所以和催收沟通推迟几天，然后第二天不给我联系，直接给我通讯录好友打电话发短信，还说这是流程，爆通讯录就直说，何必还装的这么累，一个女催收态度特别恶劣，话还没说完就说不处理还继续给你通讯录打电话，现在都这么嚣张吗，。</t>
  </si>
  <si>
    <t>玖富利息太高</t>
  </si>
  <si>
    <t>http://ts.21cn.com/tousu/show/id/1360085</t>
  </si>
  <si>
    <t>2019/10/14 11:39:05</t>
  </si>
  <si>
    <t>投诉人 王先生        投诉对象  玖富        涉诉金额  51 000 元    问题类型    诉求类型投诉详情  当时因为确实着急借钱 没有仔细阅读合同 后来还款发现每个月需要支付高额的服务费 现在因为被人骗 实在无力偿还每期这么高的费用 希望可以减免服务费 协商归还本金</t>
  </si>
  <si>
    <t>要求360借条减掉罚息和高利息</t>
  </si>
  <si>
    <t>http://ts.21cn.com/tousu/show/id/1360081</t>
  </si>
  <si>
    <t>2019/10/14 11:38:40</t>
  </si>
  <si>
    <t>我一个亲戚被这360借条的高利息高罚息催收逼得离家出走一个多月了，怎么都找不到人，是死是活都不知道，家里人都着急坏了，离家出走之前他和我说过，被这网贷催收打电话发短信威胁，不还钱就打爆通讯录，上门闹，上工作单位闹，每天上百个电话轰炸，我们这些亲戚朋友的号码也是整天被轰炸，已经严重影响了我们的生活，我们利息和罚息已经远远超过了国家规定的24%年利率，我们这些亲戚朋友商量着说帮他把钱还上，想和网贷公司协商减掉罚息和高过国家规定的利息，该还的我们一分不少，可是这些网贷公司态度很强硬，说一分都不能少，还威胁我们，说</t>
  </si>
  <si>
    <t>哈喽出行私自扣分收取附加费</t>
  </si>
  <si>
    <t>http://ts.21cn.com/tousu/show/id/1360079</t>
  </si>
  <si>
    <t>2019/10/14 11:37:58</t>
  </si>
  <si>
    <t>哈啰单车擅自以我私占单车扣除驾校分，导致我使用时每笔要支付5元的附加费，影响我月卡的使用，而我并没有私占单车，哈啰单车侵犯消费者权益，要求恢复我的驾照分，退还我支付的附加费。</t>
  </si>
  <si>
    <t>民航联盟一卡通误导消费者</t>
  </si>
  <si>
    <t>http://ts.21cn.com/tousu/show/id/1360063</t>
  </si>
  <si>
    <t>2019/10/14 11:36:32</t>
  </si>
  <si>
    <t>投诉人曹女士投诉对象民航通涉诉金额1480元问题类型诉求类型投诉详情2019年八月三日早晨八点，急匆匆赶到泸州云龙机场准备换登机牌的时候，被一个民航柜台工作人员拉住，说要为我们办理超值的贵宾卡，付款1480享受余额三千元，并且当时说可以用余额来购买机票，还可以享受免费升舱，以及现在工作人员直接帮忙换取登机牌，还有贵宾休息室，结果今天准备买机票的时候才发现是一个骗局，工作人员说积分必须达到五万分才可以用积分抵扣机票，当初说得好好的，现在付完钱意思告诉我要保底消费五万元才可以把付款的1480元用来直接买机票，以</t>
  </si>
  <si>
    <t>催收手段，极其恶劣，造成本人，身败名裂，活不下去，</t>
  </si>
  <si>
    <t>http://ts.21cn.com/tousu/show/id/1360006</t>
  </si>
  <si>
    <t>2019/10/14 11:36:28</t>
  </si>
  <si>
    <t>催收手段，极其恶劣，造谣，恐吓，造成本人，精神即将崩溃，身败名裂，生活困难，都想自杀，。</t>
  </si>
  <si>
    <t>拍拍贷私自调取本人名下其他联系方式</t>
  </si>
  <si>
    <t>http://ts.21cn.com/tousu/show/id/1360076</t>
  </si>
  <si>
    <t>2019/10/14 11:36:19</t>
  </si>
  <si>
    <t>拍拍贷在没经过本人同意的情况下，私自调取本人名下其他联系方式进行骚扰。</t>
  </si>
  <si>
    <t>我来数科电话威胁，恶意骚扰，高额逾期费</t>
  </si>
  <si>
    <t>http://ts.21cn.com/tousu/show/id/1360074</t>
  </si>
  <si>
    <t>2019/10/14 11:35:48</t>
  </si>
  <si>
    <t>我来数科因工资拖欠问题逾期了3天，今早接到催收电话，态度极其恶劣，威胁爆通讯录联系人，恐吓我要全额还款，在我接电话解释的情况下违法联系骚扰我的通讯录好友，对我的名誉和生活造成了严重的影响，现在要求我来数科给个说法，并向我道歉，并减免逾期费用，工资到账立马还款。</t>
  </si>
  <si>
    <t>汇潮支付支付宝非法为714高炮提供放款还款通道</t>
  </si>
  <si>
    <t>http://ts.21cn.com/tousu/show/id/1360070</t>
  </si>
  <si>
    <t>2019/10/14 11:35:19</t>
  </si>
  <si>
    <t>本人9月份10月份通过短信链接下载了佑佑分期和想有钱，APP借款1100.2天后要还款1500.名副其实的714高炮，'还款当天就打电话催收，以骚扰通讯录为由逼迫还款，，迫于无奈只能还款，此714高炮通过汇潮支付下款，支付宝提供还款，希望能退回多付的利息2400元。</t>
  </si>
  <si>
    <t>http://ts.21cn.com/tousu/show/id/1360068</t>
  </si>
  <si>
    <t>2019/10/14 11:34:43</t>
  </si>
  <si>
    <t>拍拍贷高利贷，300多逾期一天25元，太可怕了，调整利率，。</t>
  </si>
  <si>
    <t>新网银行</t>
  </si>
  <si>
    <t>http://ts.21cn.com/tousu/show/id/1360065</t>
  </si>
  <si>
    <t>2019/10/14 11:34:15</t>
  </si>
  <si>
    <t>投诉人 李先生        投诉对象  新网银行 ,来分期        涉诉金额  1 400 元    问题类型    诉求类型投诉详情  打个银行的幌子，做个高利贷涉黑的生意。真的是为了钱害死一个是一个。</t>
  </si>
  <si>
    <t>好分期恶意催收辱骂家人</t>
  </si>
  <si>
    <t>http://ts.21cn.com/tousu/show/id/1360064</t>
  </si>
  <si>
    <t>2019/10/14 11:34:00</t>
  </si>
  <si>
    <t>好分期利息奇高，催收人员态度极其恶劣，辱骂家人，威胁人身安全！还盗取我个人信息封停我的微信账号！希望好分期给出一个合理解释。</t>
  </si>
  <si>
    <t>美团小美果园活动不公平</t>
  </si>
  <si>
    <t>http://ts.21cn.com/tousu/show/id/1360057</t>
  </si>
  <si>
    <t>2019/10/14 11:32:44</t>
  </si>
  <si>
    <t>我第一次种小美果园是在群里看到朋友发的链接进去玩的，当时朋友说种了有20红包我就种了结果真的有20红包我就以为有，谁知道这次种了没有了，美团小美客服说是活动期间国庆拥堵才有，我真是搞笑，这活动朋友说都开始很长时间了好几个月了怎么就国庆才有，截图显示果园开始的时候活动奖励是有优惠劵水果和现金可以选的现在没有告知用户就自己说没了就没了，一句话国庆过去了就没了就可以了，我现在根本没有那个地址去收快递居无定所的你要我怎样，叫客服帮忙兑换死活不肯，玩个活动完到最后受一肚子气。</t>
  </si>
  <si>
    <t>拇指下款,聚富分期,海南圣云可网络科技有限公司</t>
  </si>
  <si>
    <t>http://ts.21cn.com/tousu/show/id/1360054</t>
  </si>
  <si>
    <t>2019/10/14 11:32:14</t>
  </si>
  <si>
    <t>本人于10月11日下载上海跃吉网络科技有限公司的拇指下款app，用手机号注册账号之后填写个人资料提交审核，期间需要勾选评估服务协议，推荐服务协议等，需要绑定银行卡信息和手机验证码，个人评估有一个是现金支付一个是券支付，选择了券支付，app里并没有显眼说明这个券支付是会自动绑定银行卡扣款购买的，发现扣款名称是平台的小银券，里面没有退款路径，也没有扣款提醒，联系平台客服电话029-68280977，得到的答复是我自愿并知情下选择的行为，这是文字陷阱诱导的误导行为，客服一套话术不正面回应退款诉求，后来上网搜索发现</t>
  </si>
  <si>
    <t>小赢卡贷阴阳合同砍头息捆绑购买保险暴力催收</t>
  </si>
  <si>
    <t>http://ts.21cn.com/tousu/show/id/1360052</t>
  </si>
  <si>
    <t>2019/10/14 11:31:19</t>
  </si>
  <si>
    <t>小赢卡贷,深圳市赢众通金融信息服务有限公司，1.捆绑购买保险阴阳合同砍头息本人在2018年12月14日在“深圳市赢众通金融信息服务有限责任公司”，，其中第一期费用为2181.21元，该公司故意加这份保险给我，实际年利率远远超过国家法定规定利率！2.暴力催收威胁恐吓在此期间，收到催收工作人员电话，威胁并恐吓我进行还款，我称给予时间客服与催收均不给予！也不再解释保险费用事情！投诉均无果，至今得不到解决！。</t>
  </si>
  <si>
    <t>广发银行信用卡逾期拒绝协商还款，委托第三方催收</t>
  </si>
  <si>
    <t>http://ts.21cn.com/tousu/show/id/1360049</t>
  </si>
  <si>
    <t>2019/10/14 11:30:32</t>
  </si>
  <si>
    <t>本人自用广发信用卡以来一直保持正常还款，今年年初家里80岁的老母亲住院花销一大笔钱，再加上投资失败造成从今年2月份开始只能还最低还款，更加雪上加霜的是广发直接把额度从15000降到3000，所有的亲朋好友能借的都借过了，因为在发工资的银行也有贷款没有还完，已经连着4个月工资一到账就秒扣完，每个月只能靠妻子不到2000的工资维持生计，6月份起连最低还款也还不上了，这期间一直在和广发信用卡中心说明实际情况和还款意愿希望协商能办理分期还款，到现在都没有得到同意，9月底至10月8、10号分别有郑州的三个催收人员不停</t>
  </si>
  <si>
    <t>快闪卡贷套路贷</t>
  </si>
  <si>
    <t>http://ts.21cn.com/tousu/show/id/1360046</t>
  </si>
  <si>
    <t>2019/10/14 11:29:45</t>
  </si>
  <si>
    <t>快闪卡贷已套路、买保险砍头息、阴阳合同的方式，收取远远高于国家利息的费用，到账金额与贷款金额相差甚多。</t>
  </si>
  <si>
    <t>http://ts.21cn.com/tousu/show/id/1360043</t>
  </si>
  <si>
    <t>2019/10/14 11:29:27</t>
  </si>
  <si>
    <t>投诉了，给我来电，不给我解决，客户一个会一个电话给我打，都是不解决问题，打骚扰电话给我。</t>
  </si>
  <si>
    <t>高铁管家白金会员无效，没有成功使用任何一项会员权益，没有退款通道</t>
  </si>
  <si>
    <t>http://ts.21cn.com/tousu/show/id/1360041</t>
  </si>
  <si>
    <t>2019/10/14 11:28:21</t>
  </si>
  <si>
    <t>购买了高铁管家白金会员没有效果，还没有使用会员的其他任何一项服务都不给退，像其他类似软件在没成功使用会员服时会员服务费是可以退款的，，像同程没有购票成功加速抢票服务费是给退回的，但是高铁管家这款APP想退票没有退款通道，也没有客服。</t>
  </si>
  <si>
    <t>兰州机场出行唯选虚假宣传误导</t>
  </si>
  <si>
    <t>http://ts.21cn.com/tousu/show/id/1360005</t>
  </si>
  <si>
    <t>2019/10/14 11:27:18</t>
  </si>
  <si>
    <t>本人三个月前在甘肃兰州出差，刚到机场遇到机场人员推销出行唯选他们口中所谓的会员卡，口口声声说冲1800送1000里面的费用可以买机票，可以打折，属于机场会员，本人索性充值了，到今天到兰州要用了，打电话给客服发现并不是扣费卡里的钱，而是卡里扣出50元基建，而且费用没折扣，现在又改口说这个卡只是让我多个买机票的选择平台而已，和当初的宣传都不一样，本人很寒心，机场人员都这样了吗。</t>
  </si>
  <si>
    <t>小赢卡贷退保险费降低息费免骚扰！！</t>
  </si>
  <si>
    <t>http://ts.21cn.com/tousu/show/id/1360038</t>
  </si>
  <si>
    <t>2019/10/14 11:27:02</t>
  </si>
  <si>
    <t>要求退款两笔险费1400元，上个月暴力催收要求道歉。</t>
  </si>
  <si>
    <t>立借高利贷借一万还13900</t>
  </si>
  <si>
    <t>http://ts.21cn.com/tousu/show/id/1360032</t>
  </si>
  <si>
    <t>2019/10/14 11:24:59</t>
  </si>
  <si>
    <t>立借，借一万还13900元，逾期一天加300元，而且打电话恐吓。</t>
  </si>
  <si>
    <t>http://ts.21cn.com/tousu/show/id/1360030</t>
  </si>
  <si>
    <t>2019/10/14 11:24:52</t>
  </si>
  <si>
    <t>投诉人 闫女士        投诉对象  唯品会        涉诉金额  1 500 元    问题类型    诉求类型投诉详情  唯品会，无缘无故永久停用，不知道为什么？</t>
  </si>
  <si>
    <t>京东买商品质量有问题以超过七天为由不给退货</t>
  </si>
  <si>
    <t>http://ts.21cn.com/tousu/show/id/1360027</t>
  </si>
  <si>
    <t>2019/10/14 11:23:29</t>
  </si>
  <si>
    <t>买的衣服19年10月2号快递放在快递服务站，10月10号去拿得快递，拿回来以后发现有质量问题，然后申请退货卖家以超过七天为由，关闭了售后退货申请。</t>
  </si>
  <si>
    <t>新橙优品乱扣费高利贷</t>
  </si>
  <si>
    <t>http://ts.21cn.com/tousu/show/id/1360024</t>
  </si>
  <si>
    <t>2019/10/14 11:23:12</t>
  </si>
  <si>
    <t>直到今天客服加我微信还说什么难道天天需要在屁股后面要钱啥的，还有之前客服也答应了300块钱的保险费减免也没有。</t>
  </si>
  <si>
    <t>尚德机构不退学费</t>
  </si>
  <si>
    <t>http://ts.21cn.com/tousu/show/id/1359969</t>
  </si>
  <si>
    <t>2019/10/14 11:21:59</t>
  </si>
  <si>
    <t>我是2018年3月份在北京尚德机构报名的专本连读，尚德机构跟我沟通后说我上不上课跟他们没关系。</t>
  </si>
  <si>
    <t>好分期逾期一天手续费高达51.75元</t>
  </si>
  <si>
    <t>http://ts.21cn.com/tousu/show/id/1360021</t>
  </si>
  <si>
    <t>2019/10/14 11:21:57</t>
  </si>
  <si>
    <t>好分期借了1750分了九期最后需要归还2230元已超出最高规定的百分之24，并且由于单位工资于每月15日发放的原因逾期一天逾期产生高达51.75元，现通过聚投诉平台，要求出借方调整利率，按照规定的百分之24。</t>
  </si>
  <si>
    <t>去哪借老李救急套路贷</t>
  </si>
  <si>
    <t>http://ts.21cn.com/tousu/show/id/1360016</t>
  </si>
  <si>
    <t>2019/10/14 11:21:40</t>
  </si>
  <si>
    <t>去哪借导流平台老李救急，借款2000到账1500，14天还款时间，不是315曝光一直还蒙在鼓里，深陷泥潭不能自拔，现要求去哪借担负起中介导流平台的责任，要求退还多收的高利贷费用。</t>
  </si>
  <si>
    <t>http://ts.21cn.com/tousu/show/id/1360013</t>
  </si>
  <si>
    <t>2019/10/14 11:20:18</t>
  </si>
  <si>
    <t>洋钱罐借款3000元，之前经济困难，有逾期，从来都是想有钱了立马还上，3000元，已还1400.还要再还2694才能结清，利息1000。</t>
  </si>
  <si>
    <t>买车变租车</t>
  </si>
  <si>
    <t>http://ts.21cn.com/tousu/show/id/1359953</t>
  </si>
  <si>
    <t>2019/10/14 11:19:43</t>
  </si>
  <si>
    <t>本人实名举报浙江大搜车融资租赁有限公司、浙江大搜车佛山分公司，本人于2018年5月2日在广州弹个车门店购买一辆日产蓝鸟汽车，该公司销售人员故意隐瞒弹个车的租赁合同，且误导我为购车，在明知道我是购车意愿的情况下代签租赁合同，侵犯消费者知情权，公平交易权，销售承诺的一年后可以退车，实际要支付汽车指导价百分之10的违约金，导致我现在共花了11300的首付款+3000服务费+2698的月供*12个月合计算下来32376的每月租车，退车支付违约金10000+车损费一万多合计算下来为我一年花费5万多租一辆车，一年之后以</t>
  </si>
  <si>
    <t>纳什空间合同到期不退还押金</t>
  </si>
  <si>
    <t>http://ts.21cn.com/tousu/show/id/1360009</t>
  </si>
  <si>
    <t>2019/10/14 11:19:14</t>
  </si>
  <si>
    <t>本人于2019年8月9日终止与纳什空间的租房合同，合同规定20天内退还押金24000元，但押金一直未退还，已经构成违约，本人多次沟通都以正在申请处理为由拖延。</t>
  </si>
  <si>
    <t>要求ETC助手马上帮我注销设备，清除数据</t>
  </si>
  <si>
    <t>http://ts.21cn.com/tousu/show/id/1360002</t>
  </si>
  <si>
    <t>2019/10/14 11:17:13</t>
  </si>
  <si>
    <t>我于8月19日将ETC设备寄回发卡方办理注销，etc助手客服回复说30-45天可以注销成功，现在已经10月14日还没有注销设备，不给清除数据，10.9日说帮我登记说3天可以回复也没有消息，一直让我等，各种欺骗！。</t>
  </si>
  <si>
    <t>交易问题</t>
  </si>
  <si>
    <t>http://ts.21cn.com/tousu/show/id/1359997</t>
  </si>
  <si>
    <t>2019/10/14 11:15:27</t>
  </si>
  <si>
    <t>10月9日在这个小程序拼团购买的衣服，购买后我不想要了在没发货之前我就申请退款了，不给处理，最后收到货了，期间联系这个平台和商家都联系不上或打通电话后不接，再打就关机！联系微信客服，微信不管，说管不了！我觉得微信没有尽到它应有的监管责任，既然你给开小程序，就该监管，为什么发生问题后说管不了呢，微信就顾打广告赚钱了，虽然我现在也用微信，但我还是祝你早日LL！。</t>
  </si>
  <si>
    <t>西伯利存在高额砍头息</t>
  </si>
  <si>
    <t>http://ts.21cn.com/tousu/show/id/1359993</t>
  </si>
  <si>
    <t>2019/10/14 11:13:57</t>
  </si>
  <si>
    <t>投诉人朱明辉投诉对象西伯利涉诉金额3000元问题类型诉求类型投诉详情西伯利高额的砍头息，高利贷，还伴有暴力催收，发短信恐吓，骚扰通讯录，希望有关部门严肃处理！。</t>
  </si>
  <si>
    <t>闪银超高服务费</t>
  </si>
  <si>
    <t>http://ts.21cn.com/tousu/show/id/1359990</t>
  </si>
  <si>
    <t>2019/10/14 11:13:56</t>
  </si>
  <si>
    <t>投诉人缪先生投诉对象Wecash闪银涉诉金额10000元问题类型诉求类型投诉详情闪银每次借款1300到账只有1000前期收取高昂的会员费，希望可以做出解释。</t>
  </si>
  <si>
    <t>http://ts.21cn.com/tousu/show/id/1359986</t>
  </si>
  <si>
    <t>2019/10/14 11:12:35</t>
  </si>
  <si>
    <t>投诉人 邹志欢        投诉对象  聚福钱包        涉诉金额  150 元    问题类型    诉求类型投诉详情  乱扣匹配假平台这是什么东西 垃圾平台骗子</t>
  </si>
  <si>
    <t>平安银行新一贷还我钱</t>
  </si>
  <si>
    <t>http://ts.21cn.com/tousu/show/id/1359982</t>
  </si>
  <si>
    <t>2019/10/14 11:11:35</t>
  </si>
  <si>
    <t>平安银行新一贷一开始贷款一万一千元，我承认由于我银行卡号填错导致事情复杂化，需要支付5000元银监会认证，保证支付以后就可以打款了，之后再次打款失败，第二次说流水不足，且信用评分不足，需要技术部门冲刷信用，支付9600元，五分钟后再次需要支付14868全部重刷完成，第三次五分钟后说银行流水不足，需要支付26800冲刷银行流水，第四次说总部已经列入帮助解决问题，需最后辉29000完成最后工作，然后说正在打款，第二天十点前入账，可今天并没有入账，联系客服人员，给出回复是需要五万冲刷银行流水，我没有钱了，而且昨天</t>
  </si>
  <si>
    <t>http://ts.21cn.com/tousu/show/id/1359977</t>
  </si>
  <si>
    <t>2019/10/14 11:11:15</t>
  </si>
  <si>
    <t>态度及其恶劣，没有商量解决这个事情，语气非常不好。</t>
  </si>
  <si>
    <t>钱置宝催收恐吓</t>
  </si>
  <si>
    <t>http://ts.21cn.com/tousu/show/id/1359971</t>
  </si>
  <si>
    <t>2019/10/14 11:08:41</t>
  </si>
  <si>
    <t>高利息，本来和客服联系说还款减免百分之三十欠款，今天催收不给减免还一直骚扰。</t>
  </si>
  <si>
    <t>360违规爆通讯录</t>
  </si>
  <si>
    <t>http://ts.21cn.com/tousu/show/id/1359966</t>
  </si>
  <si>
    <t>2019/10/14 11:08:27</t>
  </si>
  <si>
    <t>本人在360借条借款逾期十多天，跟平台说明情况并不是恶意不管，但第三方催收然后爆我通讯录，加好友发消息。</t>
  </si>
  <si>
    <t>抖音服务退款赔偿</t>
  </si>
  <si>
    <t>http://ts.21cn.com/tousu/show/id/1359964</t>
  </si>
  <si>
    <t>2019/10/14 11:08:18</t>
  </si>
  <si>
    <t>2018年11月4日与福建字节跳动科技有限公司签署服务协议，当时的负责人赵德坚先生向我们推广服务时有强调“低成本，可受控，日均可控制在100元以内的预算，乙方可随时调整出价及活动”购买服务后，无任何专人负责系统培训我方操作知识，只有运营客服在操作，并不断暗示100元以内的效果很差，需要加钱，并且一度达到日消费500元人民币，此时客服回复效果很棒，运营客服与推广专员存在签约前隐瞒事实、签约后强制消费等行为，并且为了推广而投资的6200元，并未起到任何效果，投放广告有时处于未通过审核、或暂停状态、客服回应不积极</t>
  </si>
  <si>
    <t>鱼米分期无法还款</t>
  </si>
  <si>
    <t>http://ts.21cn.com/tousu/show/id/1359960</t>
  </si>
  <si>
    <t>2019/10/14 11:07:04</t>
  </si>
  <si>
    <t>在鱼米分期借款1600，实际到账1040，其中又收取一次分期费用592元，还款日起明天到期，app无法登录还款，联系客服，客服要求微信还款，否则有逾期费用，却无法核对我的信息跟欠款金额，麻烦客服联系处理。</t>
  </si>
  <si>
    <t>车速拍平台不退保证金</t>
  </si>
  <si>
    <t>http://ts.21cn.com/tousu/show/id/1359958</t>
  </si>
  <si>
    <t>2019/10/14 11:06:44</t>
  </si>
  <si>
    <t>本人当时考虑买辆家用二手车，浏览到车速拍平台，并且看到一辆心仪的车子，准备出价的时候平台系统提示我需要充值500元才可以有权利竞拍，充值后系统又提示我再充值1500才可以竞拍，我怕竞拍不到就放弃了然后想退回500元保证金，可是客服说需要审核才能退款，需要联系业务经理，可是业务经理说让我联系400客服来回踢皮球。</t>
  </si>
  <si>
    <t>关于有间钱庄贷款APP无法还款事宜</t>
  </si>
  <si>
    <t>http://ts.21cn.com/tousu/show/id/1359955</t>
  </si>
  <si>
    <t>2019/10/14 11:06:04</t>
  </si>
  <si>
    <t>本人于2019年9月2日在有间钱庄APP平台借款2000元，分四期归还，每期还款822元。</t>
  </si>
  <si>
    <t>投诉京东卖违规产品</t>
  </si>
  <si>
    <t>http://ts.21cn.com/tousu/show/id/1359947</t>
  </si>
  <si>
    <t>2019/10/14 11:04:50</t>
  </si>
  <si>
    <t>烟丝是指用烟叶、复烤烟叶、烟草薄片为原料加工制成的丝、末、粒状物品，根据法律规定，卷烟、雪茄烟、烟丝、复烤烟叶统称烟草制品，都属于烟草专卖品范畴，国家对烟草专卖品的生产、销售、进出口依法实行专卖管理，未经许可不得擅自销售，1、《烟草专卖法》第十九条　卷烟、雪茄烟和有包装的烟丝必须申请商标注册，未经核准注册的，不得生产、销售，无烟草专卖生产企业许可证生产烟草制品的，由烟草专卖行政主管部门责令关闭，没收违法所得，处以所生产烟草制品价值一倍以上两倍以下的罚款，并将其违法生产的烟草制品公开销毁。</t>
  </si>
  <si>
    <t>功夫贷收取高利贷，砍头息</t>
  </si>
  <si>
    <t>http://ts.21cn.com/tousu/show/id/1359944</t>
  </si>
  <si>
    <t>2019/10/14 11:03:45</t>
  </si>
  <si>
    <t>本人在功夫贷借款55200元，该笔金额借款时全额到账，但没几分钟就扣回了5200元，这种行为属于砍头息，另外还收取高额的利息，还款利息按照55200还的，借款期数6期，每期还款9658.13元。</t>
  </si>
  <si>
    <t>已还款还提示逾期</t>
  </si>
  <si>
    <t>http://ts.21cn.com/tousu/show/id/1359942</t>
  </si>
  <si>
    <t>2019/10/14 11:03:41</t>
  </si>
  <si>
    <t>13号的账单已经结清，14号居然发信息说我逾期了。</t>
  </si>
  <si>
    <t>http://ts.21cn.com/tousu/show/id/1359939</t>
  </si>
  <si>
    <t>2019/10/14 11:02:48</t>
  </si>
  <si>
    <t>借款3000到账2000逾期一天利息100。</t>
  </si>
  <si>
    <t>花财app未到还款日扣款</t>
  </si>
  <si>
    <t>http://ts.21cn.com/tousu/show/id/1359936</t>
  </si>
  <si>
    <t>2019/10/14 11:02:33</t>
  </si>
  <si>
    <t>还款日18号，今天银行卡莫名其妙被扣了钱，查了下是花财app！有必要站出来给我解释下为什么未到还款日提前扣款，还没有短信通知！如果银行卡里没钱扣是不是今天就设定为逾期日！垃圾软件！。</t>
  </si>
  <si>
    <t>逾期已还继续催收</t>
  </si>
  <si>
    <t>http://ts.21cn.com/tousu/show/id/1359933</t>
  </si>
  <si>
    <t>2019/10/14 11:01:49</t>
  </si>
  <si>
    <t>个人原因造成逾期，逾期还完后继续打电话要求全额还款，不还就上门什么什么的。</t>
  </si>
  <si>
    <t>人保贷款暴力催收</t>
  </si>
  <si>
    <t>http://ts.21cn.com/tousu/show/id/1359804</t>
  </si>
  <si>
    <t>2019/10/14 11:01:46</t>
  </si>
  <si>
    <t>投诉人陈兴权先生投诉对象人保公司,光大银行涉诉金额60000元问题类型诉求类型投诉详情本人在人保公司贷款6万元，好像是人保与光大银行合作的，分36期，每期还款2838.34元，3年下来，将近10万，光大银行的还算正常，可是人保空手套白狼每月坐收将近1000元利息，只要有点逾期，人保公司的催收就开始狂轰乱炸，骚扰电话骚扰信息不断，家人也不胜其烦，整个人都被他们折磨的不堪一击了，每晚都在做噩梦！希望国家有关部门查一下，还老百姓一个自由的蓝天，呼吸新鲜空气的机会！我不是不还，是没能力还，利息太高！。</t>
  </si>
  <si>
    <t>http://ts.21cn.com/tousu/show/id/1359931</t>
  </si>
  <si>
    <t>2019/10/14 11:01:36</t>
  </si>
  <si>
    <t>浦发银行信用卡中心，因我逾期未还款，暴力催收，找人员恐吓我，必须全款还款，如不全款就要上门恐吓我还款，首先，商量多次，都只是敷衍我的说会有人和我联系，联系的人就是催收钱暴力吗。</t>
  </si>
  <si>
    <t>欠钱不还</t>
  </si>
  <si>
    <t>http://ts.21cn.com/tousu/show/id/1359928</t>
  </si>
  <si>
    <t>2019/10/14 10:59:57</t>
  </si>
  <si>
    <t>南京凡普信的工作人员李斌欠钱不还，联系不到他。</t>
  </si>
  <si>
    <t>http://ts.21cn.com/tousu/show/id/1359925</t>
  </si>
  <si>
    <t>2019/10/14 10:59:45</t>
  </si>
  <si>
    <t>闪银瞬瞬因为资金问题逾期三天，连着打电话催收，态度很差，威胁好几次，一直用你们家产品，这两天资金运转困难，与催收员协商沟通不了，申请延期几天。</t>
  </si>
  <si>
    <t>嘀嗒出行不开发票</t>
  </si>
  <si>
    <t>http://ts.21cn.com/tousu/show/id/1359920</t>
  </si>
  <si>
    <t>2019/10/14 10:59:05</t>
  </si>
  <si>
    <t>9月30日、10月3日在嘀嗒出行上乘顺风车，消费共271元，不给开发票。</t>
  </si>
  <si>
    <t>减免费用，协商</t>
  </si>
  <si>
    <t>http://ts.21cn.com/tousu/show/id/1359917</t>
  </si>
  <si>
    <t>2019/10/14 10:58:26</t>
  </si>
  <si>
    <t>投诉人刘旭投诉对象Wecash闪银涉诉金额1111元问题类型诉求类型投诉详情1000块钱，当时砍头息300元，三个月还了150，延期两次还了400元也就是借一千块钱到手七百还了已经还了550块钱，剩下的还得还900多，逾期一个多月又涨了200块钱罚息。</t>
  </si>
  <si>
    <t>误点借款，想要退款，不给退</t>
  </si>
  <si>
    <t>http://ts.21cn.com/tousu/show/id/1359914</t>
  </si>
  <si>
    <t>2019/10/14 10:58:19</t>
  </si>
  <si>
    <t>本人12号晚在51公积金借款申请了贷款，然后有一家叫盈火科技的通过了审核，知道今天14号还没有放款，想取消借款，打电话跟客服沟通称无法取消，再沟通想等放款了马上退款，也遭到拒绝，想请聚投诉出面帮忙协商，只需要取消放款，或退款就行。</t>
  </si>
  <si>
    <t>信用管家APP神马借高额砍头息无理逾期费用</t>
  </si>
  <si>
    <t>http://ts.21cn.com/tousu/show/id/1359894</t>
  </si>
  <si>
    <t>2019/10/14 10:57:38</t>
  </si>
  <si>
    <t>9月22日，还款日当天信用管家APP被查，导致无法还款，曾多次联系神马借客服电话4008691039，均无人接听，导致所谓的逾期，神马借只发短信说，让等待客服人员电话，却一直没人联系，后面一直持续联系客服，均无人接听，至10月12日，神马借催收联系我，让我进行线下还款，至此已产生无理高额与其费用，回电客服还是打不通，今天10月14日，神马借催收再次联系，催收电话为02066339549，让我还款，并推卸责任，让我自己承担无理逾期费用1785元，我不能接受，选择报警，神马借催收人员态度嚣张，称不怕警方，随便报</t>
  </si>
  <si>
    <t>霸王条款</t>
  </si>
  <si>
    <t>http://ts.21cn.com/tousu/show/id/1359911</t>
  </si>
  <si>
    <t>2019/10/14 10:57:24</t>
  </si>
  <si>
    <t>马上金融安逸花，合同里面写分期年化率36%，并且不准截图！纯属霸王条款！。</t>
  </si>
  <si>
    <t>小黑鲨打电话给我以前上班的公司</t>
  </si>
  <si>
    <t>http://ts.21cn.com/tousu/show/id/1359906</t>
  </si>
  <si>
    <t>2019/10/14 10:55:36</t>
  </si>
  <si>
    <t>打电话给我以前上班的公司，骚扰我以前的同事，恐吓我，。</t>
  </si>
  <si>
    <t>闪银闪豆高利贷砍头息</t>
  </si>
  <si>
    <t>http://ts.21cn.com/tousu/show/id/1359903</t>
  </si>
  <si>
    <t>2019/10/14 10:54:50</t>
  </si>
  <si>
    <t>现要求：1.退还砍头息共计520元2.本金还款，逾期费减免3.停止催收，明日16：00还款4.请平台工作人员与我联系。</t>
  </si>
  <si>
    <t>威胁朋友家人</t>
  </si>
  <si>
    <t>http://ts.21cn.com/tousu/show/id/1359898</t>
  </si>
  <si>
    <t>2019/10/14 10:54:22</t>
  </si>
  <si>
    <t>早在七月份我父亲就与马上金融的人员取得联系，对方态度恶劣，我前期经营不善，工作室倒闭，有不少负债，但是我都在积极处理，家里面父亲腰椎不好在做保安，母亲有心脏病不能工作，我本人也打两份工，现阶段也实在借不到钱，七月份我父亲与马上金融人员联系，看能不能减免一部分违约金和利息，家里凑凑处理掉。</t>
  </si>
  <si>
    <t>支付宝结清证明</t>
  </si>
  <si>
    <t>http://ts.21cn.com/tousu/show/id/1359891</t>
  </si>
  <si>
    <t>2019/10/14 10:51:48</t>
  </si>
  <si>
    <t>借呗结清证明迟迟开不下来，我10月11给客服提交问题了，到现在14日了还没开出来结清证明，等着买房贷款，求求你赶紧给开出来吧，要是违约了罚金20000谁来出，。</t>
  </si>
  <si>
    <t>宜人贷频繁骚扰电话</t>
  </si>
  <si>
    <t>http://ts.21cn.com/tousu/show/id/1359889</t>
  </si>
  <si>
    <t>2019/10/14 10:51:18</t>
  </si>
  <si>
    <t>宜人贷暴力催收，致电本人亲朋好友和单位领导，以起诉本人为理由反复恐吓本人家人及朋友，对本人造成恶劣影响。</t>
  </si>
  <si>
    <t>态度恶劣，暴力催收，威胁恐吓</t>
  </si>
  <si>
    <t>http://ts.21cn.com/tousu/show/id/1359887</t>
  </si>
  <si>
    <t>2019/10/14 10:50:41</t>
  </si>
  <si>
    <t>本人在小花钱包，借钱2000，合同金额2144，虚假合同，还款日为每月12号，因工作较忙忽略了，今天早晨接到催收电话，并表明晚上会换上，对方态度极差，说让我等着吧就挂了电话，随后收到短信以及微信信息，要求12点之前处理，威胁恐吓扬言爆我通讯录，。</t>
  </si>
  <si>
    <t>宜信普惠高额砍头息</t>
  </si>
  <si>
    <t>http://ts.21cn.com/tousu/show/id/1359880</t>
  </si>
  <si>
    <t>2019/10/14 10:49:36</t>
  </si>
  <si>
    <t>宜信普惠，到账65000，合同写欠款100000多，。</t>
  </si>
  <si>
    <t>闪银哼哼逾期不给开延期，威胁爆通讯录</t>
  </si>
  <si>
    <t>http://ts.21cn.com/tousu/show/id/1359883</t>
  </si>
  <si>
    <t>2019/10/14 10:49:34</t>
  </si>
  <si>
    <t>闪银哼哼逾期3天，毕竟这月是第一次资金紧张，以前都是按时还款，从未拖欠，与催收协商开延期，催收说不行，开不了，就给你到11.00，不还就爆通讯录，别人都能开了延期，为什么我就不行！。</t>
  </si>
  <si>
    <t>投诉立刻出行不退押金</t>
  </si>
  <si>
    <t>http://ts.21cn.com/tousu/show/id/1359878</t>
  </si>
  <si>
    <t>2019/10/14 10:49:26</t>
  </si>
  <si>
    <t>本人已超过三个月未用车，并于9月17日申请退用车保证金，至今，仍未退还保证金，超出企业承诺的“最后一次用车结算完成20个工作日后申请，可在5-10个工作日退回”的期限。</t>
  </si>
  <si>
    <t>http://ts.21cn.com/tousu/show/id/1359876</t>
  </si>
  <si>
    <t>2019/10/14 10:48:37</t>
  </si>
  <si>
    <t>他们限我下午四点前还款否则他们就动手什么的。</t>
  </si>
  <si>
    <t>骚乱通讯录恶意中伤群发起诉短信</t>
  </si>
  <si>
    <t>http://ts.21cn.com/tousu/show/id/1359872</t>
  </si>
  <si>
    <t>2019/10/14 10:47:47</t>
  </si>
  <si>
    <t>骚扰以及恶意群发短信，中伤本人，给本人造成无法挽回的情况！。</t>
  </si>
  <si>
    <t>返现宝高利贷，要求本金销账</t>
  </si>
  <si>
    <t>http://ts.21cn.com/tousu/show/id/1359867</t>
  </si>
  <si>
    <t>2019/10/14 10:46:05</t>
  </si>
  <si>
    <t>返现宝砍头息高利贷，6月1日借1200实际到手864，app上显示算上逾期费共计1680，差不多高出本金一倍，我之前一次借款已经多还过砍头息，那个我也不追究了，现在要求按本金还款销账，如果不同意的话我会试着向北京市金融工作局发起集体投诉。</t>
  </si>
  <si>
    <t>招商银行第三方催收严重骚扰</t>
  </si>
  <si>
    <t>http://ts.21cn.com/tousu/show/id/1359865</t>
  </si>
  <si>
    <t>2019/10/14 10:45:25</t>
  </si>
  <si>
    <t>招商银行利用第三方多次暴力催收信用卡欠款，我父亲重病缠身，多次电话骚扰，说要起诉我，现在我父亲已病重，我要求立即停止暴力骚扰催收。</t>
  </si>
  <si>
    <t>时光分期暴力催收</t>
  </si>
  <si>
    <t>http://ts.21cn.com/tousu/show/id/1359859</t>
  </si>
  <si>
    <t>2019/10/14 10:44:28</t>
  </si>
  <si>
    <t>本人通过融360平台向时光分期借款13000分12期，现在以还款9期，合计还款13248元，已经还完了本金，因本人家里出了点事，现以无力偿还剩下的利息希望时光分期能够协商。</t>
  </si>
  <si>
    <t>京东上买的螃蟹严重缺斤少两，实物与标注不符，欺诈消费者</t>
  </si>
  <si>
    <t>http://ts.21cn.com/tousu/show/id/1359854</t>
  </si>
  <si>
    <t>2019/10/14 10:43:56</t>
  </si>
  <si>
    <t>10.12日在京东平台阳澄联合官方旗舰店买了2箱标注为公4两母3两的蟹，10.13日收到货回家称，2箱中母蟹带绳基本都是2.3-2.4两，最小一只母蟹带绳子才1.8两！公蟹带绳差不多都是3.2两-3.4两，绳子都占几两重！比标题标注的小将近1两重！我申请了售后商家找借口说发错货，只给我退款，我看差评里很多都是缺斤少两的难道都是发错货了吗，我申请退一赔三商家不同意，这完全就是欺诈消费者行为，根据《消费者权益保护法》规定我现在申请维权，要求赔偿！。</t>
  </si>
  <si>
    <t>买了会员卡下款失败</t>
  </si>
  <si>
    <t>http://ts.21cn.com/tousu/show/id/1359850</t>
  </si>
  <si>
    <t>2019/10/14 10:43:40</t>
  </si>
  <si>
    <t>在闪电借款买了1200元会员黑卡，借款时下款失败，联系不上客服。</t>
  </si>
  <si>
    <t>信用钱包利息超标</t>
  </si>
  <si>
    <t>http://ts.21cn.com/tousu/show/id/1359848</t>
  </si>
  <si>
    <t>2019/10/14 10:42:54</t>
  </si>
  <si>
    <t>信用钱包利息超标，我在今年1月份向信用钱包借款4000，分期9个月，过两天就是最后一起账单了，我用招商银行个人贷款计算器按9个月账期加年利率36%算了一下结果，4000块借款9个月利息只要623块,我再用摩尔龙2019个人消费贷款计算器，没有9个月的选项，按12个月，36%年利率算一下，利息是822块，而信用钱包收的利息高达1196块，明显高出国家规定24%黄线，更加超出年利率36%的红线，要求信用钱包调整利率，还我血汗钱，欠债还钱，天经地义，但是要按国家规定来，不是你说了算，这样的企业，不要跟我说什么你们</t>
  </si>
  <si>
    <t>http://ts.21cn.com/tousu/show/id/1359845</t>
  </si>
  <si>
    <t>2019/10/14 10:41:58</t>
  </si>
  <si>
    <t>已经投诉过一次了，家里婆婆重病，暂时逾期，我承诺婆婆出院后会及时处理逾期欠款，上次投诉拍拍贷公司，暴力催收，未经借款人我本人同意爆我通讯录，恐吓我家人，损坏我个人名誉，我并不是恶意拖欠，家人重病我不能拿我家人的生命开玩笑，我只有把家里事处理好，再处理其他事情，投诉后，拍拍贷公司并未处理投诉，也没有进行回访，回访电话倒是打了，每次只响一两声，我根本接不到回访电话，打回去是空号，今天再次打来电话，客服人员态度极其恶劣，要求立即处理逾期欠款，不然就再次爆通讯录，对更多的人进行骚扰，没等我说话就把电话挂了，我再次投</t>
  </si>
  <si>
    <t>玖富万卡服务费</t>
  </si>
  <si>
    <t>http://ts.21cn.com/tousu/show/id/1359843</t>
  </si>
  <si>
    <t>2019/10/14 10:41:44</t>
  </si>
  <si>
    <t>在2017年4月因为生意周转，朋友说可以拿这个玖富借款，当时点了借款后就到账了，结果看到服务费8000多，借款15000，服务费8000多，还有利息，合计24期，还18期了还有7000多要还！本人打电话沟通过客服几次，想提前结清，结果说后期联系，就没动静了！今天早晨接到一个客服的电话还很厉害，说不还就爆通讯录！威胁我！！很是生气！百度了一下投诉平台，推荐这个平台，希望贵平台能给予一定帮助！谢谢。</t>
  </si>
  <si>
    <t>钱易满高额砍头息</t>
  </si>
  <si>
    <t>http://ts.21cn.com/tousu/show/id/1359841</t>
  </si>
  <si>
    <t>2019/10/14 10:41:13</t>
  </si>
  <si>
    <t>因急需用钱，在企鹅借款平台找到这个软件，借1000元到账600，借2000到账1200，并且6天时间不到就要求归还，之前借款记录也不允许查询，期间遭遇恐吓威胁，爆通讯录威胁，并且没有商量余地，语气及其恶劣，现要求退还多余利息以及砍头息，高达4000余元，现要求退还砍头息以及利息，下载链接每周换一个，这次下载链接为http://h.qianyiman.cn/a?t=QEB7e9Wo，通过易宝支付平台到账银行卡，平台所留客服电话也是虚假的，已停机，借款过后根本没法取消，强制贷款，只要一点下去直接审核，催收电话也</t>
  </si>
  <si>
    <t>支付宝客服不作为</t>
  </si>
  <si>
    <t>http://ts.21cn.com/tousu/show/id/1359837</t>
  </si>
  <si>
    <t>2019/10/14 10:40:45</t>
  </si>
  <si>
    <t>我当时打了很多的电话，支付宝的人工只是说我违反了什么条例，但是不说我违反了哪一条，然后直接挂电话，每次打电话人工就是念话术就挂断，根本不听我的问题，我们公司的支付宝一直都是合法使用，从来没有任何的违法事情，现在支付宝无法收款，已经影响了我们公司的正常运行和公司名下的网店的正常运作，2、做为服务行业，支付宝对待我们的态度我们无法接受。</t>
  </si>
  <si>
    <t>钱置宝高利率砍头息</t>
  </si>
  <si>
    <t>http://ts.21cn.com/tousu/show/id/1359834</t>
  </si>
  <si>
    <t>2019/10/14 10:39:59</t>
  </si>
  <si>
    <t>立借平台钱置宝，借2100，分4期，一期7天，每期还款787元，已经在常还了2期，在第3期更新APP后，不能正常还款，造成后2期越期，第3期第4期越期19天，利息高达2千元，要求减免越期费用，恢复正常还款。</t>
  </si>
  <si>
    <t>暴力催收恐吓</t>
  </si>
  <si>
    <t>http://ts.21cn.com/tousu/show/id/1359832</t>
  </si>
  <si>
    <t>2019/10/14 10:39:50</t>
  </si>
  <si>
    <t>投诉人 任长玲        投诉对象  万达贷        涉诉金额  24 000 元    问题类型    诉求类型投诉详情  万达贷 私自涨利率 暴力催收 爆通讯录 威胁利诱 恐吓 救命啊</t>
  </si>
  <si>
    <t>淘钱钱高利贷</t>
  </si>
  <si>
    <t>http://ts.21cn.com/tousu/show/id/1359829</t>
  </si>
  <si>
    <t>2019/10/14 10:38:44</t>
  </si>
  <si>
    <t>投诉人 马先生        投诉对象  淘钱钱        涉诉金额  3 500 元    问题类型    诉求类型投诉详情  借3500实际只给了1925 要5天就还</t>
  </si>
  <si>
    <t>看到抖音广告说加老师微信可以祛斑，花费11146元，说能祛斑，结果购买产品使用后无效果斑还变多了</t>
  </si>
  <si>
    <t>http://ts.21cn.com/tousu/show/id/1358909</t>
  </si>
  <si>
    <t>2019/10/14 10:38:37</t>
  </si>
  <si>
    <t>广东省广州市番禺区桥兴大道253号,18529160634,13006869181淡斑老师,13002083547淡斑老师办公室电话，抖音打广告说用她们产品个人定制可以安全祛斑，还发了很多人祛斑成功的对比照片，说保证能好，结果就是不断花钱购买产品，我买了一万多产品用了无效后，对方又称是我自己皮肤问题，需要我再买一万多的产品，我不想遥遥无期继续花几万块钱下去，我现在就是想没开封的产品退款给我！。</t>
  </si>
  <si>
    <t>华夏银行信用卡中心暴击催收</t>
  </si>
  <si>
    <t>http://ts.21cn.com/tousu/show/id/1359826</t>
  </si>
  <si>
    <t>2019/10/14 10:38:16</t>
  </si>
  <si>
    <t>2019年7月开始因公司经营困难，导致华夏银行信用卡未能履行还款，导致逾期，华夏银行信用卡中心将债务转交第三方催收公司，对我进行电话骚扰，暴击催收，现伪造国家机关文书，对我进行恐吓，我要求华夏信用卡中心直接与我取得联系，并减除滞纳金违约金。</t>
  </si>
  <si>
    <t>国美易卡暴力催收，频繁骚扰我通讯录联系人，以及各种威胁</t>
  </si>
  <si>
    <t>http://ts.21cn.com/tousu/show/id/1359823</t>
  </si>
  <si>
    <t>2019/10/14 10:37:29</t>
  </si>
  <si>
    <t>国美易卡我一直还款正常，因为碰了网上714，资金断了，暂时无法还上，每个月有工资都会尽量还款，但是国美一直采用暴力催收，以及各种威胁方式，严重骚扰我家人，给我生活带来了严重的创伤。</t>
  </si>
  <si>
    <t>http://ts.21cn.com/tousu/show/id/1359815</t>
  </si>
  <si>
    <t>2019/10/14 10:35:15</t>
  </si>
  <si>
    <t>南京玉恒商业管理有限公司跑路，房租加押金都被卷走，现在房东要求我们搬走，玉恒公司人员联系不上，没人出面处理。</t>
  </si>
  <si>
    <t>敏付科技为赌博网站提供支付通道</t>
  </si>
  <si>
    <t>http://ts.21cn.com/tousu/show/id/1359814</t>
  </si>
  <si>
    <t>2019/10/14 10:35:02</t>
  </si>
  <si>
    <t>本人在网上被人诱导进入网站进行充值，说是正规的投资理财平台，导致我的血汗钱全部亏损，后来才知道是非法有人控制的非法博彩网站，并通过银行查询发现明明是充值类型扣款却显示在外地某酒店宾馆住宿消费，因此怀疑该网站可能是非法平台，该平台明面上是投资理财网站，实际上通过慧金宝支付商户在敏付科技进行资金结算，后与中国人民银行沟通得知任何第三方支付公司不得向证券、期货、博彩等机构提供支付结算业务，敏付科技作为有牌照的支付公司没有履行国家相关法律法规要求，为违法违规的平台提供支付结算账号的角色，即产生了洗钱的嫌疑，此外未能</t>
  </si>
  <si>
    <t>http://ts.21cn.com/tousu/show/id/1359812</t>
  </si>
  <si>
    <t>2019/10/14 10:34:26</t>
  </si>
  <si>
    <t>没有通过我的同意，恶意扣款168元，要求退款，客服态度不好。</t>
  </si>
  <si>
    <t>交通银行，催收骚扰</t>
  </si>
  <si>
    <t>http://ts.21cn.com/tousu/show/id/1359807</t>
  </si>
  <si>
    <t>2019/10/14 10:32:59</t>
  </si>
  <si>
    <t>交通银行信用卡，官方人工客服不让我联系，分点，总行，app客服互相推诿，自称催收专员的私自在单位传播所谓我个人欠款还失联的事情，现在越来越过分，要求提供其他无关我个人债务信息。</t>
  </si>
  <si>
    <t>拼多多平台恶意扣押商家资金</t>
  </si>
  <si>
    <t>http://ts.21cn.com/tousu/show/id/1359801</t>
  </si>
  <si>
    <t>2019/10/14 10:30:56</t>
  </si>
  <si>
    <t>买家的订单售后已经全部处理完毕，但是这种坑人的平台还一直扣押商家的货款，不准商家体现！动不动就扣押商家货款，简直就是霸王条款！难道你们平台就靠坑卖家的钱来赚钱吗，跟他们客服联系，也总是敷衍你，而且客服的专业水平非常低，经常答非所问！。</t>
  </si>
  <si>
    <t>要求联动云及时退押金，急需用钱</t>
  </si>
  <si>
    <t>http://ts.21cn.com/tousu/show/id/1359799</t>
  </si>
  <si>
    <t>2019/10/14 10:30:47</t>
  </si>
  <si>
    <t>我是个在校大学生，因急需用车所以在app平台上缴纳了押金，999元押金是我的伙食费，如果没有这笔款项，我的生活将不能维持，一个大学生没有生活费，在外该怎么继续维持生活，望联动云。</t>
  </si>
  <si>
    <t>喜鹊快贷阴阳合同，超高利贷，欺诈</t>
  </si>
  <si>
    <t>http://ts.21cn.com/tousu/show/id/1359795</t>
  </si>
  <si>
    <t>2019/10/14 10:29:23</t>
  </si>
  <si>
    <t>10月11日，喜鹊快贷的一个客服电话联系要索取500元的结清‘违约’费用，也是一种欺诈行为，有关部门应给与惩处！。</t>
  </si>
  <si>
    <t>黑网贷平台</t>
  </si>
  <si>
    <t>http://ts.21cn.com/tousu/show/id/1359792</t>
  </si>
  <si>
    <t>2019/10/14 10:28:26</t>
  </si>
  <si>
    <t>借3000分三期、一期十天，一起还1329.6、相当于一个月利息一千块、妥妥的黑网贷、要求归还合理利息。</t>
  </si>
  <si>
    <t>已经和客服沟通还款还找第三方侮辱骚扰</t>
  </si>
  <si>
    <t>http://ts.21cn.com/tousu/show/id/1359781</t>
  </si>
  <si>
    <t>2019/10/14 10:21:56</t>
  </si>
  <si>
    <t>已经和客服沟通的情况下委托第三方骚扰本人及无关人员，这个就是前段时间逼死人的高利贷公司。</t>
  </si>
  <si>
    <t>软件自动扣费</t>
  </si>
  <si>
    <t>http://ts.21cn.com/tousu/show/id/1359777</t>
  </si>
  <si>
    <t>2019/10/14 10:21:17</t>
  </si>
  <si>
    <t>投诉人 曹女士        投诉对象  App store        涉诉金额  58 元    问题类型    诉求类型投诉详情  软件在我不知情的时候自动扣费了，申请退还</t>
  </si>
  <si>
    <t>宝付支付提供通道莫名其妙扣款</t>
  </si>
  <si>
    <t>http://ts.21cn.com/tousu/show/id/1359773</t>
  </si>
  <si>
    <t>2019/10/14 10:19:53</t>
  </si>
  <si>
    <t>宝付支付在我不知情的情况下私自扣款..咨询客服声称是快闪卡贷和新橙优品可能进行扣款...然而当日并非还款日..所以宝付支付在我本人不知情的情况扣款希望得到合理解释退还扣款...。</t>
  </si>
  <si>
    <t>现金巴士以会员费名义砍头息，逾期收取高额费用并暴力催收</t>
  </si>
  <si>
    <t>http://ts.21cn.com/tousu/show/id/1359770</t>
  </si>
  <si>
    <t>2019/10/14 10:18:27</t>
  </si>
  <si>
    <t>现金巴士违反国家规定，存在违规放贷行为，下面由我一一列举，2、贷款需要购买会员卡才能下款，相当于变相收取头息，1000元/30天贷款需要缴纳89元会员费，相当于到账911元，到期还款1030元，利息远超国家规定，是不折不扣的高利贷，3、如果到期无法还款，逾期会收取高额逾期费，违反国家规定，4、现金巴士暴力催收，逾期未还会采用软暴力，骚扰你的家人朋友告知其你欠款未还，恐吓借款人，要求退还所有会员费共计500元，并停止暴力催收，我已将银行流水、电话录音等有利证据保存，如果现金巴士不进行赔偿，我将进行更严厉的措施</t>
  </si>
  <si>
    <t>美团生活费严重暴力催收骚扰威胁</t>
  </si>
  <si>
    <t>http://ts.21cn.com/tousu/show/id/1359768</t>
  </si>
  <si>
    <t>2019/10/14 10:17:38</t>
  </si>
  <si>
    <t>投诉人 丘女士        投诉对象  美团金融        涉诉金额  760 元    问题类型    诉求类型投诉详情  美团金融严重暴力催收 骚扰威胁 严重影响个人日常生活 并且持续骚扰手机联系人</t>
  </si>
  <si>
    <t>捷信贷款乱收费</t>
  </si>
  <si>
    <t>http://ts.21cn.com/tousu/show/id/1359766</t>
  </si>
  <si>
    <t>2019/10/14 10:17:04</t>
  </si>
  <si>
    <t>本人于2019年2月向捷信贷款6万元分42期还款，每月还款2447..74元里面包括一千多的利息，还有600元服务费，只是不希望他们乱收费欺骗消费者。</t>
  </si>
  <si>
    <t>小当家</t>
  </si>
  <si>
    <t>http://ts.21cn.com/tousu/show/id/1359762</t>
  </si>
  <si>
    <t>2019/10/14 10:15:45</t>
  </si>
  <si>
    <t>app还不了款，希望小当家的客服尽快联系本人。</t>
  </si>
  <si>
    <t>不停暴力骚扰、催收</t>
  </si>
  <si>
    <t>http://ts.21cn.com/tousu/show/id/1359757</t>
  </si>
  <si>
    <t>2019/10/14 10:14:49</t>
  </si>
  <si>
    <t>成都利信金融有限公司的员工一直不停打电话骚扰、催收，态度犹如黑社会一样，爆我的通讯录，请问还有没有王法。</t>
  </si>
  <si>
    <t>为聊呗赌博平台提供支付接口</t>
  </si>
  <si>
    <t>http://ts.21cn.com/tousu/show/id/1359749</t>
  </si>
  <si>
    <t>2019/10/14 10:13:41</t>
  </si>
  <si>
    <t>聊呗为赌博平台，易宝支付为其提供接入口，并收取高额手续费。</t>
  </si>
  <si>
    <t>世联金融打我亲戚朋友的电话让我还钱</t>
  </si>
  <si>
    <t>http://ts.21cn.com/tousu/show/id/1359746</t>
  </si>
  <si>
    <t>2019/10/14 10:13:06</t>
  </si>
  <si>
    <t>我已经投诉过一次了，一直没有处理结果！世联金融仍然继续给我的亲戚朋友打电话，让他们通知我还款，你们这样做的行为太可耻了！曝光我的通讯录，当初办理的时候，贷了67200,到账60000,每月还3606,办理前还给交了3000多的手续费，最后一期了，至于吗，！催收的也说你们是以盈利为目的的，我也没说不还你们，你们给我朋友亲戚朋友打电话，只能毁坏我的信誉度，起不到马上还款的任何作用，你们再继续骚扰，我会一直投诉，并且会报警处理！！。</t>
  </si>
  <si>
    <t>钱橙无忧无缘无故扣款</t>
  </si>
  <si>
    <t>http://ts.21cn.com/tousu/show/id/1359744</t>
  </si>
  <si>
    <t>2019/10/14 10:12:49</t>
  </si>
  <si>
    <t>十月十二号下载钱橙无忧注册了一下也没有借钱！然后卸载了app，！今天十月十四号我存钱进去深圳市恒富创融科技有限公司分两次无故扣我84元，总金额168元！我要求退款！。</t>
  </si>
  <si>
    <t>小赢卡贷投诉</t>
  </si>
  <si>
    <t>http://ts.21cn.com/tousu/show/id/1359751</t>
  </si>
  <si>
    <t>2019/10/14 10:12:47</t>
  </si>
  <si>
    <t>投诉人高丹投诉对象小赢卡贷涉诉金额5000元问题类型诉求类型投诉详情小赢卡贷暴力催收，强制爆通讯录，态度恶劣，威胁生命。</t>
  </si>
  <si>
    <t>暴力催收态度极其恶劣高利贷威胁恐吓</t>
  </si>
  <si>
    <t>http://ts.21cn.com/tousu/show/id/1359755</t>
  </si>
  <si>
    <t>投诉人唐女士投诉对象速金服涉诉金额2000元问题类型诉求类型投诉详情朋友用我的身份证在速金服app上借款2000元分3期每期1165，因为本人手机上没有速金服app并不知道什么还款一直没有接到电话提示今天上午突然借到一个电话态度十分恶劣不管啥原因十点之前必须还款不然联系亲朋好友。</t>
  </si>
  <si>
    <t>支付宝客服恶意终止聊天</t>
  </si>
  <si>
    <t>http://ts.21cn.com/tousu/show/id/1359740</t>
  </si>
  <si>
    <t>2019/10/14 10:10:15</t>
  </si>
  <si>
    <t>因本人通过支付宝平台在海外网站上支付了50.32元人民币购买软件会员，支付成功后该软件未在其本人在该软件上的账号开通会员，后续联系不到该软件的在线客服，也请支付宝平台对不合格的部分商家加强审核资质。</t>
  </si>
  <si>
    <t>造艺科技违规扣款，客服拒不退款</t>
  </si>
  <si>
    <t>http://ts.21cn.com/tousu/show/id/1359735</t>
  </si>
  <si>
    <t>2019/10/14 10:08:25</t>
  </si>
  <si>
    <t>19年9月21号在聚富分期app上注册账号打算在他们平台贷款的，就填写了些资料，也没看到需要评估报告费用，没想到造艺科技在未经我同意情况的下私自扣了我299元，联系客服说的是一套一套的，说什么14天退款，又说需要注册你们推荐的app才能退，现在我要求你们立即退款，否则我将举报到底！。</t>
  </si>
  <si>
    <t>滴滴公司乱扣钱</t>
  </si>
  <si>
    <t>http://ts.21cn.com/tousu/show/id/1359733</t>
  </si>
  <si>
    <t>2019/10/14 10:07:44</t>
  </si>
  <si>
    <t>16:24乘客要求走国道，使用高德地图，忘记点确认，上车平台第二天显示罚款192.76元，原因是线下交易，我当天询问客服告诉我需要申诉，我赶紧申诉，跟平台如实反映了问题，滴滴平台做事太嚣张无中生有随意扣钱，希望有关部门能公平公正的处理此事，还我公道，我承诺描述的事情情况属实，如有虚假愿意承担法律责任。</t>
  </si>
  <si>
    <t>骚扰我家人</t>
  </si>
  <si>
    <t>http://ts.21cn.com/tousu/show/id/1359724</t>
  </si>
  <si>
    <t>2019/10/14 10:04:54</t>
  </si>
  <si>
    <t>我又不是不还钱，请不要在给我亲戚朋友打电话了！我说了月底我会还的，一用27500还的还剩9100，你给我点时间好不好，不要在给我家人朋友打电话，行为这事我已经跟我女朋友分手了，麻烦你不要再！！！谢谢了，钱我会赶紧还的！。</t>
  </si>
  <si>
    <t>新橙优品砍头息，收取保证金</t>
  </si>
  <si>
    <t>http://ts.21cn.com/tousu/show/id/1359727</t>
  </si>
  <si>
    <t>2019/10/14 10:04:51</t>
  </si>
  <si>
    <t>新橙优品借款6000，款项到账后，平台在我不知情情况下，秒从我银行卡扣款600元保证金，已经和客服确认，扣的是保证金，不明白为什扣，到期还款平台第三方催收态度比较恶劣！。</t>
  </si>
  <si>
    <t>我享花贷款平台收取高额利息</t>
  </si>
  <si>
    <t>http://ts.21cn.com/tousu/show/id/1359722</t>
  </si>
  <si>
    <t>2019/10/14 10:04:17</t>
  </si>
  <si>
    <t>投诉人贾女士投诉对象我享花贷款平台涉诉金额1800元问题类型诉求类型投诉详情我享花贷款平台申请1800元实际到账1250只有七天还款期！并且app一直处于更新维护状态，将近一个月都无法使用，线下微信客服沟通协商还款，客服态度恶劣，称没有协商先例！投诉本平台，希望严厉查处！。</t>
  </si>
  <si>
    <t>投诉支付宝花呗</t>
  </si>
  <si>
    <t>http://ts.21cn.com/tousu/show/id/1359719</t>
  </si>
  <si>
    <t>2019/10/14 10:03:07</t>
  </si>
  <si>
    <t>投诉人 杜先生        投诉对象  支付宝        涉诉金额  7 500 元    问题类型    诉求类型      投诉详情  支付宝花呗从8月11号被冻结。一直与支付宝客服沟通。中间有购买理财。支付宝花呗冻结导致借呗无法使用。还款无法分期和延期。打乱了还款计划。多次和客服沟通无果。本人自从用花呗四年从未逾期。要求支付宝恢复我的花呗使用。这两个月我一直积极沟通。也按时还款。</t>
  </si>
  <si>
    <t>交通银行电话暴力催收</t>
  </si>
  <si>
    <t>http://ts.21cn.com/tousu/show/id/1359713</t>
  </si>
  <si>
    <t>2019/10/14 10:00:26</t>
  </si>
  <si>
    <t>交通银行,交通银行信用卡,13024522383,13041403879，对方来电进行暴力催收，说她是交通银行信用卡中心的，期间存在辱骂恐吓语言，因为交通银行联系不到刘登贵，所以对我进行暴力催收，我多次表示不认识这个人，对方态度依旧恶劣，且持续换手机号码骚扰我。</t>
  </si>
  <si>
    <t>畅捷支付无故不退还pos机押金</t>
  </si>
  <si>
    <t>http://ts.21cn.com/tousu/show/id/1359711</t>
  </si>
  <si>
    <t>2019/10/14 10:00:18</t>
  </si>
  <si>
    <t>投诉人潘先生投诉对象畅捷支付涉诉金额238元问题类型诉求类型投诉详情办理了畅捷支付POS机并冻结了238元押金，办理时并没有告知押金退还金额的规则是只有高费率的刷卡消费才算金额，云闪付和二维码等不算在刷卡金额内，只是说模糊说刷够48万退押金，在畅捷提供的app内也无法查询到相关信息，现在刷够了48万却说过期不退还押金，期间，畅捷公司还未进行任何通知和告知，擅自提高原先约定的刷卡费率。</t>
  </si>
  <si>
    <t>拒绝一次性结清</t>
  </si>
  <si>
    <t>http://ts.21cn.com/tousu/show/id/1359708</t>
  </si>
  <si>
    <t>2019/10/14 09:59:08</t>
  </si>
  <si>
    <t>本人在国美易卡共贷款5笔贷款，贷款时明确规定还款第一期高额利息后，剩余部分可以一次性结清，现不允许，消费者一次性结清所有贷款，需要消费者继续按月慢慢偿还高额利息加本金，。</t>
  </si>
  <si>
    <t>爆通讯录，高利息，被辞，恐吓上门</t>
  </si>
  <si>
    <t>http://ts.21cn.com/tousu/show/id/1359705</t>
  </si>
  <si>
    <t>2019/10/14 09:57:39</t>
  </si>
  <si>
    <t>打我通讯录，借了3000要还4700还了3000多，协商不同意直接打我通讯录，还恐吓我上门。</t>
  </si>
  <si>
    <t>京东白条威胁，恐吓</t>
  </si>
  <si>
    <t>http://ts.21cn.com/tousu/show/id/1359702</t>
  </si>
  <si>
    <t>2019/10/14 09:56:37</t>
  </si>
  <si>
    <t>投诉人杨女士投诉对象京东金融,京东白条涉诉金额5130元问题类型诉求类型投诉详情京东白条一开始逾期就致电给京东金融客服，因为家里变故，房子被抵押了，车子被扣了，自己夜身患重度抑郁症，无法正常工作，但是京东金融催收人员发信息恐吓我，威胁我，本来病情严重，现在导致我无法工作。</t>
  </si>
  <si>
    <t>聚富分期 强制扣款299元</t>
  </si>
  <si>
    <t>http://ts.21cn.com/tousu/show/id/1359700</t>
  </si>
  <si>
    <t>2019/10/14 09:55:15</t>
  </si>
  <si>
    <t>投诉人曾海兰女士投诉对象聚富分期涉诉金额299元问题类型诉求类型投诉详情聚富分期平台没有经过本人同意直接强制扣款299元，打客服电话要求退款，客服各种推脱，还让14天之后，然后寄身份证复印件过去强烈要求公司退款。</t>
  </si>
  <si>
    <t>我来贷变相收取高额预期费用，逾期一天多还款300元。</t>
  </si>
  <si>
    <t>http://ts.21cn.com/tousu/show/id/1359696</t>
  </si>
  <si>
    <t>2019/10/14 09:54:04</t>
  </si>
  <si>
    <t>9月13日，在我来贷借款10000元整，分12个月还款账单显示需还款13599.6元，在还款过程中第5期，因资金周转原因，产生1～3天的逾期，我来贷逾期一天就在当期应还金额中加300元，极其不合理，诉求：我来贷解释并退回不合理的高额逾期费用，提供结清证明。</t>
  </si>
  <si>
    <t>闪银恶意骚然通讯录</t>
  </si>
  <si>
    <t>http://ts.21cn.com/tousu/show/id/1359693</t>
  </si>
  <si>
    <t>2019/10/14 09:53:17</t>
  </si>
  <si>
    <t>闪银高利贷，借款两千期限30天，要求买商品五百多元，变相收取高额利息，逾期三天，恶意骚扰通讯录联系人，影响亲朋好友正常工作生活，扫黑除恶的如今，高利贷敢这么嚣张。</t>
  </si>
  <si>
    <t>投诉哈罗单车乱收调度费</t>
  </si>
  <si>
    <t>http://ts.21cn.com/tousu/show/id/1359691</t>
  </si>
  <si>
    <t>2019/10/14 09:52:58</t>
  </si>
  <si>
    <t>10月13日下午，我使用了一辆哈罗单车，骑行了17分钟，从地铁站骑行到我家小区楼下，被要求支付21.5元，哈罗单车客服回复说他们的提醒信息发给了注册哈罗单车的手机号（尾号9879），，我对此1.5元无异议，对20元不认可，现在还未付费，事后我致电了哈罗单车客服电话，经客服回复，我家小区已经不在服务范围之内，我属于超出服务范围骑行，需要支付20元调度费用，本人于半月前9月底还在使用哈罗单车，行驶到自己家小区，没有超出服务范围，这次就超出了，客服给出的回复是，服务范围从9月底开始调整了，上一次就超出了范围，他们</t>
  </si>
  <si>
    <t>黑网贷阴阳合同乱收费，暴力催收</t>
  </si>
  <si>
    <t>http://ts.21cn.com/tousu/show/id/1359690</t>
  </si>
  <si>
    <t>2019/10/14 09:52:32</t>
  </si>
  <si>
    <t>借款合同写的2660，实际到账2000，还款总共要还3000，收服务费高利息。</t>
  </si>
  <si>
    <t>高炮暴力催收</t>
  </si>
  <si>
    <t>http://ts.21cn.com/tousu/show/id/1359689</t>
  </si>
  <si>
    <t>2019/10/14 09:52:12</t>
  </si>
  <si>
    <t>投诉人陈女士投诉对象胖胖有米涉诉金额3000元问题类型诉求类型投诉详情高利贷，砍头息，还暴力催收，群发短信骚扰，恐吓公布个人信息。</t>
  </si>
  <si>
    <t>展鸿科技旗下想有钱3天套路贷</t>
  </si>
  <si>
    <t>http://ts.21cn.com/tousu/show/id/1359682</t>
  </si>
  <si>
    <t>2019/10/14 09:49:55</t>
  </si>
  <si>
    <t>投诉人郁女士投诉对象展鸿科技,想有钱涉诉金额1500元问题类型诉求类型投诉详情展鸿旗下想有钱平台套路贷，高额砍头息，借1100隔天就要换1500，严重违反国家规定，现本人深受套路贷危害，本人使用三次，两次已正常还款，现在未还款1500，本人有还款意愿，要求平台减之前多还的利息，与本次超出的利息，还剩下金额。</t>
  </si>
  <si>
    <t>兴业银行信用卡</t>
  </si>
  <si>
    <t>http://ts.21cn.com/tousu/show/id/1359678</t>
  </si>
  <si>
    <t>2019/10/14 09:49:20</t>
  </si>
  <si>
    <t>兴业银行暴力催收，在可以联系到我的情况下骚扰恐吓我的家人，给我家人带来了严重干扰，问他要工号，声称没有工号，欠钱是事实，也会尽快还钱，但这种软暴力手段，实在无法接受。</t>
  </si>
  <si>
    <t>收取高额服务费，各种费用</t>
  </si>
  <si>
    <t>http://ts.21cn.com/tousu/show/id/1359674</t>
  </si>
  <si>
    <t>2019/10/14 09:48:04</t>
  </si>
  <si>
    <t>收取高额服务费等，借款30000元所需还款金额达到40800元，。</t>
  </si>
  <si>
    <t>给你花平台的月光侠分期存在严重的砍头利息</t>
  </si>
  <si>
    <t>http://ts.21cn.com/tousu/show/id/1359669</t>
  </si>
  <si>
    <t>2019/10/14 09:46:41</t>
  </si>
  <si>
    <t>平台借6000元到账4800元3个月每期2070元，本人还了1期，还有2期，严重存在砍头息，想结清欠款，要求还到帐合法利息，销账，销户，结清证明，停止骚扰。</t>
  </si>
  <si>
    <t>你我贷电话骚扰改威胁</t>
  </si>
  <si>
    <t>http://ts.21cn.com/tousu/show/id/1359663</t>
  </si>
  <si>
    <t>2019/10/14 09:44:55</t>
  </si>
  <si>
    <t>因为这个月工资推迟发所以没有能力还借款，你我贷催收疯狂骚扰，在每天早上和夜里还打电话骚扰影响本人休息，已经表达了我的困难并表示下午就能偿还借款，你我贷公司催收还是很嚣张的威胁我，说要告诉我所有的朋友家人，并且我表达了我正在睡觉，该公司的催收依然打电话骚扰，并且对我进行人身攻击。</t>
  </si>
  <si>
    <t>时光分手高利贷</t>
  </si>
  <si>
    <t>http://ts.21cn.com/tousu/show/id/1359660</t>
  </si>
  <si>
    <t>2019/10/14 09:43:46</t>
  </si>
  <si>
    <t>在时光分期忘记还款逾期一天，金额680元，收100元逾期费，一天还收10元异常账户管理费！太不合理！投诉一直没有人联系处理！打客服电话客服都转给催收！不处理。</t>
  </si>
  <si>
    <t>规定时间按时转账还款，依然四处骚扰</t>
  </si>
  <si>
    <t>http://ts.21cn.com/tousu/show/id/1359658</t>
  </si>
  <si>
    <t>2019/10/14 09:43:35</t>
  </si>
  <si>
    <t>9月22号第四期还款，我按照支付宝正常转账支付了，然而系统问题一直没销账，到目前为止找我要逾期费用，多次联系对方客服，要么联系不上要么不处理，现在还每天电话骚扰。</t>
  </si>
  <si>
    <t>你我贷暴力催收，言语恶劣</t>
  </si>
  <si>
    <t>http://ts.21cn.com/tousu/show/id/1359656</t>
  </si>
  <si>
    <t>2019/10/14 09:43:01</t>
  </si>
  <si>
    <t>我于前日已在平台投诉要求看到合同并且对骚扰进行道歉，期间处理投诉的工作人员联系我，因本人身体不适，没有接到电话，今天一大早我看到了电话以为是处理投诉的问题，接到电话发现是催收，我告知对方我已投诉，等投诉问题处理好了我们再商量还款这步，对方不依不饶问我处理什么他们没错什么的，我质疑对方制度混乱，我需要的是你我贷自己的工作人员来跟我处理这个问题，对方开始言语激烈，口吐芬芳，在我挂断电话后不停用网络电话骚扰我，国家规定一天骚扰电话属于违法的，且催收电话不允许超过3个，情节严重可拘留15天，如果不解决问题之前再对我</t>
  </si>
  <si>
    <t>平安普惠就是黑社会，比高利贷还黑</t>
  </si>
  <si>
    <t>http://ts.21cn.com/tousu/show/id/1359652</t>
  </si>
  <si>
    <t>2019/10/14 09:40:49</t>
  </si>
  <si>
    <t>本人在平安普惠10月份有一笔款项到期，因本人生病住院治疗，无法按时还款，与平安普惠协商还款日期，并且把在医院治疗的证明提交给相关催收人员，催收人员在不通知本人的情况下，私自拨打紧急联系人电话，美名其曰的说是跟我的紧急联系人了解一下我的病情，可是我的紧急联系人通知我，平安普惠根本就没有了解我的病情，而是直接催促我的紧急联系人让我还款，在电话中平安普惠对于了解我的病情的事情只字未提，导致我的紧急联系人因过于冲动而昏倒，现在也处于治疗期间，本来本人就有病，已经承担不起自己的治疗费用，现在我的紧急联系人也在治疗，我</t>
  </si>
  <si>
    <t>恒易贷高利贷，还款日还不了款，强制逾期，逾期一天收取100块钱的逾期费。</t>
  </si>
  <si>
    <t>http://ts.21cn.com/tousu/show/id/1359647</t>
  </si>
  <si>
    <t>2019/10/14 09:38:08</t>
  </si>
  <si>
    <t>3月份借款15000元，分12期还，每期还1654.71元，一共要还19716.32元，显示每期的本金1448.41元，和一个月206.30元的利息服务费，利率高的吓人，2019年10-13要还第七期，我晚上的时候充值进去是可以充值，但是还不了款，强制逾期，第二天点击进去，就是要收取逾期费用100元，请马上撤销这个逾期费用，销账，以及调整利率。</t>
  </si>
  <si>
    <t>联系更多的联系人</t>
  </si>
  <si>
    <t>http://ts.21cn.com/tousu/show/id/1359645</t>
  </si>
  <si>
    <t>2019/10/14 09:37:36</t>
  </si>
  <si>
    <t>欠钱是我不对，但不能威胁我，要联系我更多的联系人来威胁我，我真的被逼无奈我欠的太多人了，不想让其他人来承受我的事情，。</t>
  </si>
  <si>
    <t>新浪卡贷已经扣钱了，还是显示逾期要去还款</t>
  </si>
  <si>
    <t>http://ts.21cn.com/tousu/show/id/1359641</t>
  </si>
  <si>
    <t>2019/10/14 09:36:01</t>
  </si>
  <si>
    <t>投诉人侯先生投诉对象新浪卡贷,中银消费金融涉诉金额1475元问题类型诉求类型投诉详情我新浪卡贷上贷款总金额15000,10月12号是最后一期，12号之前我手动主动还过一次但是没有成功，12号的时候我等它自动批扣，还是没有成功，于是12号晚上的时候我换了张建设银行的储蓄卡，把钱存进去，第二天发来短信显示中银消费金融已经扣款成功，但是新浪卡贷上到今天为止还显示我逾期，希望给我个解释，最后一期了，我钱都还完了，还要这样。</t>
  </si>
  <si>
    <t>来这分期砍头息、高利贷</t>
  </si>
  <si>
    <t>http://ts.21cn.com/tousu/show/id/1359639</t>
  </si>
  <si>
    <t>2019/10/14 09:35:30</t>
  </si>
  <si>
    <t>我在来这分期平台借款3000元，七天一个周期，一共分4期进行还款，每期需还1233元，利息共计1900元，一共要还4932元，而且因为APP软件下架，导致无法登陆APP还款，造成逾期，不仅逾期费用高，并且利息完全超出国家规定，铁打的高利贷。</t>
  </si>
  <si>
    <t>及贷以及大地保险扣取未知保险费用</t>
  </si>
  <si>
    <t>http://ts.21cn.com/tousu/show/id/1359636</t>
  </si>
  <si>
    <t>2019/10/14 09:35:18</t>
  </si>
  <si>
    <t>投诉人李女士投诉对象及贷,中国大地财产保险涉诉金额0元问题类型诉求类型投诉详情之前投诉过及贷说是可以自行联系保险公司我联系了保险公司告诉我，可以退还最后这一个月的呵呵我要是早知情我会在最后一个月退保吗现在国家明文告知不允许借款搭售保险但是通话录音中大地保险工作人员明确阐明当时勾选保险是为了能够让借款审核通过，我想请问如果你是一份代偿保险我还能接受就一个人身意外险你符合哪条规定??后来二次通话就改成了及贷只是一个展示平台客户自行勾选的?那请问既然自行勾选我签字了吗?你们有具体沟通内容吗?有短信告知吗?都没有吧</t>
  </si>
  <si>
    <t>http://ts.21cn.com/tousu/show/id/1359634</t>
  </si>
  <si>
    <t>2019/10/14 09:34:31</t>
  </si>
  <si>
    <t>小米贷款利息高，还让一次性还款，希望能协商还本金。</t>
  </si>
  <si>
    <t>哪吒聚宝高利贷三天砍头800</t>
  </si>
  <si>
    <t>http://ts.21cn.com/tousu/show/id/1359628</t>
  </si>
  <si>
    <t>2019/10/14 09:33:41</t>
  </si>
  <si>
    <t>下载哪吒聚宝以后填写完认证信息直接就变成申请借款了，账单金额2540到账1625无法取消，无法联系到客服，借款期限只有三天，目前短信通知有客服qq号还款。</t>
  </si>
  <si>
    <t>催收恶意骚扰恐吓</t>
  </si>
  <si>
    <t>http://ts.21cn.com/tousu/show/id/1359625</t>
  </si>
  <si>
    <t>2019/10/14 09:32:19</t>
  </si>
  <si>
    <t>投诉人 李先生        投诉对象  布丁小贷        涉诉金额  0 元    问题类型    诉求类型      投诉详情  催收人员暴力侮辱 请求让其道歉 还我自尊</t>
  </si>
  <si>
    <t>我来贷恶意催收</t>
  </si>
  <si>
    <t>http://ts.21cn.com/tousu/show/id/1359623</t>
  </si>
  <si>
    <t>2019/10/14 09:31:55</t>
  </si>
  <si>
    <t>我来贷恶意催收，因为我生意失败欠下了很多外债，所以现在是四处举债状况，所以请求协商分期还本，之前是2018年上半年一共借他们本金是10000，分期12个月，合计13600，每月还近1100，还了5期，后面没钱还不动了，他们公司便到处爆我的通讯录，骚扰外加恐吓1年有余，现在该公司又要启动新一轮的骚扰，恐吓弄丢我工作，故我来贵平台投诉，希望能帮到我，避免被骚扰恐吓，现提供对方骚扰手机号码:167******92。</t>
  </si>
  <si>
    <t>快递丢失，不进行赔偿，踢皮球！推这推那无作为！</t>
  </si>
  <si>
    <t>http://ts.21cn.com/tousu/show/id/1359614</t>
  </si>
  <si>
    <t>2019/10/14 09:29:11</t>
  </si>
  <si>
    <t>这个包裹已经被私自签收了3天了，到现在都没收到，快递那边说没看到货，让我去打遗失单！你们快递做错事了，不是你们进行负责吗。</t>
  </si>
  <si>
    <t>钱站诱导用户，高利贷，砍头息</t>
  </si>
  <si>
    <t>http://ts.21cn.com/tousu/show/id/1359612</t>
  </si>
  <si>
    <t>2019/10/14 09:28:54</t>
  </si>
  <si>
    <t>投诉人叶先生投诉对象钱站涉诉金额120元问题类型诉求类型投诉详情急用钱在钱站app上面拿了1000块钱，当时没在意，也没提示，实际借款金额为1300，到账只有1000，第一期还款的时候才知道，正常还了，前两天第二期晚了一天还，我把应还金额还了，看到所谓的逾期费用和罚息等竟有120。</t>
  </si>
  <si>
    <t>http://ts.21cn.com/tousu/show/id/1359609</t>
  </si>
  <si>
    <t>2019/10/14 09:26:56</t>
  </si>
  <si>
    <t>投诉人范女士投诉对象东亚银行涉诉金额15000元问题类型诉求类型投诉详情2019年10月12日上午下午打电话到本人曾任职公司人事找本人，多次骚扰我以前同事，严重影响她们工作，本人也不知情，以前同事告诉本人才知道东亚银行暴力催债，情节十分严重，如再打电话去本人及曾任职工司追究责任！。</t>
  </si>
  <si>
    <t>暴力催收张贴借款人信息</t>
  </si>
  <si>
    <t>http://ts.21cn.com/tousu/show/id/1359606</t>
  </si>
  <si>
    <t>2019/10/14 09:25:40</t>
  </si>
  <si>
    <t>本人因个人身体意外原因在去年信用卡发生逾期，当地农业银行催收人员多次联系村委会并且在村委会张贴本人个人借款以及逾期信息，后全款还清，产生的滞纳金和利息不给予退还，并且态度强硬。</t>
  </si>
  <si>
    <t>钱站阴阳合同并恶意侵犯隐私</t>
  </si>
  <si>
    <t>http://ts.21cn.com/tousu/show/id/1359601</t>
  </si>
  <si>
    <t>2019/10/14 09:23:41</t>
  </si>
  <si>
    <t>合同是阴阳合同，实际借款本金与合同本金完全不相符，在原有的借款金额加上他们所强行加上的服务费的基础上，再计算利息与服务费，综合利率高达55%，与他们之前所说的利率完全不相符，另外，逾期前多次电话客服协商还款事宜，也在官网留言请求解决事情，但一直没有客服跟进联系，时至今日，仍然显示未受理状态，等到的却是催收的恶意警告，还假借紧急联系人的名义，侵犯个人隐私，骚扰不相关的朋友和同事，把侵犯别人名誉权说得理直气壮！请你们按法律法规合理的解决这个事情！。</t>
  </si>
  <si>
    <t>钱站高利贷，客服不予处理</t>
  </si>
  <si>
    <t>http://ts.21cn.com/tousu/show/id/1359597</t>
  </si>
  <si>
    <t>2019/10/14 09:22:22</t>
  </si>
  <si>
    <t>本人7月因资金周转，在钱站上借款20000元，开始并不察觉到利息和服务费是一笔如此庞大的金额，现在算下来，20000元要还33000多，无力继续偿还，请协助解决利息及服务费一事，已偿还三期，望后面期数的偿还金额予以调整。</t>
  </si>
  <si>
    <t>360借条威胁爆通讯录</t>
  </si>
  <si>
    <t>http://ts.21cn.com/tousu/show/id/1359594</t>
  </si>
  <si>
    <t>2019/10/14 09:18:09</t>
  </si>
  <si>
    <t>投诉人白先生投诉对象360借条涉诉金额58元问题类型诉求类型投诉详情你们360借条什么时候可以自动打通讯录，明明协商好，现在你们那工作人员私自联系爆通讯录。</t>
  </si>
  <si>
    <t>http://ts.21cn.com/tousu/show/id/1359591</t>
  </si>
  <si>
    <t>2019/10/14 09:17:07</t>
  </si>
  <si>
    <t>投诉人杨建先生投诉对象小花钱包涉诉金额1900元问题类型诉求类型投诉详情软暴力催收，请给我点时间处理，不要骚扰，。</t>
  </si>
  <si>
    <t>读秒催收威胁</t>
  </si>
  <si>
    <t>http://ts.21cn.com/tousu/show/id/1359586</t>
  </si>
  <si>
    <t>2019/10/14 09:13:52</t>
  </si>
  <si>
    <t>在读秒贷款8000元，已还款5000多，每期900，因为父亲住院资金周转不开造成逾期，被催收威胁打通讯录，有还款意愿，只是希望给予几天周转时间。</t>
  </si>
  <si>
    <t>火影帮714高利贷</t>
  </si>
  <si>
    <t>http://ts.21cn.com/tousu/show/id/1359583</t>
  </si>
  <si>
    <t>2019/10/14 09:12:22</t>
  </si>
  <si>
    <t>本人于8月20日通过火影帮借款2500到账1800，由上海富友支付到账，其中续期三次，三次加起来一共2100，早就够了这次借款的本金和利息，所以本人要求他们平台销账，不然的话我只能通过法律途径来投诉上海富友支付和火影帮借款。</t>
  </si>
  <si>
    <t>在绿森商城购买手机不发货</t>
  </si>
  <si>
    <t>http://ts.21cn.com/tousu/show/id/1359580</t>
  </si>
  <si>
    <t>2019/10/14 09:10:34</t>
  </si>
  <si>
    <t>投诉人孙成钊投诉对象绿森数码涉诉金额5439元问题类型诉求类型投诉详情本人于2019年9月12号通过绿森商城App下单了iphone11绿色128g手机一台，商城的购买页面显示3周内发货，承诺最晚发货10月9号，咨询客服，部分客服态度敷衍，至今不能准确告知发货时间，一直都是在加急安排的状态，看不到发货的希望，根据绿森吧贴吧与朋友的真实状况知道，绿森的发货顺序混乱，有的人28号下单都已经发货了，我12号购买的还遥遥无期，发货问题一直得不到解决，希望能过通过平台解决我的问题。</t>
  </si>
  <si>
    <t>京东第三方卖家有货一直不发货</t>
  </si>
  <si>
    <t>http://ts.21cn.com/tousu/show/id/1359579</t>
  </si>
  <si>
    <t>2019/10/14 09:10:24</t>
  </si>
  <si>
    <t>1在10.7早上9：33下单，在这过程中多次督促卖家发货，卖家以订单多，按顺序发货，这种虚假宣传的卖家至今还在卖本人所拍的电脑型号，涨价到6999！已经严重影响到本人的工作和学习！无良卖家，京东助纣为虐！强烈要求卖家发货！！。</t>
  </si>
  <si>
    <t>站长源码</t>
  </si>
  <si>
    <t>http://ts.21cn.com/tousu/show/id/1359568</t>
  </si>
  <si>
    <t>2019/10/14 09:10:06</t>
  </si>
  <si>
    <t>10.13日在此网站上买了一款源码，结果付款后收到的源码发现不对，少了部分文件，被卖家删了，搭建不了，请求帮助！。</t>
  </si>
  <si>
    <t>北京有缘网莫名其妙的扣了我198</t>
  </si>
  <si>
    <t>http://ts.21cn.com/tousu/show/id/1359575</t>
  </si>
  <si>
    <t>2019/10/14 09:08:08</t>
  </si>
  <si>
    <t>在QQ上看到一个叫处处的APP，下载完了一下说0元支付可以享受三天会员，但是要开通免密支付，然后我就开通了，想想APP上不会存在骗钱，结果还真扣了我198，一开始就没有说要支付198，只是说支付0元的。</t>
  </si>
  <si>
    <t>360借条在我不知情自动贷款并骚扰我</t>
  </si>
  <si>
    <t>http://ts.21cn.com/tousu/show/id/1359572</t>
  </si>
  <si>
    <t>2019/10/14 09:05:27</t>
  </si>
  <si>
    <t>我是在一个兼职软件接到360借条的任务的，当时只是在360借条上看了一下额度也就把360卸载了，但是他在我不知情的情况下自动贷款6000元，我是最后一期才知道我贷款了的，当时打电话给我我以为是骗子我也没在意，但是后面就没打我电话直接打给我亲朋好友告知我贷款了，对我造成了很严重的影响，我也联系不到平台，我希望平台给我一个解释，我不是还不起这个钱，但是他们是在我不知情的情况下贷款，我希望给我个解释。</t>
  </si>
  <si>
    <t>好易借违规收取砍头息</t>
  </si>
  <si>
    <t>http://ts.21cn.com/tousu/show/id/1359564</t>
  </si>
  <si>
    <t>2019/10/14 09:00:28</t>
  </si>
  <si>
    <t>好易借app借款为高利贷：通过好易借app借款8000元，期限为360天，但是在前三个月就需要还清本金加利息8550元，利率已远超国家规定利率，除利息1080元外，另外还违规收取担保费720元、融资管理费1080元，共计2880元，协商还款，现在已经还款9796，希望好易借能够沟通协商还款事宜。</t>
  </si>
  <si>
    <t>御剑飞行高利贷</t>
  </si>
  <si>
    <t>http://ts.21cn.com/tousu/show/id/1359561</t>
  </si>
  <si>
    <t>2019/10/14 08:59:23</t>
  </si>
  <si>
    <t>御剑飞行app贷款金额3500，实到金额2100，5天后App还款中断，联系不到客服，催收人员冒充平台财务人员，要求线下还款。</t>
  </si>
  <si>
    <t>支付宝账户被限制提现消费还款</t>
  </si>
  <si>
    <t>http://ts.21cn.com/tousu/show/id/1359559</t>
  </si>
  <si>
    <t>2019/10/14 08:55:33</t>
  </si>
  <si>
    <t>我支付宝账户被人投诉现已被限制消费、提现等功能，我支付宝上还有借款，导致我无法正常还款影响我个人信用。</t>
  </si>
  <si>
    <t>http://ts.21cn.com/tousu/show/id/1359553</t>
  </si>
  <si>
    <t>2019/10/14 08:47:47</t>
  </si>
  <si>
    <t>投诉人魏女士投诉对象分期乐涉诉金额440元问题类型诉求类型投诉详情因工资拖欠无法及时还款他们不停的发短信加微信我给他们说明了原因希望能协商解决他们不回并且说要一次性还清全部。</t>
  </si>
  <si>
    <t>月光侠高额利息，高利贷</t>
  </si>
  <si>
    <t>http://ts.21cn.com/tousu/show/id/1359550</t>
  </si>
  <si>
    <t>2019/10/14 08:45:53</t>
  </si>
  <si>
    <t>平台借款3000，到账2100，没有任何合同之类的东西，发威胁短信。</t>
  </si>
  <si>
    <t>解决微信支付功能</t>
  </si>
  <si>
    <t>http://ts.21cn.com/tousu/show/id/1359548</t>
  </si>
  <si>
    <t>2019/10/14 08:44:00</t>
  </si>
  <si>
    <t>支付功能被限制，零钱里面的钱提不出来支付不了，客服不给处理，希望能得到帮助解决。</t>
  </si>
  <si>
    <t>你我贷无故加息</t>
  </si>
  <si>
    <t>http://ts.21cn.com/tousu/show/id/1359542</t>
  </si>
  <si>
    <t>2019/10/14 08:43:16</t>
  </si>
  <si>
    <t>投诉人王先生投诉对象你我贷涉诉金额3000元问题类型诉求类型投诉详情去年的时候在你我贷借了3000元，当时借款的页面显示的是12期总共需要还款3600多，具体的还款数目金额现在也记不太清，但我当时初步预算了，一年利息是我还在可接受范围，结果到我开始还款时候，还款金额变了，前两期无缘无故多出来好几百，后面每期还多出几十块管理费，我现在已经还了的都有3500了，没想到居然还剩下1000块没有结清，一年利息加起来已经是1500了，这利息远远超出了之前借款页面显示的，还款金额利息跟借款显示完全不同，这就是阴阳合同，</t>
  </si>
  <si>
    <t>中国银联云闪付为不法分子提供方便</t>
  </si>
  <si>
    <t>http://ts.21cn.com/tousu/show/id/1359546</t>
  </si>
  <si>
    <t>2019/10/14 08:43:08</t>
  </si>
  <si>
    <t>云闪付为不法分子提供方便，请还回我得血汗钱。</t>
  </si>
  <si>
    <t>暴力催收高额利息</t>
  </si>
  <si>
    <t>http://ts.21cn.com/tousu/show/id/1359515</t>
  </si>
  <si>
    <t>2019/10/14 08:42:14</t>
  </si>
  <si>
    <t>投诉人覃女士投诉对象微博专享借钱平台涉诉金额34000元问题类型诉求类型投诉详情高额利息费用，打电话协商过还款日期，却遭遇暴力催收，影响了个人生活骚扰无关人员。</t>
  </si>
  <si>
    <t>高利贷套路贷年化60%</t>
  </si>
  <si>
    <t>http://ts.21cn.com/tousu/show/id/1359535</t>
  </si>
  <si>
    <t>2019/10/14 08:34:05</t>
  </si>
  <si>
    <t>上海拍拍贷年化达60%，逾期期间暴力催收，恶意群发对本人侮辱的短信，前几天手机发送的律师函，今天打开不到，想查实真实情况，拍拍贷催收每天骚扰无关人员，甚至电联致本人村委会恶意侮辱重伤本人，以此想问拍拍贷年化60%的利息是正常吗还是高利贷。</t>
  </si>
  <si>
    <t>爱又米网贷多米贷收取不合理担保费变相收费利息</t>
  </si>
  <si>
    <t>http://ts.21cn.com/tousu/show/id/1359531</t>
  </si>
  <si>
    <t>2019/10/14 08:32:35</t>
  </si>
  <si>
    <t>投诉人 高先生        投诉对象  爱又米,多米贷        涉诉金额  5 000 元    问题类型    诉求类型      投诉详情  爱又米平台入口多米贷收取担保费 给爱又米平台打电话说你自己联系多米贷 不清楚你们平台入口找到的 为什么你们联系不到</t>
  </si>
  <si>
    <t>鱼米分期砍头息套路贷</t>
  </si>
  <si>
    <t>http://ts.21cn.com/tousu/show/id/1359529</t>
  </si>
  <si>
    <t>2019/10/14 08:30:03</t>
  </si>
  <si>
    <t>本人在鱼米分期申请贷款1600，下款只有1050，本来写的6天还款1600，已经属于砍头息高利套路贷了，可实际还款日只有5天，延期两次，一次592元，也是写的6天，延期后就变成了5天，延期前写的16日还款，延期成功后变成了15日，，希望贵平台联系下，这种恶意行为希望得到处理，本人所在辖区派出所因为网贷一事已经联系本人叫我不要再还款，希望我配合调查提供证据，我还是希望能与对方先协商。</t>
  </si>
  <si>
    <t>强制购买霸王白条</t>
  </si>
  <si>
    <t>http://ts.21cn.com/tousu/show/id/1359526</t>
  </si>
  <si>
    <t>2019/10/14 08:25:02</t>
  </si>
  <si>
    <t>投诉人 许先生        投诉对象  Wecash闪银        涉诉金额  8 700 元    问题类型    诉求类型投诉详情  借款八千七点击借款出现够买霸王白条额度 不买没办法借款 八千七需要购买一千五的霸王白条 加上之前 两千一个月的也需要购买白条 现已全部还清 望退回白条收取的砍头息</t>
  </si>
  <si>
    <t>http://ts.21cn.com/tousu/show/id/1359524</t>
  </si>
  <si>
    <t>2019/10/14 08:22:37</t>
  </si>
  <si>
    <t>投诉人 杨先生        投诉对象  钱站,爱钱进        涉诉金额  2 000 元    问题类型    诉求类型投诉详情  钱站平台 超高利息 比高利贷还高 导致生活无法继续 希望平台帮助我 国家大力打压高利贷 可是为什么还有人钻这种空子 难道国家就不管吗？</t>
  </si>
  <si>
    <t>http://ts.21cn.com/tousu/show/id/1359520</t>
  </si>
  <si>
    <t>2019/10/14 08:18:19</t>
  </si>
  <si>
    <t>美团生活费逾期后就持续给我通讯录好友拨打骚扰电话，加我通讯录好友微信，恶语相向，反复解释过由于之前卷入套路贷导致欠下巨额贷款暂时无力偿还，而且已经在努力赚钱还债中，但是他们仍然持续去给我暴力催收并且不停地给我家人朋友骚扰。</t>
  </si>
  <si>
    <t>上海淇毓科技服务公司回档要资金合理吗？</t>
  </si>
  <si>
    <t>http://ts.21cn.com/tousu/show/id/1359518</t>
  </si>
  <si>
    <t>2019/10/14 08:15:05</t>
  </si>
  <si>
    <t>10月13日，我在360借条名下的上海淇毓公司借了4万块钱，想要提现要交5%的工本费，我交了，但是由于我的失误把银行卡的账号输错了一位，没有下款成功，说是账户冻结，我问客服，客服说必须解冻，解冻成功后才可以修改账户，修改账户还要交6000块钱的押金，我交了解冻后，账户显示需要回档，我又问客服*，客服说回档需要在交9980的回档金，说是这是银行看你有没有还款能力，我现在一分钱还没借到就投进去8000块钱了，请问这合理吗，我现在钱还没拿到手，就已经交了8000块钱。</t>
  </si>
  <si>
    <t>大庆雨诗铭科技有限公司无故扣款</t>
  </si>
  <si>
    <t>http://ts.21cn.com/tousu/show/id/1359507</t>
  </si>
  <si>
    <t>2019/10/14 07:51:46</t>
  </si>
  <si>
    <t>我在一个平台绑定了银行卡之后就卸载了，3小时后从我银行卡里连续扣了我两笔66元，显示是大庆雨诗铭科技有限公司。</t>
  </si>
  <si>
    <t>暴力催收恐吓骚扰</t>
  </si>
  <si>
    <t>http://ts.21cn.com/tousu/show/id/1359504</t>
  </si>
  <si>
    <t>2019/10/14 07:43:44</t>
  </si>
  <si>
    <t>万达贷频繁骚扰恐吓家人朋友，影响正常生活，暴力催收，恐吓，短信电话轰炸，侵犯他人隐私。</t>
  </si>
  <si>
    <t>及贷砍头息，借款金额与到账金额严重不符。</t>
  </si>
  <si>
    <t>http://ts.21cn.com/tousu/show/id/1359502</t>
  </si>
  <si>
    <t>2019/10/14 07:37:05</t>
  </si>
  <si>
    <t>投诉人李女士投诉对象及贷涉诉金额3300元问题类型诉求类型投诉详情本人去年11月份在及贷借款16000元，但实际到账只有14000元，2000块的砍头息，现在已还了10个月，合计16600元，要求免除后面的两期费用。</t>
  </si>
  <si>
    <t>投诉现金巴士高利贷砍头利息</t>
  </si>
  <si>
    <t>http://ts.21cn.com/tousu/show/id/1359498</t>
  </si>
  <si>
    <t>2019/10/14 07:26:28</t>
  </si>
  <si>
    <t>我要投诉现金巴士微额速达有限公司，高利贷，骗子软件，套路深，借1500元，还要先买个加速器100元，到账就剩1300多，然后30天内还就得还1545元，利息远远超过合同里面的利息，还完想再借，被套路了，不能借了，就显示资金匹配不足，套路很深啊，借过七八次了，从来没逾期过，为什么要套路我，你们能借我，因为你们相信我，我每次都提前还，没逾期过，是因为我相信你们这个平台是正规的，懂吗，我还是要求把七八次的加速器的钱全部退还给我，或者让我借，我都能接受。</t>
  </si>
  <si>
    <t>利息高于国家标准，暴力催收，打骚扰电话，</t>
  </si>
  <si>
    <t>http://ts.21cn.com/tousu/show/id/1359495</t>
  </si>
  <si>
    <t>2019/10/14 07:20:51</t>
  </si>
  <si>
    <t>诺秒贷本金12000元还款17000元，已经还了13500元依然要求还款，催收态度恶劣给亲朋好友打电话严重影响人的正常工作，造成借款人名誉损失，要求相关部门严肃处理。</t>
  </si>
  <si>
    <t>http://ts.21cn.com/tousu/show/id/1359490</t>
  </si>
  <si>
    <t>2019/10/14 07:19:24</t>
  </si>
  <si>
    <t>投诉人玉先生投诉对象牛人有品涉诉金额2200元问题类型诉求类型投诉详情牛人有品砍头息，借款2200实际到账1584，还款2244，要求减免全部头息，并停止未到还款日的催收行为，否则免谈。</t>
  </si>
  <si>
    <t>http://ts.21cn.com/tousu/show/id/1359492</t>
  </si>
  <si>
    <t>2019/10/14 07:17:13</t>
  </si>
  <si>
    <t>我在玖富万卡借款7000元，分三年还款，还款近半，因个人资金问题，要月底发工资才能还进，安排停催。</t>
  </si>
  <si>
    <t>上海瀚银科技提供违法通道</t>
  </si>
  <si>
    <t>http://ts.21cn.com/tousu/show/id/1359487</t>
  </si>
  <si>
    <t>2019/10/14 07:08:23</t>
  </si>
  <si>
    <t>投诉人 李先生        投诉对象  瀚银科技        涉诉金额  15 000 元    问题类型    诉求类型投诉详情  瀚银科技违法 违法行为 行为有关部门能管一下公开信息 要钱退款</t>
  </si>
  <si>
    <t>期待合伙人变向收取高额费用</t>
  </si>
  <si>
    <t>http://ts.21cn.com/tousu/show/id/1359484</t>
  </si>
  <si>
    <t>2019/10/14 07:05:36</t>
  </si>
  <si>
    <t>我从2017年4月开始使用这个平台，到19年4月份整整两年，一直没算过利率，只是觉得每次还款资金不少，家庭经济慢慢也跟不上还款，近期有朋友说是不是套路贷，国家正严厉打击，于是我开始查财资料还款明细，50000本金，算了算两年光利息还了40000元，如果你们想让我还你们的钱，就给我一个合理的协议还款，超出国家规定的部分给我找平，剩余的本金，我每月还点，要是不行我已经咨询了律师，写文书投诉平台，对于还款明细账单所收费用已经都准备齐全，律师也建议不用还款，不接电话，给朋友亲人说自己的信息泄露了别人利用信息贷的钱，</t>
  </si>
  <si>
    <t>新橙优品高利息</t>
  </si>
  <si>
    <t>http://ts.21cn.com/tousu/show/id/1359481</t>
  </si>
  <si>
    <t>2019/10/14 07:03:58</t>
  </si>
  <si>
    <t>借款3000实际2525.29，已经还3期2200多，要求还本金及该有的利息，这利息高的离谱。</t>
  </si>
  <si>
    <t>钱站APP虚假合同，高利息，高服务费，高逾期费，电话暴力骚扰</t>
  </si>
  <si>
    <t>http://ts.21cn.com/tousu/show/id/1359476</t>
  </si>
  <si>
    <t>2019/10/14 06:56:56</t>
  </si>
  <si>
    <t>本人实际借18000元，爱钱进打入到账18000元，分12期每月平均还2490.01总款29852.34广告虚假，虚假合同，高利息，高服务费，高逾期费，高违约金，骚扰电话，停止电话骚扰，停止个人信息泄露，恢复实际借款金额，减少服务费，利息，无处理话反馈到@中国互联网金融协会@中国银监会@3.15互联举报@政府百姓心声@媒体。</t>
  </si>
  <si>
    <t>翼钱包砍头息高利贷</t>
  </si>
  <si>
    <t>http://ts.21cn.com/tousu/show/id/1359473</t>
  </si>
  <si>
    <t>2019/10/14 06:49:48</t>
  </si>
  <si>
    <t>本人8月份在翼钱包借款，当时是借2000，可到账只有1400，周期是8天，这纯粹就是高利贷，明目张胆的砍头息，还有600元根本就没有到账，说是什么购物费，宝付支付为山东鲁信汇金信息咨询有限公司提供支付通道现家人也都知情无力承担高额息费要求协商还款销账处理。</t>
  </si>
  <si>
    <t>宝付支付和特约支付联合翼钱包非法从事高利贷</t>
  </si>
  <si>
    <t>http://ts.21cn.com/tousu/show/id/1359470</t>
  </si>
  <si>
    <t>2019/10/14 06:35:42</t>
  </si>
  <si>
    <t>本人于2019年6月3日在翼钱包借款2000元，实际到账1400元，砍头息600元，借款期限15天，到期还款2006元，因本人资金困难选择了展期服务，前前后后通过展期服务和砍头息已还款6620元，共计10次，还款情况及代扣方如下截图所示，现本人已无法承担如此高额的展期费用个非法利息，本人希望宝付和特约支付能够配合本人完成销账处理！。</t>
  </si>
  <si>
    <t>真情万里行航旅管家</t>
  </si>
  <si>
    <t>http://ts.21cn.com/tousu/show/id/1359465</t>
  </si>
  <si>
    <t>2019/10/14 06:29:29</t>
  </si>
  <si>
    <t>等人在2019年6月在淮安机场，有一个身穿机场工作人员服装的人，假装为我办理自助值机，告诉我只需要花998元，卡里就会有1998元。</t>
  </si>
  <si>
    <t>好易贷714高炮，砍高额头息，恐吓威胁家人和朋友</t>
  </si>
  <si>
    <t>http://ts.21cn.com/tousu/show/id/1359458</t>
  </si>
  <si>
    <t>2019/10/14 05:55:01</t>
  </si>
  <si>
    <t>好易贷714高炮！借款3000，到手2100,说是七天，实际六天就还3014,打电话写上客服，客服态度强硬，还恐吓不还马上爆通讯录！。</t>
  </si>
  <si>
    <t>http://ts.21cn.com/tousu/show/id/1359457</t>
  </si>
  <si>
    <t>2019/10/14 05:39:35</t>
  </si>
  <si>
    <t>未经得我同意，私自扣款！在不了解的情况下，恶意私自扣款！。</t>
  </si>
  <si>
    <t>你我贷高额利息</t>
  </si>
  <si>
    <t>http://ts.21cn.com/tousu/show/id/1359456</t>
  </si>
  <si>
    <t>2019/10/14 05:31:05</t>
  </si>
  <si>
    <t>本人在你我贷平台借款3000元，分12期还总共要还4077。</t>
  </si>
  <si>
    <t>不正规网贷平台</t>
  </si>
  <si>
    <t>http://ts.21cn.com/tousu/show/id/1359455</t>
  </si>
  <si>
    <t>2019/10/14 05:22:13</t>
  </si>
  <si>
    <t>收费不合规，借款一年，前三个月本金，利息，服务费全部扣完，年利率超过国家规定的36%，打电话，发信息给我的家人，朋友，严重影响我正常的生活工作！。</t>
  </si>
  <si>
    <t>豆豆钱故意让你逾期并收取逾期费用</t>
  </si>
  <si>
    <t>http://ts.21cn.com/tousu/show/id/1359454</t>
  </si>
  <si>
    <t>2019/10/14 05:08:53</t>
  </si>
  <si>
    <t>十月账单还款3100,故意扣2895.18元，让你产生逾期上征信，本人银行卡余额充足。</t>
  </si>
  <si>
    <t>恒易贷逾期一天催收费一百元，高额利息，变相高利贷</t>
  </si>
  <si>
    <t>http://ts.21cn.com/tousu/show/id/1359453</t>
  </si>
  <si>
    <t>2019/10/14 05:03:59</t>
  </si>
  <si>
    <t>恒易贷13日到期，十点以后app上不能正常还款，逾期一天催收费一百元，属高额变相高利贷。</t>
  </si>
  <si>
    <t>套路贷平台还不了款故意导致逾期</t>
  </si>
  <si>
    <t>http://ts.21cn.com/tousu/show/id/1359452</t>
  </si>
  <si>
    <t>2019/10/14 05:00:23</t>
  </si>
  <si>
    <t>在立借app上借款钱置宝，3000到账2100，砍头息900，还了1期，共计700多元.第二期立借平台钱置宝不能划扣，更不能主动还款，一直到第三期可以主动还款了，但是必须要还了第二期的逾期的费用加起来一千多，期间一直无法联系到客服，平台故导致逾期，20多天无人联系还款，10月13日突然有人打电话来要求还款，要全额4395.加上第一期的七百多一共需要还款五千多。</t>
  </si>
  <si>
    <t>714高炮啊</t>
  </si>
  <si>
    <t>http://ts.21cn.com/tousu/show/id/1359451</t>
  </si>
  <si>
    <t>2019/10/14 04:57:53</t>
  </si>
  <si>
    <t>投诉人 杨先生        投诉对象  多乾分期        涉诉金额  2 000 元    问题类型    诉求类型投诉详情  怎么政府打击这么久的714问呢还没呢？这利息高德可以啊</t>
  </si>
  <si>
    <t>宜贷分期高利贷</t>
  </si>
  <si>
    <t>http://ts.21cn.com/tousu/show/id/1359450</t>
  </si>
  <si>
    <t>2019/10/14 04:53:02</t>
  </si>
  <si>
    <t>投诉人 张先生        投诉对象  宜贷分期        涉诉金额  3 000 元    问题类型    诉求类型投诉详情  宜贷分期借款3000元 每5天还一期 每期1230 已还3期 最后一期利息太高 请求协商销帐处理</t>
  </si>
  <si>
    <t>维信卡卡贷涉嫌高利率</t>
  </si>
  <si>
    <t>http://ts.21cn.com/tousu/show/id/1353187</t>
  </si>
  <si>
    <t>2019/10/14 04:52:36</t>
  </si>
  <si>
    <t>投诉人胡女士投诉对象维信金科,卡卡贷涉诉金额12600元问题类型诉求类型投诉详情9月10号卡卡贷在没有通知本人的情况下私自盗刷我银行卡内1397元，11号致电我答应5到15个工作日退还这比风险评估费，到今天10月11号一个月过去了，还是没收到钱，我每天打电话过去，他们每天都是说在处理中，问什么时候能确定时间钱退到我卡里，也没法保证能给你退，我已经报了警，警察给我的建议是他们什么时候退还这笔费用，我再偿还剩下的还款，昨天是还款日，我打电话过去说什么时候退钱什么时候还款，还是不当回事，今天我一看APP账单逾期一</t>
  </si>
  <si>
    <t>http://ts.21cn.com/tousu/show/id/1359449</t>
  </si>
  <si>
    <t>2019/10/14 04:50:28</t>
  </si>
  <si>
    <t>投诉人胡女士投诉对象现金巴士涉诉金额2000元问题类型诉求类型投诉详情现金巴士强行要求购买会员，不买会员根本借不了款，本人从7月10号从现金巴士借款2000元，分3期还收取了180元利息，到账之后直接扣了会员费318元，变相的砍头息。</t>
  </si>
  <si>
    <t>高额度的服务费暴力催收爆我通讯录威胁我的家人</t>
  </si>
  <si>
    <t>http://ts.21cn.com/tousu/show/id/1359447</t>
  </si>
  <si>
    <t>2019/10/14 04:43:36</t>
  </si>
  <si>
    <t>暴力催收爆我通讯录威胁我的家人高额的服务费没有给我什么服务就。</t>
  </si>
  <si>
    <t>南京科芮恩整形中心，易美健</t>
  </si>
  <si>
    <t>http://ts.21cn.com/tousu/show/id/1359446</t>
  </si>
  <si>
    <t>2019/10/14 04:42:09</t>
  </si>
  <si>
    <t>一家在南京市的南京科芮恩整形中心，我们被骗去做美容贷，易美健跟他们合伙，放款给他们医院，然后他们医院免费给我们做线雕，他们那边中介说这钱不用我们还，他们会帮我们还的，事后给了我们每人一千元，我们都不知道贷款贷多少，到还款日才知道我们被骗了，贷款5万元，线雕才一万左右，随随便便一千元把我们打发了，还款的时候也没有帮我们还，还得要我们自己承担，希望法律能帮忙惩治这些人，还我们和平公道，维护我们的合法权益以及个人财产，因为已经有太多的受害者上当受骗，而且都是女孩子，她们都是无辜的，被欺骗的。</t>
  </si>
  <si>
    <t>分期乐贷款超过国家规定的36%</t>
  </si>
  <si>
    <t>http://ts.21cn.com/tousu/show/id/1359444</t>
  </si>
  <si>
    <t>2019/10/14 04:37:48</t>
  </si>
  <si>
    <t>要求归还，以还款超过国家规定年利率36%以为的利息。</t>
  </si>
  <si>
    <t>王者钱包砍头息暴力催收请退钱</t>
  </si>
  <si>
    <t>http://ts.21cn.com/tousu/show/id/1359443</t>
  </si>
  <si>
    <t>2019/10/14 04:26:53</t>
  </si>
  <si>
    <t>本人于2019年10月8号在王者钱包app贷款1550元，但要求七天还款并且有961元的高额利息，这种违法714高利贷砍头息是违法的，并且在2019年10月12号遭到客服催收，态度恶劣，一天催好几次，并且威胁爆通讯录，然后我与12号下午4点40分还款2511元，本人要求退还高额违法利息！！！。</t>
  </si>
  <si>
    <t>http://ts.21cn.com/tousu/show/id/1359441</t>
  </si>
  <si>
    <t>2019/10/14 04:15:58</t>
  </si>
  <si>
    <t>借款8100元实际还款要还1.4万利息太高不符合国家规定的年化利率24%，要求终止合同或者退还保费。</t>
  </si>
  <si>
    <t>http://ts.21cn.com/tousu/show/id/1359440</t>
  </si>
  <si>
    <t>2019/10/14 03:56:23</t>
  </si>
  <si>
    <t>投诉人 蒋女士        投诉对象  安庆盛通信息科技服务有限公司,人人花        涉诉金额  198 元    问题类型    诉求类型投诉详情  人人花为什么无缘无故扣我198元。要求全额退款</t>
  </si>
  <si>
    <t>点点通到期不扣款app登陆不进去客服电话无法接通</t>
  </si>
  <si>
    <t>http://ts.21cn.com/tousu/show/id/1359439</t>
  </si>
  <si>
    <t>2019/10/14 03:53:16</t>
  </si>
  <si>
    <t>投诉人 金女士        投诉对象  点点通        涉诉金额  545 元    问题类型    诉求类型投诉详情  最后一期了 app登录不上 卸载了重新下 下载不了 找不到下载地址 短信链接也没用 暂时还未收到催收电话 希望尽快提供还款链接 我会及时还款</t>
  </si>
  <si>
    <t>京东金融京小租不发货</t>
  </si>
  <si>
    <t>http://ts.21cn.com/tousu/show/id/1359436</t>
  </si>
  <si>
    <t>2019/10/14 03:43:04</t>
  </si>
  <si>
    <t>本月六号在京东金融京小租凡有科技有限公司旗下的e租下单一台苹果11pro手机，一直到13号都没有发货，打电话多次催促不处理，不给出相应的解释，故，要求尽快发货，或者退款赔偿道歉！。</t>
  </si>
  <si>
    <t>火影帮借款714平台协商还到账本金</t>
  </si>
  <si>
    <t>http://ts.21cn.com/tousu/show/id/1359435</t>
  </si>
  <si>
    <t>2019/10/14 03:39:49</t>
  </si>
  <si>
    <t>本人已经在贵平台共借4次已经正常还款3次每次借款金额2500元到账金额在1800左右，3次借款利息给了2200多。</t>
  </si>
  <si>
    <t>http://ts.21cn.com/tousu/show/id/1359434</t>
  </si>
  <si>
    <t>2019/10/14 03:32:49</t>
  </si>
  <si>
    <t>本人08年用支付宝，一直信誉很好，去年出车祸后失去收入能力欠花呗9000元，昨天也还两千，还款态度明确，一定尽快还清，不想欠款，多次联系客服协商分五期还款，客服不同意，现催收人员一天打几个电话给我，昨天一直说上门收款，说要到村委和邻居调查，我电话一直开机，随时接你们电话，每天也筹钱转到支付宝还款了，因父亲这几天生病，天天打点滴，不想让父母担心，我都说了这几天我尽快还清，还是不依不饶，语言讽刺和恐吓，如此暴力催收已影响到我的生活和精神，我活在恐惧和焦虑不安中，现夜晚已无法入睡，我想问支付宝我这样的还款态度明确</t>
  </si>
  <si>
    <t>好分期利息超过36%</t>
  </si>
  <si>
    <t>http://ts.21cn.com/tousu/show/id/1359433</t>
  </si>
  <si>
    <t>2019/10/14 03:26:48</t>
  </si>
  <si>
    <t>好分期借4000分12期还利息1396真实利息严重超过36%。</t>
  </si>
  <si>
    <t>U钱包利息吓死人</t>
  </si>
  <si>
    <t>http://ts.21cn.com/tousu/show/id/1359432</t>
  </si>
  <si>
    <t>2019/10/14 03:19:02</t>
  </si>
  <si>
    <t>本人在2019年3月12日申请u钱包15000的网贷18个月当时上面显示利息加本金18000的还款金额，今天算了一下实际还款金额超过了贷款之前的本金加利息，现在每月还款乘以18个月1425.75*18=25663.5，平台问客服也没回消息过所以我采取逾期的方式希望能联系到点融网协商一下合理的还款金额，也可以采取法律的方式去抵制阴阳合同和高利的贷款。</t>
  </si>
  <si>
    <t>无端被上海造艺网络扣了299元</t>
  </si>
  <si>
    <t>http://ts.21cn.com/tousu/show/id/1359430</t>
  </si>
  <si>
    <t>2019/10/14 03:15:55</t>
  </si>
  <si>
    <t>查账的时候，发现少了几百块，一看账单被上海造艺网络无故扣了我299元，听都没听说过这公司，银行都没有那么大的权利乱扣款，而且没经过本人密码和任何认证就平白无故扣了款，也没办过他们公司的任何业务，真是没王法了，怎么会有这样的公司。</t>
  </si>
  <si>
    <t>滴滴长途订单被冻结</t>
  </si>
  <si>
    <t>http://ts.21cn.com/tousu/show/id/1359429</t>
  </si>
  <si>
    <t>2019/10/14 03:13:40</t>
  </si>
  <si>
    <t>把乘客送至目的地后，因为比较疲劳把高速费用误填到停车费用里了，然后结束后我才发现，就立刻打电话给客服说明情况并在订单报备，等我回到家后发现订单被冻结，致电客服，完全是一问三不知。</t>
  </si>
  <si>
    <t>玖富万卡拖延协商提前结清费用的差额补退</t>
  </si>
  <si>
    <t>http://ts.21cn.com/tousu/show/id/1359419</t>
  </si>
  <si>
    <t>2019/10/14 03:05:41</t>
  </si>
  <si>
    <t>9月22号与玖富万卡协商提前还款&amp;nbsp;客服让我当日在app正常提前结清&amp;nbsp;商议好的差额10个工作日退还在富友金账户上&amp;nbsp;期间打了3个客服电话&amp;nbsp;问金额为什么还未退还&amp;nbsp;客服一直让我等&amp;nbsp;至今为止已经快一个月了&amp;nbsp;玖富万卡纯粹的以各种理由推迟不给退还！属于欺骗！要求3日内退还我协商的差额！。</t>
  </si>
  <si>
    <t>立借钱置宝高利息，因平台自身原因逾期产生高额罚息</t>
  </si>
  <si>
    <t>http://ts.21cn.com/tousu/show/id/1359428</t>
  </si>
  <si>
    <t>2019/10/14 03:04:21</t>
  </si>
  <si>
    <t>在立借app上借款钱置宝，3000到账2100，砍头息900，还了1期，共计700多元.第二期立借平台钱置宝不能划扣，更不能主动还款，一直到第三期可以主动还款了，但是必须要还了第二期的逾期的费用加起来一千多，期间一直无法联系到客服，平台故导致逾期，20多天无人联系还款，10月13日突然有人打电话来要求还款，要全额4395.加上第一期的七百多一共需要还款五千多，接听电话以后打开立借APP出现了借款合同，合同显示借款2100元.更可笑的日期居然为为2019年10月14日，七十大庆才过了几天就如此肆无忌惮的恐吓套</t>
  </si>
  <si>
    <t>http://ts.21cn.com/tousu/show/id/1359427</t>
  </si>
  <si>
    <t>2019/10/14 03:02:55</t>
  </si>
  <si>
    <t>突然就成为了淘豆分期的会员，我并没有享受到淘豆分期会员的特权，而且淘豆分期更多的是推荐其他借款平台，强烈要求淘豆分期全额退款，并要求有关部门予以严厉打击，。</t>
  </si>
  <si>
    <t>闪银过度违规催收</t>
  </si>
  <si>
    <t>http://ts.21cn.com/tousu/show/id/1359425</t>
  </si>
  <si>
    <t>2019/10/14 03:00:04</t>
  </si>
  <si>
    <t>闪银催收过度频繁，威胁爆出个人隐私移动通话详单，致使本人已绝望，要求停止骚扰通话详单，要求中央严查闪银高利贷，砍头息迫害百姓。</t>
  </si>
  <si>
    <t>贷个款被你坑得不要不要的</t>
  </si>
  <si>
    <t>http://ts.21cn.com/tousu/show/id/1359424</t>
  </si>
  <si>
    <t>2019/10/14 02:55:07</t>
  </si>
  <si>
    <t>客服又说要我这边的银行卡给他转账2000元做银行流水。</t>
  </si>
  <si>
    <t>安逸花暴力催收威胁还款</t>
  </si>
  <si>
    <t>http://ts.21cn.com/tousu/show/id/1359423</t>
  </si>
  <si>
    <t>2019/10/14 02:53:36</t>
  </si>
  <si>
    <t>这个月9日，因为工资没有按时发放，所以逾期了4天，安逸花打电话威胁，再不还款就爆通讯录，联系我的家人，我已经解释，是因为工资不及时造成逾期，并不是不还款，如果再暴力催收，骚扰我家人，朋友，我将留好证据，举报到银监会和扫黑除恶办公室。</t>
  </si>
  <si>
    <t>钱站借款平台在借款未到账的情况下不能取消借款</t>
  </si>
  <si>
    <t>http://ts.21cn.com/tousu/show/id/1359421</t>
  </si>
  <si>
    <t>2019/10/14 02:50:18</t>
  </si>
  <si>
    <t>在钱站平台借款一千元分三期，结果看到还款计划每个月要还六百多，后来手误点了确认借款，但是在钱站未将借款金额汇入我账户前我打钱站人工客服电话要求取消该笔借款，但钱站客服回答说无法取消该笔借款，取消的唯一办法就是在该笔借款到账后七十二小时之内打客服电话支付百分之三的违约金才可以取消该笔借款，我想咨询一下钱站的这些行为合法吗。</t>
  </si>
  <si>
    <t>榕易分期利率超过央行标准</t>
  </si>
  <si>
    <t>http://ts.21cn.com/tousu/show/id/1359420</t>
  </si>
  <si>
    <t>2019/10/14 02:49:13</t>
  </si>
  <si>
    <t>榕易分期存在砍头息，而且我算了一下，我12期还款的利息超过了银行规定的利率，我希望平台能从中介入，维护我的合法权益。</t>
  </si>
  <si>
    <t>失眠的夜晚</t>
  </si>
  <si>
    <t>http://ts.21cn.com/tousu/show/id/1359418</t>
  </si>
  <si>
    <t>2019/10/14 02:44:38</t>
  </si>
  <si>
    <t>我现在没有钱，我不是不还，为什么每个朋友都要发这个呢。</t>
  </si>
  <si>
    <t>滴滴敷衍事</t>
  </si>
  <si>
    <t>http://ts.21cn.com/tousu/show/id/1359417</t>
  </si>
  <si>
    <t>2019/10/14 02:44:15</t>
  </si>
  <si>
    <t>一直到机场一个车没有都不给我排队，打客服说我账号正常，客服一直敷衍我……一直没有给我派单。</t>
  </si>
  <si>
    <t>闪银天天违规催收</t>
  </si>
  <si>
    <t>http://ts.21cn.com/tousu/show/id/1359415</t>
  </si>
  <si>
    <t>2019/10/14 02:41:02</t>
  </si>
  <si>
    <t>闪银不同意协商还款，闪银每天超过5次催收，闪银承诺不爆通讯录的，闪银又骚扰爆通讯录，闪银有威胁成份，致使个人绝望，逼迫个人走上绝望。</t>
  </si>
  <si>
    <t>爆讯录</t>
  </si>
  <si>
    <t>http://ts.21cn.com/tousu/show/id/1359414</t>
  </si>
  <si>
    <t>2019/10/14 02:39:06</t>
  </si>
  <si>
    <t>拍拍贷爆通讯录，对我的家人进行骚扰恐吓，要求停止骚扰。</t>
  </si>
  <si>
    <t>宝付网络科技无故扣款126元</t>
  </si>
  <si>
    <t>http://ts.21cn.com/tousu/show/id/1359412</t>
  </si>
  <si>
    <t>2019/10/14 02:35:21</t>
  </si>
  <si>
    <t>2019.10.14-02:06:08宝付网络科技无故扣费126元，要求追回。</t>
  </si>
  <si>
    <t>钱站或爱钱进超高利贷，阴阳合同</t>
  </si>
  <si>
    <t>http://ts.21cn.com/tousu/show/id/1359411</t>
  </si>
  <si>
    <t>2019/10/14 02:34:28</t>
  </si>
  <si>
    <t>1.本人与2019年9月6日申请借款1000元整分三期还款并提交通过后实际到账1000元整，点进app查看合同之后显示借款合同1330整，三期需还款1788元，2.变相突破法定民间借贷利息上限3.借款金额和实际到账金额不符4.用打“擦边球”的方式包装“砍头息”5.借款合同中多项条款超越法律规定条款6.变相待还的利息、手续费、管理费、保证金等总额与借款实际金额的比率远超民间借贷利息上限。</t>
  </si>
  <si>
    <t>立借高利贷，套路贷，暴力催收</t>
  </si>
  <si>
    <t>http://ts.21cn.com/tousu/show/id/1359410</t>
  </si>
  <si>
    <t>2019/10/14 02:33:44</t>
  </si>
  <si>
    <t>立借APP变相高利贷，套路贷，骚扰联系人，APP里面无法查看贷款合同，没有收费明细，借款6500，分三个月还，一共要还9000，年利率已经到达220%了，明显高出法律规定的好多倍，要求把年利率降到法律规定以内，免除多余的利息，未经允许骚扰手机通讯录联系人，必须停止骚扰联系人，做出道歉赔偿，里面虽然支持提前还款，但金额还是要还9000多，我既然提前还了，为什么还会有利息呢，这是霸王条款，利息必须计算到结清当天为止，不得收取多余利息。</t>
  </si>
  <si>
    <t>特约信诚消费入金无故扣费849元</t>
  </si>
  <si>
    <t>http://ts.21cn.com/tousu/show/id/1359409</t>
  </si>
  <si>
    <t>2019/10/14 02:31:23</t>
  </si>
  <si>
    <t>2019.10.14-01:53:03无故扣款849元。</t>
  </si>
  <si>
    <t>趣乐多科技公司诱导消费且影响消费者权益</t>
  </si>
  <si>
    <t>http://ts.21cn.com/tousu/show/id/1359408</t>
  </si>
  <si>
    <t>2019/10/14 02:26:15</t>
  </si>
  <si>
    <t>旗下的大圣轮回游戏有着严重的诱导消费行为，安排游戏拖刺激我们消费，且消费过后迅速贬值，严重影响游戏玩家体验，且拨打客服电话进行沟通态度恶劣，要去迅速联系被投诉方，退回我的充值款项，我的账号你们可以直接回收或封停、要求迅速作出处理，否则我会进步一步通过法律维护我的权益。</t>
  </si>
  <si>
    <t>投诉巴乐兔租房平台</t>
  </si>
  <si>
    <t>http://ts.21cn.com/tousu/show/id/1359407</t>
  </si>
  <si>
    <t>2019/10/14 02:25:26</t>
  </si>
  <si>
    <t>10月15日，现本人诉求退还房屋租金及押金和中介费共计3600元</t>
  </si>
  <si>
    <t>暴力催收，爆通信录，恐吓</t>
  </si>
  <si>
    <t>http://ts.21cn.com/tousu/show/id/1359406</t>
  </si>
  <si>
    <t>2019/10/14 02:25:03</t>
  </si>
  <si>
    <t>本人于2019年1月29日向拍拍贷平台借款40000元，分24期还款每期2258.62元，9月29日第9期还款日我没能按时还款，，之后每天都有无数个不同电话打来催收，有的说是平台工作人员有的说是投资人，并频繁骚扰恐吓我的家人还有通信录的好友，我也有跟催收人员解释，不但没用还遭到侮辱，严重影响了我和我家人及亲戚朋友的工作生活。</t>
  </si>
  <si>
    <t>利息超过国家规定36%</t>
  </si>
  <si>
    <t>http://ts.21cn.com/tousu/show/id/1359405</t>
  </si>
  <si>
    <t>2019/10/14 02:22:26</t>
  </si>
  <si>
    <t>借钱4000元分12期利息1396真实利率超过36太多。</t>
  </si>
  <si>
    <t>http://ts.21cn.com/tousu/show/id/1359404</t>
  </si>
  <si>
    <t>2019/10/14 02:17:17</t>
  </si>
  <si>
    <t>3000，分期6个月，合同上写的是利息70.18元，实际利息高达530多，且前2个月就本金基本收回，，剩下的几个月还款全是利息，高利贷中的高利贷！要求退还多还的利息！。</t>
  </si>
  <si>
    <t>珍爱网集体投诉专题</t>
  </si>
  <si>
    <t>http://ts.21cn.com/tousu/show/id/1359403</t>
  </si>
  <si>
    <t>2019/10/14 02:15:22</t>
  </si>
  <si>
    <t>珍爱网南京大行宫店洗脑式聊天，多人轮番演戏，疲劳轰炸，强制诱导消费，合同霸王条款。</t>
  </si>
  <si>
    <t>http://ts.21cn.com/tousu/show/id/1359402</t>
  </si>
  <si>
    <t>2019/10/14 02:12:20</t>
  </si>
  <si>
    <t>聚福钱包贷款，查个征信好几百，莫名其妙扣钱，结果放款还是推荐第三方，十几天了推荐不了，中途乱七八糟的电话打来问要不要借款，问客服又说不会有这种推荐方式，就说现在没放款，又不退钱，退钱还要发身份证和手持给他们，这不是盗取个人信息是什么，对于这样的公司，还让继续祸害其他人吗，人家都是应急借款，结果还扣借款人的钱。</t>
  </si>
  <si>
    <t>暴力催收，天天拨打多个电话催收，还骚扰我的通信录联系人，电话恐吓，逾期费过高</t>
  </si>
  <si>
    <t>http://ts.21cn.com/tousu/show/id/1359401</t>
  </si>
  <si>
    <t>2019/10/14 02:07:44</t>
  </si>
  <si>
    <t>本人于8月14日向活力花借款平台借的4880元分三期还款，每期1773元，被强制扣保险费146元，由于本人父亲身体问题花了很多钱导致还款压力无法及时还款，还款日到后平台每天都用不同电话多次催收，还多次拨打我通信录联系人电话催收，而且逾期费过高，1773元逾期每天要十多元的逾期费，我跟催收人员说逾期费太高不合法还遭到催收人员的辱骂和恐吓，严重扰乱我的工作生活，。</t>
  </si>
  <si>
    <t>恒易贷阴阳合同暴力催收</t>
  </si>
  <si>
    <t>http://ts.21cn.com/tousu/show/id/1359400</t>
  </si>
  <si>
    <t>2019/10/14 02:07:08</t>
  </si>
  <si>
    <t>恒易贷阴阳合同每月还款931，一共36个月，实际到账才一万七千多，合同金额却是27956，还款日当天晚上就爆通讯录，解释暂时没有还款能力之后持续爆通讯录，催收人员态度恶劣。</t>
  </si>
  <si>
    <t>未满十八岁就放款给我现在不打算还了</t>
  </si>
  <si>
    <t>http://ts.21cn.com/tousu/show/id/1359399</t>
  </si>
  <si>
    <t>2019/10/14 02:04:14</t>
  </si>
  <si>
    <t>本人学生，之前头脑一热在闪银平日借款了1800元分6期，当时还收取我一个前期费用。</t>
  </si>
  <si>
    <t>信用钱包担保费太坑了</t>
  </si>
  <si>
    <t>http://ts.21cn.com/tousu/show/id/1359398</t>
  </si>
  <si>
    <t>2019/10/14 01:59:40</t>
  </si>
  <si>
    <t>信用钱包担保费太高，每期400多，比利息还高，这不是欺诈吗，要求协商结清。</t>
  </si>
  <si>
    <t>马上金融来钱花额度无理由冻结，要求解冻</t>
  </si>
  <si>
    <t>http://ts.21cn.com/tousu/show/id/1359397</t>
  </si>
  <si>
    <t>2019/10/14 01:59:10</t>
  </si>
  <si>
    <t>1.一直以来就是在马上金融来钱花贷款服务，，没有逾期记录过，合同协议尚未到期，你们不能说冻结就冻结对吧，3.要求解冻额度，或者更改我的还款日，请马上解决。</t>
  </si>
  <si>
    <t>联动云不审核注册人身份驾照信息</t>
  </si>
  <si>
    <t>http://ts.21cn.com/tousu/show/id/1359396</t>
  </si>
  <si>
    <t>2019/10/14 01:58:12</t>
  </si>
  <si>
    <t>朋友拿他自己的身份证注册的联动云帐号，因为驾驶证不在身边就拿我的驾照试一试看能不能审核成功，结果一下就成功了，现在导致我自己注册的账号绑定不了我自己的驾驶证，他的账号用的自己的身份证我的驾驶证，严重怀疑联动云公司的安全性，对客户的个人信息安全是否到位，给客服反映客服说只能还车30天后注销帐号，要是这30天内我朋友出事了咋办。</t>
  </si>
  <si>
    <t>高利贷软暴力</t>
  </si>
  <si>
    <t>http://ts.21cn.com/tousu/show/id/1359395</t>
  </si>
  <si>
    <t>2019/10/14 01:54:40</t>
  </si>
  <si>
    <t>还款日，因本人肾结石加阑尾炎经济出现问题，无法还款，利息本人也没有说不还，结果要还款时app不能还款，而且500块钱逾期第三天要加100的逾期费用，这不是高利贷是什么，本人昨天还款app不能还款，是你们的问题吧，请你们有关人员联系本人，而不是催收联系本人。</t>
  </si>
  <si>
    <t>滴滴司机接到长途订单完成后滴滴平台不给车费冻结车款</t>
  </si>
  <si>
    <t>http://ts.21cn.com/tousu/show/id/1359394</t>
  </si>
  <si>
    <t>2019/10/14 01:52:04</t>
  </si>
  <si>
    <t>滴滴司机接到跨城的长途订单，把乘客送达到目的地完成订单，滴滴平台不把车费给司机反到把这笔订单车费冻结。</t>
  </si>
  <si>
    <t>3000本金还款接近2W</t>
  </si>
  <si>
    <t>http://ts.21cn.com/tousu/show/id/1359393</t>
  </si>
  <si>
    <t>2019/10/14 01:50:39</t>
  </si>
  <si>
    <t>投诉人 吴先生        投诉对象  速溶360        涉诉金额  19 675 元    问题类型    诉求类型投诉详情  3000元的本金。后面还款还了19675。而且期间并没有给我任何联系。直到金额到了一定的程度。才联系我。而且还骚扰我家人。</t>
  </si>
  <si>
    <t>淘集集拖欠货款还要逼我签流氓协议</t>
  </si>
  <si>
    <t>http://ts.21cn.com/tousu/show/id/1359390</t>
  </si>
  <si>
    <t>2019/10/14 01:47:43</t>
  </si>
  <si>
    <t>投诉人 唐先生        投诉对象  淘集集        涉诉金额  560 000 元    问题类型    诉求类型投诉详情  拖欠货款三个月，一共60万左右，一直催促 客服就是拖，希望返还货款</t>
  </si>
  <si>
    <t>http://ts.21cn.com/tousu/show/id/1359389</t>
  </si>
  <si>
    <t>2019/10/14 01:46:06</t>
  </si>
  <si>
    <t>投诉人 甘先生        投诉对象  立刻出行        涉诉金额  499 元    问题类型    诉求类型      投诉详情  一直说审核状态中 但一直未审核成功，一直未退款</t>
  </si>
  <si>
    <t>套路贷714</t>
  </si>
  <si>
    <t>http://ts.21cn.com/tousu/show/id/1359388</t>
  </si>
  <si>
    <t>2019/10/14 01:45:31</t>
  </si>
  <si>
    <t>借款2000到手1600，款帮式销售众安保险，确查不到，保单希望聚投诉介入。</t>
  </si>
  <si>
    <t>http://ts.21cn.com/tousu/show/id/1359387</t>
  </si>
  <si>
    <t>2019/10/14 01:42:56</t>
  </si>
  <si>
    <t>截图申请退款，10月3日至今未退款，APP卸载之后就找不到了，想找客服也找不到，看到聚投诉可以解决问题只能来这里投诉了。</t>
  </si>
  <si>
    <t>我在交易猫这个手机游戏交易平台上，购买了一个账号，可是账号没有给我，却私自扣留我的钱，他们也不处理也不退款，无人应答</t>
  </si>
  <si>
    <t>http://ts.21cn.com/tousu/show/id/1359385</t>
  </si>
  <si>
    <t>2019/10/14 01:40:16</t>
  </si>
  <si>
    <t>我在交易猫这个手游交易平台上面购买了一个游戏账号，可是交易并没有成功，交易猫客服不发货，不退款，不处理，一直扣押我的钱款，所以我要投诉，广州交易猫信息技术有限公司，归还我的钱，并且给我一个扣押我钱的合理解释，这件事情已经过去几天了，迟迟得不到处理，我也在他们平台内部投诉过这件事，但是我感觉被屏蔽了一样，没人处理，我很生气他们凭什么交易不成功不退款，我这上面都是如实陈述，我对我上面的说的话负责！！！。</t>
  </si>
  <si>
    <t>http://ts.21cn.com/tousu/show/id/1359384</t>
  </si>
  <si>
    <t>2019/10/14 01:37:59</t>
  </si>
  <si>
    <t>投诉人周先生投诉对象安庆盛通信息科技服务有限公司,人人花涉诉金额90元问题类型诉求类型投诉详情手机短信收到链接下载注册好填好资料准备申请，刚绑定好银行卡然后点申请秒扣90块钱！！。</t>
  </si>
  <si>
    <t>砍头贷，714高炮</t>
  </si>
  <si>
    <t>http://ts.21cn.com/tousu/show/id/1359383</t>
  </si>
  <si>
    <t>2019/10/14 01:36:40</t>
  </si>
  <si>
    <t>投诉人 苏先生        投诉对象  新浪分期        涉诉金额  8 900 元    问题类型    诉求类型      投诉详情  利息太高，属于砍头贷，714高炮，不合法</t>
  </si>
  <si>
    <t>TCL答谢会净水器误导消费者</t>
  </si>
  <si>
    <t>http://ts.21cn.com/tousu/show/id/1359380</t>
  </si>
  <si>
    <t>2019/10/14 01:36:27</t>
  </si>
  <si>
    <t>10月13日下午，父母接到电话对方称TCL答谢会净水器活动赠送两个平底锅，夜里九点多送来一台TJ_CRO505AZ_5型号的净水器和抽奖赠品一台老旧小鸭洗衣机和一个新飞空气净化器，活动时声称为最新产品即将上市，现回馈老客户卖价3980，本着对TCL品牌的信任和老年人的知识缺乏，把上述净水器，后查询净水器和描述不符，所有物品和赠送的两个平底锅玻璃杯总价值也距离付款严重不符！，，对方还提供了一个叫王茜钥的山东区域经理名片和400电话。</t>
  </si>
  <si>
    <t>米米罐超高利贷</t>
  </si>
  <si>
    <t>http://ts.21cn.com/tousu/show/id/1359381</t>
  </si>
  <si>
    <t>2019/10/14 01:35:46</t>
  </si>
  <si>
    <t>本人在米米罐借款1900元，期限一个月，还款竟然高达2893元，北京爱农支付为高利贷平台米米罐违规放款，米米罐平台虚假宣传，借1900元一个月后还款2893元，这样的高利息也是符合国家利率吗，诱导用户购买征信报告费，这样的高利贷平台国家不严打吗，本人网贷平台负责多，已无力偿还，我的原则是还本金处理，多出来的钱我一分都不会还。</t>
  </si>
  <si>
    <t>http://ts.21cn.com/tousu/show/id/1359379</t>
  </si>
  <si>
    <t>2019/10/14 01:30:57</t>
  </si>
  <si>
    <t>安庆盛通信息科技有限公司私自从我银行卡扣钱。</t>
  </si>
  <si>
    <t>云闪付为不法分子提供支付渠道</t>
  </si>
  <si>
    <t>http://ts.21cn.com/tousu/show/id/1359378</t>
  </si>
  <si>
    <t>2019/10/14 01:27:39</t>
  </si>
  <si>
    <t>云闪付为不法分子提供提供支付渠道要求退款，支付渠道是中国银联，中国银联在老百姓心中是可靠的平台，，，在看到了中国银联的标志，也相信了平台是合法彩票平台，，但是现在发现次彩票平台根本不是合法平台，自己也受到了蒙骗，，不要再为不法分子提供便利，恳求聚投诉平台帮我拿回血汗钱。</t>
  </si>
  <si>
    <t>拉卡拉软暴力催收，不予沟通协商</t>
  </si>
  <si>
    <t>http://ts.21cn.com/tousu/show/id/1359377</t>
  </si>
  <si>
    <t>2019/10/14 01:27:06</t>
  </si>
  <si>
    <t>本人之前因为周转资金，在拉卡拉借款8000，目前还剩最后一期，因近期照顾家里病人离职，还未就业，资金暂时有点困难，不能及时还款，拉卡拉的客服持续不断的拨打我的电话，还有我的通讯录联系人的电话，给我造成了不好的影响，之前有跟客服沟通，希望协商还款，但是他们强硬不跟你沟通，客服态度十分不友好，希望改善服务。</t>
  </si>
  <si>
    <t>投诉及贷强制购买会员，高利贷</t>
  </si>
  <si>
    <t>http://ts.21cn.com/tousu/show/id/1359376</t>
  </si>
  <si>
    <t>2019/10/14 01:20:04</t>
  </si>
  <si>
    <t>本人在急用钱时于5月16在网络贷款平台及贷，8月15号借款8100元，分12期还款，要还11438元，现经济困难无力偿还，该平台利息高出国家规定近两倍，借款时在不知情的情况下被强行入会购买平台会员，分别是930元和1170.5元，并记入本金计算利息，提前结清手续费没有减免息费，平台要求分期期数长，询问客服，不能告知准确的日利率标准，钻法律空子，请相关部门介入调查，有此类网友一起投诉，共同维护合法权益。</t>
  </si>
  <si>
    <t>万达普惠暴力催收，侮辱借款人</t>
  </si>
  <si>
    <t>http://ts.21cn.com/tousu/show/id/1359375</t>
  </si>
  <si>
    <t>2019/10/14 01:19:50</t>
  </si>
  <si>
    <t>本人因资金周转在万达普惠借款，目前只剩两期两千余元未还，近期因为家庭变故，失业，之前有与平台沟通，近期该平台客服频繁拨打我电话，威胁恐吓我，我不接受的话还要把我上报逃废债名单，本人之前有跟万达普惠协商，工作后第一时间有收入就把这个钱还掉，但是他们不答应，一直在不断的拨打电话，采取各种暴力威胁语气与人沟通，强烈要求万达普惠停止侮辱何骚扰。</t>
  </si>
  <si>
    <t>广发银行、信用卡中心不予协商处理</t>
  </si>
  <si>
    <t>http://ts.21cn.com/tousu/show/id/1359374</t>
  </si>
  <si>
    <t>2019/10/14 01:18:50</t>
  </si>
  <si>
    <t>本人自从办理信用卡以来一直按照银行有关规定及要求进行相对应的还款，但由于2019年生意失败，资金出现较大问题后，多次主动与银行进行沟通分期还款，却遭到客服及第三方催收人员的拒绝和骚扰，还不间断对我进行恐吓威胁并要求一次性还清本金及利息，现每个月的利息都在不断叠加，共计已有三万四千多余元，请有关部门帮忙协调进行减息分期，求求你们了！我现在已经被广发银行已经逼的走头无路了，为了还他们的钱我已东拼西凑现在连最基本小孩的奶粉都买不起了，请有关部门出手帮忙！希望广发信用卡给予协商分期处理！。</t>
  </si>
  <si>
    <t>不正规撸网贷利息高</t>
  </si>
  <si>
    <t>http://ts.21cn.com/tousu/show/id/1359367</t>
  </si>
  <si>
    <t>2019/10/14 01:17:53</t>
  </si>
  <si>
    <t>投诉人邵女士投诉对象撸网贷的人和网贷平台,拍拍贷,360借条涉诉金额21260元问题类型诉求类型投诉详情我们需要十万去提车经人介绍去菏泽有人带我们去贷款去了之后说贷款贷不下来这么多弄网贷吧我们就说现在这个钱不是必须要用的了如果能贷下来十万就贷利息低的贷不下来就算了他就要了我的手机和身份证说要先看看然后就没经过我们同意在拍拍贷和360借条上下款了我们说能不能贷十万不行就不贷了他说最多八万我们就说那不用了，他说已经下了一万多了我们赶紧让他停止了说能不能还上他说现在还不了得用三个月然后还支付给他1800元的费用当</t>
  </si>
  <si>
    <t>信用管家里面91买呗高利贷砍头息</t>
  </si>
  <si>
    <t>http://ts.21cn.com/tousu/show/id/1359372</t>
  </si>
  <si>
    <t>2019/10/14 01:15:56</t>
  </si>
  <si>
    <t>本人在信用管家平台91买呗申请借款2000元，实际到账1500元，砍头息500元，分三期归还，每期10天，每期要还686.56，到期一共还款2059.68元！已超出国家规定利率！本人已归还两期，最后一期因实在无法偿还高额利息，想跟他们平台协商还款。</t>
  </si>
  <si>
    <t>钱站开始半夜三更拨打骚扰电话</t>
  </si>
  <si>
    <t>http://ts.21cn.com/tousu/show/id/1359373</t>
  </si>
  <si>
    <t>2019/10/14 01:15:52</t>
  </si>
  <si>
    <t>钱站的做事方法，就你们这样有钱我都不会还给你们一分，专门半夜三更打电话骚扰垃圾垃圾垃圾垃圾。</t>
  </si>
  <si>
    <t>支付成功，但是没有出票</t>
  </si>
  <si>
    <t>http://ts.21cn.com/tousu/show/id/1359371</t>
  </si>
  <si>
    <t>2019/10/14 01:11:59</t>
  </si>
  <si>
    <t>投诉人 何先生        投诉对象  上海阿斯兰航空公司        涉诉金额  490 元    问题类型    诉求类型投诉详情  支付成功，但是没有出票，请帮我退款。谢谢</t>
  </si>
  <si>
    <t>小明出行押金恶意拖延不退</t>
  </si>
  <si>
    <t>http://ts.21cn.com/tousu/show/id/1359370</t>
  </si>
  <si>
    <t>2019/10/14 01:09:53</t>
  </si>
  <si>
    <t>投诉人 青青女士        投诉对象  小明出行        涉诉金额  699 元    问题类型    诉求类型投诉详情  经多次提醒客服退款，拒不处理，行为恶劣</t>
  </si>
  <si>
    <t>弹个车买车变租车，事故车，里程造假，低配车当高配卖，冒充阿里巴巴和支付宝</t>
  </si>
  <si>
    <t>http://ts.21cn.com/tousu/show/id/1359369</t>
  </si>
  <si>
    <t>2019/10/14 01:09:48</t>
  </si>
  <si>
    <t>8月30日，本人在浙江大搜车融资租赁有限公司旗下，第一：此车并非是我所购买并在合同上写明的奥迪2012款奥迪A6舒适型，而是配置低一级的奥迪A6标准型，第二：此车提车时间公里数为48726公里，但是我发现合同却给我写成40000公里，因为弹个车每年只能开两万公里，超出每公里要收费将近3块钱，弹个车承诺不卖事故车的，这些合同里都有注明，弹个车的广告，销售人员的话术都是告诉我买车，结果变成租车！我手上有弹个车的内部培训书籍，上面也是说的斗车买车等字眼，第六：冒充支付宝阿里巴巴等企业，销售培训的书籍和销售写的证据</t>
  </si>
  <si>
    <t>http://ts.21cn.com/tousu/show/id/1359368</t>
  </si>
  <si>
    <t>2019/10/14 01:09:15</t>
  </si>
  <si>
    <t>不退押金，7月24号申请退押金，80天了，没退款。</t>
  </si>
  <si>
    <t>安庆盛通信息科技有限公司半夜私自扣款288元</t>
  </si>
  <si>
    <t>http://ts.21cn.com/tousu/show/id/1359365</t>
  </si>
  <si>
    <t>2019/10/14 01:00:14</t>
  </si>
  <si>
    <t>分期乐公司暴力催收、骚扰通讯录家属</t>
  </si>
  <si>
    <t>http://ts.21cn.com/tousu/show/id/1359363</t>
  </si>
  <si>
    <t>2019/10/14 00:59:41</t>
  </si>
  <si>
    <t>分期乐催收员，工号60786，姓何，频繁打电话骚扰通讯录家属。</t>
  </si>
  <si>
    <t>我只借了300，399，哪里多出99块</t>
  </si>
  <si>
    <t>http://ts.21cn.com/tousu/show/id/1359364</t>
  </si>
  <si>
    <t>2019/10/14 00:59:23</t>
  </si>
  <si>
    <t>希望你们平台客服人员安排尽量处理一下，谢谢。</t>
  </si>
  <si>
    <t>手机借钱多宝分期高利贷</t>
  </si>
  <si>
    <t>http://ts.21cn.com/tousu/show/id/1359362</t>
  </si>
  <si>
    <t>2019/10/14 00:56:19</t>
  </si>
  <si>
    <t>9月1日，9月16日，10月1日，以每期2398.80元还款3期，合计还款总金额7196.4元，按照还3期计算，年利率已达110%远超国家规定，属于超级高利贷，故选择举报该平台，要求其撤销我的第四期还款，并做结清证明！。</t>
  </si>
  <si>
    <t>要求恒达易贷退款</t>
  </si>
  <si>
    <t>http://ts.21cn.com/tousu/show/id/1359356</t>
  </si>
  <si>
    <t>2019/10/14 00:53:49</t>
  </si>
  <si>
    <t>投诉人邓先生投诉对象恒达易贷涉诉金额7386元问题类型诉求类型投诉详情本人于2019年10月10日在网上恒达易贷贷款平台贷款时被信贷专员已各种理由缴纳钱款7386元，分别打到了张伟，和赵贤顺的两个户名的银行卡上，后来贷款还没下来，我要求退款，信贷专员蛮横无理，还恐吓我。</t>
  </si>
  <si>
    <t>暴力催收爆通讯录714</t>
  </si>
  <si>
    <t>http://ts.21cn.com/tousu/show/id/1359361</t>
  </si>
  <si>
    <t>2019/10/14 00:53:14</t>
  </si>
  <si>
    <t>投诉人朱先生投诉对象金鸡下蛋,现在改名叫金贝备,肥猫贷,现在改名叫海浪分期,威力贷,现在改名叫好易分期,支付宝,汇潮支付涉诉金额1400元问题类型诉求类型投诉详情这三个平台支付的展期付用已经超过本金，已无力再支付任何利息！。</t>
  </si>
  <si>
    <t>钱站速金服骚扰电话威胁短信</t>
  </si>
  <si>
    <t>http://ts.21cn.com/tousu/show/id/1359360</t>
  </si>
  <si>
    <t>2019/10/14 00:52:51</t>
  </si>
  <si>
    <t>投诉人 孙先生        投诉对象  钱站,速金服        涉诉金额  1 835 元    问题类型    诉求类型      投诉详情  每天十几个以上的电话骚扰。发短信威胁爆我通讯录</t>
  </si>
  <si>
    <t>小赢卡贷暴力催收不断</t>
  </si>
  <si>
    <t>http://ts.21cn.com/tousu/show/id/1359359</t>
  </si>
  <si>
    <t>2019/10/14 00:51:32</t>
  </si>
  <si>
    <t>小赢卡贷逾期一天打爆通讯录，跟每一个人都说是我的紧急联系人。</t>
  </si>
  <si>
    <t>滴滴平台违规给黑滴滴派单，双证司机接不到单</t>
  </si>
  <si>
    <t>http://ts.21cn.com/tousu/show/id/1359353</t>
  </si>
  <si>
    <t>2019/10/14 00:50:43</t>
  </si>
  <si>
    <t>投诉人吴先生投诉对象滴滴出行涉诉金额130000元问题类型诉求类型投诉详情之前平台鼓吹双证合规倾斜派单，现在我们很多司机都合规了，单子反而不派了！每天辛辛苦苦出车十几个小时流水就一两百！四个小时的计费时长都做不满！早晚高峰反而根本接不到单子！就这种情况，平台还疯狂招揽新司机加入，还在不停地给黑车派单！完全不管双证快车司机的死活！看看我的出车时间计费时长，流水，这还不包括吃饭上厕所把平台关闭的时间！请问滴滴平台你们到底有多坑有多恶心。</t>
  </si>
  <si>
    <t>滴滴平台坑害误导司机</t>
  </si>
  <si>
    <t>http://ts.21cn.com/tousu/show/id/1359346</t>
  </si>
  <si>
    <t>2019/10/14 00:49:01</t>
  </si>
  <si>
    <t>投诉人吴先生投诉对象滴滴出行涉诉金额100000元问题类型诉求类型投诉详情平台没有单子给司机派，就在平台的热力图上胡乱造假欺骗司机，其实根本没有单子，到处都是滴滴司机在等单子！密密麻麻的到处都是空闲的车辆！在这样的情况之下平台还在疯狂的招揽司机进入滴滴平台！各种坑新司机！行为恶劣到了丧心病狂的地步！。</t>
  </si>
  <si>
    <t>http://ts.21cn.com/tousu/show/id/1359358</t>
  </si>
  <si>
    <t>2019/10/14 00:48:01</t>
  </si>
  <si>
    <t>在该平台借款600元，但是要还1180多，我就没搞懂这是为什么，这种平台为什么还没有被查处，我需要一个合理的解释。</t>
  </si>
  <si>
    <t>拍拍贷自动扣款失败导致我逾期，需要支付逾期利息</t>
  </si>
  <si>
    <t>http://ts.21cn.com/tousu/show/id/1359357</t>
  </si>
  <si>
    <t>2019/10/14 00:47:25</t>
  </si>
  <si>
    <t>投诉人贾先生投诉对象拍拍贷涉诉金额1130元问题类型诉求类型投诉详情因为手机号更换问题，怕影响手动还款，提前在拍拍贷开通了银行卡代扣模式，而且银行卡里的钱足够支付本次还款，一直等待到凌晨十二点，还款一直贷扣状态，银行卡里的钱也不在，还给我直接显示逾期一天，逾期费用也已经出来了。</t>
  </si>
  <si>
    <t>网贷恶意骚扰投诉</t>
  </si>
  <si>
    <t>http://ts.21cn.com/tousu/show/id/1359355</t>
  </si>
  <si>
    <t>2019/10/14 00:46:16</t>
  </si>
  <si>
    <t>但是这几个平台每天给我、我的朋友、我的家人每天打多个电话骚扰，所以恳请贵平台可以让这些网贷不要再给我们打电话了吗。</t>
  </si>
  <si>
    <t>恢复征信</t>
  </si>
  <si>
    <t>http://ts.21cn.com/tousu/show/id/1359354</t>
  </si>
  <si>
    <t>2019/10/14 00:46:01</t>
  </si>
  <si>
    <t>卡卡贷,维士担保有限公司,维视咨询有限公司，本人在2018年8月4号偿还卡卡贷4500元欠款，之前有过逾期但在2018年8月份结清，征信上显示维士担保有限公司进行代偿3172，之后客服给了结清证明，结清证明上显示维视咨询有限公司开的结清证明，跟征信上代偿的维士担保有限公司信息不一致，之前一直没注意，一直到今天查了征信显示维士担保有限公司代偿，余额为0，跟结清证明的信息不一致，赶紧做出解决，恢复正常记录。</t>
  </si>
  <si>
    <t>http://ts.21cn.com/tousu/show/id/1359352</t>
  </si>
  <si>
    <t>2019/10/14 00:42:56</t>
  </si>
  <si>
    <t>高利贷续欺一天三百借一千五到手一千续欺五百。</t>
  </si>
  <si>
    <t>宜人贷借款当天还款11点以后操作不了导致高额逾期费</t>
  </si>
  <si>
    <t>http://ts.21cn.com/tousu/show/id/1359351</t>
  </si>
  <si>
    <t>2019/10/14 00:41:55</t>
  </si>
  <si>
    <t>宜人贷霸王条例，当天还款日23：00不允许还款，00：00-00：10分未产生逾期费也不允许操作还款，00：15后以后有逾期费就可还款，逾期还款金额1090元，逾期一天产生高额逾期费111.25元，跟高利贷有得一拼，之前好几期逾期都是因为这个条件产生高额逾期费，当时也是逾期几分钟也就支付，没理后文，现在想想，真的是太冤枉了，要求减免逾期费，请贵司对当天23：00不允许还款这个条件进行改进，谢谢。</t>
  </si>
  <si>
    <t>现金巴士和富友支付收取高额利息</t>
  </si>
  <si>
    <t>http://ts.21cn.com/tousu/show/id/1359350</t>
  </si>
  <si>
    <t>2019/10/14 00:38:58</t>
  </si>
  <si>
    <t>2019年6月5日在现金巴士借款，借款金额2000元，分为三个月归还，当时界面展示了账户管理费快速审核费和利息总共180元，本人认可这个费用并提交了借款信息，可是最后账户被莫名其妙的扣除了318的费用，是富友支付代扣的，本人提出异议：1.这笔会员费用未经本人同意私自购买并扣除费用，2.在本人毫不知情的情况替代被人购买这笔所谓会员的费用，因为利息本身没有还款金额利息三个月就共计200多了，加上一开始180元，莫名又收取的318元，属于不符合规定的高额砍头息，并且富友支付违规提供了代扣。</t>
  </si>
  <si>
    <t>乱收费用利息超过国家利息</t>
  </si>
  <si>
    <t>http://ts.21cn.com/tousu/show/id/1359349</t>
  </si>
  <si>
    <t>2019/10/14 00:38:33</t>
  </si>
  <si>
    <t>投诉人 刘先生        投诉对象  嗨包        涉诉金额  1 400 元    问题类型    诉求类型投诉详情  在借款的过程中，借3500 到手2100 1400是利息。。高利贷</t>
  </si>
  <si>
    <t>钱站无理由收取高额服务费</t>
  </si>
  <si>
    <t>http://ts.21cn.com/tousu/show/id/1359328</t>
  </si>
  <si>
    <t>2019/10/14 00:37:42</t>
  </si>
  <si>
    <t>本人在钱站app申请了一笔2000元的贷款，前期要付660元服务费，这个申请前有提醒，经考虑就接受，毕竟自己急用钱！所以贷款本金就变成2660元，与合同相符，贷款生效后，得出每期的还款是1230元，一共三期，还款总金额就成了3690元，完全看不懂，而且相当恐怖，这样的非法收钱，合适吗。</t>
  </si>
  <si>
    <t>投诉人人花网贷恶意扣款</t>
  </si>
  <si>
    <t>http://ts.21cn.com/tousu/show/id/1359348</t>
  </si>
  <si>
    <t>2019/10/14 00:37:16</t>
  </si>
  <si>
    <t>人人花网站给我发的短信，说是我有借款额度，点进去之后，让我下载网站，下载了网站进去，在我不知情的情况下，扣款288元，里面并没有明确的显示需要现金扣款，只是提示需要花费288米豆，然而这个米豆并没有明确表示和现金挂钩，当时以为是虚拟货币，最后扣了我288元。</t>
  </si>
  <si>
    <t>希望与微粒贷公司进行沟通协商</t>
  </si>
  <si>
    <t>http://ts.21cn.com/tousu/show/id/1359347</t>
  </si>
  <si>
    <t>2019/10/14 00:36:57</t>
  </si>
  <si>
    <t>2018年中旬我在微粒贷进行了借款，一直是按期按时的进行还款，目前已经还了一年多了，最近家中出现太多变数，造成经济出现问题，实在是无力进行还款了，还款这一年多来，没有逾期并按时还款，每个月的本金加利息到现在也应超了借款本金，根据此情况，本人希望能与微粒贷协商此事，希望能妥善解决，目前联系不上微粒贷或者微众银行公司，希望聚投诉能帮助我联系上微粒贷或者微众银行公司，我和他们合理合法的进行沟通解决，也希望他们能够与我联系沟通，大家能愉快的协商解决此事，而不是去委托第三方来进行催债，催债解决不了问题，只会将问题扩大</t>
  </si>
  <si>
    <t>米米罐高利贷暴力催收</t>
  </si>
  <si>
    <t>http://ts.21cn.com/tousu/show/id/1359345</t>
  </si>
  <si>
    <t>2019/10/14 00:32:11</t>
  </si>
  <si>
    <t>本人8月份在浏览器上下载的米米罐，借款1000元，期限一个月还款1500，到期限时无法偿还，跟客服沟通展期一个月展期费用就要600元我出了，到了这个月想跟他们协商但是联系不到，就逾期了，有个催收的加我微信让我还，我跟她商量能不能展期，她的态度非常强硬说只能展期一次让我下午4点还上，我无力偿还，她就威胁我爆我通讯录，骚扰我的朋友家人，现在我只愿偿还600元以外的本金和国家规定的利息，。</t>
  </si>
  <si>
    <t>黑心钱站吸血高贷款阴阳合同误人子弟</t>
  </si>
  <si>
    <t>http://ts.21cn.com/tousu/show/id/1359344</t>
  </si>
  <si>
    <t>2019/10/14 00:31:53</t>
  </si>
  <si>
    <t>投诉人 麦先生        投诉对象  钱站        涉诉金额  19 012 元    问题类型    诉求类型投诉详情  挂羊头卖狗肉的钱站 各种高利贷 已经害死不少人了 借6000还一万 6个月内还 还经常发短信骚扰当事人 制造各种阴阳合同想蒙混过关 请国家机关取缔这个黑心企业 不要让他害人了 尽管后台有多硬 我都坚决投诉到底</t>
  </si>
  <si>
    <t>捷信的阴阳合同</t>
  </si>
  <si>
    <t>http://ts.21cn.com/tousu/show/id/1359343</t>
  </si>
  <si>
    <t>2019/10/14 00:31:17</t>
  </si>
  <si>
    <t>从2017年3月份初次接触网贷，就是从捷信手机分期开始，捷信工作人员试着向我推销消费贷，并没有告知实际情况，我说3期借款，她却写了33期，我想提前还款，却被告知借款本金21000，每月利息1240.49元，总共要还40936.17元，还了30期，现在实在还不出了，我要求他们退还我不应该还他们的钱，。</t>
  </si>
  <si>
    <t>投诉淘集集退店两个月还不退款</t>
  </si>
  <si>
    <t>http://ts.21cn.com/tousu/show/id/1359342</t>
  </si>
  <si>
    <t>2019/10/14 00:30:16</t>
  </si>
  <si>
    <t>投诉人 胡炼华        投诉对象  淘集集        涉诉金额  2 000 元    问题类型    诉求类型投诉详情  垃圾淘集集是到倒闭，卷款跑路了吗 提现2个月， 退店一个多月早就审核了，就是不打钱</t>
  </si>
  <si>
    <t>360云盘的私人数据无法取回</t>
  </si>
  <si>
    <t>http://ts.21cn.com/tousu/show/id/1359341</t>
  </si>
  <si>
    <t>2019/10/14 00:30:00</t>
  </si>
  <si>
    <t>360云盘以开通会员可以找回个人资料为由，欺骗客户购买会员，购买后仍旧无法找回个人资料！希望退款。</t>
  </si>
  <si>
    <t>阴阳合同，高利息</t>
  </si>
  <si>
    <t>http://ts.21cn.com/tousu/show/id/1359340</t>
  </si>
  <si>
    <t>2019/10/14 00:29:38</t>
  </si>
  <si>
    <t>到帐金额79600，合同金额却是10万，要还款13万多，原定金额每月还3230，每月却扣款3640，多次投诉客服也没用。</t>
  </si>
  <si>
    <t>不合理高额利息服务费</t>
  </si>
  <si>
    <t>http://ts.21cn.com/tousu/show/id/1359339</t>
  </si>
  <si>
    <t>2019/10/14 00:28:30</t>
  </si>
  <si>
    <t>前两期存在高额不合理各种服务费高达近3000元，以服务的形式在变相在收取高利息，希望对利息进行优化，并申请提前结清所有剩余款项。</t>
  </si>
  <si>
    <t>有钱花骚扰通讯录</t>
  </si>
  <si>
    <t>http://ts.21cn.com/tousu/show/id/1359338</t>
  </si>
  <si>
    <t>2019/10/14 00:26:57</t>
  </si>
  <si>
    <t>投诉人 黄女士        投诉对象  有钱花        涉诉金额  2 900 元    问题类型    诉求类型投诉详情  你们的电话被移动官方拦截了 有事麻烦发我短信 能联系到我 不要去骚扰我的通讯录 谢谢</t>
  </si>
  <si>
    <t>http://ts.21cn.com/tousu/show/id/1359337</t>
  </si>
  <si>
    <t>2019/10/14 00:26:42</t>
  </si>
  <si>
    <t>投诉人 程先生        投诉对象  支付宝        涉诉金额  381 990 元    问题类型    诉求类型投诉详情  强占资金180天不予提现 也没人受理 打客服点也不说清楚 就强制的挂了电话 投诉无门啊 支付宝有什么权利冻结资金</t>
  </si>
  <si>
    <t>http://ts.21cn.com/tousu/show/id/1359335</t>
  </si>
  <si>
    <t>2019/10/14 00:24:57</t>
  </si>
  <si>
    <t>已经申请律师准备起诉前前后后付了几千的利息了。</t>
  </si>
  <si>
    <t>美术作品在先首次公开发表日销售证明纠纷</t>
  </si>
  <si>
    <t>http://ts.21cn.com/tousu/show/id/1359334</t>
  </si>
  <si>
    <t>2019/10/14 00:23:46</t>
  </si>
  <si>
    <t>涉诉金额0元问题类型诉求类型投诉详情被投诉方作品登记图案与我方大眼熊作品一模一样，我方作品登记证书日期早于被投诉方作品登记，被投诉方出示的作品首次公开发表证明，比我方早，我严重疑似交易快照有篡改的嫌疑，请求核实。</t>
  </si>
  <si>
    <t>希望文琳商贸能给全部退款</t>
  </si>
  <si>
    <t>http://ts.21cn.com/tousu/show/id/1359323</t>
  </si>
  <si>
    <t>2019/10/14 00:22:00</t>
  </si>
  <si>
    <t>投诉人郑可投诉对象文琳商贸涉诉金额600元问题类型诉求类型投诉详情我在微信上加了个微信朋友，她给我发了个二维码，说是只要支付6元就可以进群交友，结果我用微信扫了二维码，提示支付6元，当我支付完毕后，却显示扣款了600元，而且并没有进群，我查看了账单，显示收款商户为文琳商贸，商户全称为福州创心伟业信息技术有限公司，我从来没听过这个公司，这明显是欺诈，自己被骗了600元，现在无法追回，希望能把这钱追回来，因为600元对于我来说真的很需要。</t>
  </si>
  <si>
    <t>国美为网D平台提供收款链接</t>
  </si>
  <si>
    <t>http://ts.21cn.com/tousu/show/id/1359332</t>
  </si>
  <si>
    <t>2019/10/14 00:21:52</t>
  </si>
  <si>
    <t>国美为网D平台提供收款链接，刷单，被骗，要求退款。</t>
  </si>
  <si>
    <t>无缘无故永久停用我的唯品花</t>
  </si>
  <si>
    <t>http://ts.21cn.com/tousu/show/id/1359331</t>
  </si>
  <si>
    <t>2019/10/14 00:21:11</t>
  </si>
  <si>
    <t>自从开通唯品花已来，虽然购买次数比较少，但都是按时还款，从未有过逾期现象，向客服反映，客服说我账号存在分险，我就想知道我账号存在啥分险?麻烦亲能帮我解释一下不，你这啥都不说给我永久停封是几个意思嘛，永久封我唯品花之前能不能给我个充分的理由，亲?就算你说我购买次数少，影响你平台了，给我封了，那我也认了，你这啥都不说，给我永久停封是几个意思嘛。</t>
  </si>
  <si>
    <t>不是本人付款项目，无缘无故扣款</t>
  </si>
  <si>
    <t>http://ts.21cn.com/tousu/show/id/1359330</t>
  </si>
  <si>
    <t>2019/10/14 00:19:22</t>
  </si>
  <si>
    <t>乐王，商户订单号：P82*************7，商户收单机构：广州银联网络支付有限公司，建议您联系广州银联网络支付公司进一步查询交易信息，咨询扣款原因，客服热线：4008333222，交易的商户名称（特约）乐王，商户订单号：P82*************7，商户收单机构：广州银联网络支付有限公司，建议您联系广州银联网络支付公司进一步查询交易信息，咨询扣款原因，客服热线：4008333222（供您参考)不是本人发起的付款，请核实。</t>
  </si>
  <si>
    <t>安逸花网贷借款时附加个人消费贷款保证保险</t>
  </si>
  <si>
    <t>http://ts.21cn.com/tousu/show/id/1359329</t>
  </si>
  <si>
    <t>2019/10/14 00:18:37</t>
  </si>
  <si>
    <t>在借款时附加尊敬的……女士\先生：您已于2019-10-13成功投保个人消费贷款保证保险，信用保险，保单号码为…………，若有疑问，您可随时致电亚太客服热线95506或次日登录亚太官网www.apiins.com查询详情，亚太财险强烈要求取消，还有就是还款时莫名其妙费用多了，提前结清还要多收费用。</t>
  </si>
  <si>
    <t>拼多多为网D平台提供收款链接</t>
  </si>
  <si>
    <t>http://ts.21cn.com/tousu/show/id/1359327</t>
  </si>
  <si>
    <t>2019/10/14 00:17:11</t>
  </si>
  <si>
    <t>投诉人 唐先生        投诉对象  拼多多        涉诉金额  10 000 元    问题类型    诉求类型投诉详情  拼多多为网D平台提供收款链接。要求退款。</t>
  </si>
  <si>
    <t>白领贷逾期恶意催收</t>
  </si>
  <si>
    <t>http://ts.21cn.com/tousu/show/id/1359325</t>
  </si>
  <si>
    <t>2019/10/14 00:16:33</t>
  </si>
  <si>
    <t>在白领贷借了5万，实则到账4万，之后以逾期为理由将一万扣除不予退还，现已还25个月，还了五万多，还剩下11个月，需再还22000多，最近逾期两个月后电话催收，白领贷让我一次性还清之后的分期，以多次逾期为由，现已将白领贷逾期部分还清，催收电话多次打到工作单位，说是偿还不了的话就联系单位领导，还有催收短信。</t>
  </si>
  <si>
    <t>http://ts.21cn.com/tousu/show/id/1359324</t>
  </si>
  <si>
    <t>2019/10/14 00:16:21</t>
  </si>
  <si>
    <t>投诉人 王礼        投诉对象  瀚银科技        涉诉金额  68 000 元    问题类型    诉求类型投诉详情  希望客服有关人员尽快处理退款 我现在真的没办法了被骗走了所有钱</t>
  </si>
  <si>
    <t>中国银联股份有限公司广东分公司专户05在我不知情的情况下从我工行卡盗走325元</t>
  </si>
  <si>
    <t>http://ts.21cn.com/tousu/show/id/1359326</t>
  </si>
  <si>
    <t>2019/10/14 00:16:18</t>
  </si>
  <si>
    <t>中国银联股份有限公司广东分公司专户05在我不知情的情况下从我工行卡盗刷走325元。</t>
  </si>
  <si>
    <t>交通银行信用卡催收部门立即停止骚扰本人家人，道歉并沟通协商还款事宜</t>
  </si>
  <si>
    <t>http://ts.21cn.com/tousu/show/id/1359322</t>
  </si>
  <si>
    <t>2019/10/14 00:14:25</t>
  </si>
  <si>
    <t>本人因个人现阶段经济状态困难，致使交通银行信用卡从9月份开始逾期，逾期后本人一直有接听交通银行电话，未处于失联状态，且向交通银行说明了本人现阶段经济状态，表达了协商还款的意愿，且告知了方便接听电话的时间，但交通银行在一直能联系上本人的情况下，频繁致电本人母亲，单日拨打次数最高达10次，对本人母亲生活造成困扰；同时，交通银行每日频繁拨打本人电话，对本人工作亦造成严重干扰，故此投诉，希望交通银行能停止骚扰并道歉，协商还款，附件图片为交通银行骚扰本人母亲截图及本人于交通银行沟通截图，其中未显示交通银行但021开头</t>
  </si>
  <si>
    <t>速金服每天打很多电话催收。威胁短信</t>
  </si>
  <si>
    <t>http://ts.21cn.com/tousu/show/id/1359321</t>
  </si>
  <si>
    <t>2019/10/14 00:14:08</t>
  </si>
  <si>
    <t>投诉人 孙先生        投诉对象  速金服        涉诉金额  1 000 元    问题类型    诉求类型投诉详情  每天起码十个以上电话打过来。还发短信威胁</t>
  </si>
  <si>
    <t>捷信高利贷，违法催收，公开粘贴借款人隐私，损坏借款人名誉。</t>
  </si>
  <si>
    <t>http://ts.21cn.com/tousu/show/id/1359320</t>
  </si>
  <si>
    <t>2019/10/14 00:12:52</t>
  </si>
  <si>
    <t>捷信利息完全超出国家的规定！！高利贷！！！违法催收，公开粘贴本人信息，严重损坏本人及家人的名誉！！请立马处理，不要再浪费时间！给一个公平的说法！。</t>
  </si>
  <si>
    <t>陌陌APP，坑害老百姓的钱，充值陌陌币不给退，兑换礼物折扣损失严重！</t>
  </si>
  <si>
    <t>http://ts.21cn.com/tousu/show/id/1359319</t>
  </si>
  <si>
    <t>2019/10/14 00:11:49</t>
  </si>
  <si>
    <t>用耳朵收听陌陌直播时候，不知道触碰到什么了，等看见手机屏幕时候，已经从信用卡扣除5000RMB，充值成陌陌币了，打了多个电话，陌陌客服就是不让退。</t>
  </si>
  <si>
    <t>京东白条，在已经还清分期第二三期，竟要求全额还款含利息，并利用第三方机构恶意短信告知</t>
  </si>
  <si>
    <t>http://ts.21cn.com/tousu/show/id/1359318</t>
  </si>
  <si>
    <t>2019/10/14 00:11:04</t>
  </si>
  <si>
    <t>因在京东商城购买服务，第三方退出，京东拒不退款！因此产生本人拒绝还第二三期京东白条！后来，考虑诚信，在京东白条还清分期第二三期，，并利用第三方机构恶意短信告知，不断骚扰！。</t>
  </si>
  <si>
    <t>捷信太黑了，</t>
  </si>
  <si>
    <t>http://ts.21cn.com/tousu/show/id/1359317</t>
  </si>
  <si>
    <t>2019/10/14 00:08:28</t>
  </si>
  <si>
    <t>您好聚投诉！本人年少无知时向捷信借款25000贰万伍千元整，分51期还款，每期应还1377.82，现如今已如期还款36期每期1377.82总计49601.52元，目前还欠15期每期1377.82总计这已完全严重超出国家规定的！生活的压力已经完全20667.3打乱了我们的正常生活，跪求组织为我们做主…让捷信立刻停止我们的合同，消账处理，还我的不正常征信！。</t>
  </si>
  <si>
    <t>中山世纪祥和装饰材料有限公司说一套做一套</t>
  </si>
  <si>
    <t>http://ts.21cn.com/tousu/show/id/1359299</t>
  </si>
  <si>
    <t>2019/10/14 00:08:24</t>
  </si>
  <si>
    <t>投诉人蒲蒲兵扬投诉对象中山市世纪祥和装饰材料有限公司涉诉金额98000元问题类型诉求类型投诉详情中山市世纪祥和装饰材料有限公司给我们宣传的是做县级代理交98000元，而且特别给我们说明这98000元是我们的货物定购款，另外再赠送98000元的货给我们共计厂里给我们20万的货，然而事实不是这样的，世纪祥和给我们3万元的货后买东西需要另外按出厂价付款，我交了98000元，只给我3万的货，我拿货还要另外付款，这纯粹就是欺诈消费者，世纪祥和的解释是，货物订购款会以返点的形式返还给客户，世纪祥和凭什么拿客户的钱返点，</t>
  </si>
  <si>
    <t>聚富分期无故扣款</t>
  </si>
  <si>
    <t>http://ts.21cn.com/tousu/show/id/1359316</t>
  </si>
  <si>
    <t>2019/10/14 00:07:53</t>
  </si>
  <si>
    <t>没有评估资质，无故我的钱，而且找不到App客服打不通。</t>
  </si>
  <si>
    <t>小牛在线答应时间内不退款</t>
  </si>
  <si>
    <t>http://ts.21cn.com/tousu/show/id/1359315</t>
  </si>
  <si>
    <t>2019/10/14 00:07:34</t>
  </si>
  <si>
    <t>去年7月份和去年12月份购买的产品相继到期，但是一直不处理返款，打电话和上门都是各种敷衍。</t>
  </si>
  <si>
    <t>你我贷非法骚扰，侮辱，高利贷</t>
  </si>
  <si>
    <t>http://ts.21cn.com/tousu/show/id/1359314</t>
  </si>
  <si>
    <t>2019/10/14 00:05:51</t>
  </si>
  <si>
    <t>你我贷最后一期，，非法骚扰我妈，还有我朋友，我只想说你个的催收心里没点逼数，借款7200，要还10300多，为什么不接你电话心里没点逼数，我现在要求道歉，还有非法砍头息，变相高利贷，这个东西居然国家管的这么严格还有催收，你我贷居然还存在，不可思议，图片那个恶心信息我就不发了，影响心情。</t>
  </si>
  <si>
    <t>时光分期催收人员爆通讯录群发信息</t>
  </si>
  <si>
    <t>http://ts.21cn.com/tousu/show/id/1359313</t>
  </si>
  <si>
    <t>2019/10/14 00:04:36</t>
  </si>
  <si>
    <t>投诉人 陈女士        投诉对象  时光分期        涉诉金额  14 700 元    问题类型    诉求类型投诉详情  时光分期催收人员态度不好，无法协商。且向他人暴露个人私隐。盗取用户信息。爆通讯录群发信息。严重影响个人生活。如果需要还款。没有什么事情协商不了。这样的做法影响严重影响个人工作及生活。请停止一切骚扰。</t>
  </si>
  <si>
    <t>闪银至尊借款电话骚扰违约金过高</t>
  </si>
  <si>
    <t>http://ts.21cn.com/tousu/show/id/1359312</t>
  </si>
  <si>
    <t>2019/10/14 00:01:54</t>
  </si>
  <si>
    <t>本人因生意失败，因资金链断裂逾期了闪银至尊借款和瞬瞬和哼哼借款共三笔款，其中至尊借款逾期后催收多次打电话骚扰威胁恐吓要整我，每天用不同的电话完全轰炸式骚扰，已严重影响了本人生活，催收态度恶劣，至尊借款瞬瞬和哼哼的逾期违约金过高，希望能协商处理。</t>
  </si>
  <si>
    <t>http://ts.21cn.com/tousu/show/id/1359311</t>
  </si>
  <si>
    <t>2019/10/14 00:00:48</t>
  </si>
  <si>
    <t>已还6期，总共20期，总还款金额62421，高利贷。</t>
  </si>
  <si>
    <t>上海世纪公园3号楼收费人员态度恶劣</t>
  </si>
  <si>
    <t>http://ts.21cn.com/tousu/show/id/1359310</t>
  </si>
  <si>
    <t>2019/10/13 23:58:02</t>
  </si>
  <si>
    <t>今天家里开车去世纪公园游玩然后去亲戚家吃饭，我们将车停在了3号口，停车缴费时，有一保安举着支付宝牌子让我们支付停车费，车窗一直开着，我们问他多少钱，他说不知道，有发票吗，到了前面的收费点，我们车照出来是支付33元，收费点的保安说可以，我们要拿手机给，他态度恶劣说给我干嘛，我们说付钱啊，他说我只收现。</t>
  </si>
  <si>
    <t>安逸花高利贷未提前告知多项费用高额罚息高额服务费高额利息</t>
  </si>
  <si>
    <t>http://ts.21cn.com/tousu/show/id/1359142</t>
  </si>
  <si>
    <t>2019/10/13 22:01:34</t>
  </si>
  <si>
    <t>以前一直也没注意看，最近因为逾期多关注了一下，罚息特别高还收取高额服务费，总共欠款19000上期还了3612.82因为逾期还完直接给我降额度了我今天一看还欠款16760，查看了一下订单发现里面有好多不合理收费罚息一天十来块一天二十多请问这个合法嘛还有寿险计划服务费，为什么没有提前告知，自从用了安逸花感觉每个月都在还钱让我透不过气来请你们返还收取的不合理费用。</t>
  </si>
  <si>
    <t>新橙优品套路贷砍头息套马甲保险费</t>
  </si>
  <si>
    <t>http://ts.21cn.com/tousu/show/id/1359132</t>
  </si>
  <si>
    <t>2019/10/13 21:47:29</t>
  </si>
  <si>
    <t>新橙优品套路贷砍头息套保费马甲，本人多次反馈要求合法合理地还款，均遭到拒绝，客服态度恶劣并遭到暴力催收，在2019年5月6日申请了一笔3000元，实际到账2500元，下款时才告知每月还1253.45元，联系客服反馈利息不合理，客服说保险费，问客服是意外险吗，客服说不是意外险，如果可以提供借款人的死亡证明就可以不用还，自从2019年5月23日家人知道此事后，多次联系反馈合法合理地还款，均遭到拒绝并受到客服的侮辱和暴力催收，欠债还钱天经地义，现要求合法合理地还款。</t>
  </si>
  <si>
    <t>微信商业码钱被封，自动提现关闭</t>
  </si>
  <si>
    <t>http://ts.21cn.com/tousu/show/id/1359122</t>
  </si>
  <si>
    <t>2019/10/13 21:39:02</t>
  </si>
  <si>
    <t>正常收款，说交易异常，被冻结资金，不让体现。</t>
  </si>
  <si>
    <t>乐客独角兽夸大项目收益，虚假宣传，诱导消费者支付9800元加入会员，创业项目条件限制多，存在欺蛮行为</t>
  </si>
  <si>
    <t>http://ts.21cn.com/tousu/show/id/1356552</t>
  </si>
  <si>
    <t>2019/10/13 21:36:48</t>
  </si>
  <si>
    <t>1.乐客公司夸大项目收益，虚假宣传，说是市场红利时期，缴纳9800会员费用成为会员，以《星火计划》之名诱导成为他们的会员，并且说当时名额仅剩3位，微信朋友圈各种套路吸引小白创业者，还请一些优秀会员分享月入10万秘籍教学等吸引创业者，入会后项目收益需要缴纳7%的个人所得说签订合同前从未提及，2.本人于2019年4月11日加入乐客会员，加入后并没有享受到所说的优质服务，售后经常就是找不到人，等很久，，有偷税漏税嫌疑4.诱导加入会员后与乐客公司所说情况相差巨大，当时承诺我们会员无需资源0经验项目如何如何落地实现，</t>
  </si>
  <si>
    <t>36****************0中国银联股份有限公司广东分公司专户10违规给博彩平台提供支付通道</t>
  </si>
  <si>
    <t>http://ts.21cn.com/tousu/show/id/1358966</t>
  </si>
  <si>
    <t>2019/10/13 20:03:04</t>
  </si>
  <si>
    <t>投诉中国银联股份有限公司广东分公司专户10，通过中国人民银行和支付清算协会沟通得知第三方支付业务应审核客户的相关信息，第三方支付公司不得向证券、期货、博彩等机构提供支付结算业务，账号为36****************0，被引诱到一个网站充值入金几万多，后来发现是网络赌博平台，并非正规的购彩网站，作为有牌照的支付公司没有履行国家相关法律法规要求，为违法违规机构平台提供支付结算通道，即产生了洗钱的嫌疑，金融机构客户身份识别和客户身份资料及交易记录保存管理办法，等规定，切实履行反洗钱义务和识别客户身份的义务，</t>
  </si>
  <si>
    <t>为高利贷平台代扣</t>
  </si>
  <si>
    <t>http://ts.21cn.com/tousu/show/id/1358965</t>
  </si>
  <si>
    <t>2019/10/13 20:02:33</t>
  </si>
  <si>
    <t>宝付支付为714高炮酷街违规代扣，致使本人损失很多钱财，掏了很多利息！！希望平台处理！。</t>
  </si>
  <si>
    <t>光大信用卡催威胁，污蔑</t>
  </si>
  <si>
    <t>http://ts.21cn.com/tousu/show/id/1358937</t>
  </si>
  <si>
    <t>2019/10/13 19:51:09</t>
  </si>
  <si>
    <t>刚刚接到了一个光大银行电话，上了问我银行卡是否能处理一下，由于最近生意破产，还不上，我就直接告诉她是什么原因，现在还不上，那个660几几的女客服直接就说：那你是不还了是吗，还说要要到户籍地刑侦大队告我，我没说不还，我用光大银行信用卡用了差不多十年，从来没有过恶意拖欠的时候，让我还八千，我还了，让还一万也还了，直接降额度，我也不知道，还是还了两次查额度知道还是零的时候打客服才知道，被降了一半的额度，客户一个电话就说认定我是直接不还，还微信我要报案，银行就可以这样噬无忌惮吗，晚上七点以后还打催收电话吗，欠钱是我</t>
  </si>
  <si>
    <t>莫名贷款被迫还款后再次被扣款</t>
  </si>
  <si>
    <t>http://ts.21cn.com/tousu/show/id/1358596</t>
  </si>
  <si>
    <t>2019/10/13 19:46:04</t>
  </si>
  <si>
    <t>这个我从未贷过款的app说2017年我贷过他们家的款未还，时隔一年也就是2018年来向我收款，我说我没贷过小树时代，每隔一两个月给我打电话叫我还钱，一直到2019年6月，莫名其妙打了我的通讯录的亲戚朋友电话，恐吓我，我当时在重庆上班，催收的人说已经到了我身份证住址地，叫我当面谈谈还钱的事，后面又加了微信，我一直问他们是什么公司，他们就说是小树时代叫来催收的，还三千给他时间就这样完了，不然要我好看，我去下载他们说的小树时代app显示的是两千好像，我就当破财免灾，不然一直打通讯录没人遭得住，后面我自己在小树时代</t>
  </si>
  <si>
    <t>现金巴士，微额速达暴力催收，有砍头息</t>
  </si>
  <si>
    <t>http://ts.21cn.com/tousu/show/id/1358704</t>
  </si>
  <si>
    <t>2019/10/13 17:42:52</t>
  </si>
  <si>
    <t>7月13日现金巴士借款1000元，实际到账812元，由于该软件下架导致客户无法正常渠道还款，产生不知道多少逾期费用，现金巴士公司如今暴力催收，恶心拨打本人通讯录，严重影响本人正常生活，现要求偿还本金销账处理，本金8月已经还了第一批三百多元。</t>
  </si>
  <si>
    <t>中原消费网贷扰乱我正常生活</t>
  </si>
  <si>
    <t>http://ts.21cn.com/tousu/show/id/1358692</t>
  </si>
  <si>
    <t>2019/10/13 17:33:49</t>
  </si>
  <si>
    <t>中原消费金融，因我逾期，多次商量缓一下还款，拒绝协议，复制电话本，把我通讯录打爆，导致我工作被辞职，无法赚钱还款，严重影响我的声誉和未来生活，造成极其恶劣的影响，并且暴力催收，骂人。</t>
  </si>
  <si>
    <t>不给退款</t>
  </si>
  <si>
    <t>http://ts.21cn.com/tousu/show/id/1358681</t>
  </si>
  <si>
    <t>2019/10/13 17:29:05</t>
  </si>
  <si>
    <t>投诉人 梁先生        投诉对象  滴滴出行        涉诉金额  33 元    问题类型    诉求类型投诉详情  滴滴打车霸王条款。收了预付款不给退。说要7天才给退。只是想要回自己的钱。竟然要等7天。</t>
  </si>
  <si>
    <t>分期贷里面的神马借</t>
  </si>
  <si>
    <t>http://ts.21cn.com/tousu/show/id/1358670</t>
  </si>
  <si>
    <t>2019/10/13 17:24:44</t>
  </si>
  <si>
    <t>前期借了分期贷里面神马借，当时还第三期还不进去，导致我逾期，打客服没人接，现在有个信用管家打我电话说什么还钱，还有我信息资料，望解决。</t>
  </si>
  <si>
    <t>造艺app收取第三方服务费</t>
  </si>
  <si>
    <t>http://ts.21cn.com/tousu/show/id/1358649</t>
  </si>
  <si>
    <t>2019/10/13 17:18:24</t>
  </si>
  <si>
    <t>造艺科技里面有第三方服务费利息高存在欺诈行为，要求处理黑心网货平台。</t>
  </si>
  <si>
    <t>马上金融骚扰家人行为恶劣</t>
  </si>
  <si>
    <t>http://ts.21cn.com/tousu/show/id/1358638</t>
  </si>
  <si>
    <t>2019/10/13 17:14:16</t>
  </si>
  <si>
    <t>马上金融，恶意拨打家人以及未备注号码，对家人生活造成影响！后果严重恶劣。</t>
  </si>
  <si>
    <t>及贷向在校大学生放贷款，侵犯个人隐私权，性质恶劣</t>
  </si>
  <si>
    <t>http://ts.21cn.com/tousu/show/id/1358627</t>
  </si>
  <si>
    <t>2019/10/13 17:09:49</t>
  </si>
  <si>
    <t>朋友的亲弟弟在及贷借钱，别人还是在校大学生，这不是坑害学生吗，高额的费用和利息别人接受的了。</t>
  </si>
  <si>
    <t>小花钱包催收要把我弄死了！我没有勇气活着了</t>
  </si>
  <si>
    <t>http://ts.21cn.com/tousu/show/id/1358615</t>
  </si>
  <si>
    <t>2019/10/13 17:05:02</t>
  </si>
  <si>
    <t>现在我没有勇气活在这个世界！精神失常一度想要自杀！现要求停止暴力催收，停止爆通讯录和群发短信，并且向本人道歉，停止一切违法犯罪行为！做出相应赔偿！否则我只能继续向上级部门维权并曝光于媒体！。</t>
  </si>
  <si>
    <t>http://ts.21cn.com/tousu/show/id/1358616</t>
  </si>
  <si>
    <t>2019/10/13 17:04:45</t>
  </si>
  <si>
    <t>10月12号下午16点无故扣我银行卡里面的钱，，，要求退，，并要求整顿，，情况恶劣就要承担法律责任。</t>
  </si>
  <si>
    <t>高利贷利率达到百分之61</t>
  </si>
  <si>
    <t>http://ts.21cn.com/tousu/show/id/1358611</t>
  </si>
  <si>
    <t>2019/10/13 17:02:49</t>
  </si>
  <si>
    <t>我在新浪分期2019年9月5号钱包里借款6000元分12期还款，803.7*12=9644.4元年利率36%，我就搞不明白怎么会出来个商品分期1238.4元分12期的，前面借那两笔借时也没出每期还多少我过一个星期去看才知道利息这么高还出了个没借的还款项目，其间有打客服电话问那边是说两句就挂了电话，后面打就一直没人接了。</t>
  </si>
  <si>
    <t>米多点高利贷，易宝支付提供高利贷支付通道</t>
  </si>
  <si>
    <t>http://ts.21cn.com/tousu/show/id/1358605</t>
  </si>
  <si>
    <t>2019/10/13 16:59:53</t>
  </si>
  <si>
    <t>通过轻借平台下载米多点APP，8月15日及9月22日各有一笔1000元的借款，通过易宝支付下款，下款1000元，分7*四期，每期553元，共还款2213，年化利率高达1560%，并且催收不断电话骚扰，本人诉求9月22日借款账单销账并退还不合理支出费用，8月15日已结清账单退还不合理支出费用。</t>
  </si>
  <si>
    <t>你我贷收取高额利息</t>
  </si>
  <si>
    <t>http://ts.21cn.com/tousu/show/id/1358593</t>
  </si>
  <si>
    <t>2019/10/13 16:56:21</t>
  </si>
  <si>
    <t>本人于你我贷平台借款18000分12期还款，已还前2期6238.38，剩余10期总共应还18231.9。</t>
  </si>
  <si>
    <t>斗牛士暴力催收</t>
  </si>
  <si>
    <t>http://ts.21cn.com/tousu/show/id/1358582</t>
  </si>
  <si>
    <t>2019/10/13 16:52:10</t>
  </si>
  <si>
    <t>斗牛士app借款暴力催收，骚扰亲朋，贩卖个人信息，收取砍头息。</t>
  </si>
  <si>
    <t>多乐优品高利贷714退还权益包</t>
  </si>
  <si>
    <t>http://ts.21cn.com/tousu/show/id/1358574</t>
  </si>
  <si>
    <t>2019/10/13 16:49:24</t>
  </si>
  <si>
    <t>我于2019年8月20日以及2019年9月14日在多乐优品平台申请两笔贷款，由宝付支付进行打款，每笔1500元，分3期每期10天，目前已经结清，但是在第一期还款时平台强行搭售450元所谓的权益包，并无任何实际作用，属于高利贷砍头息，本人诉求归还两笔各450元共计900元的权益包，在还款时由宝付支付及联动优势违规向高利贷平台提供支付通道进行扣款，如若平台不处理互相推脱责任，我将向政府金融监管部门继续申诉。</t>
  </si>
  <si>
    <t>造艺拒绝给销户</t>
  </si>
  <si>
    <t>http://ts.21cn.com/tousu/show/id/1358571</t>
  </si>
  <si>
    <t>2019/10/13 16:48:27</t>
  </si>
  <si>
    <t>在app借款结清后希望把app账户彻底注销清除我的记录和解绑银行卡，打客服电话客服说无法注销账户。</t>
  </si>
  <si>
    <t>http://ts.21cn.com/tousu/show/id/1358560</t>
  </si>
  <si>
    <t>2019/10/13 16:46:26</t>
  </si>
  <si>
    <t>乱扣款，银行卡被盗刷，请求帮助我把钱要回来谢谢。</t>
  </si>
  <si>
    <t>宝付支付和畅捷通为融泽财富（蜜桃花）高炮平台提供支付通道要求退还砍头息</t>
  </si>
  <si>
    <t>http://ts.21cn.com/tousu/show/id/1358547</t>
  </si>
  <si>
    <t>2019/10/13 16:42:57</t>
  </si>
  <si>
    <t>投诉人 郭女士        投诉对象  宝付支付,畅捷支付,融泽财富,蜜桃花        涉诉金额  1 155 元    问题类型    诉求类型投诉详情  在融泽财富（蜜桃花）借款3500 实际到账2450 7天还款一次 分四期还款 每期还款901.25 一共还款3605 一共多付砍头息1155 要求退还砍头息 不处理继续向上级投诉举报</t>
  </si>
  <si>
    <t>佰仟金融买买乐购恶意催收</t>
  </si>
  <si>
    <t>http://ts.21cn.com/tousu/show/id/1358539</t>
  </si>
  <si>
    <t>2019/10/13 16:40:24</t>
  </si>
  <si>
    <t>本人与5月份和6月份一共在买买乐购贷款7000元。</t>
  </si>
  <si>
    <t>打骚扰电话，爆通讯录，暴力催收</t>
  </si>
  <si>
    <t>http://ts.21cn.com/tousu/show/id/1358528</t>
  </si>
  <si>
    <t>2019/10/13 16:36:30</t>
  </si>
  <si>
    <t>打骚扰电话，一小时一次，已经严重影响到我的生活了，希望尽快处理。</t>
  </si>
  <si>
    <t>Thinkplus口红电源把手机充坏了</t>
  </si>
  <si>
    <t>http://ts.21cn.com/tousu/show/id/1358517</t>
  </si>
  <si>
    <t>2019/10/13 16:32:52</t>
  </si>
  <si>
    <t>今年2月份在淘宝thinkplus官方店购买了一个Thinkplus口红电源，一直是在给电脑充电，有次手机充电器忘带了，想起来口红电源也能给手机充电，于是插上电源准备充电，充电一瞬间，手机就黑屏了，各种手段尝试，无法开机，手机修理店判断为手机主板烧坏，找商家反映，商家说要打联想400，找联想400之后，反映了情况，他们让测试Thinkplus口红电源是否烧坏，检查发现口红电源也同样烧坏，从此之后他们并没有给出任何其他的处理，一直给他们反映，他们居然说不是他们的问题，这个手机损坏对个人造成了极大的影响，手机主</t>
  </si>
  <si>
    <t>http://ts.21cn.com/tousu/show/id/1358506</t>
  </si>
  <si>
    <t>2019/10/13 16:28:18</t>
  </si>
  <si>
    <t>淘豆分期恶意扣款，莫名其妙就成了会员，就输了一个验证码，上面也没有显示要成为会员，就直接扣了我299，她们在我不知情的情况下扣了我的钱，我要求她们她们退款。</t>
  </si>
  <si>
    <t>神马借暴力催收</t>
  </si>
  <si>
    <t>http://ts.21cn.com/tousu/show/id/1358494</t>
  </si>
  <si>
    <t>2019/10/13 16:22:57</t>
  </si>
  <si>
    <t>在信用管理里的神马借申请贷款3000，到账只有2250，收取砍头息750元，30天一个周期，每一个礼拜还款一次，属于高利贷，我已归还3期.已还够本金，到现在为止收取高额逾期费，打电话竟然还要我还钱，还不停打我亲朋好友，对我和我的朋友都造成了骚扰，催收电话020-62932892.客服电话40086911039。</t>
  </si>
  <si>
    <t>支付宝限制支付功能资金无法提现也不给解除</t>
  </si>
  <si>
    <t>http://ts.21cn.com/tousu/show/id/1358486</t>
  </si>
  <si>
    <t>2019/10/13 16:17:31</t>
  </si>
  <si>
    <t>支付宝公司限制本人支付宝支付功能并不给予解除，冻结资金8000.04，加不可用资金2800.一共10800.04元，因急需资金周转，此行为影响私人财产损失巨大，希望给出相关的解决方案。</t>
  </si>
  <si>
    <t>http://ts.21cn.com/tousu/show/id/1358483</t>
  </si>
  <si>
    <t>2019/10/13 16:16:59</t>
  </si>
  <si>
    <t>2019.09.06我下载了聚福钱包app，准备贷款，他要求我填写银行卡和一系列个人隐私信息，然后9月10号，莫名就被扣了299元，还有他们推荐的借钱软件利息都很高不说还借不到钱，还有只能借一次，等评估报告14天失效后在借，他又扣款299，感觉真的太坑了，这种垃圾软件为什么要存在，该平台是一个骗子平台，还有百事普惠，急用钱包app都是一个公司的圈钱，登录注册等等他也没显示要扣款299，等点了之后他订单就秒了，也不给你退款的机会，没办法退，还有他们推荐的借钱软件利息都很高不说，还借不到钱，还有只能借一次，等评</t>
  </si>
  <si>
    <t>钱站高额信息费变相砍头息</t>
  </si>
  <si>
    <t>http://ts.21cn.com/tousu/show/id/1358472</t>
  </si>
  <si>
    <t>2019/10/13 16:11:38</t>
  </si>
  <si>
    <t>本人在钱站共借13300元，第一次借款12300元，钱站到款信息12300元整，分期6个月，去钱站登录信息是17000元整，每月还3014.69元，多超出50%的金额，第二次借款1000元，钱站到款信息1000元整，分期3个月去钱站登录信息是1800元整，每月还钱635.94元，多超出百分之50的金额，第一次打电话询问说年利息45%，第二次打电话询问是高额信息费，本人已经把本金还清，剩下的利息高额信息费可以免去，如果需要本人有到账信息，和农业银行卡到账信息和录音，不行就以中华人民共和国法律规定进行实施。</t>
  </si>
  <si>
    <t>闪电借款催收素质太差一开口侮辱人</t>
  </si>
  <si>
    <t>http://ts.21cn.com/tousu/show/id/1358461</t>
  </si>
  <si>
    <t>2019/10/13 16:07:12</t>
  </si>
  <si>
    <t>投诉人 陈女士        投诉对象  掌众金服        涉诉金额  4 000 元    问题类型    诉求类型投诉详情  之前有打电话来说协商还款 也在进行中 今天有个自称闪电借款的女的 电话过来还没搞清楚状况就开始侮辱 辱骂 挂掉还一直打 希望有关部门处理</t>
  </si>
  <si>
    <t>月光侠分期非法放贷和催收</t>
  </si>
  <si>
    <t>http://ts.21cn.com/tousu/show/id/1358450</t>
  </si>
  <si>
    <t>2019/10/13 16:02:40</t>
  </si>
  <si>
    <t>我从月光侠分期借款3000元实际到账才2200元，但是还要我分3期付款每期还款1097元。</t>
  </si>
  <si>
    <t>砍头息，借款</t>
  </si>
  <si>
    <t>http://ts.21cn.com/tousu/show/id/1358429</t>
  </si>
  <si>
    <t>2019/10/13 15:50:29</t>
  </si>
  <si>
    <t>微贷网，我申请300000，当时合同签了，分两次打款，但是并没有到账30000，利息也高于国家规定，所谓的服务费各种费用，我借3万元，到账没3万，还款5万多，最想不通的是，还没三万就还3万利息.2月按时还款，微信显示正常还款，他们却说他们系统是18号才还款。</t>
  </si>
  <si>
    <t>滴滴随意扣辛苦钱</t>
  </si>
  <si>
    <t>http://ts.21cn.com/tousu/show/id/1358418</t>
  </si>
  <si>
    <t>2019/10/13 15:47:09</t>
  </si>
  <si>
    <t>我正常做滴滴司机，我送一单还没送完交易还没结束，第二单就出来了，他们目的地差不多我以为是拼车单送他们过去，过去送完第一单一看他的单子又出来了，然后送另外一个人到目的地，我又没收他钱，为什么扣我钱，我还少收了很多，还扣我那么多钱。</t>
  </si>
  <si>
    <t>网商贷扰家人</t>
  </si>
  <si>
    <t>http://ts.21cn.com/tousu/show/id/1358407</t>
  </si>
  <si>
    <t>2019/10/13 15:43:06</t>
  </si>
  <si>
    <t>在办理网商贷的时候，没有提供家人和同事的电话，在19月10月一直打同事和家人的电话。</t>
  </si>
  <si>
    <t>虚假宣传，而且不能提前还贷</t>
  </si>
  <si>
    <t>http://ts.21cn.com/tousu/show/id/1358395</t>
  </si>
  <si>
    <t>2019/10/13 15:39:40</t>
  </si>
  <si>
    <t>提前还贷要收取全部利息，算了一下，总利息年化达到百分之三十六，要求取消贷款。</t>
  </si>
  <si>
    <t>http://ts.21cn.com/tousu/show/id/1358384</t>
  </si>
  <si>
    <t>2019/10/13 15:30:01</t>
  </si>
  <si>
    <t>之前在小鹿情感羽翼情感团队上购买了一个1888的，然后就给我推荐让我去升级，升级到4888的，因为自身情感问题也比较着急所以就购买了，但是给我推荐的导师后，给我发了一堆视频让我看说什么形象改造去拍展示面，到现在一个星期了也没有对情感这一块提出针对性的指导，后来推荐的那个导师又让我去升级服务，并且之前说的有语音通话指导，但是打电话直接给我拒接，我感觉我收到了很大的欺骗。</t>
  </si>
  <si>
    <t>http://ts.21cn.com/tousu/show/id/1358373</t>
  </si>
  <si>
    <t>2019/10/13 15:25:13</t>
  </si>
  <si>
    <t>我在小花钱包每个月都需要还2000这个样子，然后每个月我都还上去的，但是这个额度不能循环使用了，这都没事，最主要的是。</t>
  </si>
  <si>
    <t>百度有钱花爆通讯录</t>
  </si>
  <si>
    <t>http://ts.21cn.com/tousu/show/id/1358362</t>
  </si>
  <si>
    <t>2019/10/13 15:22:43</t>
  </si>
  <si>
    <t>现在已经爆我通讯录了，你们想叫我还钱没问题，先赔偿我精神损失费，名誉损失费，国家扫黑除恶严禁爆通讯录和不允许暴露借款人信息，不处理，我回直接法院起诉，你们看着办。</t>
  </si>
  <si>
    <t>电话骚扰、态度恶劣、威胁恐吓、高利贷、暴力催收</t>
  </si>
  <si>
    <t>http://ts.21cn.com/tousu/show/id/1354205</t>
  </si>
  <si>
    <t>2019/10/13 15:21:05</t>
  </si>
  <si>
    <t>本人在10月9在鸿运当头APP借款2025元，还款金额3118.5元，10月13日到期还款，14点28分接到催收电话，要求马上处理，因有事需5点处理，对方豪无协商可能，同时打电话骚扰我家人，态度恶劣，本人怕再次联系亲朋好友，多次打电话给对方说马上停止对我通讯录的骚扰，并且马上还款，对于对方态度恶劣，要求作出到款，赔偿。</t>
  </si>
  <si>
    <t>http://ts.21cn.com/tousu/show/id/1358319</t>
  </si>
  <si>
    <t>2019/10/13 15:18:59</t>
  </si>
  <si>
    <t>一休哥涉嫌高利贷，高炮平台，动不动发信息骚扰，今天甚至发信息恐吓我将我照片制成遗照。</t>
  </si>
  <si>
    <t>及贷暴力催收爆通讯录</t>
  </si>
  <si>
    <t>http://ts.21cn.com/tousu/show/id/1358340</t>
  </si>
  <si>
    <t>2019/10/13 15:13:42</t>
  </si>
  <si>
    <t>投诉人 杨女士        投诉对象  及贷        涉诉金额  0 元    问题类型    诉求类型投诉详情  上午已致电过来 我也第一时间接听并沟通协商 在达成协商后 不知道为何接听后还要爆通讯录 且不是我主动提供的联系人 已涉嫌盗取本人手机信息及通话详单</t>
  </si>
  <si>
    <t>钱站利息高阴阳合同</t>
  </si>
  <si>
    <t>http://ts.21cn.com/tousu/show/id/1358308</t>
  </si>
  <si>
    <t>2019/10/13 15:01:52</t>
  </si>
  <si>
    <t>钱站利息太高了出现了阴阳合同借款2000要还接近我3000还有谁想逾期不还你们这个。</t>
  </si>
  <si>
    <t>无法提前还款。并且不减免后续利息</t>
  </si>
  <si>
    <t>http://ts.21cn.com/tousu/show/id/1358296</t>
  </si>
  <si>
    <t>2019/10/13 14:56:15</t>
  </si>
  <si>
    <t>投诉人 李先生        投诉对象  我来数科        涉诉金额  32 000 元    问题类型    诉求类型      投诉详情  申请提前一次性还款。无法申请。只能一期期手动还款。并且不减免后期手续费。并且收取高额月费。</t>
  </si>
  <si>
    <t>滴滴出行欺诈扣费</t>
  </si>
  <si>
    <t>http://ts.21cn.com/tousu/show/id/1353369</t>
  </si>
  <si>
    <t>2019/10/13 14:54:55</t>
  </si>
  <si>
    <t>我是一名业余滴滴快车司机，在今天上午接到滴滴出行发来的短信，在2019年11月2日由凉州区武南镇人民政府去往火车站的订单有线下交易行为，平台的作弊外罚55元，请问平台可以拿出合理的处罚依据吗，既然是线下交易行为我完全可以让乘客取消订单然后再进行交易，而这笔钱订单恰恰是司机到达目基地后迟迟不见乘客，超过系统规定的等待时间后未见乘客司机取消订单，而在这等待的三分钟之内，司机已多次联系乘客，怎么就产生了线下交易行为，请问是不是平台派给司机的每笔订单系统得不到提成，而乘客到达目的地后就是线下交易行为呢！难道司机要为</t>
  </si>
  <si>
    <t>高利贷套路贷恶意逾期</t>
  </si>
  <si>
    <t>http://ts.21cn.com/tousu/show/id/1358285</t>
  </si>
  <si>
    <t>2019/10/13 14:52:49</t>
  </si>
  <si>
    <t>本人通过立马进钱客服微信推广下载立马进钱app，此前被花转转套路贷恶性循环借款多笔，损失好几千利息，目前在上面借款一笔:借款2800元，到账2800元，按照4期还款，每8天需还款1022元，共需还款4088元左右，即借款2800元使用32天的利息1288元，无任何说明与借款合同，现在深陷他们的套路贷，以贷养贷，实在无法承担还不干净，家人也给钱让还款了从9月20几号开始联系他们，但是一直联系不到，app上也不能还款，让在app上反馈，但是也没有人给我解决，造成我的账单逾期目前还有只有一单在还，已还1期，剩余三</t>
  </si>
  <si>
    <t>哪吒聚宝高炮平台未放款，一个月后暴力催收，口头威胁，</t>
  </si>
  <si>
    <t>http://ts.21cn.com/tousu/show/id/1358280</t>
  </si>
  <si>
    <t>2019/10/13 14:50:52</t>
  </si>
  <si>
    <t>哪吒聚宝，口头辱骂，九月二日在哪吒聚宝申请2500元，上面一直显示未审核，我就取消并删除软件了，十月十日晚十一点易宝支付突然放款1625元，十月十三日要我还款，找不到还款软件，客服都是国外号码，想问清原因，那边不做出解释并且辱骂和威胁。</t>
  </si>
  <si>
    <t>钱站服务费高，违约金太高</t>
  </si>
  <si>
    <t>http://ts.21cn.com/tousu/show/id/1358263</t>
  </si>
  <si>
    <t>2019/10/13 14:49:42</t>
  </si>
  <si>
    <t>投诉人王先生投诉对象钱站涉诉金额4212元问题类型诉求类型投诉详情借款3000元，分三期。</t>
  </si>
  <si>
    <t>做任务被黑单</t>
  </si>
  <si>
    <t>http://ts.21cn.com/tousu/show/id/1358274</t>
  </si>
  <si>
    <t>2019/10/13 14:49:07</t>
  </si>
  <si>
    <t>众人帮做完任务，不回话了！黑我，众人帮客服不管。</t>
  </si>
  <si>
    <t>钱站黑平台高利贷</t>
  </si>
  <si>
    <t>http://ts.21cn.com/tousu/show/id/1358260</t>
  </si>
  <si>
    <t>2019/10/13 14:42:08</t>
  </si>
  <si>
    <t>页面显示借款金额是2600元，期限为三个月，分三期还，每期还1230元，而确认借款后实际下款只有2000元，也就是说借2000元，三个月内就得向钱站这个高利贷平台支付1690利息了，这种比天还高的利息，简直就是吸食人民血汗，难怪那么多人被网贷迫得走投无路而自杀，为什么朗朗乾坤下国家还能长期允许这种嗜血的黑平台存在，以助我们讨回公道还望监管部门能大力查处，以挽救无数正处绝境之受害者，维护社会公平正义，相信我绝非个案，上网一输入“钱站高利贷”等关键字，即打看到无数这类受害案例，在此希望聚投诉帮助我们弱势的受害者</t>
  </si>
  <si>
    <t>有用分期高额利息超出国家规定借的8000显示的12000</t>
  </si>
  <si>
    <t>http://ts.21cn.com/tousu/show/id/1358252</t>
  </si>
  <si>
    <t>2019/10/13 14:40:20</t>
  </si>
  <si>
    <t>在有用分期借了8000元，分的12期，每月还款1025，利息就是4000元，本人已还清9期，剩下的本人已无力偿还，有用分期客服人员就开始骚扰我的家人和朋友，我希望可以解决一下。</t>
  </si>
  <si>
    <t>天猫苏宁旗舰店欺骗消费者</t>
  </si>
  <si>
    <t>http://ts.21cn.com/tousu/show/id/1358241</t>
  </si>
  <si>
    <t>2019/10/13 14:35:54</t>
  </si>
  <si>
    <t>我八号七点付款之后咨询客服告诉我提前下单无效，名单出来之后所有买家时间都是整点00分00秒，难道所有人都是7:00:00秒下单付款7:00:00。</t>
  </si>
  <si>
    <t>北京车主白条科技有限公司无故扣款</t>
  </si>
  <si>
    <t>http://ts.21cn.com/tousu/show/id/1358230</t>
  </si>
  <si>
    <t>2019/10/13 14:29:44</t>
  </si>
  <si>
    <t>本人于2019年十月十三日下午一点多浦发银卡里被车主白条无故扣款两笔共528.04元，现要求其归还所扣款项。</t>
  </si>
  <si>
    <t>小花钱包暴力催收，控吓</t>
  </si>
  <si>
    <t>http://ts.21cn.com/tousu/show/id/1358209</t>
  </si>
  <si>
    <t>2019/10/13 14:21:08</t>
  </si>
  <si>
    <t>我借了1500，还了现在已经有3千块，还有最后一期账单，自己资金出现问题，一大早已经有客服联系威胁我说必须12点还，不然让我自己看着办，要爆通讯录，刚才两点又开始打电话，告诉我下午5点必须还，不还有，催收流程，一切后果自负，我不是欠你们几百万，该还的本金利息你们不少还你们，难道你们你们就是王法，现在是法制社会，不是你们说怎样就怎样，现在国家扫黑除恶，难道就拿你们没办法嘛！钱我一分都不会还了，该还了我已经还清了。</t>
  </si>
  <si>
    <t>你我贷恶意拨打通讯录联系人及工作单位电话</t>
  </si>
  <si>
    <t>http://ts.21cn.com/tousu/show/id/1358197</t>
  </si>
  <si>
    <t>2019/10/13 14:13:49</t>
  </si>
  <si>
    <t>你我贷催收人员恶意拨打通讯录联系人及单位电话，言语侮辱及恐吓，拨打400客服电话说会反馈问题给催收，但是没有任何作用。</t>
  </si>
  <si>
    <t>海南圣云可网络科技公司可未经本人同意扣钱钱财</t>
  </si>
  <si>
    <t>http://ts.21cn.com/tousu/show/id/1358186</t>
  </si>
  <si>
    <t>2019/10/13 14:13:16</t>
  </si>
  <si>
    <t>投诉人李先生投诉对象海南圣云可网络科技公司涉诉金额198元问题类型诉求类型投诉详情海南圣云可网络科技有限公司在没有经过本人同意、不知情的情况下扣取本人银行卡里面的钱财！。</t>
  </si>
  <si>
    <t>我没有活下去的勇气，不想活了。</t>
  </si>
  <si>
    <t>http://ts.21cn.com/tousu/show/id/1358191</t>
  </si>
  <si>
    <t>2019/10/13 14:09:35</t>
  </si>
  <si>
    <t>如果打我通讯录的话，我立马去自杀，手机里所有的证据就是你们逼死我的，已经好累了，不想活了。</t>
  </si>
  <si>
    <t>给我发信息说我可以开通微粒贷，然后让我填写资料，资料填完了用快捷支付转走我的钱</t>
  </si>
  <si>
    <t>http://ts.21cn.com/tousu/show/id/1358164</t>
  </si>
  <si>
    <t>2019/10/13 14:08:58</t>
  </si>
  <si>
    <t>发个信息来喊我开通微粒贷，然后进去链接填资料，后来喊填入发来的验证码，我也没注意就填了，结果是扣款的验证码，扣走我1100元。</t>
  </si>
  <si>
    <t>钱到APP了不给我提现</t>
  </si>
  <si>
    <t>http://ts.21cn.com/tousu/show/id/1358175</t>
  </si>
  <si>
    <t>2019/10/13 14:02:47</t>
  </si>
  <si>
    <t>让我提现我认为他们就是骗子APP也是虚假的。</t>
  </si>
  <si>
    <t>拍拍贷暴力催收，恐吓威胁家人朋友，催收员私收欠款</t>
  </si>
  <si>
    <t>http://ts.21cn.com/tousu/show/id/1358142</t>
  </si>
  <si>
    <t>2019/10/13 13:50:07</t>
  </si>
  <si>
    <t>之前我用拍拍贷分期了一台电脑，借了一笔4000借款，之后因为做生意赔了钱一直都没有能力还款，去年拍拍贷催收专员联系过我爸，叫我爸把钱转给他就行了，但是我爸不懂转过去了也没给我说，只说还了拍拍贷也没给我打电话我就一直以为还掉了就没管他了，前段时间拍拍贷又给我打电话说要我还两万三，还到处给我亲戚朋友打电话说我欠了两万三不还钱属于诈骗，还有一个所谓的律师联系我爸妈说要告我，最近两天又有跟黑社会一样的人到处打电话威胁恐吓我家人亲戚朋友，说什么两万三不用还了就当做我医药费，好像是一个组织，叫什么万里集团的，我现在要求</t>
  </si>
  <si>
    <t>投诉小y文娱乱扣费</t>
  </si>
  <si>
    <t>http://ts.21cn.com/tousu/show/id/1358131</t>
  </si>
  <si>
    <t>2019/10/13 13:46:01</t>
  </si>
  <si>
    <t>小y文娱在tcl电视上有个游戏叫葫芦娃，我家一个10岁的小孩在我不知情的情况下微信分四次消费了2606元，今早他又扫描了1000元，还好发现及时没有出去，在网上查了官方电话，一直无法联系上，该公司管控一点都不严格。</t>
  </si>
  <si>
    <t>利息过高</t>
  </si>
  <si>
    <t>http://ts.21cn.com/tousu/show/id/1358120</t>
  </si>
  <si>
    <t>2019/10/13 13:41:22</t>
  </si>
  <si>
    <t>10月19日，还没到一个月，我想提前还款，结果点开需要还39607.62，而且有阴阳合同，合同上写的借款是37500元。</t>
  </si>
  <si>
    <t>卧龙钱包高利贷砍头息</t>
  </si>
  <si>
    <t>http://ts.21cn.com/tousu/show/id/1358098</t>
  </si>
  <si>
    <t>2019/10/13 13:32:45</t>
  </si>
  <si>
    <t>中途延期过一次又给770元！延长至15号！延期费用4天利息就是77。</t>
  </si>
  <si>
    <t>聚福钱包身份验证都没过就乱扣款</t>
  </si>
  <si>
    <t>http://ts.21cn.com/tousu/show/id/1358087</t>
  </si>
  <si>
    <t>2019/10/13 13:27:05</t>
  </si>
  <si>
    <t>注册聚福钱包，只认证了银行卡，被扣了250元，后期身份证验证一直不能成功。</t>
  </si>
  <si>
    <t>新意花，小木钱包，畅捷支付</t>
  </si>
  <si>
    <t>http://ts.21cn.com/tousu/show/id/1358076</t>
  </si>
  <si>
    <t>2019/10/13 13:21:11</t>
  </si>
  <si>
    <t>本人在新意花小木钱包借款1400，分四期每期7天还款，每期511元，本人已还1500多元，最后一期9月20号app无法还款，有客服提供的支付宝转账，但至今一直没有消账，另一笔借款2800，一期偿还1000多，已还2期，期间app打不开，客服联系不上，打电话打不通，app反馈没应答，看着日益增长的逾期费用，并且app无法还款，感觉遇到套路贷，等着费用增加到一定程度再来催收！！请贵平台帮忙联系新意花，本人承诺还款本金和合法的利息！支付通道为畅捷支付，谢谢～。</t>
  </si>
  <si>
    <t>网贷平台电话骚扰电话通讯录联系人</t>
  </si>
  <si>
    <t>http://ts.21cn.com/tousu/show/id/1358065</t>
  </si>
  <si>
    <t>2019/10/13 13:13:05</t>
  </si>
  <si>
    <t>据悉放款方不得电话骚扰，威胁贷款方通讯录联系人，给催收人员解释过缓两天还款，但他们还是我行我素，打电话骚扰家人朋友。</t>
  </si>
  <si>
    <t>http://ts.21cn.com/tousu/show/id/1358054</t>
  </si>
  <si>
    <t>2019/10/13 13:07:39</t>
  </si>
  <si>
    <t>本人于10月6日被忽悠一时头脑发热报了名在之后的六天里感觉老师教云里雾里压根听不懂提出的专业问题也解答不上来，基本都是照书给你念一遍，非常怀疑其机构授课者是否都具有教师资格证和3年以上教学经验，后面提出申请退学退费刚开始说7天后不能申请报名我刚好七天内最后又是报名后就不能退费退学的霸王条例，报名前我没有观看任何他们的教学视频全靠招生老师一顿忽悠，报名后也为对我开设课堂我也并未学习，报名时忽悠我说没钱没关系可以办理教育贷，现在面临退费联系不上人各种借口忽悠就是一直拖。</t>
  </si>
  <si>
    <t>http://ts.21cn.com/tousu/show/id/1358043</t>
  </si>
  <si>
    <t>2019/10/13 13:01:28</t>
  </si>
  <si>
    <t>2019年7月犹豫资金紧张在钱站借款1700元，实际到账1000元，该公司仍然丧心病狂再要我700元，说是仍有欠款，3个月时间，实际借到1000元，要我还1900余元，请有关部门重视，并要求钱站方便给与合理解释。</t>
  </si>
  <si>
    <t>无缘无故被京东扣钱</t>
  </si>
  <si>
    <t>http://ts.21cn.com/tousu/show/id/1358021</t>
  </si>
  <si>
    <t>2019/10/13 12:56:36</t>
  </si>
  <si>
    <t>2019年10月8日无缘无故被京东扣了299元，也没有设置免密支付，本人并未在京东买过任何东西，打电话给京东反应没有得到处理，扣款详情支付写着对方是京东支付，要求京东把扣我的299给退回来。</t>
  </si>
  <si>
    <t>博世冰箱2年4次维修！</t>
  </si>
  <si>
    <t>http://ts.21cn.com/tousu/show/id/1358010</t>
  </si>
  <si>
    <t>2019/10/13 12:52:17</t>
  </si>
  <si>
    <t>在吉林省知名百货购入一台博世冰箱型号kan92v02ti双开门，奔着博世牌子买的，用了半年，时不时出现异响，噩梦开始，给客服打电话，来人上门，师傅来时，异响没响，于是解释后走了，对付用了一年，出现机器不制冷，压缩机故障，异响，先后3次工程师来修，带回维修点维修近十天，拿回来可以制冷了，但依然有偶尔异响，又给换了风扇，用了2个月，又不制冷并且报警！我就想说这么大的牌子，产品这么差的么，真让消费者失望！我会继续全网络告知我的经历！真不如买个国产了！我要求厂家给换新，既然是问题产品，理应回收，并提供合格的产品！。</t>
  </si>
  <si>
    <t>贷款平台好分期利率过高，威胁本人</t>
  </si>
  <si>
    <t>http://ts.21cn.com/tousu/show/id/1357989</t>
  </si>
  <si>
    <t>2019/10/13 12:41:28</t>
  </si>
  <si>
    <t>之前投诉好分期平台由于两天未回复自动结案，但是并未解决，今天还给我打电话并且说要联系其他的朋友自己孩子父母的养老保险等事情，态度很恶劣，希望政府能够出面解决！！。</t>
  </si>
  <si>
    <t>高利贷，强制借款</t>
  </si>
  <si>
    <t>http://ts.21cn.com/tousu/show/id/1357978</t>
  </si>
  <si>
    <t>2019/10/13 12:36:48</t>
  </si>
  <si>
    <t>10月12日注册，未申请借款的前提下直接放款2100元，5天后续归还3517.26元。</t>
  </si>
  <si>
    <t>百世快递不给处理破损件</t>
  </si>
  <si>
    <t>http://ts.21cn.com/tousu/show/id/1357967</t>
  </si>
  <si>
    <t>2019/10/13 12:31:21</t>
  </si>
  <si>
    <t>我事卖奶粉的顾客从我这买的奶粉买错了给我退回来，百世快递没有给我包裹好完成我的奶粉4桶都破损了，说24小时给我结束，现在3天了也不给我解决总是往后拖，打了无数回电话了不管。</t>
  </si>
  <si>
    <t>维信卡卡贷超时不放款</t>
  </si>
  <si>
    <t>http://ts.21cn.com/tousu/show/id/1357956</t>
  </si>
  <si>
    <t>2019/10/13 12:26:42</t>
  </si>
  <si>
    <t>9月15号申请的贷款，10月13号还未到账，已经超过15个工作日，客服只会应付消费者，说明天到，明天到。</t>
  </si>
  <si>
    <t>快易熊平台砍头息高利贷</t>
  </si>
  <si>
    <t>http://ts.21cn.com/tousu/show/id/1357945</t>
  </si>
  <si>
    <t>2019/10/13 12:20:49</t>
  </si>
  <si>
    <t>昨天已经提交过一次，没提到天津凯曼林科技有限公司，原因如下：在快易熊借款，下款公司为通联支付，附言写的是天津凯曼林科技有限公司，扣款公司为天津凯曼林科技有限公司，所以我投诉通联支付，通联支付不予受理，只能再次投诉天津凯曼林科技有限公司。</t>
  </si>
  <si>
    <t>http://ts.21cn.com/tousu/show/id/1357934</t>
  </si>
  <si>
    <t>2019/10/13 12:15:46</t>
  </si>
  <si>
    <t>在立借app上借款钱置宝，3000到账2100，有砍头息，已还2期，共计1400多元，后立借平台钱置宝不能划扣，不能主动还款，导致逾期，20天无人联系还款，今天突然有人打电话来要求还款，并且还要还2800多，其中700多为砍头息，1300多为因平台问题造成的逾期罚息，不应该由用户承担，催收恐吓上征信，保持电话畅通，在电话中听到其他催收打电话给其他用户的朋友恐吓，情节严重，诉求：只承担我该还的700多本金，平台造成的逾期罚息为什么要我承担，如果不行或者恶意催收造成我生活受到影响，我将一告到底，12315以及1</t>
  </si>
  <si>
    <t>要求美年达，蛋黄派退还超出本金的高额砍头息费用</t>
  </si>
  <si>
    <t>http://ts.21cn.com/tousu/show/id/1357912</t>
  </si>
  <si>
    <t>2019/10/13 12:08:38</t>
  </si>
  <si>
    <t>广州斌金网络科技有限公司该公司旗下APP金融产品涉及严重砍头息问题，多次协商未果，涉及还款金额严重超过本金1200余元，现要求该公司退款，本人投诉该公司一月有余，如不予解决本人将继续投诉。</t>
  </si>
  <si>
    <t>开通会员说好可以退款没有退</t>
  </si>
  <si>
    <t>http://ts.21cn.com/tousu/show/id/1357901</t>
  </si>
  <si>
    <t>2019/10/13 12:02:54</t>
  </si>
  <si>
    <t>安亿花申请贷款，开通会员协议上写的开通会员后不成功贷款可以申请退款，开通会员后没有贷到款，后面申请退款，却要求上传贷款失败截图，那么多的产品，我不可能每个都去贷吧，所以要求退我的198。</t>
  </si>
  <si>
    <t>维信卡卡贷2个多月多扣款的款项未退还</t>
  </si>
  <si>
    <t>http://ts.21cn.com/tousu/show/id/1357887</t>
  </si>
  <si>
    <t>2019/10/13 11:57:01</t>
  </si>
  <si>
    <t>8月份的款项多扣了，已多次联系客服，上次也在聚投诉投诉，有客服联系了我，可是又一个月过去了，还是没有到账，我想知道一个退款你们工作人员要处理这么久。</t>
  </si>
  <si>
    <t>钱橙无忧借款app自动扣款</t>
  </si>
  <si>
    <t>http://ts.21cn.com/tousu/show/id/1357879</t>
  </si>
  <si>
    <t>2019/10/13 11:54:47</t>
  </si>
  <si>
    <t>前天在钱橙无忧app上借款，看到要收费果断卸载了、然后今天没经过我同意莫名其妙的被扣了168元。</t>
  </si>
  <si>
    <t>拇指下款app盗扣行银行卡298.5元</t>
  </si>
  <si>
    <t>http://ts.21cn.com/tousu/show/id/1357876</t>
  </si>
  <si>
    <t>2019/10/13 11:53:27</t>
  </si>
  <si>
    <t>拇指下款app无故从银行卡扣款298.5元。</t>
  </si>
  <si>
    <t>偿还本金，</t>
  </si>
  <si>
    <t>http://ts.21cn.com/tousu/show/id/1357853</t>
  </si>
  <si>
    <t>2019/10/13 11:49:03</t>
  </si>
  <si>
    <t>望平台协调这个利息的却是太高了，这样的平台能关闭趁早，我估计在这个平台上借钱还不起会逼人跳楼的，大家赶紧想办法协商还款，再也不要借了，编号1的这笔2142.50元，共三期已经偿还了2期，后面的就不给你还了，编号2：希望能降息，也知道钱站势力大，我们惹不起。</t>
  </si>
  <si>
    <t>银行卡资金不明被财付通转走，去向显示为手Q支付平台商号</t>
  </si>
  <si>
    <t>http://ts.21cn.com/tousu/show/id/1357868</t>
  </si>
  <si>
    <t>2019/10/13 11:48:06</t>
  </si>
  <si>
    <t>农业银行卡多次被盗刷，损失3611元，财付通客服电话无人接听，联系不到客服和负责人，现在无人处理，资金去向不明，只要求全额退款。</t>
  </si>
  <si>
    <t>交易猫恶意卡钱</t>
  </si>
  <si>
    <t>http://ts.21cn.com/tousu/show/id/1357865</t>
  </si>
  <si>
    <t>2019/10/13 11:46:36</t>
  </si>
  <si>
    <t>投诉第二次了，上一次说让我到APP上解决，到现在还没有反应。</t>
  </si>
  <si>
    <t>快付通联合套路贷高炮平台扣款</t>
  </si>
  <si>
    <t>http://ts.21cn.com/tousu/show/id/1357859</t>
  </si>
  <si>
    <t>2019/10/13 11:45:05</t>
  </si>
  <si>
    <t>我本来是一名大学毕业应届生，在这一年多里我忍受了常人无法想象的煎熬，我被高炮平台恐吓威胁，榨干了所有，我借款还款了几倍依然还不完对我和家人进行恐吓黑社会催收，一度想要自杀，我妈妈生病了都没有钱去看病了，存个钱直接被这些套路贷支付平台强行扣款，快付通为高炮小额贷提供了支付扣款渠道，属实不能理解，我要依法拿回我的部分损失，要加强力度打击这些违法平台！。</t>
  </si>
  <si>
    <t>http://ts.21cn.com/tousu/show/id/1357857</t>
  </si>
  <si>
    <t>2019/10/13 11:44:43</t>
  </si>
  <si>
    <t>这个电话最近一直再打电话过来，一接通就挂，根本不知道打电话来的目的，回拨过去显示空号，已严重影响到我们生活。</t>
  </si>
  <si>
    <t>苏宁云钻在没有任何提醒（包括手机短信及平台信息提示）的情况下过期，苏宁平台拒绝恢复</t>
  </si>
  <si>
    <t>http://ts.21cn.com/tousu/show/id/1357854</t>
  </si>
  <si>
    <t>2019/10/13 11:44:15</t>
  </si>
  <si>
    <t>投诉人郑女士投诉对象苏宁易购涉诉金额862元问题类型诉求类型投诉详情我账号里原有的10万多云钻，，10月13日早上登录发现只剩下1300多云钻了，点开查看云钻明细，显示云钻已于7月31日起分批过期，共过期86126个云钻，折合人民币约862元，，在此云钻过期期间，7月8月9月我均有在平台购物，但从未有收到任何通知短信以及平台的过期提醒，联系客服答应说只给补偿20块钱的云钻，并且在要求客服帮忙查询一共过期多少云钻时，客服一直欺骗说只过期2万余云钻，并且说过期云钻不能恢复，你要查这个有什么用，2019年7月8月</t>
  </si>
  <si>
    <t>维信卡卡贷承诺还款，客服不予处理</t>
  </si>
  <si>
    <t>http://ts.21cn.com/tousu/show/id/1357846</t>
  </si>
  <si>
    <t>2019/10/13 11:39:56</t>
  </si>
  <si>
    <t>本人于2019、09在维信卡卡贷借款32700，利息太高，无力偿还，现希望维信卡卡贷客服能协商还款，本人还款意愿强，无奈暂时无力偿还。</t>
  </si>
  <si>
    <t>恶意扣款易宝支付联合高炮平台</t>
  </si>
  <si>
    <t>http://ts.21cn.com/tousu/show/id/1357769</t>
  </si>
  <si>
    <t>2019/10/13 11:39:41</t>
  </si>
  <si>
    <t>易宝支付为小额贷款平台高炮平台提供支付扣款渠道，到期肆意扣款，利息吓人无法估算，一年多里过着煎熬的生活，还把所有亲朋好友都恐吓了一遍，我要依法拿回我的钱，这种平台就应该下架！连累多少人遭殃！。</t>
  </si>
  <si>
    <t>投诉闪银瞬瞬高利贷恶意催收</t>
  </si>
  <si>
    <t>http://ts.21cn.com/tousu/show/id/1357843</t>
  </si>
  <si>
    <t>2019/10/13 11:38:52</t>
  </si>
  <si>
    <t>本人于9月10日从闪银瞬瞬借款1600元，闪银变相收取高额砍头息，属于国家严厉打击的高利贷！催收不断打电话，要求开展延期时不同意，并恶意骚扰单位领导其他联系人。</t>
  </si>
  <si>
    <t>平安付联合高炮平台恶意扣款霸王条款</t>
  </si>
  <si>
    <t>http://ts.21cn.com/tousu/show/id/1357842</t>
  </si>
  <si>
    <t>2019/10/13 11:38:17</t>
  </si>
  <si>
    <t>我本来是一名大学毕业应届生，在这一年多里我忍受了常人无法想象的煎熬，我被高炮平台恐吓威胁，榨干了所有，我借款还款了几倍依然还不完对我和家人进行恐吓黑社会催收，一度想要自杀，我妈妈生病了都没有钱去看病了，存个钱直接被这些套路贷支付平台强行扣款，平安付为高炮小额贷提供了支付扣款渠道，属实不能理解，我要依法拿回我的部分损失，要加强力度打击这些违法平台！。</t>
  </si>
  <si>
    <t>http://ts.21cn.com/tousu/show/id/1357835</t>
  </si>
  <si>
    <t>2019/10/13 11:36:07</t>
  </si>
  <si>
    <t>本人由于急事向钱站借了3000元，分3期还，现已还完两期，可以说本金已还完了，最后一期逾期，但发现合同写的所借金额5000多，金额不对，所以按照他合同就是我借3000元，3期都还完的话得还5000多，我觉得这是高利贷，希望有关部门处理。</t>
  </si>
  <si>
    <t>http://ts.21cn.com/tousu/show/id/1357832</t>
  </si>
  <si>
    <t>2019/10/13 11:35:41</t>
  </si>
  <si>
    <t>本来昨前天还款，由于自己资金没到位，给说的今天6点以前处理，可是催收人员各种威胁，恐吓，态度恶劣，乱发短信对此应该进行整顿。</t>
  </si>
  <si>
    <t>手机借钱侵犯客户隐私，高利贷，暴力恐吓催收</t>
  </si>
  <si>
    <t>http://ts.21cn.com/tousu/show/id/1357824</t>
  </si>
  <si>
    <t>2019/10/13 11:34:05</t>
  </si>
  <si>
    <t>本人在上个月急要钱的时候向他们公司借了3700元的，分四期，到还钱的时候发现是在两个月要还完四期，按照金融利息算法，该公司利息高达364%属高利贷，外加本人在还第二期的时候，还未逾期亲朋好友已经接到了电话侵犯了我的隐私，现在第三期依旧是还未逾期亲朋好友就已经开始接到电话继续侵犯我隐私，我本人接电话的时候客服态度极度恶劣并且威胁恐吓拒不承认侵犯我隐私，因为这件事我身边的亲朋好友都不厌其烦并且我个人隐私权跟名誉权都受到了侵犯，我要求该公司处理侵犯我隐私权和名誉权，做出相应赔偿，如果该公司依旧骚扰亲属威胁恐吓，我</t>
  </si>
  <si>
    <t>http://ts.21cn.com/tousu/show/id/1357821</t>
  </si>
  <si>
    <t>2019/10/13 11:32:30</t>
  </si>
  <si>
    <t>投诉人 赵金聪        投诉对象  中融创融资担保        涉诉金额  290 元    问题类型    诉求类型投诉详情  我根本就不清楚小通商城是什么。没经过我同意就私自扣款？</t>
  </si>
  <si>
    <t>http://ts.21cn.com/tousu/show/id/1357813</t>
  </si>
  <si>
    <t>2019/10/13 11:31:21</t>
  </si>
  <si>
    <t>投诉人邱先生投诉对象玖富万卡涉诉金额3000元问题类型诉求类型投诉详情玖富万卡本来就利息很高了.借一万收二千七的分期利息费.现在还要加收我的利息费..这不是趁火打劫.要人命吗，希望取消掉我的后期各种不合理的加收利息费用.。</t>
  </si>
  <si>
    <t>深圳计算机公司退还儿子打游戏支付了退款剩余的350元元</t>
  </si>
  <si>
    <t>http://ts.21cn.com/tousu/show/id/1356487</t>
  </si>
  <si>
    <t>2019/10/13 11:29:49</t>
  </si>
  <si>
    <t>我儿子打游戏支付了150元钱，本来是孩子的饭钱，只开始的时候第1次支付，我打电话他客服说，不要让孩子玩了，把账号永久封号，我说可以，结果，腾讯没有按照他说的来操作，并没有真正的去封号，而是而是等儿子再一次打游戏，支付进去了又套进去之后我投诉了之后才封了号，腾讯公司都是骗子吗，为了小孩的，150块钱饭钱，他都千方百计的想要都不给退，那么大的马化腾的公司就是这么起家的吗，解决反对腾讯游戏坑害未成年人，总共三张图片，就是这个马化腾这个骗子公司搞的，连小孩钱，未成年人的钱，他都看上他挣的黑心钱。</t>
  </si>
  <si>
    <t>信用飞所谓保险费等于砍头息</t>
  </si>
  <si>
    <t>http://ts.21cn.com/tousu/show/id/1357810</t>
  </si>
  <si>
    <t>2019/10/13 11:29:00</t>
  </si>
  <si>
    <t>信用飞,北京首金中小微企业金融服务有限公司，信用飞app，以保险费名义实为砍头息私自从银行卡里扣除610元，请退还该笔费用，。</t>
  </si>
  <si>
    <t>http://ts.21cn.com/tousu/show/id/1357802</t>
  </si>
  <si>
    <t>2019/10/13 11:27:18</t>
  </si>
  <si>
    <t>昨天催收打来电话，态度恶劣，威胁要把我贷款信息通过快递告诉村里，工作单位，威胁动用外催上门，骂我老赖，诈骗。</t>
  </si>
  <si>
    <t>浪小花APP</t>
  </si>
  <si>
    <t>http://ts.21cn.com/tousu/show/id/1357799</t>
  </si>
  <si>
    <t>2019/10/13 11:26:39</t>
  </si>
  <si>
    <t>投诉人周先生投诉对象浪小花涉诉金额0元问题类型诉求类型投诉详情我朋友在浪小花app借了钱，到期后由于银行卡丢失，未及时还款，逾期大概4－5天，催收通过抖音app在我作品下面评论，严重影响我的抖音用户体验，希望有关部门给予出发，并停止骚扰我及我朋友。</t>
  </si>
  <si>
    <t>北京水莲金条暴力催收恐吓</t>
  </si>
  <si>
    <t>http://ts.21cn.com/tousu/show/id/1357790</t>
  </si>
  <si>
    <t>2019/10/13 11:24:58</t>
  </si>
  <si>
    <t>投诉人皮先生投诉对象水莲金条涉诉金额780元问题类型诉求类型投诉详情来自133333855842北京水莲金条催收人员恐吓说要联系家人亲朋好友已经明确了10月14号会还款还一而再再而三的恐吓威胁多次打电话。</t>
  </si>
  <si>
    <t>投诉中信银行下三滥招数催收</t>
  </si>
  <si>
    <t>http://ts.21cn.com/tousu/show/id/1357788</t>
  </si>
  <si>
    <t>2019/10/13 11:24:10</t>
  </si>
  <si>
    <t>中信银行信用卡，早就沟通过了从10月开始还，最多3个月就还完了，可是他们采用下三滥招数，各种找人上门侮辱人，导致对本人身心造成无法磨灭的影响。</t>
  </si>
  <si>
    <t>小米游戏超会优惠券无法使用</t>
  </si>
  <si>
    <t>http://ts.21cn.com/tousu/show/id/1357766</t>
  </si>
  <si>
    <t>2019/10/13 11:21:37</t>
  </si>
  <si>
    <t>介绍说小米账号登录的游戏通用但是我玩的剑侠世界无法使用这个劵。</t>
  </si>
  <si>
    <t>菜鸟有钱典型高利贷</t>
  </si>
  <si>
    <t>http://ts.21cn.com/tousu/show/id/1357777</t>
  </si>
  <si>
    <t>2019/10/13 11:17:49</t>
  </si>
  <si>
    <t>投诉人刘先生投诉对象菜鸟有钱涉诉金额1600元问题类型诉求类型投诉详情菜鸟有钱暴力催收，严重影响了生活。</t>
  </si>
  <si>
    <t>http://ts.21cn.com/tousu/show/id/1357758</t>
  </si>
  <si>
    <t>2019/10/13 11:10:43</t>
  </si>
  <si>
    <t>钱站第一次借款3000元，三期，每期还款1330，我一看合同写的借款金额是3750，但是到账只有3000元，第二笔是借款1000元，每期还款592.91元，合同写借款金额是1330，而且我第二笔是19号借的，为什么还款日还是14号。</t>
  </si>
  <si>
    <t>钱站阴阳合同砍头息暴力催收</t>
  </si>
  <si>
    <t>http://ts.21cn.com/tousu/show/id/1357750</t>
  </si>
  <si>
    <t>2019/10/13 11:07:38</t>
  </si>
  <si>
    <t>钱站阴阳合同高利贷，爆通讯录暴力催收威胁恐吓，导致本人工作丢失，夫妻离婚，抑郁自杀。</t>
  </si>
  <si>
    <t>助贷宝退还199</t>
  </si>
  <si>
    <t>http://ts.21cn.com/tousu/show/id/1357755</t>
  </si>
  <si>
    <t>2019/10/13 11:07:20</t>
  </si>
  <si>
    <t>投诉人林先生投诉对象助贷宝涉诉金额199元问题类型诉求类型投诉详情在助贷宝申请借款，收取vIp费用199元，让你在九个平台申请借款，申请退款要上传九个平台的借款凭证，套路呀谁有时间在九个平台上申请借款，九个平台借款app又会让你在其它平台上借款，申请退款还要上传借款失败截图，非要九个平台申请一遍，九个平台中又会出现N多个借款平台。</t>
  </si>
  <si>
    <t>天天短信电话不停骚扰我</t>
  </si>
  <si>
    <t>http://ts.21cn.com/tousu/show/id/1357747</t>
  </si>
  <si>
    <t>2019/10/13 11:06:45</t>
  </si>
  <si>
    <t>投诉人欧永先投诉对象你我贷,拍拍贷,平安普惠,叮当管家涉诉金额1000000元问题类型诉求类型投诉详情每天不停的对我不停的骚扰，请停止对我的骚扰，否则我将报警处理，追究你们的法律责任。</t>
  </si>
  <si>
    <t>及贷未借款时客服推销借款说借款成功保险可取消，完成借款后却无法退保</t>
  </si>
  <si>
    <t>http://ts.21cn.com/tousu/show/id/1357744</t>
  </si>
  <si>
    <t>2019/10/13 11:05:30</t>
  </si>
  <si>
    <t>本人于2019.4.4于及贷APP申请借款1500元，借款前及借款审核时，客服均明确表示可以退保，出于这样的宣传，本人才于4.4申请了第一笔借款，金额1500，到账1500元，但在借款成功后的借款明细里变成本金1660.2元，包含了保险费用160.2元，因保险没有标注在明确位置也并没有注意，没有提出退保要求，在热心网友提示下，本人翻看借款成功后的借款明细，注意到本金变成了7735元，多出的本金竟然变成了保费735元，回想到第一笔借款时客服承诺可以退保，且借款时并没有明确表明购买保险，本人与2019.10.1</t>
  </si>
  <si>
    <t>给你花黑心网贷，暴力催收</t>
  </si>
  <si>
    <t>http://ts.21cn.com/tousu/show/id/1357736</t>
  </si>
  <si>
    <t>2019/10/13 11:02:07</t>
  </si>
  <si>
    <t>高利贷，还了10期，还差两期，协商不处理，暴力催收，爆通讯录，骚扰亲朋好友。</t>
  </si>
  <si>
    <t>http://ts.21cn.com/tousu/show/id/1357733</t>
  </si>
  <si>
    <t>2019/10/13 11:01:18</t>
  </si>
  <si>
    <t>投诉人 段先生        投诉对象  嗨钱网        涉诉金额  6 000 元    问题类型    诉求类型投诉详情  代扣了不消除账单一直显示逾期。逾期费用不断增加。</t>
  </si>
  <si>
    <t>立借@钱置宝套路贷，平台问题导致逾期，仍要用户承担</t>
  </si>
  <si>
    <t>http://ts.21cn.com/tousu/show/id/1357725</t>
  </si>
  <si>
    <t>2019/10/13 10:58:41</t>
  </si>
  <si>
    <t>恒易贷高额砍头息</t>
  </si>
  <si>
    <t>http://ts.21cn.com/tousu/show/id/1357722</t>
  </si>
  <si>
    <t>2019/10/13 10:57:30</t>
  </si>
  <si>
    <t>我在恒易贷借款15400元，合同金额是15400分36期，表面是符合国家利率标准的，但是实际到账12689.6元砍掉了2711元，远远高于国家标准，我现在退还2711元砍头息或者调整我剩下34期的还款金额。</t>
  </si>
  <si>
    <t>http://ts.21cn.com/tousu/show/id/1357714</t>
  </si>
  <si>
    <t>2019/10/13 10:54:56</t>
  </si>
  <si>
    <t>投诉人 李先生        投诉对象  深圳市恒富融创科技有限公司        涉诉金额  84 元    问题类型    诉求类型投诉详情  我与你公司并无借贷关系。为何扣款？不能因为数额小就随便扣吧？</t>
  </si>
  <si>
    <t>迅阁拍交易平台</t>
  </si>
  <si>
    <t>http://ts.21cn.com/tousu/show/id/1357703</t>
  </si>
  <si>
    <t>2019/10/13 10:51:24</t>
  </si>
  <si>
    <t>交易提现时，平台说我的银行账号不对，修改之后冻结了我的资金800.元，客服说要充值八百元才能一起体现1600元，可冲进去后依旧冻结，客服让我继续充。</t>
  </si>
  <si>
    <t>捷信还款期数和客服说的不一样</t>
  </si>
  <si>
    <t>http://ts.21cn.com/tousu/show/id/1357700</t>
  </si>
  <si>
    <t>2019/10/13 10:49:33</t>
  </si>
  <si>
    <t>申请时客服说还完3期可自由还款，每期2447.11元已还4期，现在再还3期之后还要还56692.79元，这利息也太高了，总共用7个月利息就要13822.56元，想提前还现在还不行，希望各位能帮我解决。</t>
  </si>
  <si>
    <t>瑞银信299押金退还事件</t>
  </si>
  <si>
    <t>http://ts.21cn.com/tousu/show/id/1357680</t>
  </si>
  <si>
    <t>2019/10/13 10:47:35</t>
  </si>
  <si>
    <t>投诉人孙女士投诉对象瑞银信涉诉金额299元问题类型诉求类型投诉详情我于7.24号办理了瑞银信PS机，当天没刷了一笔299元，说是第二天到账，第二天没到账，我找他，他说他骗了我，给我使套路了，他说按他的要求刷，3个月可以退299，等3月到了，在找他，他又说一年之后才能退，而且得刷够77万，这不是骗人吗。</t>
  </si>
  <si>
    <t>http://ts.21cn.com/tousu/show/id/1357689</t>
  </si>
  <si>
    <t>2019/10/13 10:44:29</t>
  </si>
  <si>
    <t>本人于2019年1月10号在你我贷借款4500元，逾期一天后你我贷一男性工作人员恶意威胁并骚扰通讯录亲戚朋友，已准备收集资料向公安部门实名举报你我贷高利贷砍头息，。</t>
  </si>
  <si>
    <t>闪银至尊暴力催收</t>
  </si>
  <si>
    <t>http://ts.21cn.com/tousu/show/id/1357678</t>
  </si>
  <si>
    <t>2019/10/13 10:40:09</t>
  </si>
  <si>
    <t>暴力催收，不接受协商，盗取我的身份信息，要求我说出我的姓名和身份证号码。</t>
  </si>
  <si>
    <t>现金巴士退还会员费</t>
  </si>
  <si>
    <t>http://ts.21cn.com/tousu/show/id/1357667</t>
  </si>
  <si>
    <t>2019/10/13 10:37:31</t>
  </si>
  <si>
    <t>现金巴士以前一直用觉得挺好现在每次都要强制买会员而且不减免逾期费现强制要求退回会员费不然去金融办举报流水什么都要。</t>
  </si>
  <si>
    <t>天猫苹果旗舰店取消订单退款需求不处理</t>
  </si>
  <si>
    <t>http://ts.21cn.com/tousu/show/id/1357659</t>
  </si>
  <si>
    <t>2019/10/13 10:33:41</t>
  </si>
  <si>
    <t>投诉人 金鑫        投诉对象  天猫apple store官方旗舰店        涉诉金额  5 999 元    问题类型    诉求类型投诉详情  订单发起退款申请 商家不处理 硬要等待48小时</t>
  </si>
  <si>
    <t>信用星球砍头息</t>
  </si>
  <si>
    <t>http://ts.21cn.com/tousu/show/id/1357656</t>
  </si>
  <si>
    <t>2019/10/13 10:33:22</t>
  </si>
  <si>
    <t>2019年四月开始在上海晓途网络科技有限公司，2，晓途科技是否有金融放贷资质上不可知，是否是违法经营，现又升级根本找不到以前账单说是买保险去保险网站查了压根没有还有最近一次1700强制买430星享包，这能干嘛是能吃能喝还是能看电视现一样公司退还费用。</t>
  </si>
  <si>
    <t>中国移动突然停我的手机号</t>
  </si>
  <si>
    <t>http://ts.21cn.com/tousu/show/id/1357581</t>
  </si>
  <si>
    <t>2019/10/13 10:31:11</t>
  </si>
  <si>
    <t>在昨天下午大概13时左右，中国移动通信突然停了我的手机，导致我不能正常工作，经过播通10086查询得出理由是怀疑我是诈骗电话犯罪份子，我当时马上蒙了，我是一名中国邮政快递员，每天何止上千个电话记录，每个电话都非常重要，每天上百件快递要派送，且要简洁，明朗，难道他们移动公司的员工没有收过快递么，那凭什么定议我是诈骗份子，有什么依据，有公安部门的依据不，没有合法依据，请给我一个合理的解释。</t>
  </si>
  <si>
    <t>平安保险，定损员辱骂客户，在客户不知情的情况下拿走客户东西</t>
  </si>
  <si>
    <t>http://ts.21cn.com/tousu/show/id/1357648</t>
  </si>
  <si>
    <t>2019/10/13 10:30:36</t>
  </si>
  <si>
    <t>10月4日，我车发生剐蹭事故，报报验，达成赔偿协议，定损员从头到尾没有与我取得过联系，以至于前保险杠本该在更换范围，定损成了维修范围，我与4S店取得联系得知情况找定损员理论，无故没骂被恐吓，当日我也有态度不好的地方，但是从头到尾没有辱骂过他，后与平安车险定损部主管向晓波主管取得联系，判定保险杠系更换范畴，10月8号，我去4S店看车，发现已损坏的车灯被保险公司拿走，并寄往广东，故电讯定损员，遭到辱骂。</t>
  </si>
  <si>
    <t>http://ts.21cn.com/tousu/show/id/1357645</t>
  </si>
  <si>
    <t>2019/10/13 10:30:02</t>
  </si>
  <si>
    <t>小花钱包暴力催收，恐吓，骚扰，对本人生活带来严重不便，造成本人重大损失，正常贷款逾期3天之内是正常期限，小花钱包严重骚扰到本人生活，希望平台重视。</t>
  </si>
  <si>
    <t>求你们了，不要在打我亲朋好友的电话了</t>
  </si>
  <si>
    <t>http://ts.21cn.com/tousu/show/id/1357637</t>
  </si>
  <si>
    <t>2019/10/13 10:26:44</t>
  </si>
  <si>
    <t>不要在骚扰我亲朋好友了，你们这样下去我还怎么工作，我拿什么钱还你们，你们这样下去有什么好处。</t>
  </si>
  <si>
    <t>http://ts.21cn.com/tousu/show/id/1357634</t>
  </si>
  <si>
    <t>2019/10/13 10:26:04</t>
  </si>
  <si>
    <t>投诉人韦女士投诉对象众安保险涉诉金额700元问题类型诉求类型投诉详情保险被捆绑销售，本人不知情不现在不认可这份保单，要求全额退款。</t>
  </si>
  <si>
    <t>http://ts.21cn.com/tousu/show/id/1357626</t>
  </si>
  <si>
    <t>2019/10/13 10:23:44</t>
  </si>
  <si>
    <t>骚扰电话太多，基本上半小时一次，没完没了的打。</t>
  </si>
  <si>
    <t>本人没有申请钱站为什么有我的贷款信息</t>
  </si>
  <si>
    <t>http://ts.21cn.com/tousu/show/id/1357623</t>
  </si>
  <si>
    <t>2019/10/13 10:22:59</t>
  </si>
  <si>
    <t>我都没有申请过钱站，为什么联系我说有我的单子，从七月份到现在都三个月了，如果有我的账单为什么不及时联系我。</t>
  </si>
  <si>
    <t>http://ts.21cn.com/tousu/show/id/1357615</t>
  </si>
  <si>
    <t>2019/10/13 10:18:06</t>
  </si>
  <si>
    <t>投诉人 白女士        投诉对象  钱包易贷        涉诉金额  6 000 元    问题类型    诉求类型投诉详情  暴力催收 恐吓我联系亲朋好友 打着长治银行的名义</t>
  </si>
  <si>
    <t>你我贷对我进行骚扰电话</t>
  </si>
  <si>
    <t>http://ts.21cn.com/tousu/show/id/1357612</t>
  </si>
  <si>
    <t>2019/10/13 10:17:30</t>
  </si>
  <si>
    <t>今天收到你我贷公司对我进行的骚扰，以前在平台借过款，后来都已经还了，没有再进行借款，可就在今天10.13日收到该平台对我进行的骚扰，要我再在该平台进行借款，我借助本平台对你我贷进行投诉，希望对其你我贷进行处罚，并且对我道歉，否则我可以上传该通话的视频作为证据，不想该平台对我的生活造成了骚扰，已经严重影响了我正常的生活。</t>
  </si>
  <si>
    <t>微博借钱客服态度恶劣拿家人威胁借款人</t>
  </si>
  <si>
    <t>http://ts.21cn.com/tousu/show/id/1357604</t>
  </si>
  <si>
    <t>2019/10/13 10:14:02</t>
  </si>
  <si>
    <t>本人因身体原因导致还款资金链断掉，无奈出现逾期，与客服协商无果后客服不断通过骚扰通讯录的家人、朋友、同事并向其传达本人有借款逾期事项，在与客服沟通过程中多次表明个人现状并不是不还只是希望能够延期，客服多次扬言“你是借不到是吗，”，已经给我的工作、生活带来极大的影响，望有关部门能够协调处理！。</t>
  </si>
  <si>
    <t>http://ts.21cn.com/tousu/show/id/1357601</t>
  </si>
  <si>
    <t>2019/10/13 10:13:35</t>
  </si>
  <si>
    <t>立借平台套牌公司进行高利贷套路贷来诓骗无知青年，高额砍头息费高额利息，超过国家规定借款利率并且进行套路，分期12期直接前3期收取全部本金以及利息，并且侵犯个人隐私，严重骚扰本人日常生活，暴力催收，威胁恐吓本人，根据《最高人民法院关于审理民间借贷案件适用法律若干问题的规定》：第二十六条，借贷双方约定的利率未超过年利率24%，出借人请求借款人按照约定的利率支付利息的，人民法院应予支持，借款人请求出借人返还已支付的超过年利率36%部分的利息的，人民法院应予支持。</t>
  </si>
  <si>
    <t>http://ts.21cn.com/tousu/show/id/1357592</t>
  </si>
  <si>
    <t>2019/10/13 10:09:41</t>
  </si>
  <si>
    <t>本人广发信用卡逾期三天，忘记还款，催收人员直接未经本人同意骚扰本人联系人。</t>
  </si>
  <si>
    <t>平安普惠软暴力催收黑社会</t>
  </si>
  <si>
    <t>http://ts.21cn.com/tousu/show/id/1357579</t>
  </si>
  <si>
    <t>2019/10/13 10:05:50</t>
  </si>
  <si>
    <t>暴力催收部软暴力，通过各种渠道进行骚扰威胁，黑社会性质严重。</t>
  </si>
  <si>
    <t>有意愿还款，并于年前结清欠款</t>
  </si>
  <si>
    <t>http://ts.21cn.com/tousu/show/id/1357570</t>
  </si>
  <si>
    <t>2019/10/13 10:00:29</t>
  </si>
  <si>
    <t>投诉人 吴先生        投诉对象  爱又米        涉诉金额  2 300 元    问题类型    诉求类型投诉详情  本人于大学期间使用爱又米。到现在有好几年了。并一直还款良好。上个月由于本人原因，资金周转不开。逾期了。一直与爱又米工作人员和爱又米法务部协商。还款压力过大表示愿意还款一部分。剩下欠款愿意年前结清。爱又米法务部门不愿意协商还款。并发邮箱骚扰</t>
  </si>
  <si>
    <t>暴力、威胁催收</t>
  </si>
  <si>
    <t>http://ts.21cn.com/tousu/show/id/1357568</t>
  </si>
  <si>
    <t>2019/10/13 09:59:03</t>
  </si>
  <si>
    <t>确实因为家里原因导致产生逾期，刚刚催收员联系我让我十二点之前还款不然爆通讯录，并且跟我说我的案件已经外包催收了，也就是说我的信息已经给了外面的催收部分，而且我接了电话为什么就没办法协商而要爆我通讯录，直接无视法律法规。</t>
  </si>
  <si>
    <t>http://ts.21cn.com/tousu/show/id/1357557</t>
  </si>
  <si>
    <t>2019/10/13 09:52:47</t>
  </si>
  <si>
    <t>王者钱包2019年十月9号借款1240元，13号还款2008元，高利贷。</t>
  </si>
  <si>
    <t>暴力催收，扭曲事实，对做过的事不承认</t>
  </si>
  <si>
    <t>http://ts.21cn.com/tousu/show/id/1357551</t>
  </si>
  <si>
    <t>2019/10/13 09:50:59</t>
  </si>
  <si>
    <t>小象优品，逾期两天就开始爆通讯录，各种恐吓威胁，骚扰，对他们自己做的事从来都不承认希望有关部门严格调查，态度恶劣，对他们自己做的事从来都不承认，希望有关部门严格调查。</t>
  </si>
  <si>
    <t>米米罐砍头息套路贷恶意骚扰</t>
  </si>
  <si>
    <t>http://ts.21cn.com/tousu/show/id/1357549</t>
  </si>
  <si>
    <t>2019/10/13 09:50:52</t>
  </si>
  <si>
    <t>米米罐变相收取以会员费名义的砍头利息，借款3000收取887会员费用，借款一个月要还4006.83，如此高的利息远远高于国家法律规定的利息，威逼顾客不断骚扰通讯录家人朋友，恐吓我，在国家如此严打套路贷黑恶势力下还如此嚣张跋扈真是无饿不做，希望有关部门管管，严惩这些坏蛋，还老百姓一片安宁，米米罐暴力催收已经严重影响到我生活，侮辱恐吓我家人，对本人和无辜人员造成非常恶劣影响。</t>
  </si>
  <si>
    <t>公司拖欠工资半个月</t>
  </si>
  <si>
    <t>http://ts.21cn.com/tousu/show/id/1357546</t>
  </si>
  <si>
    <t>2019/10/13 09:49:38</t>
  </si>
  <si>
    <t>作为饿了么代理商，拖欠工资半个月，站点领导一直欺骗员工，要求马上发放工资。</t>
  </si>
  <si>
    <t>网贷未下款就生成还款账单说银行卡不准确</t>
  </si>
  <si>
    <t>http://ts.21cn.com/tousu/show/id/1357535</t>
  </si>
  <si>
    <t>2019/10/13 09:46:54</t>
  </si>
  <si>
    <t>我昨天接到电话问我最近是否需要资金周转，然后我说对，他让我加个QQ然后联系，让我审核提交的时候给他说声，好像是给他说了以后就成功了，我提现的时候短信发过来说我信息有误，我问易信那个人怎么回事，他说让我看下资料是不是填错了让我一个一个核对，我就去看了，结果银行卡有一位数字不对，但是填写的时候是正确的，他让我给他发身份证正反面和银行卡正反面加人拿身份证照片一张，还款账单也已经生成，我说如果我不需要的话是不是这个订单就可以取消了，人家说不行，你要是不办的话到时候还款就行，但是我没有收到转账就要还款嘛。</t>
  </si>
  <si>
    <t>还不了款</t>
  </si>
  <si>
    <t>http://ts.21cn.com/tousu/show/id/1357538</t>
  </si>
  <si>
    <t>2019/10/13 09:46:24</t>
  </si>
  <si>
    <t>软件不能还款，一直逾期，帮忙解决一下，谢谢。</t>
  </si>
  <si>
    <t>民生银行信用卡催收</t>
  </si>
  <si>
    <t>http://ts.21cn.com/tousu/show/id/1357527</t>
  </si>
  <si>
    <t>2019/10/13 09:40:15</t>
  </si>
  <si>
    <t>投诉人李先生投诉对象民生银行信用卡涉诉金额10000元问题类型诉求类型投诉详情因为近期信用卡被盗刷造和被系列网贷套路贷成严重的经济损失，以致造成民生信用卡被单方面停用后造成逾期，其后该银行不住骚扰通信录的亲朋好友，造成严重的侵害和伤害，加上去年12月份下岗失业和糖尿病的加重以及左腿粉碎性骨折加重了经济的匮乏和承担。</t>
  </si>
  <si>
    <t>闪豆借款，态度强硬，不让协商</t>
  </si>
  <si>
    <t>http://ts.21cn.com/tousu/show/id/1357524</t>
  </si>
  <si>
    <t>2019/10/13 09:38:36</t>
  </si>
  <si>
    <t>我想申请延期还款，客服不同意，告诉我后果自负。</t>
  </si>
  <si>
    <t>钱伴高利贷，收取高额服务费与合同不符</t>
  </si>
  <si>
    <t>http://ts.21cn.com/tousu/show/id/1357516</t>
  </si>
  <si>
    <t>2019/10/13 09:35:56</t>
  </si>
  <si>
    <t>本人于8月17日在钱伴app申请了一笔4000元的借款，这期查询账单还款发现借款4元12个月需要还款5436，跟我说每期还款453.33其中31元为利息，国家规定的借款除去利息以外不得违规收取借款服务费以及保险，现要求给出合理解释并免除服务费办理结清全部欠款，请尽快联系本人，本人白天上班，最好中午12点后或者下午5点后联系。</t>
  </si>
  <si>
    <t>闪电借款退款</t>
  </si>
  <si>
    <t>http://ts.21cn.com/tousu/show/id/1357513</t>
  </si>
  <si>
    <t>2019/10/13 09:34:58</t>
  </si>
  <si>
    <t>本人卡号62****************9。</t>
  </si>
  <si>
    <t>在当地商场买的海尔冰箱刚过保修期就坏了</t>
  </si>
  <si>
    <t>http://ts.21cn.com/tousu/show/id/1357505</t>
  </si>
  <si>
    <t>2019/10/13 09:32:53</t>
  </si>
  <si>
    <t>我在当地商场花了2777元买的海尔冰箱，开票时间刚过保修期5个月，，冰箱坏掉了，造成我冰箱内东西坏掉50%，打客服来维修，我还要求赔偿，结果他们说已经过了保修期，这质量也太差了，之前用的冰箱9年多也没有出过故障。</t>
  </si>
  <si>
    <t>闪银瞬瞬申请延期还款</t>
  </si>
  <si>
    <t>http://ts.21cn.com/tousu/show/id/1357502</t>
  </si>
  <si>
    <t>2019/10/13 09:32:08</t>
  </si>
  <si>
    <t>客服不同，瞬瞬有169的砍头息，我有意向还款，客服态度还很强硬，告诉我后果自负。</t>
  </si>
  <si>
    <t>易宝支付随意扣款</t>
  </si>
  <si>
    <t>http://ts.21cn.com/tousu/show/id/1357490</t>
  </si>
  <si>
    <t>2019/10/13 09:26:08</t>
  </si>
  <si>
    <t>本人中国银行卡里被易宝支付扣款一百元，联系过易宝支付客服三次，仍然没有得到解决，。</t>
  </si>
  <si>
    <t>http://ts.21cn.com/tousu/show/id/1357482</t>
  </si>
  <si>
    <t>2019/10/13 09:24:41</t>
  </si>
  <si>
    <t>逾期一天费用130元，我还不知道为什么这么高，花399买了黑卡。</t>
  </si>
  <si>
    <t>众安保险在不知情的情况下捆绑销售</t>
  </si>
  <si>
    <t>http://ts.21cn.com/tousu/show/id/1357471</t>
  </si>
  <si>
    <t>2019/10/13 09:17:16</t>
  </si>
  <si>
    <t>在本人不知情的情况下，与深圳市小赢普惠科技有限责任公司旗下的小赢卡贷捆绑搭售该公司名下的保险产品，经事后查询，小赢卡贷在本人不知情的情况下以我的名义进行投保，并且保单上并没有我本人的签字许可，截止到目前为止，也没有任何相关部门和人员以电话，短信，邮寄纸质保单等方式通知我，众安保险公司的行为已经严重损害了我的自主选择权和公平交易权等合法权益，在一定程度上构成了违法行为，请各位领导进行核查并受理我的举报投诉！谢谢！。</t>
  </si>
  <si>
    <t>http://ts.21cn.com/tousu/show/id/1357469</t>
  </si>
  <si>
    <t>2019/10/13 09:15:29</t>
  </si>
  <si>
    <t>宝付网络科技上海有限公司偷偷扣走我账上资金。</t>
  </si>
  <si>
    <t>qq钱包被冻结了，里面还有钱取不出来</t>
  </si>
  <si>
    <t>http://ts.21cn.com/tousu/show/id/1357460</t>
  </si>
  <si>
    <t>2019/10/13 09:11:19</t>
  </si>
  <si>
    <t>qq钱包被永久冻结，打电话给客服，客服说我参与赌博，可是我没有赌博，把我钱包冻结，里面钱也取不出来，这钱是我的助学基金，真的很着急，希望帮我解除冻结，让我取出来钱。</t>
  </si>
  <si>
    <t>交通银行信用卡多复利收取利息，</t>
  </si>
  <si>
    <t>http://ts.21cn.com/tousu/show/id/1357458</t>
  </si>
  <si>
    <t>2019/10/13 09:10:54</t>
  </si>
  <si>
    <t>用卡申请有70000的好享贷额度，分24期偿还，与该卡18000的信用卡额度在同一张信用卡上，欠款共计88000，从所有欠款使用至今，共偿还202334.1，刷卡消费115698.1，余96636，也就是实际偿还进该卡的金额为96636，所有本金欠款已全部还清，此金额与交通，银行信用卡法务部工作人员曾经理有核对过，并有电话录音，可是目前信用卡账单显示还有32838.55总欠款，并且每个月还会产生两千多的罚息，此事件严重影响我的正常生活，在此账单产生期间，因为个人资金链断链问题，已将名下房子，家里车子全部变卖</t>
  </si>
  <si>
    <t>恒易贷当日还款依旧逾期</t>
  </si>
  <si>
    <t>http://ts.21cn.com/tousu/show/id/1357447</t>
  </si>
  <si>
    <t>2019/10/13 09:02:57</t>
  </si>
  <si>
    <t>每月12日是还款日，当天因为资金问题在晚上十一点才还款，结果还是算逾期，多了逾期利息111.39元和催收费100元，还有罚息0.86元。</t>
  </si>
  <si>
    <t>玖富万卡阴阳合同</t>
  </si>
  <si>
    <t>http://ts.21cn.com/tousu/show/id/1357439</t>
  </si>
  <si>
    <t>2019/10/13 08:52:02</t>
  </si>
  <si>
    <t>接着扣除保险费1200元、我一看合同就是阴阳合同，家里急需要用钱，谁会再花1200元买保险费，要求退回保险费1200.或者更改还款金额，现在分12期还款，一期还452.82元。</t>
  </si>
  <si>
    <t>滴水贷糸统扣款失败手动还款还不上造成自己逾期</t>
  </si>
  <si>
    <t>http://ts.21cn.com/tousu/show/id/1357436</t>
  </si>
  <si>
    <t>2019/10/13 08:51:07</t>
  </si>
  <si>
    <t>投诉人 杨先生        投诉对象  滴滴金融滴水贷        涉诉金额  850 元    问题类型    诉求类型投诉详情  滴水贷糸统扣款失败，手动还款失败造成逾期</t>
  </si>
  <si>
    <t>山东高速etc乱扣费</t>
  </si>
  <si>
    <t>http://ts.21cn.com/tousu/show/id/1357428</t>
  </si>
  <si>
    <t>2019/10/13 08:46:28</t>
  </si>
  <si>
    <t>2019年9月8日20点42分，我的支付宝花呗被山东高速etc无故扣走57.57元，打客服一直没回应，一个多月了，查个账单这么难吗。</t>
  </si>
  <si>
    <t>被小通商城莫名扣款</t>
  </si>
  <si>
    <t>http://ts.21cn.com/tousu/show/id/1357425</t>
  </si>
  <si>
    <t>2019/10/13 08:44:01</t>
  </si>
  <si>
    <t>10月12日晚，20.12分，正在陪孩子锻炼，突然收到中国银行微银行的信息，有两笔扣款，一笔468.52元，一笔348.16元，对方账户是，当即蒙了，随即打电话给中国银行电话客服，客服说，先打114查询小通商城客服电话，查询扣款原因，而我在网上所有的交易，都是有记录的，小通商城是什么鬼。</t>
  </si>
  <si>
    <t>吉子棋牌提现之后就封号</t>
  </si>
  <si>
    <t>http://ts.21cn.com/tousu/show/id/1357417</t>
  </si>
  <si>
    <t>2019/10/13 08:38:38</t>
  </si>
  <si>
    <t>投诉人薛先生投诉对象吉子棋牌涉诉金额10500元问题类型诉求类型投诉详情来回充值了一万多块钱，好不容易赢回来4700，然后在里面玩炸金花，红黑等等游戏，今天想着要用钱就申请提现，刚开始好好的，两分钟之后说账号异常，永久封禁，清空账号的所有钱财。</t>
  </si>
  <si>
    <t>贷款服务费不合理，高利贷，催收超过三次以上</t>
  </si>
  <si>
    <t>http://ts.21cn.com/tousu/show/id/1357414</t>
  </si>
  <si>
    <t>2019/10/13 08:35:41</t>
  </si>
  <si>
    <t>本人在你我贷借6000元，分期12个月，他的这个产品借款之前写明综合借款费率35.95%，当我成功借款之后发现，他的借款费率，已经达到40.8%，，服务平台费540元，9%，贷后服务费1260元，21%，贷款年利率10.8%，，还有，而且逾期一天费用达到520之多，逾期后的第二天，催收员一天给我打电话打啦最少6个电话以上，我现在严重怀疑，他们用阴阳合同，来诱导我来借款行为。</t>
  </si>
  <si>
    <t>安吉椅研堂家居有限公司出售问题竹篱笆栅栏碳化竹虚假宣传欺诈</t>
  </si>
  <si>
    <t>http://ts.21cn.com/tousu/show/id/1357406</t>
  </si>
  <si>
    <t>2019/10/13 08:29:22</t>
  </si>
  <si>
    <t>投诉人朱先生投诉对象安吉椅研堂家居有限公司,春晓竹业,彭晓春_007涉诉金额400元问题类型诉求类型投诉详情淘宝店铺春晓竹业掌柜：彭晓春_007公司：安吉椅研堂家居有限公司，本人购买竹篱笆栅栏碳化竹高1.5*宽22张高1.62*宽11张共3张，1.未按约定送到门口，导致花了40请人搬至门口，2.实物与描述严重不符，描述图片每根竹子粗细基本一致，根据固定脚图片，每根竹子直径接近3.5cm,实际上，宽1米这张绝大部分是3.5基本问题不大，另外两张2米的大量1.5-2cm竹子组成，严重不符，以次充好，3.购买没几</t>
  </si>
  <si>
    <t>http://ts.21cn.com/tousu/show/id/1357403</t>
  </si>
  <si>
    <t>2019/10/13 08:25:25</t>
  </si>
  <si>
    <t>钱伴使用app名义，让用户同多个私人签订借款协议。</t>
  </si>
  <si>
    <t>虚标借款金额</t>
  </si>
  <si>
    <t>http://ts.21cn.com/tousu/show/id/1357394</t>
  </si>
  <si>
    <t>2019/10/13 08:13:07</t>
  </si>
  <si>
    <t>借款合同是1330元，实际到账一千元，分期三个月，一月还款653.64，借款时候并看不到每月还多少，这个利息太高了，要求修改利息。</t>
  </si>
  <si>
    <t>闪银协商还款</t>
  </si>
  <si>
    <t>http://ts.21cn.com/tousu/show/id/1357391</t>
  </si>
  <si>
    <t>2019/10/13 08:05:19</t>
  </si>
  <si>
    <t>在闪银闪贷借款，逾期了3天，从2016年用到现在一直还款良好，这两天遇到点事，孩子早产40天，借了很多钱，不好再借了，协商闪银再给一天时间。</t>
  </si>
  <si>
    <t>砍头息，高额利息</t>
  </si>
  <si>
    <t>http://ts.21cn.com/tousu/show/id/1357380</t>
  </si>
  <si>
    <t>2019/10/13 07:52:38</t>
  </si>
  <si>
    <t>投诉人夏先生投诉对象展鸿科技涉诉金额3500元问题类型诉求类型投诉详情希望聚投诉平台能联系到呗呗分期，，本人已续期多次，已远远超过本金，今天又是还款日，催收人员不会给协商的，今天我真能无力还款，希望平台能联系协商解决问题。</t>
  </si>
  <si>
    <t>私自扣费</t>
  </si>
  <si>
    <t>http://ts.21cn.com/tousu/show/id/1357383</t>
  </si>
  <si>
    <t>2019/10/13 07:52:21</t>
  </si>
  <si>
    <t>本人9月23日下载了飞行钱包贷款，因资料不符没有贷成，然后我就卸载了飞行钱包，没想到他们今天私自扣了我银行卡上198元，我现在不想贷了，就想请他们退款。</t>
  </si>
  <si>
    <t>维新闪贷高额利息</t>
  </si>
  <si>
    <t>http://ts.21cn.com/tousu/show/id/1357372</t>
  </si>
  <si>
    <t>2019/10/13 07:23:56</t>
  </si>
  <si>
    <t>第一，存在砍头息图一所示，放款后立马扣除899的费用，第二，在我本人核算利息后明确跟贷款推销员说不做这笔单子，平台显示电话联系我，隔天直接放款，图二所示，第三，利息超过36%，借款实际金额只有9100，按一万处理，分六期，每期还2056.67！利息高的吓人，投诉对象，恶意下款，砍头息，下款中介人强收中介费。</t>
  </si>
  <si>
    <t>深圳市小牛普惠投资有限公司恶意催收</t>
  </si>
  <si>
    <t>http://ts.21cn.com/tousu/show/id/1357361</t>
  </si>
  <si>
    <t>2019/10/13 07:14:09</t>
  </si>
  <si>
    <t>小牛家因为逾期了两次强制取消了分期资格，之后就不断要求一次性或者一次支付几个月的款项，不达到要求就开始找第三方进行恐吓催收，给家里老人打电话恐吓，给自己打电话发微信恐吓！而且之前有客服承诺再还一万就可以结清，现在却说名额没有了，必须偿还所有欠款，不然就上门催收，让看看他们的手段！让我们家好好装修装修！强烈要求他们停止骚扰！进行道歉，并且按着之前的承诺调整还款金额！请平台帮帮我，我也是被朋友骗了，目前拿不出钱来，案子已经在立案阶段！。</t>
  </si>
  <si>
    <t>扣分太草率不认真核实</t>
  </si>
  <si>
    <t>http://ts.21cn.com/tousu/show/id/1357359</t>
  </si>
  <si>
    <t>2019/10/13 07:12:58</t>
  </si>
  <si>
    <t>投诉原因是我做为一个滴滴司机被扣分问题，这个单的情况是“我车停在凤凰湖停车场”系统提示我有单我发动车子要出停车场，因为是周末，又是下午7点过，来凤凰湖跳广场舞的人多车也多故把我堵在了停车场出不去，乘客有电话联系我不过因为已经发动车子，车子已经在一个小坡上故为了安全没有及时接听乘客电话，然后乘客就取消了订单，系统判定我的责任，被扣服务分了，我想说的是我一天在线12个小时，一天三个单的时候我也在坚持，决定不会说是故意不去接乘客，平台也是直接判定责任没有电话核实，关键我已经申诉一次失败了，二次申诉系统提示17号前</t>
  </si>
  <si>
    <t>开店宝支付服务有限公司随意上调直签代理后台结算价，随意上调客户费率</t>
  </si>
  <si>
    <t>http://ts.21cn.com/tousu/show/id/1357350</t>
  </si>
  <si>
    <t>2019/10/13 06:00:36</t>
  </si>
  <si>
    <t>开店宝,即付宝,开店宝支付,浙江即富金融数据处理有限公司，！是浙江即富金融数据处理公司旗下公司！此次投诉主要针对，2018年9月该公司以费改为由随意更改本公司后台结算价，以及客户结算价！造成本公司很大的损失！据得到的信息！该旗下的同类产品pos并未都改成0.68加3！却对本公司后台的产品统一上调，此行为完成侵犯本公司的权利！并作为直签合同的我！公司负责人未收到该公司负责人的通道！及变更后的合同！。</t>
  </si>
  <si>
    <t>拼多多强制取消退货补贴</t>
  </si>
  <si>
    <t>http://ts.21cn.com/tousu/show/id/1357348</t>
  </si>
  <si>
    <t>2019/10/13 05:43:40</t>
  </si>
  <si>
    <t>投诉人 要女士        投诉对象  拼多多        涉诉金额  116 元    问题类型    诉求类型投诉详情  拼多多玩文字套路，恶意取消运费补贴。以前主页显示了运费补贴就有。现在就是平台取消。不知情的情况下凭什么取消。欺骗消费者。</t>
  </si>
  <si>
    <t>自动还款不知道还的是什么</t>
  </si>
  <si>
    <t>http://ts.21cn.com/tousu/show/id/1357346</t>
  </si>
  <si>
    <t>2019/10/13 05:26:34</t>
  </si>
  <si>
    <t>投诉人 牛先生        投诉对象  翼支付        涉诉金额  79 元    问题类型    诉求类型投诉详情  自动还款，我不知道还的是什么款 我也在翼支付消费 翼支付里也没有账单 不知道还的什么款</t>
  </si>
  <si>
    <t>随意打标微信，说我是狐狸</t>
  </si>
  <si>
    <t>http://ts.21cn.com/tousu/show/id/1357345</t>
  </si>
  <si>
    <t>2019/10/13 05:06:52</t>
  </si>
  <si>
    <t>投诉人 吴女士        投诉对象  创客工具箱        涉诉金额  0 元    问题类型    诉求类型投诉详情  .在我不知道的情况下，微信被人打标成狐狸。别人认为我是骗子。创客照妖镜公司审核了吗，调查了吗？为什么给我打标？严重影响本人信誉，希望尽快回复</t>
  </si>
  <si>
    <t>不给退押金！虚假违章！态度差！</t>
  </si>
  <si>
    <t>http://ts.21cn.com/tousu/show/id/1357343</t>
  </si>
  <si>
    <t>2019/10/13 05:02:50</t>
  </si>
  <si>
    <t>虚假违章！车停到指定位置以后还完车再也没动过，客服态度极差！人工客服给的手机号根本打不通！。</t>
  </si>
  <si>
    <t>壹心分期还款日苹果app打不开</t>
  </si>
  <si>
    <t>http://ts.21cn.com/tousu/show/id/1357339</t>
  </si>
  <si>
    <t>2019/10/13 04:42:10</t>
  </si>
  <si>
    <t>今天还款日到啦，app打不开了，我可不想逾期啊，白天上班接不了电话，app下载链接发个短信或者加我微信发给我，下午三点前我会处理并结案谢谢。</t>
  </si>
  <si>
    <t>苏宁易购老顾客答谢会被忽悠购买惠而浦净水器</t>
  </si>
  <si>
    <t>http://ts.21cn.com/tousu/show/id/1357337</t>
  </si>
  <si>
    <t>2019/10/13 04:34:36</t>
  </si>
  <si>
    <t>本人10月12日受邀参加苏宁易购湛江万达店老顾客答谢活动，活动中销售员推广一款苏宁易购准备在今年元旦新上架的惠而浦净水器，型号为R75J30，本人成为该产品上市前的“体验客户”，并能体验价格3980元购买一台该产品，可是成交后本人在苏宁易购网络自营店里发现该产品早在2018年就有了购买使用评价记录，所以该产品与推广活动中销售员所描述的严重不符，所以本人提出要求退货退款要求。</t>
  </si>
  <si>
    <t>http://ts.21cn.com/tousu/show/id/1357335</t>
  </si>
  <si>
    <t>2019/10/13 04:28:02</t>
  </si>
  <si>
    <t>本人因为近期母亲生病辞职在家照顾，无能力还款，之前有一直跟来分期协商请求给予一定的时间，来分期一直强硬不予协商，爆了我的通讯录，催收人员言语激烈，像打鸡血一样的朝我打电话威胁恐吓我还款，本人强烈要求来分期就催收人员的暴力恐吓催收行为给予说法，本人将就来分期的暴力催收行为像来分期总部的监管部门投诉。</t>
  </si>
  <si>
    <t>714违法贷款平台请还钱</t>
  </si>
  <si>
    <t>http://ts.21cn.com/tousu/show/id/1357334</t>
  </si>
  <si>
    <t>2019/10/13 04:25:19</t>
  </si>
  <si>
    <t>本人于2019年10月8号在王者钱包平台贷款，贷款金额1550元，但是要求七天还款，并且要收取961元利息，这是个违法的高利贷平台，2019年10月12号下午，我还款了2551元，这是高利贷我不接受，希望可以退钱，并对相关平台作出惩罚！。</t>
  </si>
  <si>
    <t>涉嫌虚假合同，隐瞒客户，</t>
  </si>
  <si>
    <t>http://ts.21cn.com/tousu/show/id/1357332</t>
  </si>
  <si>
    <t>2019/10/13 04:13:39</t>
  </si>
  <si>
    <t>本人于2019年10月12日由于手机短信误导，这个公司借款的时候叫你签一份借款合同才能进行提现，当我签完合同之后就发现那合同上写了要交本金30000元的0.8%工本费共计2400元才能给我放款。</t>
  </si>
  <si>
    <t>销账，提供结清证明，撤销问题征信</t>
  </si>
  <si>
    <t>http://ts.21cn.com/tousu/show/id/1357331</t>
  </si>
  <si>
    <t>2019/10/13 04:12:01</t>
  </si>
  <si>
    <t>利息太高，还不起，求个能还清本金销账，撤销问题征信就行。</t>
  </si>
  <si>
    <t>拍拍贷恐吓</t>
  </si>
  <si>
    <t>http://ts.21cn.com/tousu/show/id/1357329</t>
  </si>
  <si>
    <t>2019/10/13 04:09:14</t>
  </si>
  <si>
    <t>若不还款就群发手持身份证照片给亲朋好友，这样的行为严重侵犯了我的隐私权和肖像权，无视了国家法律，恐吓。</t>
  </si>
  <si>
    <t>尚德机构拖延退费</t>
  </si>
  <si>
    <t>http://ts.21cn.com/tousu/show/id/1357328</t>
  </si>
  <si>
    <t>2019/10/13 04:04:24</t>
  </si>
  <si>
    <t>尚德机构虚假宣传，谎称政策改革自考报名截止，在不报名以后就没机会了，补录名额，可无息分期，首付仅需748，而且课程轻松，时间自由，考前会有备考资料，欺诱我报名，报名后才得知上半年自考报名已经截止，只能耽误小半年时间静等下半年自考，结果与宣传完全不符，课程安排紧凑，期间咨询过退费，以已经过了24小时无特殊情况不予退费，后经历了从报名_上课_冻结课程_强烈要求退学，期间不到一年时间，然后从申请退学到现在又经历十个月，退费时间一直推延，从一开始承诺的五月份退款，拖延的六月，七月，八月又从八月一下推到十一月底，我每</t>
  </si>
  <si>
    <t>http://ts.21cn.com/tousu/show/id/1357324</t>
  </si>
  <si>
    <t>2019/10/13 03:50:06</t>
  </si>
  <si>
    <t>本人是学生，四月份在拍拍贷平台借款6000元，已还6期，，父母一个月才给1000的生活费，有一半都用在还款上了，看了平台首页上明确指出不向学生借款，却违反规定，还收取高昂的利息，我借款6000,一共要还款8000多，分期12个月，每月还667.79，我都还了6期金额4000多，到现在也就是说差不多还的全是利息，本身平台借款给学生就是错误，请平台按照实际待还剩余本金还款。</t>
  </si>
  <si>
    <t>上海澳博汇融套路贷</t>
  </si>
  <si>
    <t>http://ts.21cn.com/tousu/show/id/1357323</t>
  </si>
  <si>
    <t>2019/10/13 03:46:55</t>
  </si>
  <si>
    <t>我想提前还款，然后几家公司相互踢皮球，不给具体金融，不寄绿本，打电话给客服也没有人接.。</t>
  </si>
  <si>
    <t>恒易贷系统问题导致扣款失败，利息要100</t>
  </si>
  <si>
    <t>http://ts.21cn.com/tousu/show/id/1357320</t>
  </si>
  <si>
    <t>2019/10/13 03:34:16</t>
  </si>
  <si>
    <t>恒易贷自己不扣款，导致我逾期，一天利息要100，希望有关部门能管一下，而且是高利贷，。</t>
  </si>
  <si>
    <t>滴滴出行收取高额费用不办事</t>
  </si>
  <si>
    <t>http://ts.21cn.com/tousu/show/id/1357318</t>
  </si>
  <si>
    <t>2019/10/13 03:26:38</t>
  </si>
  <si>
    <t>自从实行灭绝人性的倾斜派单之后，现在一个半小时一单已经是家常便饭，严重的限制服务分限制派单，造成当地多数司机之间打架斗殴，各种违法车顶灯随处可见，骗取多数人买电瓶车做什么合规司机，谋取暴利，希相关部门严查，本人也真心祝愿平台早日关门大吉，其实离那天也不远了，现在越来越多人用车更愿意出租车，年轻人是消费的主体，谁愿意打个破电瓶车里面坐着个猥琐的中老年男子呢。</t>
  </si>
  <si>
    <t>携趣网络技术上海有限公司乱扣费</t>
  </si>
  <si>
    <t>http://ts.21cn.com/tousu/show/id/1357317</t>
  </si>
  <si>
    <t>2019/10/13 03:25:59</t>
  </si>
  <si>
    <t>携趣网络技术上海有限公司,通联支付,易小借,造艺技术,通联沪快，2019年10月3号下午13点25分左右，提示银行卡被扣了296元，我都莫名其妙，卡里没钱的时候怎么不提示会扣款，钱到账了，就滑扣走了，别人打得货款，还以为我做了什么手脚，点开看了卡片快捷支付是通联支付划扣的，我都不知道什么时候跟你签订的免密合同。</t>
  </si>
  <si>
    <t>来分期持续暴力催收不予协商</t>
  </si>
  <si>
    <t>http://ts.21cn.com/tousu/show/id/1357315</t>
  </si>
  <si>
    <t>2019/10/13 03:22:02</t>
  </si>
  <si>
    <t>本人因资金周转在来分期借款几千元，近期因为家庭变故，失业，之前有与平台沟通，近期该平台客服频繁拨打我电话，强硬不予沟通，言语威胁，本人多次打客服电话请求协商，工作后第一时间有收入就把这个钱还掉，但是他们一直不与你沟通，到处乱打电话，言语威胁。</t>
  </si>
  <si>
    <t>小米官网申请返厂维修，小米把维修给了外包公司，外包公司再分配给了外包，损坏我的手机。</t>
  </si>
  <si>
    <t>http://ts.21cn.com/tousu/show/id/1357312</t>
  </si>
  <si>
    <t>2019/10/13 03:18:30</t>
  </si>
  <si>
    <t>本人的手机在小米官网购买的，在保修期内出现卡在开机页面，关机关不了开机也开不了，在2019年9月15号联系了小米官网客服，小米官网客服说返厂维修，然后小米叫了京东快递上门取件，服务单详情显示的是深圳丰修科技有限公司服务的，结果给我维修的是顺丰深圳维修中心，18号修好寄回来，手机imei显示无效，在小米官网查不到这个手机，联系了几天，没有一个客服有一一点专业，一直说可以查的到，但我查不到，其中一个客服说查的到，我说查不到，然后这个客服直接挂了我电话，他们把我手机换了主板，没有告诉我新的imei和sn，浪费了我</t>
  </si>
  <si>
    <t>收了钱不帮修车</t>
  </si>
  <si>
    <t>http://ts.21cn.com/tousu/show/id/1357310</t>
  </si>
  <si>
    <t>2019/10/13 03:06:41</t>
  </si>
  <si>
    <t>给了钱不帮我修车，收那么多钱都修不好，又不肯帮换原厂正品零件。</t>
  </si>
  <si>
    <t>来分期大额订单无法提前还款</t>
  </si>
  <si>
    <t>http://ts.21cn.com/tousu/show/id/1357307</t>
  </si>
  <si>
    <t>2019/10/13 02:56:03</t>
  </si>
  <si>
    <t>来分期大额订单无法提前还清，利息也提前收了，都无法提前还清，要求大额订单开启提前还款通道。</t>
  </si>
  <si>
    <t>发短信威胁我是被执行人</t>
  </si>
  <si>
    <t>http://ts.21cn.com/tousu/show/id/1357306</t>
  </si>
  <si>
    <t>2019/10/13 02:51:49</t>
  </si>
  <si>
    <t>期间不停的换陌生手机号发短信骚扰及恐吓和电话骚扰，发短信说我是被执行人，给我造成很大的心理阴影，我没有接到法院的传票和审判，招联金融说我是被执行人来恐吓我！，备注:逾期我承认，也一直有努力工作在还款，没有一笔超过90天以上逾期，招联金融各种骚扰恐吓。</t>
  </si>
  <si>
    <t>无故扣款要求退款</t>
  </si>
  <si>
    <t>http://ts.21cn.com/tousu/show/id/1357304</t>
  </si>
  <si>
    <t>2019/10/13 02:43:44</t>
  </si>
  <si>
    <t>在不知情的情况下钱全部被盗刷完而且我自己没有任何消费。</t>
  </si>
  <si>
    <t>松紧带砍头息高利息</t>
  </si>
  <si>
    <t>http://ts.21cn.com/tousu/show/id/1357302</t>
  </si>
  <si>
    <t>2019/10/13 02:42:12</t>
  </si>
  <si>
    <t>砍头息，利息高出国家规定，高利贷预期一天50手续费，要求对方退换砍头息与多余的利息。</t>
  </si>
  <si>
    <t>你我金融7天高利贷</t>
  </si>
  <si>
    <t>http://ts.21cn.com/tousu/show/id/1357299</t>
  </si>
  <si>
    <t>2019/10/13 02:40:54</t>
  </si>
  <si>
    <t>你我云贷7天高利贷，远超法定利率，请立即退款，之前一直在忙着跟其他家打官司，这次忙完轮到你家，退钱。</t>
  </si>
  <si>
    <t>http://ts.21cn.com/tousu/show/id/1357298</t>
  </si>
  <si>
    <t>2019/10/13 02:40:51</t>
  </si>
  <si>
    <t>51人品贷，我想让你们解释一下，每期625.96的服务费是怎么回事，还了两年合计还款服务费625.96*24=15023.04，扣去一个月协商还款给我减免了服务费，线下还款就是无止境的等，当期账单过了很久才消，但后期催收说我逾期了几十天，暂且说你们的利息合法，我不去最久，还有就是那两年的安心计划保障费！我在借款的时候你们只字未提这些啊！24期每期310*24=7440.安心计划，你让我怎么安心！！除了每期还的本金及利息之外还有额外费用：服务费。</t>
  </si>
  <si>
    <t>苹果id被盗刷苹果拒绝追回被盗款项</t>
  </si>
  <si>
    <t>http://ts.21cn.com/tousu/show/id/1357301</t>
  </si>
  <si>
    <t>2019/10/13 02:40:50</t>
  </si>
  <si>
    <t>我于10月10号下午六点收到微信提示多笔扣款失败的通知，手机短信收到多笔app，意识到ID可能被盗，紧急解绑了所有免密支付，但是支付宝花呗还是被刷掉了1700多，支付宝风控取消了多笔异常交易，微信被刷掉108，抖币，第一时间联系了苹果公司，苹果公司告知系统提交审核失败，并联系了支付宝，支付宝告知苹果免密支付由苹果代扣扣走，支付宝无法挽回，本人多次联系苹果公司，均已无法通过系统审核拒绝对被盗刷款项追回，当要求对登陆记录进行查询及对这几笔被盗刷交易人工审核，均已无权限拒绝，联系抖音电话客服一直无法接听，发送邮件</t>
  </si>
  <si>
    <t>爆力催收，爆通讯录</t>
  </si>
  <si>
    <t>http://ts.21cn.com/tousu/show/id/1357295</t>
  </si>
  <si>
    <t>2019/10/13 02:24:15</t>
  </si>
  <si>
    <t>本人在华夏信财宁德门店借款到帐60000，需还款9万多，现逾期几天联系不上本人一直与我老婆沟通，今天至电我老婆进行催款，对我老婆进行人身攻击和诅咒，问我老婆家里破产了，家里有人伤亡，我老婆很生气表示会去投诉，后来又打电话，我老婆表示现在在上班晚点联系，催收员说钱没还还上什么班不用上了，说要打我老婆单位电话，这种催收行为非常恶劣，现在未经本人同意爆打单位电话和爆通讯录进行催收，对本人进行毁谤名誉造成很大的影响，已形成爆力催收，要求做出处理和赔偿。</t>
  </si>
  <si>
    <t>反对美团霸王条款！还我公道</t>
  </si>
  <si>
    <t>http://ts.21cn.com/tousu/show/id/1357292</t>
  </si>
  <si>
    <t>2019/10/13 02:20:42</t>
  </si>
  <si>
    <t>买电影票，提前一个多小时退票，打给美团客户不予退票不能改签，客户直接骂我们：老子就不给你退随便你去告，。</t>
  </si>
  <si>
    <t>借钱快高利贷砍头息</t>
  </si>
  <si>
    <t>http://ts.21cn.com/tousu/show/id/1357290</t>
  </si>
  <si>
    <t>2019/10/13 02:19:20</t>
  </si>
  <si>
    <t>违规收取的砍头息950元之前一直在忙着跟其他家打官司，这次忙完轮到你家，退钱，不然扫黑办见。</t>
  </si>
  <si>
    <t>http://ts.21cn.com/tousu/show/id/1357288</t>
  </si>
  <si>
    <t>2019/10/13 02:17:18</t>
  </si>
  <si>
    <t>投诉人胡女士投诉对象平安普惠涉诉金额300000元问题类型诉求类型投诉详情1.平安普惠工作人员为完成业绩虚报贷款利率，并且隐藏并收取高额手续费，强制捆绑销售保险，收取高额保险费2.造假信息，刻意提高贷款人放款额度，以达成平安普惠贷款业绩，无视贷款人还款能力3.假冒政法部门进行催收4.在能够联系到本人的情况下，没征得本人同意，上门催收，对当事人的生活和工作完成恶劣的影响，并对当事人家人完成影响5.未经本人授权假冒签名。</t>
  </si>
  <si>
    <t>北京友缘在线网络科技股份有限公司还我198元</t>
  </si>
  <si>
    <t>http://ts.21cn.com/tousu/show/id/1357283</t>
  </si>
  <si>
    <t>2019/10/13 02:13:08</t>
  </si>
  <si>
    <t>投诉人宁昌海投诉对象友缘在线涉诉金额198元问题类型诉求类型投诉详情北京友缘在线网络科技股份有限公司还我198元，处处对象app存在很大问题，支付宝免密自动扣款成功198元。</t>
  </si>
  <si>
    <t>京东金条漏发还款提醒短信，导致用户延迟还款几小时，马上还款的情况下执意损坏客户征信记录</t>
  </si>
  <si>
    <t>http://ts.21cn.com/tousu/show/id/1357287</t>
  </si>
  <si>
    <t>2019/10/13 02:10:37</t>
  </si>
  <si>
    <t>本人是京东购物平台多年的会员，在京东刚刚创立的时候，本人就开始在京东平台上购物，购物金额已达数十万元，我从心底想说京东金融这样对待多年的钻石级老顾客，和信用极好的优质京东金条用户的行为，简直令人发指，并且，本人还是京东金条产品信用极好的忠实老用户，本次我要投诉的案例是，京东金条在最近一次的还款提醒中，漏发送了其中一笔应于2019年9月9日到期还款的提醒短信，导致我漏还款数小时，在我自行发现并还款后，与京东金融方面沟通他们漏发短信导致逾期后，他们一直坚持说给我发过短信，还表示会立刻将我这次的“漏还款”数小时的</t>
  </si>
  <si>
    <t>喜鹊快贷套路贷高利贷放款金额和合同金额不符</t>
  </si>
  <si>
    <t>http://ts.21cn.com/tousu/show/id/1357284</t>
  </si>
  <si>
    <t>2019/10/13 01:54:41</t>
  </si>
  <si>
    <t>本人2019年9月30日在喜鹊快贷上贷10000元整，放款到账后看到借款金额变成13038元，每个月还款1270.57，共分12个月，我的总还款金额是15246.85元，超过36%的年利率，致电客服说3038是服务费，直接成了借款本金，利息跟服务费占比本金百分之五十以上，这就是高利贷套路贷无疑，还请相关部门核查，目前借款人无法承担这么高利贷的利息，要求喜鹊快贷调整合理的利息。</t>
  </si>
  <si>
    <t>没经同意就给我办理会员，扣款299</t>
  </si>
  <si>
    <t>http://ts.21cn.com/tousu/show/id/1357281</t>
  </si>
  <si>
    <t>2019/10/13 01:50:40</t>
  </si>
  <si>
    <t>只是在他家注册了一个账号，都没有借款，就自动给我办理了一个会员，299。</t>
  </si>
  <si>
    <t>质疑！！银行卡被莫名扣款408.76元</t>
  </si>
  <si>
    <t>http://ts.21cn.com/tousu/show/id/1323873</t>
  </si>
  <si>
    <t>2019/10/13 01:49:40</t>
  </si>
  <si>
    <t>9月28日，我名下开户行在北京的工商银行卡被“上海信而富企业管理有限公司”莫名口扣款408.76元，工行95588客服和开户行答复说我与该公司在2019年1月15日签订了快捷支付协议，经客服协助查询，确实在我名下银行卡上有一项与有关的快捷支付协议（中金支付说是代扣协议），但我本人对此不知情，并立即主动解除了该协议，然后，我立即通过网络途径查询 ，发现该公司被大量群众举报，客服无奈答复说是在借款协议上衍生出来的，经多方咨询，工行95588客服和开户行答复说，我与该公司在2019年1月15日签订了快捷支付协议，</t>
  </si>
  <si>
    <t>好易借714高炮</t>
  </si>
  <si>
    <t>http://ts.21cn.com/tousu/show/id/1357279</t>
  </si>
  <si>
    <t>2019/10/13 01:49:13</t>
  </si>
  <si>
    <t>违规收取的砍头息合计1300余元之前一直在忙着跟其他家打官司，这次忙完轮到你家，退钱，不然已取证不然扫黑办金融办见明细：2017._8.3到8.16。</t>
  </si>
  <si>
    <t>http://ts.21cn.com/tousu/show/id/1357277</t>
  </si>
  <si>
    <t>2019/10/13 01:35:41</t>
  </si>
  <si>
    <t>本人两次在现金巴士借款每次均是1000元，平台每次都以增信费用扣除非法砍头息188，我还有最后一期还完本次贷款，望平台退还我砍头息费用，或者抵消掉第3期还款销账。</t>
  </si>
  <si>
    <t>喜马拉雅充喜点金额错误为啥不能退款</t>
  </si>
  <si>
    <t>http://ts.21cn.com/tousu/show/id/1357276</t>
  </si>
  <si>
    <t>2019/10/13 01:31:02</t>
  </si>
  <si>
    <t>投诉人 张先生        投诉对象  喜马拉雅        涉诉金额  488 元    问题类型    诉求类型投诉详情  充值金额错了，为啥不能退款？这不是强卖吗？</t>
  </si>
  <si>
    <t>人人贷阴阳合同，高利息</t>
  </si>
  <si>
    <t>http://ts.21cn.com/tousu/show/id/1357273</t>
  </si>
  <si>
    <t>2019/10/13 01:26:35</t>
  </si>
  <si>
    <t>我是2018年8月25日收到人人贷的借款58000元整，实际到账58000元，合同却写了66700元，出现了阴阳合同，分36期还！每个月都要还款2887.11元，逾期一天的违约金收216.11元，每期的服务费高的吓人726.03元！到了还款日，催收部门不停的打电话叫还款，态度极差！我现在已经还了13期了，到现在为止还了总共38351.43元，后面23期总共还要还66403.53元！我实在承受不了这样的高利息！。</t>
  </si>
  <si>
    <t>http://ts.21cn.com/tousu/show/id/1357270</t>
  </si>
  <si>
    <t>2019/10/13 01:16:41</t>
  </si>
  <si>
    <t>本人分两次借款共22000元，可万卡显示我需要归还46011.98元。</t>
  </si>
  <si>
    <t>http://ts.21cn.com/tousu/show/id/1357269</t>
  </si>
  <si>
    <t>2019/10/13 01:16:04</t>
  </si>
  <si>
    <t>利息实在太高了，三笔总共借了18700，分别还了9期4期10期，现在提前还款要还29249.14元，实在是可怕，而且最近刚丢工作，无力偿还了。</t>
  </si>
  <si>
    <t>我被北京有缘网恶意扣费</t>
  </si>
  <si>
    <t>http://ts.21cn.com/tousu/show/id/1357255</t>
  </si>
  <si>
    <t>2019/10/13 01:14:28</t>
  </si>
  <si>
    <t>本人由于在百度下载了”来约我吧”，因信任百度，所以下载了一个体验一下，注册来约我吧后，有人回复消息，而后提示需要开通会员，一元体验三天，点进去支付一元准备体验，跳转支付宝支付成功，竟然签约代扣，免密支付，支付一元，我都不知情，在后面使用约会吧软件中看到包月服务，点进去想了解详情，，，该App又诱导我点击包月服务，而后去支付宝软件，这才发现约会吧已经通过支付宝签约代扣了168元钱，造成后果原因有约会吧诱导消费者签约支付宝代扣服务，再利用代扣服务后台自动扣费，骗钱，支付宝签约代扣，免密支付有安全漏洞，代扣无任何</t>
  </si>
  <si>
    <t>一秒陛下典型套路贷高利贷714</t>
  </si>
  <si>
    <t>http://ts.21cn.com/tousu/show/id/1357266</t>
  </si>
  <si>
    <t>2019/10/13 01:12:54</t>
  </si>
  <si>
    <t>10月8号通过短信链接，下载了一秒陛下app，借款金额2200元，实际到账金额1430元，支付通道为汇潮支付，借款期限为6天，利息高达770元！这和之前315曝光的714套路贷高利贷毫无区别，利率也远超国家规定。</t>
  </si>
  <si>
    <t>快贷高利贷平台</t>
  </si>
  <si>
    <t>http://ts.21cn.com/tousu/show/id/1357265</t>
  </si>
  <si>
    <t>2019/10/13 01:11:32</t>
  </si>
  <si>
    <t>2017年借款3000元，实际还款远超法定利息，前一段时间打官司没时间处理，现在与你们联系，友好协商退款，相关部门举报投诉资料已准备，目前一个诉求，退款。</t>
  </si>
  <si>
    <t>小闪分期砍头息，高利率</t>
  </si>
  <si>
    <t>http://ts.21cn.com/tousu/show/id/1357185</t>
  </si>
  <si>
    <t>2019/10/13 01:10:57</t>
  </si>
  <si>
    <t>4月15日，我在快闪卡贷贷了15000元，到账12626，现在系统更新为小闪分期，扣除的两千多说是什么保险，也没有给我邮寄保单，也没有说是什么保险，然后一个月还3008.01，还六个月，下来就是18000多，我还了三期，第四期我让他们给我退保险，不然我拒绝还款，既然还钱我要还个明明白白，他们催收的也答应给我退，问我要卡号，我说是要退保险吗，然后就不回复了，一直没退，我也一直没还，一直到十月八号晚上十点，我刚到账一万多块钱，他们就给我扣除了七千多，这算是第四期的本金加利息加违约金，违约一天七十多，这是我老公动</t>
  </si>
  <si>
    <t>产品和说好的不符合</t>
  </si>
  <si>
    <t>http://ts.21cn.com/tousu/show/id/1357261</t>
  </si>
  <si>
    <t>2019/10/13 01:05:08</t>
  </si>
  <si>
    <t>我下载了达龙云电脑手机软件，其十分钟的免费体验时间，进入其中游戏客户端更新十分钟没有完成，无赖之下选择充值会员一，但充值会员一以后提示要排队，排队85名，排队两个小时进入77名，以此推算我需要超过二十四小时才能进入该系统，而我的使用时间为凌晨，此时竟然需要如此长的时间排队，使用体验极差，于今天上午联系该平台客服要求退款，客服拒绝，我严重怀疑该平台套路消费者，以免费体验吸引客户，然后利用云电脑的游戏客户端更新时间让客户无法获得完整体验，以引诱客户充值，但我利用该平台云电脑进入游戏后，用户体验极差，玩游戏卡顿。</t>
  </si>
  <si>
    <t>银行卡被盗刷金额</t>
  </si>
  <si>
    <t>http://ts.21cn.com/tousu/show/id/1357258</t>
  </si>
  <si>
    <t>2019/10/13 01:02:32</t>
  </si>
  <si>
    <t>今天晚上想买点东西，一付款结果显示余额不足，我昨天刚充500就没余额了！去建设银行一看看到了2819年10月12日上午6点10分36秒！，我也不清楚不是我自己操作的，他们怎么就能刷我的银行卡！这样的事情发生后果很严重！希望尽快处理！。</t>
  </si>
  <si>
    <t>http://ts.21cn.com/tousu/show/id/1357257</t>
  </si>
  <si>
    <t>2019/10/13 01:01:58</t>
  </si>
  <si>
    <t>浦发信用卡,广发银行信用卡,交通银行信用卡,工商银行信用卡，本人自用信用卡以来一直保持良好的还款情况2017年离开公司出来自己接水电安装工做，靠着朋友有点工程做经济还能一直保持良好的还款情况，随着小孩的出生经济压力剧增，工作量又减少，2019年5月渐渐的资金无法周转就向网上借了贷款给还了信用卡但网贷无法还得上就爆通讯录家人或朋友连工作都没有了跟朋友亲戚借也借不到钱了连最低还款都无能为力直到现在无法支撑下去从而导致信用卡2019年7月开始经济紧张为了不产生逾期就向自己家人亲戚朋友借钱还完几张卡的账单，8月账单</t>
  </si>
  <si>
    <t>左右钱包典型套路贷高利贷714</t>
  </si>
  <si>
    <t>http://ts.21cn.com/tousu/show/id/1357254</t>
  </si>
  <si>
    <t>2019/10/13 01:00:24</t>
  </si>
  <si>
    <t>10月8号通过短信链接，下载了左右钱包，借款金额2200元，实际到账金额1430元，支付通道为汇潮支付，借款期限为6天，利息高达770元！这和之前315曝光的714套路贷高利贷毫无区别，利率也远超国家规定。</t>
  </si>
  <si>
    <t>小通商城乱扣费</t>
  </si>
  <si>
    <t>http://ts.21cn.com/tousu/show/id/1357251</t>
  </si>
  <si>
    <t>2019/10/13 00:55:16</t>
  </si>
  <si>
    <t>本人从来没有在小通商城购买什么东西，无任何合作，10月10日却无缘无故从我卡里扣了634.75元钱。</t>
  </si>
  <si>
    <t>拍拍贷恶意逾期收取逾期费</t>
  </si>
  <si>
    <t>http://ts.21cn.com/tousu/show/id/1357250</t>
  </si>
  <si>
    <t>2019/10/13 00:54:45</t>
  </si>
  <si>
    <t>拍拍贷还款日手动还款无效，恶意还款失败，逾期收取高额费用。</t>
  </si>
  <si>
    <t>深圳市恒富创融科技有限公司在没有任何提示，未经允许的情况下扣费148元</t>
  </si>
  <si>
    <t>http://ts.21cn.com/tousu/show/id/1357249</t>
  </si>
  <si>
    <t>2019/10/13 00:54:22</t>
  </si>
  <si>
    <t>钱橙无忧在没有经过本人同意，没有任何提示的情况下，从我银行卡通过深圳恒富创融科技有限公司扣款148元。</t>
  </si>
  <si>
    <t>集体举报向钱贷</t>
  </si>
  <si>
    <t>http://ts.21cn.com/tousu/show/id/1357247</t>
  </si>
  <si>
    <t>2019/10/13 00:51:31</t>
  </si>
  <si>
    <t>本人在2017年在向钱贷借贷一千多元，向钱贷收取砍头息，每个月收取三百多块钱的延期费，借款本金一千多，实际还款将近一万块钱。</t>
  </si>
  <si>
    <t>中金支付信而富砍头息</t>
  </si>
  <si>
    <t>http://ts.21cn.com/tousu/show/id/1357246</t>
  </si>
  <si>
    <t>2019/10/13 00:51:24</t>
  </si>
  <si>
    <t>信而富违规收取砍头息，分别以特权包，抵扣券，旅游卡等方式收取高额砍头息，由中金支付提供通道进行扣款，本人现在诉求退还近半年未使用过的抵扣券特权包及旅游卡共计人民币1200元。</t>
  </si>
  <si>
    <t>http://ts.21cn.com/tousu/show/id/1357244</t>
  </si>
  <si>
    <t>2019/10/13 00:48:10</t>
  </si>
  <si>
    <t>本人因资金短缺，现7月23号在该平台申请1000元借款，如果继续在还第三期该笔借款还款总额高达1917.82，按照国家规定该笔借款严重违规，现本人强烈要求该平台最后一期做出减免。</t>
  </si>
  <si>
    <t>爆通讯录，恐吓，威胁</t>
  </si>
  <si>
    <t>http://ts.21cn.com/tousu/show/id/1357243</t>
  </si>
  <si>
    <t>2019/10/13 00:48:01</t>
  </si>
  <si>
    <t>投诉人 刘先生        投诉对象  钱站        涉诉金额  1 000 元    问题类型    诉求类型投诉详情  爆通讯录，恐吓，威胁</t>
  </si>
  <si>
    <t>开放额度</t>
  </si>
  <si>
    <t>http://ts.21cn.com/tousu/show/id/1357240</t>
  </si>
  <si>
    <t>2019/10/13 00:41:29</t>
  </si>
  <si>
    <t>在微粒贷上总额度21000，没有逾期微粒贷任何一笔款项，近期因为租房还差几千块、因为要交一年租金，看微粒贷已经还了剩13000多就结束了，本想这里钱可以拿来周转、就提前还了剩余部份、想着再提出来21000交租金足够了，没想到给我来了个综合评分不足，以至于着急用的钱用不了。</t>
  </si>
  <si>
    <t>http://ts.21cn.com/tousu/show/id/1357238</t>
  </si>
  <si>
    <t>2019/10/13 00:37:41</t>
  </si>
  <si>
    <t>友缘在线,北京友缘网络在线科技股份有限公司，浏览器看新闻时广告下载了app处处，然后出现一堆真真假假的推荐信息和主动找我联系得陌生人，怀疑都是处处软件虚构出来引诱用户的，然后回复就得开通VIP,同时诱导用户开通了一个零元的体验vip开通了还是没有任何作用，这个操作完全诱导用户免密支付宝，然后发现仍然无法回复，跟他们说的vip不一样，结果悄悄的VIP还是扣费99元，同时就弹出了一堆窗口和语音申请，这个时候用户找关闭按钮时，这时候不管则么按都是个利用第一步诱导用户开通的免密支付，直接未经用户同意，再没有任何提示</t>
  </si>
  <si>
    <t>捷信放款失败，要求取消合同却一直在拖，没有取消合同的意思</t>
  </si>
  <si>
    <t>http://ts.21cn.com/tousu/show/id/1357236</t>
  </si>
  <si>
    <t>2019/10/13 00:35:30</t>
  </si>
  <si>
    <t>10月10号申请消费贷款，因为银行卡的问题导致放款失败，给客服打电话说取消合同，连具体什么时候能取消也没有说，就说耐心等候，放款失败但合同已经生效，还提示下一个还款日。</t>
  </si>
  <si>
    <t>融360里的快来花平台</t>
  </si>
  <si>
    <t>http://ts.21cn.com/tousu/show/id/1357233</t>
  </si>
  <si>
    <t>2019/10/13 00:33:31</t>
  </si>
  <si>
    <t>投诉人余先生投诉对象快来花涉诉金额2500元问题类型诉求类型投诉详情融360里的快来花变相高炮平台&amp;nbsp;714平台就是国家严打的那种贷款平台&amp;nbsp;希望国家有关部门打掉这种害人的平台&amp;nbsp;本人砍头息将近3000元。</t>
  </si>
  <si>
    <t>天津通融通国际保理有限公司违规为高利贷平台提供代支代扣服务</t>
  </si>
  <si>
    <t>http://ts.21cn.com/tousu/show/id/1357235</t>
  </si>
  <si>
    <t>2019/10/13 00:32:48</t>
  </si>
  <si>
    <t>天津通融通国际保理有限公司，违规为714及高利贷平台提供代支代扣业务，且通融通国际保理有限公司不具备为金融证劵等提供代扣代支服务的资质，如图下。</t>
  </si>
  <si>
    <t>圆通速递集体投诉专题</t>
  </si>
  <si>
    <t>http://ts.21cn.com/tousu/show/id/1357232</t>
  </si>
  <si>
    <t>2019/10/13 00:31:56</t>
  </si>
  <si>
    <t>收到手机是假的，收到钱就不理人了什么都不管。</t>
  </si>
  <si>
    <t>提前还款没有减免任何费用，利息还高得吓人</t>
  </si>
  <si>
    <t>http://ts.21cn.com/tousu/show/id/1357229</t>
  </si>
  <si>
    <t>2019/10/13 00:28:23</t>
  </si>
  <si>
    <t>借了10000元用了一个月，到账9000，已经还了第一期1113.33元，打算全额结清还还了120000，等于是借了10000块一个多月，多给了4000多，好可怕。</t>
  </si>
  <si>
    <t>高利贷，合同作假。</t>
  </si>
  <si>
    <t>http://ts.21cn.com/tousu/show/id/1357211</t>
  </si>
  <si>
    <t>2019/10/13 00:27:33</t>
  </si>
  <si>
    <t>投诉人邓佰全投诉对象钱站涉诉金额2000元问题类型诉求类型投诉详情高利贷，合同作假，实际借款1100合同作假2000多。</t>
  </si>
  <si>
    <t>上海漫道就是宝付同为高炮平台提供支付渠道</t>
  </si>
  <si>
    <t>http://ts.21cn.com/tousu/show/id/1357227</t>
  </si>
  <si>
    <t>2019/10/13 00:27:16</t>
  </si>
  <si>
    <t>联系宝付一个月了这个公司很垃圾一直拖着不处理问题他们为714高炮平台提供支付渠道是他们的保护伞，他们这公司专门给人违规提供支付渠道，希望央行吊销营业执照。</t>
  </si>
  <si>
    <t>洋钱包擅自扣款</t>
  </si>
  <si>
    <t>http://ts.21cn.com/tousu/show/id/1357224</t>
  </si>
  <si>
    <t>2019/10/13 00:22:10</t>
  </si>
  <si>
    <t>2019年​10月​12号​傍晚通‎过‎U现​金​推​荐‎的注册​后输入姓名，身份证，银行卡，确认身份，输入验证码，也没有提示要扣299元啊，也就是说要评估，晚上，收到短信扣我49元，还说评估费299，这不是坑人吗，我都没同意啊！他们App也没有说明这个费用，这不是欺骗，盗取他人财物吗。</t>
  </si>
  <si>
    <t>拍拍贷因为系统问题还不了款，导致我逾期</t>
  </si>
  <si>
    <t>http://ts.21cn.com/tousu/show/id/1357222</t>
  </si>
  <si>
    <t>2019/10/13 00:19:26</t>
  </si>
  <si>
    <t>我是10月12日在拍拍贷需要还款，因为白天没有时间所以没有还，但是晚上11点左右我就开始还款，一直显示还款失败，我卡里钱明明是够的，然后过了12点就显示我逾期，真的很烦，不知道违约金有多少，但是不管多少，请退回谢谢。</t>
  </si>
  <si>
    <t>我的建行卡在18年3月15日被扣款65586元，无任何消息提示</t>
  </si>
  <si>
    <t>http://ts.21cn.com/tousu/show/id/1357216</t>
  </si>
  <si>
    <t>2019/10/13 00:18:21</t>
  </si>
  <si>
    <t>本人2018年3月15日00点39分06秒，中国建设银行卡被无故扣走65586元，摘要显示的无卡自助消费，对方账户是8442****0001。</t>
  </si>
  <si>
    <t>海尔逾期费用太高，该app逾期超过3个月不让我还款</t>
  </si>
  <si>
    <t>http://ts.21cn.com/tousu/show/id/1357221</t>
  </si>
  <si>
    <t>2019/10/13 00:17:40</t>
  </si>
  <si>
    <t>投诉人黄先生投诉对象海尔消费金融涉诉金额5000元问题类型诉求类型投诉详情本人在海尔够花借款，后面陆续逾期几个月了，app不让我还款，要联系客服才跟我沟通，逾期费用达到年化45%。</t>
  </si>
  <si>
    <t>华夏翔博教育欺瞒行为</t>
  </si>
  <si>
    <t>http://ts.21cn.com/tousu/show/id/1357219</t>
  </si>
  <si>
    <t>2019/10/13 00:15:43</t>
  </si>
  <si>
    <t>华夏翔博说他们的课和233网校的不一样，给到的课是233网校廉价基础课。</t>
  </si>
  <si>
    <t>在京东金融下载的活力花加分贷，属高利贷</t>
  </si>
  <si>
    <t>http://ts.21cn.com/tousu/show/id/1357214</t>
  </si>
  <si>
    <t>2019/10/13 00:08:16</t>
  </si>
  <si>
    <t>在京东金融下载的活力花加分贷属于高利贷平台，借款周期几天时间，利息就要几百，且循环借款，1：京东金融是否有审核该产品2：活力花又是与加分贷什么关系关系3：请京东金融，活力花联系加分贷方与我退款！。</t>
  </si>
  <si>
    <t>醉味鸭脖为借款平台提供支付</t>
  </si>
  <si>
    <t>http://ts.21cn.com/tousu/show/id/1357213</t>
  </si>
  <si>
    <t>2019/10/13 00:05:35</t>
  </si>
  <si>
    <t>本人因三四月份刚好急需一笔资金，速秒贷不知从哪弄到本人联系方式打电话过来可以说通过APP下载借款，电话号码为170******33与171******91，加上他们微信过后客服发来链接通过下载需要提交298或者208的资料认证费用，收款为二维码收款，收款方是醉味鸭脖武汉光谷四路店，当转账完毕后继续认证资料确认上传无误后提交申请，过后查询看到未下款，咨询客服说我银行卡输入错误，保证无误，可客服硬说填写错误，我要求修改银行卡号，客服却提出更换或修改银行卡号需要在提交500元保证金方能进行修改，要求醉味鸭脖给本人</t>
  </si>
  <si>
    <t>立马进钱阴阳合同！</t>
  </si>
  <si>
    <t>http://ts.21cn.com/tousu/show/id/1357210</t>
  </si>
  <si>
    <t>2019/10/13 00:04:12</t>
  </si>
  <si>
    <t>立马进钱阴阳合同！借2800元32天分四期，每期还1022.4元！还了一期，后面个人有经济困难而逾期了.逾期利息高的离谱，前天联系他们客服想进一步协商处理，客服人员告诉我稍后安排工作人员协商！等了有两天了没看见他们电话打过来！现在连立马进钱APP都打不开，每天的逾期费还一直在加！我只要求立马进钱工作人员尽快联系我协商处理！。</t>
  </si>
  <si>
    <t>poss机刷卡一直未到账</t>
  </si>
  <si>
    <t>http://ts.21cn.com/tousu/show/id/1357208</t>
  </si>
  <si>
    <t>2019/10/13 00:01:44</t>
  </si>
  <si>
    <t>我用新中付刷了17000结果一直未到账后刷了一笔小的立马就到账了，致电客服也一直无人接听。</t>
  </si>
  <si>
    <t>投诉升学教育虚假宣传</t>
  </si>
  <si>
    <t>http://ts.21cn.com/tousu/show/id/1357207</t>
  </si>
  <si>
    <t>2019/10/12 23:59:43</t>
  </si>
  <si>
    <t>投诉人 罗东亮        投诉对象  升学教育        涉诉金额  14 196 元    问题类型    诉求类型投诉详情  涉及虚假宣传，而且欺骗消费者。退款存在霸王条款</t>
  </si>
  <si>
    <t>淘宝商家出售伪劣产品</t>
  </si>
  <si>
    <t>http://ts.21cn.com/tousu/show/id/1357205</t>
  </si>
  <si>
    <t>2019/10/12 23:58:26</t>
  </si>
  <si>
    <t>投诉人白先生投诉对象淘宝网涉诉金额12元问题类型诉求类型投诉详情产品质量问题，使用不到俩月就坏了，退货换货卖家都不承担邮费，如自己承担运费和重新购买是一样的，最可欺的是，我把伪劣产品扔掉后想投诉商家，淘宝客服说要帮我处理，数天后淘宝商家又给我发起了退货，每天有快递小哥电话问我发货，我又联系淘宝客服处理，我说现在我以无货可退，我只想投诉，客服说帮我处理退款，让我等待处理结果，可是第二天开始，又是每天说没有需要发货，每天有订单让我发货，接连几天的骚扰，其实不是没有多少钱，主要商家的欺骗行为，和这些产品质量问题，</t>
  </si>
  <si>
    <t>松紧贷恶意催收</t>
  </si>
  <si>
    <t>http://ts.21cn.com/tousu/show/id/1357203</t>
  </si>
  <si>
    <t>2019/10/12 23:57:57</t>
  </si>
  <si>
    <t>松紧贷恶意催收，恐吓我与家人，接到电话就乱骂侮辱，根本不听他人说话，严重骚扰家人和朋友，严重影响自己和家人朋友的生活。</t>
  </si>
  <si>
    <t>虾米在线高利贷套路</t>
  </si>
  <si>
    <t>http://ts.21cn.com/tousu/show/id/1357109</t>
  </si>
  <si>
    <t>2019/10/12 22:33:55</t>
  </si>
  <si>
    <t>9月27日因需资金周转借款一次，易宝支付到账1875元，周期5天，还款3014.79元，因当时不堪其催收骚扰及威胁，于10月1日还款3014.79元，5天利息1139.79元，严重违反国家法定利率，之后10月9日有虾米在线客服联系我，能说出我在虾米在线借款了多少钱，具体到放款时间及个人认证信息都知道，然后让我在次借款，说其平台做活动，现在借款能减免服务费及更改周期，可以分期1至12个月，下款还是到账1875元，5天，需还3014.79元，下款后说没有下款到6000元，不能更改周期及减免费用，要求我还款301</t>
  </si>
  <si>
    <t>哈啰顺风车为什么封我号和油费无法提现</t>
  </si>
  <si>
    <t>http://ts.21cn.com/tousu/show/id/1357050</t>
  </si>
  <si>
    <t>2019/10/12 21:52:12</t>
  </si>
  <si>
    <t>2019年9月27号18:03:05哈啰出行平台对我哈啰顺风车号冻结，也就是说:对我车主不能接单，不能现提，然后我就要求反馈，然后他们通过电话对我的沟通说是男同行举报的。</t>
  </si>
  <si>
    <t>易天普惠乱扣费288</t>
  </si>
  <si>
    <t>http://ts.21cn.com/tousu/show/id/1357031</t>
  </si>
  <si>
    <t>2019/10/12 21:40:11</t>
  </si>
  <si>
    <t>易宝支付通过代收模式，乱扣费我288元，之后不协商，还我血汗钱，。</t>
  </si>
  <si>
    <t>乱扣费，没有订单</t>
  </si>
  <si>
    <t>http://ts.21cn.com/tousu/show/id/1356925</t>
  </si>
  <si>
    <t>2019/10/12 20:40:13</t>
  </si>
  <si>
    <t>投诉人 黄女士        投诉对象  宝付支付        涉诉金额  108 元    问题类型    诉求类型投诉详情  今天莫名收到一个短信，扣费108.3元。完全摸不着头脑，哪有订单。</t>
  </si>
  <si>
    <t>迅捷视频转换器</t>
  </si>
  <si>
    <t>http://ts.21cn.com/tousu/show/id/1356903</t>
  </si>
  <si>
    <t>2019/10/12 20:25:50</t>
  </si>
  <si>
    <t>视频转换总是失败，白花钱买了终身会员，想让对方退款。</t>
  </si>
  <si>
    <t>广发银行账单混乱！客服及其不专业！忽悠客户！</t>
  </si>
  <si>
    <t>http://ts.21cn.com/tousu/show/id/1356614</t>
  </si>
  <si>
    <t>2019/10/12 18:11:45</t>
  </si>
  <si>
    <t>首先从2017年10月初开始总计额度35000元，我不堪其扰，在其忽悠下，说财智金不占用消费额度的情况下办理了财智金分期！凭空还了几千块钱利息！至2019年4月，在我账单打算全额还款的时候！还款一万八以后降额两万！直接造成我的经济压力和损失！至2019年10月，在降额的情况下每月还款2500左右！从2019年4月开始，没有用过广发卡消费！至今共还款30500左右！目前账单金额还有23600元！除那一笔财智金以外，没有其他分期！就算财智金加上利息总计41300元！然后就目前账单显示！我共计还款54100元左右</t>
  </si>
  <si>
    <t>银行卡无故扣款</t>
  </si>
  <si>
    <t>http://ts.21cn.com/tousu/show/id/1356405</t>
  </si>
  <si>
    <t>2019/10/12 17:10:57</t>
  </si>
  <si>
    <t>无故下午5:00扣款700，本人不知情的人情况下直接扣款。</t>
  </si>
  <si>
    <t>714高炮套路我几万块，易宝平台违规提供支付扣款不明扣费</t>
  </si>
  <si>
    <t>http://ts.21cn.com/tousu/show/id/1356402</t>
  </si>
  <si>
    <t>2019/10/12 17:10:22</t>
  </si>
  <si>
    <t>这些小额贷款掏空我所有精力，我要依法追回自己的部分损失，违规代扣。</t>
  </si>
  <si>
    <t>恐吓，威胁，违法催收，侵权</t>
  </si>
  <si>
    <t>http://ts.21cn.com/tousu/show/id/1356306</t>
  </si>
  <si>
    <t>2019/10/12 16:41:13</t>
  </si>
  <si>
    <t>可招联金融未经本人同意，雇佣催收人员暴力催收，恐吓，侵权。</t>
  </si>
  <si>
    <t>易宝支付公司违规扣费</t>
  </si>
  <si>
    <t>http://ts.21cn.com/tousu/show/id/1356074</t>
  </si>
  <si>
    <t>2019/10/12 15:40:07</t>
  </si>
  <si>
    <t>易宝支付有限公司为多个套路贷714高炮黑平台提供支付渠道，所提供的银行流水收款方为套路贷平台小土豆，此平台已被警方查处本人做过笔录，未经本人授权允许私自扣款，扣款金额有好多笔，共8973元。</t>
  </si>
  <si>
    <t>故意制造逾期收费</t>
  </si>
  <si>
    <t>http://ts.21cn.com/tousu/show/id/1355522</t>
  </si>
  <si>
    <t>2019/10/12 12:32:03</t>
  </si>
  <si>
    <t>豆豆钱包不扣款，我之前自动还款也还不了早晨逾期，直接扣除本人一天逾期费用100元，要求退还本人。</t>
  </si>
  <si>
    <t>http://ts.21cn.com/tousu/show/id/1354733</t>
  </si>
  <si>
    <t>2019/10/12 05:15:05</t>
  </si>
  <si>
    <t>此前向该平台借款29400元，其要求除本金外，还需支付15230.72的服务费。</t>
  </si>
  <si>
    <t>盗刷</t>
  </si>
  <si>
    <t>http://ts.21cn.com/tousu/show/id/1354730</t>
  </si>
  <si>
    <t>2019/10/12 04:32:29</t>
  </si>
  <si>
    <t>但是到夜里突然收到扣费提醒，显示十块，然后是二十，五十，然后开始变成一百，前后扣了400块钱，真的莫名其妙，这个卡很久没用，用的时候我还找工商银行客服给我接触了所有代扣协议。</t>
  </si>
  <si>
    <t>投诉招商银行信用卡利息比高利贷还高</t>
  </si>
  <si>
    <t>http://ts.21cn.com/tousu/show/id/1354722</t>
  </si>
  <si>
    <t>2019/10/12 03:46:25</t>
  </si>
  <si>
    <t>本人招商银行信用卡一张额度固定额度3000，每月还款时间23号，之前一直按时还款，偶尔还最低，一直也没什么问题只是利息稍有点高也没在意，最后一次还款时间2018年11月23号，账单金额2849.11，由于那个月经济出现的问题，逾期了3天之后也就是11月27号那天才还上的最低额度666.72元，总共也就逾期3天左右，谁知还完款后收到银行短信通知说我的信用卡被冻结了要我一次性还清，我就莫名其妙，那有这样的事情心里比较恼火，本来就家里出事资金紧张那有钱一次性还清这分明就是坑人嘛，在这里希望聚投诉帮我们市民反映给有</t>
  </si>
  <si>
    <t>http://ts.21cn.com/tousu/show/id/1354700</t>
  </si>
  <si>
    <t>2019/10/12 02:20:40</t>
  </si>
  <si>
    <t>投诉人蒋先生投诉对象百胜娱乐涉诉金额20000元问题类型诉求类型投诉详情被他们赌博推广引诱玩，越陷越深，希望打击网络赌博，让后人不要越陷越深。</t>
  </si>
  <si>
    <t>现代金控pos首刷冻结款不退</t>
  </si>
  <si>
    <t>http://ts.21cn.com/tousu/show/id/1354697</t>
  </si>
  <si>
    <t>2019/10/12 02:16:48</t>
  </si>
  <si>
    <t>9月30日，已经过期，没有达标，不能返还！说什么活动过期，自始至终都没有告知我9月30日到期，我得到的信息一直是激活起一年内刷88万即可返还，后又辩解说2月份政策变更，但该代理3月20日还在群里发布说一年内刷满88万就返，我查询了群内以及与代理私聊信息记录，均没有该政策的变更通知，更没有收到金控公司的任何通知，他们都是有我们的电话的，还有，截止9月30日，公众号我自己查询统计已经刷卡916441.4元，远超过88万，但是被告知只有85万多有效！自始至终没有被告知还是有不算数的，没有告知哪些交易计算在内哪些不</t>
  </si>
  <si>
    <t>http://ts.21cn.com/tousu/show/id/1354689</t>
  </si>
  <si>
    <t>2019/10/12 01:39:29</t>
  </si>
  <si>
    <t>投诉人 兰先生        投诉对象  万惠及贷        涉诉金额  11 000 元    问题类型    诉求类型投诉详情  万惠及贷 暴力催收 威胁恐吓 泄露个人隐私 伤害家人</t>
  </si>
  <si>
    <t>不要第三方催收直接和银行存款联系</t>
  </si>
  <si>
    <t>http://ts.21cn.com/tousu/show/id/1354686</t>
  </si>
  <si>
    <t>2019/10/12 01:33:26</t>
  </si>
  <si>
    <t>催收在我和银行协商好的情况下还不停的骚扰我的家人，我差点离婚！这就是正规银行能做的事吗。</t>
  </si>
  <si>
    <t>申请撤销负面</t>
  </si>
  <si>
    <t>http://ts.21cn.com/tousu/show/id/859893</t>
  </si>
  <si>
    <t>2019/10/12 01:27:22</t>
  </si>
  <si>
    <t>投诉人黄先生投诉对象支付宝涉诉金额1000元问题类型诉求类型投诉详情要求支付宝删除我的负面记录，麦芽金融属于高利贷触犯我国法律，属于714平台，望支付宝能撤销我的负面记录。</t>
  </si>
  <si>
    <t>来分期服务费</t>
  </si>
  <si>
    <t>http://ts.21cn.com/tousu/show/id/1354678</t>
  </si>
  <si>
    <t>2019/10/12 01:20:17</t>
  </si>
  <si>
    <t>借了两万零七百分了了二十四期还款却要换九千三百多你这是多少的利息其中的服务费又是什么你给我服务什么了我想知道。</t>
  </si>
  <si>
    <t>立马进钱呆呆苞高利贷套路贷客服踢皮球</t>
  </si>
  <si>
    <t>http://ts.21cn.com/tousu/show/id/1354675</t>
  </si>
  <si>
    <t>2019/10/12 01:17:23</t>
  </si>
  <si>
    <t>投诉人滕女士投诉对象立马进钱,呆呆苞,瑞利随薪贷,畅捷支付,中金支付涉诉金额4100元问题类型诉求类型投诉详情前段时间收到立马进钱的推广短信，由于姥爷病重需要钱周转，就在立马进钱的呆呆苞里申请了一笔4000元贷款，实际到账只有2800元，呆呆苞的支付通道是@畅捷支付和@中金支付进一个月以来他们已经关闭了通道让我们用支付宝还款，支付宝的对公账号一直变一天变好几个，四期全部还完需4100元，远超国家合法利息，我就算用网贷也从未逾期过，呆呆苞我复借了三次，短短不到两个月利息快四千元，现在还剩下最后一期要求减免逾期</t>
  </si>
  <si>
    <t>大王贷款万达钱包</t>
  </si>
  <si>
    <t>http://ts.21cn.com/tousu/show/id/1354667</t>
  </si>
  <si>
    <t>2019/10/12 01:07:12</t>
  </si>
  <si>
    <t>本人于2018年11月借款10000元，分12期偿还，已还9309.97，年利率37%，高于国家规定里，希望有关部门处理。</t>
  </si>
  <si>
    <t>我银行卡里无缘扣了249</t>
  </si>
  <si>
    <t>http://ts.21cn.com/tousu/show/id/1354664</t>
  </si>
  <si>
    <t>2019/10/12 01:01:17</t>
  </si>
  <si>
    <t>投诉人 蔡先生        投诉对象  潮贷        涉诉金额  249 元    问题类型    诉求类型投诉详情  我以为借款成功了 ，无缘无故银行卡少了 249元 ，后来才知道我同意情况下买了会员 。欺诈我</t>
  </si>
  <si>
    <t>凭啥冻结我的资金</t>
  </si>
  <si>
    <t>http://ts.21cn.com/tousu/show/id/1354656</t>
  </si>
  <si>
    <t>2019/10/12 00:43:30</t>
  </si>
  <si>
    <t>一句涉嫌异常交易，冻结我的资金，不给我处理，冻结我商业收款资金三个月，不给我一个说法，不给处理，我的钱拿不出来，还等着??。</t>
  </si>
  <si>
    <t>钱站合同模糊概括</t>
  </si>
  <si>
    <t>http://ts.21cn.com/tousu/show/id/1354620</t>
  </si>
  <si>
    <t>2019/10/12 00:42:30</t>
  </si>
  <si>
    <t>借款1000合同1330&amp;amp;nbsp;&amp;amp;nbsp;&amp;amp;nbsp;每期还595这利息&amp;amp;nbsp;这合同&amp;amp;nbsp;明显骗人的&amp;amp;nbsp;&amp;amp;nbsp;退回借款&amp;amp;nbsp;消除账单。</t>
  </si>
  <si>
    <t>利息已超过本金好几倍，无力偿还好几次还款日单天就轰炸通讯录</t>
  </si>
  <si>
    <t>http://ts.21cn.com/tousu/show/id/1354653</t>
  </si>
  <si>
    <t>2019/10/12 00:39:18</t>
  </si>
  <si>
    <t>借1500砍头息450，6天实际5天一期，已经借了10期，利息已是本金的几倍了，最后一期一直在续期，现在续期也续不了了，还款日单天就轰炸通讯录，有短信有电话，人在做天在看，我是借了钱，但是你们赚这种钱也要有个度！吃人不吐骨头！希望聚投诉能帮助我！。</t>
  </si>
  <si>
    <t>nike不退款</t>
  </si>
  <si>
    <t>http://ts.21cn.com/tousu/show/id/1354645</t>
  </si>
  <si>
    <t>2019/10/12 00:30:55</t>
  </si>
  <si>
    <t>投诉人卢先生投诉对象nike官网,NIKE耐克涉诉金额899元问题类型诉求类型投诉详情九月初吧，在nike官网上买了双鞋，800多，一直没发货，打电话客服说让取消订单，然后退款，说会在一周之内退款，现在一个多月了，还是没有退款，打电话也没人接，客服也联系不上，都快两个月了。</t>
  </si>
  <si>
    <t>洋钱罐高利贷，逾期高利息</t>
  </si>
  <si>
    <t>http://ts.21cn.com/tousu/show/id/1354642</t>
  </si>
  <si>
    <t>2019/10/12 00:28:02</t>
  </si>
  <si>
    <t>投诉人张桂稀投诉对象洋钱罐涉诉金额3000元问题类型诉求类型投诉详情洋钱罐借款3000，6个月还近600的利息，但是后4个月差不多还几百，其实差不多就借款2个月，高利息，还有，我刚逾期1天，为什么逾期1409元，要还1602，一天1409为什么要200左右的逾期费，解释。</t>
  </si>
  <si>
    <t>协商解决问题</t>
  </si>
  <si>
    <t>http://ts.21cn.com/tousu/show/id/1354631</t>
  </si>
  <si>
    <t>2019/10/12 00:05:48</t>
  </si>
  <si>
    <t>本人现深陷高利贷砍头息其中，借款2500，实力到账1700多点，一个月分两期砍头利息700多，总共要还2500多，已经用过多次壹心分期，几个月下来已经利息是在承受不起，现各大平台已逾期，家中朋友亲戚已断了联系，实属被逼无赖，现已无力还款，壹心分期还差最后一期，望请平台联系我支付剩余本金并销帐处理。</t>
  </si>
</sst>
</file>

<file path=xl/styles.xml><?xml version="1.0" encoding="utf-8"?>
<styleSheet xmlns="http://schemas.openxmlformats.org/spreadsheetml/2006/main">
  <numFmts count="0"/>
  <fonts count="3">
    <font>
      <sz val="11.0"/>
      <color indexed="8"/>
      <name val="Calibri"/>
      <family val="2"/>
      <scheme val="minor"/>
    </font>
    <font>
      <name val="宋体"/>
      <sz val="11.0"/>
      <color indexed="9"/>
      <b val="true"/>
    </font>
    <font>
      <name val="宋体"/>
      <sz val="11.0"/>
      <color indexed="8"/>
    </font>
  </fonts>
  <fills count="4">
    <fill>
      <patternFill patternType="none"/>
    </fill>
    <fill>
      <patternFill patternType="darkGray"/>
    </fill>
    <fill>
      <patternFill patternType="none">
        <fgColor indexed="30"/>
      </patternFill>
    </fill>
    <fill>
      <patternFill patternType="solid">
        <fgColor indexed="30"/>
      </patternFill>
    </fill>
  </fills>
  <borders count="6">
    <border>
      <left/>
      <right/>
      <top/>
      <bottom/>
      <diagonal/>
    </border>
    <border>
      <bottom style="thin"/>
    </border>
    <border>
      <left style="thin"/>
      <bottom style="thin"/>
    </border>
    <border>
      <left style="thin"/>
      <top style="thin"/>
      <bottom style="thin"/>
    </border>
    <border>
      <left style="thin"/>
      <right style="thin"/>
      <top style="thin"/>
      <bottom style="thin"/>
    </border>
    <border>
      <top style="thin"/>
      <bottom style="thin"/>
    </border>
  </borders>
  <cellStyleXfs count="1">
    <xf numFmtId="0" fontId="0" fillId="0" borderId="0"/>
  </cellStyleXfs>
  <cellXfs count="3">
    <xf numFmtId="0" fontId="0" fillId="0" borderId="0" xfId="0"/>
    <xf numFmtId="0" fontId="1" fillId="3" borderId="4" xfId="0" applyBorder="true" applyFont="true" applyFill="true">
      <alignment horizontal="center" vertical="center"/>
    </xf>
    <xf numFmtId="0" fontId="2" fillId="0" borderId="4" xfId="0" applyFont="true" applyBorder="true">
      <alignment horizontal="center" vertical="center" wrapText="true"/>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21.0" customWidth="true"/>
    <col min="2" max="2" width="41.0" customWidth="true"/>
    <col min="3" max="3" width="11.0" customWidth="true"/>
    <col min="4" max="4" width="16.0" customWidth="true"/>
    <col min="5" max="5" width="16.0" customWidth="true"/>
    <col min="6" max="6" width="41.0" customWidth="true"/>
    <col min="7" max="7" width="21.0" customWidth="true"/>
    <col min="8" max="8" width="16.0" customWidth="true"/>
    <col min="9" max="9" width="21.0" customWidth="true"/>
    <col min="10" max="10" width="41.0" customWidth="true"/>
    <col min="11" max="11" width="11.0" customWidth="true"/>
    <col min="12" max="12" width="11.0" customWidth="true"/>
    <col min="13" max="13" width="11.0" customWidth="true"/>
  </cols>
  <sheetData>
    <row r="1" ht="30.0" customHeight="true">
      <c r="A1" t="s" s="1">
        <v>0</v>
      </c>
      <c r="B1" t="s" s="1">
        <v>1</v>
      </c>
      <c r="C1" t="s" s="1">
        <v>2</v>
      </c>
      <c r="D1" t="s" s="1">
        <v>3</v>
      </c>
      <c r="E1" t="s" s="1">
        <v>4</v>
      </c>
      <c r="F1" t="s" s="1">
        <v>5</v>
      </c>
      <c r="G1" t="s" s="1">
        <v>6</v>
      </c>
      <c r="H1" t="s" s="1">
        <v>7</v>
      </c>
      <c r="I1" t="s" s="1">
        <v>8</v>
      </c>
      <c r="J1" t="s" s="1">
        <v>9</v>
      </c>
      <c r="K1" t="s" s="1">
        <v>10</v>
      </c>
      <c r="L1" t="s" s="1">
        <v>11</v>
      </c>
      <c r="M1" t="s" s="1">
        <v>12</v>
      </c>
    </row>
    <row r="2" ht="25.0" customHeight="true">
      <c r="A2" t="s" s="2">
        <v>13</v>
      </c>
      <c r="B2" t="s" s="2">
        <f>HYPERLINK("http://ts.21cn.com/tousu/show/id/1374176","淘手游恶意扣押用户资金")</f>
      </c>
      <c r="C2" t="s" s="2">
        <v>15</v>
      </c>
      <c r="D2" t="s" s="2">
        <v>16</v>
      </c>
      <c r="E2" t="s" s="2">
        <v>17</v>
      </c>
      <c r="F2" t="s" s="2">
        <f>HYPERLINK("http://ts.21cn.com/tousu/show/id/1374176","http://ts.21cn.com/tousu/show/id/1374176")</f>
      </c>
      <c r="G2" t="s" s="2">
        <v>17</v>
      </c>
      <c r="H2" t="s" s="2">
        <v>19</v>
      </c>
      <c r="I2" t="s" s="2">
        <v>20</v>
      </c>
      <c r="J2" t="s" s="2">
        <v>21</v>
      </c>
      <c r="K2" t="s" s="2">
        <v>22</v>
      </c>
      <c r="L2" t="s" s="2">
        <v>22</v>
      </c>
      <c r="M2" t="s" s="2">
        <v>22</v>
      </c>
    </row>
    <row r="3" ht="25.0" customHeight="true">
      <c r="A3" t="s" s="2">
        <v>13</v>
      </c>
      <c r="B3" t="s" s="2">
        <f>HYPERLINK("http://ts.21cn.com/tousu/show/id/1374155","唱吧咪哒趣互联科技联合欺诈消费者权益！")</f>
      </c>
      <c r="C3" t="s" s="2">
        <v>15</v>
      </c>
      <c r="D3" t="s" s="2">
        <v>16</v>
      </c>
      <c r="E3" t="s" s="2">
        <v>17</v>
      </c>
      <c r="F3" t="s" s="2">
        <f>HYPERLINK("http://ts.21cn.com/tousu/show/id/1374155","http://ts.21cn.com/tousu/show/id/1374155")</f>
      </c>
      <c r="G3" t="s" s="2">
        <v>17</v>
      </c>
      <c r="H3" t="s" s="2">
        <v>19</v>
      </c>
      <c r="I3" t="s" s="2">
        <v>25</v>
      </c>
      <c r="J3" t="s" s="2">
        <v>26</v>
      </c>
      <c r="K3" t="s" s="2">
        <v>22</v>
      </c>
      <c r="L3" t="s" s="2">
        <v>22</v>
      </c>
      <c r="M3" t="s" s="2">
        <v>22</v>
      </c>
    </row>
    <row r="4" ht="25.0" customHeight="true">
      <c r="A4" t="s" s="2">
        <v>13</v>
      </c>
      <c r="B4" t="s" s="2">
        <f>HYPERLINK("http://ts.21cn.com/tousu/show/id/1374175","你我贷暴击催收")</f>
      </c>
      <c r="C4" t="s" s="2">
        <v>15</v>
      </c>
      <c r="D4" t="s" s="2">
        <v>16</v>
      </c>
      <c r="E4" t="s" s="2">
        <v>17</v>
      </c>
      <c r="F4" t="s" s="2">
        <f>HYPERLINK("http://ts.21cn.com/tousu/show/id/1374175","http://ts.21cn.com/tousu/show/id/1374175")</f>
      </c>
      <c r="G4" t="s" s="2">
        <v>17</v>
      </c>
      <c r="H4" t="s" s="2">
        <v>19</v>
      </c>
      <c r="I4" t="s" s="2">
        <v>29</v>
      </c>
      <c r="J4" t="s" s="2">
        <v>30</v>
      </c>
      <c r="K4" t="s" s="2">
        <v>22</v>
      </c>
      <c r="L4" t="s" s="2">
        <v>22</v>
      </c>
      <c r="M4" t="s" s="2">
        <v>22</v>
      </c>
    </row>
    <row r="5" ht="25.0" customHeight="true">
      <c r="A5" t="s" s="2">
        <v>13</v>
      </c>
      <c r="B5" t="s" s="2">
        <f>HYPERLINK("http://ts.21cn.com/tousu/show/id/1374174","交通银行骚扰式催收")</f>
      </c>
      <c r="C5" t="s" s="2">
        <v>15</v>
      </c>
      <c r="D5" t="s" s="2">
        <v>16</v>
      </c>
      <c r="E5" t="s" s="2">
        <v>17</v>
      </c>
      <c r="F5" t="s" s="2">
        <f>HYPERLINK("http://ts.21cn.com/tousu/show/id/1374174","http://ts.21cn.com/tousu/show/id/1374174")</f>
      </c>
      <c r="G5" t="s" s="2">
        <v>17</v>
      </c>
      <c r="H5" t="s" s="2">
        <v>19</v>
      </c>
      <c r="I5" t="s" s="2">
        <v>33</v>
      </c>
      <c r="J5" t="s" s="2">
        <v>34</v>
      </c>
      <c r="K5" t="s" s="2">
        <v>22</v>
      </c>
      <c r="L5" t="s" s="2">
        <v>22</v>
      </c>
      <c r="M5" t="s" s="2">
        <v>22</v>
      </c>
    </row>
    <row r="6" ht="25.0" customHeight="true">
      <c r="A6" t="s" s="2">
        <v>13</v>
      </c>
      <c r="B6" t="s" s="2">
        <f>HYPERLINK("http://ts.21cn.com/tousu/show/id/1374173","恶意催收，暴力催收，已经严重影响个人工作，")</f>
      </c>
      <c r="C6" t="s" s="2">
        <v>15</v>
      </c>
      <c r="D6" t="s" s="2">
        <v>16</v>
      </c>
      <c r="E6" t="s" s="2">
        <v>17</v>
      </c>
      <c r="F6" t="s" s="2">
        <f>HYPERLINK("http://ts.21cn.com/tousu/show/id/1374173","http://ts.21cn.com/tousu/show/id/1374173")</f>
      </c>
      <c r="G6" t="s" s="2">
        <v>17</v>
      </c>
      <c r="H6" t="s" s="2">
        <v>19</v>
      </c>
      <c r="I6" t="s" s="2">
        <v>37</v>
      </c>
      <c r="J6" t="s" s="2">
        <v>38</v>
      </c>
      <c r="K6" t="s" s="2">
        <v>22</v>
      </c>
      <c r="L6" t="s" s="2">
        <v>22</v>
      </c>
      <c r="M6" t="s" s="2">
        <v>22</v>
      </c>
    </row>
    <row r="7" ht="25.0" customHeight="true">
      <c r="A7" t="s" s="2">
        <v>13</v>
      </c>
      <c r="B7" t="s" s="2">
        <f>HYPERLINK("http://ts.21cn.com/tousu/show/id/1374172","骚扰我母亲")</f>
      </c>
      <c r="C7" t="s" s="2">
        <v>15</v>
      </c>
      <c r="D7" t="s" s="2">
        <v>16</v>
      </c>
      <c r="E7" t="s" s="2">
        <v>17</v>
      </c>
      <c r="F7" t="s" s="2">
        <f>HYPERLINK("http://ts.21cn.com/tousu/show/id/1374172","http://ts.21cn.com/tousu/show/id/1374172")</f>
      </c>
      <c r="G7" t="s" s="2">
        <v>17</v>
      </c>
      <c r="H7" t="s" s="2">
        <v>19</v>
      </c>
      <c r="I7" t="s" s="2">
        <v>41</v>
      </c>
      <c r="J7" t="s" s="2">
        <v>42</v>
      </c>
      <c r="K7" t="s" s="2">
        <v>22</v>
      </c>
      <c r="L7" t="s" s="2">
        <v>22</v>
      </c>
      <c r="M7" t="s" s="2">
        <v>22</v>
      </c>
    </row>
    <row r="8" ht="25.0" customHeight="true">
      <c r="A8" t="s" s="2">
        <v>13</v>
      </c>
      <c r="B8" t="s" s="2">
        <f>HYPERLINK("http://ts.21cn.com/tousu/show/id/1374171","暴力催收，威胁恐吓，爆通信录")</f>
      </c>
      <c r="C8" t="s" s="2">
        <v>15</v>
      </c>
      <c r="D8" t="s" s="2">
        <v>16</v>
      </c>
      <c r="E8" t="s" s="2">
        <v>17</v>
      </c>
      <c r="F8" t="s" s="2">
        <f>HYPERLINK("http://ts.21cn.com/tousu/show/id/1374171","http://ts.21cn.com/tousu/show/id/1374171")</f>
      </c>
      <c r="G8" t="s" s="2">
        <v>17</v>
      </c>
      <c r="H8" t="s" s="2">
        <v>19</v>
      </c>
      <c r="I8" t="s" s="2">
        <v>45</v>
      </c>
      <c r="J8" t="s" s="2">
        <v>46</v>
      </c>
      <c r="K8" t="s" s="2">
        <v>22</v>
      </c>
      <c r="L8" t="s" s="2">
        <v>22</v>
      </c>
      <c r="M8" t="s" s="2">
        <v>22</v>
      </c>
    </row>
    <row r="9" ht="25.0" customHeight="true">
      <c r="A9" t="s" s="2">
        <v>13</v>
      </c>
      <c r="B9" t="s" s="2">
        <f>HYPERLINK("http://ts.21cn.com/tousu/show/id/1374170","闲鱼小二胡乱判定")</f>
      </c>
      <c r="C9" t="s" s="2">
        <v>15</v>
      </c>
      <c r="D9" t="s" s="2">
        <v>16</v>
      </c>
      <c r="E9" t="s" s="2">
        <v>17</v>
      </c>
      <c r="F9" t="s" s="2">
        <f>HYPERLINK("http://ts.21cn.com/tousu/show/id/1374170","http://ts.21cn.com/tousu/show/id/1374170")</f>
      </c>
      <c r="G9" t="s" s="2">
        <v>17</v>
      </c>
      <c r="H9" t="s" s="2">
        <v>19</v>
      </c>
      <c r="I9" t="s" s="2">
        <v>49</v>
      </c>
      <c r="J9" t="s" s="2">
        <v>50</v>
      </c>
      <c r="K9" t="s" s="2">
        <v>22</v>
      </c>
      <c r="L9" t="s" s="2">
        <v>22</v>
      </c>
      <c r="M9" t="s" s="2">
        <v>22</v>
      </c>
    </row>
    <row r="10" ht="25.0" customHeight="true">
      <c r="A10" t="s" s="2">
        <v>13</v>
      </c>
      <c r="B10" t="s" s="2">
        <f>HYPERLINK("http://ts.21cn.com/tousu/show/id/1374168","降价太快")</f>
      </c>
      <c r="C10" t="s" s="2">
        <v>52</v>
      </c>
      <c r="D10" t="s" s="2">
        <v>16</v>
      </c>
      <c r="E10" t="s" s="2">
        <v>17</v>
      </c>
      <c r="F10" t="s" s="2">
        <f>HYPERLINK("http://ts.21cn.com/tousu/show/id/1374168","http://ts.21cn.com/tousu/show/id/1374168")</f>
      </c>
      <c r="G10" t="s" s="2">
        <v>17</v>
      </c>
      <c r="H10" t="s" s="2">
        <v>19</v>
      </c>
      <c r="I10" t="s" s="2">
        <v>54</v>
      </c>
      <c r="J10" t="s" s="2">
        <v>55</v>
      </c>
      <c r="K10" t="s" s="2">
        <v>22</v>
      </c>
      <c r="L10" t="s" s="2">
        <v>22</v>
      </c>
      <c r="M10" t="s" s="2">
        <v>22</v>
      </c>
    </row>
    <row r="11" ht="25.0" customHeight="true">
      <c r="A11" t="s" s="2">
        <v>13</v>
      </c>
      <c r="B11" t="s" s="2">
        <f>HYPERLINK("http://ts.21cn.com/tousu/show/id/1374167","抢票失败，抢票费用不给退")</f>
      </c>
      <c r="C11" t="s" s="2">
        <v>15</v>
      </c>
      <c r="D11" t="s" s="2">
        <v>16</v>
      </c>
      <c r="E11" t="s" s="2">
        <v>17</v>
      </c>
      <c r="F11" t="s" s="2">
        <f>HYPERLINK("http://ts.21cn.com/tousu/show/id/1374167","http://ts.21cn.com/tousu/show/id/1374167")</f>
      </c>
      <c r="G11" t="s" s="2">
        <v>17</v>
      </c>
      <c r="H11" t="s" s="2">
        <v>19</v>
      </c>
      <c r="I11" t="s" s="2">
        <v>58</v>
      </c>
      <c r="J11" t="s" s="2">
        <v>59</v>
      </c>
      <c r="K11" t="s" s="2">
        <v>22</v>
      </c>
      <c r="L11" t="s" s="2">
        <v>22</v>
      </c>
      <c r="M11" t="s" s="2">
        <v>22</v>
      </c>
    </row>
    <row r="12" ht="25.0" customHeight="true">
      <c r="A12" t="s" s="2">
        <v>13</v>
      </c>
      <c r="B12" t="s" s="2">
        <f>HYPERLINK("http://ts.21cn.com/tousu/show/id/1374166","莫名被扣款")</f>
      </c>
      <c r="C12" t="s" s="2">
        <v>52</v>
      </c>
      <c r="D12" t="s" s="2">
        <v>16</v>
      </c>
      <c r="E12" t="s" s="2">
        <v>17</v>
      </c>
      <c r="F12" t="s" s="2">
        <f>HYPERLINK("http://ts.21cn.com/tousu/show/id/1374166","http://ts.21cn.com/tousu/show/id/1374166")</f>
      </c>
      <c r="G12" t="s" s="2">
        <v>17</v>
      </c>
      <c r="H12" t="s" s="2">
        <v>19</v>
      </c>
      <c r="I12" t="s" s="2">
        <v>62</v>
      </c>
      <c r="J12" t="s" s="2">
        <v>63</v>
      </c>
      <c r="K12" t="s" s="2">
        <v>22</v>
      </c>
      <c r="L12" t="s" s="2">
        <v>22</v>
      </c>
      <c r="M12" t="s" s="2">
        <v>22</v>
      </c>
    </row>
    <row r="13" ht="25.0" customHeight="true">
      <c r="A13" t="s" s="2">
        <v>13</v>
      </c>
      <c r="B13" t="s" s="2">
        <f>HYPERLINK("http://ts.21cn.com/tousu/show/id/1374037","垃圾短信轰炸")</f>
      </c>
      <c r="C13" t="s" s="2">
        <v>15</v>
      </c>
      <c r="D13" t="s" s="2">
        <v>16</v>
      </c>
      <c r="E13" t="s" s="2">
        <v>17</v>
      </c>
      <c r="F13" t="s" s="2">
        <f>HYPERLINK("http://ts.21cn.com/tousu/show/id/1374037","http://ts.21cn.com/tousu/show/id/1374037")</f>
      </c>
      <c r="G13" t="s" s="2">
        <v>17</v>
      </c>
      <c r="H13" t="s" s="2">
        <v>19</v>
      </c>
      <c r="I13" t="s" s="2">
        <v>66</v>
      </c>
      <c r="J13" t="s" s="2">
        <v>67</v>
      </c>
      <c r="K13" t="s" s="2">
        <v>22</v>
      </c>
      <c r="L13" t="s" s="2">
        <v>22</v>
      </c>
      <c r="M13" t="s" s="2">
        <v>22</v>
      </c>
    </row>
    <row r="14" ht="25.0" customHeight="true">
      <c r="A14" t="s" s="2">
        <v>13</v>
      </c>
      <c r="B14" t="s" s="2">
        <f>HYPERLINK("http://ts.21cn.com/tousu/show/id/1374165","升学教育机构不退款")</f>
      </c>
      <c r="C14" t="s" s="2">
        <v>15</v>
      </c>
      <c r="D14" t="s" s="2">
        <v>16</v>
      </c>
      <c r="E14" t="s" s="2">
        <v>17</v>
      </c>
      <c r="F14" t="s" s="2">
        <f>HYPERLINK("http://ts.21cn.com/tousu/show/id/1374165","http://ts.21cn.com/tousu/show/id/1374165")</f>
      </c>
      <c r="G14" t="s" s="2">
        <v>17</v>
      </c>
      <c r="H14" t="s" s="2">
        <v>19</v>
      </c>
      <c r="I14" t="s" s="2">
        <v>70</v>
      </c>
      <c r="J14" t="s" s="2">
        <v>71</v>
      </c>
      <c r="K14" t="s" s="2">
        <v>22</v>
      </c>
      <c r="L14" t="s" s="2">
        <v>22</v>
      </c>
      <c r="M14" t="s" s="2">
        <v>22</v>
      </c>
    </row>
    <row r="15" ht="25.0" customHeight="true">
      <c r="A15" t="s" s="2">
        <v>13</v>
      </c>
      <c r="B15" t="s" s="2">
        <f>HYPERLINK("http://ts.21cn.com/tousu/show/id/1374164","闪电借款财富黑卡")</f>
      </c>
      <c r="C15" t="s" s="2">
        <v>15</v>
      </c>
      <c r="D15" t="s" s="2">
        <v>16</v>
      </c>
      <c r="E15" t="s" s="2">
        <v>17</v>
      </c>
      <c r="F15" t="s" s="2">
        <f>HYPERLINK("http://ts.21cn.com/tousu/show/id/1374164","http://ts.21cn.com/tousu/show/id/1374164")</f>
      </c>
      <c r="G15" t="s" s="2">
        <v>17</v>
      </c>
      <c r="H15" t="s" s="2">
        <v>19</v>
      </c>
      <c r="I15" t="s" s="2">
        <v>74</v>
      </c>
      <c r="J15" t="s" s="2">
        <v>75</v>
      </c>
      <c r="K15" t="s" s="2">
        <v>22</v>
      </c>
      <c r="L15" t="s" s="2">
        <v>22</v>
      </c>
      <c r="M15" t="s" s="2">
        <v>22</v>
      </c>
    </row>
    <row r="16" ht="25.0" customHeight="true">
      <c r="A16" t="s" s="2">
        <v>13</v>
      </c>
      <c r="B16" t="s" s="2">
        <f>HYPERLINK("http://ts.21cn.com/tousu/show/id/1374163","中信银行高额利息")</f>
      </c>
      <c r="C16" t="s" s="2">
        <v>15</v>
      </c>
      <c r="D16" t="s" s="2">
        <v>16</v>
      </c>
      <c r="E16" t="s" s="2">
        <v>17</v>
      </c>
      <c r="F16" t="s" s="2">
        <f>HYPERLINK("http://ts.21cn.com/tousu/show/id/1374163","http://ts.21cn.com/tousu/show/id/1374163")</f>
      </c>
      <c r="G16" t="s" s="2">
        <v>17</v>
      </c>
      <c r="H16" t="s" s="2">
        <v>19</v>
      </c>
      <c r="I16" t="s" s="2">
        <v>78</v>
      </c>
      <c r="J16" t="s" s="2">
        <v>79</v>
      </c>
      <c r="K16" t="s" s="2">
        <v>22</v>
      </c>
      <c r="L16" t="s" s="2">
        <v>22</v>
      </c>
      <c r="M16" t="s" s="2">
        <v>22</v>
      </c>
    </row>
    <row r="17" ht="25.0" customHeight="true">
      <c r="A17" t="s" s="2">
        <v>13</v>
      </c>
      <c r="B17" t="s" s="2">
        <f>HYPERLINK("http://ts.21cn.com/tousu/show/id/1374162","微信无缘无故限制收款")</f>
      </c>
      <c r="C17" t="s" s="2">
        <v>15</v>
      </c>
      <c r="D17" t="s" s="2">
        <v>16</v>
      </c>
      <c r="E17" t="s" s="2">
        <v>17</v>
      </c>
      <c r="F17" t="s" s="2">
        <f>HYPERLINK("http://ts.21cn.com/tousu/show/id/1374162","http://ts.21cn.com/tousu/show/id/1374162")</f>
      </c>
      <c r="G17" t="s" s="2">
        <v>17</v>
      </c>
      <c r="H17" t="s" s="2">
        <v>19</v>
      </c>
      <c r="I17" t="s" s="2">
        <v>82</v>
      </c>
      <c r="J17" t="s" s="2">
        <v>83</v>
      </c>
      <c r="K17" t="s" s="2">
        <v>22</v>
      </c>
      <c r="L17" t="s" s="2">
        <v>22</v>
      </c>
      <c r="M17" t="s" s="2">
        <v>22</v>
      </c>
    </row>
    <row r="18" ht="25.0" customHeight="true">
      <c r="A18" t="s" s="2">
        <v>13</v>
      </c>
      <c r="B18" t="s" s="2">
        <f>HYPERLINK("http://ts.21cn.com/tousu/show/id/1374161","暴力催收")</f>
      </c>
      <c r="C18" t="s" s="2">
        <v>15</v>
      </c>
      <c r="D18" t="s" s="2">
        <v>16</v>
      </c>
      <c r="E18" t="s" s="2">
        <v>17</v>
      </c>
      <c r="F18" t="s" s="2">
        <f>HYPERLINK("http://ts.21cn.com/tousu/show/id/1374161","http://ts.21cn.com/tousu/show/id/1374161")</f>
      </c>
      <c r="G18" t="s" s="2">
        <v>17</v>
      </c>
      <c r="H18" t="s" s="2">
        <v>19</v>
      </c>
      <c r="I18" t="s" s="2">
        <v>86</v>
      </c>
      <c r="J18" t="s" s="2">
        <v>87</v>
      </c>
      <c r="K18" t="s" s="2">
        <v>22</v>
      </c>
      <c r="L18" t="s" s="2">
        <v>22</v>
      </c>
      <c r="M18" t="s" s="2">
        <v>22</v>
      </c>
    </row>
    <row r="19" ht="25.0" customHeight="true">
      <c r="A19" t="s" s="2">
        <v>13</v>
      </c>
      <c r="B19" t="s" s="2">
        <f>HYPERLINK("http://ts.21cn.com/tousu/show/id/1374149","钱置宝套路贷")</f>
      </c>
      <c r="C19" t="s" s="2">
        <v>15</v>
      </c>
      <c r="D19" t="s" s="2">
        <v>16</v>
      </c>
      <c r="E19" t="s" s="2">
        <v>17</v>
      </c>
      <c r="F19" t="s" s="2">
        <f>HYPERLINK("http://ts.21cn.com/tousu/show/id/1374149","http://ts.21cn.com/tousu/show/id/1374149")</f>
      </c>
      <c r="G19" t="s" s="2">
        <v>17</v>
      </c>
      <c r="H19" t="s" s="2">
        <v>19</v>
      </c>
      <c r="I19" t="s" s="2">
        <v>90</v>
      </c>
      <c r="J19" t="s" s="2">
        <v>91</v>
      </c>
      <c r="K19" t="s" s="2">
        <v>22</v>
      </c>
      <c r="L19" t="s" s="2">
        <v>22</v>
      </c>
      <c r="M19" t="s" s="2">
        <v>22</v>
      </c>
    </row>
    <row r="20" ht="25.0" customHeight="true">
      <c r="A20" t="s" s="2">
        <v>13</v>
      </c>
      <c r="B20" t="s" s="2">
        <f>HYPERLINK("http://ts.21cn.com/tousu/show/id/1374159","小赢卡贷高利息并软暴力催收")</f>
      </c>
      <c r="C20" t="s" s="2">
        <v>15</v>
      </c>
      <c r="D20" t="s" s="2">
        <v>16</v>
      </c>
      <c r="E20" t="s" s="2">
        <v>17</v>
      </c>
      <c r="F20" t="s" s="2">
        <f>HYPERLINK("http://ts.21cn.com/tousu/show/id/1374159","http://ts.21cn.com/tousu/show/id/1374159")</f>
      </c>
      <c r="G20" t="s" s="2">
        <v>17</v>
      </c>
      <c r="H20" t="s" s="2">
        <v>19</v>
      </c>
      <c r="I20" t="s" s="2">
        <v>94</v>
      </c>
      <c r="J20" t="s" s="2">
        <v>95</v>
      </c>
      <c r="K20" t="s" s="2">
        <v>22</v>
      </c>
      <c r="L20" t="s" s="2">
        <v>22</v>
      </c>
      <c r="M20" t="s" s="2">
        <v>22</v>
      </c>
    </row>
    <row r="21" ht="25.0" customHeight="true">
      <c r="A21" t="s" s="2">
        <v>13</v>
      </c>
      <c r="B21" t="s" s="2">
        <f>HYPERLINK("http://ts.21cn.com/tousu/show/id/1374160","尚德机构咖啡易融套路贷强制消费")</f>
      </c>
      <c r="C21" t="s" s="2">
        <v>15</v>
      </c>
      <c r="D21" t="s" s="2">
        <v>16</v>
      </c>
      <c r="E21" t="s" s="2">
        <v>17</v>
      </c>
      <c r="F21" t="s" s="2">
        <f>HYPERLINK("http://ts.21cn.com/tousu/show/id/1374160","http://ts.21cn.com/tousu/show/id/1374160")</f>
      </c>
      <c r="G21" t="s" s="2">
        <v>17</v>
      </c>
      <c r="H21" t="s" s="2">
        <v>19</v>
      </c>
      <c r="I21" t="s" s="2">
        <v>98</v>
      </c>
      <c r="J21" t="s" s="2">
        <v>99</v>
      </c>
      <c r="K21" t="s" s="2">
        <v>22</v>
      </c>
      <c r="L21" t="s" s="2">
        <v>22</v>
      </c>
      <c r="M21" t="s" s="2">
        <v>22</v>
      </c>
    </row>
    <row r="22" ht="25.0" customHeight="true">
      <c r="A22" t="s" s="2">
        <v>13</v>
      </c>
      <c r="B22" t="s" s="2">
        <f>HYPERLINK("http://ts.21cn.com/tousu/show/id/1374158","北京恒易融高利息")</f>
      </c>
      <c r="C22" t="s" s="2">
        <v>52</v>
      </c>
      <c r="D22" t="s" s="2">
        <v>16</v>
      </c>
      <c r="E22" t="s" s="2">
        <v>17</v>
      </c>
      <c r="F22" t="s" s="2">
        <f>HYPERLINK("http://ts.21cn.com/tousu/show/id/1374158","http://ts.21cn.com/tousu/show/id/1374158")</f>
      </c>
      <c r="G22" t="s" s="2">
        <v>17</v>
      </c>
      <c r="H22" t="s" s="2">
        <v>19</v>
      </c>
      <c r="I22" t="s" s="2">
        <v>102</v>
      </c>
      <c r="J22" t="s" s="2">
        <v>103</v>
      </c>
      <c r="K22" t="s" s="2">
        <v>22</v>
      </c>
      <c r="L22" t="s" s="2">
        <v>22</v>
      </c>
      <c r="M22" t="s" s="2">
        <v>22</v>
      </c>
    </row>
    <row r="23" ht="25.0" customHeight="true">
      <c r="A23" t="s" s="2">
        <v>13</v>
      </c>
      <c r="B23" t="s" s="2">
        <f>HYPERLINK("http://ts.21cn.com/tousu/show/id/1374157","利息过高，冒充银行给我家人打电话")</f>
      </c>
      <c r="C23" t="s" s="2">
        <v>15</v>
      </c>
      <c r="D23" t="s" s="2">
        <v>16</v>
      </c>
      <c r="E23" t="s" s="2">
        <v>17</v>
      </c>
      <c r="F23" t="s" s="2">
        <f>HYPERLINK("http://ts.21cn.com/tousu/show/id/1374157","http://ts.21cn.com/tousu/show/id/1374157")</f>
      </c>
      <c r="G23" t="s" s="2">
        <v>17</v>
      </c>
      <c r="H23" t="s" s="2">
        <v>19</v>
      </c>
      <c r="I23" t="s" s="2">
        <v>106</v>
      </c>
      <c r="J23" t="s" s="2">
        <v>107</v>
      </c>
      <c r="K23" t="s" s="2">
        <v>22</v>
      </c>
      <c r="L23" t="s" s="2">
        <v>22</v>
      </c>
      <c r="M23" t="s" s="2">
        <v>22</v>
      </c>
    </row>
    <row r="24" ht="25.0" customHeight="true">
      <c r="A24" t="s" s="2">
        <v>13</v>
      </c>
      <c r="B24" t="s" s="2">
        <f>HYPERLINK("http://ts.21cn.com/tousu/show/id/1374156","闪银贷款高额砍头息")</f>
      </c>
      <c r="C24" t="s" s="2">
        <v>52</v>
      </c>
      <c r="D24" t="s" s="2">
        <v>16</v>
      </c>
      <c r="E24" t="s" s="2">
        <v>17</v>
      </c>
      <c r="F24" t="s" s="2">
        <f>HYPERLINK("http://ts.21cn.com/tousu/show/id/1374156","http://ts.21cn.com/tousu/show/id/1374156")</f>
      </c>
      <c r="G24" t="s" s="2">
        <v>17</v>
      </c>
      <c r="H24" t="s" s="2">
        <v>19</v>
      </c>
      <c r="I24" t="s" s="2">
        <v>110</v>
      </c>
      <c r="J24" t="s" s="2">
        <v>111</v>
      </c>
      <c r="K24" t="s" s="2">
        <v>22</v>
      </c>
      <c r="L24" t="s" s="2">
        <v>22</v>
      </c>
      <c r="M24" t="s" s="2">
        <v>22</v>
      </c>
    </row>
    <row r="25" ht="25.0" customHeight="true">
      <c r="A25" t="s" s="2">
        <v>13</v>
      </c>
      <c r="B25" t="s" s="2">
        <f>HYPERLINK("http://ts.21cn.com/tousu/show/id/1374153","多次与银行沟通协商未果，并且第三方催收人员威胁上门催收，要求全额还款")</f>
      </c>
      <c r="C25" t="s" s="2">
        <v>15</v>
      </c>
      <c r="D25" t="s" s="2">
        <v>16</v>
      </c>
      <c r="E25" t="s" s="2">
        <v>17</v>
      </c>
      <c r="F25" t="s" s="2">
        <f>HYPERLINK("http://ts.21cn.com/tousu/show/id/1374153","http://ts.21cn.com/tousu/show/id/1374153")</f>
      </c>
      <c r="G25" t="s" s="2">
        <v>17</v>
      </c>
      <c r="H25" t="s" s="2">
        <v>19</v>
      </c>
      <c r="I25" t="s" s="2">
        <v>114</v>
      </c>
      <c r="J25" t="s" s="2">
        <v>115</v>
      </c>
      <c r="K25" t="s" s="2">
        <v>22</v>
      </c>
      <c r="L25" t="s" s="2">
        <v>22</v>
      </c>
      <c r="M25" t="s" s="2">
        <v>22</v>
      </c>
    </row>
    <row r="26" ht="25.0" customHeight="true">
      <c r="A26" t="s" s="2">
        <v>13</v>
      </c>
      <c r="B26" t="s" s="2">
        <f>HYPERLINK("http://ts.21cn.com/tousu/show/id/1374154","软暴力，伪造公文")</f>
      </c>
      <c r="C26" t="s" s="2">
        <v>15</v>
      </c>
      <c r="D26" t="s" s="2">
        <v>16</v>
      </c>
      <c r="E26" t="s" s="2">
        <v>17</v>
      </c>
      <c r="F26" t="s" s="2">
        <f>HYPERLINK("http://ts.21cn.com/tousu/show/id/1374154","http://ts.21cn.com/tousu/show/id/1374154")</f>
      </c>
      <c r="G26" t="s" s="2">
        <v>17</v>
      </c>
      <c r="H26" t="s" s="2">
        <v>19</v>
      </c>
      <c r="I26" t="s" s="2">
        <v>114</v>
      </c>
      <c r="J26" t="s" s="2">
        <v>118</v>
      </c>
      <c r="K26" t="s" s="2">
        <v>22</v>
      </c>
      <c r="L26" t="s" s="2">
        <v>22</v>
      </c>
      <c r="M26" t="s" s="2">
        <v>22</v>
      </c>
    </row>
    <row r="27" ht="25.0" customHeight="true">
      <c r="A27" t="s" s="2">
        <v>13</v>
      </c>
      <c r="B27" t="s" s="2">
        <f>HYPERLINK("http://ts.21cn.com/tousu/show/id/1374152","人人贷催收过份")</f>
      </c>
      <c r="C27" t="s" s="2">
        <v>15</v>
      </c>
      <c r="D27" t="s" s="2">
        <v>16</v>
      </c>
      <c r="E27" t="s" s="2">
        <v>17</v>
      </c>
      <c r="F27" t="s" s="2">
        <f>HYPERLINK("http://ts.21cn.com/tousu/show/id/1374152","http://ts.21cn.com/tousu/show/id/1374152")</f>
      </c>
      <c r="G27" t="s" s="2">
        <v>17</v>
      </c>
      <c r="H27" t="s" s="2">
        <v>19</v>
      </c>
      <c r="I27" t="s" s="2">
        <v>121</v>
      </c>
      <c r="J27" t="s" s="2">
        <v>122</v>
      </c>
      <c r="K27" t="s" s="2">
        <v>22</v>
      </c>
      <c r="L27" t="s" s="2">
        <v>22</v>
      </c>
      <c r="M27" t="s" s="2">
        <v>22</v>
      </c>
    </row>
    <row r="28" ht="25.0" customHeight="true">
      <c r="A28" t="s" s="2">
        <v>13</v>
      </c>
      <c r="B28" t="s" s="2">
        <f>HYPERLINK("http://ts.21cn.com/tousu/show/id/1374148","马上金融催讨恐吓要联系家人与朋友")</f>
      </c>
      <c r="C28" t="s" s="2">
        <v>15</v>
      </c>
      <c r="D28" t="s" s="2">
        <v>16</v>
      </c>
      <c r="E28" t="s" s="2">
        <v>17</v>
      </c>
      <c r="F28" t="s" s="2">
        <f>HYPERLINK("http://ts.21cn.com/tousu/show/id/1374148","http://ts.21cn.com/tousu/show/id/1374148")</f>
      </c>
      <c r="G28" t="s" s="2">
        <v>17</v>
      </c>
      <c r="H28" t="s" s="2">
        <v>19</v>
      </c>
      <c r="I28" t="s" s="2">
        <v>125</v>
      </c>
      <c r="J28" t="s" s="2">
        <v>126</v>
      </c>
      <c r="K28" t="s" s="2">
        <v>22</v>
      </c>
      <c r="L28" t="s" s="2">
        <v>22</v>
      </c>
      <c r="M28" t="s" s="2">
        <v>22</v>
      </c>
    </row>
    <row r="29" ht="25.0" customHeight="true">
      <c r="A29" t="s" s="2">
        <v>13</v>
      </c>
      <c r="B29" t="s" s="2">
        <f>HYPERLINK("http://ts.21cn.com/tousu/show/id/1374150","多米贷砍头息暴力催收")</f>
      </c>
      <c r="C29" t="s" s="2">
        <v>15</v>
      </c>
      <c r="D29" t="s" s="2">
        <v>16</v>
      </c>
      <c r="E29" t="s" s="2">
        <v>17</v>
      </c>
      <c r="F29" t="s" s="2">
        <f>HYPERLINK("http://ts.21cn.com/tousu/show/id/1374150","http://ts.21cn.com/tousu/show/id/1374150")</f>
      </c>
      <c r="G29" t="s" s="2">
        <v>17</v>
      </c>
      <c r="H29" t="s" s="2">
        <v>19</v>
      </c>
      <c r="I29" t="s" s="2">
        <v>129</v>
      </c>
      <c r="J29" t="s" s="2">
        <v>130</v>
      </c>
      <c r="K29" t="s" s="2">
        <v>22</v>
      </c>
      <c r="L29" t="s" s="2">
        <v>22</v>
      </c>
      <c r="M29" t="s" s="2">
        <v>22</v>
      </c>
    </row>
    <row r="30" ht="25.0" customHeight="true">
      <c r="A30" t="s" s="2">
        <v>13</v>
      </c>
      <c r="B30" t="s" s="2">
        <f>HYPERLINK("http://ts.21cn.com/tousu/show/id/1374147","骚扰威胁恐吓")</f>
      </c>
      <c r="C30" t="s" s="2">
        <v>15</v>
      </c>
      <c r="D30" t="s" s="2">
        <v>16</v>
      </c>
      <c r="E30" t="s" s="2">
        <v>17</v>
      </c>
      <c r="F30" t="s" s="2">
        <f>HYPERLINK("http://ts.21cn.com/tousu/show/id/1374147","http://ts.21cn.com/tousu/show/id/1374147")</f>
      </c>
      <c r="G30" t="s" s="2">
        <v>17</v>
      </c>
      <c r="H30" t="s" s="2">
        <v>19</v>
      </c>
      <c r="I30" t="s" s="2">
        <v>133</v>
      </c>
      <c r="J30" t="s" s="2">
        <v>134</v>
      </c>
      <c r="K30" t="s" s="2">
        <v>22</v>
      </c>
      <c r="L30" t="s" s="2">
        <v>22</v>
      </c>
      <c r="M30" t="s" s="2">
        <v>22</v>
      </c>
    </row>
    <row r="31" ht="25.0" customHeight="true">
      <c r="A31" t="s" s="2">
        <v>13</v>
      </c>
      <c r="B31" t="s" s="2">
        <f>HYPERLINK("http://ts.21cn.com/tousu/show/id/1374146","希望客服不要拖延尽快处理")</f>
      </c>
      <c r="C31" t="s" s="2">
        <v>15</v>
      </c>
      <c r="D31" t="s" s="2">
        <v>16</v>
      </c>
      <c r="E31" t="s" s="2">
        <v>17</v>
      </c>
      <c r="F31" t="s" s="2">
        <f>HYPERLINK("http://ts.21cn.com/tousu/show/id/1374146","http://ts.21cn.com/tousu/show/id/1374146")</f>
      </c>
      <c r="G31" t="s" s="2">
        <v>17</v>
      </c>
      <c r="H31" t="s" s="2">
        <v>19</v>
      </c>
      <c r="I31" t="s" s="2">
        <v>137</v>
      </c>
      <c r="J31" t="s" s="2">
        <v>138</v>
      </c>
      <c r="K31" t="s" s="2">
        <v>22</v>
      </c>
      <c r="L31" t="s" s="2">
        <v>22</v>
      </c>
      <c r="M31" t="s" s="2">
        <v>22</v>
      </c>
    </row>
    <row r="32" ht="25.0" customHeight="true">
      <c r="A32" t="s" s="2">
        <v>13</v>
      </c>
      <c r="B32" t="s" s="2">
        <f>HYPERLINK("http://ts.21cn.com/tousu/show/id/1374145","充值VIP")</f>
      </c>
      <c r="C32" t="s" s="2">
        <v>15</v>
      </c>
      <c r="D32" t="s" s="2">
        <v>16</v>
      </c>
      <c r="E32" t="s" s="2">
        <v>17</v>
      </c>
      <c r="F32" t="s" s="2">
        <f>HYPERLINK("http://ts.21cn.com/tousu/show/id/1374145","http://ts.21cn.com/tousu/show/id/1374145")</f>
      </c>
      <c r="G32" t="s" s="2">
        <v>17</v>
      </c>
      <c r="H32" t="s" s="2">
        <v>19</v>
      </c>
      <c r="I32" t="s" s="2">
        <v>141</v>
      </c>
      <c r="J32" t="s" s="2">
        <v>142</v>
      </c>
      <c r="K32" t="s" s="2">
        <v>22</v>
      </c>
      <c r="L32" t="s" s="2">
        <v>22</v>
      </c>
      <c r="M32" t="s" s="2">
        <v>22</v>
      </c>
    </row>
    <row r="33" ht="25.0" customHeight="true">
      <c r="A33" t="s" s="2">
        <v>13</v>
      </c>
      <c r="B33" t="s" s="2">
        <f>HYPERLINK("http://ts.21cn.com/tousu/show/id/1374065","快来借骚扰不断")</f>
      </c>
      <c r="C33" t="s" s="2">
        <v>15</v>
      </c>
      <c r="D33" t="s" s="2">
        <v>16</v>
      </c>
      <c r="E33" t="s" s="2">
        <v>17</v>
      </c>
      <c r="F33" t="s" s="2">
        <f>HYPERLINK("http://ts.21cn.com/tousu/show/id/1374065","http://ts.21cn.com/tousu/show/id/1374065")</f>
      </c>
      <c r="G33" t="s" s="2">
        <v>17</v>
      </c>
      <c r="H33" t="s" s="2">
        <v>19</v>
      </c>
      <c r="I33" t="s" s="2">
        <v>145</v>
      </c>
      <c r="J33" t="s" s="2">
        <v>146</v>
      </c>
      <c r="K33" t="s" s="2">
        <v>22</v>
      </c>
      <c r="L33" t="s" s="2">
        <v>22</v>
      </c>
      <c r="M33" t="s" s="2">
        <v>22</v>
      </c>
    </row>
    <row r="34" ht="25.0" customHeight="true">
      <c r="A34" t="s" s="2">
        <v>13</v>
      </c>
      <c r="B34" t="s" s="2">
        <f>HYPERLINK("http://ts.21cn.com/tousu/show/id/1374144","钱站")</f>
      </c>
      <c r="C34" t="s" s="2">
        <v>15</v>
      </c>
      <c r="D34" t="s" s="2">
        <v>16</v>
      </c>
      <c r="E34" t="s" s="2">
        <v>17</v>
      </c>
      <c r="F34" t="s" s="2">
        <f>HYPERLINK("http://ts.21cn.com/tousu/show/id/1374144","http://ts.21cn.com/tousu/show/id/1374144")</f>
      </c>
      <c r="G34" t="s" s="2">
        <v>17</v>
      </c>
      <c r="H34" t="s" s="2">
        <v>19</v>
      </c>
      <c r="I34" t="s" s="2">
        <v>149</v>
      </c>
      <c r="J34" t="s" s="2">
        <v>150</v>
      </c>
      <c r="K34" t="s" s="2">
        <v>22</v>
      </c>
      <c r="L34" t="s" s="2">
        <v>22</v>
      </c>
      <c r="M34" t="s" s="2">
        <v>22</v>
      </c>
    </row>
    <row r="35" ht="25.0" customHeight="true">
      <c r="A35" t="s" s="2">
        <v>13</v>
      </c>
      <c r="B35" t="s" s="2">
        <f>HYPERLINK("http://ts.21cn.com/tousu/show/id/1374143","立借不正常利息")</f>
      </c>
      <c r="C35" t="s" s="2">
        <v>52</v>
      </c>
      <c r="D35" t="s" s="2">
        <v>16</v>
      </c>
      <c r="E35" t="s" s="2">
        <v>17</v>
      </c>
      <c r="F35" t="s" s="2">
        <f>HYPERLINK("http://ts.21cn.com/tousu/show/id/1374143","http://ts.21cn.com/tousu/show/id/1374143")</f>
      </c>
      <c r="G35" t="s" s="2">
        <v>17</v>
      </c>
      <c r="H35" t="s" s="2">
        <v>19</v>
      </c>
      <c r="I35" t="s" s="2">
        <v>153</v>
      </c>
      <c r="J35" t="s" s="2">
        <v>154</v>
      </c>
      <c r="K35" t="s" s="2">
        <v>22</v>
      </c>
      <c r="L35" t="s" s="2">
        <v>22</v>
      </c>
      <c r="M35" t="s" s="2">
        <v>22</v>
      </c>
    </row>
    <row r="36" ht="25.0" customHeight="true">
      <c r="A36" t="s" s="2">
        <v>13</v>
      </c>
      <c r="B36" t="s" s="2">
        <f>HYPERLINK("http://ts.21cn.com/tousu/show/id/1374142","逾期一天就打联系人电话！请合理合法催收")</f>
      </c>
      <c r="C36" t="s" s="2">
        <v>52</v>
      </c>
      <c r="D36" t="s" s="2">
        <v>16</v>
      </c>
      <c r="E36" t="s" s="2">
        <v>17</v>
      </c>
      <c r="F36" t="s" s="2">
        <f>HYPERLINK("http://ts.21cn.com/tousu/show/id/1374142","http://ts.21cn.com/tousu/show/id/1374142")</f>
      </c>
      <c r="G36" t="s" s="2">
        <v>17</v>
      </c>
      <c r="H36" t="s" s="2">
        <v>19</v>
      </c>
      <c r="I36" t="s" s="2">
        <v>157</v>
      </c>
      <c r="J36" t="s" s="2">
        <v>158</v>
      </c>
      <c r="K36" t="s" s="2">
        <v>22</v>
      </c>
      <c r="L36" t="s" s="2">
        <v>22</v>
      </c>
      <c r="M36" t="s" s="2">
        <v>22</v>
      </c>
    </row>
    <row r="37" ht="25.0" customHeight="true">
      <c r="A37" t="s" s="2">
        <v>13</v>
      </c>
      <c r="B37" t="s" s="2">
        <f>HYPERLINK("http://ts.21cn.com/tousu/show/id/1374139","海浪分期高利贷，砍头息")</f>
      </c>
      <c r="C37" t="s" s="2">
        <v>15</v>
      </c>
      <c r="D37" t="s" s="2">
        <v>16</v>
      </c>
      <c r="E37" t="s" s="2">
        <v>17</v>
      </c>
      <c r="F37" t="s" s="2">
        <f>HYPERLINK("http://ts.21cn.com/tousu/show/id/1374139","http://ts.21cn.com/tousu/show/id/1374139")</f>
      </c>
      <c r="G37" t="s" s="2">
        <v>17</v>
      </c>
      <c r="H37" t="s" s="2">
        <v>19</v>
      </c>
      <c r="I37" t="s" s="2">
        <v>161</v>
      </c>
      <c r="J37" t="s" s="2">
        <v>162</v>
      </c>
      <c r="K37" t="s" s="2">
        <v>22</v>
      </c>
      <c r="L37" t="s" s="2">
        <v>22</v>
      </c>
      <c r="M37" t="s" s="2">
        <v>22</v>
      </c>
    </row>
    <row r="38" ht="25.0" customHeight="true">
      <c r="A38" t="s" s="2">
        <v>13</v>
      </c>
      <c r="B38" t="s" s="2">
        <f>HYPERLINK("http://ts.21cn.com/tousu/show/id/1374140","高利贷暴力催收")</f>
      </c>
      <c r="C38" t="s" s="2">
        <v>15</v>
      </c>
      <c r="D38" t="s" s="2">
        <v>16</v>
      </c>
      <c r="E38" t="s" s="2">
        <v>17</v>
      </c>
      <c r="F38" t="s" s="2">
        <f>HYPERLINK("http://ts.21cn.com/tousu/show/id/1374140","http://ts.21cn.com/tousu/show/id/1374140")</f>
      </c>
      <c r="G38" t="s" s="2">
        <v>17</v>
      </c>
      <c r="H38" t="s" s="2">
        <v>19</v>
      </c>
      <c r="I38" t="s" s="2">
        <v>165</v>
      </c>
      <c r="J38" t="s" s="2">
        <v>166</v>
      </c>
      <c r="K38" t="s" s="2">
        <v>22</v>
      </c>
      <c r="L38" t="s" s="2">
        <v>22</v>
      </c>
      <c r="M38" t="s" s="2">
        <v>22</v>
      </c>
    </row>
    <row r="39" ht="25.0" customHeight="true">
      <c r="A39" t="s" s="2">
        <v>13</v>
      </c>
      <c r="B39" t="s" s="2">
        <f>HYPERLINK("http://ts.21cn.com/tousu/show/id/1374138","私欺诈消费者，隐藏条款，在不知情的情况下扣除费用")</f>
      </c>
      <c r="C39" t="s" s="2">
        <v>15</v>
      </c>
      <c r="D39" t="s" s="2">
        <v>16</v>
      </c>
      <c r="E39" t="s" s="2">
        <v>17</v>
      </c>
      <c r="F39" t="s" s="2">
        <f>HYPERLINK("http://ts.21cn.com/tousu/show/id/1374138","http://ts.21cn.com/tousu/show/id/1374138")</f>
      </c>
      <c r="G39" t="s" s="2">
        <v>17</v>
      </c>
      <c r="H39" t="s" s="2">
        <v>19</v>
      </c>
      <c r="I39" t="s" s="2">
        <v>169</v>
      </c>
      <c r="J39" t="s" s="2">
        <v>170</v>
      </c>
      <c r="K39" t="s" s="2">
        <v>22</v>
      </c>
      <c r="L39" t="s" s="2">
        <v>22</v>
      </c>
      <c r="M39" t="s" s="2">
        <v>22</v>
      </c>
    </row>
    <row r="40" ht="25.0" customHeight="true">
      <c r="A40" t="s" s="2">
        <v>13</v>
      </c>
      <c r="B40" t="s" s="2">
        <f>HYPERLINK("http://ts.21cn.com/tousu/show/id/1374136","贷款一万元收取担保费和风险评估费1450元")</f>
      </c>
      <c r="C40" t="s" s="2">
        <v>15</v>
      </c>
      <c r="D40" t="s" s="2">
        <v>16</v>
      </c>
      <c r="E40" t="s" s="2">
        <v>17</v>
      </c>
      <c r="F40" t="s" s="2">
        <f>HYPERLINK("http://ts.21cn.com/tousu/show/id/1374136","http://ts.21cn.com/tousu/show/id/1374136")</f>
      </c>
      <c r="G40" t="s" s="2">
        <v>17</v>
      </c>
      <c r="H40" t="s" s="2">
        <v>19</v>
      </c>
      <c r="I40" t="s" s="2">
        <v>173</v>
      </c>
      <c r="J40" t="s" s="2">
        <v>174</v>
      </c>
      <c r="K40" t="s" s="2">
        <v>22</v>
      </c>
      <c r="L40" t="s" s="2">
        <v>22</v>
      </c>
      <c r="M40" t="s" s="2">
        <v>22</v>
      </c>
    </row>
    <row r="41" ht="25.0" customHeight="true">
      <c r="A41" t="s" s="2">
        <v>13</v>
      </c>
      <c r="B41" t="s" s="2">
        <f>HYPERLINK("http://ts.21cn.com/tousu/show/id/1374137","利息太高，砍头息")</f>
      </c>
      <c r="C41" t="s" s="2">
        <v>15</v>
      </c>
      <c r="D41" t="s" s="2">
        <v>16</v>
      </c>
      <c r="E41" t="s" s="2">
        <v>17</v>
      </c>
      <c r="F41" t="s" s="2">
        <f>HYPERLINK("http://ts.21cn.com/tousu/show/id/1374137","http://ts.21cn.com/tousu/show/id/1374137")</f>
      </c>
      <c r="G41" t="s" s="2">
        <v>17</v>
      </c>
      <c r="H41" t="s" s="2">
        <v>19</v>
      </c>
      <c r="I41" t="s" s="2">
        <v>177</v>
      </c>
      <c r="J41" t="s" s="2">
        <v>178</v>
      </c>
      <c r="K41" t="s" s="2">
        <v>22</v>
      </c>
      <c r="L41" t="s" s="2">
        <v>22</v>
      </c>
      <c r="M41" t="s" s="2">
        <v>22</v>
      </c>
    </row>
    <row r="42" ht="25.0" customHeight="true">
      <c r="A42" t="s" s="2">
        <v>13</v>
      </c>
      <c r="B42" t="s" s="2">
        <f>HYPERLINK("http://ts.21cn.com/tousu/show/id/1374135","高利贷人人贷")</f>
      </c>
      <c r="C42" t="s" s="2">
        <v>15</v>
      </c>
      <c r="D42" t="s" s="2">
        <v>16</v>
      </c>
      <c r="E42" t="s" s="2">
        <v>17</v>
      </c>
      <c r="F42" t="s" s="2">
        <f>HYPERLINK("http://ts.21cn.com/tousu/show/id/1374135","http://ts.21cn.com/tousu/show/id/1374135")</f>
      </c>
      <c r="G42" t="s" s="2">
        <v>17</v>
      </c>
      <c r="H42" t="s" s="2">
        <v>19</v>
      </c>
      <c r="I42" t="s" s="2">
        <v>181</v>
      </c>
      <c r="J42" t="s" s="2">
        <v>182</v>
      </c>
      <c r="K42" t="s" s="2">
        <v>22</v>
      </c>
      <c r="L42" t="s" s="2">
        <v>22</v>
      </c>
      <c r="M42" t="s" s="2">
        <v>22</v>
      </c>
    </row>
    <row r="43" ht="25.0" customHeight="true">
      <c r="A43" t="s" s="2">
        <v>13</v>
      </c>
      <c r="B43" t="s" s="2">
        <f>HYPERLINK("http://ts.21cn.com/tousu/show/id/1374132","微粒贷一直再打我电话")</f>
      </c>
      <c r="C43" t="s" s="2">
        <v>15</v>
      </c>
      <c r="D43" t="s" s="2">
        <v>16</v>
      </c>
      <c r="E43" t="s" s="2">
        <v>17</v>
      </c>
      <c r="F43" t="s" s="2">
        <f>HYPERLINK("http://ts.21cn.com/tousu/show/id/1374132","http://ts.21cn.com/tousu/show/id/1374132")</f>
      </c>
      <c r="G43" t="s" s="2">
        <v>17</v>
      </c>
      <c r="H43" t="s" s="2">
        <v>19</v>
      </c>
      <c r="I43" t="s" s="2">
        <v>185</v>
      </c>
      <c r="J43" t="s" s="2">
        <v>186</v>
      </c>
      <c r="K43" t="s" s="2">
        <v>22</v>
      </c>
      <c r="L43" t="s" s="2">
        <v>22</v>
      </c>
      <c r="M43" t="s" s="2">
        <v>22</v>
      </c>
    </row>
    <row r="44" ht="25.0" customHeight="true">
      <c r="A44" t="s" s="2">
        <v>13</v>
      </c>
      <c r="B44" t="s" s="2">
        <f>HYPERLINK("http://ts.21cn.com/tousu/show/id/1374134","U钱包高额利息，暴力催收，爆通讯录，协商还款，没有结果")</f>
      </c>
      <c r="C44" t="s" s="2">
        <v>15</v>
      </c>
      <c r="D44" t="s" s="2">
        <v>16</v>
      </c>
      <c r="E44" t="s" s="2">
        <v>17</v>
      </c>
      <c r="F44" t="s" s="2">
        <f>HYPERLINK("http://ts.21cn.com/tousu/show/id/1374134","http://ts.21cn.com/tousu/show/id/1374134")</f>
      </c>
      <c r="G44" t="s" s="2">
        <v>17</v>
      </c>
      <c r="H44" t="s" s="2">
        <v>19</v>
      </c>
      <c r="I44" t="s" s="2">
        <v>189</v>
      </c>
      <c r="J44" t="s" s="2">
        <v>190</v>
      </c>
      <c r="K44" t="s" s="2">
        <v>22</v>
      </c>
      <c r="L44" t="s" s="2">
        <v>22</v>
      </c>
      <c r="M44" t="s" s="2">
        <v>22</v>
      </c>
    </row>
    <row r="45" ht="25.0" customHeight="true">
      <c r="A45" t="s" s="2">
        <v>13</v>
      </c>
      <c r="B45" t="s" s="2">
        <f>HYPERLINK("http://ts.21cn.com/tousu/show/id/1374131","卡牛瑞贷不及时销账")</f>
      </c>
      <c r="C45" t="s" s="2">
        <v>15</v>
      </c>
      <c r="D45" t="s" s="2">
        <v>16</v>
      </c>
      <c r="E45" t="s" s="2">
        <v>17</v>
      </c>
      <c r="F45" t="s" s="2">
        <f>HYPERLINK("http://ts.21cn.com/tousu/show/id/1374131","http://ts.21cn.com/tousu/show/id/1374131")</f>
      </c>
      <c r="G45" t="s" s="2">
        <v>17</v>
      </c>
      <c r="H45" t="s" s="2">
        <v>19</v>
      </c>
      <c r="I45" t="s" s="2">
        <v>193</v>
      </c>
      <c r="J45" t="s" s="2">
        <v>194</v>
      </c>
      <c r="K45" t="s" s="2">
        <v>22</v>
      </c>
      <c r="L45" t="s" s="2">
        <v>22</v>
      </c>
      <c r="M45" t="s" s="2">
        <v>22</v>
      </c>
    </row>
    <row r="46" ht="25.0" customHeight="true">
      <c r="A46" t="s" s="2">
        <v>13</v>
      </c>
      <c r="B46" t="s" s="2">
        <f>HYPERLINK("http://ts.21cn.com/tousu/show/id/1374130","不知道的情况下被扣走钱")</f>
      </c>
      <c r="C46" t="s" s="2">
        <v>15</v>
      </c>
      <c r="D46" t="s" s="2">
        <v>16</v>
      </c>
      <c r="E46" t="s" s="2">
        <v>17</v>
      </c>
      <c r="F46" t="s" s="2">
        <f>HYPERLINK("http://ts.21cn.com/tousu/show/id/1374130","http://ts.21cn.com/tousu/show/id/1374130")</f>
      </c>
      <c r="G46" t="s" s="2">
        <v>17</v>
      </c>
      <c r="H46" t="s" s="2">
        <v>19</v>
      </c>
      <c r="I46" t="s" s="2">
        <v>197</v>
      </c>
      <c r="J46" t="s" s="2">
        <v>198</v>
      </c>
      <c r="K46" t="s" s="2">
        <v>22</v>
      </c>
      <c r="L46" t="s" s="2">
        <v>22</v>
      </c>
      <c r="M46" t="s" s="2">
        <v>22</v>
      </c>
    </row>
    <row r="47" ht="25.0" customHeight="true">
      <c r="A47" t="s" s="2">
        <v>13</v>
      </c>
      <c r="B47" t="s" s="2">
        <f>HYPERLINK("http://ts.21cn.com/tousu/show/id/1374129","平安银行")</f>
      </c>
      <c r="C47" t="s" s="2">
        <v>15</v>
      </c>
      <c r="D47" t="s" s="2">
        <v>16</v>
      </c>
      <c r="E47" t="s" s="2">
        <v>17</v>
      </c>
      <c r="F47" t="s" s="2">
        <f>HYPERLINK("http://ts.21cn.com/tousu/show/id/1374129","http://ts.21cn.com/tousu/show/id/1374129")</f>
      </c>
      <c r="G47" t="s" s="2">
        <v>17</v>
      </c>
      <c r="H47" t="s" s="2">
        <v>19</v>
      </c>
      <c r="I47" t="s" s="2">
        <v>201</v>
      </c>
      <c r="J47" t="s" s="2">
        <v>202</v>
      </c>
      <c r="K47" t="s" s="2">
        <v>22</v>
      </c>
      <c r="L47" t="s" s="2">
        <v>22</v>
      </c>
      <c r="M47" t="s" s="2">
        <v>22</v>
      </c>
    </row>
    <row r="48" ht="25.0" customHeight="true">
      <c r="A48" t="s" s="2">
        <v>13</v>
      </c>
      <c r="B48" t="s" s="2">
        <f>HYPERLINK("http://ts.21cn.com/tousu/show/id/1374128","公司业务员办理的时候说利息低没有附加费，等你用上了利息高，名目繁多的不合理收费。收取高额的管理费暗含砍头息。")</f>
      </c>
      <c r="C48" t="s" s="2">
        <v>15</v>
      </c>
      <c r="D48" t="s" s="2">
        <v>16</v>
      </c>
      <c r="E48" t="s" s="2">
        <v>17</v>
      </c>
      <c r="F48" t="s" s="2">
        <f>HYPERLINK("http://ts.21cn.com/tousu/show/id/1374128","http://ts.21cn.com/tousu/show/id/1374128")</f>
      </c>
      <c r="G48" t="s" s="2">
        <v>17</v>
      </c>
      <c r="H48" t="s" s="2">
        <v>19</v>
      </c>
      <c r="I48" t="s" s="2">
        <v>205</v>
      </c>
      <c r="J48" t="s" s="2">
        <v>206</v>
      </c>
      <c r="K48" t="s" s="2">
        <v>22</v>
      </c>
      <c r="L48" t="s" s="2">
        <v>22</v>
      </c>
      <c r="M48" t="s" s="2">
        <v>22</v>
      </c>
    </row>
    <row r="49" ht="25.0" customHeight="true">
      <c r="A49" t="s" s="2">
        <v>13</v>
      </c>
      <c r="B49" t="s" s="2">
        <f>HYPERLINK("http://ts.21cn.com/tousu/show/id/1374124","立借，叮当想花欺诈，暴力催收")</f>
      </c>
      <c r="C49" t="s" s="2">
        <v>15</v>
      </c>
      <c r="D49" t="s" s="2">
        <v>16</v>
      </c>
      <c r="E49" t="s" s="2">
        <v>17</v>
      </c>
      <c r="F49" t="s" s="2">
        <f>HYPERLINK("http://ts.21cn.com/tousu/show/id/1374124","http://ts.21cn.com/tousu/show/id/1374124")</f>
      </c>
      <c r="G49" t="s" s="2">
        <v>17</v>
      </c>
      <c r="H49" t="s" s="2">
        <v>19</v>
      </c>
      <c r="I49" t="s" s="2">
        <v>209</v>
      </c>
      <c r="J49" t="s" s="2">
        <v>210</v>
      </c>
      <c r="K49" t="s" s="2">
        <v>22</v>
      </c>
      <c r="L49" t="s" s="2">
        <v>22</v>
      </c>
      <c r="M49" t="s" s="2">
        <v>22</v>
      </c>
    </row>
    <row r="50" ht="25.0" customHeight="true">
      <c r="A50" t="s" s="2">
        <v>13</v>
      </c>
      <c r="B50" t="s" s="2">
        <f>HYPERLINK("http://ts.21cn.com/tousu/show/id/1374127","高利贷，砍头利息")</f>
      </c>
      <c r="C50" t="s" s="2">
        <v>15</v>
      </c>
      <c r="D50" t="s" s="2">
        <v>16</v>
      </c>
      <c r="E50" t="s" s="2">
        <v>17</v>
      </c>
      <c r="F50" t="s" s="2">
        <f>HYPERLINK("http://ts.21cn.com/tousu/show/id/1374127","http://ts.21cn.com/tousu/show/id/1374127")</f>
      </c>
      <c r="G50" t="s" s="2">
        <v>17</v>
      </c>
      <c r="H50" t="s" s="2">
        <v>19</v>
      </c>
      <c r="I50" t="s" s="2">
        <v>213</v>
      </c>
      <c r="J50" t="s" s="2">
        <v>214</v>
      </c>
      <c r="K50" t="s" s="2">
        <v>22</v>
      </c>
      <c r="L50" t="s" s="2">
        <v>22</v>
      </c>
      <c r="M50" t="s" s="2">
        <v>22</v>
      </c>
    </row>
    <row r="51" ht="25.0" customHeight="true">
      <c r="A51" t="s" s="2">
        <v>13</v>
      </c>
      <c r="B51" t="s" s="2">
        <f>HYPERLINK("http://ts.21cn.com/tousu/show/id/1374126","有多个商户多收了我除利息外额外的扣款，要求是否能沟通处理退还我部分多收的金额")</f>
      </c>
      <c r="C51" t="s" s="2">
        <v>52</v>
      </c>
      <c r="D51" t="s" s="2">
        <v>16</v>
      </c>
      <c r="E51" t="s" s="2">
        <v>17</v>
      </c>
      <c r="F51" t="s" s="2">
        <f>HYPERLINK("http://ts.21cn.com/tousu/show/id/1374126","http://ts.21cn.com/tousu/show/id/1374126")</f>
      </c>
      <c r="G51" t="s" s="2">
        <v>17</v>
      </c>
      <c r="H51" t="s" s="2">
        <v>19</v>
      </c>
      <c r="I51" t="s" s="2">
        <v>217</v>
      </c>
      <c r="J51" t="s" s="2">
        <v>218</v>
      </c>
      <c r="K51" t="s" s="2">
        <v>22</v>
      </c>
      <c r="L51" t="s" s="2">
        <v>22</v>
      </c>
      <c r="M51" t="s" s="2">
        <v>22</v>
      </c>
    </row>
    <row r="52" ht="25.0" customHeight="true">
      <c r="A52" t="s" s="2">
        <v>13</v>
      </c>
      <c r="B52" t="s" s="2">
        <f>HYPERLINK("http://ts.21cn.com/tousu/show/id/1374125","抖音诱导下载，苹果手机行应用商店利用指纹下载方式连带订阅费一同支付，误导消费者在不知情的情况下错误消费。")</f>
      </c>
      <c r="C52" t="s" s="2">
        <v>15</v>
      </c>
      <c r="D52" t="s" s="2">
        <v>16</v>
      </c>
      <c r="E52" t="s" s="2">
        <v>17</v>
      </c>
      <c r="F52" t="s" s="2">
        <f>HYPERLINK("http://ts.21cn.com/tousu/show/id/1374125","http://ts.21cn.com/tousu/show/id/1374125")</f>
      </c>
      <c r="G52" t="s" s="2">
        <v>17</v>
      </c>
      <c r="H52" t="s" s="2">
        <v>19</v>
      </c>
      <c r="I52" t="s" s="2">
        <v>221</v>
      </c>
      <c r="J52" t="s" s="2">
        <v>222</v>
      </c>
      <c r="K52" t="s" s="2">
        <v>22</v>
      </c>
      <c r="L52" t="s" s="2">
        <v>22</v>
      </c>
      <c r="M52" t="s" s="2">
        <v>22</v>
      </c>
    </row>
    <row r="53" ht="25.0" customHeight="true">
      <c r="A53" t="s" s="2">
        <v>13</v>
      </c>
      <c r="B53" t="s" s="2">
        <f>HYPERLINK("http://ts.21cn.com/tousu/show/id/1374123","贷款问题")</f>
      </c>
      <c r="C53" t="s" s="2">
        <v>15</v>
      </c>
      <c r="D53" t="s" s="2">
        <v>16</v>
      </c>
      <c r="E53" t="s" s="2">
        <v>17</v>
      </c>
      <c r="F53" t="s" s="2">
        <f>HYPERLINK("http://ts.21cn.com/tousu/show/id/1374123","http://ts.21cn.com/tousu/show/id/1374123")</f>
      </c>
      <c r="G53" t="s" s="2">
        <v>17</v>
      </c>
      <c r="H53" t="s" s="2">
        <v>19</v>
      </c>
      <c r="I53" t="s" s="2">
        <v>225</v>
      </c>
      <c r="J53" t="s" s="2">
        <v>226</v>
      </c>
      <c r="K53" t="s" s="2">
        <v>22</v>
      </c>
      <c r="L53" t="s" s="2">
        <v>22</v>
      </c>
      <c r="M53" t="s" s="2">
        <v>22</v>
      </c>
    </row>
    <row r="54" ht="25.0" customHeight="true">
      <c r="A54" t="s" s="2">
        <v>13</v>
      </c>
      <c r="B54" t="s" s="2">
        <f>HYPERLINK("http://ts.21cn.com/tousu/show/id/1374121","玖富万卡擅自改写合同，变相收取费用，高利贷")</f>
      </c>
      <c r="C54" t="s" s="2">
        <v>15</v>
      </c>
      <c r="D54" t="s" s="2">
        <v>16</v>
      </c>
      <c r="E54" t="s" s="2">
        <v>17</v>
      </c>
      <c r="F54" t="s" s="2">
        <f>HYPERLINK("http://ts.21cn.com/tousu/show/id/1374121","http://ts.21cn.com/tousu/show/id/1374121")</f>
      </c>
      <c r="G54" t="s" s="2">
        <v>17</v>
      </c>
      <c r="H54" t="s" s="2">
        <v>19</v>
      </c>
      <c r="I54" t="s" s="2">
        <v>229</v>
      </c>
      <c r="J54" t="s" s="2">
        <v>230</v>
      </c>
      <c r="K54" t="s" s="2">
        <v>22</v>
      </c>
      <c r="L54" t="s" s="2">
        <v>22</v>
      </c>
      <c r="M54" t="s" s="2">
        <v>22</v>
      </c>
    </row>
    <row r="55" ht="25.0" customHeight="true">
      <c r="A55" t="s" s="2">
        <v>13</v>
      </c>
      <c r="B55" t="s" s="2">
        <f>HYPERLINK("http://ts.21cn.com/tousu/show/id/1374122","我来贷提前还款没有减免利息")</f>
      </c>
      <c r="C55" t="s" s="2">
        <v>52</v>
      </c>
      <c r="D55" t="s" s="2">
        <v>16</v>
      </c>
      <c r="E55" t="s" s="2">
        <v>17</v>
      </c>
      <c r="F55" t="s" s="2">
        <f>HYPERLINK("http://ts.21cn.com/tousu/show/id/1374122","http://ts.21cn.com/tousu/show/id/1374122")</f>
      </c>
      <c r="G55" t="s" s="2">
        <v>17</v>
      </c>
      <c r="H55" t="s" s="2">
        <v>19</v>
      </c>
      <c r="I55" t="s" s="2">
        <v>233</v>
      </c>
      <c r="J55" t="s" s="2">
        <v>234</v>
      </c>
      <c r="K55" t="s" s="2">
        <v>22</v>
      </c>
      <c r="L55" t="s" s="2">
        <v>22</v>
      </c>
      <c r="M55" t="s" s="2">
        <v>22</v>
      </c>
    </row>
    <row r="56" ht="25.0" customHeight="true">
      <c r="A56" t="s" s="2">
        <v>13</v>
      </c>
      <c r="B56" t="s" s="2">
        <f>HYPERLINK("http://ts.21cn.com/tousu/show/id/1374120","网信理财提现不到账")</f>
      </c>
      <c r="C56" t="s" s="2">
        <v>52</v>
      </c>
      <c r="D56" t="s" s="2">
        <v>16</v>
      </c>
      <c r="E56" t="s" s="2">
        <v>17</v>
      </c>
      <c r="F56" t="s" s="2">
        <f>HYPERLINK("http://ts.21cn.com/tousu/show/id/1374120","http://ts.21cn.com/tousu/show/id/1374120")</f>
      </c>
      <c r="G56" t="s" s="2">
        <v>17</v>
      </c>
      <c r="H56" t="s" s="2">
        <v>19</v>
      </c>
      <c r="I56" t="s" s="2">
        <v>237</v>
      </c>
      <c r="J56" t="s" s="2">
        <v>238</v>
      </c>
      <c r="K56" t="s" s="2">
        <v>22</v>
      </c>
      <c r="L56" t="s" s="2">
        <v>22</v>
      </c>
      <c r="M56" t="s" s="2">
        <v>22</v>
      </c>
    </row>
    <row r="57" ht="25.0" customHeight="true">
      <c r="A57" t="s" s="2">
        <v>13</v>
      </c>
      <c r="B57" t="s" s="2">
        <f>HYPERLINK("http://ts.21cn.com/tousu/show/id/1374119","小花钱包恶意骚扰电话短信恐吓通讯录好友")</f>
      </c>
      <c r="C57" t="s" s="2">
        <v>15</v>
      </c>
      <c r="D57" t="s" s="2">
        <v>16</v>
      </c>
      <c r="E57" t="s" s="2">
        <v>17</v>
      </c>
      <c r="F57" t="s" s="2">
        <f>HYPERLINK("http://ts.21cn.com/tousu/show/id/1374119","http://ts.21cn.com/tousu/show/id/1374119")</f>
      </c>
      <c r="G57" t="s" s="2">
        <v>17</v>
      </c>
      <c r="H57" t="s" s="2">
        <v>19</v>
      </c>
      <c r="I57" t="s" s="2">
        <v>241</v>
      </c>
      <c r="J57" t="s" s="2">
        <v>242</v>
      </c>
      <c r="K57" t="s" s="2">
        <v>22</v>
      </c>
      <c r="L57" t="s" s="2">
        <v>22</v>
      </c>
      <c r="M57" t="s" s="2">
        <v>22</v>
      </c>
    </row>
    <row r="58" ht="25.0" customHeight="true">
      <c r="A58" t="s" s="2">
        <v>13</v>
      </c>
      <c r="B58" t="s" s="2">
        <f>HYPERLINK("http://ts.21cn.com/tousu/show/id/1374118","浙江航天电子信息产业有限公司提供违规支付")</f>
      </c>
      <c r="C58" t="s" s="2">
        <v>15</v>
      </c>
      <c r="D58" t="s" s="2">
        <v>16</v>
      </c>
      <c r="E58" t="s" s="2">
        <v>17</v>
      </c>
      <c r="F58" t="s" s="2">
        <f>HYPERLINK("http://ts.21cn.com/tousu/show/id/1374118","http://ts.21cn.com/tousu/show/id/1374118")</f>
      </c>
      <c r="G58" t="s" s="2">
        <v>17</v>
      </c>
      <c r="H58" t="s" s="2">
        <v>19</v>
      </c>
      <c r="I58" t="s" s="2">
        <v>245</v>
      </c>
      <c r="J58" t="s" s="2">
        <v>246</v>
      </c>
      <c r="K58" t="s" s="2">
        <v>22</v>
      </c>
      <c r="L58" t="s" s="2">
        <v>22</v>
      </c>
      <c r="M58" t="s" s="2">
        <v>22</v>
      </c>
    </row>
    <row r="59" ht="25.0" customHeight="true">
      <c r="A59" t="s" s="2">
        <v>13</v>
      </c>
      <c r="B59" t="s" s="2">
        <f>HYPERLINK("http://ts.21cn.com/tousu/show/id/1374117","投诉维信卡卡贷暴力催收")</f>
      </c>
      <c r="C59" t="s" s="2">
        <v>15</v>
      </c>
      <c r="D59" t="s" s="2">
        <v>16</v>
      </c>
      <c r="E59" t="s" s="2">
        <v>17</v>
      </c>
      <c r="F59" t="s" s="2">
        <f>HYPERLINK("http://ts.21cn.com/tousu/show/id/1374117","http://ts.21cn.com/tousu/show/id/1374117")</f>
      </c>
      <c r="G59" t="s" s="2">
        <v>17</v>
      </c>
      <c r="H59" t="s" s="2">
        <v>19</v>
      </c>
      <c r="I59" t="s" s="2">
        <v>249</v>
      </c>
      <c r="J59" t="s" s="2">
        <v>250</v>
      </c>
      <c r="K59" t="s" s="2">
        <v>22</v>
      </c>
      <c r="L59" t="s" s="2">
        <v>22</v>
      </c>
      <c r="M59" t="s" s="2">
        <v>22</v>
      </c>
    </row>
    <row r="60" ht="25.0" customHeight="true">
      <c r="A60" t="s" s="2">
        <v>13</v>
      </c>
      <c r="B60" t="s" s="2">
        <f>HYPERLINK("http://ts.21cn.com/tousu/show/id/1374109","交易猫客服忽悠人")</f>
      </c>
      <c r="C60" t="s" s="2">
        <v>15</v>
      </c>
      <c r="D60" t="s" s="2">
        <v>16</v>
      </c>
      <c r="E60" t="s" s="2">
        <v>17</v>
      </c>
      <c r="F60" t="s" s="2">
        <f>HYPERLINK("http://ts.21cn.com/tousu/show/id/1374109","http://ts.21cn.com/tousu/show/id/1374109")</f>
      </c>
      <c r="G60" t="s" s="2">
        <v>17</v>
      </c>
      <c r="H60" t="s" s="2">
        <v>19</v>
      </c>
      <c r="I60" t="s" s="2">
        <v>253</v>
      </c>
      <c r="J60" t="s" s="2">
        <v>254</v>
      </c>
      <c r="K60" t="s" s="2">
        <v>22</v>
      </c>
      <c r="L60" t="s" s="2">
        <v>22</v>
      </c>
      <c r="M60" t="s" s="2">
        <v>22</v>
      </c>
    </row>
    <row r="61" ht="25.0" customHeight="true">
      <c r="A61" t="s" s="2">
        <v>13</v>
      </c>
      <c r="B61" t="s" s="2">
        <f>HYPERLINK("http://ts.21cn.com/tousu/show/id/1374115","来分期拖延开具结清证明")</f>
      </c>
      <c r="C61" t="s" s="2">
        <v>15</v>
      </c>
      <c r="D61" t="s" s="2">
        <v>16</v>
      </c>
      <c r="E61" t="s" s="2">
        <v>17</v>
      </c>
      <c r="F61" t="s" s="2">
        <f>HYPERLINK("http://ts.21cn.com/tousu/show/id/1374115","http://ts.21cn.com/tousu/show/id/1374115")</f>
      </c>
      <c r="G61" t="s" s="2">
        <v>17</v>
      </c>
      <c r="H61" t="s" s="2">
        <v>19</v>
      </c>
      <c r="I61" t="s" s="2">
        <v>257</v>
      </c>
      <c r="J61" t="s" s="2">
        <v>258</v>
      </c>
      <c r="K61" t="s" s="2">
        <v>22</v>
      </c>
      <c r="L61" t="s" s="2">
        <v>22</v>
      </c>
      <c r="M61" t="s" s="2">
        <v>22</v>
      </c>
    </row>
    <row r="62" ht="25.0" customHeight="true">
      <c r="A62" t="s" s="2">
        <v>13</v>
      </c>
      <c r="B62" t="s" s="2">
        <f>HYPERLINK("http://ts.21cn.com/tousu/show/id/1374116","你我贷暴力催收，还威胁，打了很多客服电话都是不记得，还说我不联系他们，每次都是无人接听，还发了律师函，本人有意和你们协商")</f>
      </c>
      <c r="C62" t="s" s="2">
        <v>15</v>
      </c>
      <c r="D62" t="s" s="2">
        <v>16</v>
      </c>
      <c r="E62" t="s" s="2">
        <v>17</v>
      </c>
      <c r="F62" t="s" s="2">
        <f>HYPERLINK("http://ts.21cn.com/tousu/show/id/1374116","http://ts.21cn.com/tousu/show/id/1374116")</f>
      </c>
      <c r="G62" t="s" s="2">
        <v>17</v>
      </c>
      <c r="H62" t="s" s="2">
        <v>19</v>
      </c>
      <c r="I62" t="s" s="2">
        <v>261</v>
      </c>
      <c r="J62" t="s" s="2">
        <v>262</v>
      </c>
      <c r="K62" t="s" s="2">
        <v>22</v>
      </c>
      <c r="L62" t="s" s="2">
        <v>22</v>
      </c>
      <c r="M62" t="s" s="2">
        <v>22</v>
      </c>
    </row>
    <row r="63" ht="25.0" customHeight="true">
      <c r="A63" t="s" s="2">
        <v>13</v>
      </c>
      <c r="B63" t="s" s="2">
        <f>HYPERLINK("http://ts.21cn.com/tousu/show/id/1374114","腾讯魔方工作室手游妖精的尾巴虚假宣传")</f>
      </c>
      <c r="C63" t="s" s="2">
        <v>15</v>
      </c>
      <c r="D63" t="s" s="2">
        <v>16</v>
      </c>
      <c r="E63" t="s" s="2">
        <v>17</v>
      </c>
      <c r="F63" t="s" s="2">
        <f>HYPERLINK("http://ts.21cn.com/tousu/show/id/1374114","http://ts.21cn.com/tousu/show/id/1374114")</f>
      </c>
      <c r="G63" t="s" s="2">
        <v>17</v>
      </c>
      <c r="H63" t="s" s="2">
        <v>19</v>
      </c>
      <c r="I63" t="s" s="2">
        <v>265</v>
      </c>
      <c r="J63" t="s" s="2">
        <v>266</v>
      </c>
      <c r="K63" t="s" s="2">
        <v>22</v>
      </c>
      <c r="L63" t="s" s="2">
        <v>22</v>
      </c>
      <c r="M63" t="s" s="2">
        <v>22</v>
      </c>
    </row>
    <row r="64" ht="25.0" customHeight="true">
      <c r="A64" t="s" s="2">
        <v>13</v>
      </c>
      <c r="B64" t="s" s="2">
        <f>HYPERLINK("http://ts.21cn.com/tousu/show/id/1374113","中信银行拒绝协商还款")</f>
      </c>
      <c r="C64" t="s" s="2">
        <v>15</v>
      </c>
      <c r="D64" t="s" s="2">
        <v>16</v>
      </c>
      <c r="E64" t="s" s="2">
        <v>17</v>
      </c>
      <c r="F64" t="s" s="2">
        <f>HYPERLINK("http://ts.21cn.com/tousu/show/id/1374113","http://ts.21cn.com/tousu/show/id/1374113")</f>
      </c>
      <c r="G64" t="s" s="2">
        <v>17</v>
      </c>
      <c r="H64" t="s" s="2">
        <v>19</v>
      </c>
      <c r="I64" t="s" s="2">
        <v>269</v>
      </c>
      <c r="J64" t="s" s="2">
        <v>270</v>
      </c>
      <c r="K64" t="s" s="2">
        <v>22</v>
      </c>
      <c r="L64" t="s" s="2">
        <v>22</v>
      </c>
      <c r="M64" t="s" s="2">
        <v>22</v>
      </c>
    </row>
    <row r="65" ht="25.0" customHeight="true">
      <c r="A65" t="s" s="2">
        <v>13</v>
      </c>
      <c r="B65" t="s" s="2">
        <f>HYPERLINK("http://ts.21cn.com/tousu/show/id/1374112","客服套路开通会员")</f>
      </c>
      <c r="C65" t="s" s="2">
        <v>15</v>
      </c>
      <c r="D65" t="s" s="2">
        <v>16</v>
      </c>
      <c r="E65" t="s" s="2">
        <v>17</v>
      </c>
      <c r="F65" t="s" s="2">
        <f>HYPERLINK("http://ts.21cn.com/tousu/show/id/1374112","http://ts.21cn.com/tousu/show/id/1374112")</f>
      </c>
      <c r="G65" t="s" s="2">
        <v>17</v>
      </c>
      <c r="H65" t="s" s="2">
        <v>19</v>
      </c>
      <c r="I65" t="s" s="2">
        <v>273</v>
      </c>
      <c r="J65" t="s" s="2">
        <v>274</v>
      </c>
      <c r="K65" t="s" s="2">
        <v>22</v>
      </c>
      <c r="L65" t="s" s="2">
        <v>22</v>
      </c>
      <c r="M65" t="s" s="2">
        <v>22</v>
      </c>
    </row>
    <row r="66" ht="25.0" customHeight="true">
      <c r="A66" t="s" s="2">
        <v>13</v>
      </c>
      <c r="B66" t="s" s="2">
        <f>HYPERLINK("http://ts.21cn.com/tousu/show/id/1374111","网络高利贷暴力催收")</f>
      </c>
      <c r="C66" t="s" s="2">
        <v>15</v>
      </c>
      <c r="D66" t="s" s="2">
        <v>16</v>
      </c>
      <c r="E66" t="s" s="2">
        <v>17</v>
      </c>
      <c r="F66" t="s" s="2">
        <f>HYPERLINK("http://ts.21cn.com/tousu/show/id/1374111","http://ts.21cn.com/tousu/show/id/1374111")</f>
      </c>
      <c r="G66" t="s" s="2">
        <v>17</v>
      </c>
      <c r="H66" t="s" s="2">
        <v>19</v>
      </c>
      <c r="I66" t="s" s="2">
        <v>277</v>
      </c>
      <c r="J66" t="s" s="2">
        <v>278</v>
      </c>
      <c r="K66" t="s" s="2">
        <v>22</v>
      </c>
      <c r="L66" t="s" s="2">
        <v>22</v>
      </c>
      <c r="M66" t="s" s="2">
        <v>22</v>
      </c>
    </row>
    <row r="67" ht="25.0" customHeight="true">
      <c r="A67" t="s" s="2">
        <v>13</v>
      </c>
      <c r="B67" t="s" s="2">
        <f>HYPERLINK("http://ts.21cn.com/tousu/show/id/1374110","酒店服务太差")</f>
      </c>
      <c r="C67" t="s" s="2">
        <v>15</v>
      </c>
      <c r="D67" t="s" s="2">
        <v>16</v>
      </c>
      <c r="E67" t="s" s="2">
        <v>17</v>
      </c>
      <c r="F67" t="s" s="2">
        <f>HYPERLINK("http://ts.21cn.com/tousu/show/id/1374110","http://ts.21cn.com/tousu/show/id/1374110")</f>
      </c>
      <c r="G67" t="s" s="2">
        <v>17</v>
      </c>
      <c r="H67" t="s" s="2">
        <v>19</v>
      </c>
      <c r="I67" t="s" s="2">
        <v>281</v>
      </c>
      <c r="J67" t="s" s="2">
        <v>282</v>
      </c>
      <c r="K67" t="s" s="2">
        <v>22</v>
      </c>
      <c r="L67" t="s" s="2">
        <v>22</v>
      </c>
      <c r="M67" t="s" s="2">
        <v>22</v>
      </c>
    </row>
    <row r="68" ht="25.0" customHeight="true">
      <c r="A68" t="s" s="2">
        <v>13</v>
      </c>
      <c r="B68" t="s" s="2">
        <f>HYPERLINK("http://ts.21cn.com/tousu/show/id/1374108","（特约）斯特半夜无故扣款，请求退还我血汗钱")</f>
      </c>
      <c r="C68" t="s" s="2">
        <v>15</v>
      </c>
      <c r="D68" t="s" s="2">
        <v>16</v>
      </c>
      <c r="E68" t="s" s="2">
        <v>17</v>
      </c>
      <c r="F68" t="s" s="2">
        <f>HYPERLINK("http://ts.21cn.com/tousu/show/id/1374108","http://ts.21cn.com/tousu/show/id/1374108")</f>
      </c>
      <c r="G68" t="s" s="2">
        <v>17</v>
      </c>
      <c r="H68" t="s" s="2">
        <v>19</v>
      </c>
      <c r="I68" t="s" s="2">
        <v>285</v>
      </c>
      <c r="J68" t="s" s="2">
        <v>286</v>
      </c>
      <c r="K68" t="s" s="2">
        <v>22</v>
      </c>
      <c r="L68" t="s" s="2">
        <v>22</v>
      </c>
      <c r="M68" t="s" s="2">
        <v>22</v>
      </c>
    </row>
    <row r="69" ht="25.0" customHeight="true">
      <c r="A69" t="s" s="2">
        <v>13</v>
      </c>
      <c r="B69" t="s" s="2">
        <f>HYPERLINK("http://ts.21cn.com/tousu/show/id/1374106","中邮消费人员态度恶劣四处打电话")</f>
      </c>
      <c r="C69" t="s" s="2">
        <v>15</v>
      </c>
      <c r="D69" t="s" s="2">
        <v>16</v>
      </c>
      <c r="E69" t="s" s="2">
        <v>17</v>
      </c>
      <c r="F69" t="s" s="2">
        <f>HYPERLINK("http://ts.21cn.com/tousu/show/id/1374106","http://ts.21cn.com/tousu/show/id/1374106")</f>
      </c>
      <c r="G69" t="s" s="2">
        <v>17</v>
      </c>
      <c r="H69" t="s" s="2">
        <v>19</v>
      </c>
      <c r="I69" t="s" s="2">
        <v>289</v>
      </c>
      <c r="J69" t="s" s="2">
        <v>290</v>
      </c>
      <c r="K69" t="s" s="2">
        <v>22</v>
      </c>
      <c r="L69" t="s" s="2">
        <v>22</v>
      </c>
      <c r="M69" t="s" s="2">
        <v>22</v>
      </c>
    </row>
    <row r="70" ht="25.0" customHeight="true">
      <c r="A70" t="s" s="2">
        <v>13</v>
      </c>
      <c r="B70" t="s" s="2">
        <f>HYPERLINK("http://ts.21cn.com/tousu/show/id/1374105","暴力催收！拍拍贷")</f>
      </c>
      <c r="C70" t="s" s="2">
        <v>15</v>
      </c>
      <c r="D70" t="s" s="2">
        <v>16</v>
      </c>
      <c r="E70" t="s" s="2">
        <v>17</v>
      </c>
      <c r="F70" t="s" s="2">
        <f>HYPERLINK("http://ts.21cn.com/tousu/show/id/1374105","http://ts.21cn.com/tousu/show/id/1374105")</f>
      </c>
      <c r="G70" t="s" s="2">
        <v>17</v>
      </c>
      <c r="H70" t="s" s="2">
        <v>19</v>
      </c>
      <c r="I70" t="s" s="2">
        <v>293</v>
      </c>
      <c r="J70" t="s" s="2">
        <v>294</v>
      </c>
      <c r="K70" t="s" s="2">
        <v>22</v>
      </c>
      <c r="L70" t="s" s="2">
        <v>22</v>
      </c>
      <c r="M70" t="s" s="2">
        <v>22</v>
      </c>
    </row>
    <row r="71" ht="25.0" customHeight="true">
      <c r="A71" t="s" s="2">
        <v>13</v>
      </c>
      <c r="B71" t="s" s="2">
        <f>HYPERLINK("http://ts.21cn.com/tousu/show/id/1374104","拍拍贷高利贷")</f>
      </c>
      <c r="C71" t="s" s="2">
        <v>15</v>
      </c>
      <c r="D71" t="s" s="2">
        <v>16</v>
      </c>
      <c r="E71" t="s" s="2">
        <v>17</v>
      </c>
      <c r="F71" t="s" s="2">
        <f>HYPERLINK("http://ts.21cn.com/tousu/show/id/1374104","http://ts.21cn.com/tousu/show/id/1374104")</f>
      </c>
      <c r="G71" t="s" s="2">
        <v>17</v>
      </c>
      <c r="H71" t="s" s="2">
        <v>19</v>
      </c>
      <c r="I71" t="s" s="2">
        <v>297</v>
      </c>
      <c r="J71" t="s" s="2">
        <v>298</v>
      </c>
      <c r="K71" t="s" s="2">
        <v>22</v>
      </c>
      <c r="L71" t="s" s="2">
        <v>22</v>
      </c>
      <c r="M71" t="s" s="2">
        <v>22</v>
      </c>
    </row>
    <row r="72" ht="25.0" customHeight="true">
      <c r="A72" t="s" s="2">
        <v>13</v>
      </c>
      <c r="B72" t="s" s="2">
        <f>HYPERLINK("http://ts.21cn.com/tousu/show/id/1374095","卡卡贷在还款日当天没有扣款成功，就要收取我100元的逾期费用")</f>
      </c>
      <c r="C72" t="s" s="2">
        <v>15</v>
      </c>
      <c r="D72" t="s" s="2">
        <v>16</v>
      </c>
      <c r="E72" t="s" s="2">
        <v>17</v>
      </c>
      <c r="F72" t="s" s="2">
        <f>HYPERLINK("http://ts.21cn.com/tousu/show/id/1374095","http://ts.21cn.com/tousu/show/id/1374095")</f>
      </c>
      <c r="G72" t="s" s="2">
        <v>17</v>
      </c>
      <c r="H72" t="s" s="2">
        <v>19</v>
      </c>
      <c r="I72" t="s" s="2">
        <v>301</v>
      </c>
      <c r="J72" t="s" s="2">
        <v>302</v>
      </c>
      <c r="K72" t="s" s="2">
        <v>22</v>
      </c>
      <c r="L72" t="s" s="2">
        <v>22</v>
      </c>
      <c r="M72" t="s" s="2">
        <v>22</v>
      </c>
    </row>
    <row r="73" ht="25.0" customHeight="true">
      <c r="A73" t="s" s="2">
        <v>13</v>
      </c>
      <c r="B73" t="s" s="2">
        <f>HYPERLINK("http://ts.21cn.com/tousu/show/id/1374103","联动云不退款")</f>
      </c>
      <c r="C73" t="s" s="2">
        <v>15</v>
      </c>
      <c r="D73" t="s" s="2">
        <v>16</v>
      </c>
      <c r="E73" t="s" s="2">
        <v>17</v>
      </c>
      <c r="F73" t="s" s="2">
        <f>HYPERLINK("http://ts.21cn.com/tousu/show/id/1374103","http://ts.21cn.com/tousu/show/id/1374103")</f>
      </c>
      <c r="G73" t="s" s="2">
        <v>17</v>
      </c>
      <c r="H73" t="s" s="2">
        <v>19</v>
      </c>
      <c r="I73" t="s" s="2">
        <v>305</v>
      </c>
      <c r="J73" t="s" s="2">
        <v>306</v>
      </c>
      <c r="K73" t="s" s="2">
        <v>22</v>
      </c>
      <c r="L73" t="s" s="2">
        <v>22</v>
      </c>
      <c r="M73" t="s" s="2">
        <v>22</v>
      </c>
    </row>
    <row r="74" ht="25.0" customHeight="true">
      <c r="A74" t="s" s="2">
        <v>13</v>
      </c>
      <c r="B74" t="s" s="2">
        <f>HYPERLINK("http://ts.21cn.com/tousu/show/id/1374102","一直扣款不成功，拖到产生催收费")</f>
      </c>
      <c r="C74" t="s" s="2">
        <v>15</v>
      </c>
      <c r="D74" t="s" s="2">
        <v>16</v>
      </c>
      <c r="E74" t="s" s="2">
        <v>17</v>
      </c>
      <c r="F74" t="s" s="2">
        <f>HYPERLINK("http://ts.21cn.com/tousu/show/id/1374102","http://ts.21cn.com/tousu/show/id/1374102")</f>
      </c>
      <c r="G74" t="s" s="2">
        <v>17</v>
      </c>
      <c r="H74" t="s" s="2">
        <v>19</v>
      </c>
      <c r="I74" t="s" s="2">
        <v>309</v>
      </c>
      <c r="J74" t="s" s="2">
        <v>310</v>
      </c>
      <c r="K74" t="s" s="2">
        <v>22</v>
      </c>
      <c r="L74" t="s" s="2">
        <v>22</v>
      </c>
      <c r="M74" t="s" s="2">
        <v>22</v>
      </c>
    </row>
    <row r="75" ht="25.0" customHeight="true">
      <c r="A75" t="s" s="2">
        <v>13</v>
      </c>
      <c r="B75" t="s" s="2">
        <f>HYPERLINK("http://ts.21cn.com/tousu/show/id/1374101","投诉津康生物减肥产品")</f>
      </c>
      <c r="C75" t="s" s="2">
        <v>52</v>
      </c>
      <c r="D75" t="s" s="2">
        <v>16</v>
      </c>
      <c r="E75" t="s" s="2">
        <v>17</v>
      </c>
      <c r="F75" t="s" s="2">
        <f>HYPERLINK("http://ts.21cn.com/tousu/show/id/1374101","http://ts.21cn.com/tousu/show/id/1374101")</f>
      </c>
      <c r="G75" t="s" s="2">
        <v>17</v>
      </c>
      <c r="H75" t="s" s="2">
        <v>19</v>
      </c>
      <c r="I75" t="s" s="2">
        <v>313</v>
      </c>
      <c r="J75" t="s" s="2">
        <v>314</v>
      </c>
      <c r="K75" t="s" s="2">
        <v>22</v>
      </c>
      <c r="L75" t="s" s="2">
        <v>22</v>
      </c>
      <c r="M75" t="s" s="2">
        <v>22</v>
      </c>
    </row>
    <row r="76" ht="25.0" customHeight="true">
      <c r="A76" t="s" s="2">
        <v>13</v>
      </c>
      <c r="B76" t="s" s="2">
        <f>HYPERLINK("http://ts.21cn.com/tousu/show/id/1374099","闪银套路贷")</f>
      </c>
      <c r="C76" t="s" s="2">
        <v>15</v>
      </c>
      <c r="D76" t="s" s="2">
        <v>16</v>
      </c>
      <c r="E76" t="s" s="2">
        <v>17</v>
      </c>
      <c r="F76" t="s" s="2">
        <f>HYPERLINK("http://ts.21cn.com/tousu/show/id/1374099","http://ts.21cn.com/tousu/show/id/1374099")</f>
      </c>
      <c r="G76" t="s" s="2">
        <v>17</v>
      </c>
      <c r="H76" t="s" s="2">
        <v>19</v>
      </c>
      <c r="I76" t="s" s="2">
        <v>317</v>
      </c>
      <c r="J76" t="s" s="2">
        <v>318</v>
      </c>
      <c r="K76" t="s" s="2">
        <v>22</v>
      </c>
      <c r="L76" t="s" s="2">
        <v>22</v>
      </c>
      <c r="M76" t="s" s="2">
        <v>22</v>
      </c>
    </row>
    <row r="77" ht="25.0" customHeight="true">
      <c r="A77" t="s" s="2">
        <v>13</v>
      </c>
      <c r="B77" t="s" s="2">
        <f>HYPERLINK("http://ts.21cn.com/tousu/show/id/1374096","钱站阴阳合同，要求终止合同")</f>
      </c>
      <c r="C77" t="s" s="2">
        <v>15</v>
      </c>
      <c r="D77" t="s" s="2">
        <v>16</v>
      </c>
      <c r="E77" t="s" s="2">
        <v>17</v>
      </c>
      <c r="F77" t="s" s="2">
        <f>HYPERLINK("http://ts.21cn.com/tousu/show/id/1374096","http://ts.21cn.com/tousu/show/id/1374096")</f>
      </c>
      <c r="G77" t="s" s="2">
        <v>17</v>
      </c>
      <c r="H77" t="s" s="2">
        <v>19</v>
      </c>
      <c r="I77" t="s" s="2">
        <v>321</v>
      </c>
      <c r="J77" t="s" s="2">
        <v>322</v>
      </c>
      <c r="K77" t="s" s="2">
        <v>22</v>
      </c>
      <c r="L77" t="s" s="2">
        <v>22</v>
      </c>
      <c r="M77" t="s" s="2">
        <v>22</v>
      </c>
    </row>
    <row r="78" ht="25.0" customHeight="true">
      <c r="A78" t="s" s="2">
        <v>13</v>
      </c>
      <c r="B78" t="s" s="2">
        <f>HYPERLINK("http://ts.21cn.com/tousu/show/id/1374094","一天几十个电话，态度还不好")</f>
      </c>
      <c r="C78" t="s" s="2">
        <v>15</v>
      </c>
      <c r="D78" t="s" s="2">
        <v>16</v>
      </c>
      <c r="E78" t="s" s="2">
        <v>17</v>
      </c>
      <c r="F78" t="s" s="2">
        <f>HYPERLINK("http://ts.21cn.com/tousu/show/id/1374094","http://ts.21cn.com/tousu/show/id/1374094")</f>
      </c>
      <c r="G78" t="s" s="2">
        <v>17</v>
      </c>
      <c r="H78" t="s" s="2">
        <v>19</v>
      </c>
      <c r="I78" t="s" s="2">
        <v>325</v>
      </c>
      <c r="J78" t="s" s="2">
        <v>326</v>
      </c>
      <c r="K78" t="s" s="2">
        <v>22</v>
      </c>
      <c r="L78" t="s" s="2">
        <v>22</v>
      </c>
      <c r="M78" t="s" s="2">
        <v>22</v>
      </c>
    </row>
    <row r="79" ht="25.0" customHeight="true">
      <c r="A79" t="s" s="2">
        <v>13</v>
      </c>
      <c r="B79" t="s" s="2">
        <f>HYPERLINK("http://ts.21cn.com/tousu/show/id/1374093","淘集集申请退店，一个月了未给处理")</f>
      </c>
      <c r="C79" t="s" s="2">
        <v>15</v>
      </c>
      <c r="D79" t="s" s="2">
        <v>16</v>
      </c>
      <c r="E79" t="s" s="2">
        <v>17</v>
      </c>
      <c r="F79" t="s" s="2">
        <f>HYPERLINK("http://ts.21cn.com/tousu/show/id/1374093","http://ts.21cn.com/tousu/show/id/1374093")</f>
      </c>
      <c r="G79" t="s" s="2">
        <v>17</v>
      </c>
      <c r="H79" t="s" s="2">
        <v>19</v>
      </c>
      <c r="I79" t="s" s="2">
        <v>329</v>
      </c>
      <c r="J79" t="s" s="2">
        <v>330</v>
      </c>
      <c r="K79" t="s" s="2">
        <v>22</v>
      </c>
      <c r="L79" t="s" s="2">
        <v>22</v>
      </c>
      <c r="M79" t="s" s="2">
        <v>22</v>
      </c>
    </row>
    <row r="80" ht="25.0" customHeight="true">
      <c r="A80" t="s" s="2">
        <v>13</v>
      </c>
      <c r="B80" t="s" s="2">
        <f>HYPERLINK("http://ts.21cn.com/tousu/show/id/1374092","苏宁易购退店，一直不处理，进度条一直不有进展，不退保证金。")</f>
      </c>
      <c r="C80" t="s" s="2">
        <v>15</v>
      </c>
      <c r="D80" t="s" s="2">
        <v>16</v>
      </c>
      <c r="E80" t="s" s="2">
        <v>17</v>
      </c>
      <c r="F80" t="s" s="2">
        <f>HYPERLINK("http://ts.21cn.com/tousu/show/id/1374092","http://ts.21cn.com/tousu/show/id/1374092")</f>
      </c>
      <c r="G80" t="s" s="2">
        <v>17</v>
      </c>
      <c r="H80" t="s" s="2">
        <v>19</v>
      </c>
      <c r="I80" t="s" s="2">
        <v>333</v>
      </c>
      <c r="J80" t="s" s="2">
        <v>334</v>
      </c>
      <c r="K80" t="s" s="2">
        <v>22</v>
      </c>
      <c r="L80" t="s" s="2">
        <v>22</v>
      </c>
      <c r="M80" t="s" s="2">
        <v>22</v>
      </c>
    </row>
    <row r="81" ht="25.0" customHeight="true">
      <c r="A81" t="s" s="2">
        <v>13</v>
      </c>
      <c r="B81" t="s" s="2">
        <f>HYPERLINK("http://ts.21cn.com/tousu/show/id/1374090","微粒贷多次爆通讯录及威胁爆通讯录，联系第三方")</f>
      </c>
      <c r="C81" t="s" s="2">
        <v>15</v>
      </c>
      <c r="D81" t="s" s="2">
        <v>16</v>
      </c>
      <c r="E81" t="s" s="2">
        <v>17</v>
      </c>
      <c r="F81" t="s" s="2">
        <f>HYPERLINK("http://ts.21cn.com/tousu/show/id/1374090","http://ts.21cn.com/tousu/show/id/1374090")</f>
      </c>
      <c r="G81" t="s" s="2">
        <v>17</v>
      </c>
      <c r="H81" t="s" s="2">
        <v>19</v>
      </c>
      <c r="I81" t="s" s="2">
        <v>337</v>
      </c>
      <c r="J81" t="s" s="2">
        <v>338</v>
      </c>
      <c r="K81" t="s" s="2">
        <v>22</v>
      </c>
      <c r="L81" t="s" s="2">
        <v>22</v>
      </c>
      <c r="M81" t="s" s="2">
        <v>22</v>
      </c>
    </row>
    <row r="82" ht="25.0" customHeight="true">
      <c r="A82" t="s" s="2">
        <v>13</v>
      </c>
      <c r="B82" t="s" s="2">
        <f>HYPERLINK("http://ts.21cn.com/tousu/show/id/1374089","淘集集以各种理由不退还商家保证金")</f>
      </c>
      <c r="C82" t="s" s="2">
        <v>15</v>
      </c>
      <c r="D82" t="s" s="2">
        <v>16</v>
      </c>
      <c r="E82" t="s" s="2">
        <v>17</v>
      </c>
      <c r="F82" t="s" s="2">
        <f>HYPERLINK("http://ts.21cn.com/tousu/show/id/1374089","http://ts.21cn.com/tousu/show/id/1374089")</f>
      </c>
      <c r="G82" t="s" s="2">
        <v>17</v>
      </c>
      <c r="H82" t="s" s="2">
        <v>19</v>
      </c>
      <c r="I82" t="s" s="2">
        <v>341</v>
      </c>
      <c r="J82" t="s" s="2">
        <v>342</v>
      </c>
      <c r="K82" t="s" s="2">
        <v>22</v>
      </c>
      <c r="L82" t="s" s="2">
        <v>22</v>
      </c>
      <c r="M82" t="s" s="2">
        <v>22</v>
      </c>
    </row>
    <row r="83" ht="25.0" customHeight="true">
      <c r="A83" t="s" s="2">
        <v>13</v>
      </c>
      <c r="B83" t="s" s="2">
        <f>HYPERLINK("http://ts.21cn.com/tousu/show/id/1374088","乐意花暴通讯录，只逾期一天，并且第二天就还上了，不给协商余地，严重违反国家规定")</f>
      </c>
      <c r="C83" t="s" s="2">
        <v>15</v>
      </c>
      <c r="D83" t="s" s="2">
        <v>16</v>
      </c>
      <c r="E83" t="s" s="2">
        <v>17</v>
      </c>
      <c r="F83" t="s" s="2">
        <f>HYPERLINK("http://ts.21cn.com/tousu/show/id/1374088","http://ts.21cn.com/tousu/show/id/1374088")</f>
      </c>
      <c r="G83" t="s" s="2">
        <v>17</v>
      </c>
      <c r="H83" t="s" s="2">
        <v>19</v>
      </c>
      <c r="I83" t="s" s="2">
        <v>345</v>
      </c>
      <c r="J83" t="s" s="2">
        <v>346</v>
      </c>
      <c r="K83" t="s" s="2">
        <v>22</v>
      </c>
      <c r="L83" t="s" s="2">
        <v>22</v>
      </c>
      <c r="M83" t="s" s="2">
        <v>22</v>
      </c>
    </row>
    <row r="84" ht="25.0" customHeight="true">
      <c r="A84" t="s" s="2">
        <v>13</v>
      </c>
      <c r="B84" t="s" s="2">
        <f>HYPERLINK("http://ts.21cn.com/tousu/show/id/1374087","通联支付为多家714套路贷提供支付渠道拒不处理")</f>
      </c>
      <c r="C84" t="s" s="2">
        <v>15</v>
      </c>
      <c r="D84" t="s" s="2">
        <v>16</v>
      </c>
      <c r="E84" t="s" s="2">
        <v>17</v>
      </c>
      <c r="F84" t="s" s="2">
        <f>HYPERLINK("http://ts.21cn.com/tousu/show/id/1374087","http://ts.21cn.com/tousu/show/id/1374087")</f>
      </c>
      <c r="G84" t="s" s="2">
        <v>17</v>
      </c>
      <c r="H84" t="s" s="2">
        <v>19</v>
      </c>
      <c r="I84" t="s" s="2">
        <v>349</v>
      </c>
      <c r="J84" t="s" s="2">
        <v>350</v>
      </c>
      <c r="K84" t="s" s="2">
        <v>22</v>
      </c>
      <c r="L84" t="s" s="2">
        <v>22</v>
      </c>
      <c r="M84" t="s" s="2">
        <v>22</v>
      </c>
    </row>
    <row r="85" ht="25.0" customHeight="true">
      <c r="A85" t="s" s="2">
        <v>13</v>
      </c>
      <c r="B85" t="s" s="2">
        <f>HYPERLINK("http://ts.21cn.com/tousu/show/id/1374085","拍拍贷暴力催收")</f>
      </c>
      <c r="C85" t="s" s="2">
        <v>15</v>
      </c>
      <c r="D85" t="s" s="2">
        <v>16</v>
      </c>
      <c r="E85" t="s" s="2">
        <v>17</v>
      </c>
      <c r="F85" t="s" s="2">
        <f>HYPERLINK("http://ts.21cn.com/tousu/show/id/1374085","http://ts.21cn.com/tousu/show/id/1374085")</f>
      </c>
      <c r="G85" t="s" s="2">
        <v>17</v>
      </c>
      <c r="H85" t="s" s="2">
        <v>19</v>
      </c>
      <c r="I85" t="s" s="2">
        <v>353</v>
      </c>
      <c r="J85" t="s" s="2">
        <v>354</v>
      </c>
      <c r="K85" t="s" s="2">
        <v>22</v>
      </c>
      <c r="L85" t="s" s="2">
        <v>22</v>
      </c>
      <c r="M85" t="s" s="2">
        <v>22</v>
      </c>
    </row>
    <row r="86" ht="25.0" customHeight="true">
      <c r="A86" t="s" s="2">
        <v>13</v>
      </c>
      <c r="B86" t="s" s="2">
        <f>HYPERLINK("http://ts.21cn.com/tousu/show/id/1374084","要求创客工具箱撤销对我微信号的达标")</f>
      </c>
      <c r="C86" t="s" s="2">
        <v>15</v>
      </c>
      <c r="D86" t="s" s="2">
        <v>16</v>
      </c>
      <c r="E86" t="s" s="2">
        <v>17</v>
      </c>
      <c r="F86" t="s" s="2">
        <f>HYPERLINK("http://ts.21cn.com/tousu/show/id/1374084","http://ts.21cn.com/tousu/show/id/1374084")</f>
      </c>
      <c r="G86" t="s" s="2">
        <v>17</v>
      </c>
      <c r="H86" t="s" s="2">
        <v>19</v>
      </c>
      <c r="I86" t="s" s="2">
        <v>357</v>
      </c>
      <c r="J86" t="s" s="2">
        <v>358</v>
      </c>
      <c r="K86" t="s" s="2">
        <v>22</v>
      </c>
      <c r="L86" t="s" s="2">
        <v>22</v>
      </c>
      <c r="M86" t="s" s="2">
        <v>22</v>
      </c>
    </row>
    <row r="87" ht="25.0" customHeight="true">
      <c r="A87" t="s" s="2">
        <v>13</v>
      </c>
      <c r="B87" t="s" s="2">
        <f>HYPERLINK("http://ts.21cn.com/tousu/show/id/1374083","招商银行信用卡上门")</f>
      </c>
      <c r="C87" t="s" s="2">
        <v>15</v>
      </c>
      <c r="D87" t="s" s="2">
        <v>16</v>
      </c>
      <c r="E87" t="s" s="2">
        <v>17</v>
      </c>
      <c r="F87" t="s" s="2">
        <f>HYPERLINK("http://ts.21cn.com/tousu/show/id/1374083","http://ts.21cn.com/tousu/show/id/1374083")</f>
      </c>
      <c r="G87" t="s" s="2">
        <v>17</v>
      </c>
      <c r="H87" t="s" s="2">
        <v>19</v>
      </c>
      <c r="I87" t="s" s="2">
        <v>361</v>
      </c>
      <c r="J87" t="s" s="2">
        <v>362</v>
      </c>
      <c r="K87" t="s" s="2">
        <v>22</v>
      </c>
      <c r="L87" t="s" s="2">
        <v>22</v>
      </c>
      <c r="M87" t="s" s="2">
        <v>22</v>
      </c>
    </row>
    <row r="88" ht="25.0" customHeight="true">
      <c r="A88" t="s" s="2">
        <v>13</v>
      </c>
      <c r="B88" t="s" s="2">
        <f>HYPERLINK("http://ts.21cn.com/tousu/show/id/1374082","闪银违规收取费用及暴力催收")</f>
      </c>
      <c r="C88" t="s" s="2">
        <v>15</v>
      </c>
      <c r="D88" t="s" s="2">
        <v>16</v>
      </c>
      <c r="E88" t="s" s="2">
        <v>17</v>
      </c>
      <c r="F88" t="s" s="2">
        <f>HYPERLINK("http://ts.21cn.com/tousu/show/id/1374082","http://ts.21cn.com/tousu/show/id/1374082")</f>
      </c>
      <c r="G88" t="s" s="2">
        <v>17</v>
      </c>
      <c r="H88" t="s" s="2">
        <v>19</v>
      </c>
      <c r="I88" t="s" s="2">
        <v>365</v>
      </c>
      <c r="J88" t="s" s="2">
        <v>366</v>
      </c>
      <c r="K88" t="s" s="2">
        <v>22</v>
      </c>
      <c r="L88" t="s" s="2">
        <v>22</v>
      </c>
      <c r="M88" t="s" s="2">
        <v>22</v>
      </c>
    </row>
    <row r="89" ht="25.0" customHeight="true">
      <c r="A89" t="s" s="2">
        <v>13</v>
      </c>
      <c r="B89" t="s" s="2">
        <f>HYPERLINK("http://ts.21cn.com/tousu/show/id/1374080","新橙优品高额砍头息和罚息暴力催收")</f>
      </c>
      <c r="C89" t="s" s="2">
        <v>15</v>
      </c>
      <c r="D89" t="s" s="2">
        <v>16</v>
      </c>
      <c r="E89" t="s" s="2">
        <v>17</v>
      </c>
      <c r="F89" t="s" s="2">
        <f>HYPERLINK("http://ts.21cn.com/tousu/show/id/1374080","http://ts.21cn.com/tousu/show/id/1374080")</f>
      </c>
      <c r="G89" t="s" s="2">
        <v>17</v>
      </c>
      <c r="H89" t="s" s="2">
        <v>19</v>
      </c>
      <c r="I89" t="s" s="2">
        <v>369</v>
      </c>
      <c r="J89" t="s" s="2">
        <v>370</v>
      </c>
      <c r="K89" t="s" s="2">
        <v>22</v>
      </c>
      <c r="L89" t="s" s="2">
        <v>22</v>
      </c>
      <c r="M89" t="s" s="2">
        <v>22</v>
      </c>
    </row>
    <row r="90" ht="25.0" customHeight="true">
      <c r="A90" t="s" s="2">
        <v>13</v>
      </c>
      <c r="B90" t="s" s="2">
        <f>HYPERLINK("http://ts.21cn.com/tousu/show/id/1374079","闪电借款变相收取高额砍头息不接受协商还款")</f>
      </c>
      <c r="C90" t="s" s="2">
        <v>15</v>
      </c>
      <c r="D90" t="s" s="2">
        <v>16</v>
      </c>
      <c r="E90" t="s" s="2">
        <v>17</v>
      </c>
      <c r="F90" t="s" s="2">
        <f>HYPERLINK("http://ts.21cn.com/tousu/show/id/1374079","http://ts.21cn.com/tousu/show/id/1374079")</f>
      </c>
      <c r="G90" t="s" s="2">
        <v>17</v>
      </c>
      <c r="H90" t="s" s="2">
        <v>19</v>
      </c>
      <c r="I90" t="s" s="2">
        <v>373</v>
      </c>
      <c r="J90" t="s" s="2">
        <v>374</v>
      </c>
      <c r="K90" t="s" s="2">
        <v>22</v>
      </c>
      <c r="L90" t="s" s="2">
        <v>22</v>
      </c>
      <c r="M90" t="s" s="2">
        <v>22</v>
      </c>
    </row>
    <row r="91" ht="25.0" customHeight="true">
      <c r="A91" t="s" s="2">
        <v>13</v>
      </c>
      <c r="B91" t="s" s="2">
        <f>HYPERLINK("http://ts.21cn.com/tousu/show/id/1374081","被非法自动扣款")</f>
      </c>
      <c r="C91" t="s" s="2">
        <v>15</v>
      </c>
      <c r="D91" t="s" s="2">
        <v>16</v>
      </c>
      <c r="E91" t="s" s="2">
        <v>17</v>
      </c>
      <c r="F91" t="s" s="2">
        <f>HYPERLINK("http://ts.21cn.com/tousu/show/id/1374081","http://ts.21cn.com/tousu/show/id/1374081")</f>
      </c>
      <c r="G91" t="s" s="2">
        <v>17</v>
      </c>
      <c r="H91" t="s" s="2">
        <v>19</v>
      </c>
      <c r="I91" t="s" s="2">
        <v>377</v>
      </c>
      <c r="J91" t="s" s="2">
        <v>378</v>
      </c>
      <c r="K91" t="s" s="2">
        <v>22</v>
      </c>
      <c r="L91" t="s" s="2">
        <v>22</v>
      </c>
      <c r="M91" t="s" s="2">
        <v>22</v>
      </c>
    </row>
    <row r="92" ht="25.0" customHeight="true">
      <c r="A92" t="s" s="2">
        <v>13</v>
      </c>
      <c r="B92" t="s" s="2">
        <f>HYPERLINK("http://ts.21cn.com/tousu/show/id/1374061","暴力催收，老人身体不好，孩子老师朋友父母")</f>
      </c>
      <c r="C92" t="s" s="2">
        <v>15</v>
      </c>
      <c r="D92" t="s" s="2">
        <v>16</v>
      </c>
      <c r="E92" t="s" s="2">
        <v>17</v>
      </c>
      <c r="F92" t="s" s="2">
        <f>HYPERLINK("http://ts.21cn.com/tousu/show/id/1374061","http://ts.21cn.com/tousu/show/id/1374061")</f>
      </c>
      <c r="G92" t="s" s="2">
        <v>17</v>
      </c>
      <c r="H92" t="s" s="2">
        <v>19</v>
      </c>
      <c r="I92" t="s" s="2">
        <v>381</v>
      </c>
      <c r="J92" t="s" s="2">
        <v>382</v>
      </c>
      <c r="K92" t="s" s="2">
        <v>22</v>
      </c>
      <c r="L92" t="s" s="2">
        <v>22</v>
      </c>
      <c r="M92" t="s" s="2">
        <v>22</v>
      </c>
    </row>
    <row r="93" ht="25.0" customHeight="true">
      <c r="A93" t="s" s="2">
        <v>13</v>
      </c>
      <c r="B93" t="s" s="2">
        <f>HYPERLINK("http://ts.21cn.com/tousu/show/id/1374078","来分期骚扰")</f>
      </c>
      <c r="C93" t="s" s="2">
        <v>52</v>
      </c>
      <c r="D93" t="s" s="2">
        <v>16</v>
      </c>
      <c r="E93" t="s" s="2">
        <v>17</v>
      </c>
      <c r="F93" t="s" s="2">
        <f>HYPERLINK("http://ts.21cn.com/tousu/show/id/1374078","http://ts.21cn.com/tousu/show/id/1374078")</f>
      </c>
      <c r="G93" t="s" s="2">
        <v>17</v>
      </c>
      <c r="H93" t="s" s="2">
        <v>19</v>
      </c>
      <c r="I93" t="s" s="2">
        <v>385</v>
      </c>
      <c r="J93" t="s" s="2">
        <v>386</v>
      </c>
      <c r="K93" t="s" s="2">
        <v>22</v>
      </c>
      <c r="L93" t="s" s="2">
        <v>22</v>
      </c>
      <c r="M93" t="s" s="2">
        <v>22</v>
      </c>
    </row>
    <row r="94" ht="25.0" customHeight="true">
      <c r="A94" t="s" s="2">
        <v>13</v>
      </c>
      <c r="B94" t="s" s="2">
        <f>HYPERLINK("http://ts.21cn.com/tousu/show/id/1374064","钱站App阴阳合同")</f>
      </c>
      <c r="C94" t="s" s="2">
        <v>15</v>
      </c>
      <c r="D94" t="s" s="2">
        <v>16</v>
      </c>
      <c r="E94" t="s" s="2">
        <v>17</v>
      </c>
      <c r="F94" t="s" s="2">
        <f>HYPERLINK("http://ts.21cn.com/tousu/show/id/1374064","http://ts.21cn.com/tousu/show/id/1374064")</f>
      </c>
      <c r="G94" t="s" s="2">
        <v>17</v>
      </c>
      <c r="H94" t="s" s="2">
        <v>19</v>
      </c>
      <c r="I94" t="s" s="2">
        <v>389</v>
      </c>
      <c r="J94" t="s" s="2">
        <v>390</v>
      </c>
      <c r="K94" t="s" s="2">
        <v>22</v>
      </c>
      <c r="L94" t="s" s="2">
        <v>22</v>
      </c>
      <c r="M94" t="s" s="2">
        <v>22</v>
      </c>
    </row>
    <row r="95" ht="25.0" customHeight="true">
      <c r="A95" t="s" s="2">
        <v>13</v>
      </c>
      <c r="B95" t="s" s="2">
        <f>HYPERLINK("http://ts.21cn.com/tousu/show/id/1374077","购买产品给我发个空盒子客服态度差的很")</f>
      </c>
      <c r="C95" t="s" s="2">
        <v>15</v>
      </c>
      <c r="D95" t="s" s="2">
        <v>16</v>
      </c>
      <c r="E95" t="s" s="2">
        <v>17</v>
      </c>
      <c r="F95" t="s" s="2">
        <f>HYPERLINK("http://ts.21cn.com/tousu/show/id/1374077","http://ts.21cn.com/tousu/show/id/1374077")</f>
      </c>
      <c r="G95" t="s" s="2">
        <v>17</v>
      </c>
      <c r="H95" t="s" s="2">
        <v>19</v>
      </c>
      <c r="I95" t="s" s="2">
        <v>393</v>
      </c>
      <c r="J95" t="s" s="2">
        <v>394</v>
      </c>
      <c r="K95" t="s" s="2">
        <v>22</v>
      </c>
      <c r="L95" t="s" s="2">
        <v>22</v>
      </c>
      <c r="M95" t="s" s="2">
        <v>22</v>
      </c>
    </row>
    <row r="96" ht="25.0" customHeight="true">
      <c r="A96" t="s" s="2">
        <v>13</v>
      </c>
      <c r="B96" t="s" s="2">
        <f>HYPERLINK("http://ts.21cn.com/tousu/show/id/1374075","洋钱罐砍头息")</f>
      </c>
      <c r="C96" t="s" s="2">
        <v>52</v>
      </c>
      <c r="D96" t="s" s="2">
        <v>16</v>
      </c>
      <c r="E96" t="s" s="2">
        <v>17</v>
      </c>
      <c r="F96" t="s" s="2">
        <f>HYPERLINK("http://ts.21cn.com/tousu/show/id/1374075","http://ts.21cn.com/tousu/show/id/1374075")</f>
      </c>
      <c r="G96" t="s" s="2">
        <v>17</v>
      </c>
      <c r="H96" t="s" s="2">
        <v>19</v>
      </c>
      <c r="I96" t="s" s="2">
        <v>397</v>
      </c>
      <c r="J96" t="s" s="2">
        <v>398</v>
      </c>
      <c r="K96" t="s" s="2">
        <v>22</v>
      </c>
      <c r="L96" t="s" s="2">
        <v>22</v>
      </c>
      <c r="M96" t="s" s="2">
        <v>22</v>
      </c>
    </row>
    <row r="97" ht="25.0" customHeight="true">
      <c r="A97" t="s" s="2">
        <v>13</v>
      </c>
      <c r="B97" t="s" s="2">
        <f>HYPERLINK("http://ts.21cn.com/tousu/show/id/1374074","被捷信催收人员骚扰")</f>
      </c>
      <c r="C97" t="s" s="2">
        <v>15</v>
      </c>
      <c r="D97" t="s" s="2">
        <v>16</v>
      </c>
      <c r="E97" t="s" s="2">
        <v>17</v>
      </c>
      <c r="F97" t="s" s="2">
        <f>HYPERLINK("http://ts.21cn.com/tousu/show/id/1374074","http://ts.21cn.com/tousu/show/id/1374074")</f>
      </c>
      <c r="G97" t="s" s="2">
        <v>17</v>
      </c>
      <c r="H97" t="s" s="2">
        <v>19</v>
      </c>
      <c r="I97" t="s" s="2">
        <v>401</v>
      </c>
      <c r="J97" t="s" s="2">
        <v>402</v>
      </c>
      <c r="K97" t="s" s="2">
        <v>22</v>
      </c>
      <c r="L97" t="s" s="2">
        <v>22</v>
      </c>
      <c r="M97" t="s" s="2">
        <v>22</v>
      </c>
    </row>
    <row r="98" ht="25.0" customHeight="true">
      <c r="A98" t="s" s="2">
        <v>13</v>
      </c>
      <c r="B98" t="s" s="2">
        <f>HYPERLINK("http://ts.21cn.com/tousu/show/id/1374060","我来贷暴力催收")</f>
      </c>
      <c r="C98" t="s" s="2">
        <v>15</v>
      </c>
      <c r="D98" t="s" s="2">
        <v>16</v>
      </c>
      <c r="E98" t="s" s="2">
        <v>17</v>
      </c>
      <c r="F98" t="s" s="2">
        <f>HYPERLINK("http://ts.21cn.com/tousu/show/id/1374060","http://ts.21cn.com/tousu/show/id/1374060")</f>
      </c>
      <c r="G98" t="s" s="2">
        <v>17</v>
      </c>
      <c r="H98" t="s" s="2">
        <v>19</v>
      </c>
      <c r="I98" t="s" s="2">
        <v>405</v>
      </c>
      <c r="J98" t="s" s="2">
        <v>406</v>
      </c>
      <c r="K98" t="s" s="2">
        <v>22</v>
      </c>
      <c r="L98" t="s" s="2">
        <v>22</v>
      </c>
      <c r="M98" t="s" s="2">
        <v>22</v>
      </c>
    </row>
    <row r="99" ht="25.0" customHeight="true">
      <c r="A99" t="s" s="2">
        <v>13</v>
      </c>
      <c r="B99" t="s" s="2">
        <f>HYPERLINK("http://ts.21cn.com/tousu/show/id/1374073","闪银瞬瞬暴力催收")</f>
      </c>
      <c r="C99" t="s" s="2">
        <v>15</v>
      </c>
      <c r="D99" t="s" s="2">
        <v>16</v>
      </c>
      <c r="E99" t="s" s="2">
        <v>17</v>
      </c>
      <c r="F99" t="s" s="2">
        <f>HYPERLINK("http://ts.21cn.com/tousu/show/id/1374073","http://ts.21cn.com/tousu/show/id/1374073")</f>
      </c>
      <c r="G99" t="s" s="2">
        <v>17</v>
      </c>
      <c r="H99" t="s" s="2">
        <v>19</v>
      </c>
      <c r="I99" t="s" s="2">
        <v>409</v>
      </c>
      <c r="J99" t="s" s="2">
        <v>410</v>
      </c>
      <c r="K99" t="s" s="2">
        <v>22</v>
      </c>
      <c r="L99" t="s" s="2">
        <v>22</v>
      </c>
      <c r="M99" t="s" s="2">
        <v>22</v>
      </c>
    </row>
    <row r="100" ht="25.0" customHeight="true">
      <c r="A100" t="s" s="2">
        <v>13</v>
      </c>
      <c r="B100" t="s" s="2">
        <f>HYPERLINK("http://ts.21cn.com/tousu/show/id/1374070","平安普惠公司的电话骚扰！")</f>
      </c>
      <c r="C100" t="s" s="2">
        <v>15</v>
      </c>
      <c r="D100" t="s" s="2">
        <v>16</v>
      </c>
      <c r="E100" t="s" s="2">
        <v>17</v>
      </c>
      <c r="F100" t="s" s="2">
        <f>HYPERLINK("http://ts.21cn.com/tousu/show/id/1374070","http://ts.21cn.com/tousu/show/id/1374070")</f>
      </c>
      <c r="G100" t="s" s="2">
        <v>17</v>
      </c>
      <c r="H100" t="s" s="2">
        <v>19</v>
      </c>
      <c r="I100" t="s" s="2">
        <v>413</v>
      </c>
      <c r="J100" t="s" s="2">
        <v>414</v>
      </c>
      <c r="K100" t="s" s="2">
        <v>22</v>
      </c>
      <c r="L100" t="s" s="2">
        <v>22</v>
      </c>
      <c r="M100" t="s" s="2">
        <v>22</v>
      </c>
    </row>
    <row r="101" ht="25.0" customHeight="true">
      <c r="A101" t="s" s="2">
        <v>13</v>
      </c>
      <c r="B101" t="s" s="2">
        <f>HYPERLINK("http://ts.21cn.com/tousu/show/id/1374071","快钱支付与28个714套路贷商户勾结扣取坎头息")</f>
      </c>
      <c r="C101" t="s" s="2">
        <v>15</v>
      </c>
      <c r="D101" t="s" s="2">
        <v>16</v>
      </c>
      <c r="E101" t="s" s="2">
        <v>17</v>
      </c>
      <c r="F101" t="s" s="2">
        <f>HYPERLINK("http://ts.21cn.com/tousu/show/id/1374071","http://ts.21cn.com/tousu/show/id/1374071")</f>
      </c>
      <c r="G101" t="s" s="2">
        <v>17</v>
      </c>
      <c r="H101" t="s" s="2">
        <v>19</v>
      </c>
      <c r="I101" t="s" s="2">
        <v>417</v>
      </c>
      <c r="J101" t="s" s="2">
        <v>418</v>
      </c>
      <c r="K101" t="s" s="2">
        <v>22</v>
      </c>
      <c r="L101" t="s" s="2">
        <v>22</v>
      </c>
      <c r="M101" t="s" s="2">
        <v>22</v>
      </c>
    </row>
    <row r="102" ht="25.0" customHeight="true">
      <c r="A102" t="s" s="2">
        <v>13</v>
      </c>
      <c r="B102" t="s" s="2">
        <f>HYPERLINK("http://ts.21cn.com/tousu/show/id/1374069","钱站高利贷")</f>
      </c>
      <c r="C102" t="s" s="2">
        <v>15</v>
      </c>
      <c r="D102" t="s" s="2">
        <v>16</v>
      </c>
      <c r="E102" t="s" s="2">
        <v>17</v>
      </c>
      <c r="F102" t="s" s="2">
        <f>HYPERLINK("http://ts.21cn.com/tousu/show/id/1374069","http://ts.21cn.com/tousu/show/id/1374069")</f>
      </c>
      <c r="G102" t="s" s="2">
        <v>17</v>
      </c>
      <c r="H102" t="s" s="2">
        <v>19</v>
      </c>
      <c r="I102" t="s" s="2">
        <v>421</v>
      </c>
      <c r="J102" t="s" s="2">
        <v>422</v>
      </c>
      <c r="K102" t="s" s="2">
        <v>22</v>
      </c>
      <c r="L102" t="s" s="2">
        <v>22</v>
      </c>
      <c r="M102" t="s" s="2">
        <v>22</v>
      </c>
    </row>
    <row r="103" ht="25.0" customHeight="true">
      <c r="A103" t="s" s="2">
        <v>13</v>
      </c>
      <c r="B103" t="s" s="2">
        <f>HYPERLINK("http://ts.21cn.com/tousu/show/id/1374068","无缘无故被扣款？")</f>
      </c>
      <c r="C103" t="s" s="2">
        <v>15</v>
      </c>
      <c r="D103" t="s" s="2">
        <v>16</v>
      </c>
      <c r="E103" t="s" s="2">
        <v>17</v>
      </c>
      <c r="F103" t="s" s="2">
        <f>HYPERLINK("http://ts.21cn.com/tousu/show/id/1374068","http://ts.21cn.com/tousu/show/id/1374068")</f>
      </c>
      <c r="G103" t="s" s="2">
        <v>17</v>
      </c>
      <c r="H103" t="s" s="2">
        <v>19</v>
      </c>
      <c r="I103" t="s" s="2">
        <v>425</v>
      </c>
      <c r="J103" t="s" s="2">
        <v>426</v>
      </c>
      <c r="K103" t="s" s="2">
        <v>22</v>
      </c>
      <c r="L103" t="s" s="2">
        <v>22</v>
      </c>
      <c r="M103" t="s" s="2">
        <v>22</v>
      </c>
    </row>
    <row r="104" ht="25.0" customHeight="true">
      <c r="A104" t="s" s="2">
        <v>13</v>
      </c>
      <c r="B104" t="s" s="2">
        <f>HYPERLINK("http://ts.21cn.com/tousu/show/id/1374067","造艺科技旗下百事普惠乱扣费")</f>
      </c>
      <c r="C104" t="s" s="2">
        <v>15</v>
      </c>
      <c r="D104" t="s" s="2">
        <v>16</v>
      </c>
      <c r="E104" t="s" s="2">
        <v>17</v>
      </c>
      <c r="F104" t="s" s="2">
        <f>HYPERLINK("http://ts.21cn.com/tousu/show/id/1374067","http://ts.21cn.com/tousu/show/id/1374067")</f>
      </c>
      <c r="G104" t="s" s="2">
        <v>17</v>
      </c>
      <c r="H104" t="s" s="2">
        <v>19</v>
      </c>
      <c r="I104" t="s" s="2">
        <v>429</v>
      </c>
      <c r="J104" t="s" s="2">
        <v>430</v>
      </c>
      <c r="K104" t="s" s="2">
        <v>22</v>
      </c>
      <c r="L104" t="s" s="2">
        <v>22</v>
      </c>
      <c r="M104" t="s" s="2">
        <v>22</v>
      </c>
    </row>
    <row r="105" ht="25.0" customHeight="true">
      <c r="A105" t="s" s="2">
        <v>13</v>
      </c>
      <c r="B105" t="s" s="2">
        <f>HYPERLINK("http://ts.21cn.com/tousu/show/id/1374066","还呗违约金过高")</f>
      </c>
      <c r="C105" t="s" s="2">
        <v>15</v>
      </c>
      <c r="D105" t="s" s="2">
        <v>16</v>
      </c>
      <c r="E105" t="s" s="2">
        <v>17</v>
      </c>
      <c r="F105" t="s" s="2">
        <f>HYPERLINK("http://ts.21cn.com/tousu/show/id/1374066","http://ts.21cn.com/tousu/show/id/1374066")</f>
      </c>
      <c r="G105" t="s" s="2">
        <v>17</v>
      </c>
      <c r="H105" t="s" s="2">
        <v>19</v>
      </c>
      <c r="I105" t="s" s="2">
        <v>433</v>
      </c>
      <c r="J105" t="s" s="2">
        <v>434</v>
      </c>
      <c r="K105" t="s" s="2">
        <v>22</v>
      </c>
      <c r="L105" t="s" s="2">
        <v>22</v>
      </c>
      <c r="M105" t="s" s="2">
        <v>22</v>
      </c>
    </row>
    <row r="106" ht="25.0" customHeight="true">
      <c r="A106" t="s" s="2">
        <v>13</v>
      </c>
      <c r="B106" t="s" s="2">
        <f>HYPERLINK("http://ts.21cn.com/tousu/show/id/1374051","投诉酷宝给违规商户提供支付结算")</f>
      </c>
      <c r="C106" t="s" s="2">
        <v>15</v>
      </c>
      <c r="D106" t="s" s="2">
        <v>16</v>
      </c>
      <c r="E106" t="s" s="2">
        <v>17</v>
      </c>
      <c r="F106" t="s" s="2">
        <f>HYPERLINK("http://ts.21cn.com/tousu/show/id/1374051","http://ts.21cn.com/tousu/show/id/1374051")</f>
      </c>
      <c r="G106" t="s" s="2">
        <v>17</v>
      </c>
      <c r="H106" t="s" s="2">
        <v>19</v>
      </c>
      <c r="I106" t="s" s="2">
        <v>437</v>
      </c>
      <c r="J106" t="s" s="2">
        <v>438</v>
      </c>
      <c r="K106" t="s" s="2">
        <v>22</v>
      </c>
      <c r="L106" t="s" s="2">
        <v>22</v>
      </c>
      <c r="M106" t="s" s="2">
        <v>22</v>
      </c>
    </row>
    <row r="107" ht="25.0" customHeight="true">
      <c r="A107" t="s" s="2">
        <v>13</v>
      </c>
      <c r="B107" t="s" s="2">
        <f>HYPERLINK("http://ts.21cn.com/tousu/show/id/1374063","没有失联却要骚扰我亲戚朋友，明确表明有还款意愿。")</f>
      </c>
      <c r="C107" t="s" s="2">
        <v>15</v>
      </c>
      <c r="D107" t="s" s="2">
        <v>16</v>
      </c>
      <c r="E107" t="s" s="2">
        <v>17</v>
      </c>
      <c r="F107" t="s" s="2">
        <f>HYPERLINK("http://ts.21cn.com/tousu/show/id/1374063","http://ts.21cn.com/tousu/show/id/1374063")</f>
      </c>
      <c r="G107" t="s" s="2">
        <v>17</v>
      </c>
      <c r="H107" t="s" s="2">
        <v>19</v>
      </c>
      <c r="I107" t="s" s="2">
        <v>441</v>
      </c>
      <c r="J107" t="s" s="2">
        <v>442</v>
      </c>
      <c r="K107" t="s" s="2">
        <v>22</v>
      </c>
      <c r="L107" t="s" s="2">
        <v>22</v>
      </c>
      <c r="M107" t="s" s="2">
        <v>22</v>
      </c>
    </row>
    <row r="108" ht="25.0" customHeight="true">
      <c r="A108" t="s" s="2">
        <v>13</v>
      </c>
      <c r="B108" t="s" s="2">
        <f>HYPERLINK("http://ts.21cn.com/tousu/show/id/1374062","暴击催收")</f>
      </c>
      <c r="C108" t="s" s="2">
        <v>15</v>
      </c>
      <c r="D108" t="s" s="2">
        <v>16</v>
      </c>
      <c r="E108" t="s" s="2">
        <v>17</v>
      </c>
      <c r="F108" t="s" s="2">
        <f>HYPERLINK("http://ts.21cn.com/tousu/show/id/1374062","http://ts.21cn.com/tousu/show/id/1374062")</f>
      </c>
      <c r="G108" t="s" s="2">
        <v>17</v>
      </c>
      <c r="H108" t="s" s="2">
        <v>19</v>
      </c>
      <c r="I108" t="s" s="2">
        <v>445</v>
      </c>
      <c r="J108" t="s" s="2">
        <v>446</v>
      </c>
      <c r="K108" t="s" s="2">
        <v>22</v>
      </c>
      <c r="L108" t="s" s="2">
        <v>22</v>
      </c>
      <c r="M108" t="s" s="2">
        <v>22</v>
      </c>
    </row>
    <row r="109" ht="25.0" customHeight="true">
      <c r="A109" t="s" s="2">
        <v>13</v>
      </c>
      <c r="B109" t="s" s="2">
        <f>HYPERLINK("http://ts.21cn.com/tousu/show/id/1374059","我要投诉北京焱华励尚公司辞退员工不予工资和赔偿")</f>
      </c>
      <c r="C109" t="s" s="2">
        <v>15</v>
      </c>
      <c r="D109" t="s" s="2">
        <v>16</v>
      </c>
      <c r="E109" t="s" s="2">
        <v>17</v>
      </c>
      <c r="F109" t="s" s="2">
        <f>HYPERLINK("http://ts.21cn.com/tousu/show/id/1374059","http://ts.21cn.com/tousu/show/id/1374059")</f>
      </c>
      <c r="G109" t="s" s="2">
        <v>17</v>
      </c>
      <c r="H109" t="s" s="2">
        <v>19</v>
      </c>
      <c r="I109" t="s" s="2">
        <v>449</v>
      </c>
      <c r="J109" t="s" s="2">
        <v>450</v>
      </c>
      <c r="K109" t="s" s="2">
        <v>22</v>
      </c>
      <c r="L109" t="s" s="2">
        <v>22</v>
      </c>
      <c r="M109" t="s" s="2">
        <v>22</v>
      </c>
    </row>
    <row r="110" ht="25.0" customHeight="true">
      <c r="A110" t="s" s="2">
        <v>13</v>
      </c>
      <c r="B110" t="s" s="2">
        <f>HYPERLINK("http://ts.21cn.com/tousu/show/id/1374058","途牛旅游退款")</f>
      </c>
      <c r="C110" t="s" s="2">
        <v>52</v>
      </c>
      <c r="D110" t="s" s="2">
        <v>16</v>
      </c>
      <c r="E110" t="s" s="2">
        <v>17</v>
      </c>
      <c r="F110" t="s" s="2">
        <f>HYPERLINK("http://ts.21cn.com/tousu/show/id/1374058","http://ts.21cn.com/tousu/show/id/1374058")</f>
      </c>
      <c r="G110" t="s" s="2">
        <v>17</v>
      </c>
      <c r="H110" t="s" s="2">
        <v>19</v>
      </c>
      <c r="I110" t="s" s="2">
        <v>453</v>
      </c>
      <c r="J110" t="s" s="2">
        <v>454</v>
      </c>
      <c r="K110" t="s" s="2">
        <v>22</v>
      </c>
      <c r="L110" t="s" s="2">
        <v>22</v>
      </c>
      <c r="M110" t="s" s="2">
        <v>22</v>
      </c>
    </row>
    <row r="111" ht="25.0" customHeight="true">
      <c r="A111" t="s" s="2">
        <v>13</v>
      </c>
      <c r="B111" t="s" s="2">
        <f>HYPERLINK("http://ts.21cn.com/tousu/show/id/1374057","拼多多商户为开心棋牌游戏平台收款，要求退回")</f>
      </c>
      <c r="C111" t="s" s="2">
        <v>52</v>
      </c>
      <c r="D111" t="s" s="2">
        <v>16</v>
      </c>
      <c r="E111" t="s" s="2">
        <v>17</v>
      </c>
      <c r="F111" t="s" s="2">
        <f>HYPERLINK("http://ts.21cn.com/tousu/show/id/1374057","http://ts.21cn.com/tousu/show/id/1374057")</f>
      </c>
      <c r="G111" t="s" s="2">
        <v>17</v>
      </c>
      <c r="H111" t="s" s="2">
        <v>19</v>
      </c>
      <c r="I111" t="s" s="2">
        <v>457</v>
      </c>
      <c r="J111" t="s" s="2">
        <v>458</v>
      </c>
      <c r="K111" t="s" s="2">
        <v>22</v>
      </c>
      <c r="L111" t="s" s="2">
        <v>22</v>
      </c>
      <c r="M111" t="s" s="2">
        <v>22</v>
      </c>
    </row>
    <row r="112" ht="25.0" customHeight="true">
      <c r="A112" t="s" s="2">
        <v>13</v>
      </c>
      <c r="B112" t="s" s="2">
        <f>HYPERLINK("http://ts.21cn.com/tousu/show/id/1374055","协商推迟还款事宜")</f>
      </c>
      <c r="C112" t="s" s="2">
        <v>52</v>
      </c>
      <c r="D112" t="s" s="2">
        <v>16</v>
      </c>
      <c r="E112" t="s" s="2">
        <v>17</v>
      </c>
      <c r="F112" t="s" s="2">
        <f>HYPERLINK("http://ts.21cn.com/tousu/show/id/1374055","http://ts.21cn.com/tousu/show/id/1374055")</f>
      </c>
      <c r="G112" t="s" s="2">
        <v>17</v>
      </c>
      <c r="H112" t="s" s="2">
        <v>19</v>
      </c>
      <c r="I112" t="s" s="2">
        <v>461</v>
      </c>
      <c r="J112" t="s" s="2">
        <v>462</v>
      </c>
      <c r="K112" t="s" s="2">
        <v>22</v>
      </c>
      <c r="L112" t="s" s="2">
        <v>22</v>
      </c>
      <c r="M112" t="s" s="2">
        <v>22</v>
      </c>
    </row>
    <row r="113" ht="25.0" customHeight="true">
      <c r="A113" t="s" s="2">
        <v>13</v>
      </c>
      <c r="B113" t="s" s="2">
        <f>HYPERLINK("http://ts.21cn.com/tousu/show/id/1374043","拇指下款恶意扣费")</f>
      </c>
      <c r="C113" t="s" s="2">
        <v>15</v>
      </c>
      <c r="D113" t="s" s="2">
        <v>16</v>
      </c>
      <c r="E113" t="s" s="2">
        <v>17</v>
      </c>
      <c r="F113" t="s" s="2">
        <f>HYPERLINK("http://ts.21cn.com/tousu/show/id/1374043","http://ts.21cn.com/tousu/show/id/1374043")</f>
      </c>
      <c r="G113" t="s" s="2">
        <v>17</v>
      </c>
      <c r="H113" t="s" s="2">
        <v>19</v>
      </c>
      <c r="I113" t="s" s="2">
        <v>465</v>
      </c>
      <c r="J113" t="s" s="2">
        <v>466</v>
      </c>
      <c r="K113" t="s" s="2">
        <v>22</v>
      </c>
      <c r="L113" t="s" s="2">
        <v>22</v>
      </c>
      <c r="M113" t="s" s="2">
        <v>22</v>
      </c>
    </row>
    <row r="114" ht="25.0" customHeight="true">
      <c r="A114" t="s" s="2">
        <v>13</v>
      </c>
      <c r="B114" t="s" s="2">
        <f>HYPERLINK("http://ts.21cn.com/tousu/show/id/1374054","玖富万卡擅自改写合同，变相收取费用，高利贷")</f>
      </c>
      <c r="C114" t="s" s="2">
        <v>15</v>
      </c>
      <c r="D114" t="s" s="2">
        <v>16</v>
      </c>
      <c r="E114" t="s" s="2">
        <v>17</v>
      </c>
      <c r="F114" t="s" s="2">
        <f>HYPERLINK("http://ts.21cn.com/tousu/show/id/1374054","http://ts.21cn.com/tousu/show/id/1374054")</f>
      </c>
      <c r="G114" t="s" s="2">
        <v>17</v>
      </c>
      <c r="H114" t="s" s="2">
        <v>19</v>
      </c>
      <c r="I114" t="s" s="2">
        <v>468</v>
      </c>
      <c r="J114" t="s" s="2">
        <v>469</v>
      </c>
      <c r="K114" t="s" s="2">
        <v>22</v>
      </c>
      <c r="L114" t="s" s="2">
        <v>22</v>
      </c>
      <c r="M114" t="s" s="2">
        <v>22</v>
      </c>
    </row>
    <row r="115" ht="25.0" customHeight="true">
      <c r="A115" t="s" s="2">
        <v>13</v>
      </c>
      <c r="B115" t="s" s="2">
        <f>HYPERLINK("http://ts.21cn.com/tousu/show/id/1374053","腾讯视频自动续费退款")</f>
      </c>
      <c r="C115" t="s" s="2">
        <v>52</v>
      </c>
      <c r="D115" t="s" s="2">
        <v>16</v>
      </c>
      <c r="E115" t="s" s="2">
        <v>17</v>
      </c>
      <c r="F115" t="s" s="2">
        <f>HYPERLINK("http://ts.21cn.com/tousu/show/id/1374053","http://ts.21cn.com/tousu/show/id/1374053")</f>
      </c>
      <c r="G115" t="s" s="2">
        <v>17</v>
      </c>
      <c r="H115" t="s" s="2">
        <v>19</v>
      </c>
      <c r="I115" t="s" s="2">
        <v>472</v>
      </c>
      <c r="J115" t="s" s="2">
        <v>473</v>
      </c>
      <c r="K115" t="s" s="2">
        <v>22</v>
      </c>
      <c r="L115" t="s" s="2">
        <v>22</v>
      </c>
      <c r="M115" t="s" s="2">
        <v>22</v>
      </c>
    </row>
    <row r="116" ht="25.0" customHeight="true">
      <c r="A116" t="s" s="2">
        <v>13</v>
      </c>
      <c r="B116" t="s" s="2">
        <f>HYPERLINK("http://ts.21cn.com/tousu/show/id/1374052","铜钱罐砍头息3000到账2400")</f>
      </c>
      <c r="C116" t="s" s="2">
        <v>15</v>
      </c>
      <c r="D116" t="s" s="2">
        <v>16</v>
      </c>
      <c r="E116" t="s" s="2">
        <v>17</v>
      </c>
      <c r="F116" t="s" s="2">
        <f>HYPERLINK("http://ts.21cn.com/tousu/show/id/1374052","http://ts.21cn.com/tousu/show/id/1374052")</f>
      </c>
      <c r="G116" t="s" s="2">
        <v>17</v>
      </c>
      <c r="H116" t="s" s="2">
        <v>19</v>
      </c>
      <c r="I116" t="s" s="2">
        <v>476</v>
      </c>
      <c r="J116" t="s" s="2">
        <v>477</v>
      </c>
      <c r="K116" t="s" s="2">
        <v>22</v>
      </c>
      <c r="L116" t="s" s="2">
        <v>22</v>
      </c>
      <c r="M116" t="s" s="2">
        <v>22</v>
      </c>
    </row>
    <row r="117" ht="25.0" customHeight="true">
      <c r="A117" t="s" s="2">
        <v>13</v>
      </c>
      <c r="B117" t="s" s="2">
        <f>HYPERLINK("http://ts.21cn.com/tousu/show/id/1374050","解除合同，退还学费")</f>
      </c>
      <c r="C117" t="s" s="2">
        <v>15</v>
      </c>
      <c r="D117" t="s" s="2">
        <v>16</v>
      </c>
      <c r="E117" t="s" s="2">
        <v>17</v>
      </c>
      <c r="F117" t="s" s="2">
        <f>HYPERLINK("http://ts.21cn.com/tousu/show/id/1374050","http://ts.21cn.com/tousu/show/id/1374050")</f>
      </c>
      <c r="G117" t="s" s="2">
        <v>17</v>
      </c>
      <c r="H117" t="s" s="2">
        <v>19</v>
      </c>
      <c r="I117" t="s" s="2">
        <v>480</v>
      </c>
      <c r="J117" t="s" s="2">
        <v>481</v>
      </c>
      <c r="K117" t="s" s="2">
        <v>22</v>
      </c>
      <c r="L117" t="s" s="2">
        <v>22</v>
      </c>
      <c r="M117" t="s" s="2">
        <v>22</v>
      </c>
    </row>
    <row r="118" ht="25.0" customHeight="true">
      <c r="A118" t="s" s="2">
        <v>13</v>
      </c>
      <c r="B118" t="s" s="2">
        <f>HYPERLINK("http://ts.21cn.com/tousu/show/id/1374049","闪银高利贷")</f>
      </c>
      <c r="C118" t="s" s="2">
        <v>15</v>
      </c>
      <c r="D118" t="s" s="2">
        <v>16</v>
      </c>
      <c r="E118" t="s" s="2">
        <v>17</v>
      </c>
      <c r="F118" t="s" s="2">
        <f>HYPERLINK("http://ts.21cn.com/tousu/show/id/1374049","http://ts.21cn.com/tousu/show/id/1374049")</f>
      </c>
      <c r="G118" t="s" s="2">
        <v>17</v>
      </c>
      <c r="H118" t="s" s="2">
        <v>19</v>
      </c>
      <c r="I118" t="s" s="2">
        <v>484</v>
      </c>
      <c r="J118" t="s" s="2">
        <v>485</v>
      </c>
      <c r="K118" t="s" s="2">
        <v>22</v>
      </c>
      <c r="L118" t="s" s="2">
        <v>22</v>
      </c>
      <c r="M118" t="s" s="2">
        <v>22</v>
      </c>
    </row>
    <row r="119" ht="25.0" customHeight="true">
      <c r="A119" t="s" s="2">
        <v>13</v>
      </c>
      <c r="B119" t="s" s="2">
        <f>HYPERLINK("http://ts.21cn.com/tousu/show/id/1374048","浦发银行信用卡万用金收取高额违约金利息")</f>
      </c>
      <c r="C119" t="s" s="2">
        <v>15</v>
      </c>
      <c r="D119" t="s" s="2">
        <v>16</v>
      </c>
      <c r="E119" t="s" s="2">
        <v>17</v>
      </c>
      <c r="F119" t="s" s="2">
        <f>HYPERLINK("http://ts.21cn.com/tousu/show/id/1374048","http://ts.21cn.com/tousu/show/id/1374048")</f>
      </c>
      <c r="G119" t="s" s="2">
        <v>17</v>
      </c>
      <c r="H119" t="s" s="2">
        <v>19</v>
      </c>
      <c r="I119" t="s" s="2">
        <v>488</v>
      </c>
      <c r="J119" t="s" s="2">
        <v>489</v>
      </c>
      <c r="K119" t="s" s="2">
        <v>22</v>
      </c>
      <c r="L119" t="s" s="2">
        <v>22</v>
      </c>
      <c r="M119" t="s" s="2">
        <v>22</v>
      </c>
    </row>
    <row r="120" ht="25.0" customHeight="true">
      <c r="A120" t="s" s="2">
        <v>13</v>
      </c>
      <c r="B120" t="s" s="2">
        <f>HYPERLINK("http://ts.21cn.com/tousu/show/id/1374046","闪电借款暴力催收")</f>
      </c>
      <c r="C120" t="s" s="2">
        <v>15</v>
      </c>
      <c r="D120" t="s" s="2">
        <v>16</v>
      </c>
      <c r="E120" t="s" s="2">
        <v>17</v>
      </c>
      <c r="F120" t="s" s="2">
        <f>HYPERLINK("http://ts.21cn.com/tousu/show/id/1374046","http://ts.21cn.com/tousu/show/id/1374046")</f>
      </c>
      <c r="G120" t="s" s="2">
        <v>17</v>
      </c>
      <c r="H120" t="s" s="2">
        <v>19</v>
      </c>
      <c r="I120" t="s" s="2">
        <v>492</v>
      </c>
      <c r="J120" t="s" s="2">
        <v>493</v>
      </c>
      <c r="K120" t="s" s="2">
        <v>22</v>
      </c>
      <c r="L120" t="s" s="2">
        <v>22</v>
      </c>
      <c r="M120" t="s" s="2">
        <v>22</v>
      </c>
    </row>
    <row r="121" ht="25.0" customHeight="true">
      <c r="A121" t="s" s="2">
        <v>13</v>
      </c>
      <c r="B121" t="s" s="2">
        <f>HYPERLINK("http://ts.21cn.com/tousu/show/id/1374047","闪银变相砍头息，高利贷")</f>
      </c>
      <c r="C121" t="s" s="2">
        <v>15</v>
      </c>
      <c r="D121" t="s" s="2">
        <v>16</v>
      </c>
      <c r="E121" t="s" s="2">
        <v>17</v>
      </c>
      <c r="F121" t="s" s="2">
        <f>HYPERLINK("http://ts.21cn.com/tousu/show/id/1374047","http://ts.21cn.com/tousu/show/id/1374047")</f>
      </c>
      <c r="G121" t="s" s="2">
        <v>17</v>
      </c>
      <c r="H121" t="s" s="2">
        <v>19</v>
      </c>
      <c r="I121" t="s" s="2">
        <v>496</v>
      </c>
      <c r="J121" t="s" s="2">
        <v>497</v>
      </c>
      <c r="K121" t="s" s="2">
        <v>22</v>
      </c>
      <c r="L121" t="s" s="2">
        <v>22</v>
      </c>
      <c r="M121" t="s" s="2">
        <v>22</v>
      </c>
    </row>
    <row r="122" ht="25.0" customHeight="true">
      <c r="A122" t="s" s="2">
        <v>13</v>
      </c>
      <c r="B122" t="s" s="2">
        <f>HYPERLINK("http://ts.21cn.com/tousu/show/id/1373916","优信二手车巨额服务费")</f>
      </c>
      <c r="C122" t="s" s="2">
        <v>52</v>
      </c>
      <c r="D122" t="s" s="2">
        <v>16</v>
      </c>
      <c r="E122" t="s" s="2">
        <v>17</v>
      </c>
      <c r="F122" t="s" s="2">
        <f>HYPERLINK("http://ts.21cn.com/tousu/show/id/1373916","http://ts.21cn.com/tousu/show/id/1373916")</f>
      </c>
      <c r="G122" t="s" s="2">
        <v>17</v>
      </c>
      <c r="H122" t="s" s="2">
        <v>19</v>
      </c>
      <c r="I122" t="s" s="2">
        <v>500</v>
      </c>
      <c r="J122" t="s" s="2">
        <v>501</v>
      </c>
      <c r="K122" t="s" s="2">
        <v>22</v>
      </c>
      <c r="L122" t="s" s="2">
        <v>22</v>
      </c>
      <c r="M122" t="s" s="2">
        <v>22</v>
      </c>
    </row>
    <row r="123" ht="25.0" customHeight="true">
      <c r="A123" t="s" s="2">
        <v>13</v>
      </c>
      <c r="B123" t="s" s="2">
        <f>HYPERLINK("http://ts.21cn.com/tousu/show/id/1374045","暴力催收私爆通讯录恐吓")</f>
      </c>
      <c r="C123" t="s" s="2">
        <v>15</v>
      </c>
      <c r="D123" t="s" s="2">
        <v>16</v>
      </c>
      <c r="E123" t="s" s="2">
        <v>17</v>
      </c>
      <c r="F123" t="s" s="2">
        <f>HYPERLINK("http://ts.21cn.com/tousu/show/id/1374045","http://ts.21cn.com/tousu/show/id/1374045")</f>
      </c>
      <c r="G123" t="s" s="2">
        <v>17</v>
      </c>
      <c r="H123" t="s" s="2">
        <v>19</v>
      </c>
      <c r="I123" t="s" s="2">
        <v>504</v>
      </c>
      <c r="J123" t="s" s="2">
        <v>505</v>
      </c>
      <c r="K123" t="s" s="2">
        <v>22</v>
      </c>
      <c r="L123" t="s" s="2">
        <v>22</v>
      </c>
      <c r="M123" t="s" s="2">
        <v>22</v>
      </c>
    </row>
    <row r="124" ht="25.0" customHeight="true">
      <c r="A124" t="s" s="2">
        <v>13</v>
      </c>
      <c r="B124" t="s" s="2">
        <f>HYPERLINK("http://ts.21cn.com/tousu/show/id/1374044","卡卡贷乱扣费")</f>
      </c>
      <c r="C124" t="s" s="2">
        <v>15</v>
      </c>
      <c r="D124" t="s" s="2">
        <v>16</v>
      </c>
      <c r="E124" t="s" s="2">
        <v>17</v>
      </c>
      <c r="F124" t="s" s="2">
        <f>HYPERLINK("http://ts.21cn.com/tousu/show/id/1374044","http://ts.21cn.com/tousu/show/id/1374044")</f>
      </c>
      <c r="G124" t="s" s="2">
        <v>17</v>
      </c>
      <c r="H124" t="s" s="2">
        <v>19</v>
      </c>
      <c r="I124" t="s" s="2">
        <v>508</v>
      </c>
      <c r="J124" t="s" s="2">
        <v>509</v>
      </c>
      <c r="K124" t="s" s="2">
        <v>22</v>
      </c>
      <c r="L124" t="s" s="2">
        <v>22</v>
      </c>
      <c r="M124" t="s" s="2">
        <v>22</v>
      </c>
    </row>
    <row r="125" ht="25.0" customHeight="true">
      <c r="A125" t="s" s="2">
        <v>13</v>
      </c>
      <c r="B125" t="s" s="2">
        <f>HYPERLINK("http://ts.21cn.com/tousu/show/id/1374042","取消审核放款。保险费太高了。")</f>
      </c>
      <c r="C125" t="s" s="2">
        <v>15</v>
      </c>
      <c r="D125" t="s" s="2">
        <v>16</v>
      </c>
      <c r="E125" t="s" s="2">
        <v>17</v>
      </c>
      <c r="F125" t="s" s="2">
        <f>HYPERLINK("http://ts.21cn.com/tousu/show/id/1374042","http://ts.21cn.com/tousu/show/id/1374042")</f>
      </c>
      <c r="G125" t="s" s="2">
        <v>17</v>
      </c>
      <c r="H125" t="s" s="2">
        <v>19</v>
      </c>
      <c r="I125" t="s" s="2">
        <v>512</v>
      </c>
      <c r="J125" t="s" s="2">
        <v>513</v>
      </c>
      <c r="K125" t="s" s="2">
        <v>22</v>
      </c>
      <c r="L125" t="s" s="2">
        <v>22</v>
      </c>
      <c r="M125" t="s" s="2">
        <v>22</v>
      </c>
    </row>
    <row r="126" ht="25.0" customHeight="true">
      <c r="A126" t="s" s="2">
        <v>13</v>
      </c>
      <c r="B126" t="s" s="2">
        <f>HYPERLINK("http://ts.21cn.com/tousu/show/id/1374032","轻周转芒果筹不自动扣款打不开APP导致严重逾期")</f>
      </c>
      <c r="C126" t="s" s="2">
        <v>15</v>
      </c>
      <c r="D126" t="s" s="2">
        <v>16</v>
      </c>
      <c r="E126" t="s" s="2">
        <v>17</v>
      </c>
      <c r="F126" t="s" s="2">
        <f>HYPERLINK("http://ts.21cn.com/tousu/show/id/1374032","http://ts.21cn.com/tousu/show/id/1374032")</f>
      </c>
      <c r="G126" t="s" s="2">
        <v>17</v>
      </c>
      <c r="H126" t="s" s="2">
        <v>19</v>
      </c>
      <c r="I126" t="s" s="2">
        <v>516</v>
      </c>
      <c r="J126" t="s" s="2">
        <v>517</v>
      </c>
      <c r="K126" t="s" s="2">
        <v>22</v>
      </c>
      <c r="L126" t="s" s="2">
        <v>22</v>
      </c>
      <c r="M126" t="s" s="2">
        <v>22</v>
      </c>
    </row>
    <row r="127" ht="25.0" customHeight="true">
      <c r="A127" t="s" s="2">
        <v>13</v>
      </c>
      <c r="B127" t="s" s="2">
        <f>HYPERLINK("http://ts.21cn.com/tousu/show/id/1374041","赚啦理财还我血汗钱")</f>
      </c>
      <c r="C127" t="s" s="2">
        <v>15</v>
      </c>
      <c r="D127" t="s" s="2">
        <v>16</v>
      </c>
      <c r="E127" t="s" s="2">
        <v>17</v>
      </c>
      <c r="F127" t="s" s="2">
        <f>HYPERLINK("http://ts.21cn.com/tousu/show/id/1374041","http://ts.21cn.com/tousu/show/id/1374041")</f>
      </c>
      <c r="G127" t="s" s="2">
        <v>17</v>
      </c>
      <c r="H127" t="s" s="2">
        <v>19</v>
      </c>
      <c r="I127" t="s" s="2">
        <v>520</v>
      </c>
      <c r="J127" t="s" s="2">
        <v>521</v>
      </c>
      <c r="K127" t="s" s="2">
        <v>22</v>
      </c>
      <c r="L127" t="s" s="2">
        <v>22</v>
      </c>
      <c r="M127" t="s" s="2">
        <v>22</v>
      </c>
    </row>
    <row r="128" ht="25.0" customHeight="true">
      <c r="A128" t="s" s="2">
        <v>13</v>
      </c>
      <c r="B128" t="s" s="2">
        <f>HYPERLINK("http://ts.21cn.com/tousu/show/id/1374018","证大金融借款高利贷")</f>
      </c>
      <c r="C128" t="s" s="2">
        <v>15</v>
      </c>
      <c r="D128" t="s" s="2">
        <v>16</v>
      </c>
      <c r="E128" t="s" s="2">
        <v>17</v>
      </c>
      <c r="F128" t="s" s="2">
        <f>HYPERLINK("http://ts.21cn.com/tousu/show/id/1374018","http://ts.21cn.com/tousu/show/id/1374018")</f>
      </c>
      <c r="G128" t="s" s="2">
        <v>17</v>
      </c>
      <c r="H128" t="s" s="2">
        <v>19</v>
      </c>
      <c r="I128" t="s" s="2">
        <v>524</v>
      </c>
      <c r="J128" t="s" s="2">
        <v>525</v>
      </c>
      <c r="K128" t="s" s="2">
        <v>22</v>
      </c>
      <c r="L128" t="s" s="2">
        <v>22</v>
      </c>
      <c r="M128" t="s" s="2">
        <v>22</v>
      </c>
    </row>
    <row r="129" ht="25.0" customHeight="true">
      <c r="A129" t="s" s="2">
        <v>13</v>
      </c>
      <c r="B129" t="s" s="2">
        <f>HYPERLINK("http://ts.21cn.com/tousu/show/id/1374040","小米笔记本使用不到24小时就坏了-小米拖延时间-再之后是拒绝售后")</f>
      </c>
      <c r="C129" t="s" s="2">
        <v>15</v>
      </c>
      <c r="D129" t="s" s="2">
        <v>16</v>
      </c>
      <c r="E129" t="s" s="2">
        <v>17</v>
      </c>
      <c r="F129" t="s" s="2">
        <f>HYPERLINK("http://ts.21cn.com/tousu/show/id/1374040","http://ts.21cn.com/tousu/show/id/1374040")</f>
      </c>
      <c r="G129" t="s" s="2">
        <v>17</v>
      </c>
      <c r="H129" t="s" s="2">
        <v>19</v>
      </c>
      <c r="I129" t="s" s="2">
        <v>528</v>
      </c>
      <c r="J129" t="s" s="2">
        <v>529</v>
      </c>
      <c r="K129" t="s" s="2">
        <v>22</v>
      </c>
      <c r="L129" t="s" s="2">
        <v>22</v>
      </c>
      <c r="M129" t="s" s="2">
        <v>22</v>
      </c>
    </row>
    <row r="130" ht="25.0" customHeight="true">
      <c r="A130" t="s" s="2">
        <v>13</v>
      </c>
      <c r="B130" t="s" s="2">
        <f>HYPERLINK("http://ts.21cn.com/tousu/show/id/1249263","备胎信用骚扰恐吓家人朋")</f>
      </c>
      <c r="C130" t="s" s="2">
        <v>15</v>
      </c>
      <c r="D130" t="s" s="2">
        <v>16</v>
      </c>
      <c r="E130" t="s" s="2">
        <v>17</v>
      </c>
      <c r="F130" t="s" s="2">
        <f>HYPERLINK("http://ts.21cn.com/tousu/show/id/1249263","http://ts.21cn.com/tousu/show/id/1249263")</f>
      </c>
      <c r="G130" t="s" s="2">
        <v>17</v>
      </c>
      <c r="H130" t="s" s="2">
        <v>19</v>
      </c>
      <c r="I130" t="s" s="2">
        <v>532</v>
      </c>
      <c r="J130" t="s" s="2">
        <v>533</v>
      </c>
      <c r="K130" t="s" s="2">
        <v>22</v>
      </c>
      <c r="L130" t="s" s="2">
        <v>22</v>
      </c>
      <c r="M130" t="s" s="2">
        <v>22</v>
      </c>
    </row>
    <row r="131" ht="25.0" customHeight="true">
      <c r="A131" t="s" s="2">
        <v>13</v>
      </c>
      <c r="B131" t="s" s="2">
        <f>HYPERLINK("http://ts.21cn.com/tousu/show/id/1374038","因资金周转问题逾期时光分期一天")</f>
      </c>
      <c r="C131" t="s" s="2">
        <v>15</v>
      </c>
      <c r="D131" t="s" s="2">
        <v>16</v>
      </c>
      <c r="E131" t="s" s="2">
        <v>17</v>
      </c>
      <c r="F131" t="s" s="2">
        <f>HYPERLINK("http://ts.21cn.com/tousu/show/id/1374038","http://ts.21cn.com/tousu/show/id/1374038")</f>
      </c>
      <c r="G131" t="s" s="2">
        <v>17</v>
      </c>
      <c r="H131" t="s" s="2">
        <v>19</v>
      </c>
      <c r="I131" t="s" s="2">
        <v>536</v>
      </c>
      <c r="J131" t="s" s="2">
        <v>537</v>
      </c>
      <c r="K131" t="s" s="2">
        <v>22</v>
      </c>
      <c r="L131" t="s" s="2">
        <v>22</v>
      </c>
      <c r="M131" t="s" s="2">
        <v>22</v>
      </c>
    </row>
    <row r="132" ht="25.0" customHeight="true">
      <c r="A132" t="s" s="2">
        <v>13</v>
      </c>
      <c r="B132" t="s" s="2">
        <f>HYPERLINK("http://ts.21cn.com/tousu/show/id/1374036","水莲金条，黑网贷")</f>
      </c>
      <c r="C132" t="s" s="2">
        <v>15</v>
      </c>
      <c r="D132" t="s" s="2">
        <v>16</v>
      </c>
      <c r="E132" t="s" s="2">
        <v>17</v>
      </c>
      <c r="F132" t="s" s="2">
        <f>HYPERLINK("http://ts.21cn.com/tousu/show/id/1374036","http://ts.21cn.com/tousu/show/id/1374036")</f>
      </c>
      <c r="G132" t="s" s="2">
        <v>17</v>
      </c>
      <c r="H132" t="s" s="2">
        <v>19</v>
      </c>
      <c r="I132" t="s" s="2">
        <v>540</v>
      </c>
      <c r="J132" t="s" s="2">
        <v>541</v>
      </c>
      <c r="K132" t="s" s="2">
        <v>22</v>
      </c>
      <c r="L132" t="s" s="2">
        <v>22</v>
      </c>
      <c r="M132" t="s" s="2">
        <v>22</v>
      </c>
    </row>
    <row r="133" ht="25.0" customHeight="true">
      <c r="A133" t="s" s="2">
        <v>13</v>
      </c>
      <c r="B133" t="s" s="2">
        <f>HYPERLINK("http://ts.21cn.com/tousu/show/id/1374034","快钱支付为高利贷平台合作，收取高额的利息费")</f>
      </c>
      <c r="C133" t="s" s="2">
        <v>15</v>
      </c>
      <c r="D133" t="s" s="2">
        <v>16</v>
      </c>
      <c r="E133" t="s" s="2">
        <v>17</v>
      </c>
      <c r="F133" t="s" s="2">
        <f>HYPERLINK("http://ts.21cn.com/tousu/show/id/1374034","http://ts.21cn.com/tousu/show/id/1374034")</f>
      </c>
      <c r="G133" t="s" s="2">
        <v>17</v>
      </c>
      <c r="H133" t="s" s="2">
        <v>19</v>
      </c>
      <c r="I133" t="s" s="2">
        <v>544</v>
      </c>
      <c r="J133" t="s" s="2">
        <v>545</v>
      </c>
      <c r="K133" t="s" s="2">
        <v>22</v>
      </c>
      <c r="L133" t="s" s="2">
        <v>22</v>
      </c>
      <c r="M133" t="s" s="2">
        <v>22</v>
      </c>
    </row>
    <row r="134" ht="25.0" customHeight="true">
      <c r="A134" t="s" s="2">
        <v>13</v>
      </c>
      <c r="B134" t="s" s="2">
        <f>HYPERLINK("http://ts.21cn.com/tousu/show/id/1374033","乱扣费")</f>
      </c>
      <c r="C134" t="s" s="2">
        <v>15</v>
      </c>
      <c r="D134" t="s" s="2">
        <v>16</v>
      </c>
      <c r="E134" t="s" s="2">
        <v>17</v>
      </c>
      <c r="F134" t="s" s="2">
        <f>HYPERLINK("http://ts.21cn.com/tousu/show/id/1374033","http://ts.21cn.com/tousu/show/id/1374033")</f>
      </c>
      <c r="G134" t="s" s="2">
        <v>17</v>
      </c>
      <c r="H134" t="s" s="2">
        <v>19</v>
      </c>
      <c r="I134" t="s" s="2">
        <v>548</v>
      </c>
      <c r="J134" t="s" s="2">
        <v>549</v>
      </c>
      <c r="K134" t="s" s="2">
        <v>22</v>
      </c>
      <c r="L134" t="s" s="2">
        <v>22</v>
      </c>
      <c r="M134" t="s" s="2">
        <v>22</v>
      </c>
    </row>
    <row r="135" ht="25.0" customHeight="true">
      <c r="A135" t="s" s="2">
        <v>13</v>
      </c>
      <c r="B135" t="s" s="2">
        <f>HYPERLINK("http://ts.21cn.com/tousu/show/id/1374035","无视司机权益")</f>
      </c>
      <c r="C135" t="s" s="2">
        <v>15</v>
      </c>
      <c r="D135" t="s" s="2">
        <v>16</v>
      </c>
      <c r="E135" t="s" s="2">
        <v>17</v>
      </c>
      <c r="F135" t="s" s="2">
        <f>HYPERLINK("http://ts.21cn.com/tousu/show/id/1374035","http://ts.21cn.com/tousu/show/id/1374035")</f>
      </c>
      <c r="G135" t="s" s="2">
        <v>17</v>
      </c>
      <c r="H135" t="s" s="2">
        <v>19</v>
      </c>
      <c r="I135" t="s" s="2">
        <v>552</v>
      </c>
      <c r="J135" t="s" s="2">
        <v>553</v>
      </c>
      <c r="K135" t="s" s="2">
        <v>22</v>
      </c>
      <c r="L135" t="s" s="2">
        <v>22</v>
      </c>
      <c r="M135" t="s" s="2">
        <v>22</v>
      </c>
    </row>
    <row r="136" ht="25.0" customHeight="true">
      <c r="A136" t="s" s="2">
        <v>13</v>
      </c>
      <c r="B136" t="s" s="2">
        <f>HYPERLINK("http://ts.21cn.com/tousu/show/id/1374030","软件恶意扣费")</f>
      </c>
      <c r="C136" t="s" s="2">
        <v>15</v>
      </c>
      <c r="D136" t="s" s="2">
        <v>16</v>
      </c>
      <c r="E136" t="s" s="2">
        <v>17</v>
      </c>
      <c r="F136" t="s" s="2">
        <f>HYPERLINK("http://ts.21cn.com/tousu/show/id/1374030","http://ts.21cn.com/tousu/show/id/1374030")</f>
      </c>
      <c r="G136" t="s" s="2">
        <v>17</v>
      </c>
      <c r="H136" t="s" s="2">
        <v>19</v>
      </c>
      <c r="I136" t="s" s="2">
        <v>556</v>
      </c>
      <c r="J136" t="s" s="2">
        <v>557</v>
      </c>
      <c r="K136" t="s" s="2">
        <v>22</v>
      </c>
      <c r="L136" t="s" s="2">
        <v>22</v>
      </c>
      <c r="M136" t="s" s="2">
        <v>22</v>
      </c>
    </row>
    <row r="137" ht="25.0" customHeight="true">
      <c r="A137" t="s" s="2">
        <v>13</v>
      </c>
      <c r="B137" t="s" s="2">
        <f>HYPERLINK("http://ts.21cn.com/tousu/show/id/1374029","捷信爆通讯录")</f>
      </c>
      <c r="C137" t="s" s="2">
        <v>15</v>
      </c>
      <c r="D137" t="s" s="2">
        <v>16</v>
      </c>
      <c r="E137" t="s" s="2">
        <v>17</v>
      </c>
      <c r="F137" t="s" s="2">
        <f>HYPERLINK("http://ts.21cn.com/tousu/show/id/1374029","http://ts.21cn.com/tousu/show/id/1374029")</f>
      </c>
      <c r="G137" t="s" s="2">
        <v>17</v>
      </c>
      <c r="H137" t="s" s="2">
        <v>19</v>
      </c>
      <c r="I137" t="s" s="2">
        <v>560</v>
      </c>
      <c r="J137" t="s" s="2">
        <v>561</v>
      </c>
      <c r="K137" t="s" s="2">
        <v>22</v>
      </c>
      <c r="L137" t="s" s="2">
        <v>22</v>
      </c>
      <c r="M137" t="s" s="2">
        <v>22</v>
      </c>
    </row>
    <row r="138" ht="25.0" customHeight="true">
      <c r="A138" t="s" s="2">
        <v>13</v>
      </c>
      <c r="B138" t="s" s="2">
        <f>HYPERLINK("http://ts.21cn.com/tousu/show/id/1374028","合利宝为14个714套路贷商户扣取坎头息拒不处理")</f>
      </c>
      <c r="C138" t="s" s="2">
        <v>15</v>
      </c>
      <c r="D138" t="s" s="2">
        <v>16</v>
      </c>
      <c r="E138" t="s" s="2">
        <v>17</v>
      </c>
      <c r="F138" t="s" s="2">
        <f>HYPERLINK("http://ts.21cn.com/tousu/show/id/1374028","http://ts.21cn.com/tousu/show/id/1374028")</f>
      </c>
      <c r="G138" t="s" s="2">
        <v>17</v>
      </c>
      <c r="H138" t="s" s="2">
        <v>19</v>
      </c>
      <c r="I138" t="s" s="2">
        <v>564</v>
      </c>
      <c r="J138" t="s" s="2">
        <v>565</v>
      </c>
      <c r="K138" t="s" s="2">
        <v>22</v>
      </c>
      <c r="L138" t="s" s="2">
        <v>22</v>
      </c>
      <c r="M138" t="s" s="2">
        <v>22</v>
      </c>
    </row>
    <row r="139" ht="25.0" customHeight="true">
      <c r="A139" t="s" s="2">
        <v>13</v>
      </c>
      <c r="B139" t="s" s="2">
        <f>HYPERLINK("http://ts.21cn.com/tousu/show/id/1374027","壹心分期催收不停")</f>
      </c>
      <c r="C139" t="s" s="2">
        <v>15</v>
      </c>
      <c r="D139" t="s" s="2">
        <v>16</v>
      </c>
      <c r="E139" t="s" s="2">
        <v>17</v>
      </c>
      <c r="F139" t="s" s="2">
        <f>HYPERLINK("http://ts.21cn.com/tousu/show/id/1374027","http://ts.21cn.com/tousu/show/id/1374027")</f>
      </c>
      <c r="G139" t="s" s="2">
        <v>17</v>
      </c>
      <c r="H139" t="s" s="2">
        <v>19</v>
      </c>
      <c r="I139" t="s" s="2">
        <v>568</v>
      </c>
      <c r="J139" t="s" s="2">
        <v>569</v>
      </c>
      <c r="K139" t="s" s="2">
        <v>22</v>
      </c>
      <c r="L139" t="s" s="2">
        <v>22</v>
      </c>
      <c r="M139" t="s" s="2">
        <v>22</v>
      </c>
    </row>
    <row r="140" ht="25.0" customHeight="true">
      <c r="A140" t="s" s="2">
        <v>13</v>
      </c>
      <c r="B140" t="s" s="2">
        <f>HYPERLINK("http://ts.21cn.com/tousu/show/id/1374026","有钱花")</f>
      </c>
      <c r="C140" t="s" s="2">
        <v>15</v>
      </c>
      <c r="D140" t="s" s="2">
        <v>16</v>
      </c>
      <c r="E140" t="s" s="2">
        <v>17</v>
      </c>
      <c r="F140" t="s" s="2">
        <f>HYPERLINK("http://ts.21cn.com/tousu/show/id/1374026","http://ts.21cn.com/tousu/show/id/1374026")</f>
      </c>
      <c r="G140" t="s" s="2">
        <v>17</v>
      </c>
      <c r="H140" t="s" s="2">
        <v>19</v>
      </c>
      <c r="I140" t="s" s="2">
        <v>572</v>
      </c>
      <c r="J140" t="s" s="2">
        <v>573</v>
      </c>
      <c r="K140" t="s" s="2">
        <v>22</v>
      </c>
      <c r="L140" t="s" s="2">
        <v>22</v>
      </c>
      <c r="M140" t="s" s="2">
        <v>22</v>
      </c>
    </row>
    <row r="141" ht="25.0" customHeight="true">
      <c r="A141" t="s" s="2">
        <v>13</v>
      </c>
      <c r="B141" t="s" s="2">
        <f>HYPERLINK("http://ts.21cn.com/tousu/show/id/1374025","暴力催收，恶意谣言")</f>
      </c>
      <c r="C141" t="s" s="2">
        <v>15</v>
      </c>
      <c r="D141" t="s" s="2">
        <v>16</v>
      </c>
      <c r="E141" t="s" s="2">
        <v>17</v>
      </c>
      <c r="F141" t="s" s="2">
        <f>HYPERLINK("http://ts.21cn.com/tousu/show/id/1374025","http://ts.21cn.com/tousu/show/id/1374025")</f>
      </c>
      <c r="G141" t="s" s="2">
        <v>17</v>
      </c>
      <c r="H141" t="s" s="2">
        <v>19</v>
      </c>
      <c r="I141" t="s" s="2">
        <v>576</v>
      </c>
      <c r="J141" t="s" s="2">
        <v>577</v>
      </c>
      <c r="K141" t="s" s="2">
        <v>22</v>
      </c>
      <c r="L141" t="s" s="2">
        <v>22</v>
      </c>
      <c r="M141" t="s" s="2">
        <v>22</v>
      </c>
    </row>
    <row r="142" ht="25.0" customHeight="true">
      <c r="A142" t="s" s="2">
        <v>13</v>
      </c>
      <c r="B142" t="s" s="2">
        <f>HYPERLINK("http://ts.21cn.com/tousu/show/id/1374024","爆我通讯录，严重影响我的生活。")</f>
      </c>
      <c r="C142" t="s" s="2">
        <v>52</v>
      </c>
      <c r="D142" t="s" s="2">
        <v>16</v>
      </c>
      <c r="E142" t="s" s="2">
        <v>17</v>
      </c>
      <c r="F142" t="s" s="2">
        <f>HYPERLINK("http://ts.21cn.com/tousu/show/id/1374024","http://ts.21cn.com/tousu/show/id/1374024")</f>
      </c>
      <c r="G142" t="s" s="2">
        <v>17</v>
      </c>
      <c r="H142" t="s" s="2">
        <v>19</v>
      </c>
      <c r="I142" t="s" s="2">
        <v>580</v>
      </c>
      <c r="J142" t="s" s="2">
        <v>581</v>
      </c>
      <c r="K142" t="s" s="2">
        <v>22</v>
      </c>
      <c r="L142" t="s" s="2">
        <v>22</v>
      </c>
      <c r="M142" t="s" s="2">
        <v>22</v>
      </c>
    </row>
    <row r="143" ht="25.0" customHeight="true">
      <c r="A143" t="s" s="2">
        <v>13</v>
      </c>
      <c r="B143" t="s" s="2">
        <f>HYPERLINK("http://ts.21cn.com/tousu/show/id/1374022","四方棋牌")</f>
      </c>
      <c r="C143" t="s" s="2">
        <v>15</v>
      </c>
      <c r="D143" t="s" s="2">
        <v>16</v>
      </c>
      <c r="E143" t="s" s="2">
        <v>17</v>
      </c>
      <c r="F143" t="s" s="2">
        <f>HYPERLINK("http://ts.21cn.com/tousu/show/id/1374022","http://ts.21cn.com/tousu/show/id/1374022")</f>
      </c>
      <c r="G143" t="s" s="2">
        <v>17</v>
      </c>
      <c r="H143" t="s" s="2">
        <v>19</v>
      </c>
      <c r="I143" t="s" s="2">
        <v>584</v>
      </c>
      <c r="J143" t="s" s="2">
        <v>585</v>
      </c>
      <c r="K143" t="s" s="2">
        <v>22</v>
      </c>
      <c r="L143" t="s" s="2">
        <v>22</v>
      </c>
      <c r="M143" t="s" s="2">
        <v>22</v>
      </c>
    </row>
    <row r="144" ht="25.0" customHeight="true">
      <c r="A144" t="s" s="2">
        <v>13</v>
      </c>
      <c r="B144" t="s" s="2">
        <f>HYPERLINK("http://ts.21cn.com/tousu/show/id/1374021","老是提示同一时间下单人数多,无法下单,客服也无法处理")</f>
      </c>
      <c r="C144" t="s" s="2">
        <v>52</v>
      </c>
      <c r="D144" t="s" s="2">
        <v>16</v>
      </c>
      <c r="E144" t="s" s="2">
        <v>17</v>
      </c>
      <c r="F144" t="s" s="2">
        <f>HYPERLINK("http://ts.21cn.com/tousu/show/id/1374021","http://ts.21cn.com/tousu/show/id/1374021")</f>
      </c>
      <c r="G144" t="s" s="2">
        <v>17</v>
      </c>
      <c r="H144" t="s" s="2">
        <v>19</v>
      </c>
      <c r="I144" t="s" s="2">
        <v>588</v>
      </c>
      <c r="J144" t="s" s="2">
        <v>589</v>
      </c>
      <c r="K144" t="s" s="2">
        <v>22</v>
      </c>
      <c r="L144" t="s" s="2">
        <v>22</v>
      </c>
      <c r="M144" t="s" s="2">
        <v>22</v>
      </c>
    </row>
    <row r="145" ht="25.0" customHeight="true">
      <c r="A145" t="s" s="2">
        <v>13</v>
      </c>
      <c r="B145" t="s" s="2">
        <f>HYPERLINK("http://ts.21cn.com/tousu/show/id/1374019","支付宝恶意冻结资金")</f>
      </c>
      <c r="C145" t="s" s="2">
        <v>15</v>
      </c>
      <c r="D145" t="s" s="2">
        <v>16</v>
      </c>
      <c r="E145" t="s" s="2">
        <v>17</v>
      </c>
      <c r="F145" t="s" s="2">
        <f>HYPERLINK("http://ts.21cn.com/tousu/show/id/1374019","http://ts.21cn.com/tousu/show/id/1374019")</f>
      </c>
      <c r="G145" t="s" s="2">
        <v>17</v>
      </c>
      <c r="H145" t="s" s="2">
        <v>19</v>
      </c>
      <c r="I145" t="s" s="2">
        <v>592</v>
      </c>
      <c r="J145" t="s" s="2">
        <v>593</v>
      </c>
      <c r="K145" t="s" s="2">
        <v>22</v>
      </c>
      <c r="L145" t="s" s="2">
        <v>22</v>
      </c>
      <c r="M145" t="s" s="2">
        <v>22</v>
      </c>
    </row>
    <row r="146" ht="25.0" customHeight="true">
      <c r="A146" t="s" s="2">
        <v>13</v>
      </c>
      <c r="B146" t="s" s="2">
        <f>HYPERLINK("http://ts.21cn.com/tousu/show/id/1374020","高利贷")</f>
      </c>
      <c r="C146" t="s" s="2">
        <v>15</v>
      </c>
      <c r="D146" t="s" s="2">
        <v>16</v>
      </c>
      <c r="E146" t="s" s="2">
        <v>17</v>
      </c>
      <c r="F146" t="s" s="2">
        <f>HYPERLINK("http://ts.21cn.com/tousu/show/id/1374020","http://ts.21cn.com/tousu/show/id/1374020")</f>
      </c>
      <c r="G146" t="s" s="2">
        <v>17</v>
      </c>
      <c r="H146" t="s" s="2">
        <v>19</v>
      </c>
      <c r="I146" t="s" s="2">
        <v>596</v>
      </c>
      <c r="J146" t="s" s="2">
        <v>597</v>
      </c>
      <c r="K146" t="s" s="2">
        <v>22</v>
      </c>
      <c r="L146" t="s" s="2">
        <v>22</v>
      </c>
      <c r="M146" t="s" s="2">
        <v>22</v>
      </c>
    </row>
    <row r="147" ht="25.0" customHeight="true">
      <c r="A147" t="s" s="2">
        <v>13</v>
      </c>
      <c r="B147" t="s" s="2">
        <f>HYPERLINK("http://ts.21cn.com/tousu/show/id/1373951","浙江贝壳财富投资管理有限公司违规")</f>
      </c>
      <c r="C147" t="s" s="2">
        <v>15</v>
      </c>
      <c r="D147" t="s" s="2">
        <v>16</v>
      </c>
      <c r="E147" t="s" s="2">
        <v>17</v>
      </c>
      <c r="F147" t="s" s="2">
        <f>HYPERLINK("http://ts.21cn.com/tousu/show/id/1373951","http://ts.21cn.com/tousu/show/id/1373951")</f>
      </c>
      <c r="G147" t="s" s="2">
        <v>17</v>
      </c>
      <c r="H147" t="s" s="2">
        <v>19</v>
      </c>
      <c r="I147" t="s" s="2">
        <v>600</v>
      </c>
      <c r="J147" t="s" s="2">
        <v>601</v>
      </c>
      <c r="K147" t="s" s="2">
        <v>22</v>
      </c>
      <c r="L147" t="s" s="2">
        <v>22</v>
      </c>
      <c r="M147" t="s" s="2">
        <v>22</v>
      </c>
    </row>
    <row r="148" ht="25.0" customHeight="true">
      <c r="A148" t="s" s="2">
        <v>13</v>
      </c>
      <c r="B148" t="s" s="2">
        <f>HYPERLINK("http://ts.21cn.com/tousu/show/id/1374017","威胁爆通讯录")</f>
      </c>
      <c r="C148" t="s" s="2">
        <v>15</v>
      </c>
      <c r="D148" t="s" s="2">
        <v>16</v>
      </c>
      <c r="E148" t="s" s="2">
        <v>17</v>
      </c>
      <c r="F148" t="s" s="2">
        <f>HYPERLINK("http://ts.21cn.com/tousu/show/id/1374017","http://ts.21cn.com/tousu/show/id/1374017")</f>
      </c>
      <c r="G148" t="s" s="2">
        <v>17</v>
      </c>
      <c r="H148" t="s" s="2">
        <v>19</v>
      </c>
      <c r="I148" t="s" s="2">
        <v>604</v>
      </c>
      <c r="J148" t="s" s="2">
        <v>605</v>
      </c>
      <c r="K148" t="s" s="2">
        <v>22</v>
      </c>
      <c r="L148" t="s" s="2">
        <v>22</v>
      </c>
      <c r="M148" t="s" s="2">
        <v>22</v>
      </c>
    </row>
    <row r="149" ht="25.0" customHeight="true">
      <c r="A149" t="s" s="2">
        <v>13</v>
      </c>
      <c r="B149" t="s" s="2">
        <f>HYPERLINK("http://ts.21cn.com/tousu/show/id/1374016","闪银奇异砍头息")</f>
      </c>
      <c r="C149" t="s" s="2">
        <v>52</v>
      </c>
      <c r="D149" t="s" s="2">
        <v>16</v>
      </c>
      <c r="E149" t="s" s="2">
        <v>17</v>
      </c>
      <c r="F149" t="s" s="2">
        <f>HYPERLINK("http://ts.21cn.com/tousu/show/id/1374016","http://ts.21cn.com/tousu/show/id/1374016")</f>
      </c>
      <c r="G149" t="s" s="2">
        <v>17</v>
      </c>
      <c r="H149" t="s" s="2">
        <v>19</v>
      </c>
      <c r="I149" t="s" s="2">
        <v>608</v>
      </c>
      <c r="J149" t="s" s="2">
        <v>609</v>
      </c>
      <c r="K149" t="s" s="2">
        <v>22</v>
      </c>
      <c r="L149" t="s" s="2">
        <v>22</v>
      </c>
      <c r="M149" t="s" s="2">
        <v>22</v>
      </c>
    </row>
    <row r="150" ht="25.0" customHeight="true">
      <c r="A150" t="s" s="2">
        <v>13</v>
      </c>
      <c r="B150" t="s" s="2">
        <f>HYPERLINK("http://ts.21cn.com/tousu/show/id/1374015","退款问题")</f>
      </c>
      <c r="C150" t="s" s="2">
        <v>15</v>
      </c>
      <c r="D150" t="s" s="2">
        <v>16</v>
      </c>
      <c r="E150" t="s" s="2">
        <v>17</v>
      </c>
      <c r="F150" t="s" s="2">
        <f>HYPERLINK("http://ts.21cn.com/tousu/show/id/1374015","http://ts.21cn.com/tousu/show/id/1374015")</f>
      </c>
      <c r="G150" t="s" s="2">
        <v>17</v>
      </c>
      <c r="H150" t="s" s="2">
        <v>19</v>
      </c>
      <c r="I150" t="s" s="2">
        <v>612</v>
      </c>
      <c r="J150" t="s" s="2">
        <v>613</v>
      </c>
      <c r="K150" t="s" s="2">
        <v>22</v>
      </c>
      <c r="L150" t="s" s="2">
        <v>22</v>
      </c>
      <c r="M150" t="s" s="2">
        <v>22</v>
      </c>
    </row>
    <row r="151" ht="25.0" customHeight="true">
      <c r="A151" t="s" s="2">
        <v>13</v>
      </c>
      <c r="B151" t="s" s="2">
        <f>HYPERLINK("http://ts.21cn.com/tousu/show/id/1374014","赚啦假标")</f>
      </c>
      <c r="C151" t="s" s="2">
        <v>15</v>
      </c>
      <c r="D151" t="s" s="2">
        <v>16</v>
      </c>
      <c r="E151" t="s" s="2">
        <v>17</v>
      </c>
      <c r="F151" t="s" s="2">
        <f>HYPERLINK("http://ts.21cn.com/tousu/show/id/1374014","http://ts.21cn.com/tousu/show/id/1374014")</f>
      </c>
      <c r="G151" t="s" s="2">
        <v>17</v>
      </c>
      <c r="H151" t="s" s="2">
        <v>19</v>
      </c>
      <c r="I151" t="s" s="2">
        <v>616</v>
      </c>
      <c r="J151" t="s" s="2">
        <v>617</v>
      </c>
      <c r="K151" t="s" s="2">
        <v>22</v>
      </c>
      <c r="L151" t="s" s="2">
        <v>22</v>
      </c>
      <c r="M151" t="s" s="2">
        <v>22</v>
      </c>
    </row>
    <row r="152" ht="25.0" customHeight="true">
      <c r="A152" t="s" s="2">
        <v>13</v>
      </c>
      <c r="B152" t="s" s="2">
        <f>HYPERLINK("http://ts.21cn.com/tousu/show/id/1374013","平安普惠i贷高利贷")</f>
      </c>
      <c r="C152" t="s" s="2">
        <v>52</v>
      </c>
      <c r="D152" t="s" s="2">
        <v>16</v>
      </c>
      <c r="E152" t="s" s="2">
        <v>17</v>
      </c>
      <c r="F152" t="s" s="2">
        <f>HYPERLINK("http://ts.21cn.com/tousu/show/id/1374013","http://ts.21cn.com/tousu/show/id/1374013")</f>
      </c>
      <c r="G152" t="s" s="2">
        <v>17</v>
      </c>
      <c r="H152" t="s" s="2">
        <v>19</v>
      </c>
      <c r="I152" t="s" s="2">
        <v>620</v>
      </c>
      <c r="J152" t="s" s="2">
        <v>621</v>
      </c>
      <c r="K152" t="s" s="2">
        <v>22</v>
      </c>
      <c r="L152" t="s" s="2">
        <v>22</v>
      </c>
      <c r="M152" t="s" s="2">
        <v>22</v>
      </c>
    </row>
    <row r="153" ht="25.0" customHeight="true">
      <c r="A153" t="s" s="2">
        <v>13</v>
      </c>
      <c r="B153" t="s" s="2">
        <f>HYPERLINK("http://ts.21cn.com/tousu/show/id/1374011","网络催收通讯录")</f>
      </c>
      <c r="C153" t="s" s="2">
        <v>52</v>
      </c>
      <c r="D153" t="s" s="2">
        <v>16</v>
      </c>
      <c r="E153" t="s" s="2">
        <v>17</v>
      </c>
      <c r="F153" t="s" s="2">
        <f>HYPERLINK("http://ts.21cn.com/tousu/show/id/1374011","http://ts.21cn.com/tousu/show/id/1374011")</f>
      </c>
      <c r="G153" t="s" s="2">
        <v>17</v>
      </c>
      <c r="H153" t="s" s="2">
        <v>19</v>
      </c>
      <c r="I153" t="s" s="2">
        <v>624</v>
      </c>
      <c r="J153" t="s" s="2">
        <v>625</v>
      </c>
      <c r="K153" t="s" s="2">
        <v>22</v>
      </c>
      <c r="L153" t="s" s="2">
        <v>22</v>
      </c>
      <c r="M153" t="s" s="2">
        <v>22</v>
      </c>
    </row>
    <row r="154" ht="25.0" customHeight="true">
      <c r="A154" t="s" s="2">
        <v>13</v>
      </c>
      <c r="B154" t="s" s="2">
        <f>HYPERLINK("http://ts.21cn.com/tousu/show/id/1374009","及贷爆通讯录群发信息只管来吧")</f>
      </c>
      <c r="C154" t="s" s="2">
        <v>15</v>
      </c>
      <c r="D154" t="s" s="2">
        <v>16</v>
      </c>
      <c r="E154" t="s" s="2">
        <v>17</v>
      </c>
      <c r="F154" t="s" s="2">
        <f>HYPERLINK("http://ts.21cn.com/tousu/show/id/1374009","http://ts.21cn.com/tousu/show/id/1374009")</f>
      </c>
      <c r="G154" t="s" s="2">
        <v>17</v>
      </c>
      <c r="H154" t="s" s="2">
        <v>19</v>
      </c>
      <c r="I154" t="s" s="2">
        <v>628</v>
      </c>
      <c r="J154" t="s" s="2">
        <v>629</v>
      </c>
      <c r="K154" t="s" s="2">
        <v>22</v>
      </c>
      <c r="L154" t="s" s="2">
        <v>22</v>
      </c>
      <c r="M154" t="s" s="2">
        <v>22</v>
      </c>
    </row>
    <row r="155" ht="25.0" customHeight="true">
      <c r="A155" t="s" s="2">
        <v>13</v>
      </c>
      <c r="B155" t="s" s="2">
        <f>HYPERLINK("http://ts.21cn.com/tousu/show/id/1374007","松紧贷恐吓威胁")</f>
      </c>
      <c r="C155" t="s" s="2">
        <v>15</v>
      </c>
      <c r="D155" t="s" s="2">
        <v>16</v>
      </c>
      <c r="E155" t="s" s="2">
        <v>17</v>
      </c>
      <c r="F155" t="s" s="2">
        <f>HYPERLINK("http://ts.21cn.com/tousu/show/id/1374007","http://ts.21cn.com/tousu/show/id/1374007")</f>
      </c>
      <c r="G155" t="s" s="2">
        <v>17</v>
      </c>
      <c r="H155" t="s" s="2">
        <v>19</v>
      </c>
      <c r="I155" t="s" s="2">
        <v>632</v>
      </c>
      <c r="J155" t="s" s="2">
        <v>633</v>
      </c>
      <c r="K155" t="s" s="2">
        <v>22</v>
      </c>
      <c r="L155" t="s" s="2">
        <v>22</v>
      </c>
      <c r="M155" t="s" s="2">
        <v>22</v>
      </c>
    </row>
    <row r="156" ht="25.0" customHeight="true">
      <c r="A156" t="s" s="2">
        <v>13</v>
      </c>
      <c r="B156" t="s" s="2">
        <f>HYPERLINK("http://ts.21cn.com/tousu/show/id/1374006","高利套路贷")</f>
      </c>
      <c r="C156" t="s" s="2">
        <v>15</v>
      </c>
      <c r="D156" t="s" s="2">
        <v>16</v>
      </c>
      <c r="E156" t="s" s="2">
        <v>17</v>
      </c>
      <c r="F156" t="s" s="2">
        <f>HYPERLINK("http://ts.21cn.com/tousu/show/id/1374006","http://ts.21cn.com/tousu/show/id/1374006")</f>
      </c>
      <c r="G156" t="s" s="2">
        <v>17</v>
      </c>
      <c r="H156" t="s" s="2">
        <v>19</v>
      </c>
      <c r="I156" t="s" s="2">
        <v>636</v>
      </c>
      <c r="J156" t="s" s="2">
        <v>637</v>
      </c>
      <c r="K156" t="s" s="2">
        <v>22</v>
      </c>
      <c r="L156" t="s" s="2">
        <v>22</v>
      </c>
      <c r="M156" t="s" s="2">
        <v>22</v>
      </c>
    </row>
    <row r="157" ht="25.0" customHeight="true">
      <c r="A157" t="s" s="2">
        <v>13</v>
      </c>
      <c r="B157" t="s" s="2">
        <f>HYPERLINK("http://ts.21cn.com/tousu/show/id/1374003","淘宝购物，未收到货却被扣款126元")</f>
      </c>
      <c r="C157" t="s" s="2">
        <v>15</v>
      </c>
      <c r="D157" t="s" s="2">
        <v>16</v>
      </c>
      <c r="E157" t="s" s="2">
        <v>17</v>
      </c>
      <c r="F157" t="s" s="2">
        <f>HYPERLINK("http://ts.21cn.com/tousu/show/id/1374003","http://ts.21cn.com/tousu/show/id/1374003")</f>
      </c>
      <c r="G157" t="s" s="2">
        <v>17</v>
      </c>
      <c r="H157" t="s" s="2">
        <v>19</v>
      </c>
      <c r="I157" t="s" s="2">
        <v>640</v>
      </c>
      <c r="J157" t="s" s="2">
        <v>641</v>
      </c>
      <c r="K157" t="s" s="2">
        <v>22</v>
      </c>
      <c r="L157" t="s" s="2">
        <v>22</v>
      </c>
      <c r="M157" t="s" s="2">
        <v>22</v>
      </c>
    </row>
    <row r="158" ht="25.0" customHeight="true">
      <c r="A158" t="s" s="2">
        <v>13</v>
      </c>
      <c r="B158" t="s" s="2">
        <f>HYPERLINK("http://ts.21cn.com/tousu/show/id/1374002","中信银行催收")</f>
      </c>
      <c r="C158" t="s" s="2">
        <v>15</v>
      </c>
      <c r="D158" t="s" s="2">
        <v>16</v>
      </c>
      <c r="E158" t="s" s="2">
        <v>17</v>
      </c>
      <c r="F158" t="s" s="2">
        <f>HYPERLINK("http://ts.21cn.com/tousu/show/id/1374002","http://ts.21cn.com/tousu/show/id/1374002")</f>
      </c>
      <c r="G158" t="s" s="2">
        <v>17</v>
      </c>
      <c r="H158" t="s" s="2">
        <v>19</v>
      </c>
      <c r="I158" t="s" s="2">
        <v>644</v>
      </c>
      <c r="J158" t="s" s="2">
        <v>645</v>
      </c>
      <c r="K158" t="s" s="2">
        <v>22</v>
      </c>
      <c r="L158" t="s" s="2">
        <v>22</v>
      </c>
      <c r="M158" t="s" s="2">
        <v>22</v>
      </c>
    </row>
    <row r="159" ht="25.0" customHeight="true">
      <c r="A159" t="s" s="2">
        <v>13</v>
      </c>
      <c r="B159" t="s" s="2">
        <f>HYPERLINK("http://ts.21cn.com/tousu/show/id/1374001","投诉天天快递微信公众号客服")</f>
      </c>
      <c r="C159" t="s" s="2">
        <v>52</v>
      </c>
      <c r="D159" t="s" s="2">
        <v>16</v>
      </c>
      <c r="E159" t="s" s="2">
        <v>17</v>
      </c>
      <c r="F159" t="s" s="2">
        <f>HYPERLINK("http://ts.21cn.com/tousu/show/id/1374001","http://ts.21cn.com/tousu/show/id/1374001")</f>
      </c>
      <c r="G159" t="s" s="2">
        <v>17</v>
      </c>
      <c r="H159" t="s" s="2">
        <v>19</v>
      </c>
      <c r="I159" t="s" s="2">
        <v>648</v>
      </c>
      <c r="J159" t="s" s="2">
        <v>649</v>
      </c>
      <c r="K159" t="s" s="2">
        <v>22</v>
      </c>
      <c r="L159" t="s" s="2">
        <v>22</v>
      </c>
      <c r="M159" t="s" s="2">
        <v>22</v>
      </c>
    </row>
    <row r="160" ht="25.0" customHeight="true">
      <c r="A160" t="s" s="2">
        <v>13</v>
      </c>
      <c r="B160" t="s" s="2">
        <f>HYPERLINK("http://ts.21cn.com/tousu/show/id/1374000","好易借套路贷，高利贷！阴阳合同。")</f>
      </c>
      <c r="C160" t="s" s="2">
        <v>15</v>
      </c>
      <c r="D160" t="s" s="2">
        <v>16</v>
      </c>
      <c r="E160" t="s" s="2">
        <v>17</v>
      </c>
      <c r="F160" t="s" s="2">
        <f>HYPERLINK("http://ts.21cn.com/tousu/show/id/1374000","http://ts.21cn.com/tousu/show/id/1374000")</f>
      </c>
      <c r="G160" t="s" s="2">
        <v>17</v>
      </c>
      <c r="H160" t="s" s="2">
        <v>19</v>
      </c>
      <c r="I160" t="s" s="2">
        <v>652</v>
      </c>
      <c r="J160" t="s" s="2">
        <v>653</v>
      </c>
      <c r="K160" t="s" s="2">
        <v>22</v>
      </c>
      <c r="L160" t="s" s="2">
        <v>22</v>
      </c>
      <c r="M160" t="s" s="2">
        <v>22</v>
      </c>
    </row>
    <row r="161" ht="25.0" customHeight="true">
      <c r="A161" t="s" s="2">
        <v>13</v>
      </c>
      <c r="B161" t="s" s="2">
        <f>HYPERLINK("http://ts.21cn.com/tousu/show/id/1373999","富友支付为15个714套路贷平台扣取坎头息拒不退还")</f>
      </c>
      <c r="C161" t="s" s="2">
        <v>15</v>
      </c>
      <c r="D161" t="s" s="2">
        <v>16</v>
      </c>
      <c r="E161" t="s" s="2">
        <v>17</v>
      </c>
      <c r="F161" t="s" s="2">
        <f>HYPERLINK("http://ts.21cn.com/tousu/show/id/1373999","http://ts.21cn.com/tousu/show/id/1373999")</f>
      </c>
      <c r="G161" t="s" s="2">
        <v>17</v>
      </c>
      <c r="H161" t="s" s="2">
        <v>19</v>
      </c>
      <c r="I161" t="s" s="2">
        <v>656</v>
      </c>
      <c r="J161" t="s" s="2">
        <v>657</v>
      </c>
      <c r="K161" t="s" s="2">
        <v>22</v>
      </c>
      <c r="L161" t="s" s="2">
        <v>22</v>
      </c>
      <c r="M161" t="s" s="2">
        <v>22</v>
      </c>
    </row>
    <row r="162" ht="25.0" customHeight="true">
      <c r="A162" t="s" s="2">
        <v>13</v>
      </c>
      <c r="B162" t="s" s="2">
        <f>HYPERLINK("http://ts.21cn.com/tousu/show/id/1373998","每日优鲜诱导我分享，完成后券不能用，而且还不处理。")</f>
      </c>
      <c r="C162" t="s" s="2">
        <v>15</v>
      </c>
      <c r="D162" t="s" s="2">
        <v>16</v>
      </c>
      <c r="E162" t="s" s="2">
        <v>17</v>
      </c>
      <c r="F162" t="s" s="2">
        <f>HYPERLINK("http://ts.21cn.com/tousu/show/id/1373998","http://ts.21cn.com/tousu/show/id/1373998")</f>
      </c>
      <c r="G162" t="s" s="2">
        <v>17</v>
      </c>
      <c r="H162" t="s" s="2">
        <v>19</v>
      </c>
      <c r="I162" t="s" s="2">
        <v>660</v>
      </c>
      <c r="J162" t="s" s="2">
        <v>661</v>
      </c>
      <c r="K162" t="s" s="2">
        <v>22</v>
      </c>
      <c r="L162" t="s" s="2">
        <v>22</v>
      </c>
      <c r="M162" t="s" s="2">
        <v>22</v>
      </c>
    </row>
    <row r="163" ht="25.0" customHeight="true">
      <c r="A163" t="s" s="2">
        <v>13</v>
      </c>
      <c r="B163" t="s" s="2">
        <f>HYPERLINK("http://ts.21cn.com/tousu/show/id/1373997","你我贷骚扰通讯录")</f>
      </c>
      <c r="C163" t="s" s="2">
        <v>15</v>
      </c>
      <c r="D163" t="s" s="2">
        <v>16</v>
      </c>
      <c r="E163" t="s" s="2">
        <v>17</v>
      </c>
      <c r="F163" t="s" s="2">
        <f>HYPERLINK("http://ts.21cn.com/tousu/show/id/1373997","http://ts.21cn.com/tousu/show/id/1373997")</f>
      </c>
      <c r="G163" t="s" s="2">
        <v>17</v>
      </c>
      <c r="H163" t="s" s="2">
        <v>19</v>
      </c>
      <c r="I163" t="s" s="2">
        <v>664</v>
      </c>
      <c r="J163" t="s" s="2">
        <v>665</v>
      </c>
      <c r="K163" t="s" s="2">
        <v>22</v>
      </c>
      <c r="L163" t="s" s="2">
        <v>22</v>
      </c>
      <c r="M163" t="s" s="2">
        <v>22</v>
      </c>
    </row>
    <row r="164" ht="25.0" customHeight="true">
      <c r="A164" t="s" s="2">
        <v>13</v>
      </c>
      <c r="B164" t="s" s="2">
        <f>HYPERLINK("http://ts.21cn.com/tousu/show/id/1373996","假借风险评估费用名义收取砍头利息")</f>
      </c>
      <c r="C164" t="s" s="2">
        <v>15</v>
      </c>
      <c r="D164" t="s" s="2">
        <v>16</v>
      </c>
      <c r="E164" t="s" s="2">
        <v>17</v>
      </c>
      <c r="F164" t="s" s="2">
        <f>HYPERLINK("http://ts.21cn.com/tousu/show/id/1373996","http://ts.21cn.com/tousu/show/id/1373996")</f>
      </c>
      <c r="G164" t="s" s="2">
        <v>17</v>
      </c>
      <c r="H164" t="s" s="2">
        <v>19</v>
      </c>
      <c r="I164" t="s" s="2">
        <v>668</v>
      </c>
      <c r="J164" t="s" s="2">
        <v>669</v>
      </c>
      <c r="K164" t="s" s="2">
        <v>22</v>
      </c>
      <c r="L164" t="s" s="2">
        <v>22</v>
      </c>
      <c r="M164" t="s" s="2">
        <v>22</v>
      </c>
    </row>
    <row r="165" ht="25.0" customHeight="true">
      <c r="A165" t="s" s="2">
        <v>13</v>
      </c>
      <c r="B165" t="s" s="2">
        <f>HYPERLINK("http://ts.21cn.com/tousu/show/id/1373994","aliexpress无忧物流货没发,运费不退")</f>
      </c>
      <c r="C165" t="s" s="2">
        <v>15</v>
      </c>
      <c r="D165" t="s" s="2">
        <v>16</v>
      </c>
      <c r="E165" t="s" s="2">
        <v>17</v>
      </c>
      <c r="F165" t="s" s="2">
        <f>HYPERLINK("http://ts.21cn.com/tousu/show/id/1373994","http://ts.21cn.com/tousu/show/id/1373994")</f>
      </c>
      <c r="G165" t="s" s="2">
        <v>17</v>
      </c>
      <c r="H165" t="s" s="2">
        <v>19</v>
      </c>
      <c r="I165" t="s" s="2">
        <v>672</v>
      </c>
      <c r="J165" t="s" s="2">
        <v>673</v>
      </c>
      <c r="K165" t="s" s="2">
        <v>22</v>
      </c>
      <c r="L165" t="s" s="2">
        <v>22</v>
      </c>
      <c r="M165" t="s" s="2">
        <v>22</v>
      </c>
    </row>
    <row r="166" ht="25.0" customHeight="true">
      <c r="A166" t="s" s="2">
        <v>13</v>
      </c>
      <c r="B166" t="s" s="2">
        <f>HYPERLINK("http://ts.21cn.com/tousu/show/id/1373995","退相关费用")</f>
      </c>
      <c r="C166" t="s" s="2">
        <v>15</v>
      </c>
      <c r="D166" t="s" s="2">
        <v>16</v>
      </c>
      <c r="E166" t="s" s="2">
        <v>17</v>
      </c>
      <c r="F166" t="s" s="2">
        <f>HYPERLINK("http://ts.21cn.com/tousu/show/id/1373995","http://ts.21cn.com/tousu/show/id/1373995")</f>
      </c>
      <c r="G166" t="s" s="2">
        <v>17</v>
      </c>
      <c r="H166" t="s" s="2">
        <v>19</v>
      </c>
      <c r="I166" t="s" s="2">
        <v>676</v>
      </c>
      <c r="J166" t="s" s="2">
        <v>677</v>
      </c>
      <c r="K166" t="s" s="2">
        <v>22</v>
      </c>
      <c r="L166" t="s" s="2">
        <v>22</v>
      </c>
      <c r="M166" t="s" s="2">
        <v>22</v>
      </c>
    </row>
    <row r="167" ht="25.0" customHeight="true">
      <c r="A167" t="s" s="2">
        <v>13</v>
      </c>
      <c r="B167" t="s" s="2">
        <f>HYPERLINK("http://ts.21cn.com/tousu/show/id/1373993","借贷宝打条不放款客服不作为")</f>
      </c>
      <c r="C167" t="s" s="2">
        <v>15</v>
      </c>
      <c r="D167" t="s" s="2">
        <v>16</v>
      </c>
      <c r="E167" t="s" s="2">
        <v>17</v>
      </c>
      <c r="F167" t="s" s="2">
        <f>HYPERLINK("http://ts.21cn.com/tousu/show/id/1373993","http://ts.21cn.com/tousu/show/id/1373993")</f>
      </c>
      <c r="G167" t="s" s="2">
        <v>17</v>
      </c>
      <c r="H167" t="s" s="2">
        <v>19</v>
      </c>
      <c r="I167" t="s" s="2">
        <v>680</v>
      </c>
      <c r="J167" t="s" s="2">
        <v>681</v>
      </c>
      <c r="K167" t="s" s="2">
        <v>22</v>
      </c>
      <c r="L167" t="s" s="2">
        <v>22</v>
      </c>
      <c r="M167" t="s" s="2">
        <v>22</v>
      </c>
    </row>
    <row r="168" ht="25.0" customHeight="true">
      <c r="A168" t="s" s="2">
        <v>13</v>
      </c>
      <c r="B168" t="s" s="2">
        <f>HYPERLINK("http://ts.21cn.com/tousu/show/id/1373992","联动优势电子商务有限公司拖欠代理商分润，追讨无果")</f>
      </c>
      <c r="C168" t="s" s="2">
        <v>15</v>
      </c>
      <c r="D168" t="s" s="2">
        <v>16</v>
      </c>
      <c r="E168" t="s" s="2">
        <v>17</v>
      </c>
      <c r="F168" t="s" s="2">
        <f>HYPERLINK("http://ts.21cn.com/tousu/show/id/1373992","http://ts.21cn.com/tousu/show/id/1373992")</f>
      </c>
      <c r="G168" t="s" s="2">
        <v>17</v>
      </c>
      <c r="H168" t="s" s="2">
        <v>19</v>
      </c>
      <c r="I168" t="s" s="2">
        <v>684</v>
      </c>
      <c r="J168" t="s" s="2">
        <v>685</v>
      </c>
      <c r="K168" t="s" s="2">
        <v>22</v>
      </c>
      <c r="L168" t="s" s="2">
        <v>22</v>
      </c>
      <c r="M168" t="s" s="2">
        <v>22</v>
      </c>
    </row>
    <row r="169" ht="25.0" customHeight="true">
      <c r="A169" t="s" s="2">
        <v>13</v>
      </c>
      <c r="B169" t="s" s="2">
        <f>HYPERLINK("http://ts.21cn.com/tousu/show/id/1373991","购买套装商品是拆散件，要求更换并赔偿")</f>
      </c>
      <c r="C169" t="s" s="2">
        <v>52</v>
      </c>
      <c r="D169" t="s" s="2">
        <v>16</v>
      </c>
      <c r="E169" t="s" s="2">
        <v>17</v>
      </c>
      <c r="F169" t="s" s="2">
        <f>HYPERLINK("http://ts.21cn.com/tousu/show/id/1373991","http://ts.21cn.com/tousu/show/id/1373991")</f>
      </c>
      <c r="G169" t="s" s="2">
        <v>17</v>
      </c>
      <c r="H169" t="s" s="2">
        <v>19</v>
      </c>
      <c r="I169" t="s" s="2">
        <v>688</v>
      </c>
      <c r="J169" t="s" s="2">
        <v>689</v>
      </c>
      <c r="K169" t="s" s="2">
        <v>22</v>
      </c>
      <c r="L169" t="s" s="2">
        <v>22</v>
      </c>
      <c r="M169" t="s" s="2">
        <v>22</v>
      </c>
    </row>
    <row r="170" ht="25.0" customHeight="true">
      <c r="A170" t="s" s="2">
        <v>13</v>
      </c>
      <c r="B170" t="s" s="2">
        <f>HYPERLINK("http://ts.21cn.com/tousu/show/id/1373978","投诉友缘在线网络科技股份有限公司强制消费")</f>
      </c>
      <c r="C170" t="s" s="2">
        <v>15</v>
      </c>
      <c r="D170" t="s" s="2">
        <v>16</v>
      </c>
      <c r="E170" t="s" s="2">
        <v>17</v>
      </c>
      <c r="F170" t="s" s="2">
        <f>HYPERLINK("http://ts.21cn.com/tousu/show/id/1373978","http://ts.21cn.com/tousu/show/id/1373978")</f>
      </c>
      <c r="G170" t="s" s="2">
        <v>17</v>
      </c>
      <c r="H170" t="s" s="2">
        <v>19</v>
      </c>
      <c r="I170" t="s" s="2">
        <v>692</v>
      </c>
      <c r="J170" t="s" s="2">
        <v>693</v>
      </c>
      <c r="K170" t="s" s="2">
        <v>22</v>
      </c>
      <c r="L170" t="s" s="2">
        <v>22</v>
      </c>
      <c r="M170" t="s" s="2">
        <v>22</v>
      </c>
    </row>
    <row r="171" ht="25.0" customHeight="true">
      <c r="A171" t="s" s="2">
        <v>13</v>
      </c>
      <c r="B171" t="s" s="2">
        <f>HYPERLINK("http://ts.21cn.com/tousu/show/id/1373989","骚扰家人")</f>
      </c>
      <c r="C171" t="s" s="2">
        <v>15</v>
      </c>
      <c r="D171" t="s" s="2">
        <v>16</v>
      </c>
      <c r="E171" t="s" s="2">
        <v>17</v>
      </c>
      <c r="F171" t="s" s="2">
        <f>HYPERLINK("http://ts.21cn.com/tousu/show/id/1373989","http://ts.21cn.com/tousu/show/id/1373989")</f>
      </c>
      <c r="G171" t="s" s="2">
        <v>17</v>
      </c>
      <c r="H171" t="s" s="2">
        <v>19</v>
      </c>
      <c r="I171" t="s" s="2">
        <v>696</v>
      </c>
      <c r="J171" t="s" s="2">
        <v>697</v>
      </c>
      <c r="K171" t="s" s="2">
        <v>22</v>
      </c>
      <c r="L171" t="s" s="2">
        <v>22</v>
      </c>
      <c r="M171" t="s" s="2">
        <v>22</v>
      </c>
    </row>
    <row r="172" ht="25.0" customHeight="true">
      <c r="A172" t="s" s="2">
        <v>13</v>
      </c>
      <c r="B172" t="s" s="2">
        <f>HYPERLINK("http://ts.21cn.com/tousu/show/id/1373990","滴滴打车不解决问题敷衍用户")</f>
      </c>
      <c r="C172" t="s" s="2">
        <v>15</v>
      </c>
      <c r="D172" t="s" s="2">
        <v>16</v>
      </c>
      <c r="E172" t="s" s="2">
        <v>17</v>
      </c>
      <c r="F172" t="s" s="2">
        <f>HYPERLINK("http://ts.21cn.com/tousu/show/id/1373990","http://ts.21cn.com/tousu/show/id/1373990")</f>
      </c>
      <c r="G172" t="s" s="2">
        <v>17</v>
      </c>
      <c r="H172" t="s" s="2">
        <v>19</v>
      </c>
      <c r="I172" t="s" s="2">
        <v>700</v>
      </c>
      <c r="J172" t="s" s="2">
        <v>701</v>
      </c>
      <c r="K172" t="s" s="2">
        <v>22</v>
      </c>
      <c r="L172" t="s" s="2">
        <v>22</v>
      </c>
      <c r="M172" t="s" s="2">
        <v>22</v>
      </c>
    </row>
    <row r="173" ht="25.0" customHeight="true">
      <c r="A173" t="s" s="2">
        <v>13</v>
      </c>
      <c r="B173" t="s" s="2">
        <f>HYPERLINK("http://ts.21cn.com/tousu/show/id/1373988","暴力催收")</f>
      </c>
      <c r="C173" t="s" s="2">
        <v>15</v>
      </c>
      <c r="D173" t="s" s="2">
        <v>16</v>
      </c>
      <c r="E173" t="s" s="2">
        <v>17</v>
      </c>
      <c r="F173" t="s" s="2">
        <f>HYPERLINK("http://ts.21cn.com/tousu/show/id/1373988","http://ts.21cn.com/tousu/show/id/1373988")</f>
      </c>
      <c r="G173" t="s" s="2">
        <v>17</v>
      </c>
      <c r="H173" t="s" s="2">
        <v>19</v>
      </c>
      <c r="I173" t="s" s="2">
        <v>703</v>
      </c>
      <c r="J173" t="s" s="2">
        <v>704</v>
      </c>
      <c r="K173" t="s" s="2">
        <v>22</v>
      </c>
      <c r="L173" t="s" s="2">
        <v>22</v>
      </c>
      <c r="M173" t="s" s="2">
        <v>22</v>
      </c>
    </row>
    <row r="174" ht="25.0" customHeight="true">
      <c r="A174" t="s" s="2">
        <v>13</v>
      </c>
      <c r="B174" t="s" s="2">
        <f>HYPERLINK("http://ts.21cn.com/tousu/show/id/1373987","活力花系统更新没有扣款导致逾期")</f>
      </c>
      <c r="C174" t="s" s="2">
        <v>52</v>
      </c>
      <c r="D174" t="s" s="2">
        <v>16</v>
      </c>
      <c r="E174" t="s" s="2">
        <v>17</v>
      </c>
      <c r="F174" t="s" s="2">
        <f>HYPERLINK("http://ts.21cn.com/tousu/show/id/1373987","http://ts.21cn.com/tousu/show/id/1373987")</f>
      </c>
      <c r="G174" t="s" s="2">
        <v>17</v>
      </c>
      <c r="H174" t="s" s="2">
        <v>19</v>
      </c>
      <c r="I174" t="s" s="2">
        <v>707</v>
      </c>
      <c r="J174" t="s" s="2">
        <v>708</v>
      </c>
      <c r="K174" t="s" s="2">
        <v>22</v>
      </c>
      <c r="L174" t="s" s="2">
        <v>22</v>
      </c>
      <c r="M174" t="s" s="2">
        <v>22</v>
      </c>
    </row>
    <row r="175" ht="25.0" customHeight="true">
      <c r="A175" t="s" s="2">
        <v>13</v>
      </c>
      <c r="B175" t="s" s="2">
        <f>HYPERLINK("http://ts.21cn.com/tousu/show/id/1373986","要求拼多多赔礼道歉")</f>
      </c>
      <c r="C175" t="s" s="2">
        <v>15</v>
      </c>
      <c r="D175" t="s" s="2">
        <v>16</v>
      </c>
      <c r="E175" t="s" s="2">
        <v>17</v>
      </c>
      <c r="F175" t="s" s="2">
        <f>HYPERLINK("http://ts.21cn.com/tousu/show/id/1373986","http://ts.21cn.com/tousu/show/id/1373986")</f>
      </c>
      <c r="G175" t="s" s="2">
        <v>17</v>
      </c>
      <c r="H175" t="s" s="2">
        <v>19</v>
      </c>
      <c r="I175" t="s" s="2">
        <v>711</v>
      </c>
      <c r="J175" t="s" s="2">
        <v>712</v>
      </c>
      <c r="K175" t="s" s="2">
        <v>22</v>
      </c>
      <c r="L175" t="s" s="2">
        <v>22</v>
      </c>
      <c r="M175" t="s" s="2">
        <v>22</v>
      </c>
    </row>
    <row r="176" ht="25.0" customHeight="true">
      <c r="A176" t="s" s="2">
        <v>13</v>
      </c>
      <c r="B176" t="s" s="2">
        <f>HYPERLINK("http://ts.21cn.com/tousu/show/id/1373985","拍拍贷催收电话打到公司内，已严重影响我的工作")</f>
      </c>
      <c r="C176" t="s" s="2">
        <v>15</v>
      </c>
      <c r="D176" t="s" s="2">
        <v>16</v>
      </c>
      <c r="E176" t="s" s="2">
        <v>17</v>
      </c>
      <c r="F176" t="s" s="2">
        <f>HYPERLINK("http://ts.21cn.com/tousu/show/id/1373985","http://ts.21cn.com/tousu/show/id/1373985")</f>
      </c>
      <c r="G176" t="s" s="2">
        <v>17</v>
      </c>
      <c r="H176" t="s" s="2">
        <v>19</v>
      </c>
      <c r="I176" t="s" s="2">
        <v>715</v>
      </c>
      <c r="J176" t="s" s="2">
        <v>716</v>
      </c>
      <c r="K176" t="s" s="2">
        <v>22</v>
      </c>
      <c r="L176" t="s" s="2">
        <v>22</v>
      </c>
      <c r="M176" t="s" s="2">
        <v>22</v>
      </c>
    </row>
    <row r="177" ht="25.0" customHeight="true">
      <c r="A177" t="s" s="2">
        <v>13</v>
      </c>
      <c r="B177" t="s" s="2">
        <f>HYPERLINK("http://ts.21cn.com/tousu/show/id/1373956","情人花无故扣款")</f>
      </c>
      <c r="C177" t="s" s="2">
        <v>15</v>
      </c>
      <c r="D177" t="s" s="2">
        <v>16</v>
      </c>
      <c r="E177" t="s" s="2">
        <v>17</v>
      </c>
      <c r="F177" t="s" s="2">
        <f>HYPERLINK("http://ts.21cn.com/tousu/show/id/1373956","http://ts.21cn.com/tousu/show/id/1373956")</f>
      </c>
      <c r="G177" t="s" s="2">
        <v>17</v>
      </c>
      <c r="H177" t="s" s="2">
        <v>19</v>
      </c>
      <c r="I177" t="s" s="2">
        <v>719</v>
      </c>
      <c r="J177" t="s" s="2">
        <v>720</v>
      </c>
      <c r="K177" t="s" s="2">
        <v>22</v>
      </c>
      <c r="L177" t="s" s="2">
        <v>22</v>
      </c>
      <c r="M177" t="s" s="2">
        <v>22</v>
      </c>
    </row>
    <row r="178" ht="25.0" customHeight="true">
      <c r="A178" t="s" s="2">
        <v>13</v>
      </c>
      <c r="B178" t="s" s="2">
        <f>HYPERLINK("http://ts.21cn.com/tousu/show/id/1373983","YY信用催债骂人并威胁见不到明天的太阳")</f>
      </c>
      <c r="C178" t="s" s="2">
        <v>52</v>
      </c>
      <c r="D178" t="s" s="2">
        <v>16</v>
      </c>
      <c r="E178" t="s" s="2">
        <v>17</v>
      </c>
      <c r="F178" t="s" s="2">
        <f>HYPERLINK("http://ts.21cn.com/tousu/show/id/1373983","http://ts.21cn.com/tousu/show/id/1373983")</f>
      </c>
      <c r="G178" t="s" s="2">
        <v>17</v>
      </c>
      <c r="H178" t="s" s="2">
        <v>19</v>
      </c>
      <c r="I178" t="s" s="2">
        <v>723</v>
      </c>
      <c r="J178" t="s" s="2">
        <v>724</v>
      </c>
      <c r="K178" t="s" s="2">
        <v>22</v>
      </c>
      <c r="L178" t="s" s="2">
        <v>22</v>
      </c>
      <c r="M178" t="s" s="2">
        <v>22</v>
      </c>
    </row>
    <row r="179" ht="25.0" customHeight="true">
      <c r="A179" t="s" s="2">
        <v>13</v>
      </c>
      <c r="B179" t="s" s="2">
        <f>HYPERLINK("http://ts.21cn.com/tousu/show/id/1373982","恒昌公司旗下恒易贷合同金额远高于实际借款金额")</f>
      </c>
      <c r="C179" t="s" s="2">
        <v>15</v>
      </c>
      <c r="D179" t="s" s="2">
        <v>16</v>
      </c>
      <c r="E179" t="s" s="2">
        <v>17</v>
      </c>
      <c r="F179" t="s" s="2">
        <f>HYPERLINK("http://ts.21cn.com/tousu/show/id/1373982","http://ts.21cn.com/tousu/show/id/1373982")</f>
      </c>
      <c r="G179" t="s" s="2">
        <v>17</v>
      </c>
      <c r="H179" t="s" s="2">
        <v>19</v>
      </c>
      <c r="I179" t="s" s="2">
        <v>727</v>
      </c>
      <c r="J179" t="s" s="2">
        <v>728</v>
      </c>
      <c r="K179" t="s" s="2">
        <v>22</v>
      </c>
      <c r="L179" t="s" s="2">
        <v>22</v>
      </c>
      <c r="M179" t="s" s="2">
        <v>22</v>
      </c>
    </row>
    <row r="180" ht="25.0" customHeight="true">
      <c r="A180" t="s" s="2">
        <v>13</v>
      </c>
      <c r="B180" t="s" s="2">
        <f>HYPERLINK("http://ts.21cn.com/tousu/show/id/1373981","新橙优品暴力催收")</f>
      </c>
      <c r="C180" t="s" s="2">
        <v>15</v>
      </c>
      <c r="D180" t="s" s="2">
        <v>16</v>
      </c>
      <c r="E180" t="s" s="2">
        <v>17</v>
      </c>
      <c r="F180" t="s" s="2">
        <f>HYPERLINK("http://ts.21cn.com/tousu/show/id/1373981","http://ts.21cn.com/tousu/show/id/1373981")</f>
      </c>
      <c r="G180" t="s" s="2">
        <v>17</v>
      </c>
      <c r="H180" t="s" s="2">
        <v>19</v>
      </c>
      <c r="I180" t="s" s="2">
        <v>731</v>
      </c>
      <c r="J180" t="s" s="2">
        <v>732</v>
      </c>
      <c r="K180" t="s" s="2">
        <v>22</v>
      </c>
      <c r="L180" t="s" s="2">
        <v>22</v>
      </c>
      <c r="M180" t="s" s="2">
        <v>22</v>
      </c>
    </row>
    <row r="181" ht="25.0" customHeight="true">
      <c r="A181" t="s" s="2">
        <v>13</v>
      </c>
      <c r="B181" t="s" s="2">
        <f>HYPERLINK("http://ts.21cn.com/tousu/show/id/1373980","暴力催收展业达人")</f>
      </c>
      <c r="C181" t="s" s="2">
        <v>15</v>
      </c>
      <c r="D181" t="s" s="2">
        <v>16</v>
      </c>
      <c r="E181" t="s" s="2">
        <v>17</v>
      </c>
      <c r="F181" t="s" s="2">
        <f>HYPERLINK("http://ts.21cn.com/tousu/show/id/1373980","http://ts.21cn.com/tousu/show/id/1373980")</f>
      </c>
      <c r="G181" t="s" s="2">
        <v>17</v>
      </c>
      <c r="H181" t="s" s="2">
        <v>19</v>
      </c>
      <c r="I181" t="s" s="2">
        <v>735</v>
      </c>
      <c r="J181" t="s" s="2">
        <v>736</v>
      </c>
      <c r="K181" t="s" s="2">
        <v>22</v>
      </c>
      <c r="L181" t="s" s="2">
        <v>22</v>
      </c>
      <c r="M181" t="s" s="2">
        <v>22</v>
      </c>
    </row>
    <row r="182" ht="25.0" customHeight="true">
      <c r="A182" t="s" s="2">
        <v>13</v>
      </c>
      <c r="B182" t="s" s="2">
        <f>HYPERLINK("http://ts.21cn.com/tousu/show/id/1373979","恶意扣款")</f>
      </c>
      <c r="C182" t="s" s="2">
        <v>15</v>
      </c>
      <c r="D182" t="s" s="2">
        <v>16</v>
      </c>
      <c r="E182" t="s" s="2">
        <v>17</v>
      </c>
      <c r="F182" t="s" s="2">
        <f>HYPERLINK("http://ts.21cn.com/tousu/show/id/1373979","http://ts.21cn.com/tousu/show/id/1373979")</f>
      </c>
      <c r="G182" t="s" s="2">
        <v>17</v>
      </c>
      <c r="H182" t="s" s="2">
        <v>19</v>
      </c>
      <c r="I182" t="s" s="2">
        <v>739</v>
      </c>
      <c r="J182" t="s" s="2">
        <v>740</v>
      </c>
      <c r="K182" t="s" s="2">
        <v>22</v>
      </c>
      <c r="L182" t="s" s="2">
        <v>22</v>
      </c>
      <c r="M182" t="s" s="2">
        <v>22</v>
      </c>
    </row>
    <row r="183" ht="25.0" customHeight="true">
      <c r="A183" t="s" s="2">
        <v>13</v>
      </c>
      <c r="B183" t="s" s="2">
        <f>HYPERLINK("http://ts.21cn.com/tousu/show/id/1373977","离职后拒发工资")</f>
      </c>
      <c r="C183" t="s" s="2">
        <v>15</v>
      </c>
      <c r="D183" t="s" s="2">
        <v>16</v>
      </c>
      <c r="E183" t="s" s="2">
        <v>17</v>
      </c>
      <c r="F183" t="s" s="2">
        <f>HYPERLINK("http://ts.21cn.com/tousu/show/id/1373977","http://ts.21cn.com/tousu/show/id/1373977")</f>
      </c>
      <c r="G183" t="s" s="2">
        <v>17</v>
      </c>
      <c r="H183" t="s" s="2">
        <v>19</v>
      </c>
      <c r="I183" t="s" s="2">
        <v>743</v>
      </c>
      <c r="J183" t="s" s="2">
        <v>744</v>
      </c>
      <c r="K183" t="s" s="2">
        <v>22</v>
      </c>
      <c r="L183" t="s" s="2">
        <v>22</v>
      </c>
      <c r="M183" t="s" s="2">
        <v>22</v>
      </c>
    </row>
    <row r="184" ht="25.0" customHeight="true">
      <c r="A184" t="s" s="2">
        <v>13</v>
      </c>
      <c r="B184" t="s" s="2">
        <f>HYPERLINK("http://ts.21cn.com/tousu/show/id/1373976","小花钱包恶意骚扰通讯录亲友")</f>
      </c>
      <c r="C184" t="s" s="2">
        <v>15</v>
      </c>
      <c r="D184" t="s" s="2">
        <v>16</v>
      </c>
      <c r="E184" t="s" s="2">
        <v>17</v>
      </c>
      <c r="F184" t="s" s="2">
        <f>HYPERLINK("http://ts.21cn.com/tousu/show/id/1373976","http://ts.21cn.com/tousu/show/id/1373976")</f>
      </c>
      <c r="G184" t="s" s="2">
        <v>17</v>
      </c>
      <c r="H184" t="s" s="2">
        <v>19</v>
      </c>
      <c r="I184" t="s" s="2">
        <v>747</v>
      </c>
      <c r="J184" t="s" s="2">
        <v>748</v>
      </c>
      <c r="K184" t="s" s="2">
        <v>22</v>
      </c>
      <c r="L184" t="s" s="2">
        <v>22</v>
      </c>
      <c r="M184" t="s" s="2">
        <v>22</v>
      </c>
    </row>
    <row r="185" ht="25.0" customHeight="true">
      <c r="A185" t="s" s="2">
        <v>13</v>
      </c>
      <c r="B185" t="s" s="2">
        <f>HYPERLINK("http://ts.21cn.com/tousu/show/id/1373972","投诉立刻出行App无故拒绝退还用户押金")</f>
      </c>
      <c r="C185" t="s" s="2">
        <v>15</v>
      </c>
      <c r="D185" t="s" s="2">
        <v>16</v>
      </c>
      <c r="E185" t="s" s="2">
        <v>17</v>
      </c>
      <c r="F185" t="s" s="2">
        <f>HYPERLINK("http://ts.21cn.com/tousu/show/id/1373972","http://ts.21cn.com/tousu/show/id/1373972")</f>
      </c>
      <c r="G185" t="s" s="2">
        <v>17</v>
      </c>
      <c r="H185" t="s" s="2">
        <v>19</v>
      </c>
      <c r="I185" t="s" s="2">
        <v>751</v>
      </c>
      <c r="J185" t="s" s="2">
        <v>752</v>
      </c>
      <c r="K185" t="s" s="2">
        <v>22</v>
      </c>
      <c r="L185" t="s" s="2">
        <v>22</v>
      </c>
      <c r="M185" t="s" s="2">
        <v>22</v>
      </c>
    </row>
    <row r="186" ht="25.0" customHeight="true">
      <c r="A186" t="s" s="2">
        <v>13</v>
      </c>
      <c r="B186" t="s" s="2">
        <f>HYPERLINK("http://ts.21cn.com/tousu/show/id/1373973","投诉哆咪黑卡恶意扣费")</f>
      </c>
      <c r="C186" t="s" s="2">
        <v>15</v>
      </c>
      <c r="D186" t="s" s="2">
        <v>16</v>
      </c>
      <c r="E186" t="s" s="2">
        <v>17</v>
      </c>
      <c r="F186" t="s" s="2">
        <f>HYPERLINK("http://ts.21cn.com/tousu/show/id/1373973","http://ts.21cn.com/tousu/show/id/1373973")</f>
      </c>
      <c r="G186" t="s" s="2">
        <v>17</v>
      </c>
      <c r="H186" t="s" s="2">
        <v>19</v>
      </c>
      <c r="I186" t="s" s="2">
        <v>755</v>
      </c>
      <c r="J186" t="s" s="2">
        <v>756</v>
      </c>
      <c r="K186" t="s" s="2">
        <v>22</v>
      </c>
      <c r="L186" t="s" s="2">
        <v>22</v>
      </c>
      <c r="M186" t="s" s="2">
        <v>22</v>
      </c>
    </row>
    <row r="187" ht="25.0" customHeight="true">
      <c r="A187" t="s" s="2">
        <v>13</v>
      </c>
      <c r="B187" t="s" s="2">
        <f>HYPERLINK("http://ts.21cn.com/tousu/show/id/1373974","现控达人,贷上钱,讯联智付")</f>
      </c>
      <c r="C187" t="s" s="2">
        <v>52</v>
      </c>
      <c r="D187" t="s" s="2">
        <v>16</v>
      </c>
      <c r="E187" t="s" s="2">
        <v>17</v>
      </c>
      <c r="F187" t="s" s="2">
        <f>HYPERLINK("http://ts.21cn.com/tousu/show/id/1373974","http://ts.21cn.com/tousu/show/id/1373974")</f>
      </c>
      <c r="G187" t="s" s="2">
        <v>17</v>
      </c>
      <c r="H187" t="s" s="2">
        <v>19</v>
      </c>
      <c r="I187" t="s" s="2">
        <v>759</v>
      </c>
      <c r="J187" t="s" s="2">
        <v>760</v>
      </c>
      <c r="K187" t="s" s="2">
        <v>22</v>
      </c>
      <c r="L187" t="s" s="2">
        <v>22</v>
      </c>
      <c r="M187" t="s" s="2">
        <v>22</v>
      </c>
    </row>
    <row r="188" ht="25.0" customHeight="true">
      <c r="A188" t="s" s="2">
        <v>13</v>
      </c>
      <c r="B188" t="s" s="2">
        <f>HYPERLINK("http://ts.21cn.com/tousu/show/id/1373971","在我不知情的情况下以及未发生商品交易的情况乱扣我的农业银行卡的钱")</f>
      </c>
      <c r="C188" t="s" s="2">
        <v>15</v>
      </c>
      <c r="D188" t="s" s="2">
        <v>16</v>
      </c>
      <c r="E188" t="s" s="2">
        <v>17</v>
      </c>
      <c r="F188" t="s" s="2">
        <f>HYPERLINK("http://ts.21cn.com/tousu/show/id/1373971","http://ts.21cn.com/tousu/show/id/1373971")</f>
      </c>
      <c r="G188" t="s" s="2">
        <v>17</v>
      </c>
      <c r="H188" t="s" s="2">
        <v>19</v>
      </c>
      <c r="I188" t="s" s="2">
        <v>759</v>
      </c>
      <c r="J188" t="s" s="2">
        <v>763</v>
      </c>
      <c r="K188" t="s" s="2">
        <v>22</v>
      </c>
      <c r="L188" t="s" s="2">
        <v>22</v>
      </c>
      <c r="M188" t="s" s="2">
        <v>22</v>
      </c>
    </row>
    <row r="189" ht="25.0" customHeight="true">
      <c r="A189" t="s" s="2">
        <v>13</v>
      </c>
      <c r="B189" t="s" s="2">
        <f>HYPERLINK("http://ts.21cn.com/tousu/show/id/1373970","快钱支持违规平台放款")</f>
      </c>
      <c r="C189" t="s" s="2">
        <v>15</v>
      </c>
      <c r="D189" t="s" s="2">
        <v>16</v>
      </c>
      <c r="E189" t="s" s="2">
        <v>17</v>
      </c>
      <c r="F189" t="s" s="2">
        <f>HYPERLINK("http://ts.21cn.com/tousu/show/id/1373970","http://ts.21cn.com/tousu/show/id/1373970")</f>
      </c>
      <c r="G189" t="s" s="2">
        <v>17</v>
      </c>
      <c r="H189" t="s" s="2">
        <v>19</v>
      </c>
      <c r="I189" t="s" s="2">
        <v>766</v>
      </c>
      <c r="J189" t="s" s="2">
        <v>767</v>
      </c>
      <c r="K189" t="s" s="2">
        <v>22</v>
      </c>
      <c r="L189" t="s" s="2">
        <v>22</v>
      </c>
      <c r="M189" t="s" s="2">
        <v>22</v>
      </c>
    </row>
    <row r="190" ht="25.0" customHeight="true">
      <c r="A190" t="s" s="2">
        <v>13</v>
      </c>
      <c r="B190" t="s" s="2">
        <f>HYPERLINK("http://ts.21cn.com/tousu/show/id/1373969","催收态度恶劣")</f>
      </c>
      <c r="C190" t="s" s="2">
        <v>15</v>
      </c>
      <c r="D190" t="s" s="2">
        <v>16</v>
      </c>
      <c r="E190" t="s" s="2">
        <v>17</v>
      </c>
      <c r="F190" t="s" s="2">
        <f>HYPERLINK("http://ts.21cn.com/tousu/show/id/1373969","http://ts.21cn.com/tousu/show/id/1373969")</f>
      </c>
      <c r="G190" t="s" s="2">
        <v>17</v>
      </c>
      <c r="H190" t="s" s="2">
        <v>19</v>
      </c>
      <c r="I190" t="s" s="2">
        <v>770</v>
      </c>
      <c r="J190" t="s" s="2">
        <v>771</v>
      </c>
      <c r="K190" t="s" s="2">
        <v>22</v>
      </c>
      <c r="L190" t="s" s="2">
        <v>22</v>
      </c>
      <c r="M190" t="s" s="2">
        <v>22</v>
      </c>
    </row>
    <row r="191" ht="25.0" customHeight="true">
      <c r="A191" t="s" s="2">
        <v>13</v>
      </c>
      <c r="B191" t="s" s="2">
        <f>HYPERLINK("http://ts.21cn.com/tousu/show/id/1373967","去年10月买的昆山阳澄湖今巴蟹业有限公司2088型豪华礼盒，一直约不上，今年预约说卡过期，打电话不接")</f>
      </c>
      <c r="C191" t="s" s="2">
        <v>15</v>
      </c>
      <c r="D191" t="s" s="2">
        <v>16</v>
      </c>
      <c r="E191" t="s" s="2">
        <v>17</v>
      </c>
      <c r="F191" t="s" s="2">
        <f>HYPERLINK("http://ts.21cn.com/tousu/show/id/1373967","http://ts.21cn.com/tousu/show/id/1373967")</f>
      </c>
      <c r="G191" t="s" s="2">
        <v>17</v>
      </c>
      <c r="H191" t="s" s="2">
        <v>19</v>
      </c>
      <c r="I191" t="s" s="2">
        <v>774</v>
      </c>
      <c r="J191" t="s" s="2">
        <v>775</v>
      </c>
      <c r="K191" t="s" s="2">
        <v>22</v>
      </c>
      <c r="L191" t="s" s="2">
        <v>22</v>
      </c>
      <c r="M191" t="s" s="2">
        <v>22</v>
      </c>
    </row>
    <row r="192" ht="25.0" customHeight="true">
      <c r="A192" t="s" s="2">
        <v>13</v>
      </c>
      <c r="B192" t="s" s="2">
        <f>HYPERLINK("http://ts.21cn.com/tousu/show/id/1373965","还清账单不开结清证明")</f>
      </c>
      <c r="C192" t="s" s="2">
        <v>15</v>
      </c>
      <c r="D192" t="s" s="2">
        <v>16</v>
      </c>
      <c r="E192" t="s" s="2">
        <v>17</v>
      </c>
      <c r="F192" t="s" s="2">
        <f>HYPERLINK("http://ts.21cn.com/tousu/show/id/1373965","http://ts.21cn.com/tousu/show/id/1373965")</f>
      </c>
      <c r="G192" t="s" s="2">
        <v>17</v>
      </c>
      <c r="H192" t="s" s="2">
        <v>19</v>
      </c>
      <c r="I192" t="s" s="2">
        <v>778</v>
      </c>
      <c r="J192" t="s" s="2">
        <v>779</v>
      </c>
      <c r="K192" t="s" s="2">
        <v>22</v>
      </c>
      <c r="L192" t="s" s="2">
        <v>22</v>
      </c>
      <c r="M192" t="s" s="2">
        <v>22</v>
      </c>
    </row>
    <row r="193" ht="25.0" customHeight="true">
      <c r="A193" t="s" s="2">
        <v>13</v>
      </c>
      <c r="B193" t="s" s="2">
        <f>HYPERLINK("http://ts.21cn.com/tousu/show/id/1373964","闪银奇异暴力催收")</f>
      </c>
      <c r="C193" t="s" s="2">
        <v>15</v>
      </c>
      <c r="D193" t="s" s="2">
        <v>16</v>
      </c>
      <c r="E193" t="s" s="2">
        <v>17</v>
      </c>
      <c r="F193" t="s" s="2">
        <f>HYPERLINK("http://ts.21cn.com/tousu/show/id/1373964","http://ts.21cn.com/tousu/show/id/1373964")</f>
      </c>
      <c r="G193" t="s" s="2">
        <v>17</v>
      </c>
      <c r="H193" t="s" s="2">
        <v>19</v>
      </c>
      <c r="I193" t="s" s="2">
        <v>782</v>
      </c>
      <c r="J193" t="s" s="2">
        <v>783</v>
      </c>
      <c r="K193" t="s" s="2">
        <v>22</v>
      </c>
      <c r="L193" t="s" s="2">
        <v>22</v>
      </c>
      <c r="M193" t="s" s="2">
        <v>22</v>
      </c>
    </row>
    <row r="194" ht="25.0" customHeight="true">
      <c r="A194" t="s" s="2">
        <v>13</v>
      </c>
      <c r="B194" t="s" s="2">
        <f>HYPERLINK("http://ts.21cn.com/tousu/show/id/1373966","惠易借太黑")</f>
      </c>
      <c r="C194" t="s" s="2">
        <v>15</v>
      </c>
      <c r="D194" t="s" s="2">
        <v>16</v>
      </c>
      <c r="E194" t="s" s="2">
        <v>17</v>
      </c>
      <c r="F194" t="s" s="2">
        <f>HYPERLINK("http://ts.21cn.com/tousu/show/id/1373966","http://ts.21cn.com/tousu/show/id/1373966")</f>
      </c>
      <c r="G194" t="s" s="2">
        <v>17</v>
      </c>
      <c r="H194" t="s" s="2">
        <v>19</v>
      </c>
      <c r="I194" t="s" s="2">
        <v>786</v>
      </c>
      <c r="J194" t="s" s="2">
        <v>787</v>
      </c>
      <c r="K194" t="s" s="2">
        <v>22</v>
      </c>
      <c r="L194" t="s" s="2">
        <v>22</v>
      </c>
      <c r="M194" t="s" s="2">
        <v>22</v>
      </c>
    </row>
    <row r="195" ht="25.0" customHeight="true">
      <c r="A195" t="s" s="2">
        <v>13</v>
      </c>
      <c r="B195" t="s" s="2">
        <f>HYPERLINK("http://ts.21cn.com/tousu/show/id/1373961","中信银行不通知就调降信用卡额度")</f>
      </c>
      <c r="C195" t="s" s="2">
        <v>15</v>
      </c>
      <c r="D195" t="s" s="2">
        <v>16</v>
      </c>
      <c r="E195" t="s" s="2">
        <v>17</v>
      </c>
      <c r="F195" t="s" s="2">
        <f>HYPERLINK("http://ts.21cn.com/tousu/show/id/1373961","http://ts.21cn.com/tousu/show/id/1373961")</f>
      </c>
      <c r="G195" t="s" s="2">
        <v>17</v>
      </c>
      <c r="H195" t="s" s="2">
        <v>19</v>
      </c>
      <c r="I195" t="s" s="2">
        <v>790</v>
      </c>
      <c r="J195" t="s" s="2">
        <v>791</v>
      </c>
      <c r="K195" t="s" s="2">
        <v>22</v>
      </c>
      <c r="L195" t="s" s="2">
        <v>22</v>
      </c>
      <c r="M195" t="s" s="2">
        <v>22</v>
      </c>
    </row>
    <row r="196" ht="25.0" customHeight="true">
      <c r="A196" t="s" s="2">
        <v>13</v>
      </c>
      <c r="B196" t="s" s="2">
        <f>HYPERLINK("http://ts.21cn.com/tousu/show/id/1373960","合利宝享金科技为兜有米高利贷提供支付通道要求退还砍头息")</f>
      </c>
      <c r="C196" t="s" s="2">
        <v>15</v>
      </c>
      <c r="D196" t="s" s="2">
        <v>16</v>
      </c>
      <c r="E196" t="s" s="2">
        <v>17</v>
      </c>
      <c r="F196" t="s" s="2">
        <f>HYPERLINK("http://ts.21cn.com/tousu/show/id/1373960","http://ts.21cn.com/tousu/show/id/1373960")</f>
      </c>
      <c r="G196" t="s" s="2">
        <v>17</v>
      </c>
      <c r="H196" t="s" s="2">
        <v>19</v>
      </c>
      <c r="I196" t="s" s="2">
        <v>794</v>
      </c>
      <c r="J196" t="s" s="2">
        <v>795</v>
      </c>
      <c r="K196" t="s" s="2">
        <v>22</v>
      </c>
      <c r="L196" t="s" s="2">
        <v>22</v>
      </c>
      <c r="M196" t="s" s="2">
        <v>22</v>
      </c>
    </row>
    <row r="197" ht="25.0" customHeight="true">
      <c r="A197" t="s" s="2">
        <v>13</v>
      </c>
      <c r="B197" t="s" s="2">
        <f>HYPERLINK("http://ts.21cn.com/tousu/show/id/1373959","诱导办卡，服务与介绍不一致，")</f>
      </c>
      <c r="C197" t="s" s="2">
        <v>15</v>
      </c>
      <c r="D197" t="s" s="2">
        <v>16</v>
      </c>
      <c r="E197" t="s" s="2">
        <v>17</v>
      </c>
      <c r="F197" t="s" s="2">
        <f>HYPERLINK("http://ts.21cn.com/tousu/show/id/1373959","http://ts.21cn.com/tousu/show/id/1373959")</f>
      </c>
      <c r="G197" t="s" s="2">
        <v>17</v>
      </c>
      <c r="H197" t="s" s="2">
        <v>19</v>
      </c>
      <c r="I197" t="s" s="2">
        <v>798</v>
      </c>
      <c r="J197" t="s" s="2">
        <v>799</v>
      </c>
      <c r="K197" t="s" s="2">
        <v>22</v>
      </c>
      <c r="L197" t="s" s="2">
        <v>22</v>
      </c>
      <c r="M197" t="s" s="2">
        <v>22</v>
      </c>
    </row>
    <row r="198" ht="25.0" customHeight="true">
      <c r="A198" t="s" s="2">
        <v>13</v>
      </c>
      <c r="B198" t="s" s="2">
        <f>HYPERLINK("http://ts.21cn.com/tousu/show/id/1373957","欺诈，未经同意就扣款")</f>
      </c>
      <c r="C198" t="s" s="2">
        <v>15</v>
      </c>
      <c r="D198" t="s" s="2">
        <v>16</v>
      </c>
      <c r="E198" t="s" s="2">
        <v>17</v>
      </c>
      <c r="F198" t="s" s="2">
        <f>HYPERLINK("http://ts.21cn.com/tousu/show/id/1373957","http://ts.21cn.com/tousu/show/id/1373957")</f>
      </c>
      <c r="G198" t="s" s="2">
        <v>17</v>
      </c>
      <c r="H198" t="s" s="2">
        <v>19</v>
      </c>
      <c r="I198" t="s" s="2">
        <v>802</v>
      </c>
      <c r="J198" t="s" s="2">
        <v>803</v>
      </c>
      <c r="K198" t="s" s="2">
        <v>22</v>
      </c>
      <c r="L198" t="s" s="2">
        <v>22</v>
      </c>
      <c r="M198" t="s" s="2">
        <v>22</v>
      </c>
    </row>
    <row r="199" ht="25.0" customHeight="true">
      <c r="A199" t="s" s="2">
        <v>13</v>
      </c>
      <c r="B199" t="s" s="2">
        <f>HYPERLINK("http://ts.21cn.com/tousu/show/id/1373958","利息高，app打不开")</f>
      </c>
      <c r="C199" t="s" s="2">
        <v>15</v>
      </c>
      <c r="D199" t="s" s="2">
        <v>16</v>
      </c>
      <c r="E199" t="s" s="2">
        <v>17</v>
      </c>
      <c r="F199" t="s" s="2">
        <f>HYPERLINK("http://ts.21cn.com/tousu/show/id/1373958","http://ts.21cn.com/tousu/show/id/1373958")</f>
      </c>
      <c r="G199" t="s" s="2">
        <v>17</v>
      </c>
      <c r="H199" t="s" s="2">
        <v>19</v>
      </c>
      <c r="I199" t="s" s="2">
        <v>806</v>
      </c>
      <c r="J199" t="s" s="2">
        <v>807</v>
      </c>
      <c r="K199" t="s" s="2">
        <v>22</v>
      </c>
      <c r="L199" t="s" s="2">
        <v>22</v>
      </c>
      <c r="M199" t="s" s="2">
        <v>22</v>
      </c>
    </row>
    <row r="200" ht="25.0" customHeight="true">
      <c r="A200" t="s" s="2">
        <v>13</v>
      </c>
      <c r="B200" t="s" s="2">
        <f>HYPERLINK("http://ts.21cn.com/tousu/show/id/1373955","快贷钱伴")</f>
      </c>
      <c r="C200" t="s" s="2">
        <v>52</v>
      </c>
      <c r="D200" t="s" s="2">
        <v>16</v>
      </c>
      <c r="E200" t="s" s="2">
        <v>17</v>
      </c>
      <c r="F200" t="s" s="2">
        <f>HYPERLINK("http://ts.21cn.com/tousu/show/id/1373955","http://ts.21cn.com/tousu/show/id/1373955")</f>
      </c>
      <c r="G200" t="s" s="2">
        <v>17</v>
      </c>
      <c r="H200" t="s" s="2">
        <v>19</v>
      </c>
      <c r="I200" t="s" s="2">
        <v>810</v>
      </c>
      <c r="J200" t="s" s="2">
        <v>811</v>
      </c>
      <c r="K200" t="s" s="2">
        <v>22</v>
      </c>
      <c r="L200" t="s" s="2">
        <v>22</v>
      </c>
      <c r="M200" t="s" s="2">
        <v>22</v>
      </c>
    </row>
    <row r="201" ht="25.0" customHeight="true">
      <c r="A201" t="s" s="2">
        <v>13</v>
      </c>
      <c r="B201" t="s" s="2">
        <f>HYPERLINK("http://ts.21cn.com/tousu/show/id/1373954","交通银行法务部，保全部欺诈行为")</f>
      </c>
      <c r="C201" t="s" s="2">
        <v>15</v>
      </c>
      <c r="D201" t="s" s="2">
        <v>16</v>
      </c>
      <c r="E201" t="s" s="2">
        <v>17</v>
      </c>
      <c r="F201" t="s" s="2">
        <f>HYPERLINK("http://ts.21cn.com/tousu/show/id/1373954","http://ts.21cn.com/tousu/show/id/1373954")</f>
      </c>
      <c r="G201" t="s" s="2">
        <v>17</v>
      </c>
      <c r="H201" t="s" s="2">
        <v>19</v>
      </c>
      <c r="I201" t="s" s="2">
        <v>814</v>
      </c>
      <c r="J201" t="s" s="2">
        <v>815</v>
      </c>
      <c r="K201" t="s" s="2">
        <v>22</v>
      </c>
      <c r="L201" t="s" s="2">
        <v>22</v>
      </c>
      <c r="M201" t="s" s="2">
        <v>22</v>
      </c>
    </row>
    <row r="202" ht="25.0" customHeight="true">
      <c r="A202" t="s" s="2">
        <v>13</v>
      </c>
      <c r="B202" t="s" s="2">
        <f>HYPERLINK("http://ts.21cn.com/tousu/show/id/1373953","阴阳合同恶意催收")</f>
      </c>
      <c r="C202" t="s" s="2">
        <v>15</v>
      </c>
      <c r="D202" t="s" s="2">
        <v>16</v>
      </c>
      <c r="E202" t="s" s="2">
        <v>17</v>
      </c>
      <c r="F202" t="s" s="2">
        <f>HYPERLINK("http://ts.21cn.com/tousu/show/id/1373953","http://ts.21cn.com/tousu/show/id/1373953")</f>
      </c>
      <c r="G202" t="s" s="2">
        <v>17</v>
      </c>
      <c r="H202" t="s" s="2">
        <v>19</v>
      </c>
      <c r="I202" t="s" s="2">
        <v>818</v>
      </c>
      <c r="J202" t="s" s="2">
        <v>819</v>
      </c>
      <c r="K202" t="s" s="2">
        <v>22</v>
      </c>
      <c r="L202" t="s" s="2">
        <v>22</v>
      </c>
      <c r="M202" t="s" s="2">
        <v>22</v>
      </c>
    </row>
    <row r="203" ht="25.0" customHeight="true">
      <c r="A203" t="s" s="2">
        <v>13</v>
      </c>
      <c r="B203" t="s" s="2">
        <f>HYPERLINK("http://ts.21cn.com/tousu/show/id/1373952","活力花暴力催收严重影响病情")</f>
      </c>
      <c r="C203" t="s" s="2">
        <v>15</v>
      </c>
      <c r="D203" t="s" s="2">
        <v>16</v>
      </c>
      <c r="E203" t="s" s="2">
        <v>17</v>
      </c>
      <c r="F203" t="s" s="2">
        <f>HYPERLINK("http://ts.21cn.com/tousu/show/id/1373952","http://ts.21cn.com/tousu/show/id/1373952")</f>
      </c>
      <c r="G203" t="s" s="2">
        <v>17</v>
      </c>
      <c r="H203" t="s" s="2">
        <v>19</v>
      </c>
      <c r="I203" t="s" s="2">
        <v>822</v>
      </c>
      <c r="J203" t="s" s="2">
        <v>823</v>
      </c>
      <c r="K203" t="s" s="2">
        <v>22</v>
      </c>
      <c r="L203" t="s" s="2">
        <v>22</v>
      </c>
      <c r="M203" t="s" s="2">
        <v>22</v>
      </c>
    </row>
    <row r="204" ht="25.0" customHeight="true">
      <c r="A204" t="s" s="2">
        <v>13</v>
      </c>
      <c r="B204" t="s" s="2">
        <f>HYPERLINK("http://ts.21cn.com/tousu/show/id/1373950","当客get旗下的球鞋指数以各种理由冻结商家货款")</f>
      </c>
      <c r="C204" t="s" s="2">
        <v>15</v>
      </c>
      <c r="D204" t="s" s="2">
        <v>16</v>
      </c>
      <c r="E204" t="s" s="2">
        <v>17</v>
      </c>
      <c r="F204" t="s" s="2">
        <f>HYPERLINK("http://ts.21cn.com/tousu/show/id/1373950","http://ts.21cn.com/tousu/show/id/1373950")</f>
      </c>
      <c r="G204" t="s" s="2">
        <v>17</v>
      </c>
      <c r="H204" t="s" s="2">
        <v>19</v>
      </c>
      <c r="I204" t="s" s="2">
        <v>826</v>
      </c>
      <c r="J204" t="s" s="2">
        <v>827</v>
      </c>
      <c r="K204" t="s" s="2">
        <v>22</v>
      </c>
      <c r="L204" t="s" s="2">
        <v>22</v>
      </c>
      <c r="M204" t="s" s="2">
        <v>22</v>
      </c>
    </row>
    <row r="205" ht="25.0" customHeight="true">
      <c r="A205" t="s" s="2">
        <v>13</v>
      </c>
      <c r="B205" t="s" s="2">
        <f>HYPERLINK("http://ts.21cn.com/tousu/show/id/1373949","714非法贷款仍在横行")</f>
      </c>
      <c r="C205" t="s" s="2">
        <v>15</v>
      </c>
      <c r="D205" t="s" s="2">
        <v>16</v>
      </c>
      <c r="E205" t="s" s="2">
        <v>17</v>
      </c>
      <c r="F205" t="s" s="2">
        <f>HYPERLINK("http://ts.21cn.com/tousu/show/id/1373949","http://ts.21cn.com/tousu/show/id/1373949")</f>
      </c>
      <c r="G205" t="s" s="2">
        <v>17</v>
      </c>
      <c r="H205" t="s" s="2">
        <v>19</v>
      </c>
      <c r="I205" t="s" s="2">
        <v>830</v>
      </c>
      <c r="J205" t="s" s="2">
        <v>831</v>
      </c>
      <c r="K205" t="s" s="2">
        <v>22</v>
      </c>
      <c r="L205" t="s" s="2">
        <v>22</v>
      </c>
      <c r="M205" t="s" s="2">
        <v>22</v>
      </c>
    </row>
    <row r="206" ht="25.0" customHeight="true">
      <c r="A206" t="s" s="2">
        <v>13</v>
      </c>
      <c r="B206" t="s" s="2">
        <f>HYPERLINK("http://ts.21cn.com/tousu/show/id/1373947","714高利贷恶意催收骚扰")</f>
      </c>
      <c r="C206" t="s" s="2">
        <v>15</v>
      </c>
      <c r="D206" t="s" s="2">
        <v>16</v>
      </c>
      <c r="E206" t="s" s="2">
        <v>17</v>
      </c>
      <c r="F206" t="s" s="2">
        <f>HYPERLINK("http://ts.21cn.com/tousu/show/id/1373947","http://ts.21cn.com/tousu/show/id/1373947")</f>
      </c>
      <c r="G206" t="s" s="2">
        <v>17</v>
      </c>
      <c r="H206" t="s" s="2">
        <v>19</v>
      </c>
      <c r="I206" t="s" s="2">
        <v>834</v>
      </c>
      <c r="J206" t="s" s="2">
        <v>835</v>
      </c>
      <c r="K206" t="s" s="2">
        <v>22</v>
      </c>
      <c r="L206" t="s" s="2">
        <v>22</v>
      </c>
      <c r="M206" t="s" s="2">
        <v>22</v>
      </c>
    </row>
    <row r="207" ht="25.0" customHeight="true">
      <c r="A207" t="s" s="2">
        <v>13</v>
      </c>
      <c r="B207" t="s" s="2">
        <f>HYPERLINK("http://ts.21cn.com/tousu/show/id/1373945","通讯录收到骚扰短信")</f>
      </c>
      <c r="C207" t="s" s="2">
        <v>15</v>
      </c>
      <c r="D207" t="s" s="2">
        <v>16</v>
      </c>
      <c r="E207" t="s" s="2">
        <v>17</v>
      </c>
      <c r="F207" t="s" s="2">
        <f>HYPERLINK("http://ts.21cn.com/tousu/show/id/1373945","http://ts.21cn.com/tousu/show/id/1373945")</f>
      </c>
      <c r="G207" t="s" s="2">
        <v>17</v>
      </c>
      <c r="H207" t="s" s="2">
        <v>19</v>
      </c>
      <c r="I207" t="s" s="2">
        <v>838</v>
      </c>
      <c r="J207" t="s" s="2">
        <v>839</v>
      </c>
      <c r="K207" t="s" s="2">
        <v>22</v>
      </c>
      <c r="L207" t="s" s="2">
        <v>22</v>
      </c>
      <c r="M207" t="s" s="2">
        <v>22</v>
      </c>
    </row>
    <row r="208" ht="25.0" customHeight="true">
      <c r="A208" t="s" s="2">
        <v>13</v>
      </c>
      <c r="B208" t="s" s="2">
        <f>HYPERLINK("http://ts.21cn.com/tousu/show/id/1373944","小黑鱼为714高利贷建立平台诱导他人贷款")</f>
      </c>
      <c r="C208" t="s" s="2">
        <v>15</v>
      </c>
      <c r="D208" t="s" s="2">
        <v>16</v>
      </c>
      <c r="E208" t="s" s="2">
        <v>17</v>
      </c>
      <c r="F208" t="s" s="2">
        <f>HYPERLINK("http://ts.21cn.com/tousu/show/id/1373944","http://ts.21cn.com/tousu/show/id/1373944")</f>
      </c>
      <c r="G208" t="s" s="2">
        <v>17</v>
      </c>
      <c r="H208" t="s" s="2">
        <v>19</v>
      </c>
      <c r="I208" t="s" s="2">
        <v>842</v>
      </c>
      <c r="J208" t="s" s="2">
        <v>843</v>
      </c>
      <c r="K208" t="s" s="2">
        <v>22</v>
      </c>
      <c r="L208" t="s" s="2">
        <v>22</v>
      </c>
      <c r="M208" t="s" s="2">
        <v>22</v>
      </c>
    </row>
    <row r="209" ht="25.0" customHeight="true">
      <c r="A209" t="s" s="2">
        <v>13</v>
      </c>
      <c r="B209" t="s" s="2">
        <f>HYPERLINK("http://ts.21cn.com/tousu/show/id/1373943","退款")</f>
      </c>
      <c r="C209" t="s" s="2">
        <v>52</v>
      </c>
      <c r="D209" t="s" s="2">
        <v>16</v>
      </c>
      <c r="E209" t="s" s="2">
        <v>17</v>
      </c>
      <c r="F209" t="s" s="2">
        <f>HYPERLINK("http://ts.21cn.com/tousu/show/id/1373943","http://ts.21cn.com/tousu/show/id/1373943")</f>
      </c>
      <c r="G209" t="s" s="2">
        <v>17</v>
      </c>
      <c r="H209" t="s" s="2">
        <v>19</v>
      </c>
      <c r="I209" t="s" s="2">
        <v>846</v>
      </c>
      <c r="J209" t="s" s="2">
        <v>847</v>
      </c>
      <c r="K209" t="s" s="2">
        <v>22</v>
      </c>
      <c r="L209" t="s" s="2">
        <v>22</v>
      </c>
      <c r="M209" t="s" s="2">
        <v>22</v>
      </c>
    </row>
    <row r="210" ht="25.0" customHeight="true">
      <c r="A210" t="s" s="2">
        <v>13</v>
      </c>
      <c r="B210" t="s" s="2">
        <f>HYPERLINK("http://ts.21cn.com/tousu/show/id/1373942","平安银行短信轰炸电话骚扰")</f>
      </c>
      <c r="C210" t="s" s="2">
        <v>15</v>
      </c>
      <c r="D210" t="s" s="2">
        <v>16</v>
      </c>
      <c r="E210" t="s" s="2">
        <v>17</v>
      </c>
      <c r="F210" t="s" s="2">
        <f>HYPERLINK("http://ts.21cn.com/tousu/show/id/1373942","http://ts.21cn.com/tousu/show/id/1373942")</f>
      </c>
      <c r="G210" t="s" s="2">
        <v>17</v>
      </c>
      <c r="H210" t="s" s="2">
        <v>19</v>
      </c>
      <c r="I210" t="s" s="2">
        <v>850</v>
      </c>
      <c r="J210" t="s" s="2">
        <v>851</v>
      </c>
      <c r="K210" t="s" s="2">
        <v>22</v>
      </c>
      <c r="L210" t="s" s="2">
        <v>22</v>
      </c>
      <c r="M210" t="s" s="2">
        <v>22</v>
      </c>
    </row>
    <row r="211" ht="25.0" customHeight="true">
      <c r="A211" t="s" s="2">
        <v>13</v>
      </c>
      <c r="B211" t="s" s="2">
        <f>HYPERLINK("http://ts.21cn.com/tousu/show/id/1373941","北京源石云科技有限公司")</f>
      </c>
      <c r="C211" t="s" s="2">
        <v>15</v>
      </c>
      <c r="D211" t="s" s="2">
        <v>16</v>
      </c>
      <c r="E211" t="s" s="2">
        <v>17</v>
      </c>
      <c r="F211" t="s" s="2">
        <f>HYPERLINK("http://ts.21cn.com/tousu/show/id/1373941","http://ts.21cn.com/tousu/show/id/1373941")</f>
      </c>
      <c r="G211" t="s" s="2">
        <v>17</v>
      </c>
      <c r="H211" t="s" s="2">
        <v>19</v>
      </c>
      <c r="I211" t="s" s="2">
        <v>854</v>
      </c>
      <c r="J211" t="s" s="2">
        <v>855</v>
      </c>
      <c r="K211" t="s" s="2">
        <v>22</v>
      </c>
      <c r="L211" t="s" s="2">
        <v>22</v>
      </c>
      <c r="M211" t="s" s="2">
        <v>22</v>
      </c>
    </row>
    <row r="212" ht="25.0" customHeight="true">
      <c r="A212" t="s" s="2">
        <v>13</v>
      </c>
      <c r="B212" t="s" s="2">
        <f>HYPERLINK("http://ts.21cn.com/tousu/show/id/1373940","宝付支付帮28个套路贷平台扣取坎头息")</f>
      </c>
      <c r="C212" t="s" s="2">
        <v>15</v>
      </c>
      <c r="D212" t="s" s="2">
        <v>16</v>
      </c>
      <c r="E212" t="s" s="2">
        <v>17</v>
      </c>
      <c r="F212" t="s" s="2">
        <f>HYPERLINK("http://ts.21cn.com/tousu/show/id/1373940","http://ts.21cn.com/tousu/show/id/1373940")</f>
      </c>
      <c r="G212" t="s" s="2">
        <v>17</v>
      </c>
      <c r="H212" t="s" s="2">
        <v>19</v>
      </c>
      <c r="I212" t="s" s="2">
        <v>858</v>
      </c>
      <c r="J212" t="s" s="2">
        <v>859</v>
      </c>
      <c r="K212" t="s" s="2">
        <v>22</v>
      </c>
      <c r="L212" t="s" s="2">
        <v>22</v>
      </c>
      <c r="M212" t="s" s="2">
        <v>22</v>
      </c>
    </row>
    <row r="213" ht="25.0" customHeight="true">
      <c r="A213" t="s" s="2">
        <v>13</v>
      </c>
      <c r="B213" t="s" s="2">
        <f>HYPERLINK("http://ts.21cn.com/tousu/show/id/1373939","招联金融乱发短信给朋友")</f>
      </c>
      <c r="C213" t="s" s="2">
        <v>15</v>
      </c>
      <c r="D213" t="s" s="2">
        <v>16</v>
      </c>
      <c r="E213" t="s" s="2">
        <v>17</v>
      </c>
      <c r="F213" t="s" s="2">
        <f>HYPERLINK("http://ts.21cn.com/tousu/show/id/1373939","http://ts.21cn.com/tousu/show/id/1373939")</f>
      </c>
      <c r="G213" t="s" s="2">
        <v>17</v>
      </c>
      <c r="H213" t="s" s="2">
        <v>19</v>
      </c>
      <c r="I213" t="s" s="2">
        <v>862</v>
      </c>
      <c r="J213" t="s" s="2">
        <v>863</v>
      </c>
      <c r="K213" t="s" s="2">
        <v>22</v>
      </c>
      <c r="L213" t="s" s="2">
        <v>22</v>
      </c>
      <c r="M213" t="s" s="2">
        <v>22</v>
      </c>
    </row>
    <row r="214" ht="25.0" customHeight="true">
      <c r="A214" t="s" s="2">
        <v>13</v>
      </c>
      <c r="B214" t="s" s="2">
        <f>HYPERLINK("http://ts.21cn.com/tousu/show/id/1373938","月光侠分期砍头息高的吓死人")</f>
      </c>
      <c r="C214" t="s" s="2">
        <v>15</v>
      </c>
      <c r="D214" t="s" s="2">
        <v>16</v>
      </c>
      <c r="E214" t="s" s="2">
        <v>17</v>
      </c>
      <c r="F214" t="s" s="2">
        <f>HYPERLINK("http://ts.21cn.com/tousu/show/id/1373938","http://ts.21cn.com/tousu/show/id/1373938")</f>
      </c>
      <c r="G214" t="s" s="2">
        <v>17</v>
      </c>
      <c r="H214" t="s" s="2">
        <v>19</v>
      </c>
      <c r="I214" t="s" s="2">
        <v>866</v>
      </c>
      <c r="J214" t="s" s="2">
        <v>867</v>
      </c>
      <c r="K214" t="s" s="2">
        <v>22</v>
      </c>
      <c r="L214" t="s" s="2">
        <v>22</v>
      </c>
      <c r="M214" t="s" s="2">
        <v>22</v>
      </c>
    </row>
    <row r="215" ht="25.0" customHeight="true">
      <c r="A215" t="s" s="2">
        <v>13</v>
      </c>
      <c r="B215" t="s" s="2">
        <f>HYPERLINK("http://ts.21cn.com/tousu/show/id/1373937","梧桐诚选大肆折让老百姓血汗钱")</f>
      </c>
      <c r="C215" t="s" s="2">
        <v>15</v>
      </c>
      <c r="D215" t="s" s="2">
        <v>16</v>
      </c>
      <c r="E215" t="s" s="2">
        <v>17</v>
      </c>
      <c r="F215" t="s" s="2">
        <f>HYPERLINK("http://ts.21cn.com/tousu/show/id/1373937","http://ts.21cn.com/tousu/show/id/1373937")</f>
      </c>
      <c r="G215" t="s" s="2">
        <v>17</v>
      </c>
      <c r="H215" t="s" s="2">
        <v>19</v>
      </c>
      <c r="I215" t="s" s="2">
        <v>870</v>
      </c>
      <c r="J215" t="s" s="2">
        <v>871</v>
      </c>
      <c r="K215" t="s" s="2">
        <v>22</v>
      </c>
      <c r="L215" t="s" s="2">
        <v>22</v>
      </c>
      <c r="M215" t="s" s="2">
        <v>22</v>
      </c>
    </row>
    <row r="216" ht="25.0" customHeight="true">
      <c r="A216" t="s" s="2">
        <v>13</v>
      </c>
      <c r="B216" t="s" s="2">
        <f>HYPERLINK("http://ts.21cn.com/tousu/show/id/1373936","要求拍拍贷赔偿，道歉")</f>
      </c>
      <c r="C216" t="s" s="2">
        <v>15</v>
      </c>
      <c r="D216" t="s" s="2">
        <v>16</v>
      </c>
      <c r="E216" t="s" s="2">
        <v>17</v>
      </c>
      <c r="F216" t="s" s="2">
        <f>HYPERLINK("http://ts.21cn.com/tousu/show/id/1373936","http://ts.21cn.com/tousu/show/id/1373936")</f>
      </c>
      <c r="G216" t="s" s="2">
        <v>17</v>
      </c>
      <c r="H216" t="s" s="2">
        <v>19</v>
      </c>
      <c r="I216" t="s" s="2">
        <v>874</v>
      </c>
      <c r="J216" t="s" s="2">
        <v>875</v>
      </c>
      <c r="K216" t="s" s="2">
        <v>22</v>
      </c>
      <c r="L216" t="s" s="2">
        <v>22</v>
      </c>
      <c r="M216" t="s" s="2">
        <v>22</v>
      </c>
    </row>
    <row r="217" ht="25.0" customHeight="true">
      <c r="A217" t="s" s="2">
        <v>13</v>
      </c>
      <c r="B217" t="s" s="2">
        <f>HYPERLINK("http://ts.21cn.com/tousu/show/id/1373934","办理信用卡激活后不能使用")</f>
      </c>
      <c r="C217" t="s" s="2">
        <v>15</v>
      </c>
      <c r="D217" t="s" s="2">
        <v>16</v>
      </c>
      <c r="E217" t="s" s="2">
        <v>17</v>
      </c>
      <c r="F217" t="s" s="2">
        <f>HYPERLINK("http://ts.21cn.com/tousu/show/id/1373934","http://ts.21cn.com/tousu/show/id/1373934")</f>
      </c>
      <c r="G217" t="s" s="2">
        <v>17</v>
      </c>
      <c r="H217" t="s" s="2">
        <v>19</v>
      </c>
      <c r="I217" t="s" s="2">
        <v>878</v>
      </c>
      <c r="J217" t="s" s="2">
        <v>879</v>
      </c>
      <c r="K217" t="s" s="2">
        <v>22</v>
      </c>
      <c r="L217" t="s" s="2">
        <v>22</v>
      </c>
      <c r="M217" t="s" s="2">
        <v>22</v>
      </c>
    </row>
    <row r="218" ht="25.0" customHeight="true">
      <c r="A218" t="s" s="2">
        <v>13</v>
      </c>
      <c r="B218" t="s" s="2">
        <f>HYPERLINK("http://ts.21cn.com/tousu/show/id/1373933","不按规定收取担保费用，实际到账跟合同显示不符")</f>
      </c>
      <c r="C218" t="s" s="2">
        <v>15</v>
      </c>
      <c r="D218" t="s" s="2">
        <v>16</v>
      </c>
      <c r="E218" t="s" s="2">
        <v>17</v>
      </c>
      <c r="F218" t="s" s="2">
        <f>HYPERLINK("http://ts.21cn.com/tousu/show/id/1373933","http://ts.21cn.com/tousu/show/id/1373933")</f>
      </c>
      <c r="G218" t="s" s="2">
        <v>17</v>
      </c>
      <c r="H218" t="s" s="2">
        <v>19</v>
      </c>
      <c r="I218" t="s" s="2">
        <v>882</v>
      </c>
      <c r="J218" t="s" s="2">
        <v>883</v>
      </c>
      <c r="K218" t="s" s="2">
        <v>22</v>
      </c>
      <c r="L218" t="s" s="2">
        <v>22</v>
      </c>
      <c r="M218" t="s" s="2">
        <v>22</v>
      </c>
    </row>
    <row r="219" ht="25.0" customHeight="true">
      <c r="A219" t="s" s="2">
        <v>13</v>
      </c>
      <c r="B219" t="s" s="2">
        <f>HYPERLINK("http://ts.21cn.com/tousu/show/id/1373932","美团辱骂我的通讯录好友")</f>
      </c>
      <c r="C219" t="s" s="2">
        <v>15</v>
      </c>
      <c r="D219" t="s" s="2">
        <v>16</v>
      </c>
      <c r="E219" t="s" s="2">
        <v>17</v>
      </c>
      <c r="F219" t="s" s="2">
        <f>HYPERLINK("http://ts.21cn.com/tousu/show/id/1373932","http://ts.21cn.com/tousu/show/id/1373932")</f>
      </c>
      <c r="G219" t="s" s="2">
        <v>17</v>
      </c>
      <c r="H219" t="s" s="2">
        <v>19</v>
      </c>
      <c r="I219" t="s" s="2">
        <v>886</v>
      </c>
      <c r="J219" t="s" s="2">
        <v>887</v>
      </c>
      <c r="K219" t="s" s="2">
        <v>22</v>
      </c>
      <c r="L219" t="s" s="2">
        <v>22</v>
      </c>
      <c r="M219" t="s" s="2">
        <v>22</v>
      </c>
    </row>
    <row r="220" ht="25.0" customHeight="true">
      <c r="A220" t="s" s="2">
        <v>13</v>
      </c>
      <c r="B220" t="s" s="2">
        <f>HYPERLINK("http://ts.21cn.com/tousu/show/id/1373931","优信二手车套路")</f>
      </c>
      <c r="C220" t="s" s="2">
        <v>15</v>
      </c>
      <c r="D220" t="s" s="2">
        <v>16</v>
      </c>
      <c r="E220" t="s" s="2">
        <v>17</v>
      </c>
      <c r="F220" t="s" s="2">
        <f>HYPERLINK("http://ts.21cn.com/tousu/show/id/1373931","http://ts.21cn.com/tousu/show/id/1373931")</f>
      </c>
      <c r="G220" t="s" s="2">
        <v>17</v>
      </c>
      <c r="H220" t="s" s="2">
        <v>19</v>
      </c>
      <c r="I220" t="s" s="2">
        <v>890</v>
      </c>
      <c r="J220" t="s" s="2">
        <v>891</v>
      </c>
      <c r="K220" t="s" s="2">
        <v>22</v>
      </c>
      <c r="L220" t="s" s="2">
        <v>22</v>
      </c>
      <c r="M220" t="s" s="2">
        <v>22</v>
      </c>
    </row>
    <row r="221" ht="25.0" customHeight="true">
      <c r="A221" t="s" s="2">
        <v>13</v>
      </c>
      <c r="B221" t="s" s="2">
        <f>HYPERLINK("http://ts.21cn.com/tousu/show/id/1373930","投诉招联金融催收骚扰")</f>
      </c>
      <c r="C221" t="s" s="2">
        <v>15</v>
      </c>
      <c r="D221" t="s" s="2">
        <v>16</v>
      </c>
      <c r="E221" t="s" s="2">
        <v>17</v>
      </c>
      <c r="F221" t="s" s="2">
        <f>HYPERLINK("http://ts.21cn.com/tousu/show/id/1373930","http://ts.21cn.com/tousu/show/id/1373930")</f>
      </c>
      <c r="G221" t="s" s="2">
        <v>17</v>
      </c>
      <c r="H221" t="s" s="2">
        <v>19</v>
      </c>
      <c r="I221" t="s" s="2">
        <v>894</v>
      </c>
      <c r="J221" t="s" s="2">
        <v>895</v>
      </c>
      <c r="K221" t="s" s="2">
        <v>22</v>
      </c>
      <c r="L221" t="s" s="2">
        <v>22</v>
      </c>
      <c r="M221" t="s" s="2">
        <v>22</v>
      </c>
    </row>
    <row r="222" ht="25.0" customHeight="true">
      <c r="A222" t="s" s="2">
        <v>13</v>
      </c>
      <c r="B222" t="s" s="2">
        <f>HYPERLINK("http://ts.21cn.com/tousu/show/id/1373929","特约中建投银企入金在本人不知情的情况下扣刷本人银行卡内资金")</f>
      </c>
      <c r="C222" t="s" s="2">
        <v>15</v>
      </c>
      <c r="D222" t="s" s="2">
        <v>16</v>
      </c>
      <c r="E222" t="s" s="2">
        <v>17</v>
      </c>
      <c r="F222" t="s" s="2">
        <f>HYPERLINK("http://ts.21cn.com/tousu/show/id/1373929","http://ts.21cn.com/tousu/show/id/1373929")</f>
      </c>
      <c r="G222" t="s" s="2">
        <v>17</v>
      </c>
      <c r="H222" t="s" s="2">
        <v>19</v>
      </c>
      <c r="I222" t="s" s="2">
        <v>898</v>
      </c>
      <c r="J222" t="s" s="2">
        <v>899</v>
      </c>
      <c r="K222" t="s" s="2">
        <v>22</v>
      </c>
      <c r="L222" t="s" s="2">
        <v>22</v>
      </c>
      <c r="M222" t="s" s="2">
        <v>22</v>
      </c>
    </row>
    <row r="223" ht="25.0" customHeight="true">
      <c r="A223" t="s" s="2">
        <v>13</v>
      </c>
      <c r="B223" t="s" s="2">
        <f>HYPERLINK("http://ts.21cn.com/tousu/show/id/1373928","高利贷，砍头息")</f>
      </c>
      <c r="C223" t="s" s="2">
        <v>15</v>
      </c>
      <c r="D223" t="s" s="2">
        <v>16</v>
      </c>
      <c r="E223" t="s" s="2">
        <v>17</v>
      </c>
      <c r="F223" t="s" s="2">
        <f>HYPERLINK("http://ts.21cn.com/tousu/show/id/1373928","http://ts.21cn.com/tousu/show/id/1373928")</f>
      </c>
      <c r="G223" t="s" s="2">
        <v>17</v>
      </c>
      <c r="H223" t="s" s="2">
        <v>19</v>
      </c>
      <c r="I223" t="s" s="2">
        <v>902</v>
      </c>
      <c r="J223" t="s" s="2">
        <v>903</v>
      </c>
      <c r="K223" t="s" s="2">
        <v>22</v>
      </c>
      <c r="L223" t="s" s="2">
        <v>22</v>
      </c>
      <c r="M223" t="s" s="2">
        <v>22</v>
      </c>
    </row>
    <row r="224" ht="25.0" customHeight="true">
      <c r="A224" t="s" s="2">
        <v>13</v>
      </c>
      <c r="B224" t="s" s="2">
        <f>HYPERLINK("http://ts.21cn.com/tousu/show/id/1373926","要求反还不经我的同意就擅自扣除的扣款")</f>
      </c>
      <c r="C224" t="s" s="2">
        <v>15</v>
      </c>
      <c r="D224" t="s" s="2">
        <v>16</v>
      </c>
      <c r="E224" t="s" s="2">
        <v>17</v>
      </c>
      <c r="F224" t="s" s="2">
        <f>HYPERLINK("http://ts.21cn.com/tousu/show/id/1373926","http://ts.21cn.com/tousu/show/id/1373926")</f>
      </c>
      <c r="G224" t="s" s="2">
        <v>17</v>
      </c>
      <c r="H224" t="s" s="2">
        <v>19</v>
      </c>
      <c r="I224" t="s" s="2">
        <v>906</v>
      </c>
      <c r="J224" t="s" s="2">
        <v>907</v>
      </c>
      <c r="K224" t="s" s="2">
        <v>22</v>
      </c>
      <c r="L224" t="s" s="2">
        <v>22</v>
      </c>
      <c r="M224" t="s" s="2">
        <v>22</v>
      </c>
    </row>
    <row r="225" ht="25.0" customHeight="true">
      <c r="A225" t="s" s="2">
        <v>13</v>
      </c>
      <c r="B225" t="s" s="2">
        <f>HYPERLINK("http://ts.21cn.com/tousu/show/id/1373925","美好分期套路贷暴力催收，轰炸我通讯录，威胁恐吓我家人辱骂我朋友")</f>
      </c>
      <c r="C225" t="s" s="2">
        <v>15</v>
      </c>
      <c r="D225" t="s" s="2">
        <v>16</v>
      </c>
      <c r="E225" t="s" s="2">
        <v>17</v>
      </c>
      <c r="F225" t="s" s="2">
        <f>HYPERLINK("http://ts.21cn.com/tousu/show/id/1373925","http://ts.21cn.com/tousu/show/id/1373925")</f>
      </c>
      <c r="G225" t="s" s="2">
        <v>17</v>
      </c>
      <c r="H225" t="s" s="2">
        <v>19</v>
      </c>
      <c r="I225" t="s" s="2">
        <v>910</v>
      </c>
      <c r="J225" t="s" s="2">
        <v>911</v>
      </c>
      <c r="K225" t="s" s="2">
        <v>22</v>
      </c>
      <c r="L225" t="s" s="2">
        <v>22</v>
      </c>
      <c r="M225" t="s" s="2">
        <v>22</v>
      </c>
    </row>
    <row r="226" ht="25.0" customHeight="true">
      <c r="A226" t="s" s="2">
        <v>13</v>
      </c>
      <c r="B226" t="s" s="2">
        <f>HYPERLINK("http://ts.21cn.com/tousu/show/id/1373924","上海你我贷互联网金融信息服务有限公司催收骚扰我，朋友欠钱给我打电话骚扰恐吓骂我没长耳朵")</f>
      </c>
      <c r="C226" t="s" s="2">
        <v>15</v>
      </c>
      <c r="D226" t="s" s="2">
        <v>16</v>
      </c>
      <c r="E226" t="s" s="2">
        <v>17</v>
      </c>
      <c r="F226" t="s" s="2">
        <f>HYPERLINK("http://ts.21cn.com/tousu/show/id/1373924","http://ts.21cn.com/tousu/show/id/1373924")</f>
      </c>
      <c r="G226" t="s" s="2">
        <v>17</v>
      </c>
      <c r="H226" t="s" s="2">
        <v>19</v>
      </c>
      <c r="I226" t="s" s="2">
        <v>914</v>
      </c>
      <c r="J226" t="s" s="2">
        <v>915</v>
      </c>
      <c r="K226" t="s" s="2">
        <v>22</v>
      </c>
      <c r="L226" t="s" s="2">
        <v>22</v>
      </c>
      <c r="M226" t="s" s="2">
        <v>22</v>
      </c>
    </row>
    <row r="227" ht="25.0" customHeight="true">
      <c r="A227" t="s" s="2">
        <v>13</v>
      </c>
      <c r="B227" t="s" s="2">
        <f>HYPERLINK("http://ts.21cn.com/tousu/show/id/1373923","动态壁纸非法扣费263元")</f>
      </c>
      <c r="C227" t="s" s="2">
        <v>15</v>
      </c>
      <c r="D227" t="s" s="2">
        <v>16</v>
      </c>
      <c r="E227" t="s" s="2">
        <v>17</v>
      </c>
      <c r="F227" t="s" s="2">
        <f>HYPERLINK("http://ts.21cn.com/tousu/show/id/1373923","http://ts.21cn.com/tousu/show/id/1373923")</f>
      </c>
      <c r="G227" t="s" s="2">
        <v>17</v>
      </c>
      <c r="H227" t="s" s="2">
        <v>19</v>
      </c>
      <c r="I227" t="s" s="2">
        <v>918</v>
      </c>
      <c r="J227" t="s" s="2">
        <v>919</v>
      </c>
      <c r="K227" t="s" s="2">
        <v>22</v>
      </c>
      <c r="L227" t="s" s="2">
        <v>22</v>
      </c>
      <c r="M227" t="s" s="2">
        <v>22</v>
      </c>
    </row>
    <row r="228" ht="25.0" customHeight="true">
      <c r="A228" t="s" s="2">
        <v>13</v>
      </c>
      <c r="B228" t="s" s="2">
        <f>HYPERLINK("http://ts.21cn.com/tousu/show/id/1373922","金高银未经同意直接从银行卡扣钱")</f>
      </c>
      <c r="C228" t="s" s="2">
        <v>15</v>
      </c>
      <c r="D228" t="s" s="2">
        <v>16</v>
      </c>
      <c r="E228" t="s" s="2">
        <v>17</v>
      </c>
      <c r="F228" t="s" s="2">
        <f>HYPERLINK("http://ts.21cn.com/tousu/show/id/1373922","http://ts.21cn.com/tousu/show/id/1373922")</f>
      </c>
      <c r="G228" t="s" s="2">
        <v>17</v>
      </c>
      <c r="H228" t="s" s="2">
        <v>19</v>
      </c>
      <c r="I228" t="s" s="2">
        <v>922</v>
      </c>
      <c r="J228" t="s" s="2">
        <v>923</v>
      </c>
      <c r="K228" t="s" s="2">
        <v>22</v>
      </c>
      <c r="L228" t="s" s="2">
        <v>22</v>
      </c>
      <c r="M228" t="s" s="2">
        <v>22</v>
      </c>
    </row>
    <row r="229" ht="25.0" customHeight="true">
      <c r="A229" t="s" s="2">
        <v>13</v>
      </c>
      <c r="B229" t="s" s="2">
        <f>HYPERLINK("http://ts.21cn.com/tousu/show/id/1373920","成都信星星服饰放高利贷")</f>
      </c>
      <c r="C229" t="s" s="2">
        <v>15</v>
      </c>
      <c r="D229" t="s" s="2">
        <v>16</v>
      </c>
      <c r="E229" t="s" s="2">
        <v>17</v>
      </c>
      <c r="F229" t="s" s="2">
        <f>HYPERLINK("http://ts.21cn.com/tousu/show/id/1373920","http://ts.21cn.com/tousu/show/id/1373920")</f>
      </c>
      <c r="G229" t="s" s="2">
        <v>17</v>
      </c>
      <c r="H229" t="s" s="2">
        <v>19</v>
      </c>
      <c r="I229" t="s" s="2">
        <v>926</v>
      </c>
      <c r="J229" t="s" s="2">
        <v>927</v>
      </c>
      <c r="K229" t="s" s="2">
        <v>22</v>
      </c>
      <c r="L229" t="s" s="2">
        <v>22</v>
      </c>
      <c r="M229" t="s" s="2">
        <v>22</v>
      </c>
    </row>
    <row r="230" ht="25.0" customHeight="true">
      <c r="A230" t="s" s="2">
        <v>13</v>
      </c>
      <c r="B230" t="s" s="2">
        <f>HYPERLINK("http://ts.21cn.com/tousu/show/id/1373918","京东金条恶性催收")</f>
      </c>
      <c r="C230" t="s" s="2">
        <v>15</v>
      </c>
      <c r="D230" t="s" s="2">
        <v>16</v>
      </c>
      <c r="E230" t="s" s="2">
        <v>17</v>
      </c>
      <c r="F230" t="s" s="2">
        <f>HYPERLINK("http://ts.21cn.com/tousu/show/id/1373918","http://ts.21cn.com/tousu/show/id/1373918")</f>
      </c>
      <c r="G230" t="s" s="2">
        <v>17</v>
      </c>
      <c r="H230" t="s" s="2">
        <v>19</v>
      </c>
      <c r="I230" t="s" s="2">
        <v>930</v>
      </c>
      <c r="J230" t="s" s="2">
        <v>931</v>
      </c>
      <c r="K230" t="s" s="2">
        <v>22</v>
      </c>
      <c r="L230" t="s" s="2">
        <v>22</v>
      </c>
      <c r="M230" t="s" s="2">
        <v>22</v>
      </c>
    </row>
    <row r="231" ht="25.0" customHeight="true">
      <c r="A231" t="s" s="2">
        <v>13</v>
      </c>
      <c r="B231" t="s" s="2">
        <f>HYPERLINK("http://ts.21cn.com/tousu/show/id/1373917","美利是高利贷")</f>
      </c>
      <c r="C231" t="s" s="2">
        <v>15</v>
      </c>
      <c r="D231" t="s" s="2">
        <v>16</v>
      </c>
      <c r="E231" t="s" s="2">
        <v>17</v>
      </c>
      <c r="F231" t="s" s="2">
        <f>HYPERLINK("http://ts.21cn.com/tousu/show/id/1373917","http://ts.21cn.com/tousu/show/id/1373917")</f>
      </c>
      <c r="G231" t="s" s="2">
        <v>17</v>
      </c>
      <c r="H231" t="s" s="2">
        <v>19</v>
      </c>
      <c r="I231" t="s" s="2">
        <v>934</v>
      </c>
      <c r="J231" t="s" s="2">
        <v>935</v>
      </c>
      <c r="K231" t="s" s="2">
        <v>22</v>
      </c>
      <c r="L231" t="s" s="2">
        <v>22</v>
      </c>
      <c r="M231" t="s" s="2">
        <v>22</v>
      </c>
    </row>
    <row r="232" ht="25.0" customHeight="true">
      <c r="A232" t="s" s="2">
        <v>13</v>
      </c>
      <c r="B232" t="s" s="2">
        <f>HYPERLINK("http://ts.21cn.com/tousu/show/id/1373915","玖富万卡无法协商还款")</f>
      </c>
      <c r="C232" t="s" s="2">
        <v>15</v>
      </c>
      <c r="D232" t="s" s="2">
        <v>16</v>
      </c>
      <c r="E232" t="s" s="2">
        <v>17</v>
      </c>
      <c r="F232" t="s" s="2">
        <f>HYPERLINK("http://ts.21cn.com/tousu/show/id/1373915","http://ts.21cn.com/tousu/show/id/1373915")</f>
      </c>
      <c r="G232" t="s" s="2">
        <v>17</v>
      </c>
      <c r="H232" t="s" s="2">
        <v>19</v>
      </c>
      <c r="I232" t="s" s="2">
        <v>938</v>
      </c>
      <c r="J232" t="s" s="2">
        <v>939</v>
      </c>
      <c r="K232" t="s" s="2">
        <v>22</v>
      </c>
      <c r="L232" t="s" s="2">
        <v>22</v>
      </c>
      <c r="M232" t="s" s="2">
        <v>22</v>
      </c>
    </row>
    <row r="233" ht="25.0" customHeight="true">
      <c r="A233" t="s" s="2">
        <v>13</v>
      </c>
      <c r="B233" t="s" s="2">
        <f>HYPERLINK("http://ts.21cn.com/tousu/show/id/1373914","钱老哥套路贷暴力催收")</f>
      </c>
      <c r="C233" t="s" s="2">
        <v>15</v>
      </c>
      <c r="D233" t="s" s="2">
        <v>16</v>
      </c>
      <c r="E233" t="s" s="2">
        <v>17</v>
      </c>
      <c r="F233" t="s" s="2">
        <f>HYPERLINK("http://ts.21cn.com/tousu/show/id/1373914","http://ts.21cn.com/tousu/show/id/1373914")</f>
      </c>
      <c r="G233" t="s" s="2">
        <v>17</v>
      </c>
      <c r="H233" t="s" s="2">
        <v>19</v>
      </c>
      <c r="I233" t="s" s="2">
        <v>942</v>
      </c>
      <c r="J233" t="s" s="2">
        <v>943</v>
      </c>
      <c r="K233" t="s" s="2">
        <v>22</v>
      </c>
      <c r="L233" t="s" s="2">
        <v>22</v>
      </c>
      <c r="M233" t="s" s="2">
        <v>22</v>
      </c>
    </row>
    <row r="234" ht="25.0" customHeight="true">
      <c r="A234" t="s" s="2">
        <v>13</v>
      </c>
      <c r="B234" t="s" s="2">
        <f>HYPERLINK("http://ts.21cn.com/tousu/show/id/1373913","恶意欺诈")</f>
      </c>
      <c r="C234" t="s" s="2">
        <v>15</v>
      </c>
      <c r="D234" t="s" s="2">
        <v>16</v>
      </c>
      <c r="E234" t="s" s="2">
        <v>17</v>
      </c>
      <c r="F234" t="s" s="2">
        <f>HYPERLINK("http://ts.21cn.com/tousu/show/id/1373913","http://ts.21cn.com/tousu/show/id/1373913")</f>
      </c>
      <c r="G234" t="s" s="2">
        <v>17</v>
      </c>
      <c r="H234" t="s" s="2">
        <v>19</v>
      </c>
      <c r="I234" t="s" s="2">
        <v>946</v>
      </c>
      <c r="J234" t="s" s="2">
        <v>947</v>
      </c>
      <c r="K234" t="s" s="2">
        <v>22</v>
      </c>
      <c r="L234" t="s" s="2">
        <v>22</v>
      </c>
      <c r="M234" t="s" s="2">
        <v>22</v>
      </c>
    </row>
    <row r="235" ht="25.0" customHeight="true">
      <c r="A235" t="s" s="2">
        <v>13</v>
      </c>
      <c r="B235" t="s" s="2">
        <f>HYPERLINK("http://ts.21cn.com/tousu/show/id/1373875","2017年7月诚信贷非法吸金3600万，未还款本人232300.27元人民币。希望相关部门做出有效回应.")</f>
      </c>
      <c r="C235" t="s" s="2">
        <v>15</v>
      </c>
      <c r="D235" t="s" s="2">
        <v>16</v>
      </c>
      <c r="E235" t="s" s="2">
        <v>17</v>
      </c>
      <c r="F235" t="s" s="2">
        <f>HYPERLINK("http://ts.21cn.com/tousu/show/id/1373875","http://ts.21cn.com/tousu/show/id/1373875")</f>
      </c>
      <c r="G235" t="s" s="2">
        <v>17</v>
      </c>
      <c r="H235" t="s" s="2">
        <v>19</v>
      </c>
      <c r="I235" t="s" s="2">
        <v>950</v>
      </c>
      <c r="J235" t="s" s="2">
        <v>951</v>
      </c>
      <c r="K235" t="s" s="2">
        <v>22</v>
      </c>
      <c r="L235" t="s" s="2">
        <v>22</v>
      </c>
      <c r="M235" t="s" s="2">
        <v>22</v>
      </c>
    </row>
    <row r="236" ht="25.0" customHeight="true">
      <c r="A236" t="s" s="2">
        <v>13</v>
      </c>
      <c r="B236" t="s" s="2">
        <f>HYPERLINK("http://ts.21cn.com/tousu/show/id/1373912","省呗暴力催收")</f>
      </c>
      <c r="C236" t="s" s="2">
        <v>15</v>
      </c>
      <c r="D236" t="s" s="2">
        <v>16</v>
      </c>
      <c r="E236" t="s" s="2">
        <v>17</v>
      </c>
      <c r="F236" t="s" s="2">
        <f>HYPERLINK("http://ts.21cn.com/tousu/show/id/1373912","http://ts.21cn.com/tousu/show/id/1373912")</f>
      </c>
      <c r="G236" t="s" s="2">
        <v>17</v>
      </c>
      <c r="H236" t="s" s="2">
        <v>19</v>
      </c>
      <c r="I236" t="s" s="2">
        <v>954</v>
      </c>
      <c r="J236" t="s" s="2">
        <v>955</v>
      </c>
      <c r="K236" t="s" s="2">
        <v>22</v>
      </c>
      <c r="L236" t="s" s="2">
        <v>22</v>
      </c>
      <c r="M236" t="s" s="2">
        <v>22</v>
      </c>
    </row>
    <row r="237" ht="25.0" customHeight="true">
      <c r="A237" t="s" s="2">
        <v>13</v>
      </c>
      <c r="B237" t="s" s="2">
        <f>HYPERLINK("http://ts.21cn.com/tousu/show/id/1373911","投诉小米金融暴力催收")</f>
      </c>
      <c r="C237" t="s" s="2">
        <v>15</v>
      </c>
      <c r="D237" t="s" s="2">
        <v>16</v>
      </c>
      <c r="E237" t="s" s="2">
        <v>17</v>
      </c>
      <c r="F237" t="s" s="2">
        <f>HYPERLINK("http://ts.21cn.com/tousu/show/id/1373911","http://ts.21cn.com/tousu/show/id/1373911")</f>
      </c>
      <c r="G237" t="s" s="2">
        <v>17</v>
      </c>
      <c r="H237" t="s" s="2">
        <v>19</v>
      </c>
      <c r="I237" t="s" s="2">
        <v>958</v>
      </c>
      <c r="J237" t="s" s="2">
        <v>959</v>
      </c>
      <c r="K237" t="s" s="2">
        <v>22</v>
      </c>
      <c r="L237" t="s" s="2">
        <v>22</v>
      </c>
      <c r="M237" t="s" s="2">
        <v>22</v>
      </c>
    </row>
    <row r="238" ht="25.0" customHeight="true">
      <c r="A238" t="s" s="2">
        <v>13</v>
      </c>
      <c r="B238" t="s" s="2">
        <f>HYPERLINK("http://ts.21cn.com/tousu/show/id/1373910","投中信银行信用卡暴力催收，已让我丢失了工作")</f>
      </c>
      <c r="C238" t="s" s="2">
        <v>15</v>
      </c>
      <c r="D238" t="s" s="2">
        <v>16</v>
      </c>
      <c r="E238" t="s" s="2">
        <v>17</v>
      </c>
      <c r="F238" t="s" s="2">
        <f>HYPERLINK("http://ts.21cn.com/tousu/show/id/1373910","http://ts.21cn.com/tousu/show/id/1373910")</f>
      </c>
      <c r="G238" t="s" s="2">
        <v>17</v>
      </c>
      <c r="H238" t="s" s="2">
        <v>19</v>
      </c>
      <c r="I238" t="s" s="2">
        <v>962</v>
      </c>
      <c r="J238" t="s" s="2">
        <v>963</v>
      </c>
      <c r="K238" t="s" s="2">
        <v>22</v>
      </c>
      <c r="L238" t="s" s="2">
        <v>22</v>
      </c>
      <c r="M238" t="s" s="2">
        <v>22</v>
      </c>
    </row>
    <row r="239" ht="25.0" customHeight="true">
      <c r="A239" t="s" s="2">
        <v>13</v>
      </c>
      <c r="B239" t="s" s="2">
        <f>HYPERLINK("http://ts.21cn.com/tousu/show/id/1373909","威胁恐吓")</f>
      </c>
      <c r="C239" t="s" s="2">
        <v>15</v>
      </c>
      <c r="D239" t="s" s="2">
        <v>16</v>
      </c>
      <c r="E239" t="s" s="2">
        <v>17</v>
      </c>
      <c r="F239" t="s" s="2">
        <f>HYPERLINK("http://ts.21cn.com/tousu/show/id/1373909","http://ts.21cn.com/tousu/show/id/1373909")</f>
      </c>
      <c r="G239" t="s" s="2">
        <v>17</v>
      </c>
      <c r="H239" t="s" s="2">
        <v>19</v>
      </c>
      <c r="I239" t="s" s="2">
        <v>966</v>
      </c>
      <c r="J239" t="s" s="2">
        <v>967</v>
      </c>
      <c r="K239" t="s" s="2">
        <v>22</v>
      </c>
      <c r="L239" t="s" s="2">
        <v>22</v>
      </c>
      <c r="M239" t="s" s="2">
        <v>22</v>
      </c>
    </row>
    <row r="240" ht="25.0" customHeight="true">
      <c r="A240" t="s" s="2">
        <v>13</v>
      </c>
      <c r="B240" t="s" s="2">
        <f>HYPERLINK("http://ts.21cn.com/tousu/show/id/1373907","打电话骚扰家人，一分钟一个电话催收骚扰，态度恶劣")</f>
      </c>
      <c r="C240" t="s" s="2">
        <v>15</v>
      </c>
      <c r="D240" t="s" s="2">
        <v>16</v>
      </c>
      <c r="E240" t="s" s="2">
        <v>17</v>
      </c>
      <c r="F240" t="s" s="2">
        <f>HYPERLINK("http://ts.21cn.com/tousu/show/id/1373907","http://ts.21cn.com/tousu/show/id/1373907")</f>
      </c>
      <c r="G240" t="s" s="2">
        <v>17</v>
      </c>
      <c r="H240" t="s" s="2">
        <v>19</v>
      </c>
      <c r="I240" t="s" s="2">
        <v>970</v>
      </c>
      <c r="J240" t="s" s="2">
        <v>971</v>
      </c>
      <c r="K240" t="s" s="2">
        <v>22</v>
      </c>
      <c r="L240" t="s" s="2">
        <v>22</v>
      </c>
      <c r="M240" t="s" s="2">
        <v>22</v>
      </c>
    </row>
    <row r="241" ht="25.0" customHeight="true">
      <c r="A241" t="s" s="2">
        <v>13</v>
      </c>
      <c r="B241" t="s" s="2">
        <f>HYPERLINK("http://ts.21cn.com/tousu/show/id/1373906","拍拍贷高利贷")</f>
      </c>
      <c r="C241" t="s" s="2">
        <v>15</v>
      </c>
      <c r="D241" t="s" s="2">
        <v>16</v>
      </c>
      <c r="E241" t="s" s="2">
        <v>17</v>
      </c>
      <c r="F241" t="s" s="2">
        <f>HYPERLINK("http://ts.21cn.com/tousu/show/id/1373906","http://ts.21cn.com/tousu/show/id/1373906")</f>
      </c>
      <c r="G241" t="s" s="2">
        <v>17</v>
      </c>
      <c r="H241" t="s" s="2">
        <v>19</v>
      </c>
      <c r="I241" t="s" s="2">
        <v>973</v>
      </c>
      <c r="J241" t="s" s="2">
        <v>974</v>
      </c>
      <c r="K241" t="s" s="2">
        <v>22</v>
      </c>
      <c r="L241" t="s" s="2">
        <v>22</v>
      </c>
      <c r="M241" t="s" s="2">
        <v>22</v>
      </c>
    </row>
    <row r="242" ht="25.0" customHeight="true">
      <c r="A242" t="s" s="2">
        <v>13</v>
      </c>
      <c r="B242" t="s" s="2">
        <f>HYPERLINK("http://ts.21cn.com/tousu/show/id/1373905","暴力催收，恐吓，威胁，骚扰，群发短信")</f>
      </c>
      <c r="C242" t="s" s="2">
        <v>15</v>
      </c>
      <c r="D242" t="s" s="2">
        <v>16</v>
      </c>
      <c r="E242" t="s" s="2">
        <v>17</v>
      </c>
      <c r="F242" t="s" s="2">
        <f>HYPERLINK("http://ts.21cn.com/tousu/show/id/1373905","http://ts.21cn.com/tousu/show/id/1373905")</f>
      </c>
      <c r="G242" t="s" s="2">
        <v>17</v>
      </c>
      <c r="H242" t="s" s="2">
        <v>19</v>
      </c>
      <c r="I242" t="s" s="2">
        <v>977</v>
      </c>
      <c r="J242" t="s" s="2">
        <v>978</v>
      </c>
      <c r="K242" t="s" s="2">
        <v>22</v>
      </c>
      <c r="L242" t="s" s="2">
        <v>22</v>
      </c>
      <c r="M242" t="s" s="2">
        <v>22</v>
      </c>
    </row>
    <row r="243" ht="25.0" customHeight="true">
      <c r="A243" t="s" s="2">
        <v>13</v>
      </c>
      <c r="B243" t="s" s="2">
        <f>HYPERLINK("http://ts.21cn.com/tousu/show/id/1373679","淘宝购买iphoneXSMAX美版无锁不良商家以有锁机替代无锁机")</f>
      </c>
      <c r="C243" t="s" s="2">
        <v>15</v>
      </c>
      <c r="D243" t="s" s="2">
        <v>16</v>
      </c>
      <c r="E243" t="s" s="2">
        <v>17</v>
      </c>
      <c r="F243" t="s" s="2">
        <f>HYPERLINK("http://ts.21cn.com/tousu/show/id/1373679","http://ts.21cn.com/tousu/show/id/1373679")</f>
      </c>
      <c r="G243" t="s" s="2">
        <v>17</v>
      </c>
      <c r="H243" t="s" s="2">
        <v>19</v>
      </c>
      <c r="I243" t="s" s="2">
        <v>981</v>
      </c>
      <c r="J243" t="s" s="2">
        <v>982</v>
      </c>
      <c r="K243" t="s" s="2">
        <v>22</v>
      </c>
      <c r="L243" t="s" s="2">
        <v>22</v>
      </c>
      <c r="M243" t="s" s="2">
        <v>22</v>
      </c>
    </row>
    <row r="244" ht="25.0" customHeight="true">
      <c r="A244" t="s" s="2">
        <v>13</v>
      </c>
      <c r="B244" t="s" s="2">
        <f>HYPERLINK("http://ts.21cn.com/tousu/show/id/1373903","钱橙无忧随意扣费")</f>
      </c>
      <c r="C244" t="s" s="2">
        <v>52</v>
      </c>
      <c r="D244" t="s" s="2">
        <v>16</v>
      </c>
      <c r="E244" t="s" s="2">
        <v>17</v>
      </c>
      <c r="F244" t="s" s="2">
        <f>HYPERLINK("http://ts.21cn.com/tousu/show/id/1373903","http://ts.21cn.com/tousu/show/id/1373903")</f>
      </c>
      <c r="G244" t="s" s="2">
        <v>17</v>
      </c>
      <c r="H244" t="s" s="2">
        <v>19</v>
      </c>
      <c r="I244" t="s" s="2">
        <v>985</v>
      </c>
      <c r="J244" t="s" s="2">
        <v>986</v>
      </c>
      <c r="K244" t="s" s="2">
        <v>22</v>
      </c>
      <c r="L244" t="s" s="2">
        <v>22</v>
      </c>
      <c r="M244" t="s" s="2">
        <v>22</v>
      </c>
    </row>
    <row r="245" ht="25.0" customHeight="true">
      <c r="A245" t="s" s="2">
        <v>13</v>
      </c>
      <c r="B245" t="s" s="2">
        <f>HYPERLINK("http://ts.21cn.com/tousu/show/id/1373904","聚福钱包私自扣费")</f>
      </c>
      <c r="C245" t="s" s="2">
        <v>15</v>
      </c>
      <c r="D245" t="s" s="2">
        <v>16</v>
      </c>
      <c r="E245" t="s" s="2">
        <v>17</v>
      </c>
      <c r="F245" t="s" s="2">
        <f>HYPERLINK("http://ts.21cn.com/tousu/show/id/1373904","http://ts.21cn.com/tousu/show/id/1373904")</f>
      </c>
      <c r="G245" t="s" s="2">
        <v>17</v>
      </c>
      <c r="H245" t="s" s="2">
        <v>19</v>
      </c>
      <c r="I245" t="s" s="2">
        <v>985</v>
      </c>
      <c r="J245" t="s" s="2">
        <v>989</v>
      </c>
      <c r="K245" t="s" s="2">
        <v>22</v>
      </c>
      <c r="L245" t="s" s="2">
        <v>22</v>
      </c>
      <c r="M245" t="s" s="2">
        <v>22</v>
      </c>
    </row>
    <row r="246" ht="25.0" customHeight="true">
      <c r="A246" t="s" s="2">
        <v>13</v>
      </c>
      <c r="B246" t="s" s="2">
        <f>HYPERLINK("http://ts.21cn.com/tousu/show/id/1373902","闪电借款暴力催收恶意骚扰联系人")</f>
      </c>
      <c r="C246" t="s" s="2">
        <v>15</v>
      </c>
      <c r="D246" t="s" s="2">
        <v>16</v>
      </c>
      <c r="E246" t="s" s="2">
        <v>17</v>
      </c>
      <c r="F246" t="s" s="2">
        <f>HYPERLINK("http://ts.21cn.com/tousu/show/id/1373902","http://ts.21cn.com/tousu/show/id/1373902")</f>
      </c>
      <c r="G246" t="s" s="2">
        <v>17</v>
      </c>
      <c r="H246" t="s" s="2">
        <v>19</v>
      </c>
      <c r="I246" t="s" s="2">
        <v>992</v>
      </c>
      <c r="J246" t="s" s="2">
        <v>993</v>
      </c>
      <c r="K246" t="s" s="2">
        <v>22</v>
      </c>
      <c r="L246" t="s" s="2">
        <v>22</v>
      </c>
      <c r="M246" t="s" s="2">
        <v>22</v>
      </c>
    </row>
    <row r="247" ht="25.0" customHeight="true">
      <c r="A247" t="s" s="2">
        <v>13</v>
      </c>
      <c r="B247" t="s" s="2">
        <f>HYPERLINK("http://ts.21cn.com/tousu/show/id/1373901","捷信金融公司收取工本费用之后，以账户被冻结不放款，还不退还工本费。")</f>
      </c>
      <c r="C247" t="s" s="2">
        <v>15</v>
      </c>
      <c r="D247" t="s" s="2">
        <v>16</v>
      </c>
      <c r="E247" t="s" s="2">
        <v>17</v>
      </c>
      <c r="F247" t="s" s="2">
        <f>HYPERLINK("http://ts.21cn.com/tousu/show/id/1373901","http://ts.21cn.com/tousu/show/id/1373901")</f>
      </c>
      <c r="G247" t="s" s="2">
        <v>17</v>
      </c>
      <c r="H247" t="s" s="2">
        <v>19</v>
      </c>
      <c r="I247" t="s" s="2">
        <v>996</v>
      </c>
      <c r="J247" t="s" s="2">
        <v>997</v>
      </c>
      <c r="K247" t="s" s="2">
        <v>22</v>
      </c>
      <c r="L247" t="s" s="2">
        <v>22</v>
      </c>
      <c r="M247" t="s" s="2">
        <v>22</v>
      </c>
    </row>
    <row r="248" ht="25.0" customHeight="true">
      <c r="A248" t="s" s="2">
        <v>13</v>
      </c>
      <c r="B248" t="s" s="2">
        <f>HYPERLINK("http://ts.21cn.com/tousu/show/id/1373900","马上金融打电话第三方上门催收爆通讯录给亲戚朋友打电话")</f>
      </c>
      <c r="C248" t="s" s="2">
        <v>15</v>
      </c>
      <c r="D248" t="s" s="2">
        <v>16</v>
      </c>
      <c r="E248" t="s" s="2">
        <v>17</v>
      </c>
      <c r="F248" t="s" s="2">
        <f>HYPERLINK("http://ts.21cn.com/tousu/show/id/1373900","http://ts.21cn.com/tousu/show/id/1373900")</f>
      </c>
      <c r="G248" t="s" s="2">
        <v>17</v>
      </c>
      <c r="H248" t="s" s="2">
        <v>19</v>
      </c>
      <c r="I248" t="s" s="2">
        <v>1000</v>
      </c>
      <c r="J248" t="s" s="2">
        <v>1001</v>
      </c>
      <c r="K248" t="s" s="2">
        <v>22</v>
      </c>
      <c r="L248" t="s" s="2">
        <v>22</v>
      </c>
      <c r="M248" t="s" s="2">
        <v>22</v>
      </c>
    </row>
    <row r="249" ht="25.0" customHeight="true">
      <c r="A249" t="s" s="2">
        <v>13</v>
      </c>
      <c r="B249" t="s" s="2">
        <f>HYPERLINK("http://ts.21cn.com/tousu/show/id/1373899","维信卡卡贷涉嫌高利率和砍头息")</f>
      </c>
      <c r="C249" t="s" s="2">
        <v>15</v>
      </c>
      <c r="D249" t="s" s="2">
        <v>16</v>
      </c>
      <c r="E249" t="s" s="2">
        <v>17</v>
      </c>
      <c r="F249" t="s" s="2">
        <f>HYPERLINK("http://ts.21cn.com/tousu/show/id/1373899","http://ts.21cn.com/tousu/show/id/1373899")</f>
      </c>
      <c r="G249" t="s" s="2">
        <v>17</v>
      </c>
      <c r="H249" t="s" s="2">
        <v>19</v>
      </c>
      <c r="I249" t="s" s="2">
        <v>1004</v>
      </c>
      <c r="J249" t="s" s="2">
        <v>1005</v>
      </c>
      <c r="K249" t="s" s="2">
        <v>22</v>
      </c>
      <c r="L249" t="s" s="2">
        <v>22</v>
      </c>
      <c r="M249" t="s" s="2">
        <v>22</v>
      </c>
    </row>
    <row r="250" ht="25.0" customHeight="true">
      <c r="A250" t="s" s="2">
        <v>13</v>
      </c>
      <c r="B250" t="s" s="2">
        <f>HYPERLINK("http://ts.21cn.com/tousu/show/id/1373896","罗汉分期私自扣所谓的会员费")</f>
      </c>
      <c r="C250" t="s" s="2">
        <v>15</v>
      </c>
      <c r="D250" t="s" s="2">
        <v>16</v>
      </c>
      <c r="E250" t="s" s="2">
        <v>17</v>
      </c>
      <c r="F250" t="s" s="2">
        <f>HYPERLINK("http://ts.21cn.com/tousu/show/id/1373896","http://ts.21cn.com/tousu/show/id/1373896")</f>
      </c>
      <c r="G250" t="s" s="2">
        <v>17</v>
      </c>
      <c r="H250" t="s" s="2">
        <v>19</v>
      </c>
      <c r="I250" t="s" s="2">
        <v>1008</v>
      </c>
      <c r="J250" t="s" s="2">
        <v>1009</v>
      </c>
      <c r="K250" t="s" s="2">
        <v>22</v>
      </c>
      <c r="L250" t="s" s="2">
        <v>22</v>
      </c>
      <c r="M250" t="s" s="2">
        <v>22</v>
      </c>
    </row>
    <row r="251" ht="25.0" customHeight="true">
      <c r="A251" t="s" s="2">
        <v>13</v>
      </c>
      <c r="B251" t="s" s="2">
        <f>HYPERLINK("http://ts.21cn.com/tousu/show/id/1373898","信而富套路货不解决")</f>
      </c>
      <c r="C251" t="s" s="2">
        <v>15</v>
      </c>
      <c r="D251" t="s" s="2">
        <v>16</v>
      </c>
      <c r="E251" t="s" s="2">
        <v>17</v>
      </c>
      <c r="F251" t="s" s="2">
        <f>HYPERLINK("http://ts.21cn.com/tousu/show/id/1373898","http://ts.21cn.com/tousu/show/id/1373898")</f>
      </c>
      <c r="G251" t="s" s="2">
        <v>17</v>
      </c>
      <c r="H251" t="s" s="2">
        <v>19</v>
      </c>
      <c r="I251" t="s" s="2">
        <v>1012</v>
      </c>
      <c r="J251" t="s" s="2">
        <v>1013</v>
      </c>
      <c r="K251" t="s" s="2">
        <v>22</v>
      </c>
      <c r="L251" t="s" s="2">
        <v>22</v>
      </c>
      <c r="M251" t="s" s="2">
        <v>22</v>
      </c>
    </row>
    <row r="252" ht="25.0" customHeight="true">
      <c r="A252" t="s" s="2">
        <v>13</v>
      </c>
      <c r="B252" t="s" s="2">
        <f>HYPERLINK("http://ts.21cn.com/tousu/show/id/1373897","投诉贷上钱要求停止骚扰")</f>
      </c>
      <c r="C252" t="s" s="2">
        <v>15</v>
      </c>
      <c r="D252" t="s" s="2">
        <v>16</v>
      </c>
      <c r="E252" t="s" s="2">
        <v>17</v>
      </c>
      <c r="F252" t="s" s="2">
        <f>HYPERLINK("http://ts.21cn.com/tousu/show/id/1373897","http://ts.21cn.com/tousu/show/id/1373897")</f>
      </c>
      <c r="G252" t="s" s="2">
        <v>17</v>
      </c>
      <c r="H252" t="s" s="2">
        <v>19</v>
      </c>
      <c r="I252" t="s" s="2">
        <v>1016</v>
      </c>
      <c r="J252" t="s" s="2">
        <v>1017</v>
      </c>
      <c r="K252" t="s" s="2">
        <v>22</v>
      </c>
      <c r="L252" t="s" s="2">
        <v>22</v>
      </c>
      <c r="M252" t="s" s="2">
        <v>22</v>
      </c>
    </row>
    <row r="253" ht="25.0" customHeight="true">
      <c r="A253" t="s" s="2">
        <v>13</v>
      </c>
      <c r="B253" t="s" s="2">
        <f>HYPERLINK("http://ts.21cn.com/tousu/show/id/1373895","暴力催收，骚扰")</f>
      </c>
      <c r="C253" t="s" s="2">
        <v>15</v>
      </c>
      <c r="D253" t="s" s="2">
        <v>16</v>
      </c>
      <c r="E253" t="s" s="2">
        <v>17</v>
      </c>
      <c r="F253" t="s" s="2">
        <f>HYPERLINK("http://ts.21cn.com/tousu/show/id/1373895","http://ts.21cn.com/tousu/show/id/1373895")</f>
      </c>
      <c r="G253" t="s" s="2">
        <v>17</v>
      </c>
      <c r="H253" t="s" s="2">
        <v>19</v>
      </c>
      <c r="I253" t="s" s="2">
        <v>1020</v>
      </c>
      <c r="J253" t="s" s="2">
        <v>1021</v>
      </c>
      <c r="K253" t="s" s="2">
        <v>22</v>
      </c>
      <c r="L253" t="s" s="2">
        <v>22</v>
      </c>
      <c r="M253" t="s" s="2">
        <v>22</v>
      </c>
    </row>
    <row r="254" ht="25.0" customHeight="true">
      <c r="A254" t="s" s="2">
        <v>13</v>
      </c>
      <c r="B254" t="s" s="2">
        <f>HYPERLINK("http://ts.21cn.com/tousu/show/id/1373837","冒充公检法进行骚扰")</f>
      </c>
      <c r="C254" t="s" s="2">
        <v>15</v>
      </c>
      <c r="D254" t="s" s="2">
        <v>16</v>
      </c>
      <c r="E254" t="s" s="2">
        <v>17</v>
      </c>
      <c r="F254" t="s" s="2">
        <f>HYPERLINK("http://ts.21cn.com/tousu/show/id/1373837","http://ts.21cn.com/tousu/show/id/1373837")</f>
      </c>
      <c r="G254" t="s" s="2">
        <v>17</v>
      </c>
      <c r="H254" t="s" s="2">
        <v>19</v>
      </c>
      <c r="I254" t="s" s="2">
        <v>1024</v>
      </c>
      <c r="J254" t="s" s="2">
        <v>1025</v>
      </c>
      <c r="K254" t="s" s="2">
        <v>22</v>
      </c>
      <c r="L254" t="s" s="2">
        <v>22</v>
      </c>
      <c r="M254" t="s" s="2">
        <v>22</v>
      </c>
    </row>
    <row r="255" ht="25.0" customHeight="true">
      <c r="A255" t="s" s="2">
        <v>13</v>
      </c>
      <c r="B255" t="s" s="2">
        <f>HYPERLINK("http://ts.21cn.com/tousu/show/id/1373893","水莲金条阴阳合同欺诈")</f>
      </c>
      <c r="C255" t="s" s="2">
        <v>15</v>
      </c>
      <c r="D255" t="s" s="2">
        <v>16</v>
      </c>
      <c r="E255" t="s" s="2">
        <v>17</v>
      </c>
      <c r="F255" t="s" s="2">
        <f>HYPERLINK("http://ts.21cn.com/tousu/show/id/1373893","http://ts.21cn.com/tousu/show/id/1373893")</f>
      </c>
      <c r="G255" t="s" s="2">
        <v>17</v>
      </c>
      <c r="H255" t="s" s="2">
        <v>19</v>
      </c>
      <c r="I255" t="s" s="2">
        <v>1028</v>
      </c>
      <c r="J255" t="s" s="2">
        <v>1029</v>
      </c>
      <c r="K255" t="s" s="2">
        <v>22</v>
      </c>
      <c r="L255" t="s" s="2">
        <v>22</v>
      </c>
      <c r="M255" t="s" s="2">
        <v>22</v>
      </c>
    </row>
    <row r="256" ht="25.0" customHeight="true">
      <c r="A256" t="s" s="2">
        <v>13</v>
      </c>
      <c r="B256" t="s" s="2">
        <f>HYPERLINK("http://ts.21cn.com/tousu/show/id/1373892","宜信宜人贷高额收取代款利息及砍头息5万多元")</f>
      </c>
      <c r="C256" t="s" s="2">
        <v>15</v>
      </c>
      <c r="D256" t="s" s="2">
        <v>16</v>
      </c>
      <c r="E256" t="s" s="2">
        <v>17</v>
      </c>
      <c r="F256" t="s" s="2">
        <f>HYPERLINK("http://ts.21cn.com/tousu/show/id/1373892","http://ts.21cn.com/tousu/show/id/1373892")</f>
      </c>
      <c r="G256" t="s" s="2">
        <v>17</v>
      </c>
      <c r="H256" t="s" s="2">
        <v>19</v>
      </c>
      <c r="I256" t="s" s="2">
        <v>1032</v>
      </c>
      <c r="J256" t="s" s="2">
        <v>1033</v>
      </c>
      <c r="K256" t="s" s="2">
        <v>22</v>
      </c>
      <c r="L256" t="s" s="2">
        <v>22</v>
      </c>
      <c r="M256" t="s" s="2">
        <v>22</v>
      </c>
    </row>
    <row r="257" ht="25.0" customHeight="true">
      <c r="A257" t="s" s="2">
        <v>13</v>
      </c>
      <c r="B257" t="s" s="2">
        <f>HYPERLINK("http://ts.21cn.com/tousu/show/id/1373891","app故障不能还款导致逾期，客服电话停机，QQ客服联系不到")</f>
      </c>
      <c r="C257" t="s" s="2">
        <v>15</v>
      </c>
      <c r="D257" t="s" s="2">
        <v>16</v>
      </c>
      <c r="E257" t="s" s="2">
        <v>17</v>
      </c>
      <c r="F257" t="s" s="2">
        <f>HYPERLINK("http://ts.21cn.com/tousu/show/id/1373891","http://ts.21cn.com/tousu/show/id/1373891")</f>
      </c>
      <c r="G257" t="s" s="2">
        <v>17</v>
      </c>
      <c r="H257" t="s" s="2">
        <v>19</v>
      </c>
      <c r="I257" t="s" s="2">
        <v>1036</v>
      </c>
      <c r="J257" t="s" s="2">
        <v>1037</v>
      </c>
      <c r="K257" t="s" s="2">
        <v>22</v>
      </c>
      <c r="L257" t="s" s="2">
        <v>22</v>
      </c>
      <c r="M257" t="s" s="2">
        <v>22</v>
      </c>
    </row>
    <row r="258" ht="25.0" customHeight="true">
      <c r="A258" t="s" s="2">
        <v>13</v>
      </c>
      <c r="B258" t="s" s="2">
        <f>HYPERLINK("http://ts.21cn.com/tousu/show/id/1373890","富有支付为现金巴士套路贷提供支付渠道")</f>
      </c>
      <c r="C258" t="s" s="2">
        <v>15</v>
      </c>
      <c r="D258" t="s" s="2">
        <v>16</v>
      </c>
      <c r="E258" t="s" s="2">
        <v>17</v>
      </c>
      <c r="F258" t="s" s="2">
        <f>HYPERLINK("http://ts.21cn.com/tousu/show/id/1373890","http://ts.21cn.com/tousu/show/id/1373890")</f>
      </c>
      <c r="G258" t="s" s="2">
        <v>17</v>
      </c>
      <c r="H258" t="s" s="2">
        <v>19</v>
      </c>
      <c r="I258" t="s" s="2">
        <v>1040</v>
      </c>
      <c r="J258" t="s" s="2">
        <v>1041</v>
      </c>
      <c r="K258" t="s" s="2">
        <v>22</v>
      </c>
      <c r="L258" t="s" s="2">
        <v>22</v>
      </c>
      <c r="M258" t="s" s="2">
        <v>22</v>
      </c>
    </row>
    <row r="259" ht="25.0" customHeight="true">
      <c r="A259" t="s" s="2">
        <v>13</v>
      </c>
      <c r="B259" t="s" s="2">
        <f>HYPERLINK("http://ts.21cn.com/tousu/show/id/1373868","虚假信息取报名费，希望得到解决退费")</f>
      </c>
      <c r="C259" t="s" s="2">
        <v>15</v>
      </c>
      <c r="D259" t="s" s="2">
        <v>16</v>
      </c>
      <c r="E259" t="s" s="2">
        <v>17</v>
      </c>
      <c r="F259" t="s" s="2">
        <f>HYPERLINK("http://ts.21cn.com/tousu/show/id/1373868","http://ts.21cn.com/tousu/show/id/1373868")</f>
      </c>
      <c r="G259" t="s" s="2">
        <v>17</v>
      </c>
      <c r="H259" t="s" s="2">
        <v>19</v>
      </c>
      <c r="I259" t="s" s="2">
        <v>1044</v>
      </c>
      <c r="J259" t="s" s="2">
        <v>1045</v>
      </c>
      <c r="K259" t="s" s="2">
        <v>22</v>
      </c>
      <c r="L259" t="s" s="2">
        <v>22</v>
      </c>
      <c r="M259" t="s" s="2">
        <v>22</v>
      </c>
    </row>
    <row r="260" ht="25.0" customHeight="true">
      <c r="A260" t="s" s="2">
        <v>13</v>
      </c>
      <c r="B260" t="s" s="2">
        <f>HYPERLINK("http://ts.21cn.com/tousu/show/id/1373889","快贷高利贷")</f>
      </c>
      <c r="C260" t="s" s="2">
        <v>15</v>
      </c>
      <c r="D260" t="s" s="2">
        <v>16</v>
      </c>
      <c r="E260" t="s" s="2">
        <v>17</v>
      </c>
      <c r="F260" t="s" s="2">
        <f>HYPERLINK("http://ts.21cn.com/tousu/show/id/1373889","http://ts.21cn.com/tousu/show/id/1373889")</f>
      </c>
      <c r="G260" t="s" s="2">
        <v>17</v>
      </c>
      <c r="H260" t="s" s="2">
        <v>19</v>
      </c>
      <c r="I260" t="s" s="2">
        <v>1048</v>
      </c>
      <c r="J260" t="s" s="2">
        <v>1049</v>
      </c>
      <c r="K260" t="s" s="2">
        <v>22</v>
      </c>
      <c r="L260" t="s" s="2">
        <v>22</v>
      </c>
      <c r="M260" t="s" s="2">
        <v>22</v>
      </c>
    </row>
    <row r="261" ht="25.0" customHeight="true">
      <c r="A261" t="s" s="2">
        <v>13</v>
      </c>
      <c r="B261" t="s" s="2">
        <f>HYPERLINK("http://ts.21cn.com/tousu/show/id/1373888","农业银行商城绿森供应商拒不发货，协商无果")</f>
      </c>
      <c r="C261" t="s" s="2">
        <v>15</v>
      </c>
      <c r="D261" t="s" s="2">
        <v>16</v>
      </c>
      <c r="E261" t="s" s="2">
        <v>17</v>
      </c>
      <c r="F261" t="s" s="2">
        <f>HYPERLINK("http://ts.21cn.com/tousu/show/id/1373888","http://ts.21cn.com/tousu/show/id/1373888")</f>
      </c>
      <c r="G261" t="s" s="2">
        <v>17</v>
      </c>
      <c r="H261" t="s" s="2">
        <v>19</v>
      </c>
      <c r="I261" t="s" s="2">
        <v>1052</v>
      </c>
      <c r="J261" t="s" s="2">
        <v>1053</v>
      </c>
      <c r="K261" t="s" s="2">
        <v>22</v>
      </c>
      <c r="L261" t="s" s="2">
        <v>22</v>
      </c>
      <c r="M261" t="s" s="2">
        <v>22</v>
      </c>
    </row>
    <row r="262" ht="25.0" customHeight="true">
      <c r="A262" t="s" s="2">
        <v>13</v>
      </c>
      <c r="B262" t="s" s="2">
        <f>HYPERLINK("http://ts.21cn.com/tousu/show/id/1373887","合同欺诈，私自扣款")</f>
      </c>
      <c r="C262" t="s" s="2">
        <v>15</v>
      </c>
      <c r="D262" t="s" s="2">
        <v>16</v>
      </c>
      <c r="E262" t="s" s="2">
        <v>17</v>
      </c>
      <c r="F262" t="s" s="2">
        <f>HYPERLINK("http://ts.21cn.com/tousu/show/id/1373887","http://ts.21cn.com/tousu/show/id/1373887")</f>
      </c>
      <c r="G262" t="s" s="2">
        <v>17</v>
      </c>
      <c r="H262" t="s" s="2">
        <v>19</v>
      </c>
      <c r="I262" t="s" s="2">
        <v>1056</v>
      </c>
      <c r="J262" t="s" s="2">
        <v>1057</v>
      </c>
      <c r="K262" t="s" s="2">
        <v>22</v>
      </c>
      <c r="L262" t="s" s="2">
        <v>22</v>
      </c>
      <c r="M262" t="s" s="2">
        <v>22</v>
      </c>
    </row>
    <row r="263" ht="25.0" customHeight="true">
      <c r="A263" t="s" s="2">
        <v>13</v>
      </c>
      <c r="B263" t="s" s="2">
        <f>HYPERLINK("http://ts.21cn.com/tousu/show/id/1373886","证据充分，今借到平台不处理")</f>
      </c>
      <c r="C263" t="s" s="2">
        <v>15</v>
      </c>
      <c r="D263" t="s" s="2">
        <v>16</v>
      </c>
      <c r="E263" t="s" s="2">
        <v>17</v>
      </c>
      <c r="F263" t="s" s="2">
        <f>HYPERLINK("http://ts.21cn.com/tousu/show/id/1373886","http://ts.21cn.com/tousu/show/id/1373886")</f>
      </c>
      <c r="G263" t="s" s="2">
        <v>17</v>
      </c>
      <c r="H263" t="s" s="2">
        <v>19</v>
      </c>
      <c r="I263" t="s" s="2">
        <v>1060</v>
      </c>
      <c r="J263" t="s" s="2">
        <v>1061</v>
      </c>
      <c r="K263" t="s" s="2">
        <v>22</v>
      </c>
      <c r="L263" t="s" s="2">
        <v>22</v>
      </c>
      <c r="M263" t="s" s="2">
        <v>22</v>
      </c>
    </row>
    <row r="264" ht="25.0" customHeight="true">
      <c r="A264" t="s" s="2">
        <v>13</v>
      </c>
      <c r="B264" t="s" s="2">
        <f>HYPERLINK("http://ts.21cn.com/tousu/show/id/1373885","交通银行暴力催收")</f>
      </c>
      <c r="C264" t="s" s="2">
        <v>15</v>
      </c>
      <c r="D264" t="s" s="2">
        <v>16</v>
      </c>
      <c r="E264" t="s" s="2">
        <v>17</v>
      </c>
      <c r="F264" t="s" s="2">
        <f>HYPERLINK("http://ts.21cn.com/tousu/show/id/1373885","http://ts.21cn.com/tousu/show/id/1373885")</f>
      </c>
      <c r="G264" t="s" s="2">
        <v>17</v>
      </c>
      <c r="H264" t="s" s="2">
        <v>19</v>
      </c>
      <c r="I264" t="s" s="2">
        <v>1064</v>
      </c>
      <c r="J264" t="s" s="2">
        <v>1065</v>
      </c>
      <c r="K264" t="s" s="2">
        <v>22</v>
      </c>
      <c r="L264" t="s" s="2">
        <v>22</v>
      </c>
      <c r="M264" t="s" s="2">
        <v>22</v>
      </c>
    </row>
    <row r="265" ht="25.0" customHeight="true">
      <c r="A265" t="s" s="2">
        <v>13</v>
      </c>
      <c r="B265" t="s" s="2">
        <f>HYPERLINK("http://ts.21cn.com/tousu/show/id/1373883","钱包易贷暴力催收不断打电话骚扰")</f>
      </c>
      <c r="C265" t="s" s="2">
        <v>15</v>
      </c>
      <c r="D265" t="s" s="2">
        <v>16</v>
      </c>
      <c r="E265" t="s" s="2">
        <v>17</v>
      </c>
      <c r="F265" t="s" s="2">
        <f>HYPERLINK("http://ts.21cn.com/tousu/show/id/1373883","http://ts.21cn.com/tousu/show/id/1373883")</f>
      </c>
      <c r="G265" t="s" s="2">
        <v>17</v>
      </c>
      <c r="H265" t="s" s="2">
        <v>19</v>
      </c>
      <c r="I265" t="s" s="2">
        <v>1068</v>
      </c>
      <c r="J265" t="s" s="2">
        <v>1069</v>
      </c>
      <c r="K265" t="s" s="2">
        <v>22</v>
      </c>
      <c r="L265" t="s" s="2">
        <v>22</v>
      </c>
      <c r="M265" t="s" s="2">
        <v>22</v>
      </c>
    </row>
    <row r="266" ht="25.0" customHeight="true">
      <c r="A266" t="s" s="2">
        <v>13</v>
      </c>
      <c r="B266" t="s" s="2">
        <f>HYPERLINK("http://ts.21cn.com/tousu/show/id/1373884","招商银行信用卡违约金罚息")</f>
      </c>
      <c r="C266" t="s" s="2">
        <v>15</v>
      </c>
      <c r="D266" t="s" s="2">
        <v>16</v>
      </c>
      <c r="E266" t="s" s="2">
        <v>17</v>
      </c>
      <c r="F266" t="s" s="2">
        <f>HYPERLINK("http://ts.21cn.com/tousu/show/id/1373884","http://ts.21cn.com/tousu/show/id/1373884")</f>
      </c>
      <c r="G266" t="s" s="2">
        <v>17</v>
      </c>
      <c r="H266" t="s" s="2">
        <v>19</v>
      </c>
      <c r="I266" t="s" s="2">
        <v>1072</v>
      </c>
      <c r="J266" t="s" s="2">
        <v>1073</v>
      </c>
      <c r="K266" t="s" s="2">
        <v>22</v>
      </c>
      <c r="L266" t="s" s="2">
        <v>22</v>
      </c>
      <c r="M266" t="s" s="2">
        <v>22</v>
      </c>
    </row>
    <row r="267" ht="25.0" customHeight="true">
      <c r="A267" t="s" s="2">
        <v>13</v>
      </c>
      <c r="B267" t="s" s="2">
        <f>HYPERLINK("http://ts.21cn.com/tousu/show/id/1373881","高利息泄露个人隐私")</f>
      </c>
      <c r="C267" t="s" s="2">
        <v>15</v>
      </c>
      <c r="D267" t="s" s="2">
        <v>16</v>
      </c>
      <c r="E267" t="s" s="2">
        <v>17</v>
      </c>
      <c r="F267" t="s" s="2">
        <f>HYPERLINK("http://ts.21cn.com/tousu/show/id/1373881","http://ts.21cn.com/tousu/show/id/1373881")</f>
      </c>
      <c r="G267" t="s" s="2">
        <v>17</v>
      </c>
      <c r="H267" t="s" s="2">
        <v>19</v>
      </c>
      <c r="I267" t="s" s="2">
        <v>1076</v>
      </c>
      <c r="J267" t="s" s="2">
        <v>1077</v>
      </c>
      <c r="K267" t="s" s="2">
        <v>22</v>
      </c>
      <c r="L267" t="s" s="2">
        <v>22</v>
      </c>
      <c r="M267" t="s" s="2">
        <v>22</v>
      </c>
    </row>
    <row r="268" ht="25.0" customHeight="true">
      <c r="A268" t="s" s="2">
        <v>13</v>
      </c>
      <c r="B268" t="s" s="2">
        <f>HYPERLINK("http://ts.21cn.com/tousu/show/id/1373880","交通银行信用卡第三方暴力催收")</f>
      </c>
      <c r="C268" t="s" s="2">
        <v>15</v>
      </c>
      <c r="D268" t="s" s="2">
        <v>16</v>
      </c>
      <c r="E268" t="s" s="2">
        <v>17</v>
      </c>
      <c r="F268" t="s" s="2">
        <f>HYPERLINK("http://ts.21cn.com/tousu/show/id/1373880","http://ts.21cn.com/tousu/show/id/1373880")</f>
      </c>
      <c r="G268" t="s" s="2">
        <v>17</v>
      </c>
      <c r="H268" t="s" s="2">
        <v>19</v>
      </c>
      <c r="I268" t="s" s="2">
        <v>1080</v>
      </c>
      <c r="J268" t="s" s="2">
        <v>1081</v>
      </c>
      <c r="K268" t="s" s="2">
        <v>22</v>
      </c>
      <c r="L268" t="s" s="2">
        <v>22</v>
      </c>
      <c r="M268" t="s" s="2">
        <v>22</v>
      </c>
    </row>
    <row r="269" ht="25.0" customHeight="true">
      <c r="A269" t="s" s="2">
        <v>13</v>
      </c>
      <c r="B269" t="s" s="2">
        <f>HYPERLINK("http://ts.21cn.com/tousu/show/id/1373878","聚福钱包未经许可私自扣款")</f>
      </c>
      <c r="C269" t="s" s="2">
        <v>15</v>
      </c>
      <c r="D269" t="s" s="2">
        <v>16</v>
      </c>
      <c r="E269" t="s" s="2">
        <v>17</v>
      </c>
      <c r="F269" t="s" s="2">
        <f>HYPERLINK("http://ts.21cn.com/tousu/show/id/1373878","http://ts.21cn.com/tousu/show/id/1373878")</f>
      </c>
      <c r="G269" t="s" s="2">
        <v>17</v>
      </c>
      <c r="H269" t="s" s="2">
        <v>19</v>
      </c>
      <c r="I269" t="s" s="2">
        <v>1084</v>
      </c>
      <c r="J269" t="s" s="2">
        <v>1085</v>
      </c>
      <c r="K269" t="s" s="2">
        <v>22</v>
      </c>
      <c r="L269" t="s" s="2">
        <v>22</v>
      </c>
      <c r="M269" t="s" s="2">
        <v>22</v>
      </c>
    </row>
    <row r="270" ht="25.0" customHeight="true">
      <c r="A270" t="s" s="2">
        <v>13</v>
      </c>
      <c r="B270" t="s" s="2">
        <f>HYPERLINK("http://ts.21cn.com/tousu/show/id/1373879","马上消费金融账单已还完，但是他们征信未给我征信，说我逾期，好久都不处理，现在联系不上人")</f>
      </c>
      <c r="C270" t="s" s="2">
        <v>15</v>
      </c>
      <c r="D270" t="s" s="2">
        <v>16</v>
      </c>
      <c r="E270" t="s" s="2">
        <v>17</v>
      </c>
      <c r="F270" t="s" s="2">
        <f>HYPERLINK("http://ts.21cn.com/tousu/show/id/1373879","http://ts.21cn.com/tousu/show/id/1373879")</f>
      </c>
      <c r="G270" t="s" s="2">
        <v>17</v>
      </c>
      <c r="H270" t="s" s="2">
        <v>19</v>
      </c>
      <c r="I270" t="s" s="2">
        <v>1088</v>
      </c>
      <c r="J270" t="s" s="2">
        <v>1089</v>
      </c>
      <c r="K270" t="s" s="2">
        <v>22</v>
      </c>
      <c r="L270" t="s" s="2">
        <v>22</v>
      </c>
      <c r="M270" t="s" s="2">
        <v>22</v>
      </c>
    </row>
    <row r="271" ht="25.0" customHeight="true">
      <c r="A271" t="s" s="2">
        <v>13</v>
      </c>
      <c r="B271" t="s" s="2">
        <f>HYPERLINK("http://ts.21cn.com/tousu/show/id/1373877","无故扣除卡内的钱")</f>
      </c>
      <c r="C271" t="s" s="2">
        <v>52</v>
      </c>
      <c r="D271" t="s" s="2">
        <v>16</v>
      </c>
      <c r="E271" t="s" s="2">
        <v>17</v>
      </c>
      <c r="F271" t="s" s="2">
        <f>HYPERLINK("http://ts.21cn.com/tousu/show/id/1373877","http://ts.21cn.com/tousu/show/id/1373877")</f>
      </c>
      <c r="G271" t="s" s="2">
        <v>17</v>
      </c>
      <c r="H271" t="s" s="2">
        <v>19</v>
      </c>
      <c r="I271" t="s" s="2">
        <v>1092</v>
      </c>
      <c r="J271" t="s" s="2">
        <v>1093</v>
      </c>
      <c r="K271" t="s" s="2">
        <v>22</v>
      </c>
      <c r="L271" t="s" s="2">
        <v>22</v>
      </c>
      <c r="M271" t="s" s="2">
        <v>22</v>
      </c>
    </row>
    <row r="272" ht="25.0" customHeight="true">
      <c r="A272" t="s" s="2">
        <v>13</v>
      </c>
      <c r="B272" t="s" s="2">
        <f>HYPERLINK("http://ts.21cn.com/tousu/show/id/1373876","利森林高利贷")</f>
      </c>
      <c r="C272" t="s" s="2">
        <v>15</v>
      </c>
      <c r="D272" t="s" s="2">
        <v>16</v>
      </c>
      <c r="E272" t="s" s="2">
        <v>17</v>
      </c>
      <c r="F272" t="s" s="2">
        <f>HYPERLINK("http://ts.21cn.com/tousu/show/id/1373876","http://ts.21cn.com/tousu/show/id/1373876")</f>
      </c>
      <c r="G272" t="s" s="2">
        <v>17</v>
      </c>
      <c r="H272" t="s" s="2">
        <v>19</v>
      </c>
      <c r="I272" t="s" s="2">
        <v>1096</v>
      </c>
      <c r="J272" t="s" s="2">
        <v>1097</v>
      </c>
      <c r="K272" t="s" s="2">
        <v>22</v>
      </c>
      <c r="L272" t="s" s="2">
        <v>22</v>
      </c>
      <c r="M272" t="s" s="2">
        <v>22</v>
      </c>
    </row>
    <row r="273" ht="25.0" customHeight="true">
      <c r="A273" t="s" s="2">
        <v>13</v>
      </c>
      <c r="B273" t="s" s="2">
        <f>HYPERLINK("http://ts.21cn.com/tousu/show/id/1373874","立借欺诈合同")</f>
      </c>
      <c r="C273" t="s" s="2">
        <v>15</v>
      </c>
      <c r="D273" t="s" s="2">
        <v>16</v>
      </c>
      <c r="E273" t="s" s="2">
        <v>17</v>
      </c>
      <c r="F273" t="s" s="2">
        <f>HYPERLINK("http://ts.21cn.com/tousu/show/id/1373874","http://ts.21cn.com/tousu/show/id/1373874")</f>
      </c>
      <c r="G273" t="s" s="2">
        <v>17</v>
      </c>
      <c r="H273" t="s" s="2">
        <v>19</v>
      </c>
      <c r="I273" t="s" s="2">
        <v>1100</v>
      </c>
      <c r="J273" t="s" s="2">
        <v>1101</v>
      </c>
      <c r="K273" t="s" s="2">
        <v>22</v>
      </c>
      <c r="L273" t="s" s="2">
        <v>22</v>
      </c>
      <c r="M273" t="s" s="2">
        <v>22</v>
      </c>
    </row>
    <row r="274" ht="25.0" customHeight="true">
      <c r="A274" t="s" s="2">
        <v>13</v>
      </c>
      <c r="B274" t="s" s="2">
        <f>HYPERLINK("http://ts.21cn.com/tousu/show/id/1373873","要求退款")</f>
      </c>
      <c r="C274" t="s" s="2">
        <v>52</v>
      </c>
      <c r="D274" t="s" s="2">
        <v>16</v>
      </c>
      <c r="E274" t="s" s="2">
        <v>17</v>
      </c>
      <c r="F274" t="s" s="2">
        <f>HYPERLINK("http://ts.21cn.com/tousu/show/id/1373873","http://ts.21cn.com/tousu/show/id/1373873")</f>
      </c>
      <c r="G274" t="s" s="2">
        <v>17</v>
      </c>
      <c r="H274" t="s" s="2">
        <v>19</v>
      </c>
      <c r="I274" t="s" s="2">
        <v>1104</v>
      </c>
      <c r="J274" t="s" s="2">
        <v>1105</v>
      </c>
      <c r="K274" t="s" s="2">
        <v>22</v>
      </c>
      <c r="L274" t="s" s="2">
        <v>22</v>
      </c>
      <c r="M274" t="s" s="2">
        <v>22</v>
      </c>
    </row>
    <row r="275" ht="25.0" customHeight="true">
      <c r="A275" t="s" s="2">
        <v>13</v>
      </c>
      <c r="B275" t="s" s="2">
        <f>HYPERLINK("http://ts.21cn.com/tousu/show/id/1373872","广州合利宝为蜂窝钱包高利贷平台提供支付通道要求退还砍头息")</f>
      </c>
      <c r="C275" t="s" s="2">
        <v>15</v>
      </c>
      <c r="D275" t="s" s="2">
        <v>16</v>
      </c>
      <c r="E275" t="s" s="2">
        <v>17</v>
      </c>
      <c r="F275" t="s" s="2">
        <f>HYPERLINK("http://ts.21cn.com/tousu/show/id/1373872","http://ts.21cn.com/tousu/show/id/1373872")</f>
      </c>
      <c r="G275" t="s" s="2">
        <v>17</v>
      </c>
      <c r="H275" t="s" s="2">
        <v>19</v>
      </c>
      <c r="I275" t="s" s="2">
        <v>1108</v>
      </c>
      <c r="J275" t="s" s="2">
        <v>1109</v>
      </c>
      <c r="K275" t="s" s="2">
        <v>22</v>
      </c>
      <c r="L275" t="s" s="2">
        <v>22</v>
      </c>
      <c r="M275" t="s" s="2">
        <v>22</v>
      </c>
    </row>
    <row r="276" ht="25.0" customHeight="true">
      <c r="A276" t="s" s="2">
        <v>13</v>
      </c>
      <c r="B276" t="s" s="2">
        <f>HYPERLINK("http://ts.21cn.com/tousu/show/id/1373870","快递将我1089的商品丢失只赔80元")</f>
      </c>
      <c r="C276" t="s" s="2">
        <v>15</v>
      </c>
      <c r="D276" t="s" s="2">
        <v>16</v>
      </c>
      <c r="E276" t="s" s="2">
        <v>17</v>
      </c>
      <c r="F276" t="s" s="2">
        <f>HYPERLINK("http://ts.21cn.com/tousu/show/id/1373870","http://ts.21cn.com/tousu/show/id/1373870")</f>
      </c>
      <c r="G276" t="s" s="2">
        <v>17</v>
      </c>
      <c r="H276" t="s" s="2">
        <v>19</v>
      </c>
      <c r="I276" t="s" s="2">
        <v>1112</v>
      </c>
      <c r="J276" t="s" s="2">
        <v>1113</v>
      </c>
      <c r="K276" t="s" s="2">
        <v>22</v>
      </c>
      <c r="L276" t="s" s="2">
        <v>22</v>
      </c>
      <c r="M276" t="s" s="2">
        <v>22</v>
      </c>
    </row>
    <row r="277" ht="25.0" customHeight="true">
      <c r="A277" t="s" s="2">
        <v>13</v>
      </c>
      <c r="B277" t="s" s="2">
        <f>HYPERLINK("http://ts.21cn.com/tousu/show/id/1373867","闪电借款黑卡套路砍头息")</f>
      </c>
      <c r="C277" t="s" s="2">
        <v>15</v>
      </c>
      <c r="D277" t="s" s="2">
        <v>16</v>
      </c>
      <c r="E277" t="s" s="2">
        <v>17</v>
      </c>
      <c r="F277" t="s" s="2">
        <f>HYPERLINK("http://ts.21cn.com/tousu/show/id/1373867","http://ts.21cn.com/tousu/show/id/1373867")</f>
      </c>
      <c r="G277" t="s" s="2">
        <v>17</v>
      </c>
      <c r="H277" t="s" s="2">
        <v>19</v>
      </c>
      <c r="I277" t="s" s="2">
        <v>1116</v>
      </c>
      <c r="J277" t="s" s="2">
        <v>1117</v>
      </c>
      <c r="K277" t="s" s="2">
        <v>22</v>
      </c>
      <c r="L277" t="s" s="2">
        <v>22</v>
      </c>
      <c r="M277" t="s" s="2">
        <v>22</v>
      </c>
    </row>
    <row r="278" ht="25.0" customHeight="true">
      <c r="A278" t="s" s="2">
        <v>13</v>
      </c>
      <c r="B278" t="s" s="2">
        <f>HYPERLINK("http://ts.21cn.com/tousu/show/id/1373869","厚钱包，现在叫后助手。名义存管厦门银行放高炮。目前订单已经无法查看。")</f>
      </c>
      <c r="C278" t="s" s="2">
        <v>15</v>
      </c>
      <c r="D278" t="s" s="2">
        <v>16</v>
      </c>
      <c r="E278" t="s" s="2">
        <v>17</v>
      </c>
      <c r="F278" t="s" s="2">
        <f>HYPERLINK("http://ts.21cn.com/tousu/show/id/1373869","http://ts.21cn.com/tousu/show/id/1373869")</f>
      </c>
      <c r="G278" t="s" s="2">
        <v>17</v>
      </c>
      <c r="H278" t="s" s="2">
        <v>19</v>
      </c>
      <c r="I278" t="s" s="2">
        <v>1120</v>
      </c>
      <c r="J278" t="s" s="2">
        <v>1121</v>
      </c>
      <c r="K278" t="s" s="2">
        <v>22</v>
      </c>
      <c r="L278" t="s" s="2">
        <v>22</v>
      </c>
      <c r="M278" t="s" s="2">
        <v>22</v>
      </c>
    </row>
    <row r="279" ht="25.0" customHeight="true">
      <c r="A279" t="s" s="2">
        <v>13</v>
      </c>
      <c r="B279" t="s" s="2">
        <f>HYPERLINK("http://ts.21cn.com/tousu/show/id/1373866","没在好享化借钱却被要求还款")</f>
      </c>
      <c r="C279" t="s" s="2">
        <v>15</v>
      </c>
      <c r="D279" t="s" s="2">
        <v>16</v>
      </c>
      <c r="E279" t="s" s="2">
        <v>17</v>
      </c>
      <c r="F279" t="s" s="2">
        <f>HYPERLINK("http://ts.21cn.com/tousu/show/id/1373866","http://ts.21cn.com/tousu/show/id/1373866")</f>
      </c>
      <c r="G279" t="s" s="2">
        <v>17</v>
      </c>
      <c r="H279" t="s" s="2">
        <v>19</v>
      </c>
      <c r="I279" t="s" s="2">
        <v>1124</v>
      </c>
      <c r="J279" t="s" s="2">
        <v>1125</v>
      </c>
      <c r="K279" t="s" s="2">
        <v>22</v>
      </c>
      <c r="L279" t="s" s="2">
        <v>22</v>
      </c>
      <c r="M279" t="s" s="2">
        <v>22</v>
      </c>
    </row>
    <row r="280" ht="25.0" customHeight="true">
      <c r="A280" t="s" s="2">
        <v>13</v>
      </c>
      <c r="B280" t="s" s="2">
        <f>HYPERLINK("http://ts.21cn.com/tousu/show/id/1373865","你我贷暴力催收")</f>
      </c>
      <c r="C280" t="s" s="2">
        <v>15</v>
      </c>
      <c r="D280" t="s" s="2">
        <v>16</v>
      </c>
      <c r="E280" t="s" s="2">
        <v>17</v>
      </c>
      <c r="F280" t="s" s="2">
        <f>HYPERLINK("http://ts.21cn.com/tousu/show/id/1373865","http://ts.21cn.com/tousu/show/id/1373865")</f>
      </c>
      <c r="G280" t="s" s="2">
        <v>17</v>
      </c>
      <c r="H280" t="s" s="2">
        <v>19</v>
      </c>
      <c r="I280" t="s" s="2">
        <v>1128</v>
      </c>
      <c r="J280" t="s" s="2">
        <v>1129</v>
      </c>
      <c r="K280" t="s" s="2">
        <v>22</v>
      </c>
      <c r="L280" t="s" s="2">
        <v>22</v>
      </c>
      <c r="M280" t="s" s="2">
        <v>22</v>
      </c>
    </row>
    <row r="281" ht="25.0" customHeight="true">
      <c r="A281" t="s" s="2">
        <v>13</v>
      </c>
      <c r="B281" t="s" s="2">
        <f>HYPERLINK("http://ts.21cn.com/tousu/show/id/1373864","微博借钱高利贷")</f>
      </c>
      <c r="C281" t="s" s="2">
        <v>15</v>
      </c>
      <c r="D281" t="s" s="2">
        <v>16</v>
      </c>
      <c r="E281" t="s" s="2">
        <v>17</v>
      </c>
      <c r="F281" t="s" s="2">
        <f>HYPERLINK("http://ts.21cn.com/tousu/show/id/1373864","http://ts.21cn.com/tousu/show/id/1373864")</f>
      </c>
      <c r="G281" t="s" s="2">
        <v>17</v>
      </c>
      <c r="H281" t="s" s="2">
        <v>19</v>
      </c>
      <c r="I281" t="s" s="2">
        <v>1132</v>
      </c>
      <c r="J281" t="s" s="2">
        <v>1133</v>
      </c>
      <c r="K281" t="s" s="2">
        <v>22</v>
      </c>
      <c r="L281" t="s" s="2">
        <v>22</v>
      </c>
      <c r="M281" t="s" s="2">
        <v>22</v>
      </c>
    </row>
    <row r="282" ht="25.0" customHeight="true">
      <c r="A282" t="s" s="2">
        <v>13</v>
      </c>
      <c r="B282" t="s" s="2">
        <f>HYPERLINK("http://ts.21cn.com/tousu/show/id/1373863","爆通讯录泄露个人信息辱骂他人软暴力")</f>
      </c>
      <c r="C282" t="s" s="2">
        <v>15</v>
      </c>
      <c r="D282" t="s" s="2">
        <v>16</v>
      </c>
      <c r="E282" t="s" s="2">
        <v>17</v>
      </c>
      <c r="F282" t="s" s="2">
        <f>HYPERLINK("http://ts.21cn.com/tousu/show/id/1373863","http://ts.21cn.com/tousu/show/id/1373863")</f>
      </c>
      <c r="G282" t="s" s="2">
        <v>17</v>
      </c>
      <c r="H282" t="s" s="2">
        <v>19</v>
      </c>
      <c r="I282" t="s" s="2">
        <v>1136</v>
      </c>
      <c r="J282" t="s" s="2">
        <v>1137</v>
      </c>
      <c r="K282" t="s" s="2">
        <v>22</v>
      </c>
      <c r="L282" t="s" s="2">
        <v>22</v>
      </c>
      <c r="M282" t="s" s="2">
        <v>22</v>
      </c>
    </row>
    <row r="283" ht="25.0" customHeight="true">
      <c r="A283" t="s" s="2">
        <v>13</v>
      </c>
      <c r="B283" t="s" s="2">
        <f>HYPERLINK("http://ts.21cn.com/tousu/show/id/1373862","闪电借款纵容第三方暴力催收不约束")</f>
      </c>
      <c r="C283" t="s" s="2">
        <v>15</v>
      </c>
      <c r="D283" t="s" s="2">
        <v>16</v>
      </c>
      <c r="E283" t="s" s="2">
        <v>17</v>
      </c>
      <c r="F283" t="s" s="2">
        <f>HYPERLINK("http://ts.21cn.com/tousu/show/id/1373862","http://ts.21cn.com/tousu/show/id/1373862")</f>
      </c>
      <c r="G283" t="s" s="2">
        <v>17</v>
      </c>
      <c r="H283" t="s" s="2">
        <v>19</v>
      </c>
      <c r="I283" t="s" s="2">
        <v>1140</v>
      </c>
      <c r="J283" t="s" s="2">
        <v>1141</v>
      </c>
      <c r="K283" t="s" s="2">
        <v>22</v>
      </c>
      <c r="L283" t="s" s="2">
        <v>22</v>
      </c>
      <c r="M283" t="s" s="2">
        <v>22</v>
      </c>
    </row>
    <row r="284" ht="25.0" customHeight="true">
      <c r="A284" t="s" s="2">
        <v>13</v>
      </c>
      <c r="B284" t="s" s="2">
        <f>HYPERLINK("http://ts.21cn.com/tousu/show/id/1373861","同程旅游变相收取砍头息希望有关部门重视")</f>
      </c>
      <c r="C284" t="s" s="2">
        <v>15</v>
      </c>
      <c r="D284" t="s" s="2">
        <v>16</v>
      </c>
      <c r="E284" t="s" s="2">
        <v>17</v>
      </c>
      <c r="F284" t="s" s="2">
        <f>HYPERLINK("http://ts.21cn.com/tousu/show/id/1373861","http://ts.21cn.com/tousu/show/id/1373861")</f>
      </c>
      <c r="G284" t="s" s="2">
        <v>17</v>
      </c>
      <c r="H284" t="s" s="2">
        <v>19</v>
      </c>
      <c r="I284" t="s" s="2">
        <v>1144</v>
      </c>
      <c r="J284" t="s" s="2">
        <v>1145</v>
      </c>
      <c r="K284" t="s" s="2">
        <v>22</v>
      </c>
      <c r="L284" t="s" s="2">
        <v>22</v>
      </c>
      <c r="M284" t="s" s="2">
        <v>22</v>
      </c>
    </row>
    <row r="285" ht="25.0" customHeight="true">
      <c r="A285" t="s" s="2">
        <v>13</v>
      </c>
      <c r="B285" t="s" s="2">
        <f>HYPERLINK("http://ts.21cn.com/tousu/show/id/1373859","苏宁消费金融催收暴力")</f>
      </c>
      <c r="C285" t="s" s="2">
        <v>15</v>
      </c>
      <c r="D285" t="s" s="2">
        <v>16</v>
      </c>
      <c r="E285" t="s" s="2">
        <v>17</v>
      </c>
      <c r="F285" t="s" s="2">
        <f>HYPERLINK("http://ts.21cn.com/tousu/show/id/1373859","http://ts.21cn.com/tousu/show/id/1373859")</f>
      </c>
      <c r="G285" t="s" s="2">
        <v>17</v>
      </c>
      <c r="H285" t="s" s="2">
        <v>19</v>
      </c>
      <c r="I285" t="s" s="2">
        <v>1148</v>
      </c>
      <c r="J285" t="s" s="2">
        <v>1149</v>
      </c>
      <c r="K285" t="s" s="2">
        <v>22</v>
      </c>
      <c r="L285" t="s" s="2">
        <v>22</v>
      </c>
      <c r="M285" t="s" s="2">
        <v>22</v>
      </c>
    </row>
    <row r="286" ht="25.0" customHeight="true">
      <c r="A286" t="s" s="2">
        <v>13</v>
      </c>
      <c r="B286" t="s" s="2">
        <f>HYPERLINK("http://ts.21cn.com/tousu/show/id/1373860","投诉前站")</f>
      </c>
      <c r="C286" t="s" s="2">
        <v>15</v>
      </c>
      <c r="D286" t="s" s="2">
        <v>16</v>
      </c>
      <c r="E286" t="s" s="2">
        <v>17</v>
      </c>
      <c r="F286" t="s" s="2">
        <f>HYPERLINK("http://ts.21cn.com/tousu/show/id/1373860","http://ts.21cn.com/tousu/show/id/1373860")</f>
      </c>
      <c r="G286" t="s" s="2">
        <v>17</v>
      </c>
      <c r="H286" t="s" s="2">
        <v>19</v>
      </c>
      <c r="I286" t="s" s="2">
        <v>1152</v>
      </c>
      <c r="J286" t="s" s="2">
        <v>1153</v>
      </c>
      <c r="K286" t="s" s="2">
        <v>22</v>
      </c>
      <c r="L286" t="s" s="2">
        <v>22</v>
      </c>
      <c r="M286" t="s" s="2">
        <v>22</v>
      </c>
    </row>
    <row r="287" ht="25.0" customHeight="true">
      <c r="A287" t="s" s="2">
        <v>13</v>
      </c>
      <c r="B287" t="s" s="2">
        <f>HYPERLINK("http://ts.21cn.com/tousu/show/id/1373858","飞花宝高额砍头息黑网贷爆通讯录威胁")</f>
      </c>
      <c r="C287" t="s" s="2">
        <v>15</v>
      </c>
      <c r="D287" t="s" s="2">
        <v>16</v>
      </c>
      <c r="E287" t="s" s="2">
        <v>17</v>
      </c>
      <c r="F287" t="s" s="2">
        <f>HYPERLINK("http://ts.21cn.com/tousu/show/id/1373858","http://ts.21cn.com/tousu/show/id/1373858")</f>
      </c>
      <c r="G287" t="s" s="2">
        <v>17</v>
      </c>
      <c r="H287" t="s" s="2">
        <v>19</v>
      </c>
      <c r="I287" t="s" s="2">
        <v>1156</v>
      </c>
      <c r="J287" t="s" s="2">
        <v>1157</v>
      </c>
      <c r="K287" t="s" s="2">
        <v>22</v>
      </c>
      <c r="L287" t="s" s="2">
        <v>22</v>
      </c>
      <c r="M287" t="s" s="2">
        <v>22</v>
      </c>
    </row>
    <row r="288" ht="25.0" customHeight="true">
      <c r="A288" t="s" s="2">
        <v>13</v>
      </c>
      <c r="B288" t="s" s="2">
        <f>HYPERLINK("http://ts.21cn.com/tousu/show/id/1373857","乐分期收取砍头息")</f>
      </c>
      <c r="C288" t="s" s="2">
        <v>52</v>
      </c>
      <c r="D288" t="s" s="2">
        <v>16</v>
      </c>
      <c r="E288" t="s" s="2">
        <v>17</v>
      </c>
      <c r="F288" t="s" s="2">
        <f>HYPERLINK("http://ts.21cn.com/tousu/show/id/1373857","http://ts.21cn.com/tousu/show/id/1373857")</f>
      </c>
      <c r="G288" t="s" s="2">
        <v>17</v>
      </c>
      <c r="H288" t="s" s="2">
        <v>19</v>
      </c>
      <c r="I288" t="s" s="2">
        <v>1160</v>
      </c>
      <c r="J288" t="s" s="2">
        <v>1161</v>
      </c>
      <c r="K288" t="s" s="2">
        <v>22</v>
      </c>
      <c r="L288" t="s" s="2">
        <v>22</v>
      </c>
      <c r="M288" t="s" s="2">
        <v>22</v>
      </c>
    </row>
    <row r="289" ht="25.0" customHeight="true">
      <c r="A289" t="s" s="2">
        <v>13</v>
      </c>
      <c r="B289" t="s" s="2">
        <f>HYPERLINK("http://ts.21cn.com/tousu/show/id/1373855","想你分期砍头息")</f>
      </c>
      <c r="C289" t="s" s="2">
        <v>52</v>
      </c>
      <c r="D289" t="s" s="2">
        <v>16</v>
      </c>
      <c r="E289" t="s" s="2">
        <v>17</v>
      </c>
      <c r="F289" t="s" s="2">
        <f>HYPERLINK("http://ts.21cn.com/tousu/show/id/1373855","http://ts.21cn.com/tousu/show/id/1373855")</f>
      </c>
      <c r="G289" t="s" s="2">
        <v>17</v>
      </c>
      <c r="H289" t="s" s="2">
        <v>19</v>
      </c>
      <c r="I289" t="s" s="2">
        <v>1164</v>
      </c>
      <c r="J289" t="s" s="2">
        <v>1165</v>
      </c>
      <c r="K289" t="s" s="2">
        <v>22</v>
      </c>
      <c r="L289" t="s" s="2">
        <v>22</v>
      </c>
      <c r="M289" t="s" s="2">
        <v>22</v>
      </c>
    </row>
    <row r="290" ht="25.0" customHeight="true">
      <c r="A290" t="s" s="2">
        <v>13</v>
      </c>
      <c r="B290" t="s" s="2">
        <f>HYPERLINK("http://ts.21cn.com/tousu/show/id/1373854","高利贷")</f>
      </c>
      <c r="C290" t="s" s="2">
        <v>15</v>
      </c>
      <c r="D290" t="s" s="2">
        <v>16</v>
      </c>
      <c r="E290" t="s" s="2">
        <v>17</v>
      </c>
      <c r="F290" t="s" s="2">
        <f>HYPERLINK("http://ts.21cn.com/tousu/show/id/1373854","http://ts.21cn.com/tousu/show/id/1373854")</f>
      </c>
      <c r="G290" t="s" s="2">
        <v>17</v>
      </c>
      <c r="H290" t="s" s="2">
        <v>19</v>
      </c>
      <c r="I290" t="s" s="2">
        <v>1167</v>
      </c>
      <c r="J290" t="s" s="2">
        <v>1168</v>
      </c>
      <c r="K290" t="s" s="2">
        <v>22</v>
      </c>
      <c r="L290" t="s" s="2">
        <v>22</v>
      </c>
      <c r="M290" t="s" s="2">
        <v>22</v>
      </c>
    </row>
    <row r="291" ht="25.0" customHeight="true">
      <c r="A291" t="s" s="2">
        <v>13</v>
      </c>
      <c r="B291" t="s" s="2">
        <f>HYPERLINK("http://ts.21cn.com/tousu/show/id/1373853","拍拍贷跟他说协商还款，就没有回复了")</f>
      </c>
      <c r="C291" t="s" s="2">
        <v>52</v>
      </c>
      <c r="D291" t="s" s="2">
        <v>16</v>
      </c>
      <c r="E291" t="s" s="2">
        <v>17</v>
      </c>
      <c r="F291" t="s" s="2">
        <f>HYPERLINK("http://ts.21cn.com/tousu/show/id/1373853","http://ts.21cn.com/tousu/show/id/1373853")</f>
      </c>
      <c r="G291" t="s" s="2">
        <v>17</v>
      </c>
      <c r="H291" t="s" s="2">
        <v>19</v>
      </c>
      <c r="I291" t="s" s="2">
        <v>1171</v>
      </c>
      <c r="J291" t="s" s="2">
        <v>1172</v>
      </c>
      <c r="K291" t="s" s="2">
        <v>22</v>
      </c>
      <c r="L291" t="s" s="2">
        <v>22</v>
      </c>
      <c r="M291" t="s" s="2">
        <v>22</v>
      </c>
    </row>
    <row r="292" ht="25.0" customHeight="true">
      <c r="A292" t="s" s="2">
        <v>13</v>
      </c>
      <c r="B292" t="s" s="2">
        <f>HYPERLINK("http://ts.21cn.com/tousu/show/id/1373851","要求退款给我610")</f>
      </c>
      <c r="C292" t="s" s="2">
        <v>52</v>
      </c>
      <c r="D292" t="s" s="2">
        <v>16</v>
      </c>
      <c r="E292" t="s" s="2">
        <v>17</v>
      </c>
      <c r="F292" t="s" s="2">
        <f>HYPERLINK("http://ts.21cn.com/tousu/show/id/1373851","http://ts.21cn.com/tousu/show/id/1373851")</f>
      </c>
      <c r="G292" t="s" s="2">
        <v>17</v>
      </c>
      <c r="H292" t="s" s="2">
        <v>19</v>
      </c>
      <c r="I292" t="s" s="2">
        <v>1175</v>
      </c>
      <c r="J292" t="s" s="2">
        <v>1176</v>
      </c>
      <c r="K292" t="s" s="2">
        <v>22</v>
      </c>
      <c r="L292" t="s" s="2">
        <v>22</v>
      </c>
      <c r="M292" t="s" s="2">
        <v>22</v>
      </c>
    </row>
    <row r="293" ht="25.0" customHeight="true">
      <c r="A293" t="s" s="2">
        <v>13</v>
      </c>
      <c r="B293" t="s" s="2">
        <f>HYPERLINK("http://ts.21cn.com/tousu/show/id/1373850","欺诈钱")</f>
      </c>
      <c r="C293" t="s" s="2">
        <v>15</v>
      </c>
      <c r="D293" t="s" s="2">
        <v>16</v>
      </c>
      <c r="E293" t="s" s="2">
        <v>17</v>
      </c>
      <c r="F293" t="s" s="2">
        <f>HYPERLINK("http://ts.21cn.com/tousu/show/id/1373850","http://ts.21cn.com/tousu/show/id/1373850")</f>
      </c>
      <c r="G293" t="s" s="2">
        <v>17</v>
      </c>
      <c r="H293" t="s" s="2">
        <v>19</v>
      </c>
      <c r="I293" t="s" s="2">
        <v>1179</v>
      </c>
      <c r="J293" t="s" s="2">
        <v>1180</v>
      </c>
      <c r="K293" t="s" s="2">
        <v>22</v>
      </c>
      <c r="L293" t="s" s="2">
        <v>22</v>
      </c>
      <c r="M293" t="s" s="2">
        <v>22</v>
      </c>
    </row>
    <row r="294" ht="25.0" customHeight="true">
      <c r="A294" t="s" s="2">
        <v>13</v>
      </c>
      <c r="B294" t="s" s="2">
        <f>HYPERLINK("http://ts.21cn.com/tousu/show/id/1373849","达内科技集体投诉专题")</f>
      </c>
      <c r="C294" t="s" s="2">
        <v>15</v>
      </c>
      <c r="D294" t="s" s="2">
        <v>16</v>
      </c>
      <c r="E294" t="s" s="2">
        <v>17</v>
      </c>
      <c r="F294" t="s" s="2">
        <f>HYPERLINK("http://ts.21cn.com/tousu/show/id/1373849","http://ts.21cn.com/tousu/show/id/1373849")</f>
      </c>
      <c r="G294" t="s" s="2">
        <v>17</v>
      </c>
      <c r="H294" t="s" s="2">
        <v>19</v>
      </c>
      <c r="I294" t="s" s="2">
        <v>1183</v>
      </c>
      <c r="J294" t="s" s="2">
        <v>1184</v>
      </c>
      <c r="K294" t="s" s="2">
        <v>22</v>
      </c>
      <c r="L294" t="s" s="2">
        <v>22</v>
      </c>
      <c r="M294" t="s" s="2">
        <v>22</v>
      </c>
    </row>
    <row r="295" ht="25.0" customHeight="true">
      <c r="A295" t="s" s="2">
        <v>13</v>
      </c>
      <c r="B295" t="s" s="2">
        <f>HYPERLINK("http://ts.21cn.com/tousu/show/id/1373848","淘宝卖家【大唐手游】店主“大唐李大大”对本人进行持续辱骂人身攻击，并扬言此后还要不断攻击骚扰本人，已严重影响到日常生活")</f>
      </c>
      <c r="C295" t="s" s="2">
        <v>15</v>
      </c>
      <c r="D295" t="s" s="2">
        <v>16</v>
      </c>
      <c r="E295" t="s" s="2">
        <v>17</v>
      </c>
      <c r="F295" t="s" s="2">
        <f>HYPERLINK("http://ts.21cn.com/tousu/show/id/1373848","http://ts.21cn.com/tousu/show/id/1373848")</f>
      </c>
      <c r="G295" t="s" s="2">
        <v>17</v>
      </c>
      <c r="H295" t="s" s="2">
        <v>19</v>
      </c>
      <c r="I295" t="s" s="2">
        <v>1187</v>
      </c>
      <c r="J295" t="s" s="2">
        <v>1188</v>
      </c>
      <c r="K295" t="s" s="2">
        <v>22</v>
      </c>
      <c r="L295" t="s" s="2">
        <v>22</v>
      </c>
      <c r="M295" t="s" s="2">
        <v>22</v>
      </c>
    </row>
    <row r="296" ht="25.0" customHeight="true">
      <c r="A296" t="s" s="2">
        <v>13</v>
      </c>
      <c r="B296" t="s" s="2">
        <f>HYPERLINK("http://ts.21cn.com/tousu/show/id/1373847","支付宝花呗无法使用")</f>
      </c>
      <c r="C296" t="s" s="2">
        <v>52</v>
      </c>
      <c r="D296" t="s" s="2">
        <v>16</v>
      </c>
      <c r="E296" t="s" s="2">
        <v>17</v>
      </c>
      <c r="F296" t="s" s="2">
        <f>HYPERLINK("http://ts.21cn.com/tousu/show/id/1373847","http://ts.21cn.com/tousu/show/id/1373847")</f>
      </c>
      <c r="G296" t="s" s="2">
        <v>17</v>
      </c>
      <c r="H296" t="s" s="2">
        <v>19</v>
      </c>
      <c r="I296" t="s" s="2">
        <v>1191</v>
      </c>
      <c r="J296" t="s" s="2">
        <v>1192</v>
      </c>
      <c r="K296" t="s" s="2">
        <v>22</v>
      </c>
      <c r="L296" t="s" s="2">
        <v>22</v>
      </c>
      <c r="M296" t="s" s="2">
        <v>22</v>
      </c>
    </row>
    <row r="297" ht="25.0" customHeight="true">
      <c r="A297" t="s" s="2">
        <v>13</v>
      </c>
      <c r="B297" t="s" s="2">
        <f>HYPERLINK("http://ts.21cn.com/tousu/show/id/1373846","本人在天猫购买一款隐形车衣，该商品是假冒伪劣产品.")</f>
      </c>
      <c r="C297" t="s" s="2">
        <v>15</v>
      </c>
      <c r="D297" t="s" s="2">
        <v>16</v>
      </c>
      <c r="E297" t="s" s="2">
        <v>17</v>
      </c>
      <c r="F297" t="s" s="2">
        <f>HYPERLINK("http://ts.21cn.com/tousu/show/id/1373846","http://ts.21cn.com/tousu/show/id/1373846")</f>
      </c>
      <c r="G297" t="s" s="2">
        <v>17</v>
      </c>
      <c r="H297" t="s" s="2">
        <v>19</v>
      </c>
      <c r="I297" t="s" s="2">
        <v>1195</v>
      </c>
      <c r="J297" t="s" s="2">
        <v>1196</v>
      </c>
      <c r="K297" t="s" s="2">
        <v>22</v>
      </c>
      <c r="L297" t="s" s="2">
        <v>22</v>
      </c>
      <c r="M297" t="s" s="2">
        <v>22</v>
      </c>
    </row>
    <row r="298" ht="25.0" customHeight="true">
      <c r="A298" t="s" s="2">
        <v>13</v>
      </c>
      <c r="B298" t="s" s="2">
        <f>HYPERLINK("http://ts.21cn.com/tousu/show/id/1373845","住宿问题太大青客公寓人员服务态度敷衍")</f>
      </c>
      <c r="C298" t="s" s="2">
        <v>15</v>
      </c>
      <c r="D298" t="s" s="2">
        <v>16</v>
      </c>
      <c r="E298" t="s" s="2">
        <v>17</v>
      </c>
      <c r="F298" t="s" s="2">
        <f>HYPERLINK("http://ts.21cn.com/tousu/show/id/1373845","http://ts.21cn.com/tousu/show/id/1373845")</f>
      </c>
      <c r="G298" t="s" s="2">
        <v>17</v>
      </c>
      <c r="H298" t="s" s="2">
        <v>19</v>
      </c>
      <c r="I298" t="s" s="2">
        <v>1199</v>
      </c>
      <c r="J298" t="s" s="2">
        <v>1200</v>
      </c>
      <c r="K298" t="s" s="2">
        <v>22</v>
      </c>
      <c r="L298" t="s" s="2">
        <v>22</v>
      </c>
      <c r="M298" t="s" s="2">
        <v>22</v>
      </c>
    </row>
    <row r="299" ht="25.0" customHeight="true">
      <c r="A299" t="s" s="2">
        <v>13</v>
      </c>
      <c r="B299" t="s" s="2">
        <f>HYPERLINK("http://ts.21cn.com/tousu/show/id/1373844","超级高利贷")</f>
      </c>
      <c r="C299" t="s" s="2">
        <v>15</v>
      </c>
      <c r="D299" t="s" s="2">
        <v>16</v>
      </c>
      <c r="E299" t="s" s="2">
        <v>17</v>
      </c>
      <c r="F299" t="s" s="2">
        <f>HYPERLINK("http://ts.21cn.com/tousu/show/id/1373844","http://ts.21cn.com/tousu/show/id/1373844")</f>
      </c>
      <c r="G299" t="s" s="2">
        <v>17</v>
      </c>
      <c r="H299" t="s" s="2">
        <v>19</v>
      </c>
      <c r="I299" t="s" s="2">
        <v>1203</v>
      </c>
      <c r="J299" t="s" s="2">
        <v>1204</v>
      </c>
      <c r="K299" t="s" s="2">
        <v>22</v>
      </c>
      <c r="L299" t="s" s="2">
        <v>22</v>
      </c>
      <c r="M299" t="s" s="2">
        <v>22</v>
      </c>
    </row>
    <row r="300" ht="25.0" customHeight="true">
      <c r="A300" t="s" s="2">
        <v>13</v>
      </c>
      <c r="B300" t="s" s="2">
        <f>HYPERLINK("http://ts.21cn.com/tousu/show/id/1373843","捷信催收骚扰")</f>
      </c>
      <c r="C300" t="s" s="2">
        <v>15</v>
      </c>
      <c r="D300" t="s" s="2">
        <v>16</v>
      </c>
      <c r="E300" t="s" s="2">
        <v>17</v>
      </c>
      <c r="F300" t="s" s="2">
        <f>HYPERLINK("http://ts.21cn.com/tousu/show/id/1373843","http://ts.21cn.com/tousu/show/id/1373843")</f>
      </c>
      <c r="G300" t="s" s="2">
        <v>17</v>
      </c>
      <c r="H300" t="s" s="2">
        <v>19</v>
      </c>
      <c r="I300" t="s" s="2">
        <v>1207</v>
      </c>
      <c r="J300" t="s" s="2">
        <v>1208</v>
      </c>
      <c r="K300" t="s" s="2">
        <v>22</v>
      </c>
      <c r="L300" t="s" s="2">
        <v>22</v>
      </c>
      <c r="M300" t="s" s="2">
        <v>22</v>
      </c>
    </row>
    <row r="301" ht="25.0" customHeight="true">
      <c r="A301" t="s" s="2">
        <v>13</v>
      </c>
      <c r="B301" t="s" s="2">
        <f>HYPERLINK("http://ts.21cn.com/tousu/show/id/1373842","群利花联合汇潮支付联合放款高利贷")</f>
      </c>
      <c r="C301" t="s" s="2">
        <v>15</v>
      </c>
      <c r="D301" t="s" s="2">
        <v>16</v>
      </c>
      <c r="E301" t="s" s="2">
        <v>17</v>
      </c>
      <c r="F301" t="s" s="2">
        <f>HYPERLINK("http://ts.21cn.com/tousu/show/id/1373842","http://ts.21cn.com/tousu/show/id/1373842")</f>
      </c>
      <c r="G301" t="s" s="2">
        <v>17</v>
      </c>
      <c r="H301" t="s" s="2">
        <v>19</v>
      </c>
      <c r="I301" t="s" s="2">
        <v>1211</v>
      </c>
      <c r="J301" t="s" s="2">
        <v>1212</v>
      </c>
      <c r="K301" t="s" s="2">
        <v>22</v>
      </c>
      <c r="L301" t="s" s="2">
        <v>22</v>
      </c>
      <c r="M301" t="s" s="2">
        <v>22</v>
      </c>
    </row>
    <row r="302" ht="25.0" customHeight="true">
      <c r="A302" t="s" s="2">
        <v>13</v>
      </c>
      <c r="B302" t="s" s="2">
        <f>HYPERLINK("http://ts.21cn.com/tousu/show/id/1373841","投诉拍拍贷恶意催收")</f>
      </c>
      <c r="C302" t="s" s="2">
        <v>15</v>
      </c>
      <c r="D302" t="s" s="2">
        <v>16</v>
      </c>
      <c r="E302" t="s" s="2">
        <v>17</v>
      </c>
      <c r="F302" t="s" s="2">
        <f>HYPERLINK("http://ts.21cn.com/tousu/show/id/1373841","http://ts.21cn.com/tousu/show/id/1373841")</f>
      </c>
      <c r="G302" t="s" s="2">
        <v>17</v>
      </c>
      <c r="H302" t="s" s="2">
        <v>19</v>
      </c>
      <c r="I302" t="s" s="2">
        <v>1215</v>
      </c>
      <c r="J302" t="s" s="2">
        <v>1216</v>
      </c>
      <c r="K302" t="s" s="2">
        <v>22</v>
      </c>
      <c r="L302" t="s" s="2">
        <v>22</v>
      </c>
      <c r="M302" t="s" s="2">
        <v>22</v>
      </c>
    </row>
    <row r="303" ht="25.0" customHeight="true">
      <c r="A303" t="s" s="2">
        <v>13</v>
      </c>
      <c r="B303" t="s" s="2">
        <f>HYPERLINK("http://ts.21cn.com/tousu/show/id/1373840","玖富高利贷")</f>
      </c>
      <c r="C303" t="s" s="2">
        <v>15</v>
      </c>
      <c r="D303" t="s" s="2">
        <v>16</v>
      </c>
      <c r="E303" t="s" s="2">
        <v>17</v>
      </c>
      <c r="F303" t="s" s="2">
        <f>HYPERLINK("http://ts.21cn.com/tousu/show/id/1373840","http://ts.21cn.com/tousu/show/id/1373840")</f>
      </c>
      <c r="G303" t="s" s="2">
        <v>17</v>
      </c>
      <c r="H303" t="s" s="2">
        <v>19</v>
      </c>
      <c r="I303" t="s" s="2">
        <v>1219</v>
      </c>
      <c r="J303" t="s" s="2">
        <v>1220</v>
      </c>
      <c r="K303" t="s" s="2">
        <v>22</v>
      </c>
      <c r="L303" t="s" s="2">
        <v>22</v>
      </c>
      <c r="M303" t="s" s="2">
        <v>22</v>
      </c>
    </row>
    <row r="304" ht="25.0" customHeight="true">
      <c r="A304" t="s" s="2">
        <v>13</v>
      </c>
      <c r="B304" t="s" s="2">
        <f>HYPERLINK("http://ts.21cn.com/tousu/show/id/1373839","骚扰电话轰炸")</f>
      </c>
      <c r="C304" t="s" s="2">
        <v>15</v>
      </c>
      <c r="D304" t="s" s="2">
        <v>16</v>
      </c>
      <c r="E304" t="s" s="2">
        <v>17</v>
      </c>
      <c r="F304" t="s" s="2">
        <f>HYPERLINK("http://ts.21cn.com/tousu/show/id/1373839","http://ts.21cn.com/tousu/show/id/1373839")</f>
      </c>
      <c r="G304" t="s" s="2">
        <v>17</v>
      </c>
      <c r="H304" t="s" s="2">
        <v>19</v>
      </c>
      <c r="I304" t="s" s="2">
        <v>1223</v>
      </c>
      <c r="J304" t="s" s="2">
        <v>1224</v>
      </c>
      <c r="K304" t="s" s="2">
        <v>22</v>
      </c>
      <c r="L304" t="s" s="2">
        <v>22</v>
      </c>
      <c r="M304" t="s" s="2">
        <v>22</v>
      </c>
    </row>
    <row r="305" ht="25.0" customHeight="true">
      <c r="A305" t="s" s="2">
        <v>13</v>
      </c>
      <c r="B305" t="s" s="2">
        <f>HYPERLINK("http://ts.21cn.com/tousu/show/id/1373835","鞋子残次品")</f>
      </c>
      <c r="C305" t="s" s="2">
        <v>52</v>
      </c>
      <c r="D305" t="s" s="2">
        <v>16</v>
      </c>
      <c r="E305" t="s" s="2">
        <v>17</v>
      </c>
      <c r="F305" t="s" s="2">
        <f>HYPERLINK("http://ts.21cn.com/tousu/show/id/1373835","http://ts.21cn.com/tousu/show/id/1373835")</f>
      </c>
      <c r="G305" t="s" s="2">
        <v>17</v>
      </c>
      <c r="H305" t="s" s="2">
        <v>19</v>
      </c>
      <c r="I305" t="s" s="2">
        <v>1227</v>
      </c>
      <c r="J305" t="s" s="2">
        <v>1228</v>
      </c>
      <c r="K305" t="s" s="2">
        <v>22</v>
      </c>
      <c r="L305" t="s" s="2">
        <v>22</v>
      </c>
      <c r="M305" t="s" s="2">
        <v>22</v>
      </c>
    </row>
    <row r="306" ht="25.0" customHeight="true">
      <c r="A306" t="s" s="2">
        <v>13</v>
      </c>
      <c r="B306" t="s" s="2">
        <f>HYPERLINK("http://ts.21cn.com/tousu/show/id/1373813","大发快三一分钟一期这个邀请码52121999有存在是一个不正规的平台")</f>
      </c>
      <c r="C306" t="s" s="2">
        <v>15</v>
      </c>
      <c r="D306" t="s" s="2">
        <v>16</v>
      </c>
      <c r="E306" t="s" s="2">
        <v>17</v>
      </c>
      <c r="F306" t="s" s="2">
        <f>HYPERLINK("http://ts.21cn.com/tousu/show/id/1373813","http://ts.21cn.com/tousu/show/id/1373813")</f>
      </c>
      <c r="G306" t="s" s="2">
        <v>17</v>
      </c>
      <c r="H306" t="s" s="2">
        <v>19</v>
      </c>
      <c r="I306" t="s" s="2">
        <v>1231</v>
      </c>
      <c r="J306" t="s" s="2">
        <v>1232</v>
      </c>
      <c r="K306" t="s" s="2">
        <v>22</v>
      </c>
      <c r="L306" t="s" s="2">
        <v>22</v>
      </c>
      <c r="M306" t="s" s="2">
        <v>22</v>
      </c>
    </row>
    <row r="307" ht="25.0" customHeight="true">
      <c r="A307" t="s" s="2">
        <v>13</v>
      </c>
      <c r="B307" t="s" s="2">
        <f>HYPERLINK("http://ts.21cn.com/tousu/show/id/1373834","广州幸福叮咚，本人已经申请退押金快一年了，希望尽快退押金！")</f>
      </c>
      <c r="C307" t="s" s="2">
        <v>52</v>
      </c>
      <c r="D307" t="s" s="2">
        <v>16</v>
      </c>
      <c r="E307" t="s" s="2">
        <v>17</v>
      </c>
      <c r="F307" t="s" s="2">
        <f>HYPERLINK("http://ts.21cn.com/tousu/show/id/1373834","http://ts.21cn.com/tousu/show/id/1373834")</f>
      </c>
      <c r="G307" t="s" s="2">
        <v>17</v>
      </c>
      <c r="H307" t="s" s="2">
        <v>19</v>
      </c>
      <c r="I307" t="s" s="2">
        <v>1235</v>
      </c>
      <c r="J307" t="s" s="2">
        <v>1236</v>
      </c>
      <c r="K307" t="s" s="2">
        <v>22</v>
      </c>
      <c r="L307" t="s" s="2">
        <v>22</v>
      </c>
      <c r="M307" t="s" s="2">
        <v>22</v>
      </c>
    </row>
    <row r="308" ht="25.0" customHeight="true">
      <c r="A308" t="s" s="2">
        <v>13</v>
      </c>
      <c r="B308" t="s" s="2">
        <f>HYPERLINK("http://ts.21cn.com/tousu/show/id/1373832","美团生活费催收")</f>
      </c>
      <c r="C308" t="s" s="2">
        <v>15</v>
      </c>
      <c r="D308" t="s" s="2">
        <v>16</v>
      </c>
      <c r="E308" t="s" s="2">
        <v>17</v>
      </c>
      <c r="F308" t="s" s="2">
        <f>HYPERLINK("http://ts.21cn.com/tousu/show/id/1373832","http://ts.21cn.com/tousu/show/id/1373832")</f>
      </c>
      <c r="G308" t="s" s="2">
        <v>17</v>
      </c>
      <c r="H308" t="s" s="2">
        <v>19</v>
      </c>
      <c r="I308" t="s" s="2">
        <v>1239</v>
      </c>
      <c r="J308" t="s" s="2">
        <v>1240</v>
      </c>
      <c r="K308" t="s" s="2">
        <v>22</v>
      </c>
      <c r="L308" t="s" s="2">
        <v>22</v>
      </c>
      <c r="M308" t="s" s="2">
        <v>22</v>
      </c>
    </row>
    <row r="309" ht="25.0" customHeight="true">
      <c r="A309" t="s" s="2">
        <v>13</v>
      </c>
      <c r="B309" t="s" s="2">
        <f>HYPERLINK("http://ts.21cn.com/tousu/show/id/1373829","未经本人同意私自扣款")</f>
      </c>
      <c r="C309" t="s" s="2">
        <v>15</v>
      </c>
      <c r="D309" t="s" s="2">
        <v>16</v>
      </c>
      <c r="E309" t="s" s="2">
        <v>17</v>
      </c>
      <c r="F309" t="s" s="2">
        <f>HYPERLINK("http://ts.21cn.com/tousu/show/id/1373829","http://ts.21cn.com/tousu/show/id/1373829")</f>
      </c>
      <c r="G309" t="s" s="2">
        <v>17</v>
      </c>
      <c r="H309" t="s" s="2">
        <v>19</v>
      </c>
      <c r="I309" t="s" s="2">
        <v>1243</v>
      </c>
      <c r="J309" t="s" s="2">
        <v>1244</v>
      </c>
      <c r="K309" t="s" s="2">
        <v>22</v>
      </c>
      <c r="L309" t="s" s="2">
        <v>22</v>
      </c>
      <c r="M309" t="s" s="2">
        <v>22</v>
      </c>
    </row>
    <row r="310" ht="25.0" customHeight="true">
      <c r="A310" t="s" s="2">
        <v>13</v>
      </c>
      <c r="B310" t="s" s="2">
        <f>HYPERLINK("http://ts.21cn.com/tousu/show/id/1373830","打电话骚扰索要我朋友信息")</f>
      </c>
      <c r="C310" t="s" s="2">
        <v>15</v>
      </c>
      <c r="D310" t="s" s="2">
        <v>16</v>
      </c>
      <c r="E310" t="s" s="2">
        <v>17</v>
      </c>
      <c r="F310" t="s" s="2">
        <f>HYPERLINK("http://ts.21cn.com/tousu/show/id/1373830","http://ts.21cn.com/tousu/show/id/1373830")</f>
      </c>
      <c r="G310" t="s" s="2">
        <v>17</v>
      </c>
      <c r="H310" t="s" s="2">
        <v>19</v>
      </c>
      <c r="I310" t="s" s="2">
        <v>1247</v>
      </c>
      <c r="J310" t="s" s="2">
        <v>1248</v>
      </c>
      <c r="K310" t="s" s="2">
        <v>22</v>
      </c>
      <c r="L310" t="s" s="2">
        <v>22</v>
      </c>
      <c r="M310" t="s" s="2">
        <v>22</v>
      </c>
    </row>
    <row r="311" ht="25.0" customHeight="true">
      <c r="A311" t="s" s="2">
        <v>13</v>
      </c>
      <c r="B311" t="s" s="2">
        <f>HYPERLINK("http://ts.21cn.com/tousu/show/id/1373828","韵达快递培养的是什么快递员")</f>
      </c>
      <c r="C311" t="s" s="2">
        <v>15</v>
      </c>
      <c r="D311" t="s" s="2">
        <v>16</v>
      </c>
      <c r="E311" t="s" s="2">
        <v>17</v>
      </c>
      <c r="F311" t="s" s="2">
        <f>HYPERLINK("http://ts.21cn.com/tousu/show/id/1373828","http://ts.21cn.com/tousu/show/id/1373828")</f>
      </c>
      <c r="G311" t="s" s="2">
        <v>17</v>
      </c>
      <c r="H311" t="s" s="2">
        <v>19</v>
      </c>
      <c r="I311" t="s" s="2">
        <v>1251</v>
      </c>
      <c r="J311" t="s" s="2">
        <v>1252</v>
      </c>
      <c r="K311" t="s" s="2">
        <v>22</v>
      </c>
      <c r="L311" t="s" s="2">
        <v>22</v>
      </c>
      <c r="M311" t="s" s="2">
        <v>22</v>
      </c>
    </row>
    <row r="312" ht="25.0" customHeight="true">
      <c r="A312" t="s" s="2">
        <v>13</v>
      </c>
      <c r="B312" t="s" s="2">
        <f>HYPERLINK("http://ts.21cn.com/tousu/show/id/1373827","捷信恐惧我叫我关闭。")</f>
      </c>
      <c r="C312" t="s" s="2">
        <v>15</v>
      </c>
      <c r="D312" t="s" s="2">
        <v>16</v>
      </c>
      <c r="E312" t="s" s="2">
        <v>17</v>
      </c>
      <c r="F312" t="s" s="2">
        <f>HYPERLINK("http://ts.21cn.com/tousu/show/id/1373827","http://ts.21cn.com/tousu/show/id/1373827")</f>
      </c>
      <c r="G312" t="s" s="2">
        <v>17</v>
      </c>
      <c r="H312" t="s" s="2">
        <v>19</v>
      </c>
      <c r="I312" t="s" s="2">
        <v>1255</v>
      </c>
      <c r="J312" t="s" s="2">
        <v>1256</v>
      </c>
      <c r="K312" t="s" s="2">
        <v>22</v>
      </c>
      <c r="L312" t="s" s="2">
        <v>22</v>
      </c>
      <c r="M312" t="s" s="2">
        <v>22</v>
      </c>
    </row>
    <row r="313" ht="25.0" customHeight="true">
      <c r="A313" t="s" s="2">
        <v>13</v>
      </c>
      <c r="B313" t="s" s="2">
        <f>HYPERLINK("http://ts.21cn.com/tousu/show/id/1373826","高铁管家（深圳市活力旅行社有限公司")</f>
      </c>
      <c r="C313" t="s" s="2">
        <v>52</v>
      </c>
      <c r="D313" t="s" s="2">
        <v>16</v>
      </c>
      <c r="E313" t="s" s="2">
        <v>17</v>
      </c>
      <c r="F313" t="s" s="2">
        <f>HYPERLINK("http://ts.21cn.com/tousu/show/id/1373826","http://ts.21cn.com/tousu/show/id/1373826")</f>
      </c>
      <c r="G313" t="s" s="2">
        <v>17</v>
      </c>
      <c r="H313" t="s" s="2">
        <v>19</v>
      </c>
      <c r="I313" t="s" s="2">
        <v>1259</v>
      </c>
      <c r="J313" t="s" s="2">
        <v>1260</v>
      </c>
      <c r="K313" t="s" s="2">
        <v>22</v>
      </c>
      <c r="L313" t="s" s="2">
        <v>22</v>
      </c>
      <c r="M313" t="s" s="2">
        <v>22</v>
      </c>
    </row>
    <row r="314" ht="25.0" customHeight="true">
      <c r="A314" t="s" s="2">
        <v>13</v>
      </c>
      <c r="B314" t="s" s="2">
        <f>HYPERLINK("http://ts.21cn.com/tousu/show/id/1373825","闪电借款恶意骚扰")</f>
      </c>
      <c r="C314" t="s" s="2">
        <v>15</v>
      </c>
      <c r="D314" t="s" s="2">
        <v>16</v>
      </c>
      <c r="E314" t="s" s="2">
        <v>17</v>
      </c>
      <c r="F314" t="s" s="2">
        <f>HYPERLINK("http://ts.21cn.com/tousu/show/id/1373825","http://ts.21cn.com/tousu/show/id/1373825")</f>
      </c>
      <c r="G314" t="s" s="2">
        <v>17</v>
      </c>
      <c r="H314" t="s" s="2">
        <v>19</v>
      </c>
      <c r="I314" t="s" s="2">
        <v>1263</v>
      </c>
      <c r="J314" t="s" s="2">
        <v>1264</v>
      </c>
      <c r="K314" t="s" s="2">
        <v>22</v>
      </c>
      <c r="L314" t="s" s="2">
        <v>22</v>
      </c>
      <c r="M314" t="s" s="2">
        <v>22</v>
      </c>
    </row>
    <row r="315" ht="25.0" customHeight="true">
      <c r="A315" t="s" s="2">
        <v>13</v>
      </c>
      <c r="B315" t="s" s="2">
        <f>HYPERLINK("http://ts.21cn.com/tousu/show/id/1373824","分期乐利息太高")</f>
      </c>
      <c r="C315" t="s" s="2">
        <v>15</v>
      </c>
      <c r="D315" t="s" s="2">
        <v>16</v>
      </c>
      <c r="E315" t="s" s="2">
        <v>17</v>
      </c>
      <c r="F315" t="s" s="2">
        <f>HYPERLINK("http://ts.21cn.com/tousu/show/id/1373824","http://ts.21cn.com/tousu/show/id/1373824")</f>
      </c>
      <c r="G315" t="s" s="2">
        <v>17</v>
      </c>
      <c r="H315" t="s" s="2">
        <v>19</v>
      </c>
      <c r="I315" t="s" s="2">
        <v>1267</v>
      </c>
      <c r="J315" t="s" s="2">
        <v>1268</v>
      </c>
      <c r="K315" t="s" s="2">
        <v>22</v>
      </c>
      <c r="L315" t="s" s="2">
        <v>22</v>
      </c>
      <c r="M315" t="s" s="2">
        <v>22</v>
      </c>
    </row>
    <row r="316" ht="25.0" customHeight="true">
      <c r="A316" t="s" s="2">
        <v>13</v>
      </c>
      <c r="B316" t="s" s="2">
        <f>HYPERLINK("http://ts.21cn.com/tousu/show/id/1373823","爱又米暴力催收，态度恶劣")</f>
      </c>
      <c r="C316" t="s" s="2">
        <v>15</v>
      </c>
      <c r="D316" t="s" s="2">
        <v>16</v>
      </c>
      <c r="E316" t="s" s="2">
        <v>17</v>
      </c>
      <c r="F316" t="s" s="2">
        <f>HYPERLINK("http://ts.21cn.com/tousu/show/id/1373823","http://ts.21cn.com/tousu/show/id/1373823")</f>
      </c>
      <c r="G316" t="s" s="2">
        <v>17</v>
      </c>
      <c r="H316" t="s" s="2">
        <v>19</v>
      </c>
      <c r="I316" t="s" s="2">
        <v>1271</v>
      </c>
      <c r="J316" t="s" s="2">
        <v>1272</v>
      </c>
      <c r="K316" t="s" s="2">
        <v>22</v>
      </c>
      <c r="L316" t="s" s="2">
        <v>22</v>
      </c>
      <c r="M316" t="s" s="2">
        <v>22</v>
      </c>
    </row>
    <row r="317" ht="25.0" customHeight="true">
      <c r="A317" t="s" s="2">
        <v>13</v>
      </c>
      <c r="B317" t="s" s="2">
        <f>HYPERLINK("http://ts.21cn.com/tousu/show/id/1373822","投诉钱站暴力催收")</f>
      </c>
      <c r="C317" t="s" s="2">
        <v>15</v>
      </c>
      <c r="D317" t="s" s="2">
        <v>16</v>
      </c>
      <c r="E317" t="s" s="2">
        <v>17</v>
      </c>
      <c r="F317" t="s" s="2">
        <f>HYPERLINK("http://ts.21cn.com/tousu/show/id/1373822","http://ts.21cn.com/tousu/show/id/1373822")</f>
      </c>
      <c r="G317" t="s" s="2">
        <v>17</v>
      </c>
      <c r="H317" t="s" s="2">
        <v>19</v>
      </c>
      <c r="I317" t="s" s="2">
        <v>1275</v>
      </c>
      <c r="J317" t="s" s="2">
        <v>1276</v>
      </c>
      <c r="K317" t="s" s="2">
        <v>22</v>
      </c>
      <c r="L317" t="s" s="2">
        <v>22</v>
      </c>
      <c r="M317" t="s" s="2">
        <v>22</v>
      </c>
    </row>
    <row r="318" ht="25.0" customHeight="true">
      <c r="A318" t="s" s="2">
        <v>13</v>
      </c>
      <c r="B318" t="s" s="2">
        <f>HYPERLINK("http://ts.21cn.com/tousu/show/id/1373821","套路贷利息高")</f>
      </c>
      <c r="C318" t="s" s="2">
        <v>15</v>
      </c>
      <c r="D318" t="s" s="2">
        <v>16</v>
      </c>
      <c r="E318" t="s" s="2">
        <v>17</v>
      </c>
      <c r="F318" t="s" s="2">
        <f>HYPERLINK("http://ts.21cn.com/tousu/show/id/1373821","http://ts.21cn.com/tousu/show/id/1373821")</f>
      </c>
      <c r="G318" t="s" s="2">
        <v>17</v>
      </c>
      <c r="H318" t="s" s="2">
        <v>19</v>
      </c>
      <c r="I318" t="s" s="2">
        <v>1279</v>
      </c>
      <c r="J318" t="s" s="2">
        <v>1280</v>
      </c>
      <c r="K318" t="s" s="2">
        <v>22</v>
      </c>
      <c r="L318" t="s" s="2">
        <v>22</v>
      </c>
      <c r="M318" t="s" s="2">
        <v>22</v>
      </c>
    </row>
    <row r="319" ht="25.0" customHeight="true">
      <c r="A319" t="s" s="2">
        <v>13</v>
      </c>
      <c r="B319" t="s" s="2">
        <f>HYPERLINK("http://ts.21cn.com/tousu/show/id/1373820","提供故障车给消费者使用")</f>
      </c>
      <c r="C319" t="s" s="2">
        <v>15</v>
      </c>
      <c r="D319" t="s" s="2">
        <v>16</v>
      </c>
      <c r="E319" t="s" s="2">
        <v>17</v>
      </c>
      <c r="F319" t="s" s="2">
        <f>HYPERLINK("http://ts.21cn.com/tousu/show/id/1373820","http://ts.21cn.com/tousu/show/id/1373820")</f>
      </c>
      <c r="G319" t="s" s="2">
        <v>17</v>
      </c>
      <c r="H319" t="s" s="2">
        <v>19</v>
      </c>
      <c r="I319" t="s" s="2">
        <v>1283</v>
      </c>
      <c r="J319" t="s" s="2">
        <v>1284</v>
      </c>
      <c r="K319" t="s" s="2">
        <v>22</v>
      </c>
      <c r="L319" t="s" s="2">
        <v>22</v>
      </c>
      <c r="M319" t="s" s="2">
        <v>22</v>
      </c>
    </row>
    <row r="320" ht="25.0" customHeight="true">
      <c r="A320" t="s" s="2">
        <v>13</v>
      </c>
      <c r="B320" t="s" s="2">
        <f>HYPERLINK("http://ts.21cn.com/tousu/show/id/1373818","中信通讯录群发")</f>
      </c>
      <c r="C320" t="s" s="2">
        <v>15</v>
      </c>
      <c r="D320" t="s" s="2">
        <v>16</v>
      </c>
      <c r="E320" t="s" s="2">
        <v>17</v>
      </c>
      <c r="F320" t="s" s="2">
        <f>HYPERLINK("http://ts.21cn.com/tousu/show/id/1373818","http://ts.21cn.com/tousu/show/id/1373818")</f>
      </c>
      <c r="G320" t="s" s="2">
        <v>17</v>
      </c>
      <c r="H320" t="s" s="2">
        <v>19</v>
      </c>
      <c r="I320" t="s" s="2">
        <v>1287</v>
      </c>
      <c r="J320" t="s" s="2">
        <v>1288</v>
      </c>
      <c r="K320" t="s" s="2">
        <v>22</v>
      </c>
      <c r="L320" t="s" s="2">
        <v>22</v>
      </c>
      <c r="M320" t="s" s="2">
        <v>22</v>
      </c>
    </row>
    <row r="321" ht="25.0" customHeight="true">
      <c r="A321" t="s" s="2">
        <v>13</v>
      </c>
      <c r="B321" t="s" s="2">
        <f>HYPERLINK("http://ts.21cn.com/tousu/show/id/1373816","及贷变相收取高额利息费和暴力催收")</f>
      </c>
      <c r="C321" t="s" s="2">
        <v>15</v>
      </c>
      <c r="D321" t="s" s="2">
        <v>16</v>
      </c>
      <c r="E321" t="s" s="2">
        <v>17</v>
      </c>
      <c r="F321" t="s" s="2">
        <f>HYPERLINK("http://ts.21cn.com/tousu/show/id/1373816","http://ts.21cn.com/tousu/show/id/1373816")</f>
      </c>
      <c r="G321" t="s" s="2">
        <v>17</v>
      </c>
      <c r="H321" t="s" s="2">
        <v>19</v>
      </c>
      <c r="I321" t="s" s="2">
        <v>1291</v>
      </c>
      <c r="J321" t="s" s="2">
        <v>1292</v>
      </c>
      <c r="K321" t="s" s="2">
        <v>22</v>
      </c>
      <c r="L321" t="s" s="2">
        <v>22</v>
      </c>
      <c r="M321" t="s" s="2">
        <v>22</v>
      </c>
    </row>
    <row r="322" ht="25.0" customHeight="true">
      <c r="A322" t="s" s="2">
        <v>13</v>
      </c>
      <c r="B322" t="s" s="2">
        <f>HYPERLINK("http://ts.21cn.com/tousu/show/id/1373819","闪电借款利用商城虚假交易，发放高利贷")</f>
      </c>
      <c r="C322" t="s" s="2">
        <v>15</v>
      </c>
      <c r="D322" t="s" s="2">
        <v>16</v>
      </c>
      <c r="E322" t="s" s="2">
        <v>17</v>
      </c>
      <c r="F322" t="s" s="2">
        <f>HYPERLINK("http://ts.21cn.com/tousu/show/id/1373819","http://ts.21cn.com/tousu/show/id/1373819")</f>
      </c>
      <c r="G322" t="s" s="2">
        <v>17</v>
      </c>
      <c r="H322" t="s" s="2">
        <v>19</v>
      </c>
      <c r="I322" t="s" s="2">
        <v>1295</v>
      </c>
      <c r="J322" t="s" s="2">
        <v>1296</v>
      </c>
      <c r="K322" t="s" s="2">
        <v>22</v>
      </c>
      <c r="L322" t="s" s="2">
        <v>22</v>
      </c>
      <c r="M322" t="s" s="2">
        <v>22</v>
      </c>
    </row>
    <row r="323" ht="25.0" customHeight="true">
      <c r="A323" t="s" s="2">
        <v>13</v>
      </c>
      <c r="B323" t="s" s="2">
        <f>HYPERLINK("http://ts.21cn.com/tousu/show/id/1373817","平台侵犯了个人隐私，骚扰亲朋好友")</f>
      </c>
      <c r="C323" t="s" s="2">
        <v>15</v>
      </c>
      <c r="D323" t="s" s="2">
        <v>16</v>
      </c>
      <c r="E323" t="s" s="2">
        <v>17</v>
      </c>
      <c r="F323" t="s" s="2">
        <f>HYPERLINK("http://ts.21cn.com/tousu/show/id/1373817","http://ts.21cn.com/tousu/show/id/1373817")</f>
      </c>
      <c r="G323" t="s" s="2">
        <v>17</v>
      </c>
      <c r="H323" t="s" s="2">
        <v>19</v>
      </c>
      <c r="I323" t="s" s="2">
        <v>1299</v>
      </c>
      <c r="J323" t="s" s="2">
        <v>1300</v>
      </c>
      <c r="K323" t="s" s="2">
        <v>22</v>
      </c>
      <c r="L323" t="s" s="2">
        <v>22</v>
      </c>
      <c r="M323" t="s" s="2">
        <v>22</v>
      </c>
    </row>
    <row r="324" ht="25.0" customHeight="true">
      <c r="A324" t="s" s="2">
        <v>13</v>
      </c>
      <c r="B324" t="s" s="2">
        <f>HYPERLINK("http://ts.21cn.com/tousu/show/id/1373815","退货退款")</f>
      </c>
      <c r="C324" t="s" s="2">
        <v>15</v>
      </c>
      <c r="D324" t="s" s="2">
        <v>16</v>
      </c>
      <c r="E324" t="s" s="2">
        <v>17</v>
      </c>
      <c r="F324" t="s" s="2">
        <f>HYPERLINK("http://ts.21cn.com/tousu/show/id/1373815","http://ts.21cn.com/tousu/show/id/1373815")</f>
      </c>
      <c r="G324" t="s" s="2">
        <v>17</v>
      </c>
      <c r="H324" t="s" s="2">
        <v>19</v>
      </c>
      <c r="I324" t="s" s="2">
        <v>1303</v>
      </c>
      <c r="J324" t="s" s="2">
        <v>1304</v>
      </c>
      <c r="K324" t="s" s="2">
        <v>22</v>
      </c>
      <c r="L324" t="s" s="2">
        <v>22</v>
      </c>
      <c r="M324" t="s" s="2">
        <v>22</v>
      </c>
    </row>
    <row r="325" ht="25.0" customHeight="true">
      <c r="A325" t="s" s="2">
        <v>13</v>
      </c>
      <c r="B325" t="s" s="2">
        <f>HYPERLINK("http://ts.21cn.com/tousu/show/id/1373811","中邮钱包恶意催收骚扰")</f>
      </c>
      <c r="C325" t="s" s="2">
        <v>15</v>
      </c>
      <c r="D325" t="s" s="2">
        <v>16</v>
      </c>
      <c r="E325" t="s" s="2">
        <v>17</v>
      </c>
      <c r="F325" t="s" s="2">
        <f>HYPERLINK("http://ts.21cn.com/tousu/show/id/1373811","http://ts.21cn.com/tousu/show/id/1373811")</f>
      </c>
      <c r="G325" t="s" s="2">
        <v>17</v>
      </c>
      <c r="H325" t="s" s="2">
        <v>19</v>
      </c>
      <c r="I325" t="s" s="2">
        <v>1307</v>
      </c>
      <c r="J325" t="s" s="2">
        <v>1308</v>
      </c>
      <c r="K325" t="s" s="2">
        <v>22</v>
      </c>
      <c r="L325" t="s" s="2">
        <v>22</v>
      </c>
      <c r="M325" t="s" s="2">
        <v>22</v>
      </c>
    </row>
    <row r="326" ht="25.0" customHeight="true">
      <c r="A326" t="s" s="2">
        <v>13</v>
      </c>
      <c r="B326" t="s" s="2">
        <f>HYPERLINK("http://ts.21cn.com/tousu/show/id/1373812","手机借钱天价利率")</f>
      </c>
      <c r="C326" t="s" s="2">
        <v>15</v>
      </c>
      <c r="D326" t="s" s="2">
        <v>16</v>
      </c>
      <c r="E326" t="s" s="2">
        <v>17</v>
      </c>
      <c r="F326" t="s" s="2">
        <f>HYPERLINK("http://ts.21cn.com/tousu/show/id/1373812","http://ts.21cn.com/tousu/show/id/1373812")</f>
      </c>
      <c r="G326" t="s" s="2">
        <v>17</v>
      </c>
      <c r="H326" t="s" s="2">
        <v>19</v>
      </c>
      <c r="I326" t="s" s="2">
        <v>1311</v>
      </c>
      <c r="J326" t="s" s="2">
        <v>1312</v>
      </c>
      <c r="K326" t="s" s="2">
        <v>22</v>
      </c>
      <c r="L326" t="s" s="2">
        <v>22</v>
      </c>
      <c r="M326" t="s" s="2">
        <v>22</v>
      </c>
    </row>
    <row r="327" ht="25.0" customHeight="true">
      <c r="A327" t="s" s="2">
        <v>13</v>
      </c>
      <c r="B327" t="s" s="2">
        <f>HYPERLINK("http://ts.21cn.com/tousu/show/id/1373810","闪银借款月利息高接近百分之二十")</f>
      </c>
      <c r="C327" t="s" s="2">
        <v>15</v>
      </c>
      <c r="D327" t="s" s="2">
        <v>16</v>
      </c>
      <c r="E327" t="s" s="2">
        <v>17</v>
      </c>
      <c r="F327" t="s" s="2">
        <f>HYPERLINK("http://ts.21cn.com/tousu/show/id/1373810","http://ts.21cn.com/tousu/show/id/1373810")</f>
      </c>
      <c r="G327" t="s" s="2">
        <v>17</v>
      </c>
      <c r="H327" t="s" s="2">
        <v>19</v>
      </c>
      <c r="I327" t="s" s="2">
        <v>1315</v>
      </c>
      <c r="J327" t="s" s="2">
        <v>1316</v>
      </c>
      <c r="K327" t="s" s="2">
        <v>22</v>
      </c>
      <c r="L327" t="s" s="2">
        <v>22</v>
      </c>
      <c r="M327" t="s" s="2">
        <v>22</v>
      </c>
    </row>
    <row r="328" ht="25.0" customHeight="true">
      <c r="A328" t="s" s="2">
        <v>13</v>
      </c>
      <c r="B328" t="s" s="2">
        <f>HYPERLINK("http://ts.21cn.com/tousu/show/id/1373809","卡分期扣除会员249元会员费")</f>
      </c>
      <c r="C328" t="s" s="2">
        <v>15</v>
      </c>
      <c r="D328" t="s" s="2">
        <v>16</v>
      </c>
      <c r="E328" t="s" s="2">
        <v>17</v>
      </c>
      <c r="F328" t="s" s="2">
        <f>HYPERLINK("http://ts.21cn.com/tousu/show/id/1373809","http://ts.21cn.com/tousu/show/id/1373809")</f>
      </c>
      <c r="G328" t="s" s="2">
        <v>17</v>
      </c>
      <c r="H328" t="s" s="2">
        <v>19</v>
      </c>
      <c r="I328" t="s" s="2">
        <v>1319</v>
      </c>
      <c r="J328" t="s" s="2">
        <v>1320</v>
      </c>
      <c r="K328" t="s" s="2">
        <v>22</v>
      </c>
      <c r="L328" t="s" s="2">
        <v>22</v>
      </c>
      <c r="M328" t="s" s="2">
        <v>22</v>
      </c>
    </row>
    <row r="329" ht="25.0" customHeight="true">
      <c r="A329" t="s" s="2">
        <v>13</v>
      </c>
      <c r="B329" t="s" s="2">
        <f>HYPERLINK("http://ts.21cn.com/tousu/show/id/1373808","投诉乐家易付违规违法给博彩平台提供充值通道")</f>
      </c>
      <c r="C329" t="s" s="2">
        <v>15</v>
      </c>
      <c r="D329" t="s" s="2">
        <v>16</v>
      </c>
      <c r="E329" t="s" s="2">
        <v>17</v>
      </c>
      <c r="F329" t="s" s="2">
        <f>HYPERLINK("http://ts.21cn.com/tousu/show/id/1373808","http://ts.21cn.com/tousu/show/id/1373808")</f>
      </c>
      <c r="G329" t="s" s="2">
        <v>17</v>
      </c>
      <c r="H329" t="s" s="2">
        <v>19</v>
      </c>
      <c r="I329" t="s" s="2">
        <v>1323</v>
      </c>
      <c r="J329" t="s" s="2">
        <v>1324</v>
      </c>
      <c r="K329" t="s" s="2">
        <v>22</v>
      </c>
      <c r="L329" t="s" s="2">
        <v>22</v>
      </c>
      <c r="M329" t="s" s="2">
        <v>22</v>
      </c>
    </row>
    <row r="330" ht="25.0" customHeight="true">
      <c r="A330" t="s" s="2">
        <v>13</v>
      </c>
      <c r="B330" t="s" s="2">
        <f>HYPERLINK("http://ts.21cn.com/tousu/show/id/1373807","微贷网暴力多次投诉没有回应，")</f>
      </c>
      <c r="C330" t="s" s="2">
        <v>15</v>
      </c>
      <c r="D330" t="s" s="2">
        <v>16</v>
      </c>
      <c r="E330" t="s" s="2">
        <v>17</v>
      </c>
      <c r="F330" t="s" s="2">
        <f>HYPERLINK("http://ts.21cn.com/tousu/show/id/1373807","http://ts.21cn.com/tousu/show/id/1373807")</f>
      </c>
      <c r="G330" t="s" s="2">
        <v>17</v>
      </c>
      <c r="H330" t="s" s="2">
        <v>19</v>
      </c>
      <c r="I330" t="s" s="2">
        <v>1327</v>
      </c>
      <c r="J330" t="s" s="2">
        <v>1328</v>
      </c>
      <c r="K330" t="s" s="2">
        <v>22</v>
      </c>
      <c r="L330" t="s" s="2">
        <v>22</v>
      </c>
      <c r="M330" t="s" s="2">
        <v>22</v>
      </c>
    </row>
    <row r="331" ht="25.0" customHeight="true">
      <c r="A331" t="s" s="2">
        <v>13</v>
      </c>
      <c r="B331" t="s" s="2">
        <f>HYPERLINK("http://ts.21cn.com/tousu/show/id/1373806","小花钱包威胁恐吓暴力催收")</f>
      </c>
      <c r="C331" t="s" s="2">
        <v>15</v>
      </c>
      <c r="D331" t="s" s="2">
        <v>16</v>
      </c>
      <c r="E331" t="s" s="2">
        <v>17</v>
      </c>
      <c r="F331" t="s" s="2">
        <f>HYPERLINK("http://ts.21cn.com/tousu/show/id/1373806","http://ts.21cn.com/tousu/show/id/1373806")</f>
      </c>
      <c r="G331" t="s" s="2">
        <v>17</v>
      </c>
      <c r="H331" t="s" s="2">
        <v>19</v>
      </c>
      <c r="I331" t="s" s="2">
        <v>1331</v>
      </c>
      <c r="J331" t="s" s="2">
        <v>1332</v>
      </c>
      <c r="K331" t="s" s="2">
        <v>22</v>
      </c>
      <c r="L331" t="s" s="2">
        <v>22</v>
      </c>
      <c r="M331" t="s" s="2">
        <v>22</v>
      </c>
    </row>
    <row r="332" ht="25.0" customHeight="true">
      <c r="A332" t="s" s="2">
        <v>13</v>
      </c>
      <c r="B332" t="s" s="2">
        <f>HYPERLINK("http://ts.21cn.com/tousu/show/id/1373804","百度有钱花高利贷")</f>
      </c>
      <c r="C332" t="s" s="2">
        <v>15</v>
      </c>
      <c r="D332" t="s" s="2">
        <v>16</v>
      </c>
      <c r="E332" t="s" s="2">
        <v>17</v>
      </c>
      <c r="F332" t="s" s="2">
        <f>HYPERLINK("http://ts.21cn.com/tousu/show/id/1373804","http://ts.21cn.com/tousu/show/id/1373804")</f>
      </c>
      <c r="G332" t="s" s="2">
        <v>17</v>
      </c>
      <c r="H332" t="s" s="2">
        <v>19</v>
      </c>
      <c r="I332" t="s" s="2">
        <v>1335</v>
      </c>
      <c r="J332" t="s" s="2">
        <v>1336</v>
      </c>
      <c r="K332" t="s" s="2">
        <v>22</v>
      </c>
      <c r="L332" t="s" s="2">
        <v>22</v>
      </c>
      <c r="M332" t="s" s="2">
        <v>22</v>
      </c>
    </row>
    <row r="333" ht="25.0" customHeight="true">
      <c r="A333" t="s" s="2">
        <v>13</v>
      </c>
      <c r="B333" t="s" s="2">
        <f>HYPERLINK("http://ts.21cn.com/tousu/show/id/1373802","乱扣费钱橙无忧")</f>
      </c>
      <c r="C333" t="s" s="2">
        <v>15</v>
      </c>
      <c r="D333" t="s" s="2">
        <v>16</v>
      </c>
      <c r="E333" t="s" s="2">
        <v>17</v>
      </c>
      <c r="F333" t="s" s="2">
        <f>HYPERLINK("http://ts.21cn.com/tousu/show/id/1373802","http://ts.21cn.com/tousu/show/id/1373802")</f>
      </c>
      <c r="G333" t="s" s="2">
        <v>17</v>
      </c>
      <c r="H333" t="s" s="2">
        <v>19</v>
      </c>
      <c r="I333" t="s" s="2">
        <v>1339</v>
      </c>
      <c r="J333" t="s" s="2">
        <v>1340</v>
      </c>
      <c r="K333" t="s" s="2">
        <v>22</v>
      </c>
      <c r="L333" t="s" s="2">
        <v>22</v>
      </c>
      <c r="M333" t="s" s="2">
        <v>22</v>
      </c>
    </row>
    <row r="334" ht="25.0" customHeight="true">
      <c r="A334" t="s" s="2">
        <v>13</v>
      </c>
      <c r="B334" t="s" s="2">
        <f>HYPERLINK("http://ts.21cn.com/tousu/show/id/1373801","及贷放款时直接扣除所谓的保费，存在欺诈消费行为")</f>
      </c>
      <c r="C334" t="s" s="2">
        <v>15</v>
      </c>
      <c r="D334" t="s" s="2">
        <v>16</v>
      </c>
      <c r="E334" t="s" s="2">
        <v>17</v>
      </c>
      <c r="F334" t="s" s="2">
        <f>HYPERLINK("http://ts.21cn.com/tousu/show/id/1373801","http://ts.21cn.com/tousu/show/id/1373801")</f>
      </c>
      <c r="G334" t="s" s="2">
        <v>17</v>
      </c>
      <c r="H334" t="s" s="2">
        <v>19</v>
      </c>
      <c r="I334" t="s" s="2">
        <v>1343</v>
      </c>
      <c r="J334" t="s" s="2">
        <v>1344</v>
      </c>
      <c r="K334" t="s" s="2">
        <v>22</v>
      </c>
      <c r="L334" t="s" s="2">
        <v>22</v>
      </c>
      <c r="M334" t="s" s="2">
        <v>22</v>
      </c>
    </row>
    <row r="335" ht="25.0" customHeight="true">
      <c r="A335" t="s" s="2">
        <v>13</v>
      </c>
      <c r="B335" t="s" s="2">
        <f>HYPERLINK("http://ts.21cn.com/tousu/show/id/1373800","直接与招行信用卡中心协商，停止骚扰！")</f>
      </c>
      <c r="C335" t="s" s="2">
        <v>15</v>
      </c>
      <c r="D335" t="s" s="2">
        <v>16</v>
      </c>
      <c r="E335" t="s" s="2">
        <v>17</v>
      </c>
      <c r="F335" t="s" s="2">
        <f>HYPERLINK("http://ts.21cn.com/tousu/show/id/1373800","http://ts.21cn.com/tousu/show/id/1373800")</f>
      </c>
      <c r="G335" t="s" s="2">
        <v>17</v>
      </c>
      <c r="H335" t="s" s="2">
        <v>19</v>
      </c>
      <c r="I335" t="s" s="2">
        <v>1347</v>
      </c>
      <c r="J335" t="s" s="2">
        <v>1348</v>
      </c>
      <c r="K335" t="s" s="2">
        <v>22</v>
      </c>
      <c r="L335" t="s" s="2">
        <v>22</v>
      </c>
      <c r="M335" t="s" s="2">
        <v>22</v>
      </c>
    </row>
    <row r="336" ht="25.0" customHeight="true">
      <c r="A336" t="s" s="2">
        <v>13</v>
      </c>
      <c r="B336" t="s" s="2">
        <f>HYPERLINK("http://ts.21cn.com/tousu/show/id/1373798","聚宝来销账处理")</f>
      </c>
      <c r="C336" t="s" s="2">
        <v>15</v>
      </c>
      <c r="D336" t="s" s="2">
        <v>16</v>
      </c>
      <c r="E336" t="s" s="2">
        <v>17</v>
      </c>
      <c r="F336" t="s" s="2">
        <f>HYPERLINK("http://ts.21cn.com/tousu/show/id/1373798","http://ts.21cn.com/tousu/show/id/1373798")</f>
      </c>
      <c r="G336" t="s" s="2">
        <v>17</v>
      </c>
      <c r="H336" t="s" s="2">
        <v>19</v>
      </c>
      <c r="I336" t="s" s="2">
        <v>1351</v>
      </c>
      <c r="J336" t="s" s="2">
        <v>1352</v>
      </c>
      <c r="K336" t="s" s="2">
        <v>22</v>
      </c>
      <c r="L336" t="s" s="2">
        <v>22</v>
      </c>
      <c r="M336" t="s" s="2">
        <v>22</v>
      </c>
    </row>
    <row r="337" ht="25.0" customHeight="true">
      <c r="A337" t="s" s="2">
        <v>13</v>
      </c>
      <c r="B337" t="s" s="2">
        <f>HYPERLINK("http://ts.21cn.com/tousu/show/id/1373797","新橙优品高利贷暴力催收")</f>
      </c>
      <c r="C337" t="s" s="2">
        <v>15</v>
      </c>
      <c r="D337" t="s" s="2">
        <v>16</v>
      </c>
      <c r="E337" t="s" s="2">
        <v>17</v>
      </c>
      <c r="F337" t="s" s="2">
        <f>HYPERLINK("http://ts.21cn.com/tousu/show/id/1373797","http://ts.21cn.com/tousu/show/id/1373797")</f>
      </c>
      <c r="G337" t="s" s="2">
        <v>17</v>
      </c>
      <c r="H337" t="s" s="2">
        <v>19</v>
      </c>
      <c r="I337" t="s" s="2">
        <v>1355</v>
      </c>
      <c r="J337" t="s" s="2">
        <v>1356</v>
      </c>
      <c r="K337" t="s" s="2">
        <v>22</v>
      </c>
      <c r="L337" t="s" s="2">
        <v>22</v>
      </c>
      <c r="M337" t="s" s="2">
        <v>22</v>
      </c>
    </row>
    <row r="338" ht="25.0" customHeight="true">
      <c r="A338" t="s" s="2">
        <v>13</v>
      </c>
      <c r="B338" t="s" s="2">
        <f>HYPERLINK("http://ts.21cn.com/tousu/show/id/1373796","爆力催收，爆通讯录，轰炸手机")</f>
      </c>
      <c r="C338" t="s" s="2">
        <v>15</v>
      </c>
      <c r="D338" t="s" s="2">
        <v>16</v>
      </c>
      <c r="E338" t="s" s="2">
        <v>17</v>
      </c>
      <c r="F338" t="s" s="2">
        <f>HYPERLINK("http://ts.21cn.com/tousu/show/id/1373796","http://ts.21cn.com/tousu/show/id/1373796")</f>
      </c>
      <c r="G338" t="s" s="2">
        <v>17</v>
      </c>
      <c r="H338" t="s" s="2">
        <v>19</v>
      </c>
      <c r="I338" t="s" s="2">
        <v>1359</v>
      </c>
      <c r="J338" t="s" s="2">
        <v>1360</v>
      </c>
      <c r="K338" t="s" s="2">
        <v>22</v>
      </c>
      <c r="L338" t="s" s="2">
        <v>22</v>
      </c>
      <c r="M338" t="s" s="2">
        <v>22</v>
      </c>
    </row>
    <row r="339" ht="25.0" customHeight="true">
      <c r="A339" t="s" s="2">
        <v>13</v>
      </c>
      <c r="B339" t="s" s="2">
        <f>HYPERLINK("http://ts.21cn.com/tousu/show/id/1373795","去花花收取高额砍头息")</f>
      </c>
      <c r="C339" t="s" s="2">
        <v>15</v>
      </c>
      <c r="D339" t="s" s="2">
        <v>16</v>
      </c>
      <c r="E339" t="s" s="2">
        <v>17</v>
      </c>
      <c r="F339" t="s" s="2">
        <f>HYPERLINK("http://ts.21cn.com/tousu/show/id/1373795","http://ts.21cn.com/tousu/show/id/1373795")</f>
      </c>
      <c r="G339" t="s" s="2">
        <v>17</v>
      </c>
      <c r="H339" t="s" s="2">
        <v>19</v>
      </c>
      <c r="I339" t="s" s="2">
        <v>1363</v>
      </c>
      <c r="J339" t="s" s="2">
        <v>1364</v>
      </c>
      <c r="K339" t="s" s="2">
        <v>22</v>
      </c>
      <c r="L339" t="s" s="2">
        <v>22</v>
      </c>
      <c r="M339" t="s" s="2">
        <v>22</v>
      </c>
    </row>
    <row r="340" ht="25.0" customHeight="true">
      <c r="A340" t="s" s="2">
        <v>13</v>
      </c>
      <c r="B340" t="s" s="2">
        <f>HYPERLINK("http://ts.21cn.com/tousu/show/id/1373794","带上钱套路贷高利贷私删订单，要求退还合法外利息！")</f>
      </c>
      <c r="C340" t="s" s="2">
        <v>15</v>
      </c>
      <c r="D340" t="s" s="2">
        <v>16</v>
      </c>
      <c r="E340" t="s" s="2">
        <v>17</v>
      </c>
      <c r="F340" t="s" s="2">
        <f>HYPERLINK("http://ts.21cn.com/tousu/show/id/1373794","http://ts.21cn.com/tousu/show/id/1373794")</f>
      </c>
      <c r="G340" t="s" s="2">
        <v>17</v>
      </c>
      <c r="H340" t="s" s="2">
        <v>19</v>
      </c>
      <c r="I340" t="s" s="2">
        <v>1367</v>
      </c>
      <c r="J340" t="s" s="2">
        <v>1368</v>
      </c>
      <c r="K340" t="s" s="2">
        <v>22</v>
      </c>
      <c r="L340" t="s" s="2">
        <v>22</v>
      </c>
      <c r="M340" t="s" s="2">
        <v>22</v>
      </c>
    </row>
    <row r="341" ht="25.0" customHeight="true">
      <c r="A341" t="s" s="2">
        <v>13</v>
      </c>
      <c r="B341" t="s" s="2">
        <f>HYPERLINK("http://ts.21cn.com/tousu/show/id/1373793","平安普惠利息高违约金高用第三方催收恐吓")</f>
      </c>
      <c r="C341" t="s" s="2">
        <v>15</v>
      </c>
      <c r="D341" t="s" s="2">
        <v>16</v>
      </c>
      <c r="E341" t="s" s="2">
        <v>17</v>
      </c>
      <c r="F341" t="s" s="2">
        <f>HYPERLINK("http://ts.21cn.com/tousu/show/id/1373793","http://ts.21cn.com/tousu/show/id/1373793")</f>
      </c>
      <c r="G341" t="s" s="2">
        <v>17</v>
      </c>
      <c r="H341" t="s" s="2">
        <v>19</v>
      </c>
      <c r="I341" t="s" s="2">
        <v>1371</v>
      </c>
      <c r="J341" t="s" s="2">
        <v>1372</v>
      </c>
      <c r="K341" t="s" s="2">
        <v>22</v>
      </c>
      <c r="L341" t="s" s="2">
        <v>22</v>
      </c>
      <c r="M341" t="s" s="2">
        <v>22</v>
      </c>
    </row>
    <row r="342" ht="25.0" customHeight="true">
      <c r="A342" t="s" s="2">
        <v>13</v>
      </c>
      <c r="B342" t="s" s="2">
        <f>HYPERLINK("http://ts.21cn.com/tousu/show/id/1373791","交了前期费用开通的功能，用不了不给退款")</f>
      </c>
      <c r="C342" t="s" s="2">
        <v>15</v>
      </c>
      <c r="D342" t="s" s="2">
        <v>16</v>
      </c>
      <c r="E342" t="s" s="2">
        <v>17</v>
      </c>
      <c r="F342" t="s" s="2">
        <f>HYPERLINK("http://ts.21cn.com/tousu/show/id/1373791","http://ts.21cn.com/tousu/show/id/1373791")</f>
      </c>
      <c r="G342" t="s" s="2">
        <v>17</v>
      </c>
      <c r="H342" t="s" s="2">
        <v>19</v>
      </c>
      <c r="I342" t="s" s="2">
        <v>1375</v>
      </c>
      <c r="J342" t="s" s="2">
        <v>1376</v>
      </c>
      <c r="K342" t="s" s="2">
        <v>22</v>
      </c>
      <c r="L342" t="s" s="2">
        <v>22</v>
      </c>
      <c r="M342" t="s" s="2">
        <v>22</v>
      </c>
    </row>
    <row r="343" ht="25.0" customHeight="true">
      <c r="A343" t="s" s="2">
        <v>13</v>
      </c>
      <c r="B343" t="s" s="2">
        <f>HYPERLINK("http://ts.21cn.com/tousu/show/id/1373792","京东商场优惠券无法领取，活动参加不了")</f>
      </c>
      <c r="C343" t="s" s="2">
        <v>52</v>
      </c>
      <c r="D343" t="s" s="2">
        <v>16</v>
      </c>
      <c r="E343" t="s" s="2">
        <v>17</v>
      </c>
      <c r="F343" t="s" s="2">
        <f>HYPERLINK("http://ts.21cn.com/tousu/show/id/1373792","http://ts.21cn.com/tousu/show/id/1373792")</f>
      </c>
      <c r="G343" t="s" s="2">
        <v>17</v>
      </c>
      <c r="H343" t="s" s="2">
        <v>19</v>
      </c>
      <c r="I343" t="s" s="2">
        <v>1379</v>
      </c>
      <c r="J343" t="s" s="2">
        <v>1380</v>
      </c>
      <c r="K343" t="s" s="2">
        <v>22</v>
      </c>
      <c r="L343" t="s" s="2">
        <v>22</v>
      </c>
      <c r="M343" t="s" s="2">
        <v>22</v>
      </c>
    </row>
    <row r="344" ht="25.0" customHeight="true">
      <c r="A344" t="s" s="2">
        <v>13</v>
      </c>
      <c r="B344" t="s" s="2">
        <f>HYPERLINK("http://ts.21cn.com/tousu/show/id/1373790","招商信用卡骚扰态度恶劣")</f>
      </c>
      <c r="C344" t="s" s="2">
        <v>15</v>
      </c>
      <c r="D344" t="s" s="2">
        <v>16</v>
      </c>
      <c r="E344" t="s" s="2">
        <v>17</v>
      </c>
      <c r="F344" t="s" s="2">
        <f>HYPERLINK("http://ts.21cn.com/tousu/show/id/1373790","http://ts.21cn.com/tousu/show/id/1373790")</f>
      </c>
      <c r="G344" t="s" s="2">
        <v>17</v>
      </c>
      <c r="H344" t="s" s="2">
        <v>19</v>
      </c>
      <c r="I344" t="s" s="2">
        <v>1383</v>
      </c>
      <c r="J344" t="s" s="2">
        <v>1384</v>
      </c>
      <c r="K344" t="s" s="2">
        <v>22</v>
      </c>
      <c r="L344" t="s" s="2">
        <v>22</v>
      </c>
      <c r="M344" t="s" s="2">
        <v>22</v>
      </c>
    </row>
    <row r="345" ht="25.0" customHeight="true">
      <c r="A345" t="s" s="2">
        <v>13</v>
      </c>
      <c r="B345" t="s" s="2">
        <f>HYPERLINK("http://ts.21cn.com/tousu/show/id/1373789","程咬金极速借款，714，砍头息，")</f>
      </c>
      <c r="C345" t="s" s="2">
        <v>15</v>
      </c>
      <c r="D345" t="s" s="2">
        <v>16</v>
      </c>
      <c r="E345" t="s" s="2">
        <v>17</v>
      </c>
      <c r="F345" t="s" s="2">
        <f>HYPERLINK("http://ts.21cn.com/tousu/show/id/1373789","http://ts.21cn.com/tousu/show/id/1373789")</f>
      </c>
      <c r="G345" t="s" s="2">
        <v>17</v>
      </c>
      <c r="H345" t="s" s="2">
        <v>19</v>
      </c>
      <c r="I345" t="s" s="2">
        <v>1387</v>
      </c>
      <c r="J345" t="s" s="2">
        <v>1388</v>
      </c>
      <c r="K345" t="s" s="2">
        <v>22</v>
      </c>
      <c r="L345" t="s" s="2">
        <v>22</v>
      </c>
      <c r="M345" t="s" s="2">
        <v>22</v>
      </c>
    </row>
    <row r="346" ht="25.0" customHeight="true">
      <c r="A346" t="s" s="2">
        <v>13</v>
      </c>
      <c r="B346" t="s" s="2">
        <f>HYPERLINK("http://ts.21cn.com/tousu/show/id/1373788","强行扣款")</f>
      </c>
      <c r="C346" t="s" s="2">
        <v>52</v>
      </c>
      <c r="D346" t="s" s="2">
        <v>16</v>
      </c>
      <c r="E346" t="s" s="2">
        <v>17</v>
      </c>
      <c r="F346" t="s" s="2">
        <f>HYPERLINK("http://ts.21cn.com/tousu/show/id/1373788","http://ts.21cn.com/tousu/show/id/1373788")</f>
      </c>
      <c r="G346" t="s" s="2">
        <v>17</v>
      </c>
      <c r="H346" t="s" s="2">
        <v>19</v>
      </c>
      <c r="I346" t="s" s="2">
        <v>1391</v>
      </c>
      <c r="J346" t="s" s="2">
        <v>1392</v>
      </c>
      <c r="K346" t="s" s="2">
        <v>22</v>
      </c>
      <c r="L346" t="s" s="2">
        <v>22</v>
      </c>
      <c r="M346" t="s" s="2">
        <v>22</v>
      </c>
    </row>
    <row r="347" ht="25.0" customHeight="true">
      <c r="A347" t="s" s="2">
        <v>13</v>
      </c>
      <c r="B347" t="s" s="2">
        <f>HYPERLINK("http://ts.21cn.com/tousu/show/id/1373786","被第三方催收")</f>
      </c>
      <c r="C347" t="s" s="2">
        <v>15</v>
      </c>
      <c r="D347" t="s" s="2">
        <v>16</v>
      </c>
      <c r="E347" t="s" s="2">
        <v>17</v>
      </c>
      <c r="F347" t="s" s="2">
        <f>HYPERLINK("http://ts.21cn.com/tousu/show/id/1373786","http://ts.21cn.com/tousu/show/id/1373786")</f>
      </c>
      <c r="G347" t="s" s="2">
        <v>17</v>
      </c>
      <c r="H347" t="s" s="2">
        <v>19</v>
      </c>
      <c r="I347" t="s" s="2">
        <v>1395</v>
      </c>
      <c r="J347" t="s" s="2">
        <v>1396</v>
      </c>
      <c r="K347" t="s" s="2">
        <v>22</v>
      </c>
      <c r="L347" t="s" s="2">
        <v>22</v>
      </c>
      <c r="M347" t="s" s="2">
        <v>22</v>
      </c>
    </row>
    <row r="348" ht="25.0" customHeight="true">
      <c r="A348" t="s" s="2">
        <v>13</v>
      </c>
      <c r="B348" t="s" s="2">
        <f>HYPERLINK("http://ts.21cn.com/tousu/show/id/1373785","申请减免违约金")</f>
      </c>
      <c r="C348" t="s" s="2">
        <v>15</v>
      </c>
      <c r="D348" t="s" s="2">
        <v>16</v>
      </c>
      <c r="E348" t="s" s="2">
        <v>17</v>
      </c>
      <c r="F348" t="s" s="2">
        <f>HYPERLINK("http://ts.21cn.com/tousu/show/id/1373785","http://ts.21cn.com/tousu/show/id/1373785")</f>
      </c>
      <c r="G348" t="s" s="2">
        <v>17</v>
      </c>
      <c r="H348" t="s" s="2">
        <v>19</v>
      </c>
      <c r="I348" t="s" s="2">
        <v>1399</v>
      </c>
      <c r="J348" t="s" s="2">
        <v>1400</v>
      </c>
      <c r="K348" t="s" s="2">
        <v>22</v>
      </c>
      <c r="L348" t="s" s="2">
        <v>22</v>
      </c>
      <c r="M348" t="s" s="2">
        <v>22</v>
      </c>
    </row>
    <row r="349" ht="25.0" customHeight="true">
      <c r="A349" t="s" s="2">
        <v>13</v>
      </c>
      <c r="B349" t="s" s="2">
        <f>HYPERLINK("http://ts.21cn.com/tousu/show/id/1373784","停止恐吓威胁")</f>
      </c>
      <c r="C349" t="s" s="2">
        <v>15</v>
      </c>
      <c r="D349" t="s" s="2">
        <v>16</v>
      </c>
      <c r="E349" t="s" s="2">
        <v>17</v>
      </c>
      <c r="F349" t="s" s="2">
        <f>HYPERLINK("http://ts.21cn.com/tousu/show/id/1373784","http://ts.21cn.com/tousu/show/id/1373784")</f>
      </c>
      <c r="G349" t="s" s="2">
        <v>17</v>
      </c>
      <c r="H349" t="s" s="2">
        <v>19</v>
      </c>
      <c r="I349" t="s" s="2">
        <v>1399</v>
      </c>
      <c r="J349" t="s" s="2">
        <v>1403</v>
      </c>
      <c r="K349" t="s" s="2">
        <v>22</v>
      </c>
      <c r="L349" t="s" s="2">
        <v>22</v>
      </c>
      <c r="M349" t="s" s="2">
        <v>22</v>
      </c>
    </row>
    <row r="350" ht="25.0" customHeight="true">
      <c r="A350" t="s" s="2">
        <v>13</v>
      </c>
      <c r="B350" t="s" s="2">
        <f>HYPERLINK("http://ts.21cn.com/tousu/show/id/1373783","公司不交社保")</f>
      </c>
      <c r="C350" t="s" s="2">
        <v>15</v>
      </c>
      <c r="D350" t="s" s="2">
        <v>16</v>
      </c>
      <c r="E350" t="s" s="2">
        <v>17</v>
      </c>
      <c r="F350" t="s" s="2">
        <f>HYPERLINK("http://ts.21cn.com/tousu/show/id/1373783","http://ts.21cn.com/tousu/show/id/1373783")</f>
      </c>
      <c r="G350" t="s" s="2">
        <v>17</v>
      </c>
      <c r="H350" t="s" s="2">
        <v>19</v>
      </c>
      <c r="I350" t="s" s="2">
        <v>1406</v>
      </c>
      <c r="J350" t="s" s="2">
        <v>1407</v>
      </c>
      <c r="K350" t="s" s="2">
        <v>22</v>
      </c>
      <c r="L350" t="s" s="2">
        <v>22</v>
      </c>
      <c r="M350" t="s" s="2">
        <v>22</v>
      </c>
    </row>
    <row r="351" ht="25.0" customHeight="true">
      <c r="A351" t="s" s="2">
        <v>13</v>
      </c>
      <c r="B351" t="s" s="2">
        <f>HYPERLINK("http://ts.21cn.com/tousu/show/id/1373782","小花钱包催收人员辱骂威胁")</f>
      </c>
      <c r="C351" t="s" s="2">
        <v>15</v>
      </c>
      <c r="D351" t="s" s="2">
        <v>16</v>
      </c>
      <c r="E351" t="s" s="2">
        <v>17</v>
      </c>
      <c r="F351" t="s" s="2">
        <f>HYPERLINK("http://ts.21cn.com/tousu/show/id/1373782","http://ts.21cn.com/tousu/show/id/1373782")</f>
      </c>
      <c r="G351" t="s" s="2">
        <v>17</v>
      </c>
      <c r="H351" t="s" s="2">
        <v>19</v>
      </c>
      <c r="I351" t="s" s="2">
        <v>1410</v>
      </c>
      <c r="J351" t="s" s="2">
        <v>1411</v>
      </c>
      <c r="K351" t="s" s="2">
        <v>22</v>
      </c>
      <c r="L351" t="s" s="2">
        <v>22</v>
      </c>
      <c r="M351" t="s" s="2">
        <v>22</v>
      </c>
    </row>
    <row r="352" ht="25.0" customHeight="true">
      <c r="A352" t="s" s="2">
        <v>13</v>
      </c>
      <c r="B352" t="s" s="2">
        <f>HYPERLINK("http://ts.21cn.com/tousu/show/id/1373781","升学教育霸王条款不让退费")</f>
      </c>
      <c r="C352" t="s" s="2">
        <v>15</v>
      </c>
      <c r="D352" t="s" s="2">
        <v>16</v>
      </c>
      <c r="E352" t="s" s="2">
        <v>17</v>
      </c>
      <c r="F352" t="s" s="2">
        <f>HYPERLINK("http://ts.21cn.com/tousu/show/id/1373781","http://ts.21cn.com/tousu/show/id/1373781")</f>
      </c>
      <c r="G352" t="s" s="2">
        <v>17</v>
      </c>
      <c r="H352" t="s" s="2">
        <v>19</v>
      </c>
      <c r="I352" t="s" s="2">
        <v>1414</v>
      </c>
      <c r="J352" t="s" s="2">
        <v>1415</v>
      </c>
      <c r="K352" t="s" s="2">
        <v>22</v>
      </c>
      <c r="L352" t="s" s="2">
        <v>22</v>
      </c>
      <c r="M352" t="s" s="2">
        <v>22</v>
      </c>
    </row>
    <row r="353" ht="25.0" customHeight="true">
      <c r="A353" t="s" s="2">
        <v>13</v>
      </c>
      <c r="B353" t="s" s="2">
        <f>HYPERLINK("http://ts.21cn.com/tousu/show/id/1373780","安逸花暴力催收")</f>
      </c>
      <c r="C353" t="s" s="2">
        <v>15</v>
      </c>
      <c r="D353" t="s" s="2">
        <v>16</v>
      </c>
      <c r="E353" t="s" s="2">
        <v>17</v>
      </c>
      <c r="F353" t="s" s="2">
        <f>HYPERLINK("http://ts.21cn.com/tousu/show/id/1373780","http://ts.21cn.com/tousu/show/id/1373780")</f>
      </c>
      <c r="G353" t="s" s="2">
        <v>17</v>
      </c>
      <c r="H353" t="s" s="2">
        <v>19</v>
      </c>
      <c r="I353" t="s" s="2">
        <v>1418</v>
      </c>
      <c r="J353" t="s" s="2">
        <v>1419</v>
      </c>
      <c r="K353" t="s" s="2">
        <v>22</v>
      </c>
      <c r="L353" t="s" s="2">
        <v>22</v>
      </c>
      <c r="M353" t="s" s="2">
        <v>22</v>
      </c>
    </row>
    <row r="354" ht="25.0" customHeight="true">
      <c r="A354" t="s" s="2">
        <v>13</v>
      </c>
      <c r="B354" t="s" s="2">
        <f>HYPERLINK("http://ts.21cn.com/tousu/show/id/1373778","砍头息恶意骚扰爆通讯录")</f>
      </c>
      <c r="C354" t="s" s="2">
        <v>15</v>
      </c>
      <c r="D354" t="s" s="2">
        <v>16</v>
      </c>
      <c r="E354" t="s" s="2">
        <v>17</v>
      </c>
      <c r="F354" t="s" s="2">
        <f>HYPERLINK("http://ts.21cn.com/tousu/show/id/1373778","http://ts.21cn.com/tousu/show/id/1373778")</f>
      </c>
      <c r="G354" t="s" s="2">
        <v>17</v>
      </c>
      <c r="H354" t="s" s="2">
        <v>19</v>
      </c>
      <c r="I354" t="s" s="2">
        <v>1422</v>
      </c>
      <c r="J354" t="s" s="2">
        <v>1423</v>
      </c>
      <c r="K354" t="s" s="2">
        <v>22</v>
      </c>
      <c r="L354" t="s" s="2">
        <v>22</v>
      </c>
      <c r="M354" t="s" s="2">
        <v>22</v>
      </c>
    </row>
    <row r="355" ht="25.0" customHeight="true">
      <c r="A355" t="s" s="2">
        <v>13</v>
      </c>
      <c r="B355" t="s" s="2">
        <f>HYPERLINK("http://ts.21cn.com/tousu/show/id/1373777","淘宝账号无法注销")</f>
      </c>
      <c r="C355" t="s" s="2">
        <v>15</v>
      </c>
      <c r="D355" t="s" s="2">
        <v>16</v>
      </c>
      <c r="E355" t="s" s="2">
        <v>17</v>
      </c>
      <c r="F355" t="s" s="2">
        <f>HYPERLINK("http://ts.21cn.com/tousu/show/id/1373777","http://ts.21cn.com/tousu/show/id/1373777")</f>
      </c>
      <c r="G355" t="s" s="2">
        <v>17</v>
      </c>
      <c r="H355" t="s" s="2">
        <v>19</v>
      </c>
      <c r="I355" t="s" s="2">
        <v>1426</v>
      </c>
      <c r="J355" t="s" s="2">
        <v>1427</v>
      </c>
      <c r="K355" t="s" s="2">
        <v>22</v>
      </c>
      <c r="L355" t="s" s="2">
        <v>22</v>
      </c>
      <c r="M355" t="s" s="2">
        <v>22</v>
      </c>
    </row>
    <row r="356" ht="25.0" customHeight="true">
      <c r="A356" t="s" s="2">
        <v>13</v>
      </c>
      <c r="B356" t="s" s="2">
        <f>HYPERLINK("http://ts.21cn.com/tousu/show/id/1373776","爆通讯录")</f>
      </c>
      <c r="C356" t="s" s="2">
        <v>15</v>
      </c>
      <c r="D356" t="s" s="2">
        <v>16</v>
      </c>
      <c r="E356" t="s" s="2">
        <v>17</v>
      </c>
      <c r="F356" t="s" s="2">
        <f>HYPERLINK("http://ts.21cn.com/tousu/show/id/1373776","http://ts.21cn.com/tousu/show/id/1373776")</f>
      </c>
      <c r="G356" t="s" s="2">
        <v>17</v>
      </c>
      <c r="H356" t="s" s="2">
        <v>19</v>
      </c>
      <c r="I356" t="s" s="2">
        <v>1430</v>
      </c>
      <c r="J356" t="s" s="2">
        <v>1431</v>
      </c>
      <c r="K356" t="s" s="2">
        <v>22</v>
      </c>
      <c r="L356" t="s" s="2">
        <v>22</v>
      </c>
      <c r="M356" t="s" s="2">
        <v>22</v>
      </c>
    </row>
    <row r="357" ht="25.0" customHeight="true">
      <c r="A357" t="s" s="2">
        <v>13</v>
      </c>
      <c r="B357" t="s" s="2">
        <f>HYPERLINK("http://ts.21cn.com/tousu/show/id/1373775","上海达旷金融信息服务有限公司714高炮714")</f>
      </c>
      <c r="C357" t="s" s="2">
        <v>15</v>
      </c>
      <c r="D357" t="s" s="2">
        <v>16</v>
      </c>
      <c r="E357" t="s" s="2">
        <v>17</v>
      </c>
      <c r="F357" t="s" s="2">
        <f>HYPERLINK("http://ts.21cn.com/tousu/show/id/1373775","http://ts.21cn.com/tousu/show/id/1373775")</f>
      </c>
      <c r="G357" t="s" s="2">
        <v>17</v>
      </c>
      <c r="H357" t="s" s="2">
        <v>19</v>
      </c>
      <c r="I357" t="s" s="2">
        <v>1434</v>
      </c>
      <c r="J357" t="s" s="2">
        <v>1435</v>
      </c>
      <c r="K357" t="s" s="2">
        <v>22</v>
      </c>
      <c r="L357" t="s" s="2">
        <v>22</v>
      </c>
      <c r="M357" t="s" s="2">
        <v>22</v>
      </c>
    </row>
    <row r="358" ht="25.0" customHeight="true">
      <c r="A358" t="s" s="2">
        <v>13</v>
      </c>
      <c r="B358" t="s" s="2">
        <f>HYPERLINK("http://ts.21cn.com/tousu/show/id/1373774","民声信用卡不协商还款")</f>
      </c>
      <c r="C358" t="s" s="2">
        <v>52</v>
      </c>
      <c r="D358" t="s" s="2">
        <v>16</v>
      </c>
      <c r="E358" t="s" s="2">
        <v>17</v>
      </c>
      <c r="F358" t="s" s="2">
        <f>HYPERLINK("http://ts.21cn.com/tousu/show/id/1373774","http://ts.21cn.com/tousu/show/id/1373774")</f>
      </c>
      <c r="G358" t="s" s="2">
        <v>17</v>
      </c>
      <c r="H358" t="s" s="2">
        <v>19</v>
      </c>
      <c r="I358" t="s" s="2">
        <v>1438</v>
      </c>
      <c r="J358" t="s" s="2">
        <v>1439</v>
      </c>
      <c r="K358" t="s" s="2">
        <v>22</v>
      </c>
      <c r="L358" t="s" s="2">
        <v>22</v>
      </c>
      <c r="M358" t="s" s="2">
        <v>22</v>
      </c>
    </row>
    <row r="359" ht="25.0" customHeight="true">
      <c r="A359" t="s" s="2">
        <v>13</v>
      </c>
      <c r="B359" t="s" s="2">
        <f>HYPERLINK("http://ts.21cn.com/tousu/show/id/1373773","玖富万卡高利贷，还款当天就算逾期")</f>
      </c>
      <c r="C359" t="s" s="2">
        <v>15</v>
      </c>
      <c r="D359" t="s" s="2">
        <v>16</v>
      </c>
      <c r="E359" t="s" s="2">
        <v>17</v>
      </c>
      <c r="F359" t="s" s="2">
        <f>HYPERLINK("http://ts.21cn.com/tousu/show/id/1373773","http://ts.21cn.com/tousu/show/id/1373773")</f>
      </c>
      <c r="G359" t="s" s="2">
        <v>17</v>
      </c>
      <c r="H359" t="s" s="2">
        <v>19</v>
      </c>
      <c r="I359" t="s" s="2">
        <v>1442</v>
      </c>
      <c r="J359" t="s" s="2">
        <v>1443</v>
      </c>
      <c r="K359" t="s" s="2">
        <v>22</v>
      </c>
      <c r="L359" t="s" s="2">
        <v>22</v>
      </c>
      <c r="M359" t="s" s="2">
        <v>22</v>
      </c>
    </row>
    <row r="360" ht="25.0" customHeight="true">
      <c r="A360" t="s" s="2">
        <v>13</v>
      </c>
      <c r="B360" t="s" s="2">
        <f>HYPERLINK("http://ts.21cn.com/tousu/show/id/1373772","淘豆分期无缘无故扣费299元")</f>
      </c>
      <c r="C360" t="s" s="2">
        <v>15</v>
      </c>
      <c r="D360" t="s" s="2">
        <v>16</v>
      </c>
      <c r="E360" t="s" s="2">
        <v>17</v>
      </c>
      <c r="F360" t="s" s="2">
        <f>HYPERLINK("http://ts.21cn.com/tousu/show/id/1373772","http://ts.21cn.com/tousu/show/id/1373772")</f>
      </c>
      <c r="G360" t="s" s="2">
        <v>17</v>
      </c>
      <c r="H360" t="s" s="2">
        <v>19</v>
      </c>
      <c r="I360" t="s" s="2">
        <v>1446</v>
      </c>
      <c r="J360" t="s" s="2">
        <v>1447</v>
      </c>
      <c r="K360" t="s" s="2">
        <v>22</v>
      </c>
      <c r="L360" t="s" s="2">
        <v>22</v>
      </c>
      <c r="M360" t="s" s="2">
        <v>22</v>
      </c>
    </row>
    <row r="361" ht="25.0" customHeight="true">
      <c r="A361" t="s" s="2">
        <v>13</v>
      </c>
      <c r="B361" t="s" s="2">
        <f>HYPERLINK("http://ts.21cn.com/tousu/show/id/1373771","我来数科暴力催收")</f>
      </c>
      <c r="C361" t="s" s="2">
        <v>15</v>
      </c>
      <c r="D361" t="s" s="2">
        <v>16</v>
      </c>
      <c r="E361" t="s" s="2">
        <v>17</v>
      </c>
      <c r="F361" t="s" s="2">
        <f>HYPERLINK("http://ts.21cn.com/tousu/show/id/1373771","http://ts.21cn.com/tousu/show/id/1373771")</f>
      </c>
      <c r="G361" t="s" s="2">
        <v>17</v>
      </c>
      <c r="H361" t="s" s="2">
        <v>19</v>
      </c>
      <c r="I361" t="s" s="2">
        <v>1450</v>
      </c>
      <c r="J361" t="s" s="2">
        <v>1451</v>
      </c>
      <c r="K361" t="s" s="2">
        <v>22</v>
      </c>
      <c r="L361" t="s" s="2">
        <v>22</v>
      </c>
      <c r="M361" t="s" s="2">
        <v>22</v>
      </c>
    </row>
    <row r="362" ht="25.0" customHeight="true">
      <c r="A362" t="s" s="2">
        <v>13</v>
      </c>
      <c r="B362" t="s" s="2">
        <f>HYPERLINK("http://ts.21cn.com/tousu/show/id/1373770","曹县尚赢网络科技有限公司")</f>
      </c>
      <c r="C362" t="s" s="2">
        <v>15</v>
      </c>
      <c r="D362" t="s" s="2">
        <v>16</v>
      </c>
      <c r="E362" t="s" s="2">
        <v>17</v>
      </c>
      <c r="F362" t="s" s="2">
        <f>HYPERLINK("http://ts.21cn.com/tousu/show/id/1373770","http://ts.21cn.com/tousu/show/id/1373770")</f>
      </c>
      <c r="G362" t="s" s="2">
        <v>17</v>
      </c>
      <c r="H362" t="s" s="2">
        <v>19</v>
      </c>
      <c r="I362" t="s" s="2">
        <v>1454</v>
      </c>
      <c r="J362" t="s" s="2">
        <v>1455</v>
      </c>
      <c r="K362" t="s" s="2">
        <v>22</v>
      </c>
      <c r="L362" t="s" s="2">
        <v>22</v>
      </c>
      <c r="M362" t="s" s="2">
        <v>22</v>
      </c>
    </row>
    <row r="363" ht="25.0" customHeight="true">
      <c r="A363" t="s" s="2">
        <v>13</v>
      </c>
      <c r="B363" t="s" s="2">
        <f>HYPERLINK("http://ts.21cn.com/tousu/show/id/1373769","暴力催收！恐吓！")</f>
      </c>
      <c r="C363" t="s" s="2">
        <v>15</v>
      </c>
      <c r="D363" t="s" s="2">
        <v>16</v>
      </c>
      <c r="E363" t="s" s="2">
        <v>17</v>
      </c>
      <c r="F363" t="s" s="2">
        <f>HYPERLINK("http://ts.21cn.com/tousu/show/id/1373769","http://ts.21cn.com/tousu/show/id/1373769")</f>
      </c>
      <c r="G363" t="s" s="2">
        <v>17</v>
      </c>
      <c r="H363" t="s" s="2">
        <v>19</v>
      </c>
      <c r="I363" t="s" s="2">
        <v>1458</v>
      </c>
      <c r="J363" t="s" s="2">
        <v>1459</v>
      </c>
      <c r="K363" t="s" s="2">
        <v>22</v>
      </c>
      <c r="L363" t="s" s="2">
        <v>22</v>
      </c>
      <c r="M363" t="s" s="2">
        <v>22</v>
      </c>
    </row>
    <row r="364" ht="25.0" customHeight="true">
      <c r="A364" t="s" s="2">
        <v>13</v>
      </c>
      <c r="B364" t="s" s="2">
        <f>HYPERLINK("http://ts.21cn.com/tousu/show/id/1373768","恶意骚扰恐吓催收，为得到我本人同同意讲假的律师函群发给我通讯录，对我的生活造成严重的影响")</f>
      </c>
      <c r="C364" t="s" s="2">
        <v>15</v>
      </c>
      <c r="D364" t="s" s="2">
        <v>16</v>
      </c>
      <c r="E364" t="s" s="2">
        <v>17</v>
      </c>
      <c r="F364" t="s" s="2">
        <f>HYPERLINK("http://ts.21cn.com/tousu/show/id/1373768","http://ts.21cn.com/tousu/show/id/1373768")</f>
      </c>
      <c r="G364" t="s" s="2">
        <v>17</v>
      </c>
      <c r="H364" t="s" s="2">
        <v>19</v>
      </c>
      <c r="I364" t="s" s="2">
        <v>1462</v>
      </c>
      <c r="J364" t="s" s="2">
        <v>1463</v>
      </c>
      <c r="K364" t="s" s="2">
        <v>22</v>
      </c>
      <c r="L364" t="s" s="2">
        <v>22</v>
      </c>
      <c r="M364" t="s" s="2">
        <v>22</v>
      </c>
    </row>
    <row r="365" ht="25.0" customHeight="true">
      <c r="A365" t="s" s="2">
        <v>13</v>
      </c>
      <c r="B365" t="s" s="2">
        <f>HYPERLINK("http://ts.21cn.com/tousu/show/id/1373767","无锡源石云科技有限公司高利贷")</f>
      </c>
      <c r="C365" t="s" s="2">
        <v>15</v>
      </c>
      <c r="D365" t="s" s="2">
        <v>16</v>
      </c>
      <c r="E365" t="s" s="2">
        <v>17</v>
      </c>
      <c r="F365" t="s" s="2">
        <f>HYPERLINK("http://ts.21cn.com/tousu/show/id/1373767","http://ts.21cn.com/tousu/show/id/1373767")</f>
      </c>
      <c r="G365" t="s" s="2">
        <v>17</v>
      </c>
      <c r="H365" t="s" s="2">
        <v>19</v>
      </c>
      <c r="I365" t="s" s="2">
        <v>1466</v>
      </c>
      <c r="J365" t="s" s="2">
        <v>1467</v>
      </c>
      <c r="K365" t="s" s="2">
        <v>22</v>
      </c>
      <c r="L365" t="s" s="2">
        <v>22</v>
      </c>
      <c r="M365" t="s" s="2">
        <v>22</v>
      </c>
    </row>
    <row r="366" ht="25.0" customHeight="true">
      <c r="A366" t="s" s="2">
        <v>13</v>
      </c>
      <c r="B366" t="s" s="2">
        <f>HYPERLINK("http://ts.21cn.com/tousu/show/id/1373766","高利贷爆力崔收")</f>
      </c>
      <c r="C366" t="s" s="2">
        <v>15</v>
      </c>
      <c r="D366" t="s" s="2">
        <v>16</v>
      </c>
      <c r="E366" t="s" s="2">
        <v>17</v>
      </c>
      <c r="F366" t="s" s="2">
        <f>HYPERLINK("http://ts.21cn.com/tousu/show/id/1373766","http://ts.21cn.com/tousu/show/id/1373766")</f>
      </c>
      <c r="G366" t="s" s="2">
        <v>17</v>
      </c>
      <c r="H366" t="s" s="2">
        <v>19</v>
      </c>
      <c r="I366" t="s" s="2">
        <v>1470</v>
      </c>
      <c r="J366" t="s" s="2">
        <v>1471</v>
      </c>
      <c r="K366" t="s" s="2">
        <v>22</v>
      </c>
      <c r="L366" t="s" s="2">
        <v>22</v>
      </c>
      <c r="M366" t="s" s="2">
        <v>22</v>
      </c>
    </row>
    <row r="367" ht="25.0" customHeight="true">
      <c r="A367" t="s" s="2">
        <v>13</v>
      </c>
      <c r="B367" t="s" s="2">
        <f>HYPERLINK("http://ts.21cn.com/tousu/show/id/1373765","苹果账号被骗被盗刷，苹果公司与天晴互动娱乐公司不履行消费者权益")</f>
      </c>
      <c r="C367" t="s" s="2">
        <v>15</v>
      </c>
      <c r="D367" t="s" s="2">
        <v>16</v>
      </c>
      <c r="E367" t="s" s="2">
        <v>17</v>
      </c>
      <c r="F367" t="s" s="2">
        <f>HYPERLINK("http://ts.21cn.com/tousu/show/id/1373765","http://ts.21cn.com/tousu/show/id/1373765")</f>
      </c>
      <c r="G367" t="s" s="2">
        <v>17</v>
      </c>
      <c r="H367" t="s" s="2">
        <v>19</v>
      </c>
      <c r="I367" t="s" s="2">
        <v>1474</v>
      </c>
      <c r="J367" t="s" s="2">
        <v>1475</v>
      </c>
      <c r="K367" t="s" s="2">
        <v>22</v>
      </c>
      <c r="L367" t="s" s="2">
        <v>22</v>
      </c>
      <c r="M367" t="s" s="2">
        <v>22</v>
      </c>
    </row>
    <row r="368" ht="25.0" customHeight="true">
      <c r="A368" t="s" s="2">
        <v>13</v>
      </c>
      <c r="B368" t="s" s="2">
        <f>HYPERLINK("http://ts.21cn.com/tousu/show/id/1373764","信用管家app神马借高额违法利息")</f>
      </c>
      <c r="C368" t="s" s="2">
        <v>15</v>
      </c>
      <c r="D368" t="s" s="2">
        <v>16</v>
      </c>
      <c r="E368" t="s" s="2">
        <v>17</v>
      </c>
      <c r="F368" t="s" s="2">
        <f>HYPERLINK("http://ts.21cn.com/tousu/show/id/1373764","http://ts.21cn.com/tousu/show/id/1373764")</f>
      </c>
      <c r="G368" t="s" s="2">
        <v>17</v>
      </c>
      <c r="H368" t="s" s="2">
        <v>19</v>
      </c>
      <c r="I368" t="s" s="2">
        <v>1478</v>
      </c>
      <c r="J368" t="s" s="2">
        <v>1479</v>
      </c>
      <c r="K368" t="s" s="2">
        <v>22</v>
      </c>
      <c r="L368" t="s" s="2">
        <v>22</v>
      </c>
      <c r="M368" t="s" s="2">
        <v>22</v>
      </c>
    </row>
    <row r="369" ht="25.0" customHeight="true">
      <c r="A369" t="s" s="2">
        <v>13</v>
      </c>
      <c r="B369" t="s" s="2">
        <f>HYPERLINK("http://ts.21cn.com/tousu/show/id/1373763","卷走租金")</f>
      </c>
      <c r="C369" t="s" s="2">
        <v>15</v>
      </c>
      <c r="D369" t="s" s="2">
        <v>16</v>
      </c>
      <c r="E369" t="s" s="2">
        <v>17</v>
      </c>
      <c r="F369" t="s" s="2">
        <f>HYPERLINK("http://ts.21cn.com/tousu/show/id/1373763","http://ts.21cn.com/tousu/show/id/1373763")</f>
      </c>
      <c r="G369" t="s" s="2">
        <v>17</v>
      </c>
      <c r="H369" t="s" s="2">
        <v>19</v>
      </c>
      <c r="I369" t="s" s="2">
        <v>1482</v>
      </c>
      <c r="J369" t="s" s="2">
        <v>1483</v>
      </c>
      <c r="K369" t="s" s="2">
        <v>22</v>
      </c>
      <c r="L369" t="s" s="2">
        <v>22</v>
      </c>
      <c r="M369" t="s" s="2">
        <v>22</v>
      </c>
    </row>
    <row r="370" ht="25.0" customHeight="true">
      <c r="A370" t="s" s="2">
        <v>13</v>
      </c>
      <c r="B370" t="s" s="2">
        <f>HYPERLINK("http://ts.21cn.com/tousu/show/id/1373744","百世快递济南转运中心发往重庆转运中心，一直转运无后续")</f>
      </c>
      <c r="C370" t="s" s="2">
        <v>52</v>
      </c>
      <c r="D370" t="s" s="2">
        <v>16</v>
      </c>
      <c r="E370" t="s" s="2">
        <v>17</v>
      </c>
      <c r="F370" t="s" s="2">
        <f>HYPERLINK("http://ts.21cn.com/tousu/show/id/1373744","http://ts.21cn.com/tousu/show/id/1373744")</f>
      </c>
      <c r="G370" t="s" s="2">
        <v>17</v>
      </c>
      <c r="H370" t="s" s="2">
        <v>19</v>
      </c>
      <c r="I370" t="s" s="2">
        <v>1486</v>
      </c>
      <c r="J370" t="s" s="2">
        <v>1487</v>
      </c>
      <c r="K370" t="s" s="2">
        <v>22</v>
      </c>
      <c r="L370" t="s" s="2">
        <v>22</v>
      </c>
      <c r="M370" t="s" s="2">
        <v>22</v>
      </c>
    </row>
    <row r="371" ht="25.0" customHeight="true">
      <c r="A371" t="s" s="2">
        <v>13</v>
      </c>
      <c r="B371" t="s" s="2">
        <f>HYPERLINK("http://ts.21cn.com/tousu/show/id/1373761","360借条暴力催收")</f>
      </c>
      <c r="C371" t="s" s="2">
        <v>15</v>
      </c>
      <c r="D371" t="s" s="2">
        <v>16</v>
      </c>
      <c r="E371" t="s" s="2">
        <v>17</v>
      </c>
      <c r="F371" t="s" s="2">
        <f>HYPERLINK("http://ts.21cn.com/tousu/show/id/1373761","http://ts.21cn.com/tousu/show/id/1373761")</f>
      </c>
      <c r="G371" t="s" s="2">
        <v>17</v>
      </c>
      <c r="H371" t="s" s="2">
        <v>19</v>
      </c>
      <c r="I371" t="s" s="2">
        <v>1490</v>
      </c>
      <c r="J371" t="s" s="2">
        <v>1491</v>
      </c>
      <c r="K371" t="s" s="2">
        <v>22</v>
      </c>
      <c r="L371" t="s" s="2">
        <v>22</v>
      </c>
      <c r="M371" t="s" s="2">
        <v>22</v>
      </c>
    </row>
    <row r="372" ht="25.0" customHeight="true">
      <c r="A372" t="s" s="2">
        <v>13</v>
      </c>
      <c r="B372" t="s" s="2">
        <f>HYPERLINK("http://ts.21cn.com/tousu/show/id/1373759","钱包易贷高利贷、砍头息")</f>
      </c>
      <c r="C372" t="s" s="2">
        <v>15</v>
      </c>
      <c r="D372" t="s" s="2">
        <v>16</v>
      </c>
      <c r="E372" t="s" s="2">
        <v>17</v>
      </c>
      <c r="F372" t="s" s="2">
        <f>HYPERLINK("http://ts.21cn.com/tousu/show/id/1373759","http://ts.21cn.com/tousu/show/id/1373759")</f>
      </c>
      <c r="G372" t="s" s="2">
        <v>17</v>
      </c>
      <c r="H372" t="s" s="2">
        <v>19</v>
      </c>
      <c r="I372" t="s" s="2">
        <v>1494</v>
      </c>
      <c r="J372" t="s" s="2">
        <v>1495</v>
      </c>
      <c r="K372" t="s" s="2">
        <v>22</v>
      </c>
      <c r="L372" t="s" s="2">
        <v>22</v>
      </c>
      <c r="M372" t="s" s="2">
        <v>22</v>
      </c>
    </row>
    <row r="373" ht="25.0" customHeight="true">
      <c r="A373" t="s" s="2">
        <v>13</v>
      </c>
      <c r="B373" t="s" s="2">
        <f>HYPERLINK("http://ts.21cn.com/tousu/show/id/1373760","强生出租车")</f>
      </c>
      <c r="C373" t="s" s="2">
        <v>15</v>
      </c>
      <c r="D373" t="s" s="2">
        <v>16</v>
      </c>
      <c r="E373" t="s" s="2">
        <v>17</v>
      </c>
      <c r="F373" t="s" s="2">
        <f>HYPERLINK("http://ts.21cn.com/tousu/show/id/1373760","http://ts.21cn.com/tousu/show/id/1373760")</f>
      </c>
      <c r="G373" t="s" s="2">
        <v>17</v>
      </c>
      <c r="H373" t="s" s="2">
        <v>19</v>
      </c>
      <c r="I373" t="s" s="2">
        <v>1498</v>
      </c>
      <c r="J373" t="s" s="2">
        <v>1499</v>
      </c>
      <c r="K373" t="s" s="2">
        <v>22</v>
      </c>
      <c r="L373" t="s" s="2">
        <v>22</v>
      </c>
      <c r="M373" t="s" s="2">
        <v>22</v>
      </c>
    </row>
    <row r="374" ht="25.0" customHeight="true">
      <c r="A374" t="s" s="2">
        <v>13</v>
      </c>
      <c r="B374" t="s" s="2">
        <f>HYPERLINK("http://ts.21cn.com/tousu/show/id/1373758","民航通黑卡虚假宣传、存在欺诈行为")</f>
      </c>
      <c r="C374" t="s" s="2">
        <v>15</v>
      </c>
      <c r="D374" t="s" s="2">
        <v>16</v>
      </c>
      <c r="E374" t="s" s="2">
        <v>17</v>
      </c>
      <c r="F374" t="s" s="2">
        <f>HYPERLINK("http://ts.21cn.com/tousu/show/id/1373758","http://ts.21cn.com/tousu/show/id/1373758")</f>
      </c>
      <c r="G374" t="s" s="2">
        <v>17</v>
      </c>
      <c r="H374" t="s" s="2">
        <v>19</v>
      </c>
      <c r="I374" t="s" s="2">
        <v>1502</v>
      </c>
      <c r="J374" t="s" s="2">
        <v>1503</v>
      </c>
      <c r="K374" t="s" s="2">
        <v>22</v>
      </c>
      <c r="L374" t="s" s="2">
        <v>22</v>
      </c>
      <c r="M374" t="s" s="2">
        <v>22</v>
      </c>
    </row>
    <row r="375" ht="25.0" customHeight="true">
      <c r="A375" t="s" s="2">
        <v>13</v>
      </c>
      <c r="B375" t="s" s="2">
        <f>HYPERLINK("http://ts.21cn.com/tousu/show/id/1373757","网贷催收爆通讯录利息高")</f>
      </c>
      <c r="C375" t="s" s="2">
        <v>15</v>
      </c>
      <c r="D375" t="s" s="2">
        <v>16</v>
      </c>
      <c r="E375" t="s" s="2">
        <v>17</v>
      </c>
      <c r="F375" t="s" s="2">
        <f>HYPERLINK("http://ts.21cn.com/tousu/show/id/1373757","http://ts.21cn.com/tousu/show/id/1373757")</f>
      </c>
      <c r="G375" t="s" s="2">
        <v>17</v>
      </c>
      <c r="H375" t="s" s="2">
        <v>19</v>
      </c>
      <c r="I375" t="s" s="2">
        <v>1506</v>
      </c>
      <c r="J375" t="s" s="2">
        <v>1507</v>
      </c>
      <c r="K375" t="s" s="2">
        <v>22</v>
      </c>
      <c r="L375" t="s" s="2">
        <v>22</v>
      </c>
      <c r="M375" t="s" s="2">
        <v>22</v>
      </c>
    </row>
    <row r="376" ht="25.0" customHeight="true">
      <c r="A376" t="s" s="2">
        <v>13</v>
      </c>
      <c r="B376" t="s" s="2">
        <f>HYPERLINK("http://ts.21cn.com/tousu/show/id/1373738","出尔反尔高利息")</f>
      </c>
      <c r="C376" t="s" s="2">
        <v>15</v>
      </c>
      <c r="D376" t="s" s="2">
        <v>16</v>
      </c>
      <c r="E376" t="s" s="2">
        <v>17</v>
      </c>
      <c r="F376" t="s" s="2">
        <f>HYPERLINK("http://ts.21cn.com/tousu/show/id/1373738","http://ts.21cn.com/tousu/show/id/1373738")</f>
      </c>
      <c r="G376" t="s" s="2">
        <v>17</v>
      </c>
      <c r="H376" t="s" s="2">
        <v>19</v>
      </c>
      <c r="I376" t="s" s="2">
        <v>1510</v>
      </c>
      <c r="J376" t="s" s="2">
        <v>1511</v>
      </c>
      <c r="K376" t="s" s="2">
        <v>22</v>
      </c>
      <c r="L376" t="s" s="2">
        <v>22</v>
      </c>
      <c r="M376" t="s" s="2">
        <v>22</v>
      </c>
    </row>
    <row r="377" ht="25.0" customHeight="true">
      <c r="A377" t="s" s="2">
        <v>13</v>
      </c>
      <c r="B377" t="s" s="2">
        <f>HYPERLINK("http://ts.21cn.com/tousu/show/id/1373755","威胁")</f>
      </c>
      <c r="C377" t="s" s="2">
        <v>15</v>
      </c>
      <c r="D377" t="s" s="2">
        <v>16</v>
      </c>
      <c r="E377" t="s" s="2">
        <v>17</v>
      </c>
      <c r="F377" t="s" s="2">
        <f>HYPERLINK("http://ts.21cn.com/tousu/show/id/1373755","http://ts.21cn.com/tousu/show/id/1373755")</f>
      </c>
      <c r="G377" t="s" s="2">
        <v>17</v>
      </c>
      <c r="H377" t="s" s="2">
        <v>19</v>
      </c>
      <c r="I377" t="s" s="2">
        <v>1514</v>
      </c>
      <c r="J377" t="s" s="2">
        <v>1515</v>
      </c>
      <c r="K377" t="s" s="2">
        <v>22</v>
      </c>
      <c r="L377" t="s" s="2">
        <v>22</v>
      </c>
      <c r="M377" t="s" s="2">
        <v>22</v>
      </c>
    </row>
    <row r="378" ht="25.0" customHeight="true">
      <c r="A378" t="s" s="2">
        <v>13</v>
      </c>
      <c r="B378" t="s" s="2">
        <f>HYPERLINK("http://ts.21cn.com/tousu/show/id/1373684","买房被欺，商家不退定金")</f>
      </c>
      <c r="C378" t="s" s="2">
        <v>15</v>
      </c>
      <c r="D378" t="s" s="2">
        <v>16</v>
      </c>
      <c r="E378" t="s" s="2">
        <v>17</v>
      </c>
      <c r="F378" t="s" s="2">
        <f>HYPERLINK("http://ts.21cn.com/tousu/show/id/1373684","http://ts.21cn.com/tousu/show/id/1373684")</f>
      </c>
      <c r="G378" t="s" s="2">
        <v>17</v>
      </c>
      <c r="H378" t="s" s="2">
        <v>19</v>
      </c>
      <c r="I378" t="s" s="2">
        <v>1518</v>
      </c>
      <c r="J378" t="s" s="2">
        <v>1519</v>
      </c>
      <c r="K378" t="s" s="2">
        <v>22</v>
      </c>
      <c r="L378" t="s" s="2">
        <v>22</v>
      </c>
      <c r="M378" t="s" s="2">
        <v>22</v>
      </c>
    </row>
    <row r="379" ht="25.0" customHeight="true">
      <c r="A379" t="s" s="2">
        <v>13</v>
      </c>
      <c r="B379" t="s" s="2">
        <f>HYPERLINK("http://ts.21cn.com/tousu/show/id/1373754","乐刷的快pos，存在诱导收取150元，不退换")</f>
      </c>
      <c r="C379" t="s" s="2">
        <v>15</v>
      </c>
      <c r="D379" t="s" s="2">
        <v>16</v>
      </c>
      <c r="E379" t="s" s="2">
        <v>17</v>
      </c>
      <c r="F379" t="s" s="2">
        <f>HYPERLINK("http://ts.21cn.com/tousu/show/id/1373754","http://ts.21cn.com/tousu/show/id/1373754")</f>
      </c>
      <c r="G379" t="s" s="2">
        <v>17</v>
      </c>
      <c r="H379" t="s" s="2">
        <v>19</v>
      </c>
      <c r="I379" t="s" s="2">
        <v>1522</v>
      </c>
      <c r="J379" t="s" s="2">
        <v>1523</v>
      </c>
      <c r="K379" t="s" s="2">
        <v>22</v>
      </c>
      <c r="L379" t="s" s="2">
        <v>22</v>
      </c>
      <c r="M379" t="s" s="2">
        <v>22</v>
      </c>
    </row>
    <row r="380" ht="25.0" customHeight="true">
      <c r="A380" t="s" s="2">
        <v>13</v>
      </c>
      <c r="B380" t="s" s="2">
        <f>HYPERLINK("http://ts.21cn.com/tousu/show/id/1373752","微应急小狮子蜂窝钱包非法高利贷汇潮支付为非法高利贷提供放款还款通道")</f>
      </c>
      <c r="C380" t="s" s="2">
        <v>15</v>
      </c>
      <c r="D380" t="s" s="2">
        <v>16</v>
      </c>
      <c r="E380" t="s" s="2">
        <v>17</v>
      </c>
      <c r="F380" t="s" s="2">
        <f>HYPERLINK("http://ts.21cn.com/tousu/show/id/1373752","http://ts.21cn.com/tousu/show/id/1373752")</f>
      </c>
      <c r="G380" t="s" s="2">
        <v>17</v>
      </c>
      <c r="H380" t="s" s="2">
        <v>19</v>
      </c>
      <c r="I380" t="s" s="2">
        <v>1526</v>
      </c>
      <c r="J380" t="s" s="2">
        <v>1527</v>
      </c>
      <c r="K380" t="s" s="2">
        <v>22</v>
      </c>
      <c r="L380" t="s" s="2">
        <v>22</v>
      </c>
      <c r="M380" t="s" s="2">
        <v>22</v>
      </c>
    </row>
    <row r="381" ht="25.0" customHeight="true">
      <c r="A381" t="s" s="2">
        <v>13</v>
      </c>
      <c r="B381" t="s" s="2">
        <f>HYPERLINK("http://ts.21cn.com/tousu/show/id/1373753","小象优品暴力催收爆通讯录")</f>
      </c>
      <c r="C381" t="s" s="2">
        <v>15</v>
      </c>
      <c r="D381" t="s" s="2">
        <v>16</v>
      </c>
      <c r="E381" t="s" s="2">
        <v>17</v>
      </c>
      <c r="F381" t="s" s="2">
        <f>HYPERLINK("http://ts.21cn.com/tousu/show/id/1373753","http://ts.21cn.com/tousu/show/id/1373753")</f>
      </c>
      <c r="G381" t="s" s="2">
        <v>17</v>
      </c>
      <c r="H381" t="s" s="2">
        <v>19</v>
      </c>
      <c r="I381" t="s" s="2">
        <v>1530</v>
      </c>
      <c r="J381" t="s" s="2">
        <v>1531</v>
      </c>
      <c r="K381" t="s" s="2">
        <v>22</v>
      </c>
      <c r="L381" t="s" s="2">
        <v>22</v>
      </c>
      <c r="M381" t="s" s="2">
        <v>22</v>
      </c>
    </row>
    <row r="382" ht="25.0" customHeight="true">
      <c r="A382" t="s" s="2">
        <v>13</v>
      </c>
      <c r="B382" t="s" s="2">
        <f>HYPERLINK("http://ts.21cn.com/tousu/show/id/1373751","投诉714非法高息网贷恶意催收")</f>
      </c>
      <c r="C382" t="s" s="2">
        <v>15</v>
      </c>
      <c r="D382" t="s" s="2">
        <v>16</v>
      </c>
      <c r="E382" t="s" s="2">
        <v>17</v>
      </c>
      <c r="F382" t="s" s="2">
        <f>HYPERLINK("http://ts.21cn.com/tousu/show/id/1373751","http://ts.21cn.com/tousu/show/id/1373751")</f>
      </c>
      <c r="G382" t="s" s="2">
        <v>17</v>
      </c>
      <c r="H382" t="s" s="2">
        <v>19</v>
      </c>
      <c r="I382" t="s" s="2">
        <v>1534</v>
      </c>
      <c r="J382" t="s" s="2">
        <v>1535</v>
      </c>
      <c r="K382" t="s" s="2">
        <v>22</v>
      </c>
      <c r="L382" t="s" s="2">
        <v>22</v>
      </c>
      <c r="M382" t="s" s="2">
        <v>22</v>
      </c>
    </row>
    <row r="383" ht="25.0" customHeight="true">
      <c r="A383" t="s" s="2">
        <v>13</v>
      </c>
      <c r="B383" t="s" s="2">
        <f>HYPERLINK("http://ts.21cn.com/tousu/show/id/1373750","芸学教育退费问题")</f>
      </c>
      <c r="C383" t="s" s="2">
        <v>15</v>
      </c>
      <c r="D383" t="s" s="2">
        <v>16</v>
      </c>
      <c r="E383" t="s" s="2">
        <v>17</v>
      </c>
      <c r="F383" t="s" s="2">
        <f>HYPERLINK("http://ts.21cn.com/tousu/show/id/1373750","http://ts.21cn.com/tousu/show/id/1373750")</f>
      </c>
      <c r="G383" t="s" s="2">
        <v>17</v>
      </c>
      <c r="H383" t="s" s="2">
        <v>19</v>
      </c>
      <c r="I383" t="s" s="2">
        <v>1538</v>
      </c>
      <c r="J383" t="s" s="2">
        <v>1539</v>
      </c>
      <c r="K383" t="s" s="2">
        <v>22</v>
      </c>
      <c r="L383" t="s" s="2">
        <v>22</v>
      </c>
      <c r="M383" t="s" s="2">
        <v>22</v>
      </c>
    </row>
    <row r="384" ht="25.0" customHeight="true">
      <c r="A384" t="s" s="2">
        <v>13</v>
      </c>
      <c r="B384" t="s" s="2">
        <f>HYPERLINK("http://ts.21cn.com/tousu/show/id/1373748","及贷平台贷款存在砍头息，利率超标准")</f>
      </c>
      <c r="C384" t="s" s="2">
        <v>15</v>
      </c>
      <c r="D384" t="s" s="2">
        <v>16</v>
      </c>
      <c r="E384" t="s" s="2">
        <v>17</v>
      </c>
      <c r="F384" t="s" s="2">
        <f>HYPERLINK("http://ts.21cn.com/tousu/show/id/1373748","http://ts.21cn.com/tousu/show/id/1373748")</f>
      </c>
      <c r="G384" t="s" s="2">
        <v>17</v>
      </c>
      <c r="H384" t="s" s="2">
        <v>19</v>
      </c>
      <c r="I384" t="s" s="2">
        <v>1542</v>
      </c>
      <c r="J384" t="s" s="2">
        <v>1543</v>
      </c>
      <c r="K384" t="s" s="2">
        <v>22</v>
      </c>
      <c r="L384" t="s" s="2">
        <v>22</v>
      </c>
      <c r="M384" t="s" s="2">
        <v>22</v>
      </c>
    </row>
    <row r="385" ht="25.0" customHeight="true">
      <c r="A385" t="s" s="2">
        <v>13</v>
      </c>
      <c r="B385" t="s" s="2">
        <f>HYPERLINK("http://ts.21cn.com/tousu/show/id/1373747","玖富高利贷")</f>
      </c>
      <c r="C385" t="s" s="2">
        <v>15</v>
      </c>
      <c r="D385" t="s" s="2">
        <v>16</v>
      </c>
      <c r="E385" t="s" s="2">
        <v>17</v>
      </c>
      <c r="F385" t="s" s="2">
        <f>HYPERLINK("http://ts.21cn.com/tousu/show/id/1373747","http://ts.21cn.com/tousu/show/id/1373747")</f>
      </c>
      <c r="G385" t="s" s="2">
        <v>17</v>
      </c>
      <c r="H385" t="s" s="2">
        <v>19</v>
      </c>
      <c r="I385" t="s" s="2">
        <v>1542</v>
      </c>
      <c r="J385" t="s" s="2">
        <v>1545</v>
      </c>
      <c r="K385" t="s" s="2">
        <v>22</v>
      </c>
      <c r="L385" t="s" s="2">
        <v>22</v>
      </c>
      <c r="M385" t="s" s="2">
        <v>22</v>
      </c>
    </row>
    <row r="386" ht="25.0" customHeight="true">
      <c r="A386" t="s" s="2">
        <v>13</v>
      </c>
      <c r="B386" t="s" s="2">
        <f>HYPERLINK("http://ts.21cn.com/tousu/show/id/1373745","情人节APP扣款")</f>
      </c>
      <c r="C386" t="s" s="2">
        <v>15</v>
      </c>
      <c r="D386" t="s" s="2">
        <v>16</v>
      </c>
      <c r="E386" t="s" s="2">
        <v>17</v>
      </c>
      <c r="F386" t="s" s="2">
        <f>HYPERLINK("http://ts.21cn.com/tousu/show/id/1373745","http://ts.21cn.com/tousu/show/id/1373745")</f>
      </c>
      <c r="G386" t="s" s="2">
        <v>17</v>
      </c>
      <c r="H386" t="s" s="2">
        <v>19</v>
      </c>
      <c r="I386" t="s" s="2">
        <v>1548</v>
      </c>
      <c r="J386" t="s" s="2">
        <v>1549</v>
      </c>
      <c r="K386" t="s" s="2">
        <v>22</v>
      </c>
      <c r="L386" t="s" s="2">
        <v>22</v>
      </c>
      <c r="M386" t="s" s="2">
        <v>22</v>
      </c>
    </row>
    <row r="387" ht="25.0" customHeight="true">
      <c r="A387" t="s" s="2">
        <v>13</v>
      </c>
      <c r="B387" t="s" s="2">
        <f>HYPERLINK("http://ts.21cn.com/tousu/show/id/1373742","钱伴优享")</f>
      </c>
      <c r="C387" t="s" s="2">
        <v>52</v>
      </c>
      <c r="D387" t="s" s="2">
        <v>16</v>
      </c>
      <c r="E387" t="s" s="2">
        <v>17</v>
      </c>
      <c r="F387" t="s" s="2">
        <f>HYPERLINK("http://ts.21cn.com/tousu/show/id/1373742","http://ts.21cn.com/tousu/show/id/1373742")</f>
      </c>
      <c r="G387" t="s" s="2">
        <v>17</v>
      </c>
      <c r="H387" t="s" s="2">
        <v>19</v>
      </c>
      <c r="I387" t="s" s="2">
        <v>1552</v>
      </c>
      <c r="J387" t="s" s="2">
        <v>1553</v>
      </c>
      <c r="K387" t="s" s="2">
        <v>22</v>
      </c>
      <c r="L387" t="s" s="2">
        <v>22</v>
      </c>
      <c r="M387" t="s" s="2">
        <v>22</v>
      </c>
    </row>
    <row r="388" ht="25.0" customHeight="true">
      <c r="A388" t="s" s="2">
        <v>13</v>
      </c>
      <c r="B388" t="s" s="2">
        <f>HYPERLINK("http://ts.21cn.com/tousu/show/id/1373709","宜人万花空手套白狼")</f>
      </c>
      <c r="C388" t="s" s="2">
        <v>15</v>
      </c>
      <c r="D388" t="s" s="2">
        <v>16</v>
      </c>
      <c r="E388" t="s" s="2">
        <v>17</v>
      </c>
      <c r="F388" t="s" s="2">
        <f>HYPERLINK("http://ts.21cn.com/tousu/show/id/1373709","http://ts.21cn.com/tousu/show/id/1373709")</f>
      </c>
      <c r="G388" t="s" s="2">
        <v>17</v>
      </c>
      <c r="H388" t="s" s="2">
        <v>19</v>
      </c>
      <c r="I388" t="s" s="2">
        <v>1556</v>
      </c>
      <c r="J388" t="s" s="2">
        <v>1557</v>
      </c>
      <c r="K388" t="s" s="2">
        <v>22</v>
      </c>
      <c r="L388" t="s" s="2">
        <v>22</v>
      </c>
      <c r="M388" t="s" s="2">
        <v>22</v>
      </c>
    </row>
    <row r="389" ht="25.0" customHeight="true">
      <c r="A389" t="s" s="2">
        <v>13</v>
      </c>
      <c r="B389" t="s" s="2">
        <f>HYPERLINK("http://ts.21cn.com/tousu/show/id/1373741","小赢卡贷暴力催收威胁爆通讯录")</f>
      </c>
      <c r="C389" t="s" s="2">
        <v>15</v>
      </c>
      <c r="D389" t="s" s="2">
        <v>16</v>
      </c>
      <c r="E389" t="s" s="2">
        <v>17</v>
      </c>
      <c r="F389" t="s" s="2">
        <f>HYPERLINK("http://ts.21cn.com/tousu/show/id/1373741","http://ts.21cn.com/tousu/show/id/1373741")</f>
      </c>
      <c r="G389" t="s" s="2">
        <v>17</v>
      </c>
      <c r="H389" t="s" s="2">
        <v>19</v>
      </c>
      <c r="I389" t="s" s="2">
        <v>1556</v>
      </c>
      <c r="J389" t="s" s="2">
        <v>1560</v>
      </c>
      <c r="K389" t="s" s="2">
        <v>22</v>
      </c>
      <c r="L389" t="s" s="2">
        <v>22</v>
      </c>
      <c r="M389" t="s" s="2">
        <v>22</v>
      </c>
    </row>
    <row r="390" ht="25.0" customHeight="true">
      <c r="A390" t="s" s="2">
        <v>13</v>
      </c>
      <c r="B390" t="s" s="2">
        <f>HYPERLINK("http://ts.21cn.com/tousu/show/id/1373739","美团威胁骚扰")</f>
      </c>
      <c r="C390" t="s" s="2">
        <v>15</v>
      </c>
      <c r="D390" t="s" s="2">
        <v>16</v>
      </c>
      <c r="E390" t="s" s="2">
        <v>17</v>
      </c>
      <c r="F390" t="s" s="2">
        <f>HYPERLINK("http://ts.21cn.com/tousu/show/id/1373739","http://ts.21cn.com/tousu/show/id/1373739")</f>
      </c>
      <c r="G390" t="s" s="2">
        <v>17</v>
      </c>
      <c r="H390" t="s" s="2">
        <v>19</v>
      </c>
      <c r="I390" t="s" s="2">
        <v>1563</v>
      </c>
      <c r="J390" t="s" s="2">
        <v>1564</v>
      </c>
      <c r="K390" t="s" s="2">
        <v>22</v>
      </c>
      <c r="L390" t="s" s="2">
        <v>22</v>
      </c>
      <c r="M390" t="s" s="2">
        <v>22</v>
      </c>
    </row>
    <row r="391" ht="25.0" customHeight="true">
      <c r="A391" t="s" s="2">
        <v>13</v>
      </c>
      <c r="B391" t="s" s="2">
        <f>HYPERLINK("http://ts.21cn.com/tousu/show/id/1373276","投诉淘宝不退款问题")</f>
      </c>
      <c r="C391" t="s" s="2">
        <v>15</v>
      </c>
      <c r="D391" t="s" s="2">
        <v>16</v>
      </c>
      <c r="E391" t="s" s="2">
        <v>17</v>
      </c>
      <c r="F391" t="s" s="2">
        <f>HYPERLINK("http://ts.21cn.com/tousu/show/id/1373276","http://ts.21cn.com/tousu/show/id/1373276")</f>
      </c>
      <c r="G391" t="s" s="2">
        <v>17</v>
      </c>
      <c r="H391" t="s" s="2">
        <v>19</v>
      </c>
      <c r="I391" t="s" s="2">
        <v>1567</v>
      </c>
      <c r="J391" t="s" s="2">
        <v>1568</v>
      </c>
      <c r="K391" t="s" s="2">
        <v>22</v>
      </c>
      <c r="L391" t="s" s="2">
        <v>22</v>
      </c>
      <c r="M391" t="s" s="2">
        <v>22</v>
      </c>
    </row>
    <row r="392" ht="25.0" customHeight="true">
      <c r="A392" t="s" s="2">
        <v>13</v>
      </c>
      <c r="B392" t="s" s="2">
        <f>HYPERLINK("http://ts.21cn.com/tousu/show/id/1373711","万家乐净水器老客户答谢活动，净水器套路，洗脑式营销")</f>
      </c>
      <c r="C392" t="s" s="2">
        <v>15</v>
      </c>
      <c r="D392" t="s" s="2">
        <v>16</v>
      </c>
      <c r="E392" t="s" s="2">
        <v>17</v>
      </c>
      <c r="F392" t="s" s="2">
        <f>HYPERLINK("http://ts.21cn.com/tousu/show/id/1373711","http://ts.21cn.com/tousu/show/id/1373711")</f>
      </c>
      <c r="G392" t="s" s="2">
        <v>17</v>
      </c>
      <c r="H392" t="s" s="2">
        <v>19</v>
      </c>
      <c r="I392" t="s" s="2">
        <v>1571</v>
      </c>
      <c r="J392" t="s" s="2">
        <v>1572</v>
      </c>
      <c r="K392" t="s" s="2">
        <v>22</v>
      </c>
      <c r="L392" t="s" s="2">
        <v>22</v>
      </c>
      <c r="M392" t="s" s="2">
        <v>22</v>
      </c>
    </row>
    <row r="393" ht="25.0" customHeight="true">
      <c r="A393" t="s" s="2">
        <v>13</v>
      </c>
      <c r="B393" t="s" s="2">
        <f>HYPERLINK("http://ts.21cn.com/tousu/show/id/1373737","深圳市恒富创融科技有限公司乱扣费现象")</f>
      </c>
      <c r="C393" t="s" s="2">
        <v>15</v>
      </c>
      <c r="D393" t="s" s="2">
        <v>16</v>
      </c>
      <c r="E393" t="s" s="2">
        <v>17</v>
      </c>
      <c r="F393" t="s" s="2">
        <f>HYPERLINK("http://ts.21cn.com/tousu/show/id/1373737","http://ts.21cn.com/tousu/show/id/1373737")</f>
      </c>
      <c r="G393" t="s" s="2">
        <v>17</v>
      </c>
      <c r="H393" t="s" s="2">
        <v>19</v>
      </c>
      <c r="I393" t="s" s="2">
        <v>1575</v>
      </c>
      <c r="J393" t="s" s="2">
        <v>1576</v>
      </c>
      <c r="K393" t="s" s="2">
        <v>22</v>
      </c>
      <c r="L393" t="s" s="2">
        <v>22</v>
      </c>
      <c r="M393" t="s" s="2">
        <v>22</v>
      </c>
    </row>
    <row r="394" ht="25.0" customHeight="true">
      <c r="A394" t="s" s="2">
        <v>13</v>
      </c>
      <c r="B394" t="s" s="2">
        <f>HYPERLINK("http://ts.21cn.com/tousu/show/id/1373736","外观侵权")</f>
      </c>
      <c r="C394" t="s" s="2">
        <v>15</v>
      </c>
      <c r="D394" t="s" s="2">
        <v>16</v>
      </c>
      <c r="E394" t="s" s="2">
        <v>17</v>
      </c>
      <c r="F394" t="s" s="2">
        <f>HYPERLINK("http://ts.21cn.com/tousu/show/id/1373736","http://ts.21cn.com/tousu/show/id/1373736")</f>
      </c>
      <c r="G394" t="s" s="2">
        <v>17</v>
      </c>
      <c r="H394" t="s" s="2">
        <v>19</v>
      </c>
      <c r="I394" t="s" s="2">
        <v>1579</v>
      </c>
      <c r="J394" t="s" s="2">
        <v>1580</v>
      </c>
      <c r="K394" t="s" s="2">
        <v>22</v>
      </c>
      <c r="L394" t="s" s="2">
        <v>22</v>
      </c>
      <c r="M394" t="s" s="2">
        <v>22</v>
      </c>
    </row>
    <row r="395" ht="25.0" customHeight="true">
      <c r="A395" t="s" s="2">
        <v>13</v>
      </c>
      <c r="B395" t="s" s="2">
        <f>HYPERLINK("http://ts.21cn.com/tousu/show/id/1373735","钱伴利息过高，超过国家法定范围，高额收取服务费")</f>
      </c>
      <c r="C395" t="s" s="2">
        <v>15</v>
      </c>
      <c r="D395" t="s" s="2">
        <v>16</v>
      </c>
      <c r="E395" t="s" s="2">
        <v>17</v>
      </c>
      <c r="F395" t="s" s="2">
        <f>HYPERLINK("http://ts.21cn.com/tousu/show/id/1373735","http://ts.21cn.com/tousu/show/id/1373735")</f>
      </c>
      <c r="G395" t="s" s="2">
        <v>17</v>
      </c>
      <c r="H395" t="s" s="2">
        <v>19</v>
      </c>
      <c r="I395" t="s" s="2">
        <v>1583</v>
      </c>
      <c r="J395" t="s" s="2">
        <v>1584</v>
      </c>
      <c r="K395" t="s" s="2">
        <v>22</v>
      </c>
      <c r="L395" t="s" s="2">
        <v>22</v>
      </c>
      <c r="M395" t="s" s="2">
        <v>22</v>
      </c>
    </row>
    <row r="396" ht="25.0" customHeight="true">
      <c r="A396" t="s" s="2">
        <v>13</v>
      </c>
      <c r="B396" t="s" s="2">
        <f>HYPERLINK("http://ts.21cn.com/tousu/show/id/1373734","马上消费金融，暴力催收，群发短信，恐吓催收")</f>
      </c>
      <c r="C396" t="s" s="2">
        <v>15</v>
      </c>
      <c r="D396" t="s" s="2">
        <v>16</v>
      </c>
      <c r="E396" t="s" s="2">
        <v>17</v>
      </c>
      <c r="F396" t="s" s="2">
        <f>HYPERLINK("http://ts.21cn.com/tousu/show/id/1373734","http://ts.21cn.com/tousu/show/id/1373734")</f>
      </c>
      <c r="G396" t="s" s="2">
        <v>17</v>
      </c>
      <c r="H396" t="s" s="2">
        <v>19</v>
      </c>
      <c r="I396" t="s" s="2">
        <v>1587</v>
      </c>
      <c r="J396" t="s" s="2">
        <v>1588</v>
      </c>
      <c r="K396" t="s" s="2">
        <v>22</v>
      </c>
      <c r="L396" t="s" s="2">
        <v>22</v>
      </c>
      <c r="M396" t="s" s="2">
        <v>22</v>
      </c>
    </row>
    <row r="397" ht="25.0" customHeight="true">
      <c r="A397" t="s" s="2">
        <v>13</v>
      </c>
      <c r="B397" t="s" s="2">
        <f>HYPERLINK("http://ts.21cn.com/tousu/show/id/1373733","闪银到账扣钱符合高利贷")</f>
      </c>
      <c r="C397" t="s" s="2">
        <v>15</v>
      </c>
      <c r="D397" t="s" s="2">
        <v>16</v>
      </c>
      <c r="E397" t="s" s="2">
        <v>17</v>
      </c>
      <c r="F397" t="s" s="2">
        <f>HYPERLINK("http://ts.21cn.com/tousu/show/id/1373733","http://ts.21cn.com/tousu/show/id/1373733")</f>
      </c>
      <c r="G397" t="s" s="2">
        <v>17</v>
      </c>
      <c r="H397" t="s" s="2">
        <v>19</v>
      </c>
      <c r="I397" t="s" s="2">
        <v>1591</v>
      </c>
      <c r="J397" t="s" s="2">
        <v>1592</v>
      </c>
      <c r="K397" t="s" s="2">
        <v>22</v>
      </c>
      <c r="L397" t="s" s="2">
        <v>22</v>
      </c>
      <c r="M397" t="s" s="2">
        <v>22</v>
      </c>
    </row>
    <row r="398" ht="25.0" customHeight="true">
      <c r="A398" t="s" s="2">
        <v>13</v>
      </c>
      <c r="B398" t="s" s="2">
        <f>HYPERLINK("http://ts.21cn.com/tousu/show/id/1373732","智享贷短期借款隐藏收费行为")</f>
      </c>
      <c r="C398" t="s" s="2">
        <v>15</v>
      </c>
      <c r="D398" t="s" s="2">
        <v>16</v>
      </c>
      <c r="E398" t="s" s="2">
        <v>17</v>
      </c>
      <c r="F398" t="s" s="2">
        <f>HYPERLINK("http://ts.21cn.com/tousu/show/id/1373732","http://ts.21cn.com/tousu/show/id/1373732")</f>
      </c>
      <c r="G398" t="s" s="2">
        <v>17</v>
      </c>
      <c r="H398" t="s" s="2">
        <v>19</v>
      </c>
      <c r="I398" t="s" s="2">
        <v>1595</v>
      </c>
      <c r="J398" t="s" s="2">
        <v>1596</v>
      </c>
      <c r="K398" t="s" s="2">
        <v>22</v>
      </c>
      <c r="L398" t="s" s="2">
        <v>22</v>
      </c>
      <c r="M398" t="s" s="2">
        <v>22</v>
      </c>
    </row>
    <row r="399" ht="25.0" customHeight="true">
      <c r="A399" t="s" s="2">
        <v>13</v>
      </c>
      <c r="B399" t="s" s="2">
        <f>HYPERLINK("http://ts.21cn.com/tousu/show/id/1373731","闪银哼哼催收不接受协商还款，危险爆通讯录")</f>
      </c>
      <c r="C399" t="s" s="2">
        <v>15</v>
      </c>
      <c r="D399" t="s" s="2">
        <v>16</v>
      </c>
      <c r="E399" t="s" s="2">
        <v>17</v>
      </c>
      <c r="F399" t="s" s="2">
        <f>HYPERLINK("http://ts.21cn.com/tousu/show/id/1373731","http://ts.21cn.com/tousu/show/id/1373731")</f>
      </c>
      <c r="G399" t="s" s="2">
        <v>17</v>
      </c>
      <c r="H399" t="s" s="2">
        <v>19</v>
      </c>
      <c r="I399" t="s" s="2">
        <v>1599</v>
      </c>
      <c r="J399" t="s" s="2">
        <v>1600</v>
      </c>
      <c r="K399" t="s" s="2">
        <v>22</v>
      </c>
      <c r="L399" t="s" s="2">
        <v>22</v>
      </c>
      <c r="M399" t="s" s="2">
        <v>22</v>
      </c>
    </row>
    <row r="400" ht="25.0" customHeight="true">
      <c r="A400" t="s" s="2">
        <v>13</v>
      </c>
      <c r="B400" t="s" s="2">
        <f>HYPERLINK("http://ts.21cn.com/tousu/show/id/1373729","卡卡贷高利贷")</f>
      </c>
      <c r="C400" t="s" s="2">
        <v>15</v>
      </c>
      <c r="D400" t="s" s="2">
        <v>16</v>
      </c>
      <c r="E400" t="s" s="2">
        <v>17</v>
      </c>
      <c r="F400" t="s" s="2">
        <f>HYPERLINK("http://ts.21cn.com/tousu/show/id/1373729","http://ts.21cn.com/tousu/show/id/1373729")</f>
      </c>
      <c r="G400" t="s" s="2">
        <v>17</v>
      </c>
      <c r="H400" t="s" s="2">
        <v>19</v>
      </c>
      <c r="I400" t="s" s="2">
        <v>1603</v>
      </c>
      <c r="J400" t="s" s="2">
        <v>1604</v>
      </c>
      <c r="K400" t="s" s="2">
        <v>22</v>
      </c>
      <c r="L400" t="s" s="2">
        <v>22</v>
      </c>
      <c r="M400" t="s" s="2">
        <v>22</v>
      </c>
    </row>
    <row r="401" ht="25.0" customHeight="true">
      <c r="A401" t="s" s="2">
        <v>13</v>
      </c>
      <c r="B401" t="s" s="2">
        <f>HYPERLINK("http://ts.21cn.com/tousu/show/id/1373728","霸王条款迟迟不肯处理退费")</f>
      </c>
      <c r="C401" t="s" s="2">
        <v>15</v>
      </c>
      <c r="D401" t="s" s="2">
        <v>16</v>
      </c>
      <c r="E401" t="s" s="2">
        <v>17</v>
      </c>
      <c r="F401" t="s" s="2">
        <f>HYPERLINK("http://ts.21cn.com/tousu/show/id/1373728","http://ts.21cn.com/tousu/show/id/1373728")</f>
      </c>
      <c r="G401" t="s" s="2">
        <v>17</v>
      </c>
      <c r="H401" t="s" s="2">
        <v>19</v>
      </c>
      <c r="I401" t="s" s="2">
        <v>1607</v>
      </c>
      <c r="J401" t="s" s="2">
        <v>1608</v>
      </c>
      <c r="K401" t="s" s="2">
        <v>22</v>
      </c>
      <c r="L401" t="s" s="2">
        <v>22</v>
      </c>
      <c r="M401" t="s" s="2">
        <v>22</v>
      </c>
    </row>
    <row r="402" ht="25.0" customHeight="true">
      <c r="A402" t="s" s="2">
        <v>13</v>
      </c>
      <c r="B402" t="s" s="2">
        <f>HYPERLINK("http://ts.21cn.com/tousu/show/id/1373725","信用管家为高利贷提供平台")</f>
      </c>
      <c r="C402" t="s" s="2">
        <v>15</v>
      </c>
      <c r="D402" t="s" s="2">
        <v>16</v>
      </c>
      <c r="E402" t="s" s="2">
        <v>17</v>
      </c>
      <c r="F402" t="s" s="2">
        <f>HYPERLINK("http://ts.21cn.com/tousu/show/id/1373725","http://ts.21cn.com/tousu/show/id/1373725")</f>
      </c>
      <c r="G402" t="s" s="2">
        <v>17</v>
      </c>
      <c r="H402" t="s" s="2">
        <v>19</v>
      </c>
      <c r="I402" t="s" s="2">
        <v>1611</v>
      </c>
      <c r="J402" t="s" s="2">
        <v>1612</v>
      </c>
      <c r="K402" t="s" s="2">
        <v>22</v>
      </c>
      <c r="L402" t="s" s="2">
        <v>22</v>
      </c>
      <c r="M402" t="s" s="2">
        <v>22</v>
      </c>
    </row>
    <row r="403" ht="25.0" customHeight="true">
      <c r="A403" t="s" s="2">
        <v>13</v>
      </c>
      <c r="B403" t="s" s="2">
        <f>HYPERLINK("http://ts.21cn.com/tousu/show/id/1373726","断网三个半月，投诉无效")</f>
      </c>
      <c r="C403" t="s" s="2">
        <v>52</v>
      </c>
      <c r="D403" t="s" s="2">
        <v>16</v>
      </c>
      <c r="E403" t="s" s="2">
        <v>17</v>
      </c>
      <c r="F403" t="s" s="2">
        <f>HYPERLINK("http://ts.21cn.com/tousu/show/id/1373726","http://ts.21cn.com/tousu/show/id/1373726")</f>
      </c>
      <c r="G403" t="s" s="2">
        <v>17</v>
      </c>
      <c r="H403" t="s" s="2">
        <v>19</v>
      </c>
      <c r="I403" t="s" s="2">
        <v>1611</v>
      </c>
      <c r="J403" t="s" s="2">
        <v>1615</v>
      </c>
      <c r="K403" t="s" s="2">
        <v>22</v>
      </c>
      <c r="L403" t="s" s="2">
        <v>22</v>
      </c>
      <c r="M403" t="s" s="2">
        <v>22</v>
      </c>
    </row>
    <row r="404" ht="25.0" customHeight="true">
      <c r="A404" t="s" s="2">
        <v>13</v>
      </c>
      <c r="B404" t="s" s="2">
        <f>HYPERLINK("http://ts.21cn.com/tousu/show/id/1373724","达飞云贷套路贷高利贷")</f>
      </c>
      <c r="C404" t="s" s="2">
        <v>15</v>
      </c>
      <c r="D404" t="s" s="2">
        <v>16</v>
      </c>
      <c r="E404" t="s" s="2">
        <v>17</v>
      </c>
      <c r="F404" t="s" s="2">
        <f>HYPERLINK("http://ts.21cn.com/tousu/show/id/1373724","http://ts.21cn.com/tousu/show/id/1373724")</f>
      </c>
      <c r="G404" t="s" s="2">
        <v>17</v>
      </c>
      <c r="H404" t="s" s="2">
        <v>19</v>
      </c>
      <c r="I404" t="s" s="2">
        <v>1618</v>
      </c>
      <c r="J404" t="s" s="2">
        <v>1619</v>
      </c>
      <c r="K404" t="s" s="2">
        <v>22</v>
      </c>
      <c r="L404" t="s" s="2">
        <v>22</v>
      </c>
      <c r="M404" t="s" s="2">
        <v>22</v>
      </c>
    </row>
    <row r="405" ht="25.0" customHeight="true">
      <c r="A405" t="s" s="2">
        <v>13</v>
      </c>
      <c r="B405" t="s" s="2">
        <f>HYPERLINK("http://ts.21cn.com/tousu/show/id/1373723","聊呗举报无效，祸害国家。")</f>
      </c>
      <c r="C405" t="s" s="2">
        <v>15</v>
      </c>
      <c r="D405" t="s" s="2">
        <v>16</v>
      </c>
      <c r="E405" t="s" s="2">
        <v>17</v>
      </c>
      <c r="F405" t="s" s="2">
        <f>HYPERLINK("http://ts.21cn.com/tousu/show/id/1373723","http://ts.21cn.com/tousu/show/id/1373723")</f>
      </c>
      <c r="G405" t="s" s="2">
        <v>17</v>
      </c>
      <c r="H405" t="s" s="2">
        <v>19</v>
      </c>
      <c r="I405" t="s" s="2">
        <v>1622</v>
      </c>
      <c r="J405" t="s" s="2">
        <v>1623</v>
      </c>
      <c r="K405" t="s" s="2">
        <v>22</v>
      </c>
      <c r="L405" t="s" s="2">
        <v>22</v>
      </c>
      <c r="M405" t="s" s="2">
        <v>22</v>
      </c>
    </row>
    <row r="406" ht="25.0" customHeight="true">
      <c r="A406" t="s" s="2">
        <v>13</v>
      </c>
      <c r="B406" t="s" s="2">
        <f>HYPERLINK("http://ts.21cn.com/tousu/show/id/1373722","去哪网退票有差价不能原支付方式退还")</f>
      </c>
      <c r="C406" t="s" s="2">
        <v>52</v>
      </c>
      <c r="D406" t="s" s="2">
        <v>16</v>
      </c>
      <c r="E406" t="s" s="2">
        <v>17</v>
      </c>
      <c r="F406" t="s" s="2">
        <f>HYPERLINK("http://ts.21cn.com/tousu/show/id/1373722","http://ts.21cn.com/tousu/show/id/1373722")</f>
      </c>
      <c r="G406" t="s" s="2">
        <v>17</v>
      </c>
      <c r="H406" t="s" s="2">
        <v>19</v>
      </c>
      <c r="I406" t="s" s="2">
        <v>1626</v>
      </c>
      <c r="J406" t="s" s="2">
        <v>1627</v>
      </c>
      <c r="K406" t="s" s="2">
        <v>22</v>
      </c>
      <c r="L406" t="s" s="2">
        <v>22</v>
      </c>
      <c r="M406" t="s" s="2">
        <v>22</v>
      </c>
    </row>
    <row r="407" ht="25.0" customHeight="true">
      <c r="A407" t="s" s="2">
        <v>13</v>
      </c>
      <c r="B407" t="s" s="2">
        <f>HYPERLINK("http://ts.21cn.com/tousu/show/id/1373721","海尔消费金融泄露个人信息威胁")</f>
      </c>
      <c r="C407" t="s" s="2">
        <v>15</v>
      </c>
      <c r="D407" t="s" s="2">
        <v>16</v>
      </c>
      <c r="E407" t="s" s="2">
        <v>17</v>
      </c>
      <c r="F407" t="s" s="2">
        <f>HYPERLINK("http://ts.21cn.com/tousu/show/id/1373721","http://ts.21cn.com/tousu/show/id/1373721")</f>
      </c>
      <c r="G407" t="s" s="2">
        <v>17</v>
      </c>
      <c r="H407" t="s" s="2">
        <v>19</v>
      </c>
      <c r="I407" t="s" s="2">
        <v>1630</v>
      </c>
      <c r="J407" t="s" s="2">
        <v>1631</v>
      </c>
      <c r="K407" t="s" s="2">
        <v>22</v>
      </c>
      <c r="L407" t="s" s="2">
        <v>22</v>
      </c>
      <c r="M407" t="s" s="2">
        <v>22</v>
      </c>
    </row>
    <row r="408" ht="25.0" customHeight="true">
      <c r="A408" t="s" s="2">
        <v>13</v>
      </c>
      <c r="B408" t="s" s="2">
        <f>HYPERLINK("http://ts.21cn.com/tousu/show/id/1373720","钱站高利贷，下款10天就骚扰逼还钱。")</f>
      </c>
      <c r="C408" t="s" s="2">
        <v>15</v>
      </c>
      <c r="D408" t="s" s="2">
        <v>16</v>
      </c>
      <c r="E408" t="s" s="2">
        <v>17</v>
      </c>
      <c r="F408" t="s" s="2">
        <f>HYPERLINK("http://ts.21cn.com/tousu/show/id/1373720","http://ts.21cn.com/tousu/show/id/1373720")</f>
      </c>
      <c r="G408" t="s" s="2">
        <v>17</v>
      </c>
      <c r="H408" t="s" s="2">
        <v>19</v>
      </c>
      <c r="I408" t="s" s="2">
        <v>1634</v>
      </c>
      <c r="J408" t="s" s="2">
        <v>1635</v>
      </c>
      <c r="K408" t="s" s="2">
        <v>22</v>
      </c>
      <c r="L408" t="s" s="2">
        <v>22</v>
      </c>
      <c r="M408" t="s" s="2">
        <v>22</v>
      </c>
    </row>
    <row r="409" ht="25.0" customHeight="true">
      <c r="A409" t="s" s="2">
        <v>13</v>
      </c>
      <c r="B409" t="s" s="2">
        <f>HYPERLINK("http://ts.21cn.com/tousu/show/id/1373719","蛋壳公寓客服部门和投诉部门一直敷衍我反应的问题")</f>
      </c>
      <c r="C409" t="s" s="2">
        <v>15</v>
      </c>
      <c r="D409" t="s" s="2">
        <v>16</v>
      </c>
      <c r="E409" t="s" s="2">
        <v>17</v>
      </c>
      <c r="F409" t="s" s="2">
        <f>HYPERLINK("http://ts.21cn.com/tousu/show/id/1373719","http://ts.21cn.com/tousu/show/id/1373719")</f>
      </c>
      <c r="G409" t="s" s="2">
        <v>17</v>
      </c>
      <c r="H409" t="s" s="2">
        <v>19</v>
      </c>
      <c r="I409" t="s" s="2">
        <v>1638</v>
      </c>
      <c r="J409" t="s" s="2">
        <v>1639</v>
      </c>
      <c r="K409" t="s" s="2">
        <v>22</v>
      </c>
      <c r="L409" t="s" s="2">
        <v>22</v>
      </c>
      <c r="M409" t="s" s="2">
        <v>22</v>
      </c>
    </row>
    <row r="410" ht="25.0" customHeight="true">
      <c r="A410" t="s" s="2">
        <v>13</v>
      </c>
      <c r="B410" t="s" s="2">
        <f>HYPERLINK("http://ts.21cn.com/tousu/show/id/1373718","我来贷逾期暴力征收")</f>
      </c>
      <c r="C410" t="s" s="2">
        <v>15</v>
      </c>
      <c r="D410" t="s" s="2">
        <v>16</v>
      </c>
      <c r="E410" t="s" s="2">
        <v>17</v>
      </c>
      <c r="F410" t="s" s="2">
        <f>HYPERLINK("http://ts.21cn.com/tousu/show/id/1373718","http://ts.21cn.com/tousu/show/id/1373718")</f>
      </c>
      <c r="G410" t="s" s="2">
        <v>17</v>
      </c>
      <c r="H410" t="s" s="2">
        <v>19</v>
      </c>
      <c r="I410" t="s" s="2">
        <v>1642</v>
      </c>
      <c r="J410" t="s" s="2">
        <v>1643</v>
      </c>
      <c r="K410" t="s" s="2">
        <v>22</v>
      </c>
      <c r="L410" t="s" s="2">
        <v>22</v>
      </c>
      <c r="M410" t="s" s="2">
        <v>22</v>
      </c>
    </row>
    <row r="411" ht="25.0" customHeight="true">
      <c r="A411" t="s" s="2">
        <v>13</v>
      </c>
      <c r="B411" t="s" s="2">
        <f>HYPERLINK("http://ts.21cn.com/tousu/show/id/1373717","支付宝冒充法务人员骚扰我家人")</f>
      </c>
      <c r="C411" t="s" s="2">
        <v>15</v>
      </c>
      <c r="D411" t="s" s="2">
        <v>16</v>
      </c>
      <c r="E411" t="s" s="2">
        <v>17</v>
      </c>
      <c r="F411" t="s" s="2">
        <f>HYPERLINK("http://ts.21cn.com/tousu/show/id/1373717","http://ts.21cn.com/tousu/show/id/1373717")</f>
      </c>
      <c r="G411" t="s" s="2">
        <v>17</v>
      </c>
      <c r="H411" t="s" s="2">
        <v>19</v>
      </c>
      <c r="I411" t="s" s="2">
        <v>1646</v>
      </c>
      <c r="J411" t="s" s="2">
        <v>1647</v>
      </c>
      <c r="K411" t="s" s="2">
        <v>22</v>
      </c>
      <c r="L411" t="s" s="2">
        <v>22</v>
      </c>
      <c r="M411" t="s" s="2">
        <v>22</v>
      </c>
    </row>
    <row r="412" ht="25.0" customHeight="true">
      <c r="A412" t="s" s="2">
        <v>13</v>
      </c>
      <c r="B412" t="s" s="2">
        <f>HYPERLINK("http://ts.21cn.com/tousu/show/id/1373716","钱站骚扰")</f>
      </c>
      <c r="C412" t="s" s="2">
        <v>15</v>
      </c>
      <c r="D412" t="s" s="2">
        <v>16</v>
      </c>
      <c r="E412" t="s" s="2">
        <v>17</v>
      </c>
      <c r="F412" t="s" s="2">
        <f>HYPERLINK("http://ts.21cn.com/tousu/show/id/1373716","http://ts.21cn.com/tousu/show/id/1373716")</f>
      </c>
      <c r="G412" t="s" s="2">
        <v>17</v>
      </c>
      <c r="H412" t="s" s="2">
        <v>19</v>
      </c>
      <c r="I412" t="s" s="2">
        <v>1650</v>
      </c>
      <c r="J412" t="s" s="2">
        <v>1651</v>
      </c>
      <c r="K412" t="s" s="2">
        <v>22</v>
      </c>
      <c r="L412" t="s" s="2">
        <v>22</v>
      </c>
      <c r="M412" t="s" s="2">
        <v>22</v>
      </c>
    </row>
    <row r="413" ht="25.0" customHeight="true">
      <c r="A413" t="s" s="2">
        <v>13</v>
      </c>
      <c r="B413" t="s" s="2">
        <f>HYPERLINK("http://ts.21cn.com/tousu/show/id/1373714","中国移动为棋牌提供充值通道")</f>
      </c>
      <c r="C413" t="s" s="2">
        <v>15</v>
      </c>
      <c r="D413" t="s" s="2">
        <v>16</v>
      </c>
      <c r="E413" t="s" s="2">
        <v>17</v>
      </c>
      <c r="F413" t="s" s="2">
        <f>HYPERLINK("http://ts.21cn.com/tousu/show/id/1373714","http://ts.21cn.com/tousu/show/id/1373714")</f>
      </c>
      <c r="G413" t="s" s="2">
        <v>17</v>
      </c>
      <c r="H413" t="s" s="2">
        <v>19</v>
      </c>
      <c r="I413" t="s" s="2">
        <v>1654</v>
      </c>
      <c r="J413" t="s" s="2">
        <v>1655</v>
      </c>
      <c r="K413" t="s" s="2">
        <v>22</v>
      </c>
      <c r="L413" t="s" s="2">
        <v>22</v>
      </c>
      <c r="M413" t="s" s="2">
        <v>22</v>
      </c>
    </row>
    <row r="414" ht="25.0" customHeight="true">
      <c r="A414" t="s" s="2">
        <v>13</v>
      </c>
      <c r="B414" t="s" s="2">
        <f>HYPERLINK("http://ts.21cn.com/tousu/show/id/1373713","一步用车共享汽车不退押金")</f>
      </c>
      <c r="C414" t="s" s="2">
        <v>52</v>
      </c>
      <c r="D414" t="s" s="2">
        <v>16</v>
      </c>
      <c r="E414" t="s" s="2">
        <v>17</v>
      </c>
      <c r="F414" t="s" s="2">
        <f>HYPERLINK("http://ts.21cn.com/tousu/show/id/1373713","http://ts.21cn.com/tousu/show/id/1373713")</f>
      </c>
      <c r="G414" t="s" s="2">
        <v>17</v>
      </c>
      <c r="H414" t="s" s="2">
        <v>19</v>
      </c>
      <c r="I414" t="s" s="2">
        <v>1658</v>
      </c>
      <c r="J414" t="s" s="2">
        <v>1659</v>
      </c>
      <c r="K414" t="s" s="2">
        <v>22</v>
      </c>
      <c r="L414" t="s" s="2">
        <v>22</v>
      </c>
      <c r="M414" t="s" s="2">
        <v>22</v>
      </c>
    </row>
    <row r="415" ht="25.0" customHeight="true">
      <c r="A415" t="s" s="2">
        <v>13</v>
      </c>
      <c r="B415" t="s" s="2">
        <f>HYPERLINK("http://ts.21cn.com/tousu/show/id/1373712","招商银行利息和罚息违约金超出合理范围")</f>
      </c>
      <c r="C415" t="s" s="2">
        <v>15</v>
      </c>
      <c r="D415" t="s" s="2">
        <v>16</v>
      </c>
      <c r="E415" t="s" s="2">
        <v>17</v>
      </c>
      <c r="F415" t="s" s="2">
        <f>HYPERLINK("http://ts.21cn.com/tousu/show/id/1373712","http://ts.21cn.com/tousu/show/id/1373712")</f>
      </c>
      <c r="G415" t="s" s="2">
        <v>17</v>
      </c>
      <c r="H415" t="s" s="2">
        <v>19</v>
      </c>
      <c r="I415" t="s" s="2">
        <v>1662</v>
      </c>
      <c r="J415" t="s" s="2">
        <v>1663</v>
      </c>
      <c r="K415" t="s" s="2">
        <v>22</v>
      </c>
      <c r="L415" t="s" s="2">
        <v>22</v>
      </c>
      <c r="M415" t="s" s="2">
        <v>22</v>
      </c>
    </row>
    <row r="416" ht="25.0" customHeight="true">
      <c r="A416" t="s" s="2">
        <v>13</v>
      </c>
      <c r="B416" t="s" s="2">
        <f>HYPERLINK("http://ts.21cn.com/tousu/show/id/1373708","捷信高利贷")</f>
      </c>
      <c r="C416" t="s" s="2">
        <v>15</v>
      </c>
      <c r="D416" t="s" s="2">
        <v>16</v>
      </c>
      <c r="E416" t="s" s="2">
        <v>17</v>
      </c>
      <c r="F416" t="s" s="2">
        <f>HYPERLINK("http://ts.21cn.com/tousu/show/id/1373708","http://ts.21cn.com/tousu/show/id/1373708")</f>
      </c>
      <c r="G416" t="s" s="2">
        <v>17</v>
      </c>
      <c r="H416" t="s" s="2">
        <v>19</v>
      </c>
      <c r="I416" t="s" s="2">
        <v>1666</v>
      </c>
      <c r="J416" t="s" s="2">
        <v>1667</v>
      </c>
      <c r="K416" t="s" s="2">
        <v>22</v>
      </c>
      <c r="L416" t="s" s="2">
        <v>22</v>
      </c>
      <c r="M416" t="s" s="2">
        <v>22</v>
      </c>
    </row>
    <row r="417" ht="25.0" customHeight="true">
      <c r="A417" t="s" s="2">
        <v>13</v>
      </c>
      <c r="B417" t="s" s="2">
        <f>HYPERLINK("http://ts.21cn.com/tousu/show/id/1373707","微贷网多米贷暴力催收")</f>
      </c>
      <c r="C417" t="s" s="2">
        <v>15</v>
      </c>
      <c r="D417" t="s" s="2">
        <v>16</v>
      </c>
      <c r="E417" t="s" s="2">
        <v>17</v>
      </c>
      <c r="F417" t="s" s="2">
        <f>HYPERLINK("http://ts.21cn.com/tousu/show/id/1373707","http://ts.21cn.com/tousu/show/id/1373707")</f>
      </c>
      <c r="G417" t="s" s="2">
        <v>17</v>
      </c>
      <c r="H417" t="s" s="2">
        <v>19</v>
      </c>
      <c r="I417" t="s" s="2">
        <v>1670</v>
      </c>
      <c r="J417" t="s" s="2">
        <v>1671</v>
      </c>
      <c r="K417" t="s" s="2">
        <v>22</v>
      </c>
      <c r="L417" t="s" s="2">
        <v>22</v>
      </c>
      <c r="M417" t="s" s="2">
        <v>22</v>
      </c>
    </row>
    <row r="418" ht="25.0" customHeight="true">
      <c r="A418" t="s" s="2">
        <v>13</v>
      </c>
      <c r="B418" t="s" s="2">
        <f>HYPERLINK("http://ts.21cn.com/tousu/show/id/1373706","360借条暴力催收各种威胁")</f>
      </c>
      <c r="C418" t="s" s="2">
        <v>15</v>
      </c>
      <c r="D418" t="s" s="2">
        <v>16</v>
      </c>
      <c r="E418" t="s" s="2">
        <v>17</v>
      </c>
      <c r="F418" t="s" s="2">
        <f>HYPERLINK("http://ts.21cn.com/tousu/show/id/1373706","http://ts.21cn.com/tousu/show/id/1373706")</f>
      </c>
      <c r="G418" t="s" s="2">
        <v>17</v>
      </c>
      <c r="H418" t="s" s="2">
        <v>19</v>
      </c>
      <c r="I418" t="s" s="2">
        <v>1674</v>
      </c>
      <c r="J418" t="s" s="2">
        <v>1675</v>
      </c>
      <c r="K418" t="s" s="2">
        <v>22</v>
      </c>
      <c r="L418" t="s" s="2">
        <v>22</v>
      </c>
      <c r="M418" t="s" s="2">
        <v>22</v>
      </c>
    </row>
    <row r="419" ht="25.0" customHeight="true">
      <c r="A419" t="s" s="2">
        <v>13</v>
      </c>
      <c r="B419" t="s" s="2">
        <f>HYPERLINK("http://ts.21cn.com/tousu/show/id/1373705","小米贷款威胁我要爆我通讯录")</f>
      </c>
      <c r="C419" t="s" s="2">
        <v>15</v>
      </c>
      <c r="D419" t="s" s="2">
        <v>16</v>
      </c>
      <c r="E419" t="s" s="2">
        <v>17</v>
      </c>
      <c r="F419" t="s" s="2">
        <f>HYPERLINK("http://ts.21cn.com/tousu/show/id/1373705","http://ts.21cn.com/tousu/show/id/1373705")</f>
      </c>
      <c r="G419" t="s" s="2">
        <v>17</v>
      </c>
      <c r="H419" t="s" s="2">
        <v>19</v>
      </c>
      <c r="I419" t="s" s="2">
        <v>1678</v>
      </c>
      <c r="J419" t="s" s="2">
        <v>1679</v>
      </c>
      <c r="K419" t="s" s="2">
        <v>22</v>
      </c>
      <c r="L419" t="s" s="2">
        <v>22</v>
      </c>
      <c r="M419" t="s" s="2">
        <v>22</v>
      </c>
    </row>
    <row r="420" ht="25.0" customHeight="true">
      <c r="A420" t="s" s="2">
        <v>13</v>
      </c>
      <c r="B420" t="s" s="2">
        <f>HYPERLINK("http://ts.21cn.com/tousu/show/id/1373677","拼多多平台欺压商家，给买家仅退款不退货，谁赋予你们至高无上的权利？")</f>
      </c>
      <c r="C420" t="s" s="2">
        <v>15</v>
      </c>
      <c r="D420" t="s" s="2">
        <v>16</v>
      </c>
      <c r="E420" t="s" s="2">
        <v>17</v>
      </c>
      <c r="F420" t="s" s="2">
        <f>HYPERLINK("http://ts.21cn.com/tousu/show/id/1373677","http://ts.21cn.com/tousu/show/id/1373677")</f>
      </c>
      <c r="G420" t="s" s="2">
        <v>17</v>
      </c>
      <c r="H420" t="s" s="2">
        <v>19</v>
      </c>
      <c r="I420" t="s" s="2">
        <v>1682</v>
      </c>
      <c r="J420" t="s" s="2">
        <v>1683</v>
      </c>
      <c r="K420" t="s" s="2">
        <v>22</v>
      </c>
      <c r="L420" t="s" s="2">
        <v>22</v>
      </c>
      <c r="M420" t="s" s="2">
        <v>22</v>
      </c>
    </row>
    <row r="421" ht="25.0" customHeight="true">
      <c r="A421" t="s" s="2">
        <v>13</v>
      </c>
      <c r="B421" t="s" s="2">
        <f>HYPERLINK("http://ts.21cn.com/tousu/show/id/1373702","急用钱包借贷app欺诈扣款")</f>
      </c>
      <c r="C421" t="s" s="2">
        <v>15</v>
      </c>
      <c r="D421" t="s" s="2">
        <v>16</v>
      </c>
      <c r="E421" t="s" s="2">
        <v>17</v>
      </c>
      <c r="F421" t="s" s="2">
        <f>HYPERLINK("http://ts.21cn.com/tousu/show/id/1373702","http://ts.21cn.com/tousu/show/id/1373702")</f>
      </c>
      <c r="G421" t="s" s="2">
        <v>17</v>
      </c>
      <c r="H421" t="s" s="2">
        <v>19</v>
      </c>
      <c r="I421" t="s" s="2">
        <v>1686</v>
      </c>
      <c r="J421" t="s" s="2">
        <v>1687</v>
      </c>
      <c r="K421" t="s" s="2">
        <v>22</v>
      </c>
      <c r="L421" t="s" s="2">
        <v>22</v>
      </c>
      <c r="M421" t="s" s="2">
        <v>22</v>
      </c>
    </row>
    <row r="422" ht="25.0" customHeight="true">
      <c r="A422" t="s" s="2">
        <v>13</v>
      </c>
      <c r="B422" t="s" s="2">
        <f>HYPERLINK("http://ts.21cn.com/tousu/show/id/1373703","信用飞惊人息费，还清欠款，还打电话让借款")</f>
      </c>
      <c r="C422" t="s" s="2">
        <v>15</v>
      </c>
      <c r="D422" t="s" s="2">
        <v>16</v>
      </c>
      <c r="E422" t="s" s="2">
        <v>17</v>
      </c>
      <c r="F422" t="s" s="2">
        <f>HYPERLINK("http://ts.21cn.com/tousu/show/id/1373703","http://ts.21cn.com/tousu/show/id/1373703")</f>
      </c>
      <c r="G422" t="s" s="2">
        <v>17</v>
      </c>
      <c r="H422" t="s" s="2">
        <v>19</v>
      </c>
      <c r="I422" t="s" s="2">
        <v>1690</v>
      </c>
      <c r="J422" t="s" s="2">
        <v>1691</v>
      </c>
      <c r="K422" t="s" s="2">
        <v>22</v>
      </c>
      <c r="L422" t="s" s="2">
        <v>22</v>
      </c>
      <c r="M422" t="s" s="2">
        <v>22</v>
      </c>
    </row>
    <row r="423" ht="25.0" customHeight="true">
      <c r="A423" t="s" s="2">
        <v>13</v>
      </c>
      <c r="B423" t="s" s="2">
        <f>HYPERLINK("http://ts.21cn.com/tousu/show/id/1373701","信而富暴力催收")</f>
      </c>
      <c r="C423" t="s" s="2">
        <v>15</v>
      </c>
      <c r="D423" t="s" s="2">
        <v>16</v>
      </c>
      <c r="E423" t="s" s="2">
        <v>17</v>
      </c>
      <c r="F423" t="s" s="2">
        <f>HYPERLINK("http://ts.21cn.com/tousu/show/id/1373701","http://ts.21cn.com/tousu/show/id/1373701")</f>
      </c>
      <c r="G423" t="s" s="2">
        <v>17</v>
      </c>
      <c r="H423" t="s" s="2">
        <v>19</v>
      </c>
      <c r="I423" t="s" s="2">
        <v>1694</v>
      </c>
      <c r="J423" t="s" s="2">
        <v>1695</v>
      </c>
      <c r="K423" t="s" s="2">
        <v>22</v>
      </c>
      <c r="L423" t="s" s="2">
        <v>22</v>
      </c>
      <c r="M423" t="s" s="2">
        <v>22</v>
      </c>
    </row>
    <row r="424" ht="25.0" customHeight="true">
      <c r="A424" t="s" s="2">
        <v>13</v>
      </c>
      <c r="B424" t="s" s="2">
        <f>HYPERLINK("http://ts.21cn.com/tousu/show/id/1373700","不肯协商")</f>
      </c>
      <c r="C424" t="s" s="2">
        <v>15</v>
      </c>
      <c r="D424" t="s" s="2">
        <v>16</v>
      </c>
      <c r="E424" t="s" s="2">
        <v>17</v>
      </c>
      <c r="F424" t="s" s="2">
        <f>HYPERLINK("http://ts.21cn.com/tousu/show/id/1373700","http://ts.21cn.com/tousu/show/id/1373700")</f>
      </c>
      <c r="G424" t="s" s="2">
        <v>17</v>
      </c>
      <c r="H424" t="s" s="2">
        <v>19</v>
      </c>
      <c r="I424" t="s" s="2">
        <v>1698</v>
      </c>
      <c r="J424" t="s" s="2">
        <v>1699</v>
      </c>
      <c r="K424" t="s" s="2">
        <v>22</v>
      </c>
      <c r="L424" t="s" s="2">
        <v>22</v>
      </c>
      <c r="M424" t="s" s="2">
        <v>22</v>
      </c>
    </row>
    <row r="425" ht="25.0" customHeight="true">
      <c r="A425" t="s" s="2">
        <v>13</v>
      </c>
      <c r="B425" t="s" s="2">
        <f>HYPERLINK("http://ts.21cn.com/tousu/show/id/1373698","南京玉恒商业管理有限公司疑似跑路")</f>
      </c>
      <c r="C425" t="s" s="2">
        <v>15</v>
      </c>
      <c r="D425" t="s" s="2">
        <v>16</v>
      </c>
      <c r="E425" t="s" s="2">
        <v>17</v>
      </c>
      <c r="F425" t="s" s="2">
        <f>HYPERLINK("http://ts.21cn.com/tousu/show/id/1373698","http://ts.21cn.com/tousu/show/id/1373698")</f>
      </c>
      <c r="G425" t="s" s="2">
        <v>17</v>
      </c>
      <c r="H425" t="s" s="2">
        <v>19</v>
      </c>
      <c r="I425" t="s" s="2">
        <v>1702</v>
      </c>
      <c r="J425" t="s" s="2">
        <v>1703</v>
      </c>
      <c r="K425" t="s" s="2">
        <v>22</v>
      </c>
      <c r="L425" t="s" s="2">
        <v>22</v>
      </c>
      <c r="M425" t="s" s="2">
        <v>22</v>
      </c>
    </row>
    <row r="426" ht="25.0" customHeight="true">
      <c r="A426" t="s" s="2">
        <v>13</v>
      </c>
      <c r="B426" t="s" s="2">
        <f>HYPERLINK("http://ts.21cn.com/tousu/show/id/1373699","宜人贷自身系统升级强制客户承担高额罚息")</f>
      </c>
      <c r="C426" t="s" s="2">
        <v>15</v>
      </c>
      <c r="D426" t="s" s="2">
        <v>16</v>
      </c>
      <c r="E426" t="s" s="2">
        <v>17</v>
      </c>
      <c r="F426" t="s" s="2">
        <f>HYPERLINK("http://ts.21cn.com/tousu/show/id/1373699","http://ts.21cn.com/tousu/show/id/1373699")</f>
      </c>
      <c r="G426" t="s" s="2">
        <v>17</v>
      </c>
      <c r="H426" t="s" s="2">
        <v>19</v>
      </c>
      <c r="I426" t="s" s="2">
        <v>1706</v>
      </c>
      <c r="J426" t="s" s="2">
        <v>1707</v>
      </c>
      <c r="K426" t="s" s="2">
        <v>22</v>
      </c>
      <c r="L426" t="s" s="2">
        <v>22</v>
      </c>
      <c r="M426" t="s" s="2">
        <v>22</v>
      </c>
    </row>
    <row r="427" ht="25.0" customHeight="true">
      <c r="A427" t="s" s="2">
        <v>13</v>
      </c>
      <c r="B427" t="s" s="2">
        <f>HYPERLINK("http://ts.21cn.com/tousu/show/id/1373697","高利贷")</f>
      </c>
      <c r="C427" t="s" s="2">
        <v>15</v>
      </c>
      <c r="D427" t="s" s="2">
        <v>16</v>
      </c>
      <c r="E427" t="s" s="2">
        <v>17</v>
      </c>
      <c r="F427" t="s" s="2">
        <f>HYPERLINK("http://ts.21cn.com/tousu/show/id/1373697","http://ts.21cn.com/tousu/show/id/1373697")</f>
      </c>
      <c r="G427" t="s" s="2">
        <v>17</v>
      </c>
      <c r="H427" t="s" s="2">
        <v>19</v>
      </c>
      <c r="I427" t="s" s="2">
        <v>1709</v>
      </c>
      <c r="J427" t="s" s="2">
        <v>1710</v>
      </c>
      <c r="K427" t="s" s="2">
        <v>22</v>
      </c>
      <c r="L427" t="s" s="2">
        <v>22</v>
      </c>
      <c r="M427" t="s" s="2">
        <v>22</v>
      </c>
    </row>
    <row r="428" ht="25.0" customHeight="true">
      <c r="A428" t="s" s="2">
        <v>13</v>
      </c>
      <c r="B428" t="s" s="2">
        <f>HYPERLINK("http://ts.21cn.com/tousu/show/id/1373696","高利贷")</f>
      </c>
      <c r="C428" t="s" s="2">
        <v>15</v>
      </c>
      <c r="D428" t="s" s="2">
        <v>16</v>
      </c>
      <c r="E428" t="s" s="2">
        <v>17</v>
      </c>
      <c r="F428" t="s" s="2">
        <f>HYPERLINK("http://ts.21cn.com/tousu/show/id/1373696","http://ts.21cn.com/tousu/show/id/1373696")</f>
      </c>
      <c r="G428" t="s" s="2">
        <v>17</v>
      </c>
      <c r="H428" t="s" s="2">
        <v>19</v>
      </c>
      <c r="I428" t="s" s="2">
        <v>1712</v>
      </c>
      <c r="J428" t="s" s="2">
        <v>1713</v>
      </c>
      <c r="K428" t="s" s="2">
        <v>22</v>
      </c>
      <c r="L428" t="s" s="2">
        <v>22</v>
      </c>
      <c r="M428" t="s" s="2">
        <v>22</v>
      </c>
    </row>
    <row r="429" ht="25.0" customHeight="true">
      <c r="A429" t="s" s="2">
        <v>13</v>
      </c>
      <c r="B429" t="s" s="2">
        <f>HYPERLINK("http://ts.21cn.com/tousu/show/id/1373695","捷信金融要逼疯我了")</f>
      </c>
      <c r="C429" t="s" s="2">
        <v>15</v>
      </c>
      <c r="D429" t="s" s="2">
        <v>16</v>
      </c>
      <c r="E429" t="s" s="2">
        <v>17</v>
      </c>
      <c r="F429" t="s" s="2">
        <f>HYPERLINK("http://ts.21cn.com/tousu/show/id/1373695","http://ts.21cn.com/tousu/show/id/1373695")</f>
      </c>
      <c r="G429" t="s" s="2">
        <v>17</v>
      </c>
      <c r="H429" t="s" s="2">
        <v>19</v>
      </c>
      <c r="I429" t="s" s="2">
        <v>1716</v>
      </c>
      <c r="J429" t="s" s="2">
        <v>1717</v>
      </c>
      <c r="K429" t="s" s="2">
        <v>22</v>
      </c>
      <c r="L429" t="s" s="2">
        <v>22</v>
      </c>
      <c r="M429" t="s" s="2">
        <v>22</v>
      </c>
    </row>
    <row r="430" ht="25.0" customHeight="true">
      <c r="A430" t="s" s="2">
        <v>13</v>
      </c>
      <c r="B430" t="s" s="2">
        <f>HYPERLINK("http://ts.21cn.com/tousu/show/id/1373694","平安分期高额服务费")</f>
      </c>
      <c r="C430" t="s" s="2">
        <v>15</v>
      </c>
      <c r="D430" t="s" s="2">
        <v>16</v>
      </c>
      <c r="E430" t="s" s="2">
        <v>17</v>
      </c>
      <c r="F430" t="s" s="2">
        <f>HYPERLINK("http://ts.21cn.com/tousu/show/id/1373694","http://ts.21cn.com/tousu/show/id/1373694")</f>
      </c>
      <c r="G430" t="s" s="2">
        <v>17</v>
      </c>
      <c r="H430" t="s" s="2">
        <v>19</v>
      </c>
      <c r="I430" t="s" s="2">
        <v>1720</v>
      </c>
      <c r="J430" t="s" s="2">
        <v>1721</v>
      </c>
      <c r="K430" t="s" s="2">
        <v>22</v>
      </c>
      <c r="L430" t="s" s="2">
        <v>22</v>
      </c>
      <c r="M430" t="s" s="2">
        <v>22</v>
      </c>
    </row>
    <row r="431" ht="25.0" customHeight="true">
      <c r="A431" t="s" s="2">
        <v>13</v>
      </c>
      <c r="B431" t="s" s="2">
        <f>HYPERLINK("http://ts.21cn.com/tousu/show/id/1373693","捷信高利贷要求销账结清")</f>
      </c>
      <c r="C431" t="s" s="2">
        <v>15</v>
      </c>
      <c r="D431" t="s" s="2">
        <v>16</v>
      </c>
      <c r="E431" t="s" s="2">
        <v>17</v>
      </c>
      <c r="F431" t="s" s="2">
        <f>HYPERLINK("http://ts.21cn.com/tousu/show/id/1373693","http://ts.21cn.com/tousu/show/id/1373693")</f>
      </c>
      <c r="G431" t="s" s="2">
        <v>17</v>
      </c>
      <c r="H431" t="s" s="2">
        <v>19</v>
      </c>
      <c r="I431" t="s" s="2">
        <v>1724</v>
      </c>
      <c r="J431" t="s" s="2">
        <v>1725</v>
      </c>
      <c r="K431" t="s" s="2">
        <v>22</v>
      </c>
      <c r="L431" t="s" s="2">
        <v>22</v>
      </c>
      <c r="M431" t="s" s="2">
        <v>22</v>
      </c>
    </row>
    <row r="432" ht="25.0" customHeight="true">
      <c r="A432" t="s" s="2">
        <v>13</v>
      </c>
      <c r="B432" t="s" s="2">
        <f>HYPERLINK("http://ts.21cn.com/tousu/show/id/1373692","爱又米无法还款导致逾期，催收人员恐吓威胁")</f>
      </c>
      <c r="C432" t="s" s="2">
        <v>15</v>
      </c>
      <c r="D432" t="s" s="2">
        <v>16</v>
      </c>
      <c r="E432" t="s" s="2">
        <v>17</v>
      </c>
      <c r="F432" t="s" s="2">
        <f>HYPERLINK("http://ts.21cn.com/tousu/show/id/1373692","http://ts.21cn.com/tousu/show/id/1373692")</f>
      </c>
      <c r="G432" t="s" s="2">
        <v>17</v>
      </c>
      <c r="H432" t="s" s="2">
        <v>19</v>
      </c>
      <c r="I432" t="s" s="2">
        <v>1728</v>
      </c>
      <c r="J432" t="s" s="2">
        <v>1729</v>
      </c>
      <c r="K432" t="s" s="2">
        <v>22</v>
      </c>
      <c r="L432" t="s" s="2">
        <v>22</v>
      </c>
      <c r="M432" t="s" s="2">
        <v>22</v>
      </c>
    </row>
    <row r="433" ht="25.0" customHeight="true">
      <c r="A433" t="s" s="2">
        <v>13</v>
      </c>
      <c r="B433" t="s" s="2">
        <f>HYPERLINK("http://ts.21cn.com/tousu/show/id/1373691","浦发银行威胁恐吓")</f>
      </c>
      <c r="C433" t="s" s="2">
        <v>15</v>
      </c>
      <c r="D433" t="s" s="2">
        <v>16</v>
      </c>
      <c r="E433" t="s" s="2">
        <v>17</v>
      </c>
      <c r="F433" t="s" s="2">
        <f>HYPERLINK("http://ts.21cn.com/tousu/show/id/1373691","http://ts.21cn.com/tousu/show/id/1373691")</f>
      </c>
      <c r="G433" t="s" s="2">
        <v>17</v>
      </c>
      <c r="H433" t="s" s="2">
        <v>19</v>
      </c>
      <c r="I433" t="s" s="2">
        <v>1732</v>
      </c>
      <c r="J433" t="s" s="2">
        <v>1733</v>
      </c>
      <c r="K433" t="s" s="2">
        <v>22</v>
      </c>
      <c r="L433" t="s" s="2">
        <v>22</v>
      </c>
      <c r="M433" t="s" s="2">
        <v>22</v>
      </c>
    </row>
    <row r="434" ht="25.0" customHeight="true">
      <c r="A434" t="s" s="2">
        <v>13</v>
      </c>
      <c r="B434" t="s" s="2">
        <f>HYPERLINK("http://ts.21cn.com/tousu/show/id/1373690","头条钱包")</f>
      </c>
      <c r="C434" t="s" s="2">
        <v>52</v>
      </c>
      <c r="D434" t="s" s="2">
        <v>16</v>
      </c>
      <c r="E434" t="s" s="2">
        <v>17</v>
      </c>
      <c r="F434" t="s" s="2">
        <f>HYPERLINK("http://ts.21cn.com/tousu/show/id/1373690","http://ts.21cn.com/tousu/show/id/1373690")</f>
      </c>
      <c r="G434" t="s" s="2">
        <v>17</v>
      </c>
      <c r="H434" t="s" s="2">
        <v>19</v>
      </c>
      <c r="I434" t="s" s="2">
        <v>1736</v>
      </c>
      <c r="J434" t="s" s="2">
        <v>1737</v>
      </c>
      <c r="K434" t="s" s="2">
        <v>22</v>
      </c>
      <c r="L434" t="s" s="2">
        <v>22</v>
      </c>
      <c r="M434" t="s" s="2">
        <v>22</v>
      </c>
    </row>
    <row r="435" ht="25.0" customHeight="true">
      <c r="A435" t="s" s="2">
        <v>13</v>
      </c>
      <c r="B435" t="s" s="2">
        <f>HYPERLINK("http://ts.21cn.com/tousu/show/id/1373689","梦幻变异版")</f>
      </c>
      <c r="C435" t="s" s="2">
        <v>15</v>
      </c>
      <c r="D435" t="s" s="2">
        <v>16</v>
      </c>
      <c r="E435" t="s" s="2">
        <v>17</v>
      </c>
      <c r="F435" t="s" s="2">
        <f>HYPERLINK("http://ts.21cn.com/tousu/show/id/1373689","http://ts.21cn.com/tousu/show/id/1373689")</f>
      </c>
      <c r="G435" t="s" s="2">
        <v>17</v>
      </c>
      <c r="H435" t="s" s="2">
        <v>19</v>
      </c>
      <c r="I435" t="s" s="2">
        <v>1740</v>
      </c>
      <c r="J435" t="s" s="2">
        <v>1741</v>
      </c>
      <c r="K435" t="s" s="2">
        <v>22</v>
      </c>
      <c r="L435" t="s" s="2">
        <v>22</v>
      </c>
      <c r="M435" t="s" s="2">
        <v>22</v>
      </c>
    </row>
    <row r="436" ht="25.0" customHeight="true">
      <c r="A436" t="s" s="2">
        <v>13</v>
      </c>
      <c r="B436" t="s" s="2">
        <f>HYPERLINK("http://ts.21cn.com/tousu/show/id/1373685","腾讯。谁给你们的权利私自从我的信用卡扣费？")</f>
      </c>
      <c r="C436" t="s" s="2">
        <v>15</v>
      </c>
      <c r="D436" t="s" s="2">
        <v>16</v>
      </c>
      <c r="E436" t="s" s="2">
        <v>17</v>
      </c>
      <c r="F436" t="s" s="2">
        <f>HYPERLINK("http://ts.21cn.com/tousu/show/id/1373685","http://ts.21cn.com/tousu/show/id/1373685")</f>
      </c>
      <c r="G436" t="s" s="2">
        <v>17</v>
      </c>
      <c r="H436" t="s" s="2">
        <v>19</v>
      </c>
      <c r="I436" t="s" s="2">
        <v>1744</v>
      </c>
      <c r="J436" t="s" s="2">
        <v>1745</v>
      </c>
      <c r="K436" t="s" s="2">
        <v>22</v>
      </c>
      <c r="L436" t="s" s="2">
        <v>22</v>
      </c>
      <c r="M436" t="s" s="2">
        <v>22</v>
      </c>
    </row>
    <row r="437" ht="25.0" customHeight="true">
      <c r="A437" t="s" s="2">
        <v>13</v>
      </c>
      <c r="B437" t="s" s="2">
        <f>HYPERLINK("http://ts.21cn.com/tousu/show/id/1373682","暴力催收，爆通讯录")</f>
      </c>
      <c r="C437" t="s" s="2">
        <v>15</v>
      </c>
      <c r="D437" t="s" s="2">
        <v>16</v>
      </c>
      <c r="E437" t="s" s="2">
        <v>17</v>
      </c>
      <c r="F437" t="s" s="2">
        <f>HYPERLINK("http://ts.21cn.com/tousu/show/id/1373682","http://ts.21cn.com/tousu/show/id/1373682")</f>
      </c>
      <c r="G437" t="s" s="2">
        <v>17</v>
      </c>
      <c r="H437" t="s" s="2">
        <v>19</v>
      </c>
      <c r="I437" t="s" s="2">
        <v>1748</v>
      </c>
      <c r="J437" t="s" s="2">
        <v>1749</v>
      </c>
      <c r="K437" t="s" s="2">
        <v>22</v>
      </c>
      <c r="L437" t="s" s="2">
        <v>22</v>
      </c>
      <c r="M437" t="s" s="2">
        <v>22</v>
      </c>
    </row>
    <row r="438" ht="25.0" customHeight="true">
      <c r="A438" t="s" s="2">
        <v>13</v>
      </c>
      <c r="B438" t="s" s="2">
        <f>HYPERLINK("http://ts.21cn.com/tousu/show/id/1373683","中信银行信用卡")</f>
      </c>
      <c r="C438" t="s" s="2">
        <v>15</v>
      </c>
      <c r="D438" t="s" s="2">
        <v>16</v>
      </c>
      <c r="E438" t="s" s="2">
        <v>17</v>
      </c>
      <c r="F438" t="s" s="2">
        <f>HYPERLINK("http://ts.21cn.com/tousu/show/id/1373683","http://ts.21cn.com/tousu/show/id/1373683")</f>
      </c>
      <c r="G438" t="s" s="2">
        <v>17</v>
      </c>
      <c r="H438" t="s" s="2">
        <v>19</v>
      </c>
      <c r="I438" t="s" s="2">
        <v>1748</v>
      </c>
      <c r="J438" t="s" s="2">
        <v>1752</v>
      </c>
      <c r="K438" t="s" s="2">
        <v>22</v>
      </c>
      <c r="L438" t="s" s="2">
        <v>22</v>
      </c>
      <c r="M438" t="s" s="2">
        <v>22</v>
      </c>
    </row>
    <row r="439" ht="25.0" customHeight="true">
      <c r="A439" t="s" s="2">
        <v>13</v>
      </c>
      <c r="B439" t="s" s="2">
        <f>HYPERLINK("http://ts.21cn.com/tousu/show/id/1373680","平台费、手续费高的吓人，")</f>
      </c>
      <c r="C439" t="s" s="2">
        <v>15</v>
      </c>
      <c r="D439" t="s" s="2">
        <v>16</v>
      </c>
      <c r="E439" t="s" s="2">
        <v>17</v>
      </c>
      <c r="F439" t="s" s="2">
        <f>HYPERLINK("http://ts.21cn.com/tousu/show/id/1373680","http://ts.21cn.com/tousu/show/id/1373680")</f>
      </c>
      <c r="G439" t="s" s="2">
        <v>17</v>
      </c>
      <c r="H439" t="s" s="2">
        <v>19</v>
      </c>
      <c r="I439" t="s" s="2">
        <v>1755</v>
      </c>
      <c r="J439" t="s" s="2">
        <v>1756</v>
      </c>
      <c r="K439" t="s" s="2">
        <v>22</v>
      </c>
      <c r="L439" t="s" s="2">
        <v>22</v>
      </c>
      <c r="M439" t="s" s="2">
        <v>22</v>
      </c>
    </row>
    <row r="440" ht="25.0" customHeight="true">
      <c r="A440" t="s" s="2">
        <v>13</v>
      </c>
      <c r="B440" t="s" s="2">
        <f>HYPERLINK("http://ts.21cn.com/tousu/show/id/1373678","贷上钱以游戏豆收取高额通过费")</f>
      </c>
      <c r="C440" t="s" s="2">
        <v>52</v>
      </c>
      <c r="D440" t="s" s="2">
        <v>16</v>
      </c>
      <c r="E440" t="s" s="2">
        <v>17</v>
      </c>
      <c r="F440" t="s" s="2">
        <f>HYPERLINK("http://ts.21cn.com/tousu/show/id/1373678","http://ts.21cn.com/tousu/show/id/1373678")</f>
      </c>
      <c r="G440" t="s" s="2">
        <v>17</v>
      </c>
      <c r="H440" t="s" s="2">
        <v>19</v>
      </c>
      <c r="I440" t="s" s="2">
        <v>1759</v>
      </c>
      <c r="J440" t="s" s="2">
        <v>1760</v>
      </c>
      <c r="K440" t="s" s="2">
        <v>22</v>
      </c>
      <c r="L440" t="s" s="2">
        <v>22</v>
      </c>
      <c r="M440" t="s" s="2">
        <v>22</v>
      </c>
    </row>
    <row r="441" ht="25.0" customHeight="true">
      <c r="A441" t="s" s="2">
        <v>13</v>
      </c>
      <c r="B441" t="s" s="2">
        <f>HYPERLINK("http://ts.21cn.com/tousu/show/id/1373674","福音短视频App")</f>
      </c>
      <c r="C441" t="s" s="2">
        <v>15</v>
      </c>
      <c r="D441" t="s" s="2">
        <v>16</v>
      </c>
      <c r="E441" t="s" s="2">
        <v>17</v>
      </c>
      <c r="F441" t="s" s="2">
        <f>HYPERLINK("http://ts.21cn.com/tousu/show/id/1373674","http://ts.21cn.com/tousu/show/id/1373674")</f>
      </c>
      <c r="G441" t="s" s="2">
        <v>17</v>
      </c>
      <c r="H441" t="s" s="2">
        <v>19</v>
      </c>
      <c r="I441" t="s" s="2">
        <v>1763</v>
      </c>
      <c r="J441" t="s" s="2">
        <v>1764</v>
      </c>
      <c r="K441" t="s" s="2">
        <v>22</v>
      </c>
      <c r="L441" t="s" s="2">
        <v>22</v>
      </c>
      <c r="M441" t="s" s="2">
        <v>22</v>
      </c>
    </row>
    <row r="442" ht="25.0" customHeight="true">
      <c r="A442" t="s" s="2">
        <v>13</v>
      </c>
      <c r="B442" t="s" s="2">
        <f>HYPERLINK("http://ts.21cn.com/tousu/show/id/1373673","恐吓威胁")</f>
      </c>
      <c r="C442" t="s" s="2">
        <v>15</v>
      </c>
      <c r="D442" t="s" s="2">
        <v>16</v>
      </c>
      <c r="E442" t="s" s="2">
        <v>17</v>
      </c>
      <c r="F442" t="s" s="2">
        <f>HYPERLINK("http://ts.21cn.com/tousu/show/id/1373673","http://ts.21cn.com/tousu/show/id/1373673")</f>
      </c>
      <c r="G442" t="s" s="2">
        <v>17</v>
      </c>
      <c r="H442" t="s" s="2">
        <v>19</v>
      </c>
      <c r="I442" t="s" s="2">
        <v>1767</v>
      </c>
      <c r="J442" t="s" s="2">
        <v>1768</v>
      </c>
      <c r="K442" t="s" s="2">
        <v>22</v>
      </c>
      <c r="L442" t="s" s="2">
        <v>22</v>
      </c>
      <c r="M442" t="s" s="2">
        <v>22</v>
      </c>
    </row>
    <row r="443" ht="25.0" customHeight="true">
      <c r="A443" t="s" s="2">
        <v>13</v>
      </c>
      <c r="B443" t="s" s="2">
        <f>HYPERLINK("http://ts.21cn.com/tousu/show/id/1373676","奇异果vip自动扣费")</f>
      </c>
      <c r="C443" t="s" s="2">
        <v>15</v>
      </c>
      <c r="D443" t="s" s="2">
        <v>16</v>
      </c>
      <c r="E443" t="s" s="2">
        <v>17</v>
      </c>
      <c r="F443" t="s" s="2">
        <f>HYPERLINK("http://ts.21cn.com/tousu/show/id/1373676","http://ts.21cn.com/tousu/show/id/1373676")</f>
      </c>
      <c r="G443" t="s" s="2">
        <v>17</v>
      </c>
      <c r="H443" t="s" s="2">
        <v>19</v>
      </c>
      <c r="I443" t="s" s="2">
        <v>1767</v>
      </c>
      <c r="J443" t="s" s="2">
        <v>1771</v>
      </c>
      <c r="K443" t="s" s="2">
        <v>22</v>
      </c>
      <c r="L443" t="s" s="2">
        <v>22</v>
      </c>
      <c r="M443" t="s" s="2">
        <v>22</v>
      </c>
    </row>
    <row r="444" ht="25.0" customHeight="true">
      <c r="A444" t="s" s="2">
        <v>13</v>
      </c>
      <c r="B444" t="s" s="2">
        <f>HYPERLINK("http://ts.21cn.com/tousu/show/id/1373672","协商推迟还款事宜")</f>
      </c>
      <c r="C444" t="s" s="2">
        <v>52</v>
      </c>
      <c r="D444" t="s" s="2">
        <v>16</v>
      </c>
      <c r="E444" t="s" s="2">
        <v>17</v>
      </c>
      <c r="F444" t="s" s="2">
        <f>HYPERLINK("http://ts.21cn.com/tousu/show/id/1373672","http://ts.21cn.com/tousu/show/id/1373672")</f>
      </c>
      <c r="G444" t="s" s="2">
        <v>17</v>
      </c>
      <c r="H444" t="s" s="2">
        <v>19</v>
      </c>
      <c r="I444" t="s" s="2">
        <v>1773</v>
      </c>
      <c r="J444" t="s" s="2">
        <v>1774</v>
      </c>
      <c r="K444" t="s" s="2">
        <v>22</v>
      </c>
      <c r="L444" t="s" s="2">
        <v>22</v>
      </c>
      <c r="M444" t="s" s="2">
        <v>22</v>
      </c>
    </row>
    <row r="445" ht="25.0" customHeight="true">
      <c r="A445" t="s" s="2">
        <v>13</v>
      </c>
      <c r="B445" t="s" s="2">
        <f>HYPERLINK("http://ts.21cn.com/tousu/show/id/1373671","玖富万卡擅自改写合同，变相收取费用，高利贷")</f>
      </c>
      <c r="C445" t="s" s="2">
        <v>15</v>
      </c>
      <c r="D445" t="s" s="2">
        <v>16</v>
      </c>
      <c r="E445" t="s" s="2">
        <v>17</v>
      </c>
      <c r="F445" t="s" s="2">
        <f>HYPERLINK("http://ts.21cn.com/tousu/show/id/1373671","http://ts.21cn.com/tousu/show/id/1373671")</f>
      </c>
      <c r="G445" t="s" s="2">
        <v>17</v>
      </c>
      <c r="H445" t="s" s="2">
        <v>19</v>
      </c>
      <c r="I445" t="s" s="2">
        <v>1776</v>
      </c>
      <c r="J445" t="s" s="2">
        <v>1777</v>
      </c>
      <c r="K445" t="s" s="2">
        <v>22</v>
      </c>
      <c r="L445" t="s" s="2">
        <v>22</v>
      </c>
      <c r="M445" t="s" s="2">
        <v>22</v>
      </c>
    </row>
    <row r="446" ht="25.0" customHeight="true">
      <c r="A446" t="s" s="2">
        <v>13</v>
      </c>
      <c r="B446" t="s" s="2">
        <f>HYPERLINK("http://ts.21cn.com/tousu/show/id/1373669","恐吓")</f>
      </c>
      <c r="C446" t="s" s="2">
        <v>15</v>
      </c>
      <c r="D446" t="s" s="2">
        <v>16</v>
      </c>
      <c r="E446" t="s" s="2">
        <v>17</v>
      </c>
      <c r="F446" t="s" s="2">
        <f>HYPERLINK("http://ts.21cn.com/tousu/show/id/1373669","http://ts.21cn.com/tousu/show/id/1373669")</f>
      </c>
      <c r="G446" t="s" s="2">
        <v>17</v>
      </c>
      <c r="H446" t="s" s="2">
        <v>19</v>
      </c>
      <c r="I446" t="s" s="2">
        <v>1780</v>
      </c>
      <c r="J446" t="s" s="2">
        <v>1781</v>
      </c>
      <c r="K446" t="s" s="2">
        <v>22</v>
      </c>
      <c r="L446" t="s" s="2">
        <v>22</v>
      </c>
      <c r="M446" t="s" s="2">
        <v>22</v>
      </c>
    </row>
    <row r="447" ht="25.0" customHeight="true">
      <c r="A447" t="s" s="2">
        <v>13</v>
      </c>
      <c r="B447" t="s" s="2">
        <f>HYPERLINK("http://ts.21cn.com/tousu/show/id/1373668","交通银行信用卡暴力催收，威胁还款，不与协商还款")</f>
      </c>
      <c r="C447" t="s" s="2">
        <v>15</v>
      </c>
      <c r="D447" t="s" s="2">
        <v>16</v>
      </c>
      <c r="E447" t="s" s="2">
        <v>17</v>
      </c>
      <c r="F447" t="s" s="2">
        <f>HYPERLINK("http://ts.21cn.com/tousu/show/id/1373668","http://ts.21cn.com/tousu/show/id/1373668")</f>
      </c>
      <c r="G447" t="s" s="2">
        <v>17</v>
      </c>
      <c r="H447" t="s" s="2">
        <v>19</v>
      </c>
      <c r="I447" t="s" s="2">
        <v>1784</v>
      </c>
      <c r="J447" t="s" s="2">
        <v>1785</v>
      </c>
      <c r="K447" t="s" s="2">
        <v>22</v>
      </c>
      <c r="L447" t="s" s="2">
        <v>22</v>
      </c>
      <c r="M447" t="s" s="2">
        <v>22</v>
      </c>
    </row>
    <row r="448" ht="25.0" customHeight="true">
      <c r="A448" t="s" s="2">
        <v>13</v>
      </c>
      <c r="B448" t="s" s="2">
        <f>HYPERLINK("http://ts.21cn.com/tousu/show/id/1373670","京东商城未发货不退货")</f>
      </c>
      <c r="C448" t="s" s="2">
        <v>15</v>
      </c>
      <c r="D448" t="s" s="2">
        <v>16</v>
      </c>
      <c r="E448" t="s" s="2">
        <v>17</v>
      </c>
      <c r="F448" t="s" s="2">
        <f>HYPERLINK("http://ts.21cn.com/tousu/show/id/1373670","http://ts.21cn.com/tousu/show/id/1373670")</f>
      </c>
      <c r="G448" t="s" s="2">
        <v>17</v>
      </c>
      <c r="H448" t="s" s="2">
        <v>19</v>
      </c>
      <c r="I448" t="s" s="2">
        <v>1788</v>
      </c>
      <c r="J448" t="s" s="2">
        <v>1789</v>
      </c>
      <c r="K448" t="s" s="2">
        <v>22</v>
      </c>
      <c r="L448" t="s" s="2">
        <v>22</v>
      </c>
      <c r="M448" t="s" s="2">
        <v>22</v>
      </c>
    </row>
    <row r="449" ht="25.0" customHeight="true">
      <c r="A449" t="s" s="2">
        <v>13</v>
      </c>
      <c r="B449" t="s" s="2">
        <f>HYPERLINK("http://ts.21cn.com/tousu/show/id/1373667","高利贷砍头息")</f>
      </c>
      <c r="C449" t="s" s="2">
        <v>15</v>
      </c>
      <c r="D449" t="s" s="2">
        <v>16</v>
      </c>
      <c r="E449" t="s" s="2">
        <v>17</v>
      </c>
      <c r="F449" t="s" s="2">
        <f>HYPERLINK("http://ts.21cn.com/tousu/show/id/1373667","http://ts.21cn.com/tousu/show/id/1373667")</f>
      </c>
      <c r="G449" t="s" s="2">
        <v>17</v>
      </c>
      <c r="H449" t="s" s="2">
        <v>19</v>
      </c>
      <c r="I449" t="s" s="2">
        <v>1792</v>
      </c>
      <c r="J449" t="s" s="2">
        <v>1793</v>
      </c>
      <c r="K449" t="s" s="2">
        <v>22</v>
      </c>
      <c r="L449" t="s" s="2">
        <v>22</v>
      </c>
      <c r="M449" t="s" s="2">
        <v>22</v>
      </c>
    </row>
    <row r="450" ht="25.0" customHeight="true">
      <c r="A450" t="s" s="2">
        <v>13</v>
      </c>
      <c r="B450" t="s" s="2">
        <f>HYPERLINK("http://ts.21cn.com/tousu/show/id/1373666","淘集集退回商家保证金2000元")</f>
      </c>
      <c r="C450" t="s" s="2">
        <v>15</v>
      </c>
      <c r="D450" t="s" s="2">
        <v>16</v>
      </c>
      <c r="E450" t="s" s="2">
        <v>17</v>
      </c>
      <c r="F450" t="s" s="2">
        <f>HYPERLINK("http://ts.21cn.com/tousu/show/id/1373666","http://ts.21cn.com/tousu/show/id/1373666")</f>
      </c>
      <c r="G450" t="s" s="2">
        <v>17</v>
      </c>
      <c r="H450" t="s" s="2">
        <v>19</v>
      </c>
      <c r="I450" t="s" s="2">
        <v>1796</v>
      </c>
      <c r="J450" t="s" s="2">
        <v>1797</v>
      </c>
      <c r="K450" t="s" s="2">
        <v>22</v>
      </c>
      <c r="L450" t="s" s="2">
        <v>22</v>
      </c>
      <c r="M450" t="s" s="2">
        <v>22</v>
      </c>
    </row>
    <row r="451" ht="25.0" customHeight="true">
      <c r="A451" t="s" s="2">
        <v>13</v>
      </c>
      <c r="B451" t="s" s="2">
        <f>HYPERLINK("http://ts.21cn.com/tousu/show/id/1373665","日本村外教网退费问题")</f>
      </c>
      <c r="C451" t="s" s="2">
        <v>15</v>
      </c>
      <c r="D451" t="s" s="2">
        <v>16</v>
      </c>
      <c r="E451" t="s" s="2">
        <v>17</v>
      </c>
      <c r="F451" t="s" s="2">
        <f>HYPERLINK("http://ts.21cn.com/tousu/show/id/1373665","http://ts.21cn.com/tousu/show/id/1373665")</f>
      </c>
      <c r="G451" t="s" s="2">
        <v>17</v>
      </c>
      <c r="H451" t="s" s="2">
        <v>19</v>
      </c>
      <c r="I451" t="s" s="2">
        <v>1800</v>
      </c>
      <c r="J451" t="s" s="2">
        <v>1801</v>
      </c>
      <c r="K451" t="s" s="2">
        <v>22</v>
      </c>
      <c r="L451" t="s" s="2">
        <v>22</v>
      </c>
      <c r="M451" t="s" s="2">
        <v>22</v>
      </c>
    </row>
    <row r="452" ht="25.0" customHeight="true">
      <c r="A452" t="s" s="2">
        <v>13</v>
      </c>
      <c r="B452" t="s" s="2">
        <f>HYPERLINK("http://ts.21cn.com/tousu/show/id/1373663","闪电借款无良催收！")</f>
      </c>
      <c r="C452" t="s" s="2">
        <v>15</v>
      </c>
      <c r="D452" t="s" s="2">
        <v>16</v>
      </c>
      <c r="E452" t="s" s="2">
        <v>17</v>
      </c>
      <c r="F452" t="s" s="2">
        <f>HYPERLINK("http://ts.21cn.com/tousu/show/id/1373663","http://ts.21cn.com/tousu/show/id/1373663")</f>
      </c>
      <c r="G452" t="s" s="2">
        <v>17</v>
      </c>
      <c r="H452" t="s" s="2">
        <v>19</v>
      </c>
      <c r="I452" t="s" s="2">
        <v>1804</v>
      </c>
      <c r="J452" t="s" s="2">
        <v>1805</v>
      </c>
      <c r="K452" t="s" s="2">
        <v>22</v>
      </c>
      <c r="L452" t="s" s="2">
        <v>22</v>
      </c>
      <c r="M452" t="s" s="2">
        <v>22</v>
      </c>
    </row>
    <row r="453" ht="25.0" customHeight="true">
      <c r="A453" t="s" s="2">
        <v>13</v>
      </c>
      <c r="B453" t="s" s="2">
        <f>HYPERLINK("http://ts.21cn.com/tousu/show/id/1373661","立借高利贷暴力催收")</f>
      </c>
      <c r="C453" t="s" s="2">
        <v>15</v>
      </c>
      <c r="D453" t="s" s="2">
        <v>16</v>
      </c>
      <c r="E453" t="s" s="2">
        <v>17</v>
      </c>
      <c r="F453" t="s" s="2">
        <f>HYPERLINK("http://ts.21cn.com/tousu/show/id/1373661","http://ts.21cn.com/tousu/show/id/1373661")</f>
      </c>
      <c r="G453" t="s" s="2">
        <v>17</v>
      </c>
      <c r="H453" t="s" s="2">
        <v>19</v>
      </c>
      <c r="I453" t="s" s="2">
        <v>1808</v>
      </c>
      <c r="J453" t="s" s="2">
        <v>1809</v>
      </c>
      <c r="K453" t="s" s="2">
        <v>22</v>
      </c>
      <c r="L453" t="s" s="2">
        <v>22</v>
      </c>
      <c r="M453" t="s" s="2">
        <v>22</v>
      </c>
    </row>
    <row r="454" ht="25.0" customHeight="true">
      <c r="A454" t="s" s="2">
        <v>13</v>
      </c>
      <c r="B454" t="s" s="2">
        <f>HYPERLINK("http://ts.21cn.com/tousu/show/id/1373662","海王分期，合利宝，富友支付套路贷")</f>
      </c>
      <c r="C454" t="s" s="2">
        <v>15</v>
      </c>
      <c r="D454" t="s" s="2">
        <v>16</v>
      </c>
      <c r="E454" t="s" s="2">
        <v>17</v>
      </c>
      <c r="F454" t="s" s="2">
        <f>HYPERLINK("http://ts.21cn.com/tousu/show/id/1373662","http://ts.21cn.com/tousu/show/id/1373662")</f>
      </c>
      <c r="G454" t="s" s="2">
        <v>17</v>
      </c>
      <c r="H454" t="s" s="2">
        <v>19</v>
      </c>
      <c r="I454" t="s" s="2">
        <v>1812</v>
      </c>
      <c r="J454" t="s" s="2">
        <v>1813</v>
      </c>
      <c r="K454" t="s" s="2">
        <v>22</v>
      </c>
      <c r="L454" t="s" s="2">
        <v>22</v>
      </c>
      <c r="M454" t="s" s="2">
        <v>22</v>
      </c>
    </row>
    <row r="455" ht="25.0" customHeight="true">
      <c r="A455" t="s" s="2">
        <v>13</v>
      </c>
      <c r="B455" t="s" s="2">
        <f>HYPERLINK("http://ts.21cn.com/tousu/show/id/1371904","钟意乐八达通贷款")</f>
      </c>
      <c r="C455" t="s" s="2">
        <v>15</v>
      </c>
      <c r="D455" t="s" s="2">
        <v>16</v>
      </c>
      <c r="E455" t="s" s="2">
        <v>17</v>
      </c>
      <c r="F455" t="s" s="2">
        <f>HYPERLINK("http://ts.21cn.com/tousu/show/id/1371904","http://ts.21cn.com/tousu/show/id/1371904")</f>
      </c>
      <c r="G455" t="s" s="2">
        <v>17</v>
      </c>
      <c r="H455" t="s" s="2">
        <v>19</v>
      </c>
      <c r="I455" t="s" s="2">
        <v>1816</v>
      </c>
      <c r="J455" t="s" s="2">
        <v>1817</v>
      </c>
      <c r="K455" t="s" s="2">
        <v>22</v>
      </c>
      <c r="L455" t="s" s="2">
        <v>22</v>
      </c>
      <c r="M455" t="s" s="2">
        <v>22</v>
      </c>
    </row>
    <row r="456" ht="25.0" customHeight="true">
      <c r="A456" t="s" s="2">
        <v>13</v>
      </c>
      <c r="B456" t="s" s="2">
        <f>HYPERLINK("http://ts.21cn.com/tousu/show/id/1373660","钱站app合同上没写出服务费保费具体明细")</f>
      </c>
      <c r="C456" t="s" s="2">
        <v>15</v>
      </c>
      <c r="D456" t="s" s="2">
        <v>16</v>
      </c>
      <c r="E456" t="s" s="2">
        <v>17</v>
      </c>
      <c r="F456" t="s" s="2">
        <f>HYPERLINK("http://ts.21cn.com/tousu/show/id/1373660","http://ts.21cn.com/tousu/show/id/1373660")</f>
      </c>
      <c r="G456" t="s" s="2">
        <v>17</v>
      </c>
      <c r="H456" t="s" s="2">
        <v>19</v>
      </c>
      <c r="I456" t="s" s="2">
        <v>1820</v>
      </c>
      <c r="J456" t="s" s="2">
        <v>1821</v>
      </c>
      <c r="K456" t="s" s="2">
        <v>22</v>
      </c>
      <c r="L456" t="s" s="2">
        <v>22</v>
      </c>
      <c r="M456" t="s" s="2">
        <v>22</v>
      </c>
    </row>
    <row r="457" ht="25.0" customHeight="true">
      <c r="A457" t="s" s="2">
        <v>13</v>
      </c>
      <c r="B457" t="s" s="2">
        <f>HYPERLINK("http://ts.21cn.com/tousu/show/id/1373659","钱站违法高利贷砍头息服务费")</f>
      </c>
      <c r="C457" t="s" s="2">
        <v>15</v>
      </c>
      <c r="D457" t="s" s="2">
        <v>16</v>
      </c>
      <c r="E457" t="s" s="2">
        <v>17</v>
      </c>
      <c r="F457" t="s" s="2">
        <f>HYPERLINK("http://ts.21cn.com/tousu/show/id/1373659","http://ts.21cn.com/tousu/show/id/1373659")</f>
      </c>
      <c r="G457" t="s" s="2">
        <v>17</v>
      </c>
      <c r="H457" t="s" s="2">
        <v>19</v>
      </c>
      <c r="I457" t="s" s="2">
        <v>1824</v>
      </c>
      <c r="J457" t="s" s="2">
        <v>1825</v>
      </c>
      <c r="K457" t="s" s="2">
        <v>22</v>
      </c>
      <c r="L457" t="s" s="2">
        <v>22</v>
      </c>
      <c r="M457" t="s" s="2">
        <v>22</v>
      </c>
    </row>
    <row r="458" ht="25.0" customHeight="true">
      <c r="A458" t="s" s="2">
        <v>13</v>
      </c>
      <c r="B458" t="s" s="2">
        <f>HYPERLINK("http://ts.21cn.com/tousu/show/id/1373658","蜜瓜钱包高额利息和违约金")</f>
      </c>
      <c r="C458" t="s" s="2">
        <v>15</v>
      </c>
      <c r="D458" t="s" s="2">
        <v>16</v>
      </c>
      <c r="E458" t="s" s="2">
        <v>17</v>
      </c>
      <c r="F458" t="s" s="2">
        <f>HYPERLINK("http://ts.21cn.com/tousu/show/id/1373658","http://ts.21cn.com/tousu/show/id/1373658")</f>
      </c>
      <c r="G458" t="s" s="2">
        <v>17</v>
      </c>
      <c r="H458" t="s" s="2">
        <v>19</v>
      </c>
      <c r="I458" t="s" s="2">
        <v>1828</v>
      </c>
      <c r="J458" t="s" s="2">
        <v>1829</v>
      </c>
      <c r="K458" t="s" s="2">
        <v>22</v>
      </c>
      <c r="L458" t="s" s="2">
        <v>22</v>
      </c>
      <c r="M458" t="s" s="2">
        <v>22</v>
      </c>
    </row>
    <row r="459" ht="25.0" customHeight="true">
      <c r="A459" t="s" s="2">
        <v>13</v>
      </c>
      <c r="B459" t="s" s="2">
        <f>HYPERLINK("http://ts.21cn.com/tousu/show/id/1373657","小赢卡贷高利贷")</f>
      </c>
      <c r="C459" t="s" s="2">
        <v>15</v>
      </c>
      <c r="D459" t="s" s="2">
        <v>16</v>
      </c>
      <c r="E459" t="s" s="2">
        <v>17</v>
      </c>
      <c r="F459" t="s" s="2">
        <f>HYPERLINK("http://ts.21cn.com/tousu/show/id/1373657","http://ts.21cn.com/tousu/show/id/1373657")</f>
      </c>
      <c r="G459" t="s" s="2">
        <v>17</v>
      </c>
      <c r="H459" t="s" s="2">
        <v>19</v>
      </c>
      <c r="I459" t="s" s="2">
        <v>1832</v>
      </c>
      <c r="J459" t="s" s="2">
        <v>1833</v>
      </c>
      <c r="K459" t="s" s="2">
        <v>22</v>
      </c>
      <c r="L459" t="s" s="2">
        <v>22</v>
      </c>
      <c r="M459" t="s" s="2">
        <v>22</v>
      </c>
    </row>
    <row r="460" ht="25.0" customHeight="true">
      <c r="A460" t="s" s="2">
        <v>13</v>
      </c>
      <c r="B460" t="s" s="2">
        <f>HYPERLINK("http://ts.21cn.com/tousu/show/id/1373656","电话催收")</f>
      </c>
      <c r="C460" t="s" s="2">
        <v>15</v>
      </c>
      <c r="D460" t="s" s="2">
        <v>16</v>
      </c>
      <c r="E460" t="s" s="2">
        <v>17</v>
      </c>
      <c r="F460" t="s" s="2">
        <f>HYPERLINK("http://ts.21cn.com/tousu/show/id/1373656","http://ts.21cn.com/tousu/show/id/1373656")</f>
      </c>
      <c r="G460" t="s" s="2">
        <v>17</v>
      </c>
      <c r="H460" t="s" s="2">
        <v>19</v>
      </c>
      <c r="I460" t="s" s="2">
        <v>1836</v>
      </c>
      <c r="J460" t="s" s="2">
        <v>1837</v>
      </c>
      <c r="K460" t="s" s="2">
        <v>22</v>
      </c>
      <c r="L460" t="s" s="2">
        <v>22</v>
      </c>
      <c r="M460" t="s" s="2">
        <v>22</v>
      </c>
    </row>
    <row r="461" ht="25.0" customHeight="true">
      <c r="A461" t="s" s="2">
        <v>13</v>
      </c>
      <c r="B461" t="s" s="2">
        <f>HYPERLINK("http://ts.21cn.com/tousu/show/id/1373655","还款找不到app")</f>
      </c>
      <c r="C461" t="s" s="2">
        <v>52</v>
      </c>
      <c r="D461" t="s" s="2">
        <v>16</v>
      </c>
      <c r="E461" t="s" s="2">
        <v>17</v>
      </c>
      <c r="F461" t="s" s="2">
        <f>HYPERLINK("http://ts.21cn.com/tousu/show/id/1373655","http://ts.21cn.com/tousu/show/id/1373655")</f>
      </c>
      <c r="G461" t="s" s="2">
        <v>17</v>
      </c>
      <c r="H461" t="s" s="2">
        <v>19</v>
      </c>
      <c r="I461" t="s" s="2">
        <v>1840</v>
      </c>
      <c r="J461" t="s" s="2">
        <v>1841</v>
      </c>
      <c r="K461" t="s" s="2">
        <v>22</v>
      </c>
      <c r="L461" t="s" s="2">
        <v>22</v>
      </c>
      <c r="M461" t="s" s="2">
        <v>22</v>
      </c>
    </row>
    <row r="462" ht="25.0" customHeight="true">
      <c r="A462" t="s" s="2">
        <v>13</v>
      </c>
      <c r="B462" t="s" s="2">
        <f>HYPERLINK("http://ts.21cn.com/tousu/show/id/1373646","玖富万卡利息太高")</f>
      </c>
      <c r="C462" t="s" s="2">
        <v>15</v>
      </c>
      <c r="D462" t="s" s="2">
        <v>16</v>
      </c>
      <c r="E462" t="s" s="2">
        <v>17</v>
      </c>
      <c r="F462" t="s" s="2">
        <f>HYPERLINK("http://ts.21cn.com/tousu/show/id/1373646","http://ts.21cn.com/tousu/show/id/1373646")</f>
      </c>
      <c r="G462" t="s" s="2">
        <v>17</v>
      </c>
      <c r="H462" t="s" s="2">
        <v>19</v>
      </c>
      <c r="I462" t="s" s="2">
        <v>1844</v>
      </c>
      <c r="J462" t="s" s="2">
        <v>1845</v>
      </c>
      <c r="K462" t="s" s="2">
        <v>22</v>
      </c>
      <c r="L462" t="s" s="2">
        <v>22</v>
      </c>
      <c r="M462" t="s" s="2">
        <v>22</v>
      </c>
    </row>
    <row r="463" ht="25.0" customHeight="true">
      <c r="A463" t="s" s="2">
        <v>13</v>
      </c>
      <c r="B463" t="s" s="2">
        <f>HYPERLINK("http://ts.21cn.com/tousu/show/id/1373654","易行商旅虚假宣传，诱导误消费")</f>
      </c>
      <c r="C463" t="s" s="2">
        <v>15</v>
      </c>
      <c r="D463" t="s" s="2">
        <v>16</v>
      </c>
      <c r="E463" t="s" s="2">
        <v>17</v>
      </c>
      <c r="F463" t="s" s="2">
        <f>HYPERLINK("http://ts.21cn.com/tousu/show/id/1373654","http://ts.21cn.com/tousu/show/id/1373654")</f>
      </c>
      <c r="G463" t="s" s="2">
        <v>17</v>
      </c>
      <c r="H463" t="s" s="2">
        <v>19</v>
      </c>
      <c r="I463" t="s" s="2">
        <v>1848</v>
      </c>
      <c r="J463" t="s" s="2">
        <v>1849</v>
      </c>
      <c r="K463" t="s" s="2">
        <v>22</v>
      </c>
      <c r="L463" t="s" s="2">
        <v>22</v>
      </c>
      <c r="M463" t="s" s="2">
        <v>22</v>
      </c>
    </row>
    <row r="464" ht="25.0" customHeight="true">
      <c r="A464" t="s" s="2">
        <v>13</v>
      </c>
      <c r="B464" t="s" s="2">
        <f>HYPERLINK("http://ts.21cn.com/tousu/show/id/1373653","高利贷，阴阳合同，上门催收")</f>
      </c>
      <c r="C464" t="s" s="2">
        <v>15</v>
      </c>
      <c r="D464" t="s" s="2">
        <v>16</v>
      </c>
      <c r="E464" t="s" s="2">
        <v>17</v>
      </c>
      <c r="F464" t="s" s="2">
        <f>HYPERLINK("http://ts.21cn.com/tousu/show/id/1373653","http://ts.21cn.com/tousu/show/id/1373653")</f>
      </c>
      <c r="G464" t="s" s="2">
        <v>17</v>
      </c>
      <c r="H464" t="s" s="2">
        <v>19</v>
      </c>
      <c r="I464" t="s" s="2">
        <v>1852</v>
      </c>
      <c r="J464" t="s" s="2">
        <v>1853</v>
      </c>
      <c r="K464" t="s" s="2">
        <v>22</v>
      </c>
      <c r="L464" t="s" s="2">
        <v>22</v>
      </c>
      <c r="M464" t="s" s="2">
        <v>22</v>
      </c>
    </row>
    <row r="465" ht="25.0" customHeight="true">
      <c r="A465" t="s" s="2">
        <v>13</v>
      </c>
      <c r="B465" t="s" s="2">
        <f>HYPERLINK("http://ts.21cn.com/tousu/show/id/1373651","创客工具箱无缘无故给我的淘宝贴上降权标签")</f>
      </c>
      <c r="C465" t="s" s="2">
        <v>52</v>
      </c>
      <c r="D465" t="s" s="2">
        <v>16</v>
      </c>
      <c r="E465" t="s" s="2">
        <v>17</v>
      </c>
      <c r="F465" t="s" s="2">
        <f>HYPERLINK("http://ts.21cn.com/tousu/show/id/1373651","http://ts.21cn.com/tousu/show/id/1373651")</f>
      </c>
      <c r="G465" t="s" s="2">
        <v>17</v>
      </c>
      <c r="H465" t="s" s="2">
        <v>19</v>
      </c>
      <c r="I465" t="s" s="2">
        <v>1856</v>
      </c>
      <c r="J465" t="s" s="2">
        <v>1857</v>
      </c>
      <c r="K465" t="s" s="2">
        <v>22</v>
      </c>
      <c r="L465" t="s" s="2">
        <v>22</v>
      </c>
      <c r="M465" t="s" s="2">
        <v>22</v>
      </c>
    </row>
    <row r="466" ht="25.0" customHeight="true">
      <c r="A466" t="s" s="2">
        <v>13</v>
      </c>
      <c r="B466" t="s" s="2">
        <f>HYPERLINK("http://ts.21cn.com/tousu/show/id/1373652","暴力催收")</f>
      </c>
      <c r="C466" t="s" s="2">
        <v>15</v>
      </c>
      <c r="D466" t="s" s="2">
        <v>16</v>
      </c>
      <c r="E466" t="s" s="2">
        <v>17</v>
      </c>
      <c r="F466" t="s" s="2">
        <f>HYPERLINK("http://ts.21cn.com/tousu/show/id/1373652","http://ts.21cn.com/tousu/show/id/1373652")</f>
      </c>
      <c r="G466" t="s" s="2">
        <v>17</v>
      </c>
      <c r="H466" t="s" s="2">
        <v>19</v>
      </c>
      <c r="I466" t="s" s="2">
        <v>1859</v>
      </c>
      <c r="J466" t="s" s="2">
        <v>1860</v>
      </c>
      <c r="K466" t="s" s="2">
        <v>22</v>
      </c>
      <c r="L466" t="s" s="2">
        <v>22</v>
      </c>
      <c r="M466" t="s" s="2">
        <v>22</v>
      </c>
    </row>
    <row r="467" ht="25.0" customHeight="true">
      <c r="A467" t="s" s="2">
        <v>13</v>
      </c>
      <c r="B467" t="s" s="2">
        <f>HYPERLINK("http://ts.21cn.com/tousu/show/id/1373650","中腾信恶劣行径导致借款人病情恶化")</f>
      </c>
      <c r="C467" t="s" s="2">
        <v>15</v>
      </c>
      <c r="D467" t="s" s="2">
        <v>16</v>
      </c>
      <c r="E467" t="s" s="2">
        <v>17</v>
      </c>
      <c r="F467" t="s" s="2">
        <f>HYPERLINK("http://ts.21cn.com/tousu/show/id/1373650","http://ts.21cn.com/tousu/show/id/1373650")</f>
      </c>
      <c r="G467" t="s" s="2">
        <v>17</v>
      </c>
      <c r="H467" t="s" s="2">
        <v>19</v>
      </c>
      <c r="I467" t="s" s="2">
        <v>1863</v>
      </c>
      <c r="J467" t="s" s="2">
        <v>1864</v>
      </c>
      <c r="K467" t="s" s="2">
        <v>22</v>
      </c>
      <c r="L467" t="s" s="2">
        <v>22</v>
      </c>
      <c r="M467" t="s" s="2">
        <v>22</v>
      </c>
    </row>
    <row r="468" ht="25.0" customHeight="true">
      <c r="A468" t="s" s="2">
        <v>13</v>
      </c>
      <c r="B468" t="s" s="2">
        <f>HYPERLINK("http://ts.21cn.com/tousu/show/id/1373649","暴力催收，威胁恐吓，上门催收")</f>
      </c>
      <c r="C468" t="s" s="2">
        <v>15</v>
      </c>
      <c r="D468" t="s" s="2">
        <v>16</v>
      </c>
      <c r="E468" t="s" s="2">
        <v>17</v>
      </c>
      <c r="F468" t="s" s="2">
        <f>HYPERLINK("http://ts.21cn.com/tousu/show/id/1373649","http://ts.21cn.com/tousu/show/id/1373649")</f>
      </c>
      <c r="G468" t="s" s="2">
        <v>17</v>
      </c>
      <c r="H468" t="s" s="2">
        <v>19</v>
      </c>
      <c r="I468" t="s" s="2">
        <v>1867</v>
      </c>
      <c r="J468" t="s" s="2">
        <v>1868</v>
      </c>
      <c r="K468" t="s" s="2">
        <v>22</v>
      </c>
      <c r="L468" t="s" s="2">
        <v>22</v>
      </c>
      <c r="M468" t="s" s="2">
        <v>22</v>
      </c>
    </row>
    <row r="469" ht="25.0" customHeight="true">
      <c r="A469" t="s" s="2">
        <v>13</v>
      </c>
      <c r="B469" t="s" s="2">
        <f>HYPERLINK("http://ts.21cn.com/tousu/show/id/1373641","套路贷")</f>
      </c>
      <c r="C469" t="s" s="2">
        <v>15</v>
      </c>
      <c r="D469" t="s" s="2">
        <v>16</v>
      </c>
      <c r="E469" t="s" s="2">
        <v>17</v>
      </c>
      <c r="F469" t="s" s="2">
        <f>HYPERLINK("http://ts.21cn.com/tousu/show/id/1373641","http://ts.21cn.com/tousu/show/id/1373641")</f>
      </c>
      <c r="G469" t="s" s="2">
        <v>17</v>
      </c>
      <c r="H469" t="s" s="2">
        <v>19</v>
      </c>
      <c r="I469" t="s" s="2">
        <v>1871</v>
      </c>
      <c r="J469" t="s" s="2">
        <v>1872</v>
      </c>
      <c r="K469" t="s" s="2">
        <v>22</v>
      </c>
      <c r="L469" t="s" s="2">
        <v>22</v>
      </c>
      <c r="M469" t="s" s="2">
        <v>22</v>
      </c>
    </row>
    <row r="470" ht="25.0" customHeight="true">
      <c r="A470" t="s" s="2">
        <v>13</v>
      </c>
      <c r="B470" t="s" s="2">
        <f>HYPERLINK("http://ts.21cn.com/tousu/show/id/1373513","立刷业务员给顾客办理pos机承诺退款一直没退")</f>
      </c>
      <c r="C470" t="s" s="2">
        <v>15</v>
      </c>
      <c r="D470" t="s" s="2">
        <v>16</v>
      </c>
      <c r="E470" t="s" s="2">
        <v>17</v>
      </c>
      <c r="F470" t="s" s="2">
        <f>HYPERLINK("http://ts.21cn.com/tousu/show/id/1373513","http://ts.21cn.com/tousu/show/id/1373513")</f>
      </c>
      <c r="G470" t="s" s="2">
        <v>17</v>
      </c>
      <c r="H470" t="s" s="2">
        <v>19</v>
      </c>
      <c r="I470" t="s" s="2">
        <v>1875</v>
      </c>
      <c r="J470" t="s" s="2">
        <v>1876</v>
      </c>
      <c r="K470" t="s" s="2">
        <v>22</v>
      </c>
      <c r="L470" t="s" s="2">
        <v>22</v>
      </c>
      <c r="M470" t="s" s="2">
        <v>22</v>
      </c>
    </row>
    <row r="471" ht="25.0" customHeight="true">
      <c r="A471" t="s" s="2">
        <v>13</v>
      </c>
      <c r="B471" t="s" s="2">
        <f>HYPERLINK("http://ts.21cn.com/tousu/show/id/1373647","不给我退款")</f>
      </c>
      <c r="C471" t="s" s="2">
        <v>52</v>
      </c>
      <c r="D471" t="s" s="2">
        <v>16</v>
      </c>
      <c r="E471" t="s" s="2">
        <v>17</v>
      </c>
      <c r="F471" t="s" s="2">
        <f>HYPERLINK("http://ts.21cn.com/tousu/show/id/1373647","http://ts.21cn.com/tousu/show/id/1373647")</f>
      </c>
      <c r="G471" t="s" s="2">
        <v>17</v>
      </c>
      <c r="H471" t="s" s="2">
        <v>19</v>
      </c>
      <c r="I471" t="s" s="2">
        <v>1879</v>
      </c>
      <c r="J471" t="s" s="2">
        <v>1880</v>
      </c>
      <c r="K471" t="s" s="2">
        <v>22</v>
      </c>
      <c r="L471" t="s" s="2">
        <v>22</v>
      </c>
      <c r="M471" t="s" s="2">
        <v>22</v>
      </c>
    </row>
    <row r="472" ht="25.0" customHeight="true">
      <c r="A472" t="s" s="2">
        <v>13</v>
      </c>
      <c r="B472" t="s" s="2">
        <f>HYPERLINK("http://ts.21cn.com/tousu/show/id/1373645","在中卫机场被忽悠花998元办理航旅之家会员卡")</f>
      </c>
      <c r="C472" t="s" s="2">
        <v>15</v>
      </c>
      <c r="D472" t="s" s="2">
        <v>16</v>
      </c>
      <c r="E472" t="s" s="2">
        <v>17</v>
      </c>
      <c r="F472" t="s" s="2">
        <f>HYPERLINK("http://ts.21cn.com/tousu/show/id/1373645","http://ts.21cn.com/tousu/show/id/1373645")</f>
      </c>
      <c r="G472" t="s" s="2">
        <v>17</v>
      </c>
      <c r="H472" t="s" s="2">
        <v>19</v>
      </c>
      <c r="I472" t="s" s="2">
        <v>1883</v>
      </c>
      <c r="J472" t="s" s="2">
        <v>1884</v>
      </c>
      <c r="K472" t="s" s="2">
        <v>22</v>
      </c>
      <c r="L472" t="s" s="2">
        <v>22</v>
      </c>
      <c r="M472" t="s" s="2">
        <v>22</v>
      </c>
    </row>
    <row r="473" ht="25.0" customHeight="true">
      <c r="A473" t="s" s="2">
        <v>13</v>
      </c>
      <c r="B473" t="s" s="2">
        <f>HYPERLINK("http://ts.21cn.com/tousu/show/id/1373631","董爷情感挽回服务与描述不符拒不退款")</f>
      </c>
      <c r="C473" t="s" s="2">
        <v>15</v>
      </c>
      <c r="D473" t="s" s="2">
        <v>16</v>
      </c>
      <c r="E473" t="s" s="2">
        <v>17</v>
      </c>
      <c r="F473" t="s" s="2">
        <f>HYPERLINK("http://ts.21cn.com/tousu/show/id/1373631","http://ts.21cn.com/tousu/show/id/1373631")</f>
      </c>
      <c r="G473" t="s" s="2">
        <v>17</v>
      </c>
      <c r="H473" t="s" s="2">
        <v>19</v>
      </c>
      <c r="I473" t="s" s="2">
        <v>1887</v>
      </c>
      <c r="J473" t="s" s="2">
        <v>1888</v>
      </c>
      <c r="K473" t="s" s="2">
        <v>22</v>
      </c>
      <c r="L473" t="s" s="2">
        <v>22</v>
      </c>
      <c r="M473" t="s" s="2">
        <v>22</v>
      </c>
    </row>
    <row r="474" ht="25.0" customHeight="true">
      <c r="A474" t="s" s="2">
        <v>13</v>
      </c>
      <c r="B474" t="s" s="2">
        <f>HYPERLINK("http://ts.21cn.com/tousu/show/id/1373644","钱站阴阳合同高利贷")</f>
      </c>
      <c r="C474" t="s" s="2">
        <v>15</v>
      </c>
      <c r="D474" t="s" s="2">
        <v>16</v>
      </c>
      <c r="E474" t="s" s="2">
        <v>17</v>
      </c>
      <c r="F474" t="s" s="2">
        <f>HYPERLINK("http://ts.21cn.com/tousu/show/id/1373644","http://ts.21cn.com/tousu/show/id/1373644")</f>
      </c>
      <c r="G474" t="s" s="2">
        <v>17</v>
      </c>
      <c r="H474" t="s" s="2">
        <v>19</v>
      </c>
      <c r="I474" t="s" s="2">
        <v>1891</v>
      </c>
      <c r="J474" t="s" s="2">
        <v>1892</v>
      </c>
      <c r="K474" t="s" s="2">
        <v>22</v>
      </c>
      <c r="L474" t="s" s="2">
        <v>22</v>
      </c>
      <c r="M474" t="s" s="2">
        <v>22</v>
      </c>
    </row>
    <row r="475" ht="25.0" customHeight="true">
      <c r="A475" t="s" s="2">
        <v>13</v>
      </c>
      <c r="B475" t="s" s="2">
        <f>HYPERLINK("http://ts.21cn.com/tousu/show/id/1373643","被闪信分期砍头息1450")</f>
      </c>
      <c r="C475" t="s" s="2">
        <v>52</v>
      </c>
      <c r="D475" t="s" s="2">
        <v>16</v>
      </c>
      <c r="E475" t="s" s="2">
        <v>17</v>
      </c>
      <c r="F475" t="s" s="2">
        <f>HYPERLINK("http://ts.21cn.com/tousu/show/id/1373643","http://ts.21cn.com/tousu/show/id/1373643")</f>
      </c>
      <c r="G475" t="s" s="2">
        <v>17</v>
      </c>
      <c r="H475" t="s" s="2">
        <v>19</v>
      </c>
      <c r="I475" t="s" s="2">
        <v>1895</v>
      </c>
      <c r="J475" t="s" s="2">
        <v>1896</v>
      </c>
      <c r="K475" t="s" s="2">
        <v>22</v>
      </c>
      <c r="L475" t="s" s="2">
        <v>22</v>
      </c>
      <c r="M475" t="s" s="2">
        <v>22</v>
      </c>
    </row>
    <row r="476" ht="25.0" customHeight="true">
      <c r="A476" t="s" s="2">
        <v>13</v>
      </c>
      <c r="B476" t="s" s="2">
        <f>HYPERLINK("http://ts.21cn.com/tousu/show/id/1373642","夸大宣传商品")</f>
      </c>
      <c r="C476" t="s" s="2">
        <v>15</v>
      </c>
      <c r="D476" t="s" s="2">
        <v>16</v>
      </c>
      <c r="E476" t="s" s="2">
        <v>17</v>
      </c>
      <c r="F476" t="s" s="2">
        <f>HYPERLINK("http://ts.21cn.com/tousu/show/id/1373642","http://ts.21cn.com/tousu/show/id/1373642")</f>
      </c>
      <c r="G476" t="s" s="2">
        <v>17</v>
      </c>
      <c r="H476" t="s" s="2">
        <v>19</v>
      </c>
      <c r="I476" t="s" s="2">
        <v>1899</v>
      </c>
      <c r="J476" t="s" s="2">
        <v>1900</v>
      </c>
      <c r="K476" t="s" s="2">
        <v>22</v>
      </c>
      <c r="L476" t="s" s="2">
        <v>22</v>
      </c>
      <c r="M476" t="s" s="2">
        <v>22</v>
      </c>
    </row>
    <row r="477" ht="25.0" customHeight="true">
      <c r="A477" t="s" s="2">
        <v>13</v>
      </c>
      <c r="B477" t="s" s="2">
        <f>HYPERLINK("http://ts.21cn.com/tousu/show/id/1373640","本人被人诱导去理财投资损失1400元")</f>
      </c>
      <c r="C477" t="s" s="2">
        <v>15</v>
      </c>
      <c r="D477" t="s" s="2">
        <v>16</v>
      </c>
      <c r="E477" t="s" s="2">
        <v>17</v>
      </c>
      <c r="F477" t="s" s="2">
        <f>HYPERLINK("http://ts.21cn.com/tousu/show/id/1373640","http://ts.21cn.com/tousu/show/id/1373640")</f>
      </c>
      <c r="G477" t="s" s="2">
        <v>17</v>
      </c>
      <c r="H477" t="s" s="2">
        <v>19</v>
      </c>
      <c r="I477" t="s" s="2">
        <v>1903</v>
      </c>
      <c r="J477" t="s" s="2">
        <v>1904</v>
      </c>
      <c r="K477" t="s" s="2">
        <v>22</v>
      </c>
      <c r="L477" t="s" s="2">
        <v>22</v>
      </c>
      <c r="M477" t="s" s="2">
        <v>22</v>
      </c>
    </row>
    <row r="478" ht="25.0" customHeight="true">
      <c r="A478" t="s" s="2">
        <v>13</v>
      </c>
      <c r="B478" t="s" s="2">
        <f>HYPERLINK("http://ts.21cn.com/tousu/show/id/1373639","贝店物品虚假")</f>
      </c>
      <c r="C478" t="s" s="2">
        <v>15</v>
      </c>
      <c r="D478" t="s" s="2">
        <v>16</v>
      </c>
      <c r="E478" t="s" s="2">
        <v>17</v>
      </c>
      <c r="F478" t="s" s="2">
        <f>HYPERLINK("http://ts.21cn.com/tousu/show/id/1373639","http://ts.21cn.com/tousu/show/id/1373639")</f>
      </c>
      <c r="G478" t="s" s="2">
        <v>17</v>
      </c>
      <c r="H478" t="s" s="2">
        <v>19</v>
      </c>
      <c r="I478" t="s" s="2">
        <v>1907</v>
      </c>
      <c r="J478" t="s" s="2">
        <v>1908</v>
      </c>
      <c r="K478" t="s" s="2">
        <v>22</v>
      </c>
      <c r="L478" t="s" s="2">
        <v>22</v>
      </c>
      <c r="M478" t="s" s="2">
        <v>22</v>
      </c>
    </row>
    <row r="479" ht="25.0" customHeight="true">
      <c r="A479" t="s" s="2">
        <v>13</v>
      </c>
      <c r="B479" t="s" s="2">
        <f>HYPERLINK("http://ts.21cn.com/tousu/show/id/1373637","邀请新人不给提现")</f>
      </c>
      <c r="C479" t="s" s="2">
        <v>15</v>
      </c>
      <c r="D479" t="s" s="2">
        <v>16</v>
      </c>
      <c r="E479" t="s" s="2">
        <v>17</v>
      </c>
      <c r="F479" t="s" s="2">
        <f>HYPERLINK("http://ts.21cn.com/tousu/show/id/1373637","http://ts.21cn.com/tousu/show/id/1373637")</f>
      </c>
      <c r="G479" t="s" s="2">
        <v>17</v>
      </c>
      <c r="H479" t="s" s="2">
        <v>19</v>
      </c>
      <c r="I479" t="s" s="2">
        <v>1911</v>
      </c>
      <c r="J479" t="s" s="2">
        <v>1912</v>
      </c>
      <c r="K479" t="s" s="2">
        <v>22</v>
      </c>
      <c r="L479" t="s" s="2">
        <v>22</v>
      </c>
      <c r="M479" t="s" s="2">
        <v>22</v>
      </c>
    </row>
    <row r="480" ht="25.0" customHeight="true">
      <c r="A480" t="s" s="2">
        <v>13</v>
      </c>
      <c r="B480" t="s" s="2">
        <f>HYPERLINK("http://ts.21cn.com/tousu/show/id/1373638","暴力催收")</f>
      </c>
      <c r="C480" t="s" s="2">
        <v>15</v>
      </c>
      <c r="D480" t="s" s="2">
        <v>16</v>
      </c>
      <c r="E480" t="s" s="2">
        <v>17</v>
      </c>
      <c r="F480" t="s" s="2">
        <f>HYPERLINK("http://ts.21cn.com/tousu/show/id/1373638","http://ts.21cn.com/tousu/show/id/1373638")</f>
      </c>
      <c r="G480" t="s" s="2">
        <v>17</v>
      </c>
      <c r="H480" t="s" s="2">
        <v>19</v>
      </c>
      <c r="I480" t="s" s="2">
        <v>1914</v>
      </c>
      <c r="J480" t="s" s="2">
        <v>1915</v>
      </c>
      <c r="K480" t="s" s="2">
        <v>22</v>
      </c>
      <c r="L480" t="s" s="2">
        <v>22</v>
      </c>
      <c r="M480" t="s" s="2">
        <v>22</v>
      </c>
    </row>
    <row r="481" ht="25.0" customHeight="true">
      <c r="A481" t="s" s="2">
        <v>13</v>
      </c>
      <c r="B481" t="s" s="2">
        <f>HYPERLINK("http://ts.21cn.com/tousu/show/id/1373636","立借年利率高达136%，请求监管介入处理")</f>
      </c>
      <c r="C481" t="s" s="2">
        <v>52</v>
      </c>
      <c r="D481" t="s" s="2">
        <v>16</v>
      </c>
      <c r="E481" t="s" s="2">
        <v>17</v>
      </c>
      <c r="F481" t="s" s="2">
        <f>HYPERLINK("http://ts.21cn.com/tousu/show/id/1373636","http://ts.21cn.com/tousu/show/id/1373636")</f>
      </c>
      <c r="G481" t="s" s="2">
        <v>17</v>
      </c>
      <c r="H481" t="s" s="2">
        <v>19</v>
      </c>
      <c r="I481" t="s" s="2">
        <v>1918</v>
      </c>
      <c r="J481" t="s" s="2">
        <v>1919</v>
      </c>
      <c r="K481" t="s" s="2">
        <v>22</v>
      </c>
      <c r="L481" t="s" s="2">
        <v>22</v>
      </c>
      <c r="M481" t="s" s="2">
        <v>22</v>
      </c>
    </row>
    <row r="482" ht="25.0" customHeight="true">
      <c r="A482" t="s" s="2">
        <v>13</v>
      </c>
      <c r="B482" t="s" s="2">
        <f>HYPERLINK("http://ts.21cn.com/tousu/show/id/1373635","交通银行退信用卡罚息长时间不到账")</f>
      </c>
      <c r="C482" t="s" s="2">
        <v>15</v>
      </c>
      <c r="D482" t="s" s="2">
        <v>16</v>
      </c>
      <c r="E482" t="s" s="2">
        <v>17</v>
      </c>
      <c r="F482" t="s" s="2">
        <f>HYPERLINK("http://ts.21cn.com/tousu/show/id/1373635","http://ts.21cn.com/tousu/show/id/1373635")</f>
      </c>
      <c r="G482" t="s" s="2">
        <v>17</v>
      </c>
      <c r="H482" t="s" s="2">
        <v>19</v>
      </c>
      <c r="I482" t="s" s="2">
        <v>1922</v>
      </c>
      <c r="J482" t="s" s="2">
        <v>1923</v>
      </c>
      <c r="K482" t="s" s="2">
        <v>22</v>
      </c>
      <c r="L482" t="s" s="2">
        <v>22</v>
      </c>
      <c r="M482" t="s" s="2">
        <v>22</v>
      </c>
    </row>
    <row r="483" ht="25.0" customHeight="true">
      <c r="A483" t="s" s="2">
        <v>13</v>
      </c>
      <c r="B483" t="s" s="2">
        <f>HYPERLINK("http://ts.21cn.com/tousu/show/id/1373634","合同欺诈，私自扣款")</f>
      </c>
      <c r="C483" t="s" s="2">
        <v>15</v>
      </c>
      <c r="D483" t="s" s="2">
        <v>16</v>
      </c>
      <c r="E483" t="s" s="2">
        <v>17</v>
      </c>
      <c r="F483" t="s" s="2">
        <f>HYPERLINK("http://ts.21cn.com/tousu/show/id/1373634","http://ts.21cn.com/tousu/show/id/1373634")</f>
      </c>
      <c r="G483" t="s" s="2">
        <v>17</v>
      </c>
      <c r="H483" t="s" s="2">
        <v>19</v>
      </c>
      <c r="I483" t="s" s="2">
        <v>1925</v>
      </c>
      <c r="J483" t="s" s="2">
        <v>1926</v>
      </c>
      <c r="K483" t="s" s="2">
        <v>22</v>
      </c>
      <c r="L483" t="s" s="2">
        <v>22</v>
      </c>
      <c r="M483" t="s" s="2">
        <v>22</v>
      </c>
    </row>
    <row r="484" ht="25.0" customHeight="true">
      <c r="A484" t="s" s="2">
        <v>13</v>
      </c>
      <c r="B484" t="s" s="2">
        <f>HYPERLINK("http://ts.21cn.com/tousu/show/id/1373633","卖家变相骂人，不愿承担退货费用")</f>
      </c>
      <c r="C484" t="s" s="2">
        <v>15</v>
      </c>
      <c r="D484" t="s" s="2">
        <v>16</v>
      </c>
      <c r="E484" t="s" s="2">
        <v>17</v>
      </c>
      <c r="F484" t="s" s="2">
        <f>HYPERLINK("http://ts.21cn.com/tousu/show/id/1373633","http://ts.21cn.com/tousu/show/id/1373633")</f>
      </c>
      <c r="G484" t="s" s="2">
        <v>17</v>
      </c>
      <c r="H484" t="s" s="2">
        <v>19</v>
      </c>
      <c r="I484" t="s" s="2">
        <v>1929</v>
      </c>
      <c r="J484" t="s" s="2">
        <v>1930</v>
      </c>
      <c r="K484" t="s" s="2">
        <v>22</v>
      </c>
      <c r="L484" t="s" s="2">
        <v>22</v>
      </c>
      <c r="M484" t="s" s="2">
        <v>22</v>
      </c>
    </row>
    <row r="485" ht="25.0" customHeight="true">
      <c r="A485" t="s" s="2">
        <v>13</v>
      </c>
      <c r="B485" t="s" s="2">
        <f>HYPERLINK("http://ts.21cn.com/tousu/show/id/1373632","请尽快退款，解除合同约定")</f>
      </c>
      <c r="C485" t="s" s="2">
        <v>15</v>
      </c>
      <c r="D485" t="s" s="2">
        <v>16</v>
      </c>
      <c r="E485" t="s" s="2">
        <v>17</v>
      </c>
      <c r="F485" t="s" s="2">
        <f>HYPERLINK("http://ts.21cn.com/tousu/show/id/1373632","http://ts.21cn.com/tousu/show/id/1373632")</f>
      </c>
      <c r="G485" t="s" s="2">
        <v>17</v>
      </c>
      <c r="H485" t="s" s="2">
        <v>19</v>
      </c>
      <c r="I485" t="s" s="2">
        <v>1933</v>
      </c>
      <c r="J485" t="s" s="2">
        <v>1934</v>
      </c>
      <c r="K485" t="s" s="2">
        <v>22</v>
      </c>
      <c r="L485" t="s" s="2">
        <v>22</v>
      </c>
      <c r="M485" t="s" s="2">
        <v>22</v>
      </c>
    </row>
    <row r="486" ht="25.0" customHeight="true">
      <c r="A486" t="s" s="2">
        <v>13</v>
      </c>
      <c r="B486" t="s" s="2">
        <f>HYPERLINK("http://ts.21cn.com/tousu/show/id/1373630","投诉中国移动旗下公司乱扣费！")</f>
      </c>
      <c r="C486" t="s" s="2">
        <v>15</v>
      </c>
      <c r="D486" t="s" s="2">
        <v>16</v>
      </c>
      <c r="E486" t="s" s="2">
        <v>17</v>
      </c>
      <c r="F486" t="s" s="2">
        <f>HYPERLINK("http://ts.21cn.com/tousu/show/id/1373630","http://ts.21cn.com/tousu/show/id/1373630")</f>
      </c>
      <c r="G486" t="s" s="2">
        <v>17</v>
      </c>
      <c r="H486" t="s" s="2">
        <v>19</v>
      </c>
      <c r="I486" t="s" s="2">
        <v>1937</v>
      </c>
      <c r="J486" t="s" s="2">
        <v>1938</v>
      </c>
      <c r="K486" t="s" s="2">
        <v>22</v>
      </c>
      <c r="L486" t="s" s="2">
        <v>22</v>
      </c>
      <c r="M486" t="s" s="2">
        <v>22</v>
      </c>
    </row>
    <row r="487" ht="25.0" customHeight="true">
      <c r="A487" t="s" s="2">
        <v>13</v>
      </c>
      <c r="B487" t="s" s="2">
        <f>HYPERLINK("http://ts.21cn.com/tousu/show/id/1373629","套路贷")</f>
      </c>
      <c r="C487" t="s" s="2">
        <v>15</v>
      </c>
      <c r="D487" t="s" s="2">
        <v>16</v>
      </c>
      <c r="E487" t="s" s="2">
        <v>17</v>
      </c>
      <c r="F487" t="s" s="2">
        <f>HYPERLINK("http://ts.21cn.com/tousu/show/id/1373629","http://ts.21cn.com/tousu/show/id/1373629")</f>
      </c>
      <c r="G487" t="s" s="2">
        <v>17</v>
      </c>
      <c r="H487" t="s" s="2">
        <v>19</v>
      </c>
      <c r="I487" t="s" s="2">
        <v>1940</v>
      </c>
      <c r="J487" t="s" s="2">
        <v>1941</v>
      </c>
      <c r="K487" t="s" s="2">
        <v>22</v>
      </c>
      <c r="L487" t="s" s="2">
        <v>22</v>
      </c>
      <c r="M487" t="s" s="2">
        <v>22</v>
      </c>
    </row>
    <row r="488" ht="25.0" customHeight="true">
      <c r="A488" t="s" s="2">
        <v>13</v>
      </c>
      <c r="B488" t="s" s="2">
        <f>HYPERLINK("http://ts.21cn.com/tousu/show/id/1373628","交通银行骚扰我前单位老板")</f>
      </c>
      <c r="C488" t="s" s="2">
        <v>15</v>
      </c>
      <c r="D488" t="s" s="2">
        <v>16</v>
      </c>
      <c r="E488" t="s" s="2">
        <v>17</v>
      </c>
      <c r="F488" t="s" s="2">
        <f>HYPERLINK("http://ts.21cn.com/tousu/show/id/1373628","http://ts.21cn.com/tousu/show/id/1373628")</f>
      </c>
      <c r="G488" t="s" s="2">
        <v>17</v>
      </c>
      <c r="H488" t="s" s="2">
        <v>19</v>
      </c>
      <c r="I488" t="s" s="2">
        <v>1944</v>
      </c>
      <c r="J488" t="s" s="2">
        <v>1945</v>
      </c>
      <c r="K488" t="s" s="2">
        <v>22</v>
      </c>
      <c r="L488" t="s" s="2">
        <v>22</v>
      </c>
      <c r="M488" t="s" s="2">
        <v>22</v>
      </c>
    </row>
    <row r="489" ht="25.0" customHeight="true">
      <c r="A489" t="s" s="2">
        <v>13</v>
      </c>
      <c r="B489" t="s" s="2">
        <f>HYPERLINK("http://ts.21cn.com/tousu/show/id/1373627","我来贷逾期暴力征收")</f>
      </c>
      <c r="C489" t="s" s="2">
        <v>15</v>
      </c>
      <c r="D489" t="s" s="2">
        <v>16</v>
      </c>
      <c r="E489" t="s" s="2">
        <v>17</v>
      </c>
      <c r="F489" t="s" s="2">
        <f>HYPERLINK("http://ts.21cn.com/tousu/show/id/1373627","http://ts.21cn.com/tousu/show/id/1373627")</f>
      </c>
      <c r="G489" t="s" s="2">
        <v>17</v>
      </c>
      <c r="H489" t="s" s="2">
        <v>19</v>
      </c>
      <c r="I489" t="s" s="2">
        <v>1947</v>
      </c>
      <c r="J489" t="s" s="2">
        <v>1948</v>
      </c>
      <c r="K489" t="s" s="2">
        <v>22</v>
      </c>
      <c r="L489" t="s" s="2">
        <v>22</v>
      </c>
      <c r="M489" t="s" s="2">
        <v>22</v>
      </c>
    </row>
    <row r="490" ht="25.0" customHeight="true">
      <c r="A490" t="s" s="2">
        <v>13</v>
      </c>
      <c r="B490" t="s" s="2">
        <f>HYPERLINK("http://ts.21cn.com/tousu/show/id/1373626","好易借高额利息，每期还款金额比例不正确，暴力催收")</f>
      </c>
      <c r="C490" t="s" s="2">
        <v>15</v>
      </c>
      <c r="D490" t="s" s="2">
        <v>16</v>
      </c>
      <c r="E490" t="s" s="2">
        <v>17</v>
      </c>
      <c r="F490" t="s" s="2">
        <f>HYPERLINK("http://ts.21cn.com/tousu/show/id/1373626","http://ts.21cn.com/tousu/show/id/1373626")</f>
      </c>
      <c r="G490" t="s" s="2">
        <v>17</v>
      </c>
      <c r="H490" t="s" s="2">
        <v>19</v>
      </c>
      <c r="I490" t="s" s="2">
        <v>1951</v>
      </c>
      <c r="J490" t="s" s="2">
        <v>1952</v>
      </c>
      <c r="K490" t="s" s="2">
        <v>22</v>
      </c>
      <c r="L490" t="s" s="2">
        <v>22</v>
      </c>
      <c r="M490" t="s" s="2">
        <v>22</v>
      </c>
    </row>
    <row r="491" ht="25.0" customHeight="true">
      <c r="A491" t="s" s="2">
        <v>13</v>
      </c>
      <c r="B491" t="s" s="2">
        <f>HYPERLINK("http://ts.21cn.com/tousu/show/id/1373625","捷信暴力催收威胁恐吓家人")</f>
      </c>
      <c r="C491" t="s" s="2">
        <v>15</v>
      </c>
      <c r="D491" t="s" s="2">
        <v>16</v>
      </c>
      <c r="E491" t="s" s="2">
        <v>17</v>
      </c>
      <c r="F491" t="s" s="2">
        <f>HYPERLINK("http://ts.21cn.com/tousu/show/id/1373625","http://ts.21cn.com/tousu/show/id/1373625")</f>
      </c>
      <c r="G491" t="s" s="2">
        <v>17</v>
      </c>
      <c r="H491" t="s" s="2">
        <v>19</v>
      </c>
      <c r="I491" t="s" s="2">
        <v>1955</v>
      </c>
      <c r="J491" t="s" s="2">
        <v>1956</v>
      </c>
      <c r="K491" t="s" s="2">
        <v>22</v>
      </c>
      <c r="L491" t="s" s="2">
        <v>22</v>
      </c>
      <c r="M491" t="s" s="2">
        <v>22</v>
      </c>
    </row>
    <row r="492" ht="25.0" customHeight="true">
      <c r="A492" t="s" s="2">
        <v>13</v>
      </c>
      <c r="B492" t="s" s="2">
        <f>HYPERLINK("http://ts.21cn.com/tousu/show/id/1373624","开店宝支付有限公司办理pos机欺瞒营销，强买强卖")</f>
      </c>
      <c r="C492" t="s" s="2">
        <v>15</v>
      </c>
      <c r="D492" t="s" s="2">
        <v>16</v>
      </c>
      <c r="E492" t="s" s="2">
        <v>17</v>
      </c>
      <c r="F492" t="s" s="2">
        <f>HYPERLINK("http://ts.21cn.com/tousu/show/id/1373624","http://ts.21cn.com/tousu/show/id/1373624")</f>
      </c>
      <c r="G492" t="s" s="2">
        <v>17</v>
      </c>
      <c r="H492" t="s" s="2">
        <v>19</v>
      </c>
      <c r="I492" t="s" s="2">
        <v>1959</v>
      </c>
      <c r="J492" t="s" s="2">
        <v>1960</v>
      </c>
      <c r="K492" t="s" s="2">
        <v>22</v>
      </c>
      <c r="L492" t="s" s="2">
        <v>22</v>
      </c>
      <c r="M492" t="s" s="2">
        <v>22</v>
      </c>
    </row>
    <row r="493" ht="25.0" customHeight="true">
      <c r="A493" t="s" s="2">
        <v>13</v>
      </c>
      <c r="B493" t="s" s="2">
        <f>HYPERLINK("http://ts.21cn.com/tousu/show/id/1373526","中国联通")</f>
      </c>
      <c r="C493" t="s" s="2">
        <v>15</v>
      </c>
      <c r="D493" t="s" s="2">
        <v>16</v>
      </c>
      <c r="E493" t="s" s="2">
        <v>17</v>
      </c>
      <c r="F493" t="s" s="2">
        <f>HYPERLINK("http://ts.21cn.com/tousu/show/id/1373526","http://ts.21cn.com/tousu/show/id/1373526")</f>
      </c>
      <c r="G493" t="s" s="2">
        <v>17</v>
      </c>
      <c r="H493" t="s" s="2">
        <v>19</v>
      </c>
      <c r="I493" t="s" s="2">
        <v>1963</v>
      </c>
      <c r="J493" t="s" s="2">
        <v>1964</v>
      </c>
      <c r="K493" t="s" s="2">
        <v>22</v>
      </c>
      <c r="L493" t="s" s="2">
        <v>22</v>
      </c>
      <c r="M493" t="s" s="2">
        <v>22</v>
      </c>
    </row>
    <row r="494" ht="25.0" customHeight="true">
      <c r="A494" t="s" s="2">
        <v>13</v>
      </c>
      <c r="B494" t="s" s="2">
        <f>HYPERLINK("http://ts.21cn.com/tousu/show/id/1373533","玩物得志平台虚假宣传让消费者损失上万元")</f>
      </c>
      <c r="C494" t="s" s="2">
        <v>15</v>
      </c>
      <c r="D494" t="s" s="2">
        <v>16</v>
      </c>
      <c r="E494" t="s" s="2">
        <v>17</v>
      </c>
      <c r="F494" t="s" s="2">
        <f>HYPERLINK("http://ts.21cn.com/tousu/show/id/1373533","http://ts.21cn.com/tousu/show/id/1373533")</f>
      </c>
      <c r="G494" t="s" s="2">
        <v>17</v>
      </c>
      <c r="H494" t="s" s="2">
        <v>19</v>
      </c>
      <c r="I494" t="s" s="2">
        <v>1967</v>
      </c>
      <c r="J494" t="s" s="2">
        <v>1968</v>
      </c>
      <c r="K494" t="s" s="2">
        <v>22</v>
      </c>
      <c r="L494" t="s" s="2">
        <v>22</v>
      </c>
      <c r="M494" t="s" s="2">
        <v>22</v>
      </c>
    </row>
    <row r="495" ht="25.0" customHeight="true">
      <c r="A495" t="s" s="2">
        <v>13</v>
      </c>
      <c r="B495" t="s" s="2">
        <f>HYPERLINK("http://ts.21cn.com/tousu/show/id/1373623","拍拍贷非法催收")</f>
      </c>
      <c r="C495" t="s" s="2">
        <v>15</v>
      </c>
      <c r="D495" t="s" s="2">
        <v>16</v>
      </c>
      <c r="E495" t="s" s="2">
        <v>17</v>
      </c>
      <c r="F495" t="s" s="2">
        <f>HYPERLINK("http://ts.21cn.com/tousu/show/id/1373623","http://ts.21cn.com/tousu/show/id/1373623")</f>
      </c>
      <c r="G495" t="s" s="2">
        <v>17</v>
      </c>
      <c r="H495" t="s" s="2">
        <v>19</v>
      </c>
      <c r="I495" t="s" s="2">
        <v>1971</v>
      </c>
      <c r="J495" t="s" s="2">
        <v>1972</v>
      </c>
      <c r="K495" t="s" s="2">
        <v>22</v>
      </c>
      <c r="L495" t="s" s="2">
        <v>22</v>
      </c>
      <c r="M495" t="s" s="2">
        <v>22</v>
      </c>
    </row>
    <row r="496" ht="25.0" customHeight="true">
      <c r="A496" t="s" s="2">
        <v>13</v>
      </c>
      <c r="B496" t="s" s="2">
        <f>HYPERLINK("http://ts.21cn.com/tousu/show/id/1373622","月光侠分期贷款高额利息，欺诈，虚假合同")</f>
      </c>
      <c r="C496" t="s" s="2">
        <v>15</v>
      </c>
      <c r="D496" t="s" s="2">
        <v>16</v>
      </c>
      <c r="E496" t="s" s="2">
        <v>17</v>
      </c>
      <c r="F496" t="s" s="2">
        <f>HYPERLINK("http://ts.21cn.com/tousu/show/id/1373622","http://ts.21cn.com/tousu/show/id/1373622")</f>
      </c>
      <c r="G496" t="s" s="2">
        <v>17</v>
      </c>
      <c r="H496" t="s" s="2">
        <v>19</v>
      </c>
      <c r="I496" t="s" s="2">
        <v>1975</v>
      </c>
      <c r="J496" t="s" s="2">
        <v>1976</v>
      </c>
      <c r="K496" t="s" s="2">
        <v>22</v>
      </c>
      <c r="L496" t="s" s="2">
        <v>22</v>
      </c>
      <c r="M496" t="s" s="2">
        <v>22</v>
      </c>
    </row>
    <row r="497" ht="25.0" customHeight="true">
      <c r="A497" t="s" s="2">
        <v>13</v>
      </c>
      <c r="B497" t="s" s="2">
        <f>HYPERLINK("http://ts.21cn.com/tousu/show/id/1373621","国美易卡使用违法手段催收")</f>
      </c>
      <c r="C497" t="s" s="2">
        <v>15</v>
      </c>
      <c r="D497" t="s" s="2">
        <v>16</v>
      </c>
      <c r="E497" t="s" s="2">
        <v>17</v>
      </c>
      <c r="F497" t="s" s="2">
        <f>HYPERLINK("http://ts.21cn.com/tousu/show/id/1373621","http://ts.21cn.com/tousu/show/id/1373621")</f>
      </c>
      <c r="G497" t="s" s="2">
        <v>17</v>
      </c>
      <c r="H497" t="s" s="2">
        <v>19</v>
      </c>
      <c r="I497" t="s" s="2">
        <v>1979</v>
      </c>
      <c r="J497" t="s" s="2">
        <v>1980</v>
      </c>
      <c r="K497" t="s" s="2">
        <v>22</v>
      </c>
      <c r="L497" t="s" s="2">
        <v>22</v>
      </c>
      <c r="M497" t="s" s="2">
        <v>22</v>
      </c>
    </row>
    <row r="498" ht="25.0" customHeight="true">
      <c r="A498" t="s" s="2">
        <v>13</v>
      </c>
      <c r="B498" t="s" s="2">
        <f>HYPERLINK("http://ts.21cn.com/tousu/show/id/1373619","闪电借款黑卡套路")</f>
      </c>
      <c r="C498" t="s" s="2">
        <v>15</v>
      </c>
      <c r="D498" t="s" s="2">
        <v>16</v>
      </c>
      <c r="E498" t="s" s="2">
        <v>17</v>
      </c>
      <c r="F498" t="s" s="2">
        <f>HYPERLINK("http://ts.21cn.com/tousu/show/id/1373619","http://ts.21cn.com/tousu/show/id/1373619")</f>
      </c>
      <c r="G498" t="s" s="2">
        <v>17</v>
      </c>
      <c r="H498" t="s" s="2">
        <v>19</v>
      </c>
      <c r="I498" t="s" s="2">
        <v>1983</v>
      </c>
      <c r="J498" t="s" s="2">
        <v>1984</v>
      </c>
      <c r="K498" t="s" s="2">
        <v>22</v>
      </c>
      <c r="L498" t="s" s="2">
        <v>22</v>
      </c>
      <c r="M498" t="s" s="2">
        <v>22</v>
      </c>
    </row>
    <row r="499" ht="25.0" customHeight="true">
      <c r="A499" t="s" s="2">
        <v>13</v>
      </c>
      <c r="B499" t="s" s="2">
        <f>HYPERLINK("http://ts.21cn.com/tousu/show/id/1373620","松紧贷暴力催收")</f>
      </c>
      <c r="C499" t="s" s="2">
        <v>15</v>
      </c>
      <c r="D499" t="s" s="2">
        <v>16</v>
      </c>
      <c r="E499" t="s" s="2">
        <v>17</v>
      </c>
      <c r="F499" t="s" s="2">
        <f>HYPERLINK("http://ts.21cn.com/tousu/show/id/1373620","http://ts.21cn.com/tousu/show/id/1373620")</f>
      </c>
      <c r="G499" t="s" s="2">
        <v>17</v>
      </c>
      <c r="H499" t="s" s="2">
        <v>19</v>
      </c>
      <c r="I499" t="s" s="2">
        <v>1987</v>
      </c>
      <c r="J499" t="s" s="2">
        <v>1988</v>
      </c>
      <c r="K499" t="s" s="2">
        <v>22</v>
      </c>
      <c r="L499" t="s" s="2">
        <v>22</v>
      </c>
      <c r="M499" t="s" s="2">
        <v>22</v>
      </c>
    </row>
    <row r="500" ht="25.0" customHeight="true">
      <c r="A500" t="s" s="2">
        <v>13</v>
      </c>
      <c r="B500" t="s" s="2">
        <f>HYPERLINK("http://ts.21cn.com/tousu/show/id/1373618","以服务费为由收取高额利息")</f>
      </c>
      <c r="C500" t="s" s="2">
        <v>15</v>
      </c>
      <c r="D500" t="s" s="2">
        <v>16</v>
      </c>
      <c r="E500" t="s" s="2">
        <v>17</v>
      </c>
      <c r="F500" t="s" s="2">
        <f>HYPERLINK("http://ts.21cn.com/tousu/show/id/1373618","http://ts.21cn.com/tousu/show/id/1373618")</f>
      </c>
      <c r="G500" t="s" s="2">
        <v>17</v>
      </c>
      <c r="H500" t="s" s="2">
        <v>19</v>
      </c>
      <c r="I500" t="s" s="2">
        <v>1991</v>
      </c>
      <c r="J500" t="s" s="2">
        <v>1992</v>
      </c>
      <c r="K500" t="s" s="2">
        <v>22</v>
      </c>
      <c r="L500" t="s" s="2">
        <v>22</v>
      </c>
      <c r="M500" t="s" s="2">
        <v>22</v>
      </c>
    </row>
    <row r="501" ht="25.0" customHeight="true">
      <c r="A501" t="s" s="2">
        <v>13</v>
      </c>
      <c r="B501" t="s" s="2">
        <f>HYPERLINK("http://ts.21cn.com/tousu/show/id/1373616","网络借贷虚假信息误导")</f>
      </c>
      <c r="C501" t="s" s="2">
        <v>15</v>
      </c>
      <c r="D501" t="s" s="2">
        <v>16</v>
      </c>
      <c r="E501" t="s" s="2">
        <v>17</v>
      </c>
      <c r="F501" t="s" s="2">
        <f>HYPERLINK("http://ts.21cn.com/tousu/show/id/1373616","http://ts.21cn.com/tousu/show/id/1373616")</f>
      </c>
      <c r="G501" t="s" s="2">
        <v>17</v>
      </c>
      <c r="H501" t="s" s="2">
        <v>19</v>
      </c>
      <c r="I501" t="s" s="2">
        <v>1995</v>
      </c>
      <c r="J501" t="s" s="2">
        <v>1996</v>
      </c>
      <c r="K501" t="s" s="2">
        <v>22</v>
      </c>
      <c r="L501" t="s" s="2">
        <v>22</v>
      </c>
      <c r="M501" t="s" s="2">
        <v>22</v>
      </c>
    </row>
    <row r="502" ht="25.0" customHeight="true">
      <c r="A502" t="s" s="2">
        <v>13</v>
      </c>
      <c r="B502" t="s" s="2">
        <f>HYPERLINK("http://ts.21cn.com/tousu/show/id/1373615","钱橙无忧随意扣费")</f>
      </c>
      <c r="C502" t="s" s="2">
        <v>15</v>
      </c>
      <c r="D502" t="s" s="2">
        <v>16</v>
      </c>
      <c r="E502" t="s" s="2">
        <v>17</v>
      </c>
      <c r="F502" t="s" s="2">
        <f>HYPERLINK("http://ts.21cn.com/tousu/show/id/1373615","http://ts.21cn.com/tousu/show/id/1373615")</f>
      </c>
      <c r="G502" t="s" s="2">
        <v>17</v>
      </c>
      <c r="H502" t="s" s="2">
        <v>19</v>
      </c>
      <c r="I502" t="s" s="2">
        <v>1998</v>
      </c>
      <c r="J502" t="s" s="2">
        <v>1999</v>
      </c>
      <c r="K502" t="s" s="2">
        <v>22</v>
      </c>
      <c r="L502" t="s" s="2">
        <v>22</v>
      </c>
      <c r="M502" t="s" s="2">
        <v>22</v>
      </c>
    </row>
    <row r="503" ht="25.0" customHeight="true">
      <c r="A503" t="s" s="2">
        <v>13</v>
      </c>
      <c r="B503" t="s" s="2">
        <f>HYPERLINK("http://ts.21cn.com/tousu/show/id/1373612","中汇支付刷卡钱没到帐")</f>
      </c>
      <c r="C503" t="s" s="2">
        <v>52</v>
      </c>
      <c r="D503" t="s" s="2">
        <v>16</v>
      </c>
      <c r="E503" t="s" s="2">
        <v>17</v>
      </c>
      <c r="F503" t="s" s="2">
        <f>HYPERLINK("http://ts.21cn.com/tousu/show/id/1373612","http://ts.21cn.com/tousu/show/id/1373612")</f>
      </c>
      <c r="G503" t="s" s="2">
        <v>17</v>
      </c>
      <c r="H503" t="s" s="2">
        <v>19</v>
      </c>
      <c r="I503" t="s" s="2">
        <v>2002</v>
      </c>
      <c r="J503" t="s" s="2">
        <v>2003</v>
      </c>
      <c r="K503" t="s" s="2">
        <v>22</v>
      </c>
      <c r="L503" t="s" s="2">
        <v>22</v>
      </c>
      <c r="M503" t="s" s="2">
        <v>22</v>
      </c>
    </row>
    <row r="504" ht="25.0" customHeight="true">
      <c r="A504" t="s" s="2">
        <v>13</v>
      </c>
      <c r="B504" t="s" s="2">
        <f>HYPERLINK("http://ts.21cn.com/tousu/show/id/1373611","百世快递邮寄运输易燃易爆物违禁品")</f>
      </c>
      <c r="C504" t="s" s="2">
        <v>15</v>
      </c>
      <c r="D504" t="s" s="2">
        <v>16</v>
      </c>
      <c r="E504" t="s" s="2">
        <v>17</v>
      </c>
      <c r="F504" t="s" s="2">
        <f>HYPERLINK("http://ts.21cn.com/tousu/show/id/1373611","http://ts.21cn.com/tousu/show/id/1373611")</f>
      </c>
      <c r="G504" t="s" s="2">
        <v>17</v>
      </c>
      <c r="H504" t="s" s="2">
        <v>19</v>
      </c>
      <c r="I504" t="s" s="2">
        <v>2006</v>
      </c>
      <c r="J504" t="s" s="2">
        <v>2007</v>
      </c>
      <c r="K504" t="s" s="2">
        <v>22</v>
      </c>
      <c r="L504" t="s" s="2">
        <v>22</v>
      </c>
      <c r="M504" t="s" s="2">
        <v>22</v>
      </c>
    </row>
    <row r="505" ht="25.0" customHeight="true">
      <c r="A505" t="s" s="2">
        <v>13</v>
      </c>
      <c r="B505" t="s" s="2">
        <f>HYPERLINK("http://ts.21cn.com/tousu/show/id/1373610","海南普德龙网络科技有限公司")</f>
      </c>
      <c r="C505" t="s" s="2">
        <v>15</v>
      </c>
      <c r="D505" t="s" s="2">
        <v>16</v>
      </c>
      <c r="E505" t="s" s="2">
        <v>17</v>
      </c>
      <c r="F505" t="s" s="2">
        <f>HYPERLINK("http://ts.21cn.com/tousu/show/id/1373610","http://ts.21cn.com/tousu/show/id/1373610")</f>
      </c>
      <c r="G505" t="s" s="2">
        <v>17</v>
      </c>
      <c r="H505" t="s" s="2">
        <v>19</v>
      </c>
      <c r="I505" t="s" s="2">
        <v>2010</v>
      </c>
      <c r="J505" t="s" s="2">
        <v>2011</v>
      </c>
      <c r="K505" t="s" s="2">
        <v>22</v>
      </c>
      <c r="L505" t="s" s="2">
        <v>22</v>
      </c>
      <c r="M505" t="s" s="2">
        <v>22</v>
      </c>
    </row>
    <row r="506" ht="25.0" customHeight="true">
      <c r="A506" t="s" s="2">
        <v>13</v>
      </c>
      <c r="B506" t="s" s="2">
        <f>HYPERLINK("http://ts.21cn.com/tousu/show/id/1373593","隐瞒消费者知情权")</f>
      </c>
      <c r="C506" t="s" s="2">
        <v>15</v>
      </c>
      <c r="D506" t="s" s="2">
        <v>16</v>
      </c>
      <c r="E506" t="s" s="2">
        <v>17</v>
      </c>
      <c r="F506" t="s" s="2">
        <f>HYPERLINK("http://ts.21cn.com/tousu/show/id/1373593","http://ts.21cn.com/tousu/show/id/1373593")</f>
      </c>
      <c r="G506" t="s" s="2">
        <v>17</v>
      </c>
      <c r="H506" t="s" s="2">
        <v>19</v>
      </c>
      <c r="I506" t="s" s="2">
        <v>2014</v>
      </c>
      <c r="J506" t="s" s="2">
        <v>2015</v>
      </c>
      <c r="K506" t="s" s="2">
        <v>22</v>
      </c>
      <c r="L506" t="s" s="2">
        <v>22</v>
      </c>
      <c r="M506" t="s" s="2">
        <v>22</v>
      </c>
    </row>
    <row r="507" ht="25.0" customHeight="true">
      <c r="A507" t="s" s="2">
        <v>13</v>
      </c>
      <c r="B507" t="s" s="2">
        <f>HYPERLINK("http://ts.21cn.com/tousu/show/id/1373608","闪电借款协商还款不给销账")</f>
      </c>
      <c r="C507" t="s" s="2">
        <v>15</v>
      </c>
      <c r="D507" t="s" s="2">
        <v>16</v>
      </c>
      <c r="E507" t="s" s="2">
        <v>17</v>
      </c>
      <c r="F507" t="s" s="2">
        <f>HYPERLINK("http://ts.21cn.com/tousu/show/id/1373608","http://ts.21cn.com/tousu/show/id/1373608")</f>
      </c>
      <c r="G507" t="s" s="2">
        <v>17</v>
      </c>
      <c r="H507" t="s" s="2">
        <v>19</v>
      </c>
      <c r="I507" t="s" s="2">
        <v>2018</v>
      </c>
      <c r="J507" t="s" s="2">
        <v>2019</v>
      </c>
      <c r="K507" t="s" s="2">
        <v>22</v>
      </c>
      <c r="L507" t="s" s="2">
        <v>22</v>
      </c>
      <c r="M507" t="s" s="2">
        <v>22</v>
      </c>
    </row>
    <row r="508" ht="25.0" customHeight="true">
      <c r="A508" t="s" s="2">
        <v>13</v>
      </c>
      <c r="B508" t="s" s="2">
        <f>HYPERLINK("http://ts.21cn.com/tousu/show/id/1373609","淘集集购物后未发货，拒绝退款")</f>
      </c>
      <c r="C508" t="s" s="2">
        <v>15</v>
      </c>
      <c r="D508" t="s" s="2">
        <v>16</v>
      </c>
      <c r="E508" t="s" s="2">
        <v>17</v>
      </c>
      <c r="F508" t="s" s="2">
        <f>HYPERLINK("http://ts.21cn.com/tousu/show/id/1373609","http://ts.21cn.com/tousu/show/id/1373609")</f>
      </c>
      <c r="G508" t="s" s="2">
        <v>17</v>
      </c>
      <c r="H508" t="s" s="2">
        <v>19</v>
      </c>
      <c r="I508" t="s" s="2">
        <v>2022</v>
      </c>
      <c r="J508" t="s" s="2">
        <v>2023</v>
      </c>
      <c r="K508" t="s" s="2">
        <v>22</v>
      </c>
      <c r="L508" t="s" s="2">
        <v>22</v>
      </c>
      <c r="M508" t="s" s="2">
        <v>22</v>
      </c>
    </row>
    <row r="509" ht="25.0" customHeight="true">
      <c r="A509" t="s" s="2">
        <v>13</v>
      </c>
      <c r="B509" t="s" s="2">
        <f>HYPERLINK("http://ts.21cn.com/tousu/show/id/1373607","my钱包逾期一天爆通讯录，最后一期400多我说月底还，不同意")</f>
      </c>
      <c r="C509" t="s" s="2">
        <v>15</v>
      </c>
      <c r="D509" t="s" s="2">
        <v>16</v>
      </c>
      <c r="E509" t="s" s="2">
        <v>17</v>
      </c>
      <c r="F509" t="s" s="2">
        <f>HYPERLINK("http://ts.21cn.com/tousu/show/id/1373607","http://ts.21cn.com/tousu/show/id/1373607")</f>
      </c>
      <c r="G509" t="s" s="2">
        <v>17</v>
      </c>
      <c r="H509" t="s" s="2">
        <v>19</v>
      </c>
      <c r="I509" t="s" s="2">
        <v>2026</v>
      </c>
      <c r="J509" t="s" s="2">
        <v>2027</v>
      </c>
      <c r="K509" t="s" s="2">
        <v>22</v>
      </c>
      <c r="L509" t="s" s="2">
        <v>22</v>
      </c>
      <c r="M509" t="s" s="2">
        <v>22</v>
      </c>
    </row>
    <row r="510" ht="25.0" customHeight="true">
      <c r="A510" t="s" s="2">
        <v>13</v>
      </c>
      <c r="B510" t="s" s="2">
        <f>HYPERLINK("http://ts.21cn.com/tousu/show/id/1373606","宜人贷套路贷砍头息暴力催收")</f>
      </c>
      <c r="C510" t="s" s="2">
        <v>15</v>
      </c>
      <c r="D510" t="s" s="2">
        <v>16</v>
      </c>
      <c r="E510" t="s" s="2">
        <v>17</v>
      </c>
      <c r="F510" t="s" s="2">
        <f>HYPERLINK("http://ts.21cn.com/tousu/show/id/1373606","http://ts.21cn.com/tousu/show/id/1373606")</f>
      </c>
      <c r="G510" t="s" s="2">
        <v>17</v>
      </c>
      <c r="H510" t="s" s="2">
        <v>19</v>
      </c>
      <c r="I510" t="s" s="2">
        <v>2030</v>
      </c>
      <c r="J510" t="s" s="2">
        <v>2031</v>
      </c>
      <c r="K510" t="s" s="2">
        <v>22</v>
      </c>
      <c r="L510" t="s" s="2">
        <v>22</v>
      </c>
      <c r="M510" t="s" s="2">
        <v>22</v>
      </c>
    </row>
    <row r="511" ht="25.0" customHeight="true">
      <c r="A511" t="s" s="2">
        <v>13</v>
      </c>
      <c r="B511" t="s" s="2">
        <f>HYPERLINK("http://ts.21cn.com/tousu/show/id/1373605","360借条暴力催收")</f>
      </c>
      <c r="C511" t="s" s="2">
        <v>15</v>
      </c>
      <c r="D511" t="s" s="2">
        <v>16</v>
      </c>
      <c r="E511" t="s" s="2">
        <v>17</v>
      </c>
      <c r="F511" t="s" s="2">
        <f>HYPERLINK("http://ts.21cn.com/tousu/show/id/1373605","http://ts.21cn.com/tousu/show/id/1373605")</f>
      </c>
      <c r="G511" t="s" s="2">
        <v>17</v>
      </c>
      <c r="H511" t="s" s="2">
        <v>19</v>
      </c>
      <c r="I511" t="s" s="2">
        <v>2033</v>
      </c>
      <c r="J511" t="s" s="2">
        <v>2034</v>
      </c>
      <c r="K511" t="s" s="2">
        <v>22</v>
      </c>
      <c r="L511" t="s" s="2">
        <v>22</v>
      </c>
      <c r="M511" t="s" s="2">
        <v>22</v>
      </c>
    </row>
    <row r="512" ht="25.0" customHeight="true">
      <c r="A512" t="s" s="2">
        <v>13</v>
      </c>
      <c r="B512" t="s" s="2">
        <f>HYPERLINK("http://ts.21cn.com/tousu/show/id/1373604","平白无故接到电话要我还钱")</f>
      </c>
      <c r="C512" t="s" s="2">
        <v>52</v>
      </c>
      <c r="D512" t="s" s="2">
        <v>16</v>
      </c>
      <c r="E512" t="s" s="2">
        <v>17</v>
      </c>
      <c r="F512" t="s" s="2">
        <f>HYPERLINK("http://ts.21cn.com/tousu/show/id/1373604","http://ts.21cn.com/tousu/show/id/1373604")</f>
      </c>
      <c r="G512" t="s" s="2">
        <v>17</v>
      </c>
      <c r="H512" t="s" s="2">
        <v>19</v>
      </c>
      <c r="I512" t="s" s="2">
        <v>2037</v>
      </c>
      <c r="J512" t="s" s="2">
        <v>2038</v>
      </c>
      <c r="K512" t="s" s="2">
        <v>22</v>
      </c>
      <c r="L512" t="s" s="2">
        <v>22</v>
      </c>
      <c r="M512" t="s" s="2">
        <v>22</v>
      </c>
    </row>
    <row r="513" ht="25.0" customHeight="true">
      <c r="A513" t="s" s="2">
        <v>13</v>
      </c>
      <c r="B513" t="s" s="2">
        <f>HYPERLINK("http://ts.21cn.com/tousu/show/id/1373603","享换机霸王条约")</f>
      </c>
      <c r="C513" t="s" s="2">
        <v>15</v>
      </c>
      <c r="D513" t="s" s="2">
        <v>16</v>
      </c>
      <c r="E513" t="s" s="2">
        <v>17</v>
      </c>
      <c r="F513" t="s" s="2">
        <f>HYPERLINK("http://ts.21cn.com/tousu/show/id/1373603","http://ts.21cn.com/tousu/show/id/1373603")</f>
      </c>
      <c r="G513" t="s" s="2">
        <v>17</v>
      </c>
      <c r="H513" t="s" s="2">
        <v>19</v>
      </c>
      <c r="I513" t="s" s="2">
        <v>2041</v>
      </c>
      <c r="J513" t="s" s="2">
        <v>2042</v>
      </c>
      <c r="K513" t="s" s="2">
        <v>22</v>
      </c>
      <c r="L513" t="s" s="2">
        <v>22</v>
      </c>
      <c r="M513" t="s" s="2">
        <v>22</v>
      </c>
    </row>
    <row r="514" ht="25.0" customHeight="true">
      <c r="A514" t="s" s="2">
        <v>13</v>
      </c>
      <c r="B514" t="s" s="2">
        <f>HYPERLINK("http://ts.21cn.com/tousu/show/id/1373601","没有在该平台上借过款，竟然说我逾期了")</f>
      </c>
      <c r="C514" t="s" s="2">
        <v>52</v>
      </c>
      <c r="D514" t="s" s="2">
        <v>16</v>
      </c>
      <c r="E514" t="s" s="2">
        <v>17</v>
      </c>
      <c r="F514" t="s" s="2">
        <f>HYPERLINK("http://ts.21cn.com/tousu/show/id/1373601","http://ts.21cn.com/tousu/show/id/1373601")</f>
      </c>
      <c r="G514" t="s" s="2">
        <v>17</v>
      </c>
      <c r="H514" t="s" s="2">
        <v>19</v>
      </c>
      <c r="I514" t="s" s="2">
        <v>2045</v>
      </c>
      <c r="J514" t="s" s="2">
        <v>2046</v>
      </c>
      <c r="K514" t="s" s="2">
        <v>22</v>
      </c>
      <c r="L514" t="s" s="2">
        <v>22</v>
      </c>
      <c r="M514" t="s" s="2">
        <v>22</v>
      </c>
    </row>
    <row r="515" ht="25.0" customHeight="true">
      <c r="A515" t="s" s="2">
        <v>13</v>
      </c>
      <c r="B515" t="s" s="2">
        <f>HYPERLINK("http://ts.21cn.com/tousu/show/id/1373600","自由魔卡信用计划六便士退费")</f>
      </c>
      <c r="C515" t="s" s="2">
        <v>52</v>
      </c>
      <c r="D515" t="s" s="2">
        <v>16</v>
      </c>
      <c r="E515" t="s" s="2">
        <v>17</v>
      </c>
      <c r="F515" t="s" s="2">
        <f>HYPERLINK("http://ts.21cn.com/tousu/show/id/1373600","http://ts.21cn.com/tousu/show/id/1373600")</f>
      </c>
      <c r="G515" t="s" s="2">
        <v>17</v>
      </c>
      <c r="H515" t="s" s="2">
        <v>19</v>
      </c>
      <c r="I515" t="s" s="2">
        <v>2049</v>
      </c>
      <c r="J515" t="s" s="2">
        <v>2050</v>
      </c>
      <c r="K515" t="s" s="2">
        <v>22</v>
      </c>
      <c r="L515" t="s" s="2">
        <v>22</v>
      </c>
      <c r="M515" t="s" s="2">
        <v>22</v>
      </c>
    </row>
    <row r="516" ht="25.0" customHeight="true">
      <c r="A516" t="s" s="2">
        <v>13</v>
      </c>
      <c r="B516" t="s" s="2">
        <f>HYPERLINK("http://ts.21cn.com/tousu/show/id/1373576","解冻账号资金")</f>
      </c>
      <c r="C516" t="s" s="2">
        <v>15</v>
      </c>
      <c r="D516" t="s" s="2">
        <v>16</v>
      </c>
      <c r="E516" t="s" s="2">
        <v>17</v>
      </c>
      <c r="F516" t="s" s="2">
        <f>HYPERLINK("http://ts.21cn.com/tousu/show/id/1373576","http://ts.21cn.com/tousu/show/id/1373576")</f>
      </c>
      <c r="G516" t="s" s="2">
        <v>17</v>
      </c>
      <c r="H516" t="s" s="2">
        <v>19</v>
      </c>
      <c r="I516" t="s" s="2">
        <v>2053</v>
      </c>
      <c r="J516" t="s" s="2">
        <v>2054</v>
      </c>
      <c r="K516" t="s" s="2">
        <v>22</v>
      </c>
      <c r="L516" t="s" s="2">
        <v>22</v>
      </c>
      <c r="M516" t="s" s="2">
        <v>22</v>
      </c>
    </row>
    <row r="517" ht="25.0" customHeight="true">
      <c r="A517" t="s" s="2">
        <v>13</v>
      </c>
      <c r="B517" t="s" s="2">
        <f>HYPERLINK("http://ts.21cn.com/tousu/show/id/1373590","玖富乱收费，1笔1万，他们却说2笔，另1笔为1500多")</f>
      </c>
      <c r="C517" t="s" s="2">
        <v>15</v>
      </c>
      <c r="D517" t="s" s="2">
        <v>16</v>
      </c>
      <c r="E517" t="s" s="2">
        <v>17</v>
      </c>
      <c r="F517" t="s" s="2">
        <f>HYPERLINK("http://ts.21cn.com/tousu/show/id/1373590","http://ts.21cn.com/tousu/show/id/1373590")</f>
      </c>
      <c r="G517" t="s" s="2">
        <v>17</v>
      </c>
      <c r="H517" t="s" s="2">
        <v>19</v>
      </c>
      <c r="I517" t="s" s="2">
        <v>2057</v>
      </c>
      <c r="J517" t="s" s="2">
        <v>2058</v>
      </c>
      <c r="K517" t="s" s="2">
        <v>22</v>
      </c>
      <c r="L517" t="s" s="2">
        <v>22</v>
      </c>
      <c r="M517" t="s" s="2">
        <v>22</v>
      </c>
    </row>
    <row r="518" ht="25.0" customHeight="true">
      <c r="A518" t="s" s="2">
        <v>13</v>
      </c>
      <c r="B518" t="s" s="2">
        <f>HYPERLINK("http://ts.21cn.com/tousu/show/id/1373578","平台欺诈")</f>
      </c>
      <c r="C518" t="s" s="2">
        <v>15</v>
      </c>
      <c r="D518" t="s" s="2">
        <v>16</v>
      </c>
      <c r="E518" t="s" s="2">
        <v>17</v>
      </c>
      <c r="F518" t="s" s="2">
        <f>HYPERLINK("http://ts.21cn.com/tousu/show/id/1373578","http://ts.21cn.com/tousu/show/id/1373578")</f>
      </c>
      <c r="G518" t="s" s="2">
        <v>17</v>
      </c>
      <c r="H518" t="s" s="2">
        <v>19</v>
      </c>
      <c r="I518" t="s" s="2">
        <v>2061</v>
      </c>
      <c r="J518" t="s" s="2">
        <v>2062</v>
      </c>
      <c r="K518" t="s" s="2">
        <v>22</v>
      </c>
      <c r="L518" t="s" s="2">
        <v>22</v>
      </c>
      <c r="M518" t="s" s="2">
        <v>22</v>
      </c>
    </row>
    <row r="519" ht="25.0" customHeight="true">
      <c r="A519" t="s" s="2">
        <v>13</v>
      </c>
      <c r="B519" t="s" s="2">
        <f>HYPERLINK("http://ts.21cn.com/tousu/show/id/1373599","中建投私自扣款")</f>
      </c>
      <c r="C519" t="s" s="2">
        <v>15</v>
      </c>
      <c r="D519" t="s" s="2">
        <v>16</v>
      </c>
      <c r="E519" t="s" s="2">
        <v>17</v>
      </c>
      <c r="F519" t="s" s="2">
        <f>HYPERLINK("http://ts.21cn.com/tousu/show/id/1373599","http://ts.21cn.com/tousu/show/id/1373599")</f>
      </c>
      <c r="G519" t="s" s="2">
        <v>17</v>
      </c>
      <c r="H519" t="s" s="2">
        <v>19</v>
      </c>
      <c r="I519" t="s" s="2">
        <v>2065</v>
      </c>
      <c r="J519" t="s" s="2">
        <v>2066</v>
      </c>
      <c r="K519" t="s" s="2">
        <v>22</v>
      </c>
      <c r="L519" t="s" s="2">
        <v>22</v>
      </c>
      <c r="M519" t="s" s="2">
        <v>22</v>
      </c>
    </row>
    <row r="520" ht="25.0" customHeight="true">
      <c r="A520" t="s" s="2">
        <v>13</v>
      </c>
      <c r="B520" t="s" s="2">
        <f>HYPERLINK("http://ts.21cn.com/tousu/show/id/1373598","中腾信旗下小花钱包暴力催收已违法")</f>
      </c>
      <c r="C520" t="s" s="2">
        <v>15</v>
      </c>
      <c r="D520" t="s" s="2">
        <v>16</v>
      </c>
      <c r="E520" t="s" s="2">
        <v>17</v>
      </c>
      <c r="F520" t="s" s="2">
        <f>HYPERLINK("http://ts.21cn.com/tousu/show/id/1373598","http://ts.21cn.com/tousu/show/id/1373598")</f>
      </c>
      <c r="G520" t="s" s="2">
        <v>17</v>
      </c>
      <c r="H520" t="s" s="2">
        <v>19</v>
      </c>
      <c r="I520" t="s" s="2">
        <v>2069</v>
      </c>
      <c r="J520" t="s" s="2">
        <v>2070</v>
      </c>
      <c r="K520" t="s" s="2">
        <v>22</v>
      </c>
      <c r="L520" t="s" s="2">
        <v>22</v>
      </c>
      <c r="M520" t="s" s="2">
        <v>22</v>
      </c>
    </row>
    <row r="521" ht="25.0" customHeight="true">
      <c r="A521" t="s" s="2">
        <v>13</v>
      </c>
      <c r="B521" t="s" s="2">
        <f>HYPERLINK("http://ts.21cn.com/tousu/show/id/1373597","钱伴收取高额服务费不能提前本金结清")</f>
      </c>
      <c r="C521" t="s" s="2">
        <v>52</v>
      </c>
      <c r="D521" t="s" s="2">
        <v>16</v>
      </c>
      <c r="E521" t="s" s="2">
        <v>17</v>
      </c>
      <c r="F521" t="s" s="2">
        <f>HYPERLINK("http://ts.21cn.com/tousu/show/id/1373597","http://ts.21cn.com/tousu/show/id/1373597")</f>
      </c>
      <c r="G521" t="s" s="2">
        <v>17</v>
      </c>
      <c r="H521" t="s" s="2">
        <v>19</v>
      </c>
      <c r="I521" t="s" s="2">
        <v>2073</v>
      </c>
      <c r="J521" t="s" s="2">
        <v>2074</v>
      </c>
      <c r="K521" t="s" s="2">
        <v>22</v>
      </c>
      <c r="L521" t="s" s="2">
        <v>22</v>
      </c>
      <c r="M521" t="s" s="2">
        <v>22</v>
      </c>
    </row>
    <row r="522" ht="25.0" customHeight="true">
      <c r="A522" t="s" s="2">
        <v>13</v>
      </c>
      <c r="B522" t="s" s="2">
        <f>HYPERLINK("http://ts.21cn.com/tousu/show/id/1373596","第三方公司冒充律师，编辑虚假信息")</f>
      </c>
      <c r="C522" t="s" s="2">
        <v>15</v>
      </c>
      <c r="D522" t="s" s="2">
        <v>16</v>
      </c>
      <c r="E522" t="s" s="2">
        <v>17</v>
      </c>
      <c r="F522" t="s" s="2">
        <f>HYPERLINK("http://ts.21cn.com/tousu/show/id/1373596","http://ts.21cn.com/tousu/show/id/1373596")</f>
      </c>
      <c r="G522" t="s" s="2">
        <v>17</v>
      </c>
      <c r="H522" t="s" s="2">
        <v>19</v>
      </c>
      <c r="I522" t="s" s="2">
        <v>2077</v>
      </c>
      <c r="J522" t="s" s="2">
        <v>2078</v>
      </c>
      <c r="K522" t="s" s="2">
        <v>22</v>
      </c>
      <c r="L522" t="s" s="2">
        <v>22</v>
      </c>
      <c r="M522" t="s" s="2">
        <v>22</v>
      </c>
    </row>
    <row r="523" ht="25.0" customHeight="true">
      <c r="A523" t="s" s="2">
        <v>13</v>
      </c>
      <c r="B523" t="s" s="2">
        <f>HYPERLINK("http://ts.21cn.com/tousu/show/id/1373595","米米罐还款后账户锁定")</f>
      </c>
      <c r="C523" t="s" s="2">
        <v>15</v>
      </c>
      <c r="D523" t="s" s="2">
        <v>16</v>
      </c>
      <c r="E523" t="s" s="2">
        <v>17</v>
      </c>
      <c r="F523" t="s" s="2">
        <f>HYPERLINK("http://ts.21cn.com/tousu/show/id/1373595","http://ts.21cn.com/tousu/show/id/1373595")</f>
      </c>
      <c r="G523" t="s" s="2">
        <v>17</v>
      </c>
      <c r="H523" t="s" s="2">
        <v>19</v>
      </c>
      <c r="I523" t="s" s="2">
        <v>2081</v>
      </c>
      <c r="J523" t="s" s="2">
        <v>2082</v>
      </c>
      <c r="K523" t="s" s="2">
        <v>22</v>
      </c>
      <c r="L523" t="s" s="2">
        <v>22</v>
      </c>
      <c r="M523" t="s" s="2">
        <v>22</v>
      </c>
    </row>
    <row r="524" ht="25.0" customHeight="true">
      <c r="A524" t="s" s="2">
        <v>13</v>
      </c>
      <c r="B524" t="s" s="2">
        <f>HYPERLINK("http://ts.21cn.com/tousu/show/id/1373540","今日头条鲁班不退押金")</f>
      </c>
      <c r="C524" t="s" s="2">
        <v>15</v>
      </c>
      <c r="D524" t="s" s="2">
        <v>16</v>
      </c>
      <c r="E524" t="s" s="2">
        <v>17</v>
      </c>
      <c r="F524" t="s" s="2">
        <f>HYPERLINK("http://ts.21cn.com/tousu/show/id/1373540","http://ts.21cn.com/tousu/show/id/1373540")</f>
      </c>
      <c r="G524" t="s" s="2">
        <v>17</v>
      </c>
      <c r="H524" t="s" s="2">
        <v>19</v>
      </c>
      <c r="I524" t="s" s="2">
        <v>2085</v>
      </c>
      <c r="J524" t="s" s="2">
        <v>2086</v>
      </c>
      <c r="K524" t="s" s="2">
        <v>22</v>
      </c>
      <c r="L524" t="s" s="2">
        <v>22</v>
      </c>
      <c r="M524" t="s" s="2">
        <v>22</v>
      </c>
    </row>
    <row r="525" ht="25.0" customHeight="true">
      <c r="A525" t="s" s="2">
        <v>13</v>
      </c>
      <c r="B525" t="s" s="2">
        <f>HYPERLINK("http://ts.21cn.com/tousu/show/id/1373594","恐吓威胁")</f>
      </c>
      <c r="C525" t="s" s="2">
        <v>15</v>
      </c>
      <c r="D525" t="s" s="2">
        <v>16</v>
      </c>
      <c r="E525" t="s" s="2">
        <v>17</v>
      </c>
      <c r="F525" t="s" s="2">
        <f>HYPERLINK("http://ts.21cn.com/tousu/show/id/1373594","http://ts.21cn.com/tousu/show/id/1373594")</f>
      </c>
      <c r="G525" t="s" s="2">
        <v>17</v>
      </c>
      <c r="H525" t="s" s="2">
        <v>19</v>
      </c>
      <c r="I525" t="s" s="2">
        <v>2088</v>
      </c>
      <c r="J525" t="s" s="2">
        <v>2089</v>
      </c>
      <c r="K525" t="s" s="2">
        <v>22</v>
      </c>
      <c r="L525" t="s" s="2">
        <v>22</v>
      </c>
      <c r="M525" t="s" s="2">
        <v>22</v>
      </c>
    </row>
    <row r="526" ht="25.0" customHeight="true">
      <c r="A526" t="s" s="2">
        <v>13</v>
      </c>
      <c r="B526" t="s" s="2">
        <f>HYPERLINK("http://ts.21cn.com/tousu/show/id/1373592","拉卡拉首扣贷款金额，超高逾期费等，利用国家征信系统变相要挟用户！！！")</f>
      </c>
      <c r="C526" t="s" s="2">
        <v>15</v>
      </c>
      <c r="D526" t="s" s="2">
        <v>16</v>
      </c>
      <c r="E526" t="s" s="2">
        <v>17</v>
      </c>
      <c r="F526" t="s" s="2">
        <f>HYPERLINK("http://ts.21cn.com/tousu/show/id/1373592","http://ts.21cn.com/tousu/show/id/1373592")</f>
      </c>
      <c r="G526" t="s" s="2">
        <v>17</v>
      </c>
      <c r="H526" t="s" s="2">
        <v>19</v>
      </c>
      <c r="I526" t="s" s="2">
        <v>2092</v>
      </c>
      <c r="J526" t="s" s="2">
        <v>2093</v>
      </c>
      <c r="K526" t="s" s="2">
        <v>22</v>
      </c>
      <c r="L526" t="s" s="2">
        <v>22</v>
      </c>
      <c r="M526" t="s" s="2">
        <v>22</v>
      </c>
    </row>
    <row r="527" ht="25.0" customHeight="true">
      <c r="A527" t="s" s="2">
        <v>13</v>
      </c>
      <c r="B527" t="s" s="2">
        <f>HYPERLINK("http://ts.21cn.com/tousu/show/id/1373591","招行骚扰联系人")</f>
      </c>
      <c r="C527" t="s" s="2">
        <v>15</v>
      </c>
      <c r="D527" t="s" s="2">
        <v>16</v>
      </c>
      <c r="E527" t="s" s="2">
        <v>17</v>
      </c>
      <c r="F527" t="s" s="2">
        <f>HYPERLINK("http://ts.21cn.com/tousu/show/id/1373591","http://ts.21cn.com/tousu/show/id/1373591")</f>
      </c>
      <c r="G527" t="s" s="2">
        <v>17</v>
      </c>
      <c r="H527" t="s" s="2">
        <v>19</v>
      </c>
      <c r="I527" t="s" s="2">
        <v>2096</v>
      </c>
      <c r="J527" t="s" s="2">
        <v>2097</v>
      </c>
      <c r="K527" t="s" s="2">
        <v>22</v>
      </c>
      <c r="L527" t="s" s="2">
        <v>22</v>
      </c>
      <c r="M527" t="s" s="2">
        <v>22</v>
      </c>
    </row>
    <row r="528" ht="25.0" customHeight="true">
      <c r="A528" t="s" s="2">
        <v>13</v>
      </c>
      <c r="B528" t="s" s="2">
        <f>HYPERLINK("http://ts.21cn.com/tousu/show/id/1373588","万惠及贷变相收取高额息费以及暴力催收")</f>
      </c>
      <c r="C528" t="s" s="2">
        <v>15</v>
      </c>
      <c r="D528" t="s" s="2">
        <v>16</v>
      </c>
      <c r="E528" t="s" s="2">
        <v>17</v>
      </c>
      <c r="F528" t="s" s="2">
        <f>HYPERLINK("http://ts.21cn.com/tousu/show/id/1373588","http://ts.21cn.com/tousu/show/id/1373588")</f>
      </c>
      <c r="G528" t="s" s="2">
        <v>17</v>
      </c>
      <c r="H528" t="s" s="2">
        <v>19</v>
      </c>
      <c r="I528" t="s" s="2">
        <v>2100</v>
      </c>
      <c r="J528" t="s" s="2">
        <v>2101</v>
      </c>
      <c r="K528" t="s" s="2">
        <v>22</v>
      </c>
      <c r="L528" t="s" s="2">
        <v>22</v>
      </c>
      <c r="M528" t="s" s="2">
        <v>22</v>
      </c>
    </row>
    <row r="529" ht="25.0" customHeight="true">
      <c r="A529" t="s" s="2">
        <v>13</v>
      </c>
      <c r="B529" t="s" s="2">
        <f>HYPERLINK("http://ts.21cn.com/tousu/show/id/1373589","PPmoney旗下及贷发恐吓侮辱性的话")</f>
      </c>
      <c r="C529" t="s" s="2">
        <v>15</v>
      </c>
      <c r="D529" t="s" s="2">
        <v>16</v>
      </c>
      <c r="E529" t="s" s="2">
        <v>17</v>
      </c>
      <c r="F529" t="s" s="2">
        <f>HYPERLINK("http://ts.21cn.com/tousu/show/id/1373589","http://ts.21cn.com/tousu/show/id/1373589")</f>
      </c>
      <c r="G529" t="s" s="2">
        <v>17</v>
      </c>
      <c r="H529" t="s" s="2">
        <v>19</v>
      </c>
      <c r="I529" t="s" s="2">
        <v>2104</v>
      </c>
      <c r="J529" t="s" s="2">
        <v>2105</v>
      </c>
      <c r="K529" t="s" s="2">
        <v>22</v>
      </c>
      <c r="L529" t="s" s="2">
        <v>22</v>
      </c>
      <c r="M529" t="s" s="2">
        <v>22</v>
      </c>
    </row>
    <row r="530" ht="25.0" customHeight="true">
      <c r="A530" t="s" s="2">
        <v>13</v>
      </c>
      <c r="B530" t="s" s="2">
        <f>HYPERLINK("http://ts.21cn.com/tousu/show/id/1373587","高利贷")</f>
      </c>
      <c r="C530" t="s" s="2">
        <v>15</v>
      </c>
      <c r="D530" t="s" s="2">
        <v>16</v>
      </c>
      <c r="E530" t="s" s="2">
        <v>17</v>
      </c>
      <c r="F530" t="s" s="2">
        <f>HYPERLINK("http://ts.21cn.com/tousu/show/id/1373587","http://ts.21cn.com/tousu/show/id/1373587")</f>
      </c>
      <c r="G530" t="s" s="2">
        <v>17</v>
      </c>
      <c r="H530" t="s" s="2">
        <v>19</v>
      </c>
      <c r="I530" t="s" s="2">
        <v>2107</v>
      </c>
      <c r="J530" t="s" s="2">
        <v>2108</v>
      </c>
      <c r="K530" t="s" s="2">
        <v>22</v>
      </c>
      <c r="L530" t="s" s="2">
        <v>22</v>
      </c>
      <c r="M530" t="s" s="2">
        <v>22</v>
      </c>
    </row>
    <row r="531" ht="25.0" customHeight="true">
      <c r="A531" t="s" s="2">
        <v>13</v>
      </c>
      <c r="B531" t="s" s="2">
        <f>HYPERLINK("http://ts.21cn.com/tousu/show/id/1373586","拍拍贷恶意崔收，冒充律师恐吓")</f>
      </c>
      <c r="C531" t="s" s="2">
        <v>15</v>
      </c>
      <c r="D531" t="s" s="2">
        <v>16</v>
      </c>
      <c r="E531" t="s" s="2">
        <v>17</v>
      </c>
      <c r="F531" t="s" s="2">
        <f>HYPERLINK("http://ts.21cn.com/tousu/show/id/1373586","http://ts.21cn.com/tousu/show/id/1373586")</f>
      </c>
      <c r="G531" t="s" s="2">
        <v>17</v>
      </c>
      <c r="H531" t="s" s="2">
        <v>19</v>
      </c>
      <c r="I531" t="s" s="2">
        <v>2111</v>
      </c>
      <c r="J531" t="s" s="2">
        <v>2112</v>
      </c>
      <c r="K531" t="s" s="2">
        <v>22</v>
      </c>
      <c r="L531" t="s" s="2">
        <v>22</v>
      </c>
      <c r="M531" t="s" s="2">
        <v>22</v>
      </c>
    </row>
    <row r="532" ht="25.0" customHeight="true">
      <c r="A532" t="s" s="2">
        <v>13</v>
      </c>
      <c r="B532" t="s" s="2">
        <f>HYPERLINK("http://ts.21cn.com/tousu/show/id/1373585","闪电借款恶意欺诈，高利贷")</f>
      </c>
      <c r="C532" t="s" s="2">
        <v>15</v>
      </c>
      <c r="D532" t="s" s="2">
        <v>16</v>
      </c>
      <c r="E532" t="s" s="2">
        <v>17</v>
      </c>
      <c r="F532" t="s" s="2">
        <f>HYPERLINK("http://ts.21cn.com/tousu/show/id/1373585","http://ts.21cn.com/tousu/show/id/1373585")</f>
      </c>
      <c r="G532" t="s" s="2">
        <v>17</v>
      </c>
      <c r="H532" t="s" s="2">
        <v>19</v>
      </c>
      <c r="I532" t="s" s="2">
        <v>2115</v>
      </c>
      <c r="J532" t="s" s="2">
        <v>2116</v>
      </c>
      <c r="K532" t="s" s="2">
        <v>22</v>
      </c>
      <c r="L532" t="s" s="2">
        <v>22</v>
      </c>
      <c r="M532" t="s" s="2">
        <v>22</v>
      </c>
    </row>
    <row r="533" ht="25.0" customHeight="true">
      <c r="A533" t="s" s="2">
        <v>13</v>
      </c>
      <c r="B533" t="s" s="2">
        <f>HYPERLINK("http://ts.21cn.com/tousu/show/id/1373582","捷信暴力催收扰乱家庭生活扰乱社会治安")</f>
      </c>
      <c r="C533" t="s" s="2">
        <v>15</v>
      </c>
      <c r="D533" t="s" s="2">
        <v>16</v>
      </c>
      <c r="E533" t="s" s="2">
        <v>17</v>
      </c>
      <c r="F533" t="s" s="2">
        <f>HYPERLINK("http://ts.21cn.com/tousu/show/id/1373582","http://ts.21cn.com/tousu/show/id/1373582")</f>
      </c>
      <c r="G533" t="s" s="2">
        <v>17</v>
      </c>
      <c r="H533" t="s" s="2">
        <v>19</v>
      </c>
      <c r="I533" t="s" s="2">
        <v>2119</v>
      </c>
      <c r="J533" t="s" s="2">
        <v>2120</v>
      </c>
      <c r="K533" t="s" s="2">
        <v>22</v>
      </c>
      <c r="L533" t="s" s="2">
        <v>22</v>
      </c>
      <c r="M533" t="s" s="2">
        <v>22</v>
      </c>
    </row>
    <row r="534" ht="25.0" customHeight="true">
      <c r="A534" t="s" s="2">
        <v>13</v>
      </c>
      <c r="B534" t="s" s="2">
        <f>HYPERLINK("http://ts.21cn.com/tousu/show/id/1373581","功夫贷暴力催收，泄露个人隐私，恶意骚扰通讯录无关人员！")</f>
      </c>
      <c r="C534" t="s" s="2">
        <v>15</v>
      </c>
      <c r="D534" t="s" s="2">
        <v>16</v>
      </c>
      <c r="E534" t="s" s="2">
        <v>17</v>
      </c>
      <c r="F534" t="s" s="2">
        <f>HYPERLINK("http://ts.21cn.com/tousu/show/id/1373581","http://ts.21cn.com/tousu/show/id/1373581")</f>
      </c>
      <c r="G534" t="s" s="2">
        <v>17</v>
      </c>
      <c r="H534" t="s" s="2">
        <v>19</v>
      </c>
      <c r="I534" t="s" s="2">
        <v>2123</v>
      </c>
      <c r="J534" t="s" s="2">
        <v>2124</v>
      </c>
      <c r="K534" t="s" s="2">
        <v>22</v>
      </c>
      <c r="L534" t="s" s="2">
        <v>22</v>
      </c>
      <c r="M534" t="s" s="2">
        <v>22</v>
      </c>
    </row>
    <row r="535" ht="25.0" customHeight="true">
      <c r="A535" t="s" s="2">
        <v>13</v>
      </c>
      <c r="B535" t="s" s="2">
        <f>HYPERLINK("http://ts.21cn.com/tousu/show/id/1373580","强制购买游戏币")</f>
      </c>
      <c r="C535" t="s" s="2">
        <v>15</v>
      </c>
      <c r="D535" t="s" s="2">
        <v>16</v>
      </c>
      <c r="E535" t="s" s="2">
        <v>17</v>
      </c>
      <c r="F535" t="s" s="2">
        <f>HYPERLINK("http://ts.21cn.com/tousu/show/id/1373580","http://ts.21cn.com/tousu/show/id/1373580")</f>
      </c>
      <c r="G535" t="s" s="2">
        <v>17</v>
      </c>
      <c r="H535" t="s" s="2">
        <v>19</v>
      </c>
      <c r="I535" t="s" s="2">
        <v>2127</v>
      </c>
      <c r="J535" t="s" s="2">
        <v>2128</v>
      </c>
      <c r="K535" t="s" s="2">
        <v>22</v>
      </c>
      <c r="L535" t="s" s="2">
        <v>22</v>
      </c>
      <c r="M535" t="s" s="2">
        <v>22</v>
      </c>
    </row>
    <row r="536" ht="25.0" customHeight="true">
      <c r="A536" t="s" s="2">
        <v>13</v>
      </c>
      <c r="B536" t="s" s="2">
        <f>HYPERLINK("http://ts.21cn.com/tousu/show/id/1373579","恢复使用")</f>
      </c>
      <c r="C536" t="s" s="2">
        <v>52</v>
      </c>
      <c r="D536" t="s" s="2">
        <v>16</v>
      </c>
      <c r="E536" t="s" s="2">
        <v>17</v>
      </c>
      <c r="F536" t="s" s="2">
        <f>HYPERLINK("http://ts.21cn.com/tousu/show/id/1373579","http://ts.21cn.com/tousu/show/id/1373579")</f>
      </c>
      <c r="G536" t="s" s="2">
        <v>17</v>
      </c>
      <c r="H536" t="s" s="2">
        <v>19</v>
      </c>
      <c r="I536" t="s" s="2">
        <v>2131</v>
      </c>
      <c r="J536" t="s" s="2">
        <v>2132</v>
      </c>
      <c r="K536" t="s" s="2">
        <v>22</v>
      </c>
      <c r="L536" t="s" s="2">
        <v>22</v>
      </c>
      <c r="M536" t="s" s="2">
        <v>22</v>
      </c>
    </row>
    <row r="537" ht="25.0" customHeight="true">
      <c r="A537" t="s" s="2">
        <v>13</v>
      </c>
      <c r="B537" t="s" s="2">
        <f>HYPERLINK("http://ts.21cn.com/tousu/show/id/1373563","私自扣钱，退款")</f>
      </c>
      <c r="C537" t="s" s="2">
        <v>15</v>
      </c>
      <c r="D537" t="s" s="2">
        <v>16</v>
      </c>
      <c r="E537" t="s" s="2">
        <v>17</v>
      </c>
      <c r="F537" t="s" s="2">
        <f>HYPERLINK("http://ts.21cn.com/tousu/show/id/1373563","http://ts.21cn.com/tousu/show/id/1373563")</f>
      </c>
      <c r="G537" t="s" s="2">
        <v>17</v>
      </c>
      <c r="H537" t="s" s="2">
        <v>19</v>
      </c>
      <c r="I537" t="s" s="2">
        <v>2135</v>
      </c>
      <c r="J537" t="s" s="2">
        <v>2136</v>
      </c>
      <c r="K537" t="s" s="2">
        <v>22</v>
      </c>
      <c r="L537" t="s" s="2">
        <v>22</v>
      </c>
      <c r="M537" t="s" s="2">
        <v>22</v>
      </c>
    </row>
    <row r="538" ht="25.0" customHeight="true">
      <c r="A538" t="s" s="2">
        <v>13</v>
      </c>
      <c r="B538" t="s" s="2">
        <f>HYPERLINK("http://ts.21cn.com/tousu/show/id/1373577","国美金融电话暴力催收")</f>
      </c>
      <c r="C538" t="s" s="2">
        <v>15</v>
      </c>
      <c r="D538" t="s" s="2">
        <v>16</v>
      </c>
      <c r="E538" t="s" s="2">
        <v>17</v>
      </c>
      <c r="F538" t="s" s="2">
        <f>HYPERLINK("http://ts.21cn.com/tousu/show/id/1373577","http://ts.21cn.com/tousu/show/id/1373577")</f>
      </c>
      <c r="G538" t="s" s="2">
        <v>17</v>
      </c>
      <c r="H538" t="s" s="2">
        <v>19</v>
      </c>
      <c r="I538" t="s" s="2">
        <v>2139</v>
      </c>
      <c r="J538" t="s" s="2">
        <v>2140</v>
      </c>
      <c r="K538" t="s" s="2">
        <v>22</v>
      </c>
      <c r="L538" t="s" s="2">
        <v>22</v>
      </c>
      <c r="M538" t="s" s="2">
        <v>22</v>
      </c>
    </row>
    <row r="539" ht="25.0" customHeight="true">
      <c r="A539" t="s" s="2">
        <v>13</v>
      </c>
      <c r="B539" t="s" s="2">
        <f>HYPERLINK("http://ts.21cn.com/tousu/show/id/1373575","被骚扰恐吓")</f>
      </c>
      <c r="C539" t="s" s="2">
        <v>15</v>
      </c>
      <c r="D539" t="s" s="2">
        <v>16</v>
      </c>
      <c r="E539" t="s" s="2">
        <v>17</v>
      </c>
      <c r="F539" t="s" s="2">
        <f>HYPERLINK("http://ts.21cn.com/tousu/show/id/1373575","http://ts.21cn.com/tousu/show/id/1373575")</f>
      </c>
      <c r="G539" t="s" s="2">
        <v>17</v>
      </c>
      <c r="H539" t="s" s="2">
        <v>19</v>
      </c>
      <c r="I539" t="s" s="2">
        <v>2143</v>
      </c>
      <c r="J539" t="s" s="2">
        <v>2144</v>
      </c>
      <c r="K539" t="s" s="2">
        <v>22</v>
      </c>
      <c r="L539" t="s" s="2">
        <v>22</v>
      </c>
      <c r="M539" t="s" s="2">
        <v>22</v>
      </c>
    </row>
    <row r="540" ht="25.0" customHeight="true">
      <c r="A540" t="s" s="2">
        <v>13</v>
      </c>
      <c r="B540" t="s" s="2">
        <f>HYPERLINK("http://ts.21cn.com/tousu/show/id/1373574","高利贷51人品贷暴力催收")</f>
      </c>
      <c r="C540" t="s" s="2">
        <v>15</v>
      </c>
      <c r="D540" t="s" s="2">
        <v>16</v>
      </c>
      <c r="E540" t="s" s="2">
        <v>17</v>
      </c>
      <c r="F540" t="s" s="2">
        <f>HYPERLINK("http://ts.21cn.com/tousu/show/id/1373574","http://ts.21cn.com/tousu/show/id/1373574")</f>
      </c>
      <c r="G540" t="s" s="2">
        <v>17</v>
      </c>
      <c r="H540" t="s" s="2">
        <v>19</v>
      </c>
      <c r="I540" t="s" s="2">
        <v>2147</v>
      </c>
      <c r="J540" t="s" s="2">
        <v>2148</v>
      </c>
      <c r="K540" t="s" s="2">
        <v>22</v>
      </c>
      <c r="L540" t="s" s="2">
        <v>22</v>
      </c>
      <c r="M540" t="s" s="2">
        <v>22</v>
      </c>
    </row>
    <row r="541" ht="25.0" customHeight="true">
      <c r="A541" t="s" s="2">
        <v>13</v>
      </c>
      <c r="B541" t="s" s="2">
        <f>HYPERLINK("http://ts.21cn.com/tousu/show/id/1373573","没下款就说交费，不交费也会产生利息，这都什么平台")</f>
      </c>
      <c r="C541" t="s" s="2">
        <v>15</v>
      </c>
      <c r="D541" t="s" s="2">
        <v>16</v>
      </c>
      <c r="E541" t="s" s="2">
        <v>17</v>
      </c>
      <c r="F541" t="s" s="2">
        <f>HYPERLINK("http://ts.21cn.com/tousu/show/id/1373573","http://ts.21cn.com/tousu/show/id/1373573")</f>
      </c>
      <c r="G541" t="s" s="2">
        <v>17</v>
      </c>
      <c r="H541" t="s" s="2">
        <v>19</v>
      </c>
      <c r="I541" t="s" s="2">
        <v>2151</v>
      </c>
      <c r="J541" t="s" s="2">
        <v>2152</v>
      </c>
      <c r="K541" t="s" s="2">
        <v>22</v>
      </c>
      <c r="L541" t="s" s="2">
        <v>22</v>
      </c>
      <c r="M541" t="s" s="2">
        <v>22</v>
      </c>
    </row>
    <row r="542" ht="25.0" customHeight="true">
      <c r="A542" t="s" s="2">
        <v>13</v>
      </c>
      <c r="B542" t="s" s="2">
        <f>HYPERLINK("http://ts.21cn.com/tousu/show/id/1373572","优信二手车套路贷")</f>
      </c>
      <c r="C542" t="s" s="2">
        <v>15</v>
      </c>
      <c r="D542" t="s" s="2">
        <v>16</v>
      </c>
      <c r="E542" t="s" s="2">
        <v>17</v>
      </c>
      <c r="F542" t="s" s="2">
        <f>HYPERLINK("http://ts.21cn.com/tousu/show/id/1373572","http://ts.21cn.com/tousu/show/id/1373572")</f>
      </c>
      <c r="G542" t="s" s="2">
        <v>17</v>
      </c>
      <c r="H542" t="s" s="2">
        <v>19</v>
      </c>
      <c r="I542" t="s" s="2">
        <v>2155</v>
      </c>
      <c r="J542" t="s" s="2">
        <v>2156</v>
      </c>
      <c r="K542" t="s" s="2">
        <v>22</v>
      </c>
      <c r="L542" t="s" s="2">
        <v>22</v>
      </c>
      <c r="M542" t="s" s="2">
        <v>22</v>
      </c>
    </row>
    <row r="543" ht="25.0" customHeight="true">
      <c r="A543" t="s" s="2">
        <v>13</v>
      </c>
      <c r="B543" t="s" s="2">
        <f>HYPERLINK("http://ts.21cn.com/tousu/show/id/1373570","牛牛贷高利贷  本人只能还款本金")</f>
      </c>
      <c r="C543" t="s" s="2">
        <v>15</v>
      </c>
      <c r="D543" t="s" s="2">
        <v>16</v>
      </c>
      <c r="E543" t="s" s="2">
        <v>17</v>
      </c>
      <c r="F543" t="s" s="2">
        <f>HYPERLINK("http://ts.21cn.com/tousu/show/id/1373570","http://ts.21cn.com/tousu/show/id/1373570")</f>
      </c>
      <c r="G543" t="s" s="2">
        <v>17</v>
      </c>
      <c r="H543" t="s" s="2">
        <v>19</v>
      </c>
      <c r="I543" t="s" s="2">
        <v>2159</v>
      </c>
      <c r="J543" t="s" s="2">
        <v>2160</v>
      </c>
      <c r="K543" t="s" s="2">
        <v>22</v>
      </c>
      <c r="L543" t="s" s="2">
        <v>22</v>
      </c>
      <c r="M543" t="s" s="2">
        <v>22</v>
      </c>
    </row>
    <row r="544" ht="25.0" customHeight="true">
      <c r="A544" t="s" s="2">
        <v>13</v>
      </c>
      <c r="B544" t="s" s="2">
        <f>HYPERLINK("http://ts.21cn.com/tousu/show/id/1373571","你我贷协商还款")</f>
      </c>
      <c r="C544" t="s" s="2">
        <v>15</v>
      </c>
      <c r="D544" t="s" s="2">
        <v>16</v>
      </c>
      <c r="E544" t="s" s="2">
        <v>17</v>
      </c>
      <c r="F544" t="s" s="2">
        <f>HYPERLINK("http://ts.21cn.com/tousu/show/id/1373571","http://ts.21cn.com/tousu/show/id/1373571")</f>
      </c>
      <c r="G544" t="s" s="2">
        <v>17</v>
      </c>
      <c r="H544" t="s" s="2">
        <v>19</v>
      </c>
      <c r="I544" t="s" s="2">
        <v>2163</v>
      </c>
      <c r="J544" t="s" s="2">
        <v>2164</v>
      </c>
      <c r="K544" t="s" s="2">
        <v>22</v>
      </c>
      <c r="L544" t="s" s="2">
        <v>22</v>
      </c>
      <c r="M544" t="s" s="2">
        <v>22</v>
      </c>
    </row>
    <row r="545" ht="25.0" customHeight="true">
      <c r="A545" t="s" s="2">
        <v>13</v>
      </c>
      <c r="B545" t="s" s="2">
        <f>HYPERLINK("http://ts.21cn.com/tousu/show/id/1373479","乱扣费未经同意划扣我卡里的钱")</f>
      </c>
      <c r="C545" t="s" s="2">
        <v>15</v>
      </c>
      <c r="D545" t="s" s="2">
        <v>16</v>
      </c>
      <c r="E545" t="s" s="2">
        <v>17</v>
      </c>
      <c r="F545" t="s" s="2">
        <f>HYPERLINK("http://ts.21cn.com/tousu/show/id/1373479","http://ts.21cn.com/tousu/show/id/1373479")</f>
      </c>
      <c r="G545" t="s" s="2">
        <v>17</v>
      </c>
      <c r="H545" t="s" s="2">
        <v>19</v>
      </c>
      <c r="I545" t="s" s="2">
        <v>2167</v>
      </c>
      <c r="J545" t="s" s="2">
        <v>2168</v>
      </c>
      <c r="K545" t="s" s="2">
        <v>22</v>
      </c>
      <c r="L545" t="s" s="2">
        <v>22</v>
      </c>
      <c r="M545" t="s" s="2">
        <v>22</v>
      </c>
    </row>
    <row r="546" ht="25.0" customHeight="true">
      <c r="A546" t="s" s="2">
        <v>13</v>
      </c>
      <c r="B546" t="s" s="2">
        <f>HYPERLINK("http://ts.21cn.com/tousu/show/id/1373569","买买乐购利息太高")</f>
      </c>
      <c r="C546" t="s" s="2">
        <v>15</v>
      </c>
      <c r="D546" t="s" s="2">
        <v>16</v>
      </c>
      <c r="E546" t="s" s="2">
        <v>17</v>
      </c>
      <c r="F546" t="s" s="2">
        <f>HYPERLINK("http://ts.21cn.com/tousu/show/id/1373569","http://ts.21cn.com/tousu/show/id/1373569")</f>
      </c>
      <c r="G546" t="s" s="2">
        <v>17</v>
      </c>
      <c r="H546" t="s" s="2">
        <v>19</v>
      </c>
      <c r="I546" t="s" s="2">
        <v>2171</v>
      </c>
      <c r="J546" t="s" s="2">
        <v>2172</v>
      </c>
      <c r="K546" t="s" s="2">
        <v>22</v>
      </c>
      <c r="L546" t="s" s="2">
        <v>22</v>
      </c>
      <c r="M546" t="s" s="2">
        <v>22</v>
      </c>
    </row>
    <row r="547" ht="25.0" customHeight="true">
      <c r="A547" t="s" s="2">
        <v>13</v>
      </c>
      <c r="B547" t="s" s="2">
        <f>HYPERLINK("http://ts.21cn.com/tousu/show/id/1373568","（特约）中兴付账户无故扣钱")</f>
      </c>
      <c r="C547" t="s" s="2">
        <v>52</v>
      </c>
      <c r="D547" t="s" s="2">
        <v>16</v>
      </c>
      <c r="E547" t="s" s="2">
        <v>17</v>
      </c>
      <c r="F547" t="s" s="2">
        <f>HYPERLINK("http://ts.21cn.com/tousu/show/id/1373568","http://ts.21cn.com/tousu/show/id/1373568")</f>
      </c>
      <c r="G547" t="s" s="2">
        <v>17</v>
      </c>
      <c r="H547" t="s" s="2">
        <v>19</v>
      </c>
      <c r="I547" t="s" s="2">
        <v>2175</v>
      </c>
      <c r="J547" t="s" s="2">
        <v>2176</v>
      </c>
      <c r="K547" t="s" s="2">
        <v>22</v>
      </c>
      <c r="L547" t="s" s="2">
        <v>22</v>
      </c>
      <c r="M547" t="s" s="2">
        <v>22</v>
      </c>
    </row>
    <row r="548" ht="25.0" customHeight="true">
      <c r="A548" t="s" s="2">
        <v>13</v>
      </c>
      <c r="B548" t="s" s="2">
        <f>HYPERLINK("http://ts.21cn.com/tousu/show/id/1373566","利息高")</f>
      </c>
      <c r="C548" t="s" s="2">
        <v>15</v>
      </c>
      <c r="D548" t="s" s="2">
        <v>16</v>
      </c>
      <c r="E548" t="s" s="2">
        <v>17</v>
      </c>
      <c r="F548" t="s" s="2">
        <f>HYPERLINK("http://ts.21cn.com/tousu/show/id/1373566","http://ts.21cn.com/tousu/show/id/1373566")</f>
      </c>
      <c r="G548" t="s" s="2">
        <v>17</v>
      </c>
      <c r="H548" t="s" s="2">
        <v>19</v>
      </c>
      <c r="I548" t="s" s="2">
        <v>2179</v>
      </c>
      <c r="J548" t="s" s="2">
        <v>2180</v>
      </c>
      <c r="K548" t="s" s="2">
        <v>22</v>
      </c>
      <c r="L548" t="s" s="2">
        <v>22</v>
      </c>
      <c r="M548" t="s" s="2">
        <v>22</v>
      </c>
    </row>
    <row r="549" ht="25.0" customHeight="true">
      <c r="A549" t="s" s="2">
        <v>13</v>
      </c>
      <c r="B549" t="s" s="2">
        <f>HYPERLINK("http://ts.21cn.com/tousu/show/id/1373567","暴力催收、高利息、泄露个人隐私通信")</f>
      </c>
      <c r="C549" t="s" s="2">
        <v>15</v>
      </c>
      <c r="D549" t="s" s="2">
        <v>16</v>
      </c>
      <c r="E549" t="s" s="2">
        <v>17</v>
      </c>
      <c r="F549" t="s" s="2">
        <f>HYPERLINK("http://ts.21cn.com/tousu/show/id/1373567","http://ts.21cn.com/tousu/show/id/1373567")</f>
      </c>
      <c r="G549" t="s" s="2">
        <v>17</v>
      </c>
      <c r="H549" t="s" s="2">
        <v>19</v>
      </c>
      <c r="I549" t="s" s="2">
        <v>2183</v>
      </c>
      <c r="J549" t="s" s="2">
        <v>2184</v>
      </c>
      <c r="K549" t="s" s="2">
        <v>22</v>
      </c>
      <c r="L549" t="s" s="2">
        <v>22</v>
      </c>
      <c r="M549" t="s" s="2">
        <v>22</v>
      </c>
    </row>
    <row r="550" ht="25.0" customHeight="true">
      <c r="A550" t="s" s="2">
        <v>13</v>
      </c>
      <c r="B550" t="s" s="2">
        <f>HYPERLINK("http://ts.21cn.com/tousu/show/id/1373565","高额违约金1")</f>
      </c>
      <c r="C550" t="s" s="2">
        <v>15</v>
      </c>
      <c r="D550" t="s" s="2">
        <v>16</v>
      </c>
      <c r="E550" t="s" s="2">
        <v>17</v>
      </c>
      <c r="F550" t="s" s="2">
        <f>HYPERLINK("http://ts.21cn.com/tousu/show/id/1373565","http://ts.21cn.com/tousu/show/id/1373565")</f>
      </c>
      <c r="G550" t="s" s="2">
        <v>17</v>
      </c>
      <c r="H550" t="s" s="2">
        <v>19</v>
      </c>
      <c r="I550" t="s" s="2">
        <v>2187</v>
      </c>
      <c r="J550" t="s" s="2">
        <v>2188</v>
      </c>
      <c r="K550" t="s" s="2">
        <v>22</v>
      </c>
      <c r="L550" t="s" s="2">
        <v>22</v>
      </c>
      <c r="M550" t="s" s="2">
        <v>22</v>
      </c>
    </row>
    <row r="551" ht="25.0" customHeight="true">
      <c r="A551" t="s" s="2">
        <v>13</v>
      </c>
      <c r="B551" t="s" s="2">
        <f>HYPERLINK("http://ts.21cn.com/tousu/show/id/1373564","爆通讯录威胁恐吓言语辱骂")</f>
      </c>
      <c r="C551" t="s" s="2">
        <v>15</v>
      </c>
      <c r="D551" t="s" s="2">
        <v>16</v>
      </c>
      <c r="E551" t="s" s="2">
        <v>17</v>
      </c>
      <c r="F551" t="s" s="2">
        <f>HYPERLINK("http://ts.21cn.com/tousu/show/id/1373564","http://ts.21cn.com/tousu/show/id/1373564")</f>
      </c>
      <c r="G551" t="s" s="2">
        <v>17</v>
      </c>
      <c r="H551" t="s" s="2">
        <v>19</v>
      </c>
      <c r="I551" t="s" s="2">
        <v>2191</v>
      </c>
      <c r="J551" t="s" s="2">
        <v>2192</v>
      </c>
      <c r="K551" t="s" s="2">
        <v>22</v>
      </c>
      <c r="L551" t="s" s="2">
        <v>22</v>
      </c>
      <c r="M551" t="s" s="2">
        <v>22</v>
      </c>
    </row>
    <row r="552" ht="25.0" customHeight="true">
      <c r="A552" t="s" s="2">
        <v>13</v>
      </c>
      <c r="B552" t="s" s="2">
        <f>HYPERLINK("http://ts.21cn.com/tousu/show/id/1373562","拍拍贷随意骚扰通讯录威胁本人")</f>
      </c>
      <c r="C552" t="s" s="2">
        <v>15</v>
      </c>
      <c r="D552" t="s" s="2">
        <v>16</v>
      </c>
      <c r="E552" t="s" s="2">
        <v>17</v>
      </c>
      <c r="F552" t="s" s="2">
        <f>HYPERLINK("http://ts.21cn.com/tousu/show/id/1373562","http://ts.21cn.com/tousu/show/id/1373562")</f>
      </c>
      <c r="G552" t="s" s="2">
        <v>17</v>
      </c>
      <c r="H552" t="s" s="2">
        <v>19</v>
      </c>
      <c r="I552" t="s" s="2">
        <v>2195</v>
      </c>
      <c r="J552" t="s" s="2">
        <v>2196</v>
      </c>
      <c r="K552" t="s" s="2">
        <v>22</v>
      </c>
      <c r="L552" t="s" s="2">
        <v>22</v>
      </c>
      <c r="M552" t="s" s="2">
        <v>22</v>
      </c>
    </row>
    <row r="553" ht="25.0" customHeight="true">
      <c r="A553" t="s" s="2">
        <v>13</v>
      </c>
      <c r="B553" t="s" s="2">
        <f>HYPERLINK("http://ts.21cn.com/tousu/show/id/1373561","我来贷逾期利息高")</f>
      </c>
      <c r="C553" t="s" s="2">
        <v>52</v>
      </c>
      <c r="D553" t="s" s="2">
        <v>16</v>
      </c>
      <c r="E553" t="s" s="2">
        <v>17</v>
      </c>
      <c r="F553" t="s" s="2">
        <f>HYPERLINK("http://ts.21cn.com/tousu/show/id/1373561","http://ts.21cn.com/tousu/show/id/1373561")</f>
      </c>
      <c r="G553" t="s" s="2">
        <v>17</v>
      </c>
      <c r="H553" t="s" s="2">
        <v>19</v>
      </c>
      <c r="I553" t="s" s="2">
        <v>2199</v>
      </c>
      <c r="J553" t="s" s="2">
        <v>2200</v>
      </c>
      <c r="K553" t="s" s="2">
        <v>22</v>
      </c>
      <c r="L553" t="s" s="2">
        <v>22</v>
      </c>
      <c r="M553" t="s" s="2">
        <v>22</v>
      </c>
    </row>
    <row r="554" ht="25.0" customHeight="true">
      <c r="A554" t="s" s="2">
        <v>13</v>
      </c>
      <c r="B554" t="s" s="2">
        <f>HYPERLINK("http://ts.21cn.com/tousu/show/id/1373560","京东催收无底线，客服之前承诺分期")</f>
      </c>
      <c r="C554" t="s" s="2">
        <v>15</v>
      </c>
      <c r="D554" t="s" s="2">
        <v>16</v>
      </c>
      <c r="E554" t="s" s="2">
        <v>17</v>
      </c>
      <c r="F554" t="s" s="2">
        <f>HYPERLINK("http://ts.21cn.com/tousu/show/id/1373560","http://ts.21cn.com/tousu/show/id/1373560")</f>
      </c>
      <c r="G554" t="s" s="2">
        <v>17</v>
      </c>
      <c r="H554" t="s" s="2">
        <v>19</v>
      </c>
      <c r="I554" t="s" s="2">
        <v>2203</v>
      </c>
      <c r="J554" t="s" s="2">
        <v>2204</v>
      </c>
      <c r="K554" t="s" s="2">
        <v>22</v>
      </c>
      <c r="L554" t="s" s="2">
        <v>22</v>
      </c>
      <c r="M554" t="s" s="2">
        <v>22</v>
      </c>
    </row>
    <row r="555" ht="25.0" customHeight="true">
      <c r="A555" t="s" s="2">
        <v>13</v>
      </c>
      <c r="B555" t="s" s="2">
        <f>HYPERLINK("http://ts.21cn.com/tousu/show/id/1373559","信而富，不给协商还款")</f>
      </c>
      <c r="C555" t="s" s="2">
        <v>15</v>
      </c>
      <c r="D555" t="s" s="2">
        <v>16</v>
      </c>
      <c r="E555" t="s" s="2">
        <v>17</v>
      </c>
      <c r="F555" t="s" s="2">
        <f>HYPERLINK("http://ts.21cn.com/tousu/show/id/1373559","http://ts.21cn.com/tousu/show/id/1373559")</f>
      </c>
      <c r="G555" t="s" s="2">
        <v>17</v>
      </c>
      <c r="H555" t="s" s="2">
        <v>19</v>
      </c>
      <c r="I555" t="s" s="2">
        <v>2207</v>
      </c>
      <c r="J555" t="s" s="2">
        <v>2208</v>
      </c>
      <c r="K555" t="s" s="2">
        <v>22</v>
      </c>
      <c r="L555" t="s" s="2">
        <v>22</v>
      </c>
      <c r="M555" t="s" s="2">
        <v>22</v>
      </c>
    </row>
    <row r="556" ht="25.0" customHeight="true">
      <c r="A556" t="s" s="2">
        <v>13</v>
      </c>
      <c r="B556" t="s" s="2">
        <f>HYPERLINK("http://ts.21cn.com/tousu/show/id/1373558","51即刻有，暴力催收，恶意泄露欠款人隐私，涉及违法！")</f>
      </c>
      <c r="C556" t="s" s="2">
        <v>15</v>
      </c>
      <c r="D556" t="s" s="2">
        <v>16</v>
      </c>
      <c r="E556" t="s" s="2">
        <v>17</v>
      </c>
      <c r="F556" t="s" s="2">
        <f>HYPERLINK("http://ts.21cn.com/tousu/show/id/1373558","http://ts.21cn.com/tousu/show/id/1373558")</f>
      </c>
      <c r="G556" t="s" s="2">
        <v>17</v>
      </c>
      <c r="H556" t="s" s="2">
        <v>19</v>
      </c>
      <c r="I556" t="s" s="2">
        <v>2211</v>
      </c>
      <c r="J556" t="s" s="2">
        <v>2212</v>
      </c>
      <c r="K556" t="s" s="2">
        <v>22</v>
      </c>
      <c r="L556" t="s" s="2">
        <v>22</v>
      </c>
      <c r="M556" t="s" s="2">
        <v>22</v>
      </c>
    </row>
    <row r="557" ht="25.0" customHeight="true">
      <c r="A557" t="s" s="2">
        <v>13</v>
      </c>
      <c r="B557" t="s" s="2">
        <f>HYPERLINK("http://ts.21cn.com/tousu/show/id/1373556","恒丰银行和爱又米联合放高利贷")</f>
      </c>
      <c r="C557" t="s" s="2">
        <v>15</v>
      </c>
      <c r="D557" t="s" s="2">
        <v>16</v>
      </c>
      <c r="E557" t="s" s="2">
        <v>17</v>
      </c>
      <c r="F557" t="s" s="2">
        <f>HYPERLINK("http://ts.21cn.com/tousu/show/id/1373556","http://ts.21cn.com/tousu/show/id/1373556")</f>
      </c>
      <c r="G557" t="s" s="2">
        <v>17</v>
      </c>
      <c r="H557" t="s" s="2">
        <v>19</v>
      </c>
      <c r="I557" t="s" s="2">
        <v>2215</v>
      </c>
      <c r="J557" t="s" s="2">
        <v>2216</v>
      </c>
      <c r="K557" t="s" s="2">
        <v>22</v>
      </c>
      <c r="L557" t="s" s="2">
        <v>22</v>
      </c>
      <c r="M557" t="s" s="2">
        <v>22</v>
      </c>
    </row>
    <row r="558" ht="25.0" customHeight="true">
      <c r="A558" t="s" s="2">
        <v>13</v>
      </c>
      <c r="B558" t="s" s="2">
        <f>HYPERLINK("http://ts.21cn.com/tousu/show/id/1373557","迅捷视频转换器转换不了视频")</f>
      </c>
      <c r="C558" t="s" s="2">
        <v>52</v>
      </c>
      <c r="D558" t="s" s="2">
        <v>16</v>
      </c>
      <c r="E558" t="s" s="2">
        <v>17</v>
      </c>
      <c r="F558" t="s" s="2">
        <f>HYPERLINK("http://ts.21cn.com/tousu/show/id/1373557","http://ts.21cn.com/tousu/show/id/1373557")</f>
      </c>
      <c r="G558" t="s" s="2">
        <v>17</v>
      </c>
      <c r="H558" t="s" s="2">
        <v>19</v>
      </c>
      <c r="I558" t="s" s="2">
        <v>2219</v>
      </c>
      <c r="J558" t="s" s="2">
        <v>2220</v>
      </c>
      <c r="K558" t="s" s="2">
        <v>22</v>
      </c>
      <c r="L558" t="s" s="2">
        <v>22</v>
      </c>
      <c r="M558" t="s" s="2">
        <v>22</v>
      </c>
    </row>
    <row r="559" ht="25.0" customHeight="true">
      <c r="A559" t="s" s="2">
        <v>13</v>
      </c>
      <c r="B559" t="s" s="2">
        <f>HYPERLINK("http://ts.21cn.com/tousu/show/id/1373555","乱扣费要求退款")</f>
      </c>
      <c r="C559" t="s" s="2">
        <v>15</v>
      </c>
      <c r="D559" t="s" s="2">
        <v>16</v>
      </c>
      <c r="E559" t="s" s="2">
        <v>17</v>
      </c>
      <c r="F559" t="s" s="2">
        <f>HYPERLINK("http://ts.21cn.com/tousu/show/id/1373555","http://ts.21cn.com/tousu/show/id/1373555")</f>
      </c>
      <c r="G559" t="s" s="2">
        <v>17</v>
      </c>
      <c r="H559" t="s" s="2">
        <v>19</v>
      </c>
      <c r="I559" t="s" s="2">
        <v>2223</v>
      </c>
      <c r="J559" t="s" s="2">
        <v>2224</v>
      </c>
      <c r="K559" t="s" s="2">
        <v>22</v>
      </c>
      <c r="L559" t="s" s="2">
        <v>22</v>
      </c>
      <c r="M559" t="s" s="2">
        <v>22</v>
      </c>
    </row>
    <row r="560" ht="25.0" customHeight="true">
      <c r="A560" t="s" s="2">
        <v>13</v>
      </c>
      <c r="B560" t="s" s="2">
        <f>HYPERLINK("http://ts.21cn.com/tousu/show/id/1373502","钱站高利贷")</f>
      </c>
      <c r="C560" t="s" s="2">
        <v>15</v>
      </c>
      <c r="D560" t="s" s="2">
        <v>16</v>
      </c>
      <c r="E560" t="s" s="2">
        <v>17</v>
      </c>
      <c r="F560" t="s" s="2">
        <f>HYPERLINK("http://ts.21cn.com/tousu/show/id/1373502","http://ts.21cn.com/tousu/show/id/1373502")</f>
      </c>
      <c r="G560" t="s" s="2">
        <v>17</v>
      </c>
      <c r="H560" t="s" s="2">
        <v>19</v>
      </c>
      <c r="I560" t="s" s="2">
        <v>2226</v>
      </c>
      <c r="J560" t="s" s="2">
        <v>2227</v>
      </c>
      <c r="K560" t="s" s="2">
        <v>22</v>
      </c>
      <c r="L560" t="s" s="2">
        <v>22</v>
      </c>
      <c r="M560" t="s" s="2">
        <v>22</v>
      </c>
    </row>
    <row r="561" ht="25.0" customHeight="true">
      <c r="A561" t="s" s="2">
        <v>13</v>
      </c>
      <c r="B561" t="s" s="2">
        <f>HYPERLINK("http://ts.21cn.com/tousu/show/id/1373553","My钱包贷款利息不合法")</f>
      </c>
      <c r="C561" t="s" s="2">
        <v>15</v>
      </c>
      <c r="D561" t="s" s="2">
        <v>16</v>
      </c>
      <c r="E561" t="s" s="2">
        <v>17</v>
      </c>
      <c r="F561" t="s" s="2">
        <f>HYPERLINK("http://ts.21cn.com/tousu/show/id/1373553","http://ts.21cn.com/tousu/show/id/1373553")</f>
      </c>
      <c r="G561" t="s" s="2">
        <v>17</v>
      </c>
      <c r="H561" t="s" s="2">
        <v>19</v>
      </c>
      <c r="I561" t="s" s="2">
        <v>2230</v>
      </c>
      <c r="J561" t="s" s="2">
        <v>2231</v>
      </c>
      <c r="K561" t="s" s="2">
        <v>22</v>
      </c>
      <c r="L561" t="s" s="2">
        <v>22</v>
      </c>
      <c r="M561" t="s" s="2">
        <v>22</v>
      </c>
    </row>
    <row r="562" ht="25.0" customHeight="true">
      <c r="A562" t="s" s="2">
        <v>13</v>
      </c>
      <c r="B562" t="s" s="2">
        <f>HYPERLINK("http://ts.21cn.com/tousu/show/id/1373552","富友支付协助高利贷做第三方支付引流")</f>
      </c>
      <c r="C562" t="s" s="2">
        <v>15</v>
      </c>
      <c r="D562" t="s" s="2">
        <v>16</v>
      </c>
      <c r="E562" t="s" s="2">
        <v>17</v>
      </c>
      <c r="F562" t="s" s="2">
        <f>HYPERLINK("http://ts.21cn.com/tousu/show/id/1373552","http://ts.21cn.com/tousu/show/id/1373552")</f>
      </c>
      <c r="G562" t="s" s="2">
        <v>17</v>
      </c>
      <c r="H562" t="s" s="2">
        <v>19</v>
      </c>
      <c r="I562" t="s" s="2">
        <v>2234</v>
      </c>
      <c r="J562" t="s" s="2">
        <v>2235</v>
      </c>
      <c r="K562" t="s" s="2">
        <v>22</v>
      </c>
      <c r="L562" t="s" s="2">
        <v>22</v>
      </c>
      <c r="M562" t="s" s="2">
        <v>22</v>
      </c>
    </row>
    <row r="563" ht="25.0" customHeight="true">
      <c r="A563" t="s" s="2">
        <v>13</v>
      </c>
      <c r="B563" t="s" s="2">
        <f>HYPERLINK("http://ts.21cn.com/tousu/show/id/1373551","蜜瓜钱包汇潮支付714高炮")</f>
      </c>
      <c r="C563" t="s" s="2">
        <v>15</v>
      </c>
      <c r="D563" t="s" s="2">
        <v>16</v>
      </c>
      <c r="E563" t="s" s="2">
        <v>17</v>
      </c>
      <c r="F563" t="s" s="2">
        <f>HYPERLINK("http://ts.21cn.com/tousu/show/id/1373551","http://ts.21cn.com/tousu/show/id/1373551")</f>
      </c>
      <c r="G563" t="s" s="2">
        <v>17</v>
      </c>
      <c r="H563" t="s" s="2">
        <v>19</v>
      </c>
      <c r="I563" t="s" s="2">
        <v>2238</v>
      </c>
      <c r="J563" t="s" s="2">
        <v>2239</v>
      </c>
      <c r="K563" t="s" s="2">
        <v>22</v>
      </c>
      <c r="L563" t="s" s="2">
        <v>22</v>
      </c>
      <c r="M563" t="s" s="2">
        <v>22</v>
      </c>
    </row>
    <row r="564" ht="25.0" customHeight="true">
      <c r="A564" t="s" s="2">
        <v>13</v>
      </c>
      <c r="B564" t="s" s="2">
        <f>HYPERLINK("http://ts.21cn.com/tousu/show/id/1373550","新浪微博借钱存在欺诈借款人的行为")</f>
      </c>
      <c r="C564" t="s" s="2">
        <v>15</v>
      </c>
      <c r="D564" t="s" s="2">
        <v>16</v>
      </c>
      <c r="E564" t="s" s="2">
        <v>17</v>
      </c>
      <c r="F564" t="s" s="2">
        <f>HYPERLINK("http://ts.21cn.com/tousu/show/id/1373550","http://ts.21cn.com/tousu/show/id/1373550")</f>
      </c>
      <c r="G564" t="s" s="2">
        <v>17</v>
      </c>
      <c r="H564" t="s" s="2">
        <v>19</v>
      </c>
      <c r="I564" t="s" s="2">
        <v>2242</v>
      </c>
      <c r="J564" t="s" s="2">
        <v>2243</v>
      </c>
      <c r="K564" t="s" s="2">
        <v>22</v>
      </c>
      <c r="L564" t="s" s="2">
        <v>22</v>
      </c>
      <c r="M564" t="s" s="2">
        <v>22</v>
      </c>
    </row>
    <row r="565" ht="25.0" customHeight="true">
      <c r="A565" t="s" s="2">
        <v>13</v>
      </c>
      <c r="B565" t="s" s="2">
        <f>HYPERLINK("http://ts.21cn.com/tousu/show/id/1373549","贷上钱暴力催收恐吓")</f>
      </c>
      <c r="C565" t="s" s="2">
        <v>15</v>
      </c>
      <c r="D565" t="s" s="2">
        <v>16</v>
      </c>
      <c r="E565" t="s" s="2">
        <v>17</v>
      </c>
      <c r="F565" t="s" s="2">
        <f>HYPERLINK("http://ts.21cn.com/tousu/show/id/1373549","http://ts.21cn.com/tousu/show/id/1373549")</f>
      </c>
      <c r="G565" t="s" s="2">
        <v>17</v>
      </c>
      <c r="H565" t="s" s="2">
        <v>19</v>
      </c>
      <c r="I565" t="s" s="2">
        <v>2246</v>
      </c>
      <c r="J565" t="s" s="2">
        <v>2247</v>
      </c>
      <c r="K565" t="s" s="2">
        <v>22</v>
      </c>
      <c r="L565" t="s" s="2">
        <v>22</v>
      </c>
      <c r="M565" t="s" s="2">
        <v>22</v>
      </c>
    </row>
    <row r="566" ht="25.0" customHeight="true">
      <c r="A566" t="s" s="2">
        <v>13</v>
      </c>
      <c r="B566" t="s" s="2">
        <f>HYPERLINK("http://ts.21cn.com/tousu/show/id/1373547","714高炮")</f>
      </c>
      <c r="C566" t="s" s="2">
        <v>15</v>
      </c>
      <c r="D566" t="s" s="2">
        <v>16</v>
      </c>
      <c r="E566" t="s" s="2">
        <v>17</v>
      </c>
      <c r="F566" t="s" s="2">
        <f>HYPERLINK("http://ts.21cn.com/tousu/show/id/1373547","http://ts.21cn.com/tousu/show/id/1373547")</f>
      </c>
      <c r="G566" t="s" s="2">
        <v>17</v>
      </c>
      <c r="H566" t="s" s="2">
        <v>19</v>
      </c>
      <c r="I566" t="s" s="2">
        <v>2250</v>
      </c>
      <c r="J566" t="s" s="2">
        <v>2251</v>
      </c>
      <c r="K566" t="s" s="2">
        <v>22</v>
      </c>
      <c r="L566" t="s" s="2">
        <v>22</v>
      </c>
      <c r="M566" t="s" s="2">
        <v>22</v>
      </c>
    </row>
    <row r="567" ht="25.0" customHeight="true">
      <c r="A567" t="s" s="2">
        <v>13</v>
      </c>
      <c r="B567" t="s" s="2">
        <f>HYPERLINK("http://ts.21cn.com/tousu/show/id/1373546","金鸡下蛋菜鸟有钱是懦夫")</f>
      </c>
      <c r="C567" t="s" s="2">
        <v>15</v>
      </c>
      <c r="D567" t="s" s="2">
        <v>16</v>
      </c>
      <c r="E567" t="s" s="2">
        <v>17</v>
      </c>
      <c r="F567" t="s" s="2">
        <f>HYPERLINK("http://ts.21cn.com/tousu/show/id/1373546","http://ts.21cn.com/tousu/show/id/1373546")</f>
      </c>
      <c r="G567" t="s" s="2">
        <v>17</v>
      </c>
      <c r="H567" t="s" s="2">
        <v>19</v>
      </c>
      <c r="I567" t="s" s="2">
        <v>2254</v>
      </c>
      <c r="J567" t="s" s="2">
        <v>2255</v>
      </c>
      <c r="K567" t="s" s="2">
        <v>22</v>
      </c>
      <c r="L567" t="s" s="2">
        <v>22</v>
      </c>
      <c r="M567" t="s" s="2">
        <v>22</v>
      </c>
    </row>
    <row r="568" ht="25.0" customHeight="true">
      <c r="A568" t="s" s="2">
        <v>13</v>
      </c>
      <c r="B568" t="s" s="2">
        <f>HYPERLINK("http://ts.21cn.com/tousu/show/id/1373545","钱站注销账号要求身份证各种照片，非法获取个人信息")</f>
      </c>
      <c r="C568" t="s" s="2">
        <v>15</v>
      </c>
      <c r="D568" t="s" s="2">
        <v>16</v>
      </c>
      <c r="E568" t="s" s="2">
        <v>17</v>
      </c>
      <c r="F568" t="s" s="2">
        <f>HYPERLINK("http://ts.21cn.com/tousu/show/id/1373545","http://ts.21cn.com/tousu/show/id/1373545")</f>
      </c>
      <c r="G568" t="s" s="2">
        <v>17</v>
      </c>
      <c r="H568" t="s" s="2">
        <v>19</v>
      </c>
      <c r="I568" t="s" s="2">
        <v>2258</v>
      </c>
      <c r="J568" t="s" s="2">
        <v>2259</v>
      </c>
      <c r="K568" t="s" s="2">
        <v>22</v>
      </c>
      <c r="L568" t="s" s="2">
        <v>22</v>
      </c>
      <c r="M568" t="s" s="2">
        <v>22</v>
      </c>
    </row>
    <row r="569" ht="25.0" customHeight="true">
      <c r="A569" t="s" s="2">
        <v>13</v>
      </c>
      <c r="B569" t="s" s="2">
        <f>HYPERLINK("http://ts.21cn.com/tousu/show/id/1373544","招联金融催收暴力")</f>
      </c>
      <c r="C569" t="s" s="2">
        <v>15</v>
      </c>
      <c r="D569" t="s" s="2">
        <v>16</v>
      </c>
      <c r="E569" t="s" s="2">
        <v>17</v>
      </c>
      <c r="F569" t="s" s="2">
        <f>HYPERLINK("http://ts.21cn.com/tousu/show/id/1373544","http://ts.21cn.com/tousu/show/id/1373544")</f>
      </c>
      <c r="G569" t="s" s="2">
        <v>17</v>
      </c>
      <c r="H569" t="s" s="2">
        <v>19</v>
      </c>
      <c r="I569" t="s" s="2">
        <v>2262</v>
      </c>
      <c r="J569" t="s" s="2">
        <v>2263</v>
      </c>
      <c r="K569" t="s" s="2">
        <v>22</v>
      </c>
      <c r="L569" t="s" s="2">
        <v>22</v>
      </c>
      <c r="M569" t="s" s="2">
        <v>22</v>
      </c>
    </row>
    <row r="570" ht="25.0" customHeight="true">
      <c r="A570" t="s" s="2">
        <v>13</v>
      </c>
      <c r="B570" t="s" s="2">
        <f>HYPERLINK("http://ts.21cn.com/tousu/show/id/1373542","分期乐公司不经卡主同意，凌晨3点从卡主卡里扣款，卡主没有填写任何支付密码的情况下，私自扣款")</f>
      </c>
      <c r="C570" t="s" s="2">
        <v>15</v>
      </c>
      <c r="D570" t="s" s="2">
        <v>16</v>
      </c>
      <c r="E570" t="s" s="2">
        <v>17</v>
      </c>
      <c r="F570" t="s" s="2">
        <f>HYPERLINK("http://ts.21cn.com/tousu/show/id/1373542","http://ts.21cn.com/tousu/show/id/1373542")</f>
      </c>
      <c r="G570" t="s" s="2">
        <v>17</v>
      </c>
      <c r="H570" t="s" s="2">
        <v>19</v>
      </c>
      <c r="I570" t="s" s="2">
        <v>2266</v>
      </c>
      <c r="J570" t="s" s="2">
        <v>2267</v>
      </c>
      <c r="K570" t="s" s="2">
        <v>22</v>
      </c>
      <c r="L570" t="s" s="2">
        <v>22</v>
      </c>
      <c r="M570" t="s" s="2">
        <v>22</v>
      </c>
    </row>
    <row r="571" ht="25.0" customHeight="true">
      <c r="A571" t="s" s="2">
        <v>13</v>
      </c>
      <c r="B571" t="s" s="2">
        <f>HYPERLINK("http://ts.21cn.com/tousu/show/id/1373539","这是支付宝的坑还是网上零钱都有风险？")</f>
      </c>
      <c r="C571" t="s" s="2">
        <v>15</v>
      </c>
      <c r="D571" t="s" s="2">
        <v>16</v>
      </c>
      <c r="E571" t="s" s="2">
        <v>17</v>
      </c>
      <c r="F571" t="s" s="2">
        <f>HYPERLINK("http://ts.21cn.com/tousu/show/id/1373539","http://ts.21cn.com/tousu/show/id/1373539")</f>
      </c>
      <c r="G571" t="s" s="2">
        <v>17</v>
      </c>
      <c r="H571" t="s" s="2">
        <v>19</v>
      </c>
      <c r="I571" t="s" s="2">
        <v>2270</v>
      </c>
      <c r="J571" t="s" s="2">
        <v>2271</v>
      </c>
      <c r="K571" t="s" s="2">
        <v>22</v>
      </c>
      <c r="L571" t="s" s="2">
        <v>22</v>
      </c>
      <c r="M571" t="s" s="2">
        <v>22</v>
      </c>
    </row>
    <row r="572" ht="25.0" customHeight="true">
      <c r="A572" t="s" s="2">
        <v>13</v>
      </c>
      <c r="B572" t="s" s="2">
        <f>HYPERLINK("http://ts.21cn.com/tousu/show/id/1373541","拨打我亲朋好友的电话，给我的生活带来了严重的影响，")</f>
      </c>
      <c r="C572" t="s" s="2">
        <v>52</v>
      </c>
      <c r="D572" t="s" s="2">
        <v>16</v>
      </c>
      <c r="E572" t="s" s="2">
        <v>17</v>
      </c>
      <c r="F572" t="s" s="2">
        <f>HYPERLINK("http://ts.21cn.com/tousu/show/id/1373541","http://ts.21cn.com/tousu/show/id/1373541")</f>
      </c>
      <c r="G572" t="s" s="2">
        <v>17</v>
      </c>
      <c r="H572" t="s" s="2">
        <v>19</v>
      </c>
      <c r="I572" t="s" s="2">
        <v>2274</v>
      </c>
      <c r="J572" t="s" s="2">
        <v>2275</v>
      </c>
      <c r="K572" t="s" s="2">
        <v>22</v>
      </c>
      <c r="L572" t="s" s="2">
        <v>22</v>
      </c>
      <c r="M572" t="s" s="2">
        <v>22</v>
      </c>
    </row>
    <row r="573" ht="25.0" customHeight="true">
      <c r="A573" t="s" s="2">
        <v>13</v>
      </c>
      <c r="B573" t="s" s="2">
        <f>HYPERLINK("http://ts.21cn.com/tousu/show/id/1373538","催收不接受协商，说今天不处理后果自负")</f>
      </c>
      <c r="C573" t="s" s="2">
        <v>15</v>
      </c>
      <c r="D573" t="s" s="2">
        <v>16</v>
      </c>
      <c r="E573" t="s" s="2">
        <v>17</v>
      </c>
      <c r="F573" t="s" s="2">
        <f>HYPERLINK("http://ts.21cn.com/tousu/show/id/1373538","http://ts.21cn.com/tousu/show/id/1373538")</f>
      </c>
      <c r="G573" t="s" s="2">
        <v>17</v>
      </c>
      <c r="H573" t="s" s="2">
        <v>19</v>
      </c>
      <c r="I573" t="s" s="2">
        <v>2278</v>
      </c>
      <c r="J573" t="s" s="2">
        <v>2279</v>
      </c>
      <c r="K573" t="s" s="2">
        <v>22</v>
      </c>
      <c r="L573" t="s" s="2">
        <v>22</v>
      </c>
      <c r="M573" t="s" s="2">
        <v>22</v>
      </c>
    </row>
    <row r="574" ht="25.0" customHeight="true">
      <c r="A574" t="s" s="2">
        <v>13</v>
      </c>
      <c r="B574" t="s" s="2">
        <f>HYPERLINK("http://ts.21cn.com/tousu/show/id/1373537","信用卡第三方暴力催收恶意骚扰")</f>
      </c>
      <c r="C574" t="s" s="2">
        <v>15</v>
      </c>
      <c r="D574" t="s" s="2">
        <v>16</v>
      </c>
      <c r="E574" t="s" s="2">
        <v>17</v>
      </c>
      <c r="F574" t="s" s="2">
        <f>HYPERLINK("http://ts.21cn.com/tousu/show/id/1373537","http://ts.21cn.com/tousu/show/id/1373537")</f>
      </c>
      <c r="G574" t="s" s="2">
        <v>17</v>
      </c>
      <c r="H574" t="s" s="2">
        <v>19</v>
      </c>
      <c r="I574" t="s" s="2">
        <v>2282</v>
      </c>
      <c r="J574" t="s" s="2">
        <v>2283</v>
      </c>
      <c r="K574" t="s" s="2">
        <v>22</v>
      </c>
      <c r="L574" t="s" s="2">
        <v>22</v>
      </c>
      <c r="M574" t="s" s="2">
        <v>22</v>
      </c>
    </row>
    <row r="575" ht="25.0" customHeight="true">
      <c r="A575" t="s" s="2">
        <v>13</v>
      </c>
      <c r="B575" t="s" s="2">
        <f>HYPERLINK("http://ts.21cn.com/tousu/show/id/1373536","商家接单不配送害我中午吃不到饭")</f>
      </c>
      <c r="C575" t="s" s="2">
        <v>52</v>
      </c>
      <c r="D575" t="s" s="2">
        <v>16</v>
      </c>
      <c r="E575" t="s" s="2">
        <v>17</v>
      </c>
      <c r="F575" t="s" s="2">
        <f>HYPERLINK("http://ts.21cn.com/tousu/show/id/1373536","http://ts.21cn.com/tousu/show/id/1373536")</f>
      </c>
      <c r="G575" t="s" s="2">
        <v>17</v>
      </c>
      <c r="H575" t="s" s="2">
        <v>19</v>
      </c>
      <c r="I575" t="s" s="2">
        <v>2286</v>
      </c>
      <c r="J575" t="s" s="2">
        <v>2287</v>
      </c>
      <c r="K575" t="s" s="2">
        <v>22</v>
      </c>
      <c r="L575" t="s" s="2">
        <v>22</v>
      </c>
      <c r="M575" t="s" s="2">
        <v>22</v>
      </c>
    </row>
    <row r="576" ht="25.0" customHeight="true">
      <c r="A576" t="s" s="2">
        <v>13</v>
      </c>
      <c r="B576" t="s" s="2">
        <f>HYPERLINK("http://ts.21cn.com/tousu/show/id/1373535","逾期一天费用高达1200多")</f>
      </c>
      <c r="C576" t="s" s="2">
        <v>15</v>
      </c>
      <c r="D576" t="s" s="2">
        <v>16</v>
      </c>
      <c r="E576" t="s" s="2">
        <v>17</v>
      </c>
      <c r="F576" t="s" s="2">
        <f>HYPERLINK("http://ts.21cn.com/tousu/show/id/1373535","http://ts.21cn.com/tousu/show/id/1373535")</f>
      </c>
      <c r="G576" t="s" s="2">
        <v>17</v>
      </c>
      <c r="H576" t="s" s="2">
        <v>19</v>
      </c>
      <c r="I576" t="s" s="2">
        <v>2290</v>
      </c>
      <c r="J576" t="s" s="2">
        <v>2291</v>
      </c>
      <c r="K576" t="s" s="2">
        <v>22</v>
      </c>
      <c r="L576" t="s" s="2">
        <v>22</v>
      </c>
      <c r="M576" t="s" s="2">
        <v>22</v>
      </c>
    </row>
    <row r="577" ht="25.0" customHeight="true">
      <c r="A577" t="s" s="2">
        <v>13</v>
      </c>
      <c r="B577" t="s" s="2">
        <f>HYPERLINK("http://ts.21cn.com/tousu/show/id/1373534","闪电借款暴力催收，爆通讯录，侵犯个人隐私")</f>
      </c>
      <c r="C577" t="s" s="2">
        <v>15</v>
      </c>
      <c r="D577" t="s" s="2">
        <v>16</v>
      </c>
      <c r="E577" t="s" s="2">
        <v>17</v>
      </c>
      <c r="F577" t="s" s="2">
        <f>HYPERLINK("http://ts.21cn.com/tousu/show/id/1373534","http://ts.21cn.com/tousu/show/id/1373534")</f>
      </c>
      <c r="G577" t="s" s="2">
        <v>17</v>
      </c>
      <c r="H577" t="s" s="2">
        <v>19</v>
      </c>
      <c r="I577" t="s" s="2">
        <v>2294</v>
      </c>
      <c r="J577" t="s" s="2">
        <v>2295</v>
      </c>
      <c r="K577" t="s" s="2">
        <v>22</v>
      </c>
      <c r="L577" t="s" s="2">
        <v>22</v>
      </c>
      <c r="M577" t="s" s="2">
        <v>22</v>
      </c>
    </row>
    <row r="578" ht="25.0" customHeight="true">
      <c r="A578" t="s" s="2">
        <v>13</v>
      </c>
      <c r="B578" t="s" s="2">
        <f>HYPERLINK("http://ts.21cn.com/tousu/show/id/1373532","立借钱置宝高额逾期费")</f>
      </c>
      <c r="C578" t="s" s="2">
        <v>15</v>
      </c>
      <c r="D578" t="s" s="2">
        <v>16</v>
      </c>
      <c r="E578" t="s" s="2">
        <v>17</v>
      </c>
      <c r="F578" t="s" s="2">
        <f>HYPERLINK("http://ts.21cn.com/tousu/show/id/1373532","http://ts.21cn.com/tousu/show/id/1373532")</f>
      </c>
      <c r="G578" t="s" s="2">
        <v>17</v>
      </c>
      <c r="H578" t="s" s="2">
        <v>19</v>
      </c>
      <c r="I578" t="s" s="2">
        <v>2298</v>
      </c>
      <c r="J578" t="s" s="2">
        <v>2299</v>
      </c>
      <c r="K578" t="s" s="2">
        <v>22</v>
      </c>
      <c r="L578" t="s" s="2">
        <v>22</v>
      </c>
      <c r="M578" t="s" s="2">
        <v>22</v>
      </c>
    </row>
    <row r="579" ht="25.0" customHeight="true">
      <c r="A579" t="s" s="2">
        <v>13</v>
      </c>
      <c r="B579" t="s" s="2">
        <f>HYPERLINK("http://ts.21cn.com/tousu/show/id/1373531","信用卡利息")</f>
      </c>
      <c r="C579" t="s" s="2">
        <v>52</v>
      </c>
      <c r="D579" t="s" s="2">
        <v>16</v>
      </c>
      <c r="E579" t="s" s="2">
        <v>17</v>
      </c>
      <c r="F579" t="s" s="2">
        <f>HYPERLINK("http://ts.21cn.com/tousu/show/id/1373531","http://ts.21cn.com/tousu/show/id/1373531")</f>
      </c>
      <c r="G579" t="s" s="2">
        <v>17</v>
      </c>
      <c r="H579" t="s" s="2">
        <v>19</v>
      </c>
      <c r="I579" t="s" s="2">
        <v>2302</v>
      </c>
      <c r="J579" t="s" s="2">
        <v>2303</v>
      </c>
      <c r="K579" t="s" s="2">
        <v>22</v>
      </c>
      <c r="L579" t="s" s="2">
        <v>22</v>
      </c>
      <c r="M579" t="s" s="2">
        <v>22</v>
      </c>
    </row>
    <row r="580" ht="25.0" customHeight="true">
      <c r="A580" t="s" s="2">
        <v>13</v>
      </c>
      <c r="B580" t="s" s="2">
        <f>HYPERLINK("http://ts.21cn.com/tousu/show/id/1373530","招联金融恶意催收爆通讯录")</f>
      </c>
      <c r="C580" t="s" s="2">
        <v>15</v>
      </c>
      <c r="D580" t="s" s="2">
        <v>16</v>
      </c>
      <c r="E580" t="s" s="2">
        <v>17</v>
      </c>
      <c r="F580" t="s" s="2">
        <f>HYPERLINK("http://ts.21cn.com/tousu/show/id/1373530","http://ts.21cn.com/tousu/show/id/1373530")</f>
      </c>
      <c r="G580" t="s" s="2">
        <v>17</v>
      </c>
      <c r="H580" t="s" s="2">
        <v>19</v>
      </c>
      <c r="I580" t="s" s="2">
        <v>2306</v>
      </c>
      <c r="J580" t="s" s="2">
        <v>2307</v>
      </c>
      <c r="K580" t="s" s="2">
        <v>22</v>
      </c>
      <c r="L580" t="s" s="2">
        <v>22</v>
      </c>
      <c r="M580" t="s" s="2">
        <v>22</v>
      </c>
    </row>
    <row r="581" ht="25.0" customHeight="true">
      <c r="A581" t="s" s="2">
        <v>13</v>
      </c>
      <c r="B581" t="s" s="2">
        <f>HYPERLINK("http://ts.21cn.com/tousu/show/id/1373528","希望微博借钱电联我协商还款事宜")</f>
      </c>
      <c r="C581" t="s" s="2">
        <v>15</v>
      </c>
      <c r="D581" t="s" s="2">
        <v>16</v>
      </c>
      <c r="E581" t="s" s="2">
        <v>17</v>
      </c>
      <c r="F581" t="s" s="2">
        <f>HYPERLINK("http://ts.21cn.com/tousu/show/id/1373528","http://ts.21cn.com/tousu/show/id/1373528")</f>
      </c>
      <c r="G581" t="s" s="2">
        <v>17</v>
      </c>
      <c r="H581" t="s" s="2">
        <v>19</v>
      </c>
      <c r="I581" t="s" s="2">
        <v>2310</v>
      </c>
      <c r="J581" t="s" s="2">
        <v>2311</v>
      </c>
      <c r="K581" t="s" s="2">
        <v>22</v>
      </c>
      <c r="L581" t="s" s="2">
        <v>22</v>
      </c>
      <c r="M581" t="s" s="2">
        <v>22</v>
      </c>
    </row>
    <row r="582" ht="25.0" customHeight="true">
      <c r="A582" t="s" s="2">
        <v>13</v>
      </c>
      <c r="B582" t="s" s="2">
        <f>HYPERLINK("http://ts.21cn.com/tousu/show/id/1373527","用乐刷旗下的来付吧进行信用卡还款，显示还款失败，但是储蓄卡已经扣钱了")</f>
      </c>
      <c r="C582" t="s" s="2">
        <v>15</v>
      </c>
      <c r="D582" t="s" s="2">
        <v>16</v>
      </c>
      <c r="E582" t="s" s="2">
        <v>17</v>
      </c>
      <c r="F582" t="s" s="2">
        <f>HYPERLINK("http://ts.21cn.com/tousu/show/id/1373527","http://ts.21cn.com/tousu/show/id/1373527")</f>
      </c>
      <c r="G582" t="s" s="2">
        <v>17</v>
      </c>
      <c r="H582" t="s" s="2">
        <v>19</v>
      </c>
      <c r="I582" t="s" s="2">
        <v>2314</v>
      </c>
      <c r="J582" t="s" s="2">
        <v>2315</v>
      </c>
      <c r="K582" t="s" s="2">
        <v>22</v>
      </c>
      <c r="L582" t="s" s="2">
        <v>22</v>
      </c>
      <c r="M582" t="s" s="2">
        <v>22</v>
      </c>
    </row>
    <row r="583" ht="25.0" customHeight="true">
      <c r="A583" t="s" s="2">
        <v>13</v>
      </c>
      <c r="B583" t="s" s="2">
        <f>HYPERLINK("http://ts.21cn.com/tousu/show/id/1373525","立借借款平台利息高出国家法定标准")</f>
      </c>
      <c r="C583" t="s" s="2">
        <v>15</v>
      </c>
      <c r="D583" t="s" s="2">
        <v>16</v>
      </c>
      <c r="E583" t="s" s="2">
        <v>17</v>
      </c>
      <c r="F583" t="s" s="2">
        <f>HYPERLINK("http://ts.21cn.com/tousu/show/id/1373525","http://ts.21cn.com/tousu/show/id/1373525")</f>
      </c>
      <c r="G583" t="s" s="2">
        <v>17</v>
      </c>
      <c r="H583" t="s" s="2">
        <v>19</v>
      </c>
      <c r="I583" t="s" s="2">
        <v>2318</v>
      </c>
      <c r="J583" t="s" s="2">
        <v>2319</v>
      </c>
      <c r="K583" t="s" s="2">
        <v>22</v>
      </c>
      <c r="L583" t="s" s="2">
        <v>22</v>
      </c>
      <c r="M583" t="s" s="2">
        <v>22</v>
      </c>
    </row>
    <row r="584" ht="25.0" customHeight="true">
      <c r="A584" t="s" s="2">
        <v>13</v>
      </c>
      <c r="B584" t="s" s="2">
        <f>HYPERLINK("http://ts.21cn.com/tousu/show/id/1373524","微信正常收款支付账户却被永久限制，里面651多余额不能提现")</f>
      </c>
      <c r="C584" t="s" s="2">
        <v>15</v>
      </c>
      <c r="D584" t="s" s="2">
        <v>16</v>
      </c>
      <c r="E584" t="s" s="2">
        <v>17</v>
      </c>
      <c r="F584" t="s" s="2">
        <f>HYPERLINK("http://ts.21cn.com/tousu/show/id/1373524","http://ts.21cn.com/tousu/show/id/1373524")</f>
      </c>
      <c r="G584" t="s" s="2">
        <v>17</v>
      </c>
      <c r="H584" t="s" s="2">
        <v>19</v>
      </c>
      <c r="I584" t="s" s="2">
        <v>2318</v>
      </c>
      <c r="J584" t="s" s="2">
        <v>2322</v>
      </c>
      <c r="K584" t="s" s="2">
        <v>22</v>
      </c>
      <c r="L584" t="s" s="2">
        <v>22</v>
      </c>
      <c r="M584" t="s" s="2">
        <v>22</v>
      </c>
    </row>
    <row r="585" ht="25.0" customHeight="true">
      <c r="A585" t="s" s="2">
        <v>13</v>
      </c>
      <c r="B585" t="s" s="2">
        <f>HYPERLINK("http://ts.21cn.com/tousu/show/id/1373522","乐刷APPpos刷卡未到账")</f>
      </c>
      <c r="C585" t="s" s="2">
        <v>52</v>
      </c>
      <c r="D585" t="s" s="2">
        <v>16</v>
      </c>
      <c r="E585" t="s" s="2">
        <v>17</v>
      </c>
      <c r="F585" t="s" s="2">
        <f>HYPERLINK("http://ts.21cn.com/tousu/show/id/1373522","http://ts.21cn.com/tousu/show/id/1373522")</f>
      </c>
      <c r="G585" t="s" s="2">
        <v>17</v>
      </c>
      <c r="H585" t="s" s="2">
        <v>19</v>
      </c>
      <c r="I585" t="s" s="2">
        <v>2325</v>
      </c>
      <c r="J585" t="s" s="2">
        <v>2326</v>
      </c>
      <c r="K585" t="s" s="2">
        <v>22</v>
      </c>
      <c r="L585" t="s" s="2">
        <v>22</v>
      </c>
      <c r="M585" t="s" s="2">
        <v>22</v>
      </c>
    </row>
    <row r="586" ht="25.0" customHeight="true">
      <c r="A586" t="s" s="2">
        <v>13</v>
      </c>
      <c r="B586" t="s" s="2">
        <f>HYPERLINK("http://ts.21cn.com/tousu/show/id/1373521","玖富万卡高利贷使用阴阳合同手段恶劣")</f>
      </c>
      <c r="C586" t="s" s="2">
        <v>15</v>
      </c>
      <c r="D586" t="s" s="2">
        <v>16</v>
      </c>
      <c r="E586" t="s" s="2">
        <v>17</v>
      </c>
      <c r="F586" t="s" s="2">
        <f>HYPERLINK("http://ts.21cn.com/tousu/show/id/1373521","http://ts.21cn.com/tousu/show/id/1373521")</f>
      </c>
      <c r="G586" t="s" s="2">
        <v>17</v>
      </c>
      <c r="H586" t="s" s="2">
        <v>19</v>
      </c>
      <c r="I586" t="s" s="2">
        <v>2329</v>
      </c>
      <c r="J586" t="s" s="2">
        <v>2330</v>
      </c>
      <c r="K586" t="s" s="2">
        <v>22</v>
      </c>
      <c r="L586" t="s" s="2">
        <v>22</v>
      </c>
      <c r="M586" t="s" s="2">
        <v>22</v>
      </c>
    </row>
    <row r="587" ht="25.0" customHeight="true">
      <c r="A587" t="s" s="2">
        <v>13</v>
      </c>
      <c r="B587" t="s" s="2">
        <f>HYPERLINK("http://ts.21cn.com/tousu/show/id/1373519","小赢卡贷-无力偿还最后一期")</f>
      </c>
      <c r="C587" t="s" s="2">
        <v>15</v>
      </c>
      <c r="D587" t="s" s="2">
        <v>16</v>
      </c>
      <c r="E587" t="s" s="2">
        <v>17</v>
      </c>
      <c r="F587" t="s" s="2">
        <f>HYPERLINK("http://ts.21cn.com/tousu/show/id/1373519","http://ts.21cn.com/tousu/show/id/1373519")</f>
      </c>
      <c r="G587" t="s" s="2">
        <v>17</v>
      </c>
      <c r="H587" t="s" s="2">
        <v>19</v>
      </c>
      <c r="I587" t="s" s="2">
        <v>2333</v>
      </c>
      <c r="J587" t="s" s="2">
        <v>2334</v>
      </c>
      <c r="K587" t="s" s="2">
        <v>22</v>
      </c>
      <c r="L587" t="s" s="2">
        <v>22</v>
      </c>
      <c r="M587" t="s" s="2">
        <v>22</v>
      </c>
    </row>
    <row r="588" ht="25.0" customHeight="true">
      <c r="A588" t="s" s="2">
        <v>13</v>
      </c>
      <c r="B588" t="s" s="2">
        <f>HYPERLINK("http://ts.21cn.com/tousu/show/id/1373520","现金巴士高利贷砍头息")</f>
      </c>
      <c r="C588" t="s" s="2">
        <v>15</v>
      </c>
      <c r="D588" t="s" s="2">
        <v>16</v>
      </c>
      <c r="E588" t="s" s="2">
        <v>17</v>
      </c>
      <c r="F588" t="s" s="2">
        <f>HYPERLINK("http://ts.21cn.com/tousu/show/id/1373520","http://ts.21cn.com/tousu/show/id/1373520")</f>
      </c>
      <c r="G588" t="s" s="2">
        <v>17</v>
      </c>
      <c r="H588" t="s" s="2">
        <v>19</v>
      </c>
      <c r="I588" t="s" s="2">
        <v>2337</v>
      </c>
      <c r="J588" t="s" s="2">
        <v>2338</v>
      </c>
      <c r="K588" t="s" s="2">
        <v>22</v>
      </c>
      <c r="L588" t="s" s="2">
        <v>22</v>
      </c>
      <c r="M588" t="s" s="2">
        <v>22</v>
      </c>
    </row>
    <row r="589" ht="25.0" customHeight="true">
      <c r="A589" t="s" s="2">
        <v>13</v>
      </c>
      <c r="B589" t="s" s="2">
        <f>HYPERLINK("http://ts.21cn.com/tousu/show/id/1373518","女神派单方更改条款")</f>
      </c>
      <c r="C589" t="s" s="2">
        <v>15</v>
      </c>
      <c r="D589" t="s" s="2">
        <v>16</v>
      </c>
      <c r="E589" t="s" s="2">
        <v>17</v>
      </c>
      <c r="F589" t="s" s="2">
        <f>HYPERLINK("http://ts.21cn.com/tousu/show/id/1373518","http://ts.21cn.com/tousu/show/id/1373518")</f>
      </c>
      <c r="G589" t="s" s="2">
        <v>17</v>
      </c>
      <c r="H589" t="s" s="2">
        <v>19</v>
      </c>
      <c r="I589" t="s" s="2">
        <v>2341</v>
      </c>
      <c r="J589" t="s" s="2">
        <v>2342</v>
      </c>
      <c r="K589" t="s" s="2">
        <v>22</v>
      </c>
      <c r="L589" t="s" s="2">
        <v>22</v>
      </c>
      <c r="M589" t="s" s="2">
        <v>22</v>
      </c>
    </row>
    <row r="590" ht="25.0" customHeight="true">
      <c r="A590" t="s" s="2">
        <v>13</v>
      </c>
      <c r="B590" t="s" s="2">
        <f>HYPERLINK("http://ts.21cn.com/tousu/show/id/1373517","贷上钱以买游戏豆为由收取高额贷款通过费")</f>
      </c>
      <c r="C590" t="s" s="2">
        <v>15</v>
      </c>
      <c r="D590" t="s" s="2">
        <v>16</v>
      </c>
      <c r="E590" t="s" s="2">
        <v>17</v>
      </c>
      <c r="F590" t="s" s="2">
        <f>HYPERLINK("http://ts.21cn.com/tousu/show/id/1373517","http://ts.21cn.com/tousu/show/id/1373517")</f>
      </c>
      <c r="G590" t="s" s="2">
        <v>17</v>
      </c>
      <c r="H590" t="s" s="2">
        <v>19</v>
      </c>
      <c r="I590" t="s" s="2">
        <v>2345</v>
      </c>
      <c r="J590" t="s" s="2">
        <v>2346</v>
      </c>
      <c r="K590" t="s" s="2">
        <v>22</v>
      </c>
      <c r="L590" t="s" s="2">
        <v>22</v>
      </c>
      <c r="M590" t="s" s="2">
        <v>22</v>
      </c>
    </row>
    <row r="591" ht="25.0" customHeight="true">
      <c r="A591" t="s" s="2">
        <v>13</v>
      </c>
      <c r="B591" t="s" s="2">
        <f>HYPERLINK("http://ts.21cn.com/tousu/show/id/1373516","民生银行催收恐吓威胁")</f>
      </c>
      <c r="C591" t="s" s="2">
        <v>15</v>
      </c>
      <c r="D591" t="s" s="2">
        <v>16</v>
      </c>
      <c r="E591" t="s" s="2">
        <v>17</v>
      </c>
      <c r="F591" t="s" s="2">
        <f>HYPERLINK("http://ts.21cn.com/tousu/show/id/1373516","http://ts.21cn.com/tousu/show/id/1373516")</f>
      </c>
      <c r="G591" t="s" s="2">
        <v>17</v>
      </c>
      <c r="H591" t="s" s="2">
        <v>19</v>
      </c>
      <c r="I591" t="s" s="2">
        <v>2349</v>
      </c>
      <c r="J591" t="s" s="2">
        <v>2350</v>
      </c>
      <c r="K591" t="s" s="2">
        <v>22</v>
      </c>
      <c r="L591" t="s" s="2">
        <v>22</v>
      </c>
      <c r="M591" t="s" s="2">
        <v>22</v>
      </c>
    </row>
    <row r="592" ht="25.0" customHeight="true">
      <c r="A592" t="s" s="2">
        <v>13</v>
      </c>
      <c r="B592" t="s" s="2">
        <f>HYPERLINK("http://ts.21cn.com/tousu/show/id/1373515","优信二手车超期赔付未履行")</f>
      </c>
      <c r="C592" t="s" s="2">
        <v>52</v>
      </c>
      <c r="D592" t="s" s="2">
        <v>16</v>
      </c>
      <c r="E592" t="s" s="2">
        <v>17</v>
      </c>
      <c r="F592" t="s" s="2">
        <f>HYPERLINK("http://ts.21cn.com/tousu/show/id/1373515","http://ts.21cn.com/tousu/show/id/1373515")</f>
      </c>
      <c r="G592" t="s" s="2">
        <v>17</v>
      </c>
      <c r="H592" t="s" s="2">
        <v>19</v>
      </c>
      <c r="I592" t="s" s="2">
        <v>2353</v>
      </c>
      <c r="J592" t="s" s="2">
        <v>2354</v>
      </c>
      <c r="K592" t="s" s="2">
        <v>22</v>
      </c>
      <c r="L592" t="s" s="2">
        <v>22</v>
      </c>
      <c r="M592" t="s" s="2">
        <v>22</v>
      </c>
    </row>
    <row r="593" ht="25.0" customHeight="true">
      <c r="A593" t="s" s="2">
        <v>13</v>
      </c>
      <c r="B593" t="s" s="2">
        <f>HYPERLINK("http://ts.21cn.com/tousu/show/id/1373514","交易猫交易完成一年都不打款,后来说分润失败，更改支付宝也是分润失败")</f>
      </c>
      <c r="C593" t="s" s="2">
        <v>15</v>
      </c>
      <c r="D593" t="s" s="2">
        <v>16</v>
      </c>
      <c r="E593" t="s" s="2">
        <v>17</v>
      </c>
      <c r="F593" t="s" s="2">
        <f>HYPERLINK("http://ts.21cn.com/tousu/show/id/1373514","http://ts.21cn.com/tousu/show/id/1373514")</f>
      </c>
      <c r="G593" t="s" s="2">
        <v>17</v>
      </c>
      <c r="H593" t="s" s="2">
        <v>19</v>
      </c>
      <c r="I593" t="s" s="2">
        <v>2357</v>
      </c>
      <c r="J593" t="s" s="2">
        <v>2358</v>
      </c>
      <c r="K593" t="s" s="2">
        <v>22</v>
      </c>
      <c r="L593" t="s" s="2">
        <v>22</v>
      </c>
      <c r="M593" t="s" s="2">
        <v>22</v>
      </c>
    </row>
    <row r="594" ht="25.0" customHeight="true">
      <c r="A594" t="s" s="2">
        <v>13</v>
      </c>
      <c r="B594" t="s" s="2">
        <f>HYPERLINK("http://ts.21cn.com/tousu/show/id/1373512","小花钱包暴力催收恐吓，合同砍头息")</f>
      </c>
      <c r="C594" t="s" s="2">
        <v>15</v>
      </c>
      <c r="D594" t="s" s="2">
        <v>16</v>
      </c>
      <c r="E594" t="s" s="2">
        <v>17</v>
      </c>
      <c r="F594" t="s" s="2">
        <f>HYPERLINK("http://ts.21cn.com/tousu/show/id/1373512","http://ts.21cn.com/tousu/show/id/1373512")</f>
      </c>
      <c r="G594" t="s" s="2">
        <v>17</v>
      </c>
      <c r="H594" t="s" s="2">
        <v>19</v>
      </c>
      <c r="I594" t="s" s="2">
        <v>2361</v>
      </c>
      <c r="J594" t="s" s="2">
        <v>2362</v>
      </c>
      <c r="K594" t="s" s="2">
        <v>22</v>
      </c>
      <c r="L594" t="s" s="2">
        <v>22</v>
      </c>
      <c r="M594" t="s" s="2">
        <v>22</v>
      </c>
    </row>
    <row r="595" ht="25.0" customHeight="true">
      <c r="A595" t="s" s="2">
        <v>13</v>
      </c>
      <c r="B595" t="s" s="2">
        <f>HYPERLINK("http://ts.21cn.com/tousu/show/id/1373511","拍拍贷恐吓通讯录")</f>
      </c>
      <c r="C595" t="s" s="2">
        <v>15</v>
      </c>
      <c r="D595" t="s" s="2">
        <v>16</v>
      </c>
      <c r="E595" t="s" s="2">
        <v>17</v>
      </c>
      <c r="F595" t="s" s="2">
        <f>HYPERLINK("http://ts.21cn.com/tousu/show/id/1373511","http://ts.21cn.com/tousu/show/id/1373511")</f>
      </c>
      <c r="G595" t="s" s="2">
        <v>17</v>
      </c>
      <c r="H595" t="s" s="2">
        <v>19</v>
      </c>
      <c r="I595" t="s" s="2">
        <v>2365</v>
      </c>
      <c r="J595" t="s" s="2">
        <v>2366</v>
      </c>
      <c r="K595" t="s" s="2">
        <v>22</v>
      </c>
      <c r="L595" t="s" s="2">
        <v>22</v>
      </c>
      <c r="M595" t="s" s="2">
        <v>22</v>
      </c>
    </row>
    <row r="596" ht="25.0" customHeight="true">
      <c r="A596" t="s" s="2">
        <v>13</v>
      </c>
      <c r="B596" t="s" s="2">
        <f>HYPERLINK("http://ts.21cn.com/tousu/show/id/1373509","闪银暴力催收，骚扰通讯录无关人员，涉及违法！")</f>
      </c>
      <c r="C596" t="s" s="2">
        <v>15</v>
      </c>
      <c r="D596" t="s" s="2">
        <v>16</v>
      </c>
      <c r="E596" t="s" s="2">
        <v>17</v>
      </c>
      <c r="F596" t="s" s="2">
        <f>HYPERLINK("http://ts.21cn.com/tousu/show/id/1373509","http://ts.21cn.com/tousu/show/id/1373509")</f>
      </c>
      <c r="G596" t="s" s="2">
        <v>17</v>
      </c>
      <c r="H596" t="s" s="2">
        <v>19</v>
      </c>
      <c r="I596" t="s" s="2">
        <v>2369</v>
      </c>
      <c r="J596" t="s" s="2">
        <v>2370</v>
      </c>
      <c r="K596" t="s" s="2">
        <v>22</v>
      </c>
      <c r="L596" t="s" s="2">
        <v>22</v>
      </c>
      <c r="M596" t="s" s="2">
        <v>22</v>
      </c>
    </row>
    <row r="597" ht="25.0" customHeight="true">
      <c r="A597" t="s" s="2">
        <v>13</v>
      </c>
      <c r="B597" t="s" s="2">
        <f>HYPERLINK("http://ts.21cn.com/tousu/show/id/1373507","拍拍贷平台恐吓威胁暴力催收")</f>
      </c>
      <c r="C597" t="s" s="2">
        <v>15</v>
      </c>
      <c r="D597" t="s" s="2">
        <v>16</v>
      </c>
      <c r="E597" t="s" s="2">
        <v>17</v>
      </c>
      <c r="F597" t="s" s="2">
        <f>HYPERLINK("http://ts.21cn.com/tousu/show/id/1373507","http://ts.21cn.com/tousu/show/id/1373507")</f>
      </c>
      <c r="G597" t="s" s="2">
        <v>17</v>
      </c>
      <c r="H597" t="s" s="2">
        <v>19</v>
      </c>
      <c r="I597" t="s" s="2">
        <v>2373</v>
      </c>
      <c r="J597" t="s" s="2">
        <v>2374</v>
      </c>
      <c r="K597" t="s" s="2">
        <v>22</v>
      </c>
      <c r="L597" t="s" s="2">
        <v>22</v>
      </c>
      <c r="M597" t="s" s="2">
        <v>22</v>
      </c>
    </row>
    <row r="598" ht="25.0" customHeight="true">
      <c r="A598" t="s" s="2">
        <v>13</v>
      </c>
      <c r="B598" t="s" s="2">
        <f>HYPERLINK("http://ts.21cn.com/tousu/show/id/1373269","收取高额利息")</f>
      </c>
      <c r="C598" t="s" s="2">
        <v>15</v>
      </c>
      <c r="D598" t="s" s="2">
        <v>16</v>
      </c>
      <c r="E598" t="s" s="2">
        <v>17</v>
      </c>
      <c r="F598" t="s" s="2">
        <f>HYPERLINK("http://ts.21cn.com/tousu/show/id/1373269","http://ts.21cn.com/tousu/show/id/1373269")</f>
      </c>
      <c r="G598" t="s" s="2">
        <v>17</v>
      </c>
      <c r="H598" t="s" s="2">
        <v>19</v>
      </c>
      <c r="I598" t="s" s="2">
        <v>2377</v>
      </c>
      <c r="J598" t="s" s="2">
        <v>2378</v>
      </c>
      <c r="K598" t="s" s="2">
        <v>22</v>
      </c>
      <c r="L598" t="s" s="2">
        <v>22</v>
      </c>
      <c r="M598" t="s" s="2">
        <v>22</v>
      </c>
    </row>
    <row r="599" ht="25.0" customHeight="true">
      <c r="A599" t="s" s="2">
        <v>13</v>
      </c>
      <c r="B599" t="s" s="2">
        <f>HYPERLINK("http://ts.21cn.com/tousu/show/id/1373506","莫名其妙的任你花短信催收")</f>
      </c>
      <c r="C599" t="s" s="2">
        <v>15</v>
      </c>
      <c r="D599" t="s" s="2">
        <v>16</v>
      </c>
      <c r="E599" t="s" s="2">
        <v>17</v>
      </c>
      <c r="F599" t="s" s="2">
        <f>HYPERLINK("http://ts.21cn.com/tousu/show/id/1373506","http://ts.21cn.com/tousu/show/id/1373506")</f>
      </c>
      <c r="G599" t="s" s="2">
        <v>17</v>
      </c>
      <c r="H599" t="s" s="2">
        <v>19</v>
      </c>
      <c r="I599" t="s" s="2">
        <v>2381</v>
      </c>
      <c r="J599" t="s" s="2">
        <v>2382</v>
      </c>
      <c r="K599" t="s" s="2">
        <v>22</v>
      </c>
      <c r="L599" t="s" s="2">
        <v>22</v>
      </c>
      <c r="M599" t="s" s="2">
        <v>22</v>
      </c>
    </row>
    <row r="600" ht="25.0" customHeight="true">
      <c r="A600" t="s" s="2">
        <v>13</v>
      </c>
      <c r="B600" t="s" s="2">
        <f>HYPERLINK("http://ts.21cn.com/tousu/show/id/1373505","高利网贷无耻发短信辱骂通讯录")</f>
      </c>
      <c r="C600" t="s" s="2">
        <v>15</v>
      </c>
      <c r="D600" t="s" s="2">
        <v>16</v>
      </c>
      <c r="E600" t="s" s="2">
        <v>17</v>
      </c>
      <c r="F600" t="s" s="2">
        <f>HYPERLINK("http://ts.21cn.com/tousu/show/id/1373505","http://ts.21cn.com/tousu/show/id/1373505")</f>
      </c>
      <c r="G600" t="s" s="2">
        <v>17</v>
      </c>
      <c r="H600" t="s" s="2">
        <v>19</v>
      </c>
      <c r="I600" t="s" s="2">
        <v>2385</v>
      </c>
      <c r="J600" t="s" s="2">
        <v>2386</v>
      </c>
      <c r="K600" t="s" s="2">
        <v>22</v>
      </c>
      <c r="L600" t="s" s="2">
        <v>22</v>
      </c>
      <c r="M600" t="s" s="2">
        <v>22</v>
      </c>
    </row>
    <row r="601" ht="25.0" customHeight="true">
      <c r="A601" t="s" s="2">
        <v>13</v>
      </c>
      <c r="B601" t="s" s="2">
        <f>HYPERLINK("http://ts.21cn.com/tousu/show/id/1373504","维信卡卡贷涉嫌高利贷套路贷砍头息")</f>
      </c>
      <c r="C601" t="s" s="2">
        <v>15</v>
      </c>
      <c r="D601" t="s" s="2">
        <v>16</v>
      </c>
      <c r="E601" t="s" s="2">
        <v>17</v>
      </c>
      <c r="F601" t="s" s="2">
        <f>HYPERLINK("http://ts.21cn.com/tousu/show/id/1373504","http://ts.21cn.com/tousu/show/id/1373504")</f>
      </c>
      <c r="G601" t="s" s="2">
        <v>17</v>
      </c>
      <c r="H601" t="s" s="2">
        <v>19</v>
      </c>
      <c r="I601" t="s" s="2">
        <v>2389</v>
      </c>
      <c r="J601" t="s" s="2">
        <v>2390</v>
      </c>
      <c r="K601" t="s" s="2">
        <v>22</v>
      </c>
      <c r="L601" t="s" s="2">
        <v>22</v>
      </c>
      <c r="M601" t="s" s="2">
        <v>22</v>
      </c>
    </row>
    <row r="602" ht="25.0" customHeight="true">
      <c r="A602" t="s" s="2">
        <v>13</v>
      </c>
      <c r="B602" t="s" s="2">
        <f>HYPERLINK("http://ts.21cn.com/tousu/show/id/1373503","民航联盟忽悠机场旅客消费1480元办理会员卡")</f>
      </c>
      <c r="C602" t="s" s="2">
        <v>15</v>
      </c>
      <c r="D602" t="s" s="2">
        <v>16</v>
      </c>
      <c r="E602" t="s" s="2">
        <v>17</v>
      </c>
      <c r="F602" t="s" s="2">
        <f>HYPERLINK("http://ts.21cn.com/tousu/show/id/1373503","http://ts.21cn.com/tousu/show/id/1373503")</f>
      </c>
      <c r="G602" t="s" s="2">
        <v>17</v>
      </c>
      <c r="H602" t="s" s="2">
        <v>19</v>
      </c>
      <c r="I602" t="s" s="2">
        <v>2393</v>
      </c>
      <c r="J602" t="s" s="2">
        <v>2394</v>
      </c>
      <c r="K602" t="s" s="2">
        <v>22</v>
      </c>
      <c r="L602" t="s" s="2">
        <v>22</v>
      </c>
      <c r="M602" t="s" s="2">
        <v>22</v>
      </c>
    </row>
    <row r="603" ht="25.0" customHeight="true">
      <c r="A603" t="s" s="2">
        <v>13</v>
      </c>
      <c r="B603" t="s" s="2">
        <f>HYPERLINK("http://ts.21cn.com/tousu/show/id/1373501","滴滴出行随意扣分司机毫无人权")</f>
      </c>
      <c r="C603" t="s" s="2">
        <v>15</v>
      </c>
      <c r="D603" t="s" s="2">
        <v>16</v>
      </c>
      <c r="E603" t="s" s="2">
        <v>17</v>
      </c>
      <c r="F603" t="s" s="2">
        <f>HYPERLINK("http://ts.21cn.com/tousu/show/id/1373501","http://ts.21cn.com/tousu/show/id/1373501")</f>
      </c>
      <c r="G603" t="s" s="2">
        <v>17</v>
      </c>
      <c r="H603" t="s" s="2">
        <v>19</v>
      </c>
      <c r="I603" t="s" s="2">
        <v>2397</v>
      </c>
      <c r="J603" t="s" s="2">
        <v>2398</v>
      </c>
      <c r="K603" t="s" s="2">
        <v>22</v>
      </c>
      <c r="L603" t="s" s="2">
        <v>22</v>
      </c>
      <c r="M603" t="s" s="2">
        <v>22</v>
      </c>
    </row>
    <row r="604" ht="25.0" customHeight="true">
      <c r="A604" t="s" s="2">
        <v>13</v>
      </c>
      <c r="B604" t="s" s="2">
        <f>HYPERLINK("http://ts.21cn.com/tousu/show/id/1373500","投诉MY钱包暴力催收")</f>
      </c>
      <c r="C604" t="s" s="2">
        <v>15</v>
      </c>
      <c r="D604" t="s" s="2">
        <v>16</v>
      </c>
      <c r="E604" t="s" s="2">
        <v>17</v>
      </c>
      <c r="F604" t="s" s="2">
        <f>HYPERLINK("http://ts.21cn.com/tousu/show/id/1373500","http://ts.21cn.com/tousu/show/id/1373500")</f>
      </c>
      <c r="G604" t="s" s="2">
        <v>17</v>
      </c>
      <c r="H604" t="s" s="2">
        <v>19</v>
      </c>
      <c r="I604" t="s" s="2">
        <v>2401</v>
      </c>
      <c r="J604" t="s" s="2">
        <v>2402</v>
      </c>
      <c r="K604" t="s" s="2">
        <v>22</v>
      </c>
      <c r="L604" t="s" s="2">
        <v>22</v>
      </c>
      <c r="M604" t="s" s="2">
        <v>22</v>
      </c>
    </row>
    <row r="605" ht="25.0" customHeight="true">
      <c r="A605" t="s" s="2">
        <v>13</v>
      </c>
      <c r="B605" t="s" s="2">
        <f>HYPERLINK("http://ts.21cn.com/tousu/show/id/1373499","洋钱罐暴力催收、高利贷")</f>
      </c>
      <c r="C605" t="s" s="2">
        <v>15</v>
      </c>
      <c r="D605" t="s" s="2">
        <v>16</v>
      </c>
      <c r="E605" t="s" s="2">
        <v>17</v>
      </c>
      <c r="F605" t="s" s="2">
        <f>HYPERLINK("http://ts.21cn.com/tousu/show/id/1373499","http://ts.21cn.com/tousu/show/id/1373499")</f>
      </c>
      <c r="G605" t="s" s="2">
        <v>17</v>
      </c>
      <c r="H605" t="s" s="2">
        <v>19</v>
      </c>
      <c r="I605" t="s" s="2">
        <v>2405</v>
      </c>
      <c r="J605" t="s" s="2">
        <v>2406</v>
      </c>
      <c r="K605" t="s" s="2">
        <v>22</v>
      </c>
      <c r="L605" t="s" s="2">
        <v>22</v>
      </c>
      <c r="M605" t="s" s="2">
        <v>22</v>
      </c>
    </row>
    <row r="606" ht="25.0" customHeight="true">
      <c r="A606" t="s" s="2">
        <v>13</v>
      </c>
      <c r="B606" t="s" s="2">
        <f>HYPERLINK("http://ts.21cn.com/tousu/show/id/1373497","花呗威胁")</f>
      </c>
      <c r="C606" t="s" s="2">
        <v>15</v>
      </c>
      <c r="D606" t="s" s="2">
        <v>16</v>
      </c>
      <c r="E606" t="s" s="2">
        <v>17</v>
      </c>
      <c r="F606" t="s" s="2">
        <f>HYPERLINK("http://ts.21cn.com/tousu/show/id/1373497","http://ts.21cn.com/tousu/show/id/1373497")</f>
      </c>
      <c r="G606" t="s" s="2">
        <v>17</v>
      </c>
      <c r="H606" t="s" s="2">
        <v>19</v>
      </c>
      <c r="I606" t="s" s="2">
        <v>2409</v>
      </c>
      <c r="J606" t="s" s="2">
        <v>2410</v>
      </c>
      <c r="K606" t="s" s="2">
        <v>22</v>
      </c>
      <c r="L606" t="s" s="2">
        <v>22</v>
      </c>
      <c r="M606" t="s" s="2">
        <v>22</v>
      </c>
    </row>
    <row r="607" ht="25.0" customHeight="true">
      <c r="A607" t="s" s="2">
        <v>13</v>
      </c>
      <c r="B607" t="s" s="2">
        <f>HYPERLINK("http://ts.21cn.com/tousu/show/id/1373498","招联金融严重损坏个人声誉，暴力催收，恶意骚扰")</f>
      </c>
      <c r="C607" t="s" s="2">
        <v>15</v>
      </c>
      <c r="D607" t="s" s="2">
        <v>16</v>
      </c>
      <c r="E607" t="s" s="2">
        <v>17</v>
      </c>
      <c r="F607" t="s" s="2">
        <f>HYPERLINK("http://ts.21cn.com/tousu/show/id/1373498","http://ts.21cn.com/tousu/show/id/1373498")</f>
      </c>
      <c r="G607" t="s" s="2">
        <v>17</v>
      </c>
      <c r="H607" t="s" s="2">
        <v>19</v>
      </c>
      <c r="I607" t="s" s="2">
        <v>2413</v>
      </c>
      <c r="J607" t="s" s="2">
        <v>2414</v>
      </c>
      <c r="K607" t="s" s="2">
        <v>22</v>
      </c>
      <c r="L607" t="s" s="2">
        <v>22</v>
      </c>
      <c r="M607" t="s" s="2">
        <v>22</v>
      </c>
    </row>
    <row r="608" ht="25.0" customHeight="true">
      <c r="A608" t="s" s="2">
        <v>13</v>
      </c>
      <c r="B608" t="s" s="2">
        <f>HYPERLINK("http://ts.21cn.com/tousu/show/id/1373496","洋钱罐爆通讯录频繁个人名誉权与隐私权")</f>
      </c>
      <c r="C608" t="s" s="2">
        <v>15</v>
      </c>
      <c r="D608" t="s" s="2">
        <v>16</v>
      </c>
      <c r="E608" t="s" s="2">
        <v>17</v>
      </c>
      <c r="F608" t="s" s="2">
        <f>HYPERLINK("http://ts.21cn.com/tousu/show/id/1373496","http://ts.21cn.com/tousu/show/id/1373496")</f>
      </c>
      <c r="G608" t="s" s="2">
        <v>17</v>
      </c>
      <c r="H608" t="s" s="2">
        <v>19</v>
      </c>
      <c r="I608" t="s" s="2">
        <v>2417</v>
      </c>
      <c r="J608" t="s" s="2">
        <v>2418</v>
      </c>
      <c r="K608" t="s" s="2">
        <v>22</v>
      </c>
      <c r="L608" t="s" s="2">
        <v>22</v>
      </c>
      <c r="M608" t="s" s="2">
        <v>22</v>
      </c>
    </row>
    <row r="609" ht="25.0" customHeight="true">
      <c r="A609" t="s" s="2">
        <v>13</v>
      </c>
      <c r="B609" t="s" s="2">
        <f>HYPERLINK("http://ts.21cn.com/tousu/show/id/1373495","暴力催收")</f>
      </c>
      <c r="C609" t="s" s="2">
        <v>15</v>
      </c>
      <c r="D609" t="s" s="2">
        <v>16</v>
      </c>
      <c r="E609" t="s" s="2">
        <v>17</v>
      </c>
      <c r="F609" t="s" s="2">
        <f>HYPERLINK("http://ts.21cn.com/tousu/show/id/1373495","http://ts.21cn.com/tousu/show/id/1373495")</f>
      </c>
      <c r="G609" t="s" s="2">
        <v>17</v>
      </c>
      <c r="H609" t="s" s="2">
        <v>19</v>
      </c>
      <c r="I609" t="s" s="2">
        <v>2420</v>
      </c>
      <c r="J609" t="s" s="2">
        <v>2421</v>
      </c>
      <c r="K609" t="s" s="2">
        <v>22</v>
      </c>
      <c r="L609" t="s" s="2">
        <v>22</v>
      </c>
      <c r="M609" t="s" s="2">
        <v>22</v>
      </c>
    </row>
    <row r="610" ht="25.0" customHeight="true">
      <c r="A610" t="s" s="2">
        <v>13</v>
      </c>
      <c r="B610" t="s" s="2">
        <f>HYPERLINK("http://ts.21cn.com/tousu/show/id/1373494","月光侠App、阴阳合同高利贷！违反国家法律！")</f>
      </c>
      <c r="C610" t="s" s="2">
        <v>15</v>
      </c>
      <c r="D610" t="s" s="2">
        <v>16</v>
      </c>
      <c r="E610" t="s" s="2">
        <v>17</v>
      </c>
      <c r="F610" t="s" s="2">
        <f>HYPERLINK("http://ts.21cn.com/tousu/show/id/1373494","http://ts.21cn.com/tousu/show/id/1373494")</f>
      </c>
      <c r="G610" t="s" s="2">
        <v>17</v>
      </c>
      <c r="H610" t="s" s="2">
        <v>19</v>
      </c>
      <c r="I610" t="s" s="2">
        <v>2424</v>
      </c>
      <c r="J610" t="s" s="2">
        <v>2425</v>
      </c>
      <c r="K610" t="s" s="2">
        <v>22</v>
      </c>
      <c r="L610" t="s" s="2">
        <v>22</v>
      </c>
      <c r="M610" t="s" s="2">
        <v>22</v>
      </c>
    </row>
    <row r="611" ht="25.0" customHeight="true">
      <c r="A611" t="s" s="2">
        <v>13</v>
      </c>
      <c r="B611" t="s" s="2">
        <f>HYPERLINK("http://ts.21cn.com/tousu/show/id/1373493","催收一点余地不给，想协商")</f>
      </c>
      <c r="C611" t="s" s="2">
        <v>15</v>
      </c>
      <c r="D611" t="s" s="2">
        <v>16</v>
      </c>
      <c r="E611" t="s" s="2">
        <v>17</v>
      </c>
      <c r="F611" t="s" s="2">
        <f>HYPERLINK("http://ts.21cn.com/tousu/show/id/1373493","http://ts.21cn.com/tousu/show/id/1373493")</f>
      </c>
      <c r="G611" t="s" s="2">
        <v>17</v>
      </c>
      <c r="H611" t="s" s="2">
        <v>19</v>
      </c>
      <c r="I611" t="s" s="2">
        <v>2428</v>
      </c>
      <c r="J611" t="s" s="2">
        <v>2429</v>
      </c>
      <c r="K611" t="s" s="2">
        <v>22</v>
      </c>
      <c r="L611" t="s" s="2">
        <v>22</v>
      </c>
      <c r="M611" t="s" s="2">
        <v>22</v>
      </c>
    </row>
    <row r="612" ht="25.0" customHeight="true">
      <c r="A612" t="s" s="2">
        <v>13</v>
      </c>
      <c r="B612" t="s" s="2">
        <f>HYPERLINK("http://ts.21cn.com/tousu/show/id/1373491","招联金融暴力催收，恐吓")</f>
      </c>
      <c r="C612" t="s" s="2">
        <v>15</v>
      </c>
      <c r="D612" t="s" s="2">
        <v>16</v>
      </c>
      <c r="E612" t="s" s="2">
        <v>17</v>
      </c>
      <c r="F612" t="s" s="2">
        <f>HYPERLINK("http://ts.21cn.com/tousu/show/id/1373491","http://ts.21cn.com/tousu/show/id/1373491")</f>
      </c>
      <c r="G612" t="s" s="2">
        <v>17</v>
      </c>
      <c r="H612" t="s" s="2">
        <v>19</v>
      </c>
      <c r="I612" t="s" s="2">
        <v>2432</v>
      </c>
      <c r="J612" t="s" s="2">
        <v>2433</v>
      </c>
      <c r="K612" t="s" s="2">
        <v>22</v>
      </c>
      <c r="L612" t="s" s="2">
        <v>22</v>
      </c>
      <c r="M612" t="s" s="2">
        <v>22</v>
      </c>
    </row>
    <row r="613" ht="25.0" customHeight="true">
      <c r="A613" t="s" s="2">
        <v>13</v>
      </c>
      <c r="B613" t="s" s="2">
        <f>HYPERLINK("http://ts.21cn.com/tousu/show/id/1373492","洋钱罐逾期一天收取高额债务管理费")</f>
      </c>
      <c r="C613" t="s" s="2">
        <v>15</v>
      </c>
      <c r="D613" t="s" s="2">
        <v>16</v>
      </c>
      <c r="E613" t="s" s="2">
        <v>17</v>
      </c>
      <c r="F613" t="s" s="2">
        <f>HYPERLINK("http://ts.21cn.com/tousu/show/id/1373492","http://ts.21cn.com/tousu/show/id/1373492")</f>
      </c>
      <c r="G613" t="s" s="2">
        <v>17</v>
      </c>
      <c r="H613" t="s" s="2">
        <v>19</v>
      </c>
      <c r="I613" t="s" s="2">
        <v>2436</v>
      </c>
      <c r="J613" t="s" s="2">
        <v>2437</v>
      </c>
      <c r="K613" t="s" s="2">
        <v>22</v>
      </c>
      <c r="L613" t="s" s="2">
        <v>22</v>
      </c>
      <c r="M613" t="s" s="2">
        <v>22</v>
      </c>
    </row>
    <row r="614" ht="25.0" customHeight="true">
      <c r="A614" t="s" s="2">
        <v>13</v>
      </c>
      <c r="B614" t="s" s="2">
        <f>HYPERLINK("http://ts.21cn.com/tousu/show/id/1373243","钱站aqq高利贷")</f>
      </c>
      <c r="C614" t="s" s="2">
        <v>15</v>
      </c>
      <c r="D614" t="s" s="2">
        <v>16</v>
      </c>
      <c r="E614" t="s" s="2">
        <v>17</v>
      </c>
      <c r="F614" t="s" s="2">
        <f>HYPERLINK("http://ts.21cn.com/tousu/show/id/1373243","http://ts.21cn.com/tousu/show/id/1373243")</f>
      </c>
      <c r="G614" t="s" s="2">
        <v>17</v>
      </c>
      <c r="H614" t="s" s="2">
        <v>19</v>
      </c>
      <c r="I614" t="s" s="2">
        <v>2440</v>
      </c>
      <c r="J614" t="s" s="2">
        <v>2441</v>
      </c>
      <c r="K614" t="s" s="2">
        <v>22</v>
      </c>
      <c r="L614" t="s" s="2">
        <v>22</v>
      </c>
      <c r="M614" t="s" s="2">
        <v>22</v>
      </c>
    </row>
    <row r="615" ht="25.0" customHeight="true">
      <c r="A615" t="s" s="2">
        <v>13</v>
      </c>
      <c r="B615" t="s" s="2">
        <f>HYPERLINK("http://ts.21cn.com/tousu/show/id/1373490","交通银行买单吧和消愁金高利贷合作放贷款")</f>
      </c>
      <c r="C615" t="s" s="2">
        <v>15</v>
      </c>
      <c r="D615" t="s" s="2">
        <v>16</v>
      </c>
      <c r="E615" t="s" s="2">
        <v>17</v>
      </c>
      <c r="F615" t="s" s="2">
        <f>HYPERLINK("http://ts.21cn.com/tousu/show/id/1373490","http://ts.21cn.com/tousu/show/id/1373490")</f>
      </c>
      <c r="G615" t="s" s="2">
        <v>17</v>
      </c>
      <c r="H615" t="s" s="2">
        <v>19</v>
      </c>
      <c r="I615" t="s" s="2">
        <v>2444</v>
      </c>
      <c r="J615" t="s" s="2">
        <v>2445</v>
      </c>
      <c r="K615" t="s" s="2">
        <v>22</v>
      </c>
      <c r="L615" t="s" s="2">
        <v>22</v>
      </c>
      <c r="M615" t="s" s="2">
        <v>22</v>
      </c>
    </row>
    <row r="616" ht="25.0" customHeight="true">
      <c r="A616" t="s" s="2">
        <v>13</v>
      </c>
      <c r="B616" t="s" s="2">
        <f>HYPERLINK("http://ts.21cn.com/tousu/show/id/1373489","闪银里瞬瞬贷恶心催收威胁")</f>
      </c>
      <c r="C616" t="s" s="2">
        <v>15</v>
      </c>
      <c r="D616" t="s" s="2">
        <v>16</v>
      </c>
      <c r="E616" t="s" s="2">
        <v>17</v>
      </c>
      <c r="F616" t="s" s="2">
        <f>HYPERLINK("http://ts.21cn.com/tousu/show/id/1373489","http://ts.21cn.com/tousu/show/id/1373489")</f>
      </c>
      <c r="G616" t="s" s="2">
        <v>17</v>
      </c>
      <c r="H616" t="s" s="2">
        <v>19</v>
      </c>
      <c r="I616" t="s" s="2">
        <v>2448</v>
      </c>
      <c r="J616" t="s" s="2">
        <v>2449</v>
      </c>
      <c r="K616" t="s" s="2">
        <v>22</v>
      </c>
      <c r="L616" t="s" s="2">
        <v>22</v>
      </c>
      <c r="M616" t="s" s="2">
        <v>22</v>
      </c>
    </row>
    <row r="617" ht="25.0" customHeight="true">
      <c r="A617" t="s" s="2">
        <v>13</v>
      </c>
      <c r="B617" t="s" s="2">
        <f>HYPERLINK("http://ts.21cn.com/tousu/show/id/1373488","微众银行雇佣黑社会，送花圈")</f>
      </c>
      <c r="C617" t="s" s="2">
        <v>15</v>
      </c>
      <c r="D617" t="s" s="2">
        <v>16</v>
      </c>
      <c r="E617" t="s" s="2">
        <v>17</v>
      </c>
      <c r="F617" t="s" s="2">
        <f>HYPERLINK("http://ts.21cn.com/tousu/show/id/1373488","http://ts.21cn.com/tousu/show/id/1373488")</f>
      </c>
      <c r="G617" t="s" s="2">
        <v>17</v>
      </c>
      <c r="H617" t="s" s="2">
        <v>19</v>
      </c>
      <c r="I617" t="s" s="2">
        <v>2452</v>
      </c>
      <c r="J617" t="s" s="2">
        <v>2453</v>
      </c>
      <c r="K617" t="s" s="2">
        <v>22</v>
      </c>
      <c r="L617" t="s" s="2">
        <v>22</v>
      </c>
      <c r="M617" t="s" s="2">
        <v>22</v>
      </c>
    </row>
    <row r="618" ht="25.0" customHeight="true">
      <c r="A618" t="s" s="2">
        <v>13</v>
      </c>
      <c r="B618" t="s" s="2">
        <f>HYPERLINK("http://ts.21cn.com/tousu/show/id/1373460","vipkid（大米科技）欺瞒营销恶意不退费")</f>
      </c>
      <c r="C618" t="s" s="2">
        <v>15</v>
      </c>
      <c r="D618" t="s" s="2">
        <v>16</v>
      </c>
      <c r="E618" t="s" s="2">
        <v>17</v>
      </c>
      <c r="F618" t="s" s="2">
        <f>HYPERLINK("http://ts.21cn.com/tousu/show/id/1373460","http://ts.21cn.com/tousu/show/id/1373460")</f>
      </c>
      <c r="G618" t="s" s="2">
        <v>17</v>
      </c>
      <c r="H618" t="s" s="2">
        <v>19</v>
      </c>
      <c r="I618" t="s" s="2">
        <v>2456</v>
      </c>
      <c r="J618" t="s" s="2">
        <v>2457</v>
      </c>
      <c r="K618" t="s" s="2">
        <v>22</v>
      </c>
      <c r="L618" t="s" s="2">
        <v>22</v>
      </c>
      <c r="M618" t="s" s="2">
        <v>22</v>
      </c>
    </row>
    <row r="619" ht="25.0" customHeight="true">
      <c r="A619" t="s" s="2">
        <v>13</v>
      </c>
      <c r="B619" t="s" s="2">
        <f>HYPERLINK("http://ts.21cn.com/tousu/show/id/1373434","律师电话骚扰")</f>
      </c>
      <c r="C619" t="s" s="2">
        <v>15</v>
      </c>
      <c r="D619" t="s" s="2">
        <v>16</v>
      </c>
      <c r="E619" t="s" s="2">
        <v>17</v>
      </c>
      <c r="F619" t="s" s="2">
        <f>HYPERLINK("http://ts.21cn.com/tousu/show/id/1373434","http://ts.21cn.com/tousu/show/id/1373434")</f>
      </c>
      <c r="G619" t="s" s="2">
        <v>17</v>
      </c>
      <c r="H619" t="s" s="2">
        <v>19</v>
      </c>
      <c r="I619" t="s" s="2">
        <v>2460</v>
      </c>
      <c r="J619" t="s" s="2">
        <v>2461</v>
      </c>
      <c r="K619" t="s" s="2">
        <v>22</v>
      </c>
      <c r="L619" t="s" s="2">
        <v>22</v>
      </c>
      <c r="M619" t="s" s="2">
        <v>22</v>
      </c>
    </row>
    <row r="620" ht="25.0" customHeight="true">
      <c r="A620" t="s" s="2">
        <v>13</v>
      </c>
      <c r="B620" t="s" s="2">
        <f>HYPERLINK("http://ts.21cn.com/tousu/show/id/1373487","暴力催收")</f>
      </c>
      <c r="C620" t="s" s="2">
        <v>15</v>
      </c>
      <c r="D620" t="s" s="2">
        <v>16</v>
      </c>
      <c r="E620" t="s" s="2">
        <v>17</v>
      </c>
      <c r="F620" t="s" s="2">
        <f>HYPERLINK("http://ts.21cn.com/tousu/show/id/1373487","http://ts.21cn.com/tousu/show/id/1373487")</f>
      </c>
      <c r="G620" t="s" s="2">
        <v>17</v>
      </c>
      <c r="H620" t="s" s="2">
        <v>19</v>
      </c>
      <c r="I620" t="s" s="2">
        <v>2463</v>
      </c>
      <c r="J620" t="s" s="2">
        <v>2464</v>
      </c>
      <c r="K620" t="s" s="2">
        <v>22</v>
      </c>
      <c r="L620" t="s" s="2">
        <v>22</v>
      </c>
      <c r="M620" t="s" s="2">
        <v>22</v>
      </c>
    </row>
    <row r="621" ht="25.0" customHeight="true">
      <c r="A621" t="s" s="2">
        <v>13</v>
      </c>
      <c r="B621" t="s" s="2">
        <f>HYPERLINK("http://ts.21cn.com/tousu/show/id/1373457","虚假发货")</f>
      </c>
      <c r="C621" t="s" s="2">
        <v>15</v>
      </c>
      <c r="D621" t="s" s="2">
        <v>16</v>
      </c>
      <c r="E621" t="s" s="2">
        <v>17</v>
      </c>
      <c r="F621" t="s" s="2">
        <f>HYPERLINK("http://ts.21cn.com/tousu/show/id/1373457","http://ts.21cn.com/tousu/show/id/1373457")</f>
      </c>
      <c r="G621" t="s" s="2">
        <v>17</v>
      </c>
      <c r="H621" t="s" s="2">
        <v>19</v>
      </c>
      <c r="I621" t="s" s="2">
        <v>2467</v>
      </c>
      <c r="J621" t="s" s="2">
        <v>2468</v>
      </c>
      <c r="K621" t="s" s="2">
        <v>22</v>
      </c>
      <c r="L621" t="s" s="2">
        <v>22</v>
      </c>
      <c r="M621" t="s" s="2">
        <v>22</v>
      </c>
    </row>
    <row r="622" ht="25.0" customHeight="true">
      <c r="A622" t="s" s="2">
        <v>13</v>
      </c>
      <c r="B622" t="s" s="2">
        <f>HYPERLINK("http://ts.21cn.com/tousu/show/id/1373486","闪电借款购买黑卡借款不成功要求退款")</f>
      </c>
      <c r="C622" t="s" s="2">
        <v>52</v>
      </c>
      <c r="D622" t="s" s="2">
        <v>16</v>
      </c>
      <c r="E622" t="s" s="2">
        <v>17</v>
      </c>
      <c r="F622" t="s" s="2">
        <f>HYPERLINK("http://ts.21cn.com/tousu/show/id/1373486","http://ts.21cn.com/tousu/show/id/1373486")</f>
      </c>
      <c r="G622" t="s" s="2">
        <v>17</v>
      </c>
      <c r="H622" t="s" s="2">
        <v>19</v>
      </c>
      <c r="I622" t="s" s="2">
        <v>2471</v>
      </c>
      <c r="J622" t="s" s="2">
        <v>2472</v>
      </c>
      <c r="K622" t="s" s="2">
        <v>22</v>
      </c>
      <c r="L622" t="s" s="2">
        <v>22</v>
      </c>
      <c r="M622" t="s" s="2">
        <v>22</v>
      </c>
    </row>
    <row r="623" ht="25.0" customHeight="true">
      <c r="A623" t="s" s="2">
        <v>13</v>
      </c>
      <c r="B623" t="s" s="2">
        <f>HYPERLINK("http://ts.21cn.com/tousu/show/id/1373453","投诉招商银行信用卡法务部")</f>
      </c>
      <c r="C623" t="s" s="2">
        <v>15</v>
      </c>
      <c r="D623" t="s" s="2">
        <v>16</v>
      </c>
      <c r="E623" t="s" s="2">
        <v>17</v>
      </c>
      <c r="F623" t="s" s="2">
        <f>HYPERLINK("http://ts.21cn.com/tousu/show/id/1373453","http://ts.21cn.com/tousu/show/id/1373453")</f>
      </c>
      <c r="G623" t="s" s="2">
        <v>17</v>
      </c>
      <c r="H623" t="s" s="2">
        <v>19</v>
      </c>
      <c r="I623" t="s" s="2">
        <v>2475</v>
      </c>
      <c r="J623" t="s" s="2">
        <v>2476</v>
      </c>
      <c r="K623" t="s" s="2">
        <v>22</v>
      </c>
      <c r="L623" t="s" s="2">
        <v>22</v>
      </c>
      <c r="M623" t="s" s="2">
        <v>22</v>
      </c>
    </row>
    <row r="624" ht="25.0" customHeight="true">
      <c r="A624" t="s" s="2">
        <v>13</v>
      </c>
      <c r="B624" t="s" s="2">
        <f>HYPERLINK("http://ts.21cn.com/tousu/show/id/1373485","玖富高利贷")</f>
      </c>
      <c r="C624" t="s" s="2">
        <v>15</v>
      </c>
      <c r="D624" t="s" s="2">
        <v>16</v>
      </c>
      <c r="E624" t="s" s="2">
        <v>17</v>
      </c>
      <c r="F624" t="s" s="2">
        <f>HYPERLINK("http://ts.21cn.com/tousu/show/id/1373485","http://ts.21cn.com/tousu/show/id/1373485")</f>
      </c>
      <c r="G624" t="s" s="2">
        <v>17</v>
      </c>
      <c r="H624" t="s" s="2">
        <v>19</v>
      </c>
      <c r="I624" t="s" s="2">
        <v>2478</v>
      </c>
      <c r="J624" t="s" s="2">
        <v>2479</v>
      </c>
      <c r="K624" t="s" s="2">
        <v>22</v>
      </c>
      <c r="L624" t="s" s="2">
        <v>22</v>
      </c>
      <c r="M624" t="s" s="2">
        <v>22</v>
      </c>
    </row>
    <row r="625" ht="25.0" customHeight="true">
      <c r="A625" t="s" s="2">
        <v>13</v>
      </c>
      <c r="B625" t="s" s="2">
        <f>HYPERLINK("http://ts.21cn.com/tousu/show/id/1373484","支付宝恶意威胁")</f>
      </c>
      <c r="C625" t="s" s="2">
        <v>15</v>
      </c>
      <c r="D625" t="s" s="2">
        <v>16</v>
      </c>
      <c r="E625" t="s" s="2">
        <v>17</v>
      </c>
      <c r="F625" t="s" s="2">
        <f>HYPERLINK("http://ts.21cn.com/tousu/show/id/1373484","http://ts.21cn.com/tousu/show/id/1373484")</f>
      </c>
      <c r="G625" t="s" s="2">
        <v>17</v>
      </c>
      <c r="H625" t="s" s="2">
        <v>19</v>
      </c>
      <c r="I625" t="s" s="2">
        <v>2482</v>
      </c>
      <c r="J625" t="s" s="2">
        <v>2483</v>
      </c>
      <c r="K625" t="s" s="2">
        <v>22</v>
      </c>
      <c r="L625" t="s" s="2">
        <v>22</v>
      </c>
      <c r="M625" t="s" s="2">
        <v>22</v>
      </c>
    </row>
    <row r="626" ht="25.0" customHeight="true">
      <c r="A626" t="s" s="2">
        <v>13</v>
      </c>
      <c r="B626" t="s" s="2">
        <f>HYPERLINK("http://ts.21cn.com/tousu/show/id/1373480","我在2019年8月19日报名恒企教育惠城区的行政管理专本连读班学费一共是7880元，当时首付交了788，")</f>
      </c>
      <c r="C626" t="s" s="2">
        <v>15</v>
      </c>
      <c r="D626" t="s" s="2">
        <v>16</v>
      </c>
      <c r="E626" t="s" s="2">
        <v>17</v>
      </c>
      <c r="F626" t="s" s="2">
        <f>HYPERLINK("http://ts.21cn.com/tousu/show/id/1373480","http://ts.21cn.com/tousu/show/id/1373480")</f>
      </c>
      <c r="G626" t="s" s="2">
        <v>17</v>
      </c>
      <c r="H626" t="s" s="2">
        <v>19</v>
      </c>
      <c r="I626" t="s" s="2">
        <v>2486</v>
      </c>
      <c r="J626" t="s" s="2">
        <v>2487</v>
      </c>
      <c r="K626" t="s" s="2">
        <v>22</v>
      </c>
      <c r="L626" t="s" s="2">
        <v>22</v>
      </c>
      <c r="M626" t="s" s="2">
        <v>22</v>
      </c>
    </row>
    <row r="627" ht="25.0" customHeight="true">
      <c r="A627" t="s" s="2">
        <v>13</v>
      </c>
      <c r="B627" t="s" s="2">
        <f>HYPERLINK("http://ts.21cn.com/tousu/show/id/1373481","维信卡卡贷涉嫌高利率和砍头息")</f>
      </c>
      <c r="C627" t="s" s="2">
        <v>15</v>
      </c>
      <c r="D627" t="s" s="2">
        <v>16</v>
      </c>
      <c r="E627" t="s" s="2">
        <v>17</v>
      </c>
      <c r="F627" t="s" s="2">
        <f>HYPERLINK("http://ts.21cn.com/tousu/show/id/1373481","http://ts.21cn.com/tousu/show/id/1373481")</f>
      </c>
      <c r="G627" t="s" s="2">
        <v>17</v>
      </c>
      <c r="H627" t="s" s="2">
        <v>19</v>
      </c>
      <c r="I627" t="s" s="2">
        <v>2489</v>
      </c>
      <c r="J627" t="s" s="2">
        <v>2490</v>
      </c>
      <c r="K627" t="s" s="2">
        <v>22</v>
      </c>
      <c r="L627" t="s" s="2">
        <v>22</v>
      </c>
      <c r="M627" t="s" s="2">
        <v>22</v>
      </c>
    </row>
    <row r="628" ht="25.0" customHeight="true">
      <c r="A628" t="s" s="2">
        <v>13</v>
      </c>
      <c r="B628" t="s" s="2">
        <f>HYPERLINK("http://ts.21cn.com/tousu/show/id/1373478","逾期费一天150！")</f>
      </c>
      <c r="C628" t="s" s="2">
        <v>15</v>
      </c>
      <c r="D628" t="s" s="2">
        <v>16</v>
      </c>
      <c r="E628" t="s" s="2">
        <v>17</v>
      </c>
      <c r="F628" t="s" s="2">
        <f>HYPERLINK("http://ts.21cn.com/tousu/show/id/1373478","http://ts.21cn.com/tousu/show/id/1373478")</f>
      </c>
      <c r="G628" t="s" s="2">
        <v>17</v>
      </c>
      <c r="H628" t="s" s="2">
        <v>19</v>
      </c>
      <c r="I628" t="s" s="2">
        <v>2493</v>
      </c>
      <c r="J628" t="s" s="2">
        <v>2494</v>
      </c>
      <c r="K628" t="s" s="2">
        <v>22</v>
      </c>
      <c r="L628" t="s" s="2">
        <v>22</v>
      </c>
      <c r="M628" t="s" s="2">
        <v>22</v>
      </c>
    </row>
    <row r="629" ht="25.0" customHeight="true">
      <c r="A629" t="s" s="2">
        <v>13</v>
      </c>
      <c r="B629" t="s" s="2">
        <f>HYPERLINK("http://ts.21cn.com/tousu/show/id/1373477","闪电借款协商还款销账")</f>
      </c>
      <c r="C629" t="s" s="2">
        <v>15</v>
      </c>
      <c r="D629" t="s" s="2">
        <v>16</v>
      </c>
      <c r="E629" t="s" s="2">
        <v>17</v>
      </c>
      <c r="F629" t="s" s="2">
        <f>HYPERLINK("http://ts.21cn.com/tousu/show/id/1373477","http://ts.21cn.com/tousu/show/id/1373477")</f>
      </c>
      <c r="G629" t="s" s="2">
        <v>17</v>
      </c>
      <c r="H629" t="s" s="2">
        <v>19</v>
      </c>
      <c r="I629" t="s" s="2">
        <v>2497</v>
      </c>
      <c r="J629" t="s" s="2">
        <v>2498</v>
      </c>
      <c r="K629" t="s" s="2">
        <v>22</v>
      </c>
      <c r="L629" t="s" s="2">
        <v>22</v>
      </c>
      <c r="M629" t="s" s="2">
        <v>22</v>
      </c>
    </row>
    <row r="630" ht="25.0" customHeight="true">
      <c r="A630" t="s" s="2">
        <v>13</v>
      </c>
      <c r="B630" t="s" s="2">
        <f>HYPERLINK("http://ts.21cn.com/tousu/show/id/1373476","催收态度差，恶意催收，爆通讯录")</f>
      </c>
      <c r="C630" t="s" s="2">
        <v>15</v>
      </c>
      <c r="D630" t="s" s="2">
        <v>16</v>
      </c>
      <c r="E630" t="s" s="2">
        <v>17</v>
      </c>
      <c r="F630" t="s" s="2">
        <f>HYPERLINK("http://ts.21cn.com/tousu/show/id/1373476","http://ts.21cn.com/tousu/show/id/1373476")</f>
      </c>
      <c r="G630" t="s" s="2">
        <v>17</v>
      </c>
      <c r="H630" t="s" s="2">
        <v>19</v>
      </c>
      <c r="I630" t="s" s="2">
        <v>2501</v>
      </c>
      <c r="J630" t="s" s="2">
        <v>2502</v>
      </c>
      <c r="K630" t="s" s="2">
        <v>22</v>
      </c>
      <c r="L630" t="s" s="2">
        <v>22</v>
      </c>
      <c r="M630" t="s" s="2">
        <v>22</v>
      </c>
    </row>
    <row r="631" ht="25.0" customHeight="true">
      <c r="A631" t="s" s="2">
        <v>13</v>
      </c>
      <c r="B631" t="s" s="2">
        <f>HYPERLINK("http://ts.21cn.com/tousu/show/id/1373475","还款不成功")</f>
      </c>
      <c r="C631" t="s" s="2">
        <v>52</v>
      </c>
      <c r="D631" t="s" s="2">
        <v>16</v>
      </c>
      <c r="E631" t="s" s="2">
        <v>17</v>
      </c>
      <c r="F631" t="s" s="2">
        <f>HYPERLINK("http://ts.21cn.com/tousu/show/id/1373475","http://ts.21cn.com/tousu/show/id/1373475")</f>
      </c>
      <c r="G631" t="s" s="2">
        <v>17</v>
      </c>
      <c r="H631" t="s" s="2">
        <v>19</v>
      </c>
      <c r="I631" t="s" s="2">
        <v>2505</v>
      </c>
      <c r="J631" t="s" s="2">
        <v>2506</v>
      </c>
      <c r="K631" t="s" s="2">
        <v>22</v>
      </c>
      <c r="L631" t="s" s="2">
        <v>22</v>
      </c>
      <c r="M631" t="s" s="2">
        <v>22</v>
      </c>
    </row>
    <row r="632" ht="25.0" customHeight="true">
      <c r="A632" t="s" s="2">
        <v>13</v>
      </c>
      <c r="B632" t="s" s="2">
        <f>HYPERLINK("http://ts.21cn.com/tousu/show/id/1373473","短信威胁")</f>
      </c>
      <c r="C632" t="s" s="2">
        <v>15</v>
      </c>
      <c r="D632" t="s" s="2">
        <v>16</v>
      </c>
      <c r="E632" t="s" s="2">
        <v>17</v>
      </c>
      <c r="F632" t="s" s="2">
        <f>HYPERLINK("http://ts.21cn.com/tousu/show/id/1373473","http://ts.21cn.com/tousu/show/id/1373473")</f>
      </c>
      <c r="G632" t="s" s="2">
        <v>17</v>
      </c>
      <c r="H632" t="s" s="2">
        <v>19</v>
      </c>
      <c r="I632" t="s" s="2">
        <v>2509</v>
      </c>
      <c r="J632" t="s" s="2">
        <v>2510</v>
      </c>
      <c r="K632" t="s" s="2">
        <v>22</v>
      </c>
      <c r="L632" t="s" s="2">
        <v>22</v>
      </c>
      <c r="M632" t="s" s="2">
        <v>22</v>
      </c>
    </row>
    <row r="633" ht="25.0" customHeight="true">
      <c r="A633" t="s" s="2">
        <v>13</v>
      </c>
      <c r="B633" t="s" s="2">
        <f>HYPERLINK("http://ts.21cn.com/tousu/show/id/1373474","贷上钱以买游戏豆为由收取高额贷款通过费")</f>
      </c>
      <c r="C633" t="s" s="2">
        <v>15</v>
      </c>
      <c r="D633" t="s" s="2">
        <v>16</v>
      </c>
      <c r="E633" t="s" s="2">
        <v>17</v>
      </c>
      <c r="F633" t="s" s="2">
        <f>HYPERLINK("http://ts.21cn.com/tousu/show/id/1373474","http://ts.21cn.com/tousu/show/id/1373474")</f>
      </c>
      <c r="G633" t="s" s="2">
        <v>17</v>
      </c>
      <c r="H633" t="s" s="2">
        <v>19</v>
      </c>
      <c r="I633" t="s" s="2">
        <v>2512</v>
      </c>
      <c r="J633" t="s" s="2">
        <v>2513</v>
      </c>
      <c r="K633" t="s" s="2">
        <v>22</v>
      </c>
      <c r="L633" t="s" s="2">
        <v>22</v>
      </c>
      <c r="M633" t="s" s="2">
        <v>22</v>
      </c>
    </row>
    <row r="634" ht="25.0" customHeight="true">
      <c r="A634" t="s" s="2">
        <v>13</v>
      </c>
      <c r="B634" t="s" s="2">
        <f>HYPERLINK("http://ts.21cn.com/tousu/show/id/1373472","美团暴力催收")</f>
      </c>
      <c r="C634" t="s" s="2">
        <v>15</v>
      </c>
      <c r="D634" t="s" s="2">
        <v>16</v>
      </c>
      <c r="E634" t="s" s="2">
        <v>17</v>
      </c>
      <c r="F634" t="s" s="2">
        <f>HYPERLINK("http://ts.21cn.com/tousu/show/id/1373472","http://ts.21cn.com/tousu/show/id/1373472")</f>
      </c>
      <c r="G634" t="s" s="2">
        <v>17</v>
      </c>
      <c r="H634" t="s" s="2">
        <v>19</v>
      </c>
      <c r="I634" t="s" s="2">
        <v>2516</v>
      </c>
      <c r="J634" t="s" s="2">
        <v>2517</v>
      </c>
      <c r="K634" t="s" s="2">
        <v>22</v>
      </c>
      <c r="L634" t="s" s="2">
        <v>22</v>
      </c>
      <c r="M634" t="s" s="2">
        <v>22</v>
      </c>
    </row>
    <row r="635" ht="25.0" customHeight="true">
      <c r="A635" t="s" s="2">
        <v>13</v>
      </c>
      <c r="B635" t="s" s="2">
        <f>HYPERLINK("http://ts.21cn.com/tousu/show/id/1373471","要求平安退返违约金")</f>
      </c>
      <c r="C635" t="s" s="2">
        <v>15</v>
      </c>
      <c r="D635" t="s" s="2">
        <v>16</v>
      </c>
      <c r="E635" t="s" s="2">
        <v>17</v>
      </c>
      <c r="F635" t="s" s="2">
        <f>HYPERLINK("http://ts.21cn.com/tousu/show/id/1373471","http://ts.21cn.com/tousu/show/id/1373471")</f>
      </c>
      <c r="G635" t="s" s="2">
        <v>17</v>
      </c>
      <c r="H635" t="s" s="2">
        <v>19</v>
      </c>
      <c r="I635" t="s" s="2">
        <v>2520</v>
      </c>
      <c r="J635" t="s" s="2">
        <v>2521</v>
      </c>
      <c r="K635" t="s" s="2">
        <v>22</v>
      </c>
      <c r="L635" t="s" s="2">
        <v>22</v>
      </c>
      <c r="M635" t="s" s="2">
        <v>22</v>
      </c>
    </row>
    <row r="636" ht="25.0" customHeight="true">
      <c r="A636" t="s" s="2">
        <v>13</v>
      </c>
      <c r="B636" t="s" s="2">
        <f>HYPERLINK("http://ts.21cn.com/tousu/show/id/1373470","要求360借条注销账户")</f>
      </c>
      <c r="C636" t="s" s="2">
        <v>15</v>
      </c>
      <c r="D636" t="s" s="2">
        <v>16</v>
      </c>
      <c r="E636" t="s" s="2">
        <v>17</v>
      </c>
      <c r="F636" t="s" s="2">
        <f>HYPERLINK("http://ts.21cn.com/tousu/show/id/1373470","http://ts.21cn.com/tousu/show/id/1373470")</f>
      </c>
      <c r="G636" t="s" s="2">
        <v>17</v>
      </c>
      <c r="H636" t="s" s="2">
        <v>19</v>
      </c>
      <c r="I636" t="s" s="2">
        <v>2524</v>
      </c>
      <c r="J636" t="s" s="2">
        <v>2525</v>
      </c>
      <c r="K636" t="s" s="2">
        <v>22</v>
      </c>
      <c r="L636" t="s" s="2">
        <v>22</v>
      </c>
      <c r="M636" t="s" s="2">
        <v>22</v>
      </c>
    </row>
    <row r="637" ht="25.0" customHeight="true">
      <c r="A637" t="s" s="2">
        <v>13</v>
      </c>
      <c r="B637" t="s" s="2">
        <f>HYPERLINK("http://ts.21cn.com/tousu/show/id/1373469","分期乐最低还款额度不能申请")</f>
      </c>
      <c r="C637" t="s" s="2">
        <v>52</v>
      </c>
      <c r="D637" t="s" s="2">
        <v>16</v>
      </c>
      <c r="E637" t="s" s="2">
        <v>17</v>
      </c>
      <c r="F637" t="s" s="2">
        <f>HYPERLINK("http://ts.21cn.com/tousu/show/id/1373469","http://ts.21cn.com/tousu/show/id/1373469")</f>
      </c>
      <c r="G637" t="s" s="2">
        <v>17</v>
      </c>
      <c r="H637" t="s" s="2">
        <v>19</v>
      </c>
      <c r="I637" t="s" s="2">
        <v>2528</v>
      </c>
      <c r="J637" t="s" s="2">
        <v>2529</v>
      </c>
      <c r="K637" t="s" s="2">
        <v>22</v>
      </c>
      <c r="L637" t="s" s="2">
        <v>22</v>
      </c>
      <c r="M637" t="s" s="2">
        <v>22</v>
      </c>
    </row>
    <row r="638" ht="25.0" customHeight="true">
      <c r="A638" t="s" s="2">
        <v>13</v>
      </c>
      <c r="B638" t="s" s="2">
        <f>HYPERLINK("http://ts.21cn.com/tousu/show/id/1373468","投诉深圳光华普惠公司暴力催收，电话恶意辱骂借款人")</f>
      </c>
      <c r="C638" t="s" s="2">
        <v>15</v>
      </c>
      <c r="D638" t="s" s="2">
        <v>16</v>
      </c>
      <c r="E638" t="s" s="2">
        <v>17</v>
      </c>
      <c r="F638" t="s" s="2">
        <f>HYPERLINK("http://ts.21cn.com/tousu/show/id/1373468","http://ts.21cn.com/tousu/show/id/1373468")</f>
      </c>
      <c r="G638" t="s" s="2">
        <v>17</v>
      </c>
      <c r="H638" t="s" s="2">
        <v>19</v>
      </c>
      <c r="I638" t="s" s="2">
        <v>2532</v>
      </c>
      <c r="J638" t="s" s="2">
        <v>2533</v>
      </c>
      <c r="K638" t="s" s="2">
        <v>22</v>
      </c>
      <c r="L638" t="s" s="2">
        <v>22</v>
      </c>
      <c r="M638" t="s" s="2">
        <v>22</v>
      </c>
    </row>
    <row r="639" ht="25.0" customHeight="true">
      <c r="A639" t="s" s="2">
        <v>13</v>
      </c>
      <c r="B639" t="s" s="2">
        <f>HYPERLINK("http://ts.21cn.com/tousu/show/id/1373466","捷越联合")</f>
      </c>
      <c r="C639" t="s" s="2">
        <v>15</v>
      </c>
      <c r="D639" t="s" s="2">
        <v>16</v>
      </c>
      <c r="E639" t="s" s="2">
        <v>17</v>
      </c>
      <c r="F639" t="s" s="2">
        <f>HYPERLINK("http://ts.21cn.com/tousu/show/id/1373466","http://ts.21cn.com/tousu/show/id/1373466")</f>
      </c>
      <c r="G639" t="s" s="2">
        <v>17</v>
      </c>
      <c r="H639" t="s" s="2">
        <v>19</v>
      </c>
      <c r="I639" t="s" s="2">
        <v>2536</v>
      </c>
      <c r="J639" t="s" s="2">
        <v>2537</v>
      </c>
      <c r="K639" t="s" s="2">
        <v>22</v>
      </c>
      <c r="L639" t="s" s="2">
        <v>22</v>
      </c>
      <c r="M639" t="s" s="2">
        <v>22</v>
      </c>
    </row>
    <row r="640" ht="25.0" customHeight="true">
      <c r="A640" t="s" s="2">
        <v>13</v>
      </c>
      <c r="B640" t="s" s="2">
        <f>HYPERLINK("http://ts.21cn.com/tousu/show/id/1373467","物品丢失")</f>
      </c>
      <c r="C640" t="s" s="2">
        <v>15</v>
      </c>
      <c r="D640" t="s" s="2">
        <v>16</v>
      </c>
      <c r="E640" t="s" s="2">
        <v>17</v>
      </c>
      <c r="F640" t="s" s="2">
        <f>HYPERLINK("http://ts.21cn.com/tousu/show/id/1373467","http://ts.21cn.com/tousu/show/id/1373467")</f>
      </c>
      <c r="G640" t="s" s="2">
        <v>17</v>
      </c>
      <c r="H640" t="s" s="2">
        <v>19</v>
      </c>
      <c r="I640" t="s" s="2">
        <v>2540</v>
      </c>
      <c r="J640" t="s" s="2">
        <v>2541</v>
      </c>
      <c r="K640" t="s" s="2">
        <v>22</v>
      </c>
      <c r="L640" t="s" s="2">
        <v>22</v>
      </c>
      <c r="M640" t="s" s="2">
        <v>22</v>
      </c>
    </row>
    <row r="641" ht="25.0" customHeight="true">
      <c r="A641" t="s" s="2">
        <v>13</v>
      </c>
      <c r="B641" t="s" s="2">
        <f>HYPERLINK("http://ts.21cn.com/tousu/show/id/1373420","银钱包不知情开通会员")</f>
      </c>
      <c r="C641" t="s" s="2">
        <v>15</v>
      </c>
      <c r="D641" t="s" s="2">
        <v>16</v>
      </c>
      <c r="E641" t="s" s="2">
        <v>17</v>
      </c>
      <c r="F641" t="s" s="2">
        <f>HYPERLINK("http://ts.21cn.com/tousu/show/id/1373420","http://ts.21cn.com/tousu/show/id/1373420")</f>
      </c>
      <c r="G641" t="s" s="2">
        <v>17</v>
      </c>
      <c r="H641" t="s" s="2">
        <v>19</v>
      </c>
      <c r="I641" t="s" s="2">
        <v>2544</v>
      </c>
      <c r="J641" t="s" s="2">
        <v>2545</v>
      </c>
      <c r="K641" t="s" s="2">
        <v>22</v>
      </c>
      <c r="L641" t="s" s="2">
        <v>22</v>
      </c>
      <c r="M641" t="s" s="2">
        <v>22</v>
      </c>
    </row>
    <row r="642" ht="25.0" customHeight="true">
      <c r="A642" t="s" s="2">
        <v>13</v>
      </c>
      <c r="B642" t="s" s="2">
        <f>HYPERLINK("http://ts.21cn.com/tousu/show/id/1371725","珍爱网红娘服务诱导高额消费，服务内容与签订不符，对服务不满意，诉求退回一半服务费")</f>
      </c>
      <c r="C642" t="s" s="2">
        <v>15</v>
      </c>
      <c r="D642" t="s" s="2">
        <v>16</v>
      </c>
      <c r="E642" t="s" s="2">
        <v>17</v>
      </c>
      <c r="F642" t="s" s="2">
        <f>HYPERLINK("http://ts.21cn.com/tousu/show/id/1371725","http://ts.21cn.com/tousu/show/id/1371725")</f>
      </c>
      <c r="G642" t="s" s="2">
        <v>17</v>
      </c>
      <c r="H642" t="s" s="2">
        <v>19</v>
      </c>
      <c r="I642" t="s" s="2">
        <v>2548</v>
      </c>
      <c r="J642" t="s" s="2">
        <v>2549</v>
      </c>
      <c r="K642" t="s" s="2">
        <v>22</v>
      </c>
      <c r="L642" t="s" s="2">
        <v>22</v>
      </c>
      <c r="M642" t="s" s="2">
        <v>22</v>
      </c>
    </row>
    <row r="643" ht="25.0" customHeight="true">
      <c r="A643" t="s" s="2">
        <v>13</v>
      </c>
      <c r="B643" t="s" s="2">
        <f>HYPERLINK("http://ts.21cn.com/tousu/show/id/1373265","现金巴士砍头息高利贷")</f>
      </c>
      <c r="C643" t="s" s="2">
        <v>15</v>
      </c>
      <c r="D643" t="s" s="2">
        <v>16</v>
      </c>
      <c r="E643" t="s" s="2">
        <v>17</v>
      </c>
      <c r="F643" t="s" s="2">
        <f>HYPERLINK("http://ts.21cn.com/tousu/show/id/1373265","http://ts.21cn.com/tousu/show/id/1373265")</f>
      </c>
      <c r="G643" t="s" s="2">
        <v>17</v>
      </c>
      <c r="H643" t="s" s="2">
        <v>19</v>
      </c>
      <c r="I643" t="s" s="2">
        <v>2552</v>
      </c>
      <c r="J643" t="s" s="2">
        <v>2553</v>
      </c>
      <c r="K643" t="s" s="2">
        <v>22</v>
      </c>
      <c r="L643" t="s" s="2">
        <v>22</v>
      </c>
      <c r="M643" t="s" s="2">
        <v>22</v>
      </c>
    </row>
    <row r="644" ht="25.0" customHeight="true">
      <c r="A644" t="s" s="2">
        <v>13</v>
      </c>
      <c r="B644" t="s" s="2">
        <f>HYPERLINK("http://ts.21cn.com/tousu/show/id/1373465","微信支付商户被冻结体现不了")</f>
      </c>
      <c r="C644" t="s" s="2">
        <v>15</v>
      </c>
      <c r="D644" t="s" s="2">
        <v>16</v>
      </c>
      <c r="E644" t="s" s="2">
        <v>17</v>
      </c>
      <c r="F644" t="s" s="2">
        <f>HYPERLINK("http://ts.21cn.com/tousu/show/id/1373465","http://ts.21cn.com/tousu/show/id/1373465")</f>
      </c>
      <c r="G644" t="s" s="2">
        <v>17</v>
      </c>
      <c r="H644" t="s" s="2">
        <v>19</v>
      </c>
      <c r="I644" t="s" s="2">
        <v>2556</v>
      </c>
      <c r="J644" t="s" s="2">
        <v>2557</v>
      </c>
      <c r="K644" t="s" s="2">
        <v>22</v>
      </c>
      <c r="L644" t="s" s="2">
        <v>22</v>
      </c>
      <c r="M644" t="s" s="2">
        <v>22</v>
      </c>
    </row>
    <row r="645" ht="25.0" customHeight="true">
      <c r="A645" t="s" s="2">
        <v>13</v>
      </c>
      <c r="B645" t="s" s="2">
        <f>HYPERLINK("http://ts.21cn.com/tousu/show/id/1373464","欺诈行为")</f>
      </c>
      <c r="C645" t="s" s="2">
        <v>15</v>
      </c>
      <c r="D645" t="s" s="2">
        <v>16</v>
      </c>
      <c r="E645" t="s" s="2">
        <v>17</v>
      </c>
      <c r="F645" t="s" s="2">
        <f>HYPERLINK("http://ts.21cn.com/tousu/show/id/1373464","http://ts.21cn.com/tousu/show/id/1373464")</f>
      </c>
      <c r="G645" t="s" s="2">
        <v>17</v>
      </c>
      <c r="H645" t="s" s="2">
        <v>19</v>
      </c>
      <c r="I645" t="s" s="2">
        <v>2560</v>
      </c>
      <c r="J645" t="s" s="2">
        <v>2561</v>
      </c>
      <c r="K645" t="s" s="2">
        <v>22</v>
      </c>
      <c r="L645" t="s" s="2">
        <v>22</v>
      </c>
      <c r="M645" t="s" s="2">
        <v>22</v>
      </c>
    </row>
    <row r="646" ht="25.0" customHeight="true">
      <c r="A646" t="s" s="2">
        <v>13</v>
      </c>
      <c r="B646" t="s" s="2">
        <f>HYPERLINK("http://ts.21cn.com/tousu/show/id/1373461","钱到到违法经营套路贷")</f>
      </c>
      <c r="C646" t="s" s="2">
        <v>15</v>
      </c>
      <c r="D646" t="s" s="2">
        <v>16</v>
      </c>
      <c r="E646" t="s" s="2">
        <v>17</v>
      </c>
      <c r="F646" t="s" s="2">
        <f>HYPERLINK("http://ts.21cn.com/tousu/show/id/1373461","http://ts.21cn.com/tousu/show/id/1373461")</f>
      </c>
      <c r="G646" t="s" s="2">
        <v>17</v>
      </c>
      <c r="H646" t="s" s="2">
        <v>19</v>
      </c>
      <c r="I646" t="s" s="2">
        <v>2564</v>
      </c>
      <c r="J646" t="s" s="2">
        <v>2565</v>
      </c>
      <c r="K646" t="s" s="2">
        <v>22</v>
      </c>
      <c r="L646" t="s" s="2">
        <v>22</v>
      </c>
      <c r="M646" t="s" s="2">
        <v>22</v>
      </c>
    </row>
    <row r="647" ht="25.0" customHeight="true">
      <c r="A647" t="s" s="2">
        <v>13</v>
      </c>
      <c r="B647" t="s" s="2">
        <f>HYPERLINK("http://ts.21cn.com/tousu/show/id/1373463","售后处理太慢，客服一拖再拖，客服服务态度恶劣")</f>
      </c>
      <c r="C647" t="s" s="2">
        <v>15</v>
      </c>
      <c r="D647" t="s" s="2">
        <v>16</v>
      </c>
      <c r="E647" t="s" s="2">
        <v>17</v>
      </c>
      <c r="F647" t="s" s="2">
        <f>HYPERLINK("http://ts.21cn.com/tousu/show/id/1373463","http://ts.21cn.com/tousu/show/id/1373463")</f>
      </c>
      <c r="G647" t="s" s="2">
        <v>17</v>
      </c>
      <c r="H647" t="s" s="2">
        <v>19</v>
      </c>
      <c r="I647" t="s" s="2">
        <v>2568</v>
      </c>
      <c r="J647" t="s" s="2">
        <v>2569</v>
      </c>
      <c r="K647" t="s" s="2">
        <v>22</v>
      </c>
      <c r="L647" t="s" s="2">
        <v>22</v>
      </c>
      <c r="M647" t="s" s="2">
        <v>22</v>
      </c>
    </row>
    <row r="648" ht="25.0" customHeight="true">
      <c r="A648" t="s" s="2">
        <v>13</v>
      </c>
      <c r="B648" t="s" s="2">
        <f>HYPERLINK("http://ts.21cn.com/tousu/show/id/1373459","惠域u卡爆通讯录骚扰家人朋友")</f>
      </c>
      <c r="C648" t="s" s="2">
        <v>15</v>
      </c>
      <c r="D648" t="s" s="2">
        <v>16</v>
      </c>
      <c r="E648" t="s" s="2">
        <v>17</v>
      </c>
      <c r="F648" t="s" s="2">
        <f>HYPERLINK("http://ts.21cn.com/tousu/show/id/1373459","http://ts.21cn.com/tousu/show/id/1373459")</f>
      </c>
      <c r="G648" t="s" s="2">
        <v>17</v>
      </c>
      <c r="H648" t="s" s="2">
        <v>19</v>
      </c>
      <c r="I648" t="s" s="2">
        <v>2572</v>
      </c>
      <c r="J648" t="s" s="2">
        <v>2573</v>
      </c>
      <c r="K648" t="s" s="2">
        <v>22</v>
      </c>
      <c r="L648" t="s" s="2">
        <v>22</v>
      </c>
      <c r="M648" t="s" s="2">
        <v>22</v>
      </c>
    </row>
    <row r="649" ht="25.0" customHeight="true">
      <c r="A649" t="s" s="2">
        <v>13</v>
      </c>
      <c r="B649" t="s" s="2">
        <f>HYPERLINK("http://ts.21cn.com/tousu/show/id/1373458","京东白条暴力催收，雇人员上门")</f>
      </c>
      <c r="C649" t="s" s="2">
        <v>15</v>
      </c>
      <c r="D649" t="s" s="2">
        <v>16</v>
      </c>
      <c r="E649" t="s" s="2">
        <v>17</v>
      </c>
      <c r="F649" t="s" s="2">
        <f>HYPERLINK("http://ts.21cn.com/tousu/show/id/1373458","http://ts.21cn.com/tousu/show/id/1373458")</f>
      </c>
      <c r="G649" t="s" s="2">
        <v>17</v>
      </c>
      <c r="H649" t="s" s="2">
        <v>19</v>
      </c>
      <c r="I649" t="s" s="2">
        <v>2576</v>
      </c>
      <c r="J649" t="s" s="2">
        <v>2577</v>
      </c>
      <c r="K649" t="s" s="2">
        <v>22</v>
      </c>
      <c r="L649" t="s" s="2">
        <v>22</v>
      </c>
      <c r="M649" t="s" s="2">
        <v>22</v>
      </c>
    </row>
    <row r="650" ht="25.0" customHeight="true">
      <c r="A650" t="s" s="2">
        <v>13</v>
      </c>
      <c r="B650" t="s" s="2">
        <f>HYPERLINK("http://ts.21cn.com/tousu/show/id/1373456","卖家收到衣服说脏了不给退，我收到却是干净的，yi")</f>
      </c>
      <c r="C650" t="s" s="2">
        <v>15</v>
      </c>
      <c r="D650" t="s" s="2">
        <v>16</v>
      </c>
      <c r="E650" t="s" s="2">
        <v>17</v>
      </c>
      <c r="F650" t="s" s="2">
        <f>HYPERLINK("http://ts.21cn.com/tousu/show/id/1373456","http://ts.21cn.com/tousu/show/id/1373456")</f>
      </c>
      <c r="G650" t="s" s="2">
        <v>17</v>
      </c>
      <c r="H650" t="s" s="2">
        <v>19</v>
      </c>
      <c r="I650" t="s" s="2">
        <v>2580</v>
      </c>
      <c r="J650" t="s" s="2">
        <v>2581</v>
      </c>
      <c r="K650" t="s" s="2">
        <v>22</v>
      </c>
      <c r="L650" t="s" s="2">
        <v>22</v>
      </c>
      <c r="M650" t="s" s="2">
        <v>22</v>
      </c>
    </row>
    <row r="651" ht="25.0" customHeight="true">
      <c r="A651" t="s" s="2">
        <v>13</v>
      </c>
      <c r="B651" t="s" s="2">
        <f>HYPERLINK("http://ts.21cn.com/tousu/show/id/1373455","如期分期暴力催收对我形成骚扰")</f>
      </c>
      <c r="C651" t="s" s="2">
        <v>15</v>
      </c>
      <c r="D651" t="s" s="2">
        <v>16</v>
      </c>
      <c r="E651" t="s" s="2">
        <v>17</v>
      </c>
      <c r="F651" t="s" s="2">
        <f>HYPERLINK("http://ts.21cn.com/tousu/show/id/1373455","http://ts.21cn.com/tousu/show/id/1373455")</f>
      </c>
      <c r="G651" t="s" s="2">
        <v>17</v>
      </c>
      <c r="H651" t="s" s="2">
        <v>19</v>
      </c>
      <c r="I651" t="s" s="2">
        <v>2584</v>
      </c>
      <c r="J651" t="s" s="2">
        <v>2585</v>
      </c>
      <c r="K651" t="s" s="2">
        <v>22</v>
      </c>
      <c r="L651" t="s" s="2">
        <v>22</v>
      </c>
      <c r="M651" t="s" s="2">
        <v>22</v>
      </c>
    </row>
    <row r="652" ht="25.0" customHeight="true">
      <c r="A652" t="s" s="2">
        <v>13</v>
      </c>
      <c r="B652" t="s" s="2">
        <f>HYPERLINK("http://ts.21cn.com/tousu/show/id/1373452","未逾期遭爆通讯录")</f>
      </c>
      <c r="C652" t="s" s="2">
        <v>15</v>
      </c>
      <c r="D652" t="s" s="2">
        <v>16</v>
      </c>
      <c r="E652" t="s" s="2">
        <v>17</v>
      </c>
      <c r="F652" t="s" s="2">
        <f>HYPERLINK("http://ts.21cn.com/tousu/show/id/1373452","http://ts.21cn.com/tousu/show/id/1373452")</f>
      </c>
      <c r="G652" t="s" s="2">
        <v>17</v>
      </c>
      <c r="H652" t="s" s="2">
        <v>19</v>
      </c>
      <c r="I652" t="s" s="2">
        <v>2588</v>
      </c>
      <c r="J652" t="s" s="2">
        <v>2589</v>
      </c>
      <c r="K652" t="s" s="2">
        <v>22</v>
      </c>
      <c r="L652" t="s" s="2">
        <v>22</v>
      </c>
      <c r="M652" t="s" s="2">
        <v>22</v>
      </c>
    </row>
    <row r="653" ht="25.0" customHeight="true">
      <c r="A653" t="s" s="2">
        <v>13</v>
      </c>
      <c r="B653" t="s" s="2">
        <f>HYPERLINK("http://ts.21cn.com/tousu/show/id/1373205","捷信高利贷，恐吓威胁，恶意骚扰")</f>
      </c>
      <c r="C653" t="s" s="2">
        <v>15</v>
      </c>
      <c r="D653" t="s" s="2">
        <v>16</v>
      </c>
      <c r="E653" t="s" s="2">
        <v>17</v>
      </c>
      <c r="F653" t="s" s="2">
        <f>HYPERLINK("http://ts.21cn.com/tousu/show/id/1373205","http://ts.21cn.com/tousu/show/id/1373205")</f>
      </c>
      <c r="G653" t="s" s="2">
        <v>17</v>
      </c>
      <c r="H653" t="s" s="2">
        <v>19</v>
      </c>
      <c r="I653" t="s" s="2">
        <v>2592</v>
      </c>
      <c r="J653" t="s" s="2">
        <v>2593</v>
      </c>
      <c r="K653" t="s" s="2">
        <v>22</v>
      </c>
      <c r="L653" t="s" s="2">
        <v>22</v>
      </c>
      <c r="M653" t="s" s="2">
        <v>22</v>
      </c>
    </row>
    <row r="654" ht="25.0" customHeight="true">
      <c r="A654" t="s" s="2">
        <v>13</v>
      </c>
      <c r="B654" t="s" s="2">
        <f>HYPERLINK("http://ts.21cn.com/tousu/show/id/1373255","快捷通支付违规为高利贷提供放款通道")</f>
      </c>
      <c r="C654" t="s" s="2">
        <v>15</v>
      </c>
      <c r="D654" t="s" s="2">
        <v>16</v>
      </c>
      <c r="E654" t="s" s="2">
        <v>17</v>
      </c>
      <c r="F654" t="s" s="2">
        <f>HYPERLINK("http://ts.21cn.com/tousu/show/id/1373255","http://ts.21cn.com/tousu/show/id/1373255")</f>
      </c>
      <c r="G654" t="s" s="2">
        <v>17</v>
      </c>
      <c r="H654" t="s" s="2">
        <v>19</v>
      </c>
      <c r="I654" t="s" s="2">
        <v>2596</v>
      </c>
      <c r="J654" t="s" s="2">
        <v>2597</v>
      </c>
      <c r="K654" t="s" s="2">
        <v>22</v>
      </c>
      <c r="L654" t="s" s="2">
        <v>22</v>
      </c>
      <c r="M654" t="s" s="2">
        <v>22</v>
      </c>
    </row>
    <row r="655" ht="25.0" customHeight="true">
      <c r="A655" t="s" s="2">
        <v>13</v>
      </c>
      <c r="B655" t="s" s="2">
        <f>HYPERLINK("http://ts.21cn.com/tousu/show/id/1373451","捷信爆通讯录违法催收")</f>
      </c>
      <c r="C655" t="s" s="2">
        <v>15</v>
      </c>
      <c r="D655" t="s" s="2">
        <v>16</v>
      </c>
      <c r="E655" t="s" s="2">
        <v>17</v>
      </c>
      <c r="F655" t="s" s="2">
        <f>HYPERLINK("http://ts.21cn.com/tousu/show/id/1373451","http://ts.21cn.com/tousu/show/id/1373451")</f>
      </c>
      <c r="G655" t="s" s="2">
        <v>17</v>
      </c>
      <c r="H655" t="s" s="2">
        <v>19</v>
      </c>
      <c r="I655" t="s" s="2">
        <v>2596</v>
      </c>
      <c r="J655" t="s" s="2">
        <v>2600</v>
      </c>
      <c r="K655" t="s" s="2">
        <v>22</v>
      </c>
      <c r="L655" t="s" s="2">
        <v>22</v>
      </c>
      <c r="M655" t="s" s="2">
        <v>22</v>
      </c>
    </row>
    <row r="656" ht="25.0" customHeight="true">
      <c r="A656" t="s" s="2">
        <v>13</v>
      </c>
      <c r="B656" t="s" s="2">
        <f>HYPERLINK("http://ts.21cn.com/tousu/show/id/1373449","微信一直在我跟朋友沟通时提示疑似盗号")</f>
      </c>
      <c r="C656" t="s" s="2">
        <v>52</v>
      </c>
      <c r="D656" t="s" s="2">
        <v>16</v>
      </c>
      <c r="E656" t="s" s="2">
        <v>17</v>
      </c>
      <c r="F656" t="s" s="2">
        <f>HYPERLINK("http://ts.21cn.com/tousu/show/id/1373449","http://ts.21cn.com/tousu/show/id/1373449")</f>
      </c>
      <c r="G656" t="s" s="2">
        <v>17</v>
      </c>
      <c r="H656" t="s" s="2">
        <v>19</v>
      </c>
      <c r="I656" t="s" s="2">
        <v>2603</v>
      </c>
      <c r="J656" t="s" s="2">
        <v>2604</v>
      </c>
      <c r="K656" t="s" s="2">
        <v>22</v>
      </c>
      <c r="L656" t="s" s="2">
        <v>22</v>
      </c>
      <c r="M656" t="s" s="2">
        <v>22</v>
      </c>
    </row>
    <row r="657" ht="25.0" customHeight="true">
      <c r="A657" t="s" s="2">
        <v>13</v>
      </c>
      <c r="B657" t="s" s="2">
        <f>HYPERLINK("http://ts.21cn.com/tousu/show/id/1373450","中汇支付POS刷卡迟迟不到账")</f>
      </c>
      <c r="C657" t="s" s="2">
        <v>52</v>
      </c>
      <c r="D657" t="s" s="2">
        <v>16</v>
      </c>
      <c r="E657" t="s" s="2">
        <v>17</v>
      </c>
      <c r="F657" t="s" s="2">
        <f>HYPERLINK("http://ts.21cn.com/tousu/show/id/1373450","http://ts.21cn.com/tousu/show/id/1373450")</f>
      </c>
      <c r="G657" t="s" s="2">
        <v>17</v>
      </c>
      <c r="H657" t="s" s="2">
        <v>19</v>
      </c>
      <c r="I657" t="s" s="2">
        <v>2607</v>
      </c>
      <c r="J657" t="s" s="2">
        <v>2608</v>
      </c>
      <c r="K657" t="s" s="2">
        <v>22</v>
      </c>
      <c r="L657" t="s" s="2">
        <v>22</v>
      </c>
      <c r="M657" t="s" s="2">
        <v>22</v>
      </c>
    </row>
    <row r="658" ht="25.0" customHeight="true">
      <c r="A658" t="s" s="2">
        <v>13</v>
      </c>
      <c r="B658" t="s" s="2">
        <f>HYPERLINK("http://ts.21cn.com/tousu/show/id/1373447","微贷网多米贷骚扰通讯录联系人")</f>
      </c>
      <c r="C658" t="s" s="2">
        <v>15</v>
      </c>
      <c r="D658" t="s" s="2">
        <v>16</v>
      </c>
      <c r="E658" t="s" s="2">
        <v>17</v>
      </c>
      <c r="F658" t="s" s="2">
        <f>HYPERLINK("http://ts.21cn.com/tousu/show/id/1373447","http://ts.21cn.com/tousu/show/id/1373447")</f>
      </c>
      <c r="G658" t="s" s="2">
        <v>17</v>
      </c>
      <c r="H658" t="s" s="2">
        <v>19</v>
      </c>
      <c r="I658" t="s" s="2">
        <v>2611</v>
      </c>
      <c r="J658" t="s" s="2">
        <v>2612</v>
      </c>
      <c r="K658" t="s" s="2">
        <v>22</v>
      </c>
      <c r="L658" t="s" s="2">
        <v>22</v>
      </c>
      <c r="M658" t="s" s="2">
        <v>22</v>
      </c>
    </row>
    <row r="659" ht="25.0" customHeight="true">
      <c r="A659" t="s" s="2">
        <v>13</v>
      </c>
      <c r="B659" t="s" s="2">
        <f>HYPERLINK("http://ts.21cn.com/tousu/show/id/1373448","合同欺诈，私自扣款")</f>
      </c>
      <c r="C659" t="s" s="2">
        <v>15</v>
      </c>
      <c r="D659" t="s" s="2">
        <v>16</v>
      </c>
      <c r="E659" t="s" s="2">
        <v>17</v>
      </c>
      <c r="F659" t="s" s="2">
        <f>HYPERLINK("http://ts.21cn.com/tousu/show/id/1373448","http://ts.21cn.com/tousu/show/id/1373448")</f>
      </c>
      <c r="G659" t="s" s="2">
        <v>17</v>
      </c>
      <c r="H659" t="s" s="2">
        <v>19</v>
      </c>
      <c r="I659" t="s" s="2">
        <v>2614</v>
      </c>
      <c r="J659" t="s" s="2">
        <v>2615</v>
      </c>
      <c r="K659" t="s" s="2">
        <v>22</v>
      </c>
      <c r="L659" t="s" s="2">
        <v>22</v>
      </c>
      <c r="M659" t="s" s="2">
        <v>22</v>
      </c>
    </row>
    <row r="660" ht="25.0" customHeight="true">
      <c r="A660" t="s" s="2">
        <v>13</v>
      </c>
      <c r="B660" t="s" s="2">
        <f>HYPERLINK("http://ts.21cn.com/tousu/show/id/1373446","平安普惠违规暴力催收，涉黑，威胁，希望大家能看到，不要等到出人命你们才重视")</f>
      </c>
      <c r="C660" t="s" s="2">
        <v>15</v>
      </c>
      <c r="D660" t="s" s="2">
        <v>16</v>
      </c>
      <c r="E660" t="s" s="2">
        <v>17</v>
      </c>
      <c r="F660" t="s" s="2">
        <f>HYPERLINK("http://ts.21cn.com/tousu/show/id/1373446","http://ts.21cn.com/tousu/show/id/1373446")</f>
      </c>
      <c r="G660" t="s" s="2">
        <v>17</v>
      </c>
      <c r="H660" t="s" s="2">
        <v>19</v>
      </c>
      <c r="I660" t="s" s="2">
        <v>2618</v>
      </c>
      <c r="J660" t="s" s="2">
        <v>2619</v>
      </c>
      <c r="K660" t="s" s="2">
        <v>22</v>
      </c>
      <c r="L660" t="s" s="2">
        <v>22</v>
      </c>
      <c r="M660" t="s" s="2">
        <v>22</v>
      </c>
    </row>
    <row r="661" ht="25.0" customHeight="true">
      <c r="A661" t="s" s="2">
        <v>13</v>
      </c>
      <c r="B661" t="s" s="2">
        <f>HYPERLINK("http://ts.21cn.com/tousu/show/id/1373444","贷上钱APP")</f>
      </c>
      <c r="C661" t="s" s="2">
        <v>15</v>
      </c>
      <c r="D661" t="s" s="2">
        <v>16</v>
      </c>
      <c r="E661" t="s" s="2">
        <v>17</v>
      </c>
      <c r="F661" t="s" s="2">
        <f>HYPERLINK("http://ts.21cn.com/tousu/show/id/1373444","http://ts.21cn.com/tousu/show/id/1373444")</f>
      </c>
      <c r="G661" t="s" s="2">
        <v>17</v>
      </c>
      <c r="H661" t="s" s="2">
        <v>19</v>
      </c>
      <c r="I661" t="s" s="2">
        <v>2622</v>
      </c>
      <c r="J661" t="s" s="2">
        <v>2623</v>
      </c>
      <c r="K661" t="s" s="2">
        <v>22</v>
      </c>
      <c r="L661" t="s" s="2">
        <v>22</v>
      </c>
      <c r="M661" t="s" s="2">
        <v>22</v>
      </c>
    </row>
    <row r="662" ht="25.0" customHeight="true">
      <c r="A662" t="s" s="2">
        <v>13</v>
      </c>
      <c r="B662" t="s" s="2">
        <f>HYPERLINK("http://ts.21cn.com/tousu/show/id/1373443","小黑鲨暴力催收高额利息")</f>
      </c>
      <c r="C662" t="s" s="2">
        <v>15</v>
      </c>
      <c r="D662" t="s" s="2">
        <v>16</v>
      </c>
      <c r="E662" t="s" s="2">
        <v>17</v>
      </c>
      <c r="F662" t="s" s="2">
        <f>HYPERLINK("http://ts.21cn.com/tousu/show/id/1373443","http://ts.21cn.com/tousu/show/id/1373443")</f>
      </c>
      <c r="G662" t="s" s="2">
        <v>17</v>
      </c>
      <c r="H662" t="s" s="2">
        <v>19</v>
      </c>
      <c r="I662" t="s" s="2">
        <v>2626</v>
      </c>
      <c r="J662" t="s" s="2">
        <v>2627</v>
      </c>
      <c r="K662" t="s" s="2">
        <v>22</v>
      </c>
      <c r="L662" t="s" s="2">
        <v>22</v>
      </c>
      <c r="M662" t="s" s="2">
        <v>22</v>
      </c>
    </row>
    <row r="663" ht="25.0" customHeight="true">
      <c r="A663" t="s" s="2">
        <v>13</v>
      </c>
      <c r="B663" t="s" s="2">
        <f>HYPERLINK("http://ts.21cn.com/tousu/show/id/1373382","钱站高利贷")</f>
      </c>
      <c r="C663" t="s" s="2">
        <v>15</v>
      </c>
      <c r="D663" t="s" s="2">
        <v>16</v>
      </c>
      <c r="E663" t="s" s="2">
        <v>17</v>
      </c>
      <c r="F663" t="s" s="2">
        <f>HYPERLINK("http://ts.21cn.com/tousu/show/id/1373382","http://ts.21cn.com/tousu/show/id/1373382")</f>
      </c>
      <c r="G663" t="s" s="2">
        <v>17</v>
      </c>
      <c r="H663" t="s" s="2">
        <v>19</v>
      </c>
      <c r="I663" t="s" s="2">
        <v>2629</v>
      </c>
      <c r="J663" t="s" s="2">
        <v>2630</v>
      </c>
      <c r="K663" t="s" s="2">
        <v>22</v>
      </c>
      <c r="L663" t="s" s="2">
        <v>22</v>
      </c>
      <c r="M663" t="s" s="2">
        <v>22</v>
      </c>
    </row>
    <row r="664" ht="25.0" customHeight="true">
      <c r="A664" t="s" s="2">
        <v>13</v>
      </c>
      <c r="B664" t="s" s="2">
        <f>HYPERLINK("http://ts.21cn.com/tousu/show/id/1373441","圆通物流中转出错延误时间，申请理赔")</f>
      </c>
      <c r="C664" t="s" s="2">
        <v>15</v>
      </c>
      <c r="D664" t="s" s="2">
        <v>16</v>
      </c>
      <c r="E664" t="s" s="2">
        <v>17</v>
      </c>
      <c r="F664" t="s" s="2">
        <f>HYPERLINK("http://ts.21cn.com/tousu/show/id/1373441","http://ts.21cn.com/tousu/show/id/1373441")</f>
      </c>
      <c r="G664" t="s" s="2">
        <v>17</v>
      </c>
      <c r="H664" t="s" s="2">
        <v>19</v>
      </c>
      <c r="I664" t="s" s="2">
        <v>2633</v>
      </c>
      <c r="J664" t="s" s="2">
        <v>2634</v>
      </c>
      <c r="K664" t="s" s="2">
        <v>22</v>
      </c>
      <c r="L664" t="s" s="2">
        <v>22</v>
      </c>
      <c r="M664" t="s" s="2">
        <v>22</v>
      </c>
    </row>
    <row r="665" ht="25.0" customHeight="true">
      <c r="A665" t="s" s="2">
        <v>13</v>
      </c>
      <c r="B665" t="s" s="2">
        <f>HYPERLINK("http://ts.21cn.com/tousu/show/id/1373442","卡牛瑞贷恶意收费，砍头息")</f>
      </c>
      <c r="C665" t="s" s="2">
        <v>15</v>
      </c>
      <c r="D665" t="s" s="2">
        <v>16</v>
      </c>
      <c r="E665" t="s" s="2">
        <v>17</v>
      </c>
      <c r="F665" t="s" s="2">
        <f>HYPERLINK("http://ts.21cn.com/tousu/show/id/1373442","http://ts.21cn.com/tousu/show/id/1373442")</f>
      </c>
      <c r="G665" t="s" s="2">
        <v>17</v>
      </c>
      <c r="H665" t="s" s="2">
        <v>19</v>
      </c>
      <c r="I665" t="s" s="2">
        <v>2637</v>
      </c>
      <c r="J665" t="s" s="2">
        <v>2638</v>
      </c>
      <c r="K665" t="s" s="2">
        <v>22</v>
      </c>
      <c r="L665" t="s" s="2">
        <v>22</v>
      </c>
      <c r="M665" t="s" s="2">
        <v>22</v>
      </c>
    </row>
    <row r="666" ht="25.0" customHeight="true">
      <c r="A666" t="s" s="2">
        <v>13</v>
      </c>
      <c r="B666" t="s" s="2">
        <f>HYPERLINK("http://ts.21cn.com/tousu/show/id/1373440","好易借平台今天打边了我通讯录里的电话，侵犯我的隐私以及大家对我信誉的下降")</f>
      </c>
      <c r="C666" t="s" s="2">
        <v>15</v>
      </c>
      <c r="D666" t="s" s="2">
        <v>16</v>
      </c>
      <c r="E666" t="s" s="2">
        <v>17</v>
      </c>
      <c r="F666" t="s" s="2">
        <f>HYPERLINK("http://ts.21cn.com/tousu/show/id/1373440","http://ts.21cn.com/tousu/show/id/1373440")</f>
      </c>
      <c r="G666" t="s" s="2">
        <v>17</v>
      </c>
      <c r="H666" t="s" s="2">
        <v>19</v>
      </c>
      <c r="I666" t="s" s="2">
        <v>2641</v>
      </c>
      <c r="J666" t="s" s="2">
        <v>2642</v>
      </c>
      <c r="K666" t="s" s="2">
        <v>22</v>
      </c>
      <c r="L666" t="s" s="2">
        <v>22</v>
      </c>
      <c r="M666" t="s" s="2">
        <v>22</v>
      </c>
    </row>
    <row r="667" ht="25.0" customHeight="true">
      <c r="A667" t="s" s="2">
        <v>13</v>
      </c>
      <c r="B667" t="s" s="2">
        <f>HYPERLINK("http://ts.21cn.com/tousu/show/id/1373439","闪银哼哼催收态度恶劣骂人")</f>
      </c>
      <c r="C667" t="s" s="2">
        <v>15</v>
      </c>
      <c r="D667" t="s" s="2">
        <v>16</v>
      </c>
      <c r="E667" t="s" s="2">
        <v>17</v>
      </c>
      <c r="F667" t="s" s="2">
        <f>HYPERLINK("http://ts.21cn.com/tousu/show/id/1373439","http://ts.21cn.com/tousu/show/id/1373439")</f>
      </c>
      <c r="G667" t="s" s="2">
        <v>17</v>
      </c>
      <c r="H667" t="s" s="2">
        <v>19</v>
      </c>
      <c r="I667" t="s" s="2">
        <v>2645</v>
      </c>
      <c r="J667" t="s" s="2">
        <v>2646</v>
      </c>
      <c r="K667" t="s" s="2">
        <v>22</v>
      </c>
      <c r="L667" t="s" s="2">
        <v>22</v>
      </c>
      <c r="M667" t="s" s="2">
        <v>22</v>
      </c>
    </row>
    <row r="668" ht="25.0" customHeight="true">
      <c r="A668" t="s" s="2">
        <v>13</v>
      </c>
      <c r="B668" t="s" s="2">
        <f>HYPERLINK("http://ts.21cn.com/tousu/show/id/1373438","网络刷单，不退还本金")</f>
      </c>
      <c r="C668" t="s" s="2">
        <v>15</v>
      </c>
      <c r="D668" t="s" s="2">
        <v>16</v>
      </c>
      <c r="E668" t="s" s="2">
        <v>17</v>
      </c>
      <c r="F668" t="s" s="2">
        <f>HYPERLINK("http://ts.21cn.com/tousu/show/id/1373438","http://ts.21cn.com/tousu/show/id/1373438")</f>
      </c>
      <c r="G668" t="s" s="2">
        <v>17</v>
      </c>
      <c r="H668" t="s" s="2">
        <v>19</v>
      </c>
      <c r="I668" t="s" s="2">
        <v>2645</v>
      </c>
      <c r="J668" t="s" s="2">
        <v>2649</v>
      </c>
      <c r="K668" t="s" s="2">
        <v>22</v>
      </c>
      <c r="L668" t="s" s="2">
        <v>22</v>
      </c>
      <c r="M668" t="s" s="2">
        <v>22</v>
      </c>
    </row>
    <row r="669" ht="25.0" customHeight="true">
      <c r="A669" t="s" s="2">
        <v>13</v>
      </c>
      <c r="B669" t="s" s="2">
        <f>HYPERLINK("http://ts.21cn.com/tousu/show/id/1373395","同程旅游借钱（萤火虫小贷）违规收取前期费用")</f>
      </c>
      <c r="C669" t="s" s="2">
        <v>15</v>
      </c>
      <c r="D669" t="s" s="2">
        <v>16</v>
      </c>
      <c r="E669" t="s" s="2">
        <v>17</v>
      </c>
      <c r="F669" t="s" s="2">
        <f>HYPERLINK("http://ts.21cn.com/tousu/show/id/1373395","http://ts.21cn.com/tousu/show/id/1373395")</f>
      </c>
      <c r="G669" t="s" s="2">
        <v>17</v>
      </c>
      <c r="H669" t="s" s="2">
        <v>19</v>
      </c>
      <c r="I669" t="s" s="2">
        <v>2652</v>
      </c>
      <c r="J669" t="s" s="2">
        <v>2653</v>
      </c>
      <c r="K669" t="s" s="2">
        <v>22</v>
      </c>
      <c r="L669" t="s" s="2">
        <v>22</v>
      </c>
      <c r="M669" t="s" s="2">
        <v>22</v>
      </c>
    </row>
    <row r="670" ht="25.0" customHeight="true">
      <c r="A670" t="s" s="2">
        <v>13</v>
      </c>
      <c r="B670" t="s" s="2">
        <f>HYPERLINK("http://ts.21cn.com/tousu/show/id/1373437","中智消费莫名扣费408.76")</f>
      </c>
      <c r="C670" t="s" s="2">
        <v>15</v>
      </c>
      <c r="D670" t="s" s="2">
        <v>16</v>
      </c>
      <c r="E670" t="s" s="2">
        <v>17</v>
      </c>
      <c r="F670" t="s" s="2">
        <f>HYPERLINK("http://ts.21cn.com/tousu/show/id/1373437","http://ts.21cn.com/tousu/show/id/1373437")</f>
      </c>
      <c r="G670" t="s" s="2">
        <v>17</v>
      </c>
      <c r="H670" t="s" s="2">
        <v>19</v>
      </c>
      <c r="I670" t="s" s="2">
        <v>2656</v>
      </c>
      <c r="J670" t="s" s="2">
        <v>2657</v>
      </c>
      <c r="K670" t="s" s="2">
        <v>22</v>
      </c>
      <c r="L670" t="s" s="2">
        <v>22</v>
      </c>
      <c r="M670" t="s" s="2">
        <v>22</v>
      </c>
    </row>
    <row r="671" ht="25.0" customHeight="true">
      <c r="A671" t="s" s="2">
        <v>13</v>
      </c>
      <c r="B671" t="s" s="2">
        <f>HYPERLINK("http://ts.21cn.com/tousu/show/id/1373436","暴力催收恐吓我和我家人")</f>
      </c>
      <c r="C671" t="s" s="2">
        <v>15</v>
      </c>
      <c r="D671" t="s" s="2">
        <v>16</v>
      </c>
      <c r="E671" t="s" s="2">
        <v>17</v>
      </c>
      <c r="F671" t="s" s="2">
        <f>HYPERLINK("http://ts.21cn.com/tousu/show/id/1373436","http://ts.21cn.com/tousu/show/id/1373436")</f>
      </c>
      <c r="G671" t="s" s="2">
        <v>17</v>
      </c>
      <c r="H671" t="s" s="2">
        <v>19</v>
      </c>
      <c r="I671" t="s" s="2">
        <v>2660</v>
      </c>
      <c r="J671" t="s" s="2">
        <v>2661</v>
      </c>
      <c r="K671" t="s" s="2">
        <v>22</v>
      </c>
      <c r="L671" t="s" s="2">
        <v>22</v>
      </c>
      <c r="M671" t="s" s="2">
        <v>22</v>
      </c>
    </row>
    <row r="672" ht="25.0" customHeight="true">
      <c r="A672" t="s" s="2">
        <v>13</v>
      </c>
      <c r="B672" t="s" s="2">
        <f>HYPERLINK("http://ts.21cn.com/tousu/show/id/1373435","把我原来额度给我")</f>
      </c>
      <c r="C672" t="s" s="2">
        <v>52</v>
      </c>
      <c r="D672" t="s" s="2">
        <v>16</v>
      </c>
      <c r="E672" t="s" s="2">
        <v>17</v>
      </c>
      <c r="F672" t="s" s="2">
        <f>HYPERLINK("http://ts.21cn.com/tousu/show/id/1373435","http://ts.21cn.com/tousu/show/id/1373435")</f>
      </c>
      <c r="G672" t="s" s="2">
        <v>17</v>
      </c>
      <c r="H672" t="s" s="2">
        <v>19</v>
      </c>
      <c r="I672" t="s" s="2">
        <v>2664</v>
      </c>
      <c r="J672" t="s" s="2">
        <v>2665</v>
      </c>
      <c r="K672" t="s" s="2">
        <v>22</v>
      </c>
      <c r="L672" t="s" s="2">
        <v>22</v>
      </c>
      <c r="M672" t="s" s="2">
        <v>22</v>
      </c>
    </row>
    <row r="673" ht="25.0" customHeight="true">
      <c r="A673" t="s" s="2">
        <v>13</v>
      </c>
      <c r="B673" t="s" s="2">
        <f>HYPERLINK("http://ts.21cn.com/tousu/show/id/1373421","广东新华峰汇商业管理有限公司对我的店铺进行恶意投诉")</f>
      </c>
      <c r="C673" t="s" s="2">
        <v>15</v>
      </c>
      <c r="D673" t="s" s="2">
        <v>16</v>
      </c>
      <c r="E673" t="s" s="2">
        <v>17</v>
      </c>
      <c r="F673" t="s" s="2">
        <f>HYPERLINK("http://ts.21cn.com/tousu/show/id/1373421","http://ts.21cn.com/tousu/show/id/1373421")</f>
      </c>
      <c r="G673" t="s" s="2">
        <v>17</v>
      </c>
      <c r="H673" t="s" s="2">
        <v>19</v>
      </c>
      <c r="I673" t="s" s="2">
        <v>2668</v>
      </c>
      <c r="J673" t="s" s="2">
        <v>2669</v>
      </c>
      <c r="K673" t="s" s="2">
        <v>22</v>
      </c>
      <c r="L673" t="s" s="2">
        <v>22</v>
      </c>
      <c r="M673" t="s" s="2">
        <v>22</v>
      </c>
    </row>
    <row r="674" ht="25.0" customHeight="true">
      <c r="A674" t="s" s="2">
        <v>13</v>
      </c>
      <c r="B674" t="s" s="2">
        <f>HYPERLINK("http://ts.21cn.com/tousu/show/id/1373433","合同欺诈，私自扣款")</f>
      </c>
      <c r="C674" t="s" s="2">
        <v>15</v>
      </c>
      <c r="D674" t="s" s="2">
        <v>16</v>
      </c>
      <c r="E674" t="s" s="2">
        <v>17</v>
      </c>
      <c r="F674" t="s" s="2">
        <f>HYPERLINK("http://ts.21cn.com/tousu/show/id/1373433","http://ts.21cn.com/tousu/show/id/1373433")</f>
      </c>
      <c r="G674" t="s" s="2">
        <v>17</v>
      </c>
      <c r="H674" t="s" s="2">
        <v>19</v>
      </c>
      <c r="I674" t="s" s="2">
        <v>2671</v>
      </c>
      <c r="J674" t="s" s="2">
        <v>2672</v>
      </c>
      <c r="K674" t="s" s="2">
        <v>22</v>
      </c>
      <c r="L674" t="s" s="2">
        <v>22</v>
      </c>
      <c r="M674" t="s" s="2">
        <v>22</v>
      </c>
    </row>
    <row r="675" ht="25.0" customHeight="true">
      <c r="A675" t="s" s="2">
        <v>13</v>
      </c>
      <c r="B675" t="s" s="2">
        <f>HYPERLINK("http://ts.21cn.com/tousu/show/id/1373432","得仕企业股份有限公司帮助非法网站提供充值通道")</f>
      </c>
      <c r="C675" t="s" s="2">
        <v>15</v>
      </c>
      <c r="D675" t="s" s="2">
        <v>16</v>
      </c>
      <c r="E675" t="s" s="2">
        <v>17</v>
      </c>
      <c r="F675" t="s" s="2">
        <f>HYPERLINK("http://ts.21cn.com/tousu/show/id/1373432","http://ts.21cn.com/tousu/show/id/1373432")</f>
      </c>
      <c r="G675" t="s" s="2">
        <v>17</v>
      </c>
      <c r="H675" t="s" s="2">
        <v>19</v>
      </c>
      <c r="I675" t="s" s="2">
        <v>2675</v>
      </c>
      <c r="J675" t="s" s="2">
        <v>2676</v>
      </c>
      <c r="K675" t="s" s="2">
        <v>22</v>
      </c>
      <c r="L675" t="s" s="2">
        <v>22</v>
      </c>
      <c r="M675" t="s" s="2">
        <v>22</v>
      </c>
    </row>
    <row r="676" ht="25.0" customHeight="true">
      <c r="A676" t="s" s="2">
        <v>13</v>
      </c>
      <c r="B676" t="s" s="2">
        <f>HYPERLINK("http://ts.21cn.com/tousu/show/id/1373257","爆我个人隐私")</f>
      </c>
      <c r="C676" t="s" s="2">
        <v>52</v>
      </c>
      <c r="D676" t="s" s="2">
        <v>16</v>
      </c>
      <c r="E676" t="s" s="2">
        <v>17</v>
      </c>
      <c r="F676" t="s" s="2">
        <f>HYPERLINK("http://ts.21cn.com/tousu/show/id/1373257","http://ts.21cn.com/tousu/show/id/1373257")</f>
      </c>
      <c r="G676" t="s" s="2">
        <v>17</v>
      </c>
      <c r="H676" t="s" s="2">
        <v>19</v>
      </c>
      <c r="I676" t="s" s="2">
        <v>2679</v>
      </c>
      <c r="J676" t="s" s="2">
        <v>2680</v>
      </c>
      <c r="K676" t="s" s="2">
        <v>22</v>
      </c>
      <c r="L676" t="s" s="2">
        <v>22</v>
      </c>
      <c r="M676" t="s" s="2">
        <v>22</v>
      </c>
    </row>
    <row r="677" ht="25.0" customHeight="true">
      <c r="A677" t="s" s="2">
        <v>13</v>
      </c>
      <c r="B677" t="s" s="2">
        <f>HYPERLINK("http://ts.21cn.com/tousu/show/id/1373431","揭露平安i贷霸王行为")</f>
      </c>
      <c r="C677" t="s" s="2">
        <v>15</v>
      </c>
      <c r="D677" t="s" s="2">
        <v>16</v>
      </c>
      <c r="E677" t="s" s="2">
        <v>17</v>
      </c>
      <c r="F677" t="s" s="2">
        <f>HYPERLINK("http://ts.21cn.com/tousu/show/id/1373431","http://ts.21cn.com/tousu/show/id/1373431")</f>
      </c>
      <c r="G677" t="s" s="2">
        <v>17</v>
      </c>
      <c r="H677" t="s" s="2">
        <v>19</v>
      </c>
      <c r="I677" t="s" s="2">
        <v>2683</v>
      </c>
      <c r="J677" t="s" s="2">
        <v>2684</v>
      </c>
      <c r="K677" t="s" s="2">
        <v>22</v>
      </c>
      <c r="L677" t="s" s="2">
        <v>22</v>
      </c>
      <c r="M677" t="s" s="2">
        <v>22</v>
      </c>
    </row>
    <row r="678" ht="25.0" customHeight="true">
      <c r="A678" t="s" s="2">
        <v>13</v>
      </c>
      <c r="B678" t="s" s="2">
        <f>HYPERLINK("http://ts.21cn.com/tousu/show/id/1373430","启信宝侵犯企业及个人隐私造成隐私泄露和骚扰")</f>
      </c>
      <c r="C678" t="s" s="2">
        <v>15</v>
      </c>
      <c r="D678" t="s" s="2">
        <v>16</v>
      </c>
      <c r="E678" t="s" s="2">
        <v>17</v>
      </c>
      <c r="F678" t="s" s="2">
        <f>HYPERLINK("http://ts.21cn.com/tousu/show/id/1373430","http://ts.21cn.com/tousu/show/id/1373430")</f>
      </c>
      <c r="G678" t="s" s="2">
        <v>17</v>
      </c>
      <c r="H678" t="s" s="2">
        <v>19</v>
      </c>
      <c r="I678" t="s" s="2">
        <v>2687</v>
      </c>
      <c r="J678" t="s" s="2">
        <v>2688</v>
      </c>
      <c r="K678" t="s" s="2">
        <v>22</v>
      </c>
      <c r="L678" t="s" s="2">
        <v>22</v>
      </c>
      <c r="M678" t="s" s="2">
        <v>22</v>
      </c>
    </row>
    <row r="679" ht="25.0" customHeight="true">
      <c r="A679" t="s" s="2">
        <v>13</v>
      </c>
      <c r="B679" t="s" s="2">
        <f>HYPERLINK("http://ts.21cn.com/tousu/show/id/1373429","还款后未销账")</f>
      </c>
      <c r="C679" t="s" s="2">
        <v>15</v>
      </c>
      <c r="D679" t="s" s="2">
        <v>16</v>
      </c>
      <c r="E679" t="s" s="2">
        <v>17</v>
      </c>
      <c r="F679" t="s" s="2">
        <f>HYPERLINK("http://ts.21cn.com/tousu/show/id/1373429","http://ts.21cn.com/tousu/show/id/1373429")</f>
      </c>
      <c r="G679" t="s" s="2">
        <v>17</v>
      </c>
      <c r="H679" t="s" s="2">
        <v>19</v>
      </c>
      <c r="I679" t="s" s="2">
        <v>2691</v>
      </c>
      <c r="J679" t="s" s="2">
        <v>2692</v>
      </c>
      <c r="K679" t="s" s="2">
        <v>22</v>
      </c>
      <c r="L679" t="s" s="2">
        <v>22</v>
      </c>
      <c r="M679" t="s" s="2">
        <v>22</v>
      </c>
    </row>
    <row r="680" ht="25.0" customHeight="true">
      <c r="A680" t="s" s="2">
        <v>13</v>
      </c>
      <c r="B680" t="s" s="2">
        <f>HYPERLINK("http://ts.21cn.com/tousu/show/id/1373428","重大违约，无提前说明，拒绝协商")</f>
      </c>
      <c r="C680" t="s" s="2">
        <v>15</v>
      </c>
      <c r="D680" t="s" s="2">
        <v>16</v>
      </c>
      <c r="E680" t="s" s="2">
        <v>17</v>
      </c>
      <c r="F680" t="s" s="2">
        <f>HYPERLINK("http://ts.21cn.com/tousu/show/id/1373428","http://ts.21cn.com/tousu/show/id/1373428")</f>
      </c>
      <c r="G680" t="s" s="2">
        <v>17</v>
      </c>
      <c r="H680" t="s" s="2">
        <v>19</v>
      </c>
      <c r="I680" t="s" s="2">
        <v>2695</v>
      </c>
      <c r="J680" t="s" s="2">
        <v>2696</v>
      </c>
      <c r="K680" t="s" s="2">
        <v>22</v>
      </c>
      <c r="L680" t="s" s="2">
        <v>22</v>
      </c>
      <c r="M680" t="s" s="2">
        <v>22</v>
      </c>
    </row>
    <row r="681" ht="25.0" customHeight="true">
      <c r="A681" t="s" s="2">
        <v>13</v>
      </c>
      <c r="B681" t="s" s="2">
        <f>HYPERLINK("http://ts.21cn.com/tousu/show/id/1373427","乐意花高利贷")</f>
      </c>
      <c r="C681" t="s" s="2">
        <v>15</v>
      </c>
      <c r="D681" t="s" s="2">
        <v>16</v>
      </c>
      <c r="E681" t="s" s="2">
        <v>17</v>
      </c>
      <c r="F681" t="s" s="2">
        <f>HYPERLINK("http://ts.21cn.com/tousu/show/id/1373427","http://ts.21cn.com/tousu/show/id/1373427")</f>
      </c>
      <c r="G681" t="s" s="2">
        <v>17</v>
      </c>
      <c r="H681" t="s" s="2">
        <v>19</v>
      </c>
      <c r="I681" t="s" s="2">
        <v>2699</v>
      </c>
      <c r="J681" t="s" s="2">
        <v>2700</v>
      </c>
      <c r="K681" t="s" s="2">
        <v>22</v>
      </c>
      <c r="L681" t="s" s="2">
        <v>22</v>
      </c>
      <c r="M681" t="s" s="2">
        <v>22</v>
      </c>
    </row>
    <row r="682" ht="25.0" customHeight="true">
      <c r="A682" t="s" s="2">
        <v>13</v>
      </c>
      <c r="B682" t="s" s="2">
        <f>HYPERLINK("http://ts.21cn.com/tousu/show/id/1373426","请求协商")</f>
      </c>
      <c r="C682" t="s" s="2">
        <v>15</v>
      </c>
      <c r="D682" t="s" s="2">
        <v>16</v>
      </c>
      <c r="E682" t="s" s="2">
        <v>17</v>
      </c>
      <c r="F682" t="s" s="2">
        <f>HYPERLINK("http://ts.21cn.com/tousu/show/id/1373426","http://ts.21cn.com/tousu/show/id/1373426")</f>
      </c>
      <c r="G682" t="s" s="2">
        <v>17</v>
      </c>
      <c r="H682" t="s" s="2">
        <v>19</v>
      </c>
      <c r="I682" t="s" s="2">
        <v>2703</v>
      </c>
      <c r="J682" t="s" s="2">
        <v>2704</v>
      </c>
      <c r="K682" t="s" s="2">
        <v>22</v>
      </c>
      <c r="L682" t="s" s="2">
        <v>22</v>
      </c>
      <c r="M682" t="s" s="2">
        <v>22</v>
      </c>
    </row>
    <row r="683" ht="25.0" customHeight="true">
      <c r="A683" t="s" s="2">
        <v>13</v>
      </c>
      <c r="B683" t="s" s="2">
        <f>HYPERLINK("http://ts.21cn.com/tousu/show/id/1373425","白领贷砍头还清不给退回")</f>
      </c>
      <c r="C683" t="s" s="2">
        <v>15</v>
      </c>
      <c r="D683" t="s" s="2">
        <v>16</v>
      </c>
      <c r="E683" t="s" s="2">
        <v>17</v>
      </c>
      <c r="F683" t="s" s="2">
        <f>HYPERLINK("http://ts.21cn.com/tousu/show/id/1373425","http://ts.21cn.com/tousu/show/id/1373425")</f>
      </c>
      <c r="G683" t="s" s="2">
        <v>17</v>
      </c>
      <c r="H683" t="s" s="2">
        <v>19</v>
      </c>
      <c r="I683" t="s" s="2">
        <v>2707</v>
      </c>
      <c r="J683" t="s" s="2">
        <v>2708</v>
      </c>
      <c r="K683" t="s" s="2">
        <v>22</v>
      </c>
      <c r="L683" t="s" s="2">
        <v>22</v>
      </c>
      <c r="M683" t="s" s="2">
        <v>22</v>
      </c>
    </row>
    <row r="684" ht="25.0" customHeight="true">
      <c r="A684" t="s" s="2">
        <v>13</v>
      </c>
      <c r="B684" t="s" s="2">
        <f>HYPERLINK("http://ts.21cn.com/tousu/show/id/1373424","刚装修好的屋子，几个月时间变成水帘洞")</f>
      </c>
      <c r="C684" t="s" s="2">
        <v>15</v>
      </c>
      <c r="D684" t="s" s="2">
        <v>16</v>
      </c>
      <c r="E684" t="s" s="2">
        <v>17</v>
      </c>
      <c r="F684" t="s" s="2">
        <f>HYPERLINK("http://ts.21cn.com/tousu/show/id/1373424","http://ts.21cn.com/tousu/show/id/1373424")</f>
      </c>
      <c r="G684" t="s" s="2">
        <v>17</v>
      </c>
      <c r="H684" t="s" s="2">
        <v>19</v>
      </c>
      <c r="I684" t="s" s="2">
        <v>2711</v>
      </c>
      <c r="J684" t="s" s="2">
        <v>2712</v>
      </c>
      <c r="K684" t="s" s="2">
        <v>22</v>
      </c>
      <c r="L684" t="s" s="2">
        <v>22</v>
      </c>
      <c r="M684" t="s" s="2">
        <v>22</v>
      </c>
    </row>
    <row r="685" ht="25.0" customHeight="true">
      <c r="A685" t="s" s="2">
        <v>13</v>
      </c>
      <c r="B685" t="s" s="2">
        <f>HYPERLINK("http://ts.21cn.com/tousu/show/id/1373251","财神黑卡")</f>
      </c>
      <c r="C685" t="s" s="2">
        <v>15</v>
      </c>
      <c r="D685" t="s" s="2">
        <v>16</v>
      </c>
      <c r="E685" t="s" s="2">
        <v>17</v>
      </c>
      <c r="F685" t="s" s="2">
        <f>HYPERLINK("http://ts.21cn.com/tousu/show/id/1373251","http://ts.21cn.com/tousu/show/id/1373251")</f>
      </c>
      <c r="G685" t="s" s="2">
        <v>17</v>
      </c>
      <c r="H685" t="s" s="2">
        <v>19</v>
      </c>
      <c r="I685" t="s" s="2">
        <v>2715</v>
      </c>
      <c r="J685" t="s" s="2">
        <v>2716</v>
      </c>
      <c r="K685" t="s" s="2">
        <v>22</v>
      </c>
      <c r="L685" t="s" s="2">
        <v>22</v>
      </c>
      <c r="M685" t="s" s="2">
        <v>22</v>
      </c>
    </row>
    <row r="686" ht="25.0" customHeight="true">
      <c r="A686" t="s" s="2">
        <v>13</v>
      </c>
      <c r="B686" t="s" s="2">
        <f>HYPERLINK("http://ts.21cn.com/tousu/show/id/1373422","交通银行信用卡不停骚扰")</f>
      </c>
      <c r="C686" t="s" s="2">
        <v>15</v>
      </c>
      <c r="D686" t="s" s="2">
        <v>16</v>
      </c>
      <c r="E686" t="s" s="2">
        <v>17</v>
      </c>
      <c r="F686" t="s" s="2">
        <f>HYPERLINK("http://ts.21cn.com/tousu/show/id/1373422","http://ts.21cn.com/tousu/show/id/1373422")</f>
      </c>
      <c r="G686" t="s" s="2">
        <v>17</v>
      </c>
      <c r="H686" t="s" s="2">
        <v>19</v>
      </c>
      <c r="I686" t="s" s="2">
        <v>2719</v>
      </c>
      <c r="J686" t="s" s="2">
        <v>2720</v>
      </c>
      <c r="K686" t="s" s="2">
        <v>22</v>
      </c>
      <c r="L686" t="s" s="2">
        <v>22</v>
      </c>
      <c r="M686" t="s" s="2">
        <v>22</v>
      </c>
    </row>
    <row r="687" ht="25.0" customHeight="true">
      <c r="A687" t="s" s="2">
        <v>13</v>
      </c>
      <c r="B687" t="s" s="2">
        <f>HYPERLINK("http://ts.21cn.com/tousu/show/id/1373419","电话骚扰侮辱我的朋友家人")</f>
      </c>
      <c r="C687" t="s" s="2">
        <v>15</v>
      </c>
      <c r="D687" t="s" s="2">
        <v>16</v>
      </c>
      <c r="E687" t="s" s="2">
        <v>17</v>
      </c>
      <c r="F687" t="s" s="2">
        <f>HYPERLINK("http://ts.21cn.com/tousu/show/id/1373419","http://ts.21cn.com/tousu/show/id/1373419")</f>
      </c>
      <c r="G687" t="s" s="2">
        <v>17</v>
      </c>
      <c r="H687" t="s" s="2">
        <v>19</v>
      </c>
      <c r="I687" t="s" s="2">
        <v>2723</v>
      </c>
      <c r="J687" t="s" s="2">
        <v>2724</v>
      </c>
      <c r="K687" t="s" s="2">
        <v>22</v>
      </c>
      <c r="L687" t="s" s="2">
        <v>22</v>
      </c>
      <c r="M687" t="s" s="2">
        <v>22</v>
      </c>
    </row>
    <row r="688" ht="25.0" customHeight="true">
      <c r="A688" t="s" s="2">
        <v>13</v>
      </c>
      <c r="B688" t="s" s="2">
        <f>HYPERLINK("http://ts.21cn.com/tousu/show/id/1373418","中国联通招联金融公司聘请黑社会暴力恐吓催收")</f>
      </c>
      <c r="C688" t="s" s="2">
        <v>15</v>
      </c>
      <c r="D688" t="s" s="2">
        <v>16</v>
      </c>
      <c r="E688" t="s" s="2">
        <v>17</v>
      </c>
      <c r="F688" t="s" s="2">
        <f>HYPERLINK("http://ts.21cn.com/tousu/show/id/1373418","http://ts.21cn.com/tousu/show/id/1373418")</f>
      </c>
      <c r="G688" t="s" s="2">
        <v>17</v>
      </c>
      <c r="H688" t="s" s="2">
        <v>19</v>
      </c>
      <c r="I688" t="s" s="2">
        <v>2727</v>
      </c>
      <c r="J688" t="s" s="2">
        <v>2728</v>
      </c>
      <c r="K688" t="s" s="2">
        <v>22</v>
      </c>
      <c r="L688" t="s" s="2">
        <v>22</v>
      </c>
      <c r="M688" t="s" s="2">
        <v>22</v>
      </c>
    </row>
    <row r="689" ht="25.0" customHeight="true">
      <c r="A689" t="s" s="2">
        <v>13</v>
      </c>
      <c r="B689" t="s" s="2">
        <f>HYPERLINK("http://ts.21cn.com/tousu/show/id/1373417","暴力骚扰无良催收")</f>
      </c>
      <c r="C689" t="s" s="2">
        <v>15</v>
      </c>
      <c r="D689" t="s" s="2">
        <v>16</v>
      </c>
      <c r="E689" t="s" s="2">
        <v>17</v>
      </c>
      <c r="F689" t="s" s="2">
        <f>HYPERLINK("http://ts.21cn.com/tousu/show/id/1373417","http://ts.21cn.com/tousu/show/id/1373417")</f>
      </c>
      <c r="G689" t="s" s="2">
        <v>17</v>
      </c>
      <c r="H689" t="s" s="2">
        <v>19</v>
      </c>
      <c r="I689" t="s" s="2">
        <v>2731</v>
      </c>
      <c r="J689" t="s" s="2">
        <v>2732</v>
      </c>
      <c r="K689" t="s" s="2">
        <v>22</v>
      </c>
      <c r="L689" t="s" s="2">
        <v>22</v>
      </c>
      <c r="M689" t="s" s="2">
        <v>22</v>
      </c>
    </row>
    <row r="690" ht="25.0" customHeight="true">
      <c r="A690" t="s" s="2">
        <v>13</v>
      </c>
      <c r="B690" t="s" s="2">
        <f>HYPERLINK("http://ts.21cn.com/tousu/show/id/1373416","豆豆钱恶意捆绑保险")</f>
      </c>
      <c r="C690" t="s" s="2">
        <v>15</v>
      </c>
      <c r="D690" t="s" s="2">
        <v>16</v>
      </c>
      <c r="E690" t="s" s="2">
        <v>17</v>
      </c>
      <c r="F690" t="s" s="2">
        <f>HYPERLINK("http://ts.21cn.com/tousu/show/id/1373416","http://ts.21cn.com/tousu/show/id/1373416")</f>
      </c>
      <c r="G690" t="s" s="2">
        <v>17</v>
      </c>
      <c r="H690" t="s" s="2">
        <v>19</v>
      </c>
      <c r="I690" t="s" s="2">
        <v>2735</v>
      </c>
      <c r="J690" t="s" s="2">
        <v>2736</v>
      </c>
      <c r="K690" t="s" s="2">
        <v>22</v>
      </c>
      <c r="L690" t="s" s="2">
        <v>22</v>
      </c>
      <c r="M690" t="s" s="2">
        <v>22</v>
      </c>
    </row>
    <row r="691" ht="25.0" customHeight="true">
      <c r="A691" t="s" s="2">
        <v>13</v>
      </c>
      <c r="B691" t="s" s="2">
        <f>HYPERLINK("http://ts.21cn.com/tousu/show/id/1373414","聚富分期假装网贷平台私自扣除银行卡里的钱经过我同意了吗")</f>
      </c>
      <c r="C691" t="s" s="2">
        <v>15</v>
      </c>
      <c r="D691" t="s" s="2">
        <v>16</v>
      </c>
      <c r="E691" t="s" s="2">
        <v>17</v>
      </c>
      <c r="F691" t="s" s="2">
        <f>HYPERLINK("http://ts.21cn.com/tousu/show/id/1373414","http://ts.21cn.com/tousu/show/id/1373414")</f>
      </c>
      <c r="G691" t="s" s="2">
        <v>17</v>
      </c>
      <c r="H691" t="s" s="2">
        <v>19</v>
      </c>
      <c r="I691" t="s" s="2">
        <v>2739</v>
      </c>
      <c r="J691" t="s" s="2">
        <v>2740</v>
      </c>
      <c r="K691" t="s" s="2">
        <v>22</v>
      </c>
      <c r="L691" t="s" s="2">
        <v>22</v>
      </c>
      <c r="M691" t="s" s="2">
        <v>22</v>
      </c>
    </row>
    <row r="692" ht="25.0" customHeight="true">
      <c r="A692" t="s" s="2">
        <v>13</v>
      </c>
      <c r="B692" t="s" s="2">
        <f>HYPERLINK("http://ts.21cn.com/tousu/show/id/1373415","采用爬虫技术盗取通信录并暴通信录")</f>
      </c>
      <c r="C692" t="s" s="2">
        <v>15</v>
      </c>
      <c r="D692" t="s" s="2">
        <v>16</v>
      </c>
      <c r="E692" t="s" s="2">
        <v>17</v>
      </c>
      <c r="F692" t="s" s="2">
        <f>HYPERLINK("http://ts.21cn.com/tousu/show/id/1373415","http://ts.21cn.com/tousu/show/id/1373415")</f>
      </c>
      <c r="G692" t="s" s="2">
        <v>17</v>
      </c>
      <c r="H692" t="s" s="2">
        <v>19</v>
      </c>
      <c r="I692" t="s" s="2">
        <v>2743</v>
      </c>
      <c r="J692" t="s" s="2">
        <v>2744</v>
      </c>
      <c r="K692" t="s" s="2">
        <v>22</v>
      </c>
      <c r="L692" t="s" s="2">
        <v>22</v>
      </c>
      <c r="M692" t="s" s="2">
        <v>22</v>
      </c>
    </row>
    <row r="693" ht="25.0" customHeight="true">
      <c r="A693" t="s" s="2">
        <v>13</v>
      </c>
      <c r="B693" t="s" s="2">
        <f>HYPERLINK("http://ts.21cn.com/tousu/show/id/1373412","美团商户合作退费问题")</f>
      </c>
      <c r="C693" t="s" s="2">
        <v>15</v>
      </c>
      <c r="D693" t="s" s="2">
        <v>16</v>
      </c>
      <c r="E693" t="s" s="2">
        <v>17</v>
      </c>
      <c r="F693" t="s" s="2">
        <f>HYPERLINK("http://ts.21cn.com/tousu/show/id/1373412","http://ts.21cn.com/tousu/show/id/1373412")</f>
      </c>
      <c r="G693" t="s" s="2">
        <v>17</v>
      </c>
      <c r="H693" t="s" s="2">
        <v>19</v>
      </c>
      <c r="I693" t="s" s="2">
        <v>2747</v>
      </c>
      <c r="J693" t="s" s="2">
        <v>2748</v>
      </c>
      <c r="K693" t="s" s="2">
        <v>22</v>
      </c>
      <c r="L693" t="s" s="2">
        <v>22</v>
      </c>
      <c r="M693" t="s" s="2">
        <v>22</v>
      </c>
    </row>
    <row r="694" ht="25.0" customHeight="true">
      <c r="A694" t="s" s="2">
        <v>13</v>
      </c>
      <c r="B694" t="s" s="2">
        <f>HYPERLINK("http://ts.21cn.com/tousu/show/id/1373411","要求马上金融退还灵活还款包费用")</f>
      </c>
      <c r="C694" t="s" s="2">
        <v>52</v>
      </c>
      <c r="D694" t="s" s="2">
        <v>16</v>
      </c>
      <c r="E694" t="s" s="2">
        <v>17</v>
      </c>
      <c r="F694" t="s" s="2">
        <f>HYPERLINK("http://ts.21cn.com/tousu/show/id/1373411","http://ts.21cn.com/tousu/show/id/1373411")</f>
      </c>
      <c r="G694" t="s" s="2">
        <v>17</v>
      </c>
      <c r="H694" t="s" s="2">
        <v>19</v>
      </c>
      <c r="I694" t="s" s="2">
        <v>2751</v>
      </c>
      <c r="J694" t="s" s="2">
        <v>2752</v>
      </c>
      <c r="K694" t="s" s="2">
        <v>22</v>
      </c>
      <c r="L694" t="s" s="2">
        <v>22</v>
      </c>
      <c r="M694" t="s" s="2">
        <v>22</v>
      </c>
    </row>
    <row r="695" ht="25.0" customHeight="true">
      <c r="A695" t="s" s="2">
        <v>13</v>
      </c>
      <c r="B695" t="s" s="2">
        <f>HYPERLINK("http://ts.21cn.com/tousu/show/id/1373410","安逸花贷款")</f>
      </c>
      <c r="C695" t="s" s="2">
        <v>52</v>
      </c>
      <c r="D695" t="s" s="2">
        <v>16</v>
      </c>
      <c r="E695" t="s" s="2">
        <v>17</v>
      </c>
      <c r="F695" t="s" s="2">
        <f>HYPERLINK("http://ts.21cn.com/tousu/show/id/1373410","http://ts.21cn.com/tousu/show/id/1373410")</f>
      </c>
      <c r="G695" t="s" s="2">
        <v>17</v>
      </c>
      <c r="H695" t="s" s="2">
        <v>19</v>
      </c>
      <c r="I695" t="s" s="2">
        <v>2755</v>
      </c>
      <c r="J695" t="s" s="2">
        <v>2756</v>
      </c>
      <c r="K695" t="s" s="2">
        <v>22</v>
      </c>
      <c r="L695" t="s" s="2">
        <v>22</v>
      </c>
      <c r="M695" t="s" s="2">
        <v>22</v>
      </c>
    </row>
    <row r="696" ht="25.0" customHeight="true">
      <c r="A696" t="s" s="2">
        <v>13</v>
      </c>
      <c r="B696" t="s" s="2">
        <f>HYPERLINK("http://ts.21cn.com/tousu/show/id/1373408","机蜜不愿意处理碎屏问题，原本要买断处理结果导致我逾期，并且非官方工作人员通过异常账号加我微信")</f>
      </c>
      <c r="C696" t="s" s="2">
        <v>15</v>
      </c>
      <c r="D696" t="s" s="2">
        <v>16</v>
      </c>
      <c r="E696" t="s" s="2">
        <v>17</v>
      </c>
      <c r="F696" t="s" s="2">
        <f>HYPERLINK("http://ts.21cn.com/tousu/show/id/1373408","http://ts.21cn.com/tousu/show/id/1373408")</f>
      </c>
      <c r="G696" t="s" s="2">
        <v>17</v>
      </c>
      <c r="H696" t="s" s="2">
        <v>19</v>
      </c>
      <c r="I696" t="s" s="2">
        <v>2759</v>
      </c>
      <c r="J696" t="s" s="2">
        <v>2760</v>
      </c>
      <c r="K696" t="s" s="2">
        <v>22</v>
      </c>
      <c r="L696" t="s" s="2">
        <v>22</v>
      </c>
      <c r="M696" t="s" s="2">
        <v>22</v>
      </c>
    </row>
    <row r="697" ht="25.0" customHeight="true">
      <c r="A697" t="s" s="2">
        <v>13</v>
      </c>
      <c r="B697" t="s" s="2">
        <f>HYPERLINK("http://ts.21cn.com/tousu/show/id/1373407","立借钱置宝暴力催收高利贷砍头息")</f>
      </c>
      <c r="C697" t="s" s="2">
        <v>15</v>
      </c>
      <c r="D697" t="s" s="2">
        <v>16</v>
      </c>
      <c r="E697" t="s" s="2">
        <v>17</v>
      </c>
      <c r="F697" t="s" s="2">
        <f>HYPERLINK("http://ts.21cn.com/tousu/show/id/1373407","http://ts.21cn.com/tousu/show/id/1373407")</f>
      </c>
      <c r="G697" t="s" s="2">
        <v>17</v>
      </c>
      <c r="H697" t="s" s="2">
        <v>19</v>
      </c>
      <c r="I697" t="s" s="2">
        <v>2763</v>
      </c>
      <c r="J697" t="s" s="2">
        <v>2764</v>
      </c>
      <c r="K697" t="s" s="2">
        <v>22</v>
      </c>
      <c r="L697" t="s" s="2">
        <v>22</v>
      </c>
      <c r="M697" t="s" s="2">
        <v>22</v>
      </c>
    </row>
    <row r="698" ht="25.0" customHeight="true">
      <c r="A698" t="s" s="2">
        <v>13</v>
      </c>
      <c r="B698" t="s" s="2">
        <f>HYPERLINK("http://ts.21cn.com/tousu/show/id/1373406","投诉招商银行，要求退还违约金和利息")</f>
      </c>
      <c r="C698" t="s" s="2">
        <v>15</v>
      </c>
      <c r="D698" t="s" s="2">
        <v>16</v>
      </c>
      <c r="E698" t="s" s="2">
        <v>17</v>
      </c>
      <c r="F698" t="s" s="2">
        <f>HYPERLINK("http://ts.21cn.com/tousu/show/id/1373406","http://ts.21cn.com/tousu/show/id/1373406")</f>
      </c>
      <c r="G698" t="s" s="2">
        <v>17</v>
      </c>
      <c r="H698" t="s" s="2">
        <v>19</v>
      </c>
      <c r="I698" t="s" s="2">
        <v>2767</v>
      </c>
      <c r="J698" t="s" s="2">
        <v>2768</v>
      </c>
      <c r="K698" t="s" s="2">
        <v>22</v>
      </c>
      <c r="L698" t="s" s="2">
        <v>22</v>
      </c>
      <c r="M698" t="s" s="2">
        <v>22</v>
      </c>
    </row>
    <row r="699" ht="25.0" customHeight="true">
      <c r="A699" t="s" s="2">
        <v>13</v>
      </c>
      <c r="B699" t="s" s="2">
        <f>HYPERLINK("http://ts.21cn.com/tousu/show/id/1373405","拍拍贷暴力催收无人监管")</f>
      </c>
      <c r="C699" t="s" s="2">
        <v>15</v>
      </c>
      <c r="D699" t="s" s="2">
        <v>16</v>
      </c>
      <c r="E699" t="s" s="2">
        <v>17</v>
      </c>
      <c r="F699" t="s" s="2">
        <f>HYPERLINK("http://ts.21cn.com/tousu/show/id/1373405","http://ts.21cn.com/tousu/show/id/1373405")</f>
      </c>
      <c r="G699" t="s" s="2">
        <v>17</v>
      </c>
      <c r="H699" t="s" s="2">
        <v>19</v>
      </c>
      <c r="I699" t="s" s="2">
        <v>2771</v>
      </c>
      <c r="J699" t="s" s="2">
        <v>2772</v>
      </c>
      <c r="K699" t="s" s="2">
        <v>22</v>
      </c>
      <c r="L699" t="s" s="2">
        <v>22</v>
      </c>
      <c r="M699" t="s" s="2">
        <v>22</v>
      </c>
    </row>
    <row r="700" ht="25.0" customHeight="true">
      <c r="A700" t="s" s="2">
        <v>13</v>
      </c>
      <c r="B700" t="s" s="2">
        <f>HYPERLINK("http://ts.21cn.com/tousu/show/id/1373404","如期分期未逾期就开始暴力催收")</f>
      </c>
      <c r="C700" t="s" s="2">
        <v>15</v>
      </c>
      <c r="D700" t="s" s="2">
        <v>16</v>
      </c>
      <c r="E700" t="s" s="2">
        <v>17</v>
      </c>
      <c r="F700" t="s" s="2">
        <f>HYPERLINK("http://ts.21cn.com/tousu/show/id/1373404","http://ts.21cn.com/tousu/show/id/1373404")</f>
      </c>
      <c r="G700" t="s" s="2">
        <v>17</v>
      </c>
      <c r="H700" t="s" s="2">
        <v>19</v>
      </c>
      <c r="I700" t="s" s="2">
        <v>2775</v>
      </c>
      <c r="J700" t="s" s="2">
        <v>2776</v>
      </c>
      <c r="K700" t="s" s="2">
        <v>22</v>
      </c>
      <c r="L700" t="s" s="2">
        <v>22</v>
      </c>
      <c r="M700" t="s" s="2">
        <v>22</v>
      </c>
    </row>
    <row r="701" ht="25.0" customHeight="true">
      <c r="A701" t="s" s="2">
        <v>13</v>
      </c>
      <c r="B701" t="s" s="2">
        <f>HYPERLINK("http://ts.21cn.com/tousu/show/id/1373403","微贷网车抵贷的套路")</f>
      </c>
      <c r="C701" t="s" s="2">
        <v>15</v>
      </c>
      <c r="D701" t="s" s="2">
        <v>16</v>
      </c>
      <c r="E701" t="s" s="2">
        <v>17</v>
      </c>
      <c r="F701" t="s" s="2">
        <f>HYPERLINK("http://ts.21cn.com/tousu/show/id/1373403","http://ts.21cn.com/tousu/show/id/1373403")</f>
      </c>
      <c r="G701" t="s" s="2">
        <v>17</v>
      </c>
      <c r="H701" t="s" s="2">
        <v>19</v>
      </c>
      <c r="I701" t="s" s="2">
        <v>2779</v>
      </c>
      <c r="J701" t="s" s="2">
        <v>2780</v>
      </c>
      <c r="K701" t="s" s="2">
        <v>22</v>
      </c>
      <c r="L701" t="s" s="2">
        <v>22</v>
      </c>
      <c r="M701" t="s" s="2">
        <v>22</v>
      </c>
    </row>
    <row r="702" ht="25.0" customHeight="true">
      <c r="A702" t="s" s="2">
        <v>13</v>
      </c>
      <c r="B702" t="s" s="2">
        <f>HYPERLINK("http://ts.21cn.com/tousu/show/id/1373398","辱骂让借款人去死")</f>
      </c>
      <c r="C702" t="s" s="2">
        <v>15</v>
      </c>
      <c r="D702" t="s" s="2">
        <v>16</v>
      </c>
      <c r="E702" t="s" s="2">
        <v>17</v>
      </c>
      <c r="F702" t="s" s="2">
        <f>HYPERLINK("http://ts.21cn.com/tousu/show/id/1373398","http://ts.21cn.com/tousu/show/id/1373398")</f>
      </c>
      <c r="G702" t="s" s="2">
        <v>17</v>
      </c>
      <c r="H702" t="s" s="2">
        <v>19</v>
      </c>
      <c r="I702" t="s" s="2">
        <v>2783</v>
      </c>
      <c r="J702" t="s" s="2">
        <v>2784</v>
      </c>
      <c r="K702" t="s" s="2">
        <v>22</v>
      </c>
      <c r="L702" t="s" s="2">
        <v>22</v>
      </c>
      <c r="M702" t="s" s="2">
        <v>22</v>
      </c>
    </row>
    <row r="703" ht="25.0" customHeight="true">
      <c r="A703" t="s" s="2">
        <v>13</v>
      </c>
      <c r="B703" t="s" s="2">
        <f>HYPERLINK("http://ts.21cn.com/tousu/show/id/1373401","中信银行信用卡")</f>
      </c>
      <c r="C703" t="s" s="2">
        <v>15</v>
      </c>
      <c r="D703" t="s" s="2">
        <v>16</v>
      </c>
      <c r="E703" t="s" s="2">
        <v>17</v>
      </c>
      <c r="F703" t="s" s="2">
        <f>HYPERLINK("http://ts.21cn.com/tousu/show/id/1373401","http://ts.21cn.com/tousu/show/id/1373401")</f>
      </c>
      <c r="G703" t="s" s="2">
        <v>17</v>
      </c>
      <c r="H703" t="s" s="2">
        <v>19</v>
      </c>
      <c r="I703" t="s" s="2">
        <v>2786</v>
      </c>
      <c r="J703" t="s" s="2">
        <v>2787</v>
      </c>
      <c r="K703" t="s" s="2">
        <v>22</v>
      </c>
      <c r="L703" t="s" s="2">
        <v>22</v>
      </c>
      <c r="M703" t="s" s="2">
        <v>22</v>
      </c>
    </row>
    <row r="704" ht="25.0" customHeight="true">
      <c r="A704" t="s" s="2">
        <v>13</v>
      </c>
      <c r="B704" t="s" s="2">
        <f>HYPERLINK("http://ts.21cn.com/tousu/show/id/1373397","借贷宝砍头息及暴力侮辱催收")</f>
      </c>
      <c r="C704" t="s" s="2">
        <v>15</v>
      </c>
      <c r="D704" t="s" s="2">
        <v>16</v>
      </c>
      <c r="E704" t="s" s="2">
        <v>17</v>
      </c>
      <c r="F704" t="s" s="2">
        <f>HYPERLINK("http://ts.21cn.com/tousu/show/id/1373397","http://ts.21cn.com/tousu/show/id/1373397")</f>
      </c>
      <c r="G704" t="s" s="2">
        <v>17</v>
      </c>
      <c r="H704" t="s" s="2">
        <v>19</v>
      </c>
      <c r="I704" t="s" s="2">
        <v>2790</v>
      </c>
      <c r="J704" t="s" s="2">
        <v>2791</v>
      </c>
      <c r="K704" t="s" s="2">
        <v>22</v>
      </c>
      <c r="L704" t="s" s="2">
        <v>22</v>
      </c>
      <c r="M704" t="s" s="2">
        <v>22</v>
      </c>
    </row>
    <row r="705" ht="25.0" customHeight="true">
      <c r="A705" t="s" s="2">
        <v>13</v>
      </c>
      <c r="B705" t="s" s="2">
        <f>HYPERLINK("http://ts.21cn.com/tousu/show/id/1373400","白条分期引诱我办会员未得到额度")</f>
      </c>
      <c r="C705" t="s" s="2">
        <v>15</v>
      </c>
      <c r="D705" t="s" s="2">
        <v>16</v>
      </c>
      <c r="E705" t="s" s="2">
        <v>17</v>
      </c>
      <c r="F705" t="s" s="2">
        <f>HYPERLINK("http://ts.21cn.com/tousu/show/id/1373400","http://ts.21cn.com/tousu/show/id/1373400")</f>
      </c>
      <c r="G705" t="s" s="2">
        <v>17</v>
      </c>
      <c r="H705" t="s" s="2">
        <v>19</v>
      </c>
      <c r="I705" t="s" s="2">
        <v>2794</v>
      </c>
      <c r="J705" t="s" s="2">
        <v>2795</v>
      </c>
      <c r="K705" t="s" s="2">
        <v>22</v>
      </c>
      <c r="L705" t="s" s="2">
        <v>22</v>
      </c>
      <c r="M705" t="s" s="2">
        <v>22</v>
      </c>
    </row>
    <row r="706" ht="25.0" customHeight="true">
      <c r="A706" t="s" s="2">
        <v>13</v>
      </c>
      <c r="B706" t="s" s="2">
        <f>HYPERLINK("http://ts.21cn.com/tousu/show/id/1373399","协商还款")</f>
      </c>
      <c r="C706" t="s" s="2">
        <v>15</v>
      </c>
      <c r="D706" t="s" s="2">
        <v>16</v>
      </c>
      <c r="E706" t="s" s="2">
        <v>17</v>
      </c>
      <c r="F706" t="s" s="2">
        <f>HYPERLINK("http://ts.21cn.com/tousu/show/id/1373399","http://ts.21cn.com/tousu/show/id/1373399")</f>
      </c>
      <c r="G706" t="s" s="2">
        <v>17</v>
      </c>
      <c r="H706" t="s" s="2">
        <v>19</v>
      </c>
      <c r="I706" t="s" s="2">
        <v>2798</v>
      </c>
      <c r="J706" t="s" s="2">
        <v>2799</v>
      </c>
      <c r="K706" t="s" s="2">
        <v>22</v>
      </c>
      <c r="L706" t="s" s="2">
        <v>22</v>
      </c>
      <c r="M706" t="s" s="2">
        <v>22</v>
      </c>
    </row>
    <row r="707" ht="25.0" customHeight="true">
      <c r="A707" t="s" s="2">
        <v>13</v>
      </c>
      <c r="B707" t="s" s="2">
        <f>HYPERLINK("http://ts.21cn.com/tousu/show/id/1373402","马上消费金融暴力催收")</f>
      </c>
      <c r="C707" t="s" s="2">
        <v>15</v>
      </c>
      <c r="D707" t="s" s="2">
        <v>16</v>
      </c>
      <c r="E707" t="s" s="2">
        <v>17</v>
      </c>
      <c r="F707" t="s" s="2">
        <f>HYPERLINK("http://ts.21cn.com/tousu/show/id/1373402","http://ts.21cn.com/tousu/show/id/1373402")</f>
      </c>
      <c r="G707" t="s" s="2">
        <v>17</v>
      </c>
      <c r="H707" t="s" s="2">
        <v>19</v>
      </c>
      <c r="I707" t="s" s="2">
        <v>2802</v>
      </c>
      <c r="J707" t="s" s="2">
        <v>2803</v>
      </c>
      <c r="K707" t="s" s="2">
        <v>22</v>
      </c>
      <c r="L707" t="s" s="2">
        <v>22</v>
      </c>
      <c r="M707" t="s" s="2">
        <v>22</v>
      </c>
    </row>
    <row r="708" ht="25.0" customHeight="true">
      <c r="A708" t="s" s="2">
        <v>13</v>
      </c>
      <c r="B708" t="s" s="2">
        <f>HYPERLINK("http://ts.21cn.com/tousu/show/id/1372656","即分期恶意骚扰工作单位")</f>
      </c>
      <c r="C708" t="s" s="2">
        <v>15</v>
      </c>
      <c r="D708" t="s" s="2">
        <v>16</v>
      </c>
      <c r="E708" t="s" s="2">
        <v>17</v>
      </c>
      <c r="F708" t="s" s="2">
        <f>HYPERLINK("http://ts.21cn.com/tousu/show/id/1372656","http://ts.21cn.com/tousu/show/id/1372656")</f>
      </c>
      <c r="G708" t="s" s="2">
        <v>17</v>
      </c>
      <c r="H708" t="s" s="2">
        <v>19</v>
      </c>
      <c r="I708" t="s" s="2">
        <v>2806</v>
      </c>
      <c r="J708" t="s" s="2">
        <v>2807</v>
      </c>
      <c r="K708" t="s" s="2">
        <v>22</v>
      </c>
      <c r="L708" t="s" s="2">
        <v>22</v>
      </c>
      <c r="M708" t="s" s="2">
        <v>22</v>
      </c>
    </row>
    <row r="709" ht="25.0" customHeight="true">
      <c r="A709" t="s" s="2">
        <v>13</v>
      </c>
      <c r="B709" t="s" s="2">
        <f>HYPERLINK("http://ts.21cn.com/tousu/show/id/1373396","天眼查侵犯企业及个人隐私对我造成骚扰")</f>
      </c>
      <c r="C709" t="s" s="2">
        <v>15</v>
      </c>
      <c r="D709" t="s" s="2">
        <v>16</v>
      </c>
      <c r="E709" t="s" s="2">
        <v>17</v>
      </c>
      <c r="F709" t="s" s="2">
        <f>HYPERLINK("http://ts.21cn.com/tousu/show/id/1373396","http://ts.21cn.com/tousu/show/id/1373396")</f>
      </c>
      <c r="G709" t="s" s="2">
        <v>17</v>
      </c>
      <c r="H709" t="s" s="2">
        <v>19</v>
      </c>
      <c r="I709" t="s" s="2">
        <v>2810</v>
      </c>
      <c r="J709" t="s" s="2">
        <v>2811</v>
      </c>
      <c r="K709" t="s" s="2">
        <v>22</v>
      </c>
      <c r="L709" t="s" s="2">
        <v>22</v>
      </c>
      <c r="M709" t="s" s="2">
        <v>22</v>
      </c>
    </row>
    <row r="710" ht="25.0" customHeight="true">
      <c r="A710" t="s" s="2">
        <v>13</v>
      </c>
      <c r="B710" t="s" s="2">
        <f>HYPERLINK("http://ts.21cn.com/tousu/show/id/1373394","玖富万卡提前结清，承诺10个工作日退款，已经11天了还没有收到退款")</f>
      </c>
      <c r="C710" t="s" s="2">
        <v>15</v>
      </c>
      <c r="D710" t="s" s="2">
        <v>16</v>
      </c>
      <c r="E710" t="s" s="2">
        <v>17</v>
      </c>
      <c r="F710" t="s" s="2">
        <f>HYPERLINK("http://ts.21cn.com/tousu/show/id/1373394","http://ts.21cn.com/tousu/show/id/1373394")</f>
      </c>
      <c r="G710" t="s" s="2">
        <v>17</v>
      </c>
      <c r="H710" t="s" s="2">
        <v>19</v>
      </c>
      <c r="I710" t="s" s="2">
        <v>2814</v>
      </c>
      <c r="J710" t="s" s="2">
        <v>2815</v>
      </c>
      <c r="K710" t="s" s="2">
        <v>22</v>
      </c>
      <c r="L710" t="s" s="2">
        <v>22</v>
      </c>
      <c r="M710" t="s" s="2">
        <v>22</v>
      </c>
    </row>
    <row r="711" ht="25.0" customHeight="true">
      <c r="A711" t="s" s="2">
        <v>13</v>
      </c>
      <c r="B711" t="s" s="2">
        <f>HYPERLINK("http://ts.21cn.com/tousu/show/id/1373393","金银钱包高利贷")</f>
      </c>
      <c r="C711" t="s" s="2">
        <v>15</v>
      </c>
      <c r="D711" t="s" s="2">
        <v>16</v>
      </c>
      <c r="E711" t="s" s="2">
        <v>17</v>
      </c>
      <c r="F711" t="s" s="2">
        <f>HYPERLINK("http://ts.21cn.com/tousu/show/id/1373393","http://ts.21cn.com/tousu/show/id/1373393")</f>
      </c>
      <c r="G711" t="s" s="2">
        <v>17</v>
      </c>
      <c r="H711" t="s" s="2">
        <v>19</v>
      </c>
      <c r="I711" t="s" s="2">
        <v>2818</v>
      </c>
      <c r="J711" t="s" s="2">
        <v>2819</v>
      </c>
      <c r="K711" t="s" s="2">
        <v>22</v>
      </c>
      <c r="L711" t="s" s="2">
        <v>22</v>
      </c>
      <c r="M711" t="s" s="2">
        <v>22</v>
      </c>
    </row>
    <row r="712" ht="25.0" customHeight="true">
      <c r="A712" t="s" s="2">
        <v>13</v>
      </c>
      <c r="B712" t="s" s="2">
        <f>HYPERLINK("http://ts.21cn.com/tousu/show/id/1373392","陌单app无法提现余额")</f>
      </c>
      <c r="C712" t="s" s="2">
        <v>15</v>
      </c>
      <c r="D712" t="s" s="2">
        <v>16</v>
      </c>
      <c r="E712" t="s" s="2">
        <v>17</v>
      </c>
      <c r="F712" t="s" s="2">
        <f>HYPERLINK("http://ts.21cn.com/tousu/show/id/1373392","http://ts.21cn.com/tousu/show/id/1373392")</f>
      </c>
      <c r="G712" t="s" s="2">
        <v>17</v>
      </c>
      <c r="H712" t="s" s="2">
        <v>19</v>
      </c>
      <c r="I712" t="s" s="2">
        <v>2822</v>
      </c>
      <c r="J712" t="s" s="2">
        <v>2823</v>
      </c>
      <c r="K712" t="s" s="2">
        <v>22</v>
      </c>
      <c r="L712" t="s" s="2">
        <v>22</v>
      </c>
      <c r="M712" t="s" s="2">
        <v>22</v>
      </c>
    </row>
    <row r="713" ht="25.0" customHeight="true">
      <c r="A713" t="s" s="2">
        <v>13</v>
      </c>
      <c r="B713" t="s" s="2">
        <f>HYPERLINK("http://ts.21cn.com/tousu/show/id/1373391","你我贷套路贷高利贷暴力催收")</f>
      </c>
      <c r="C713" t="s" s="2">
        <v>15</v>
      </c>
      <c r="D713" t="s" s="2">
        <v>16</v>
      </c>
      <c r="E713" t="s" s="2">
        <v>17</v>
      </c>
      <c r="F713" t="s" s="2">
        <f>HYPERLINK("http://ts.21cn.com/tousu/show/id/1373391","http://ts.21cn.com/tousu/show/id/1373391")</f>
      </c>
      <c r="G713" t="s" s="2">
        <v>17</v>
      </c>
      <c r="H713" t="s" s="2">
        <v>19</v>
      </c>
      <c r="I713" t="s" s="2">
        <v>2826</v>
      </c>
      <c r="J713" t="s" s="2">
        <v>2827</v>
      </c>
      <c r="K713" t="s" s="2">
        <v>22</v>
      </c>
      <c r="L713" t="s" s="2">
        <v>22</v>
      </c>
      <c r="M713" t="s" s="2">
        <v>22</v>
      </c>
    </row>
    <row r="714" ht="25.0" customHeight="true">
      <c r="A714" t="s" s="2">
        <v>13</v>
      </c>
      <c r="B714" t="s" s="2">
        <f>HYPERLINK("http://ts.21cn.com/tousu/show/id/1373390","小赢卡贷捆绑式消费保险点电话频繁催收骚扰")</f>
      </c>
      <c r="C714" t="s" s="2">
        <v>15</v>
      </c>
      <c r="D714" t="s" s="2">
        <v>16</v>
      </c>
      <c r="E714" t="s" s="2">
        <v>17</v>
      </c>
      <c r="F714" t="s" s="2">
        <f>HYPERLINK("http://ts.21cn.com/tousu/show/id/1373390","http://ts.21cn.com/tousu/show/id/1373390")</f>
      </c>
      <c r="G714" t="s" s="2">
        <v>17</v>
      </c>
      <c r="H714" t="s" s="2">
        <v>19</v>
      </c>
      <c r="I714" t="s" s="2">
        <v>2830</v>
      </c>
      <c r="J714" t="s" s="2">
        <v>2831</v>
      </c>
      <c r="K714" t="s" s="2">
        <v>22</v>
      </c>
      <c r="L714" t="s" s="2">
        <v>22</v>
      </c>
      <c r="M714" t="s" s="2">
        <v>22</v>
      </c>
    </row>
    <row r="715" ht="25.0" customHeight="true">
      <c r="A715" t="s" s="2">
        <v>13</v>
      </c>
      <c r="B715" t="s" s="2">
        <f>HYPERLINK("http://ts.21cn.com/tousu/show/id/1373389","要求退款至今未解决")</f>
      </c>
      <c r="C715" t="s" s="2">
        <v>15</v>
      </c>
      <c r="D715" t="s" s="2">
        <v>16</v>
      </c>
      <c r="E715" t="s" s="2">
        <v>17</v>
      </c>
      <c r="F715" t="s" s="2">
        <f>HYPERLINK("http://ts.21cn.com/tousu/show/id/1373389","http://ts.21cn.com/tousu/show/id/1373389")</f>
      </c>
      <c r="G715" t="s" s="2">
        <v>17</v>
      </c>
      <c r="H715" t="s" s="2">
        <v>19</v>
      </c>
      <c r="I715" t="s" s="2">
        <v>2834</v>
      </c>
      <c r="J715" t="s" s="2">
        <v>2835</v>
      </c>
      <c r="K715" t="s" s="2">
        <v>22</v>
      </c>
      <c r="L715" t="s" s="2">
        <v>22</v>
      </c>
      <c r="M715" t="s" s="2">
        <v>22</v>
      </c>
    </row>
    <row r="716" ht="25.0" customHeight="true">
      <c r="A716" t="s" s="2">
        <v>13</v>
      </c>
      <c r="B716" t="s" s="2">
        <f>HYPERLINK("http://ts.21cn.com/tousu/show/id/1373388","你我贷")</f>
      </c>
      <c r="C716" t="s" s="2">
        <v>15</v>
      </c>
      <c r="D716" t="s" s="2">
        <v>16</v>
      </c>
      <c r="E716" t="s" s="2">
        <v>17</v>
      </c>
      <c r="F716" t="s" s="2">
        <f>HYPERLINK("http://ts.21cn.com/tousu/show/id/1373388","http://ts.21cn.com/tousu/show/id/1373388")</f>
      </c>
      <c r="G716" t="s" s="2">
        <v>17</v>
      </c>
      <c r="H716" t="s" s="2">
        <v>19</v>
      </c>
      <c r="I716" t="s" s="2">
        <v>2838</v>
      </c>
      <c r="J716" t="s" s="2">
        <v>2839</v>
      </c>
      <c r="K716" t="s" s="2">
        <v>22</v>
      </c>
      <c r="L716" t="s" s="2">
        <v>22</v>
      </c>
      <c r="M716" t="s" s="2">
        <v>22</v>
      </c>
    </row>
    <row r="717" ht="25.0" customHeight="true">
      <c r="A717" t="s" s="2">
        <v>13</v>
      </c>
      <c r="B717" t="s" s="2">
        <f>HYPERLINK("http://ts.21cn.com/tousu/show/id/1373387","停止骚扰")</f>
      </c>
      <c r="C717" t="s" s="2">
        <v>15</v>
      </c>
      <c r="D717" t="s" s="2">
        <v>16</v>
      </c>
      <c r="E717" t="s" s="2">
        <v>17</v>
      </c>
      <c r="F717" t="s" s="2">
        <f>HYPERLINK("http://ts.21cn.com/tousu/show/id/1373387","http://ts.21cn.com/tousu/show/id/1373387")</f>
      </c>
      <c r="G717" t="s" s="2">
        <v>17</v>
      </c>
      <c r="H717" t="s" s="2">
        <v>19</v>
      </c>
      <c r="I717" t="s" s="2">
        <v>2842</v>
      </c>
      <c r="J717" t="s" s="2">
        <v>2843</v>
      </c>
      <c r="K717" t="s" s="2">
        <v>22</v>
      </c>
      <c r="L717" t="s" s="2">
        <v>22</v>
      </c>
      <c r="M717" t="s" s="2">
        <v>22</v>
      </c>
    </row>
    <row r="718" ht="25.0" customHeight="true">
      <c r="A718" t="s" s="2">
        <v>13</v>
      </c>
      <c r="B718" t="s" s="2">
        <f>HYPERLINK("http://ts.21cn.com/tousu/show/id/1373385","神马借（元宝宝）高利贷")</f>
      </c>
      <c r="C718" t="s" s="2">
        <v>15</v>
      </c>
      <c r="D718" t="s" s="2">
        <v>16</v>
      </c>
      <c r="E718" t="s" s="2">
        <v>17</v>
      </c>
      <c r="F718" t="s" s="2">
        <f>HYPERLINK("http://ts.21cn.com/tousu/show/id/1373385","http://ts.21cn.com/tousu/show/id/1373385")</f>
      </c>
      <c r="G718" t="s" s="2">
        <v>17</v>
      </c>
      <c r="H718" t="s" s="2">
        <v>19</v>
      </c>
      <c r="I718" t="s" s="2">
        <v>2846</v>
      </c>
      <c r="J718" t="s" s="2">
        <v>2847</v>
      </c>
      <c r="K718" t="s" s="2">
        <v>22</v>
      </c>
      <c r="L718" t="s" s="2">
        <v>22</v>
      </c>
      <c r="M718" t="s" s="2">
        <v>22</v>
      </c>
    </row>
    <row r="719" ht="25.0" customHeight="true">
      <c r="A719" t="s" s="2">
        <v>13</v>
      </c>
      <c r="B719" t="s" s="2">
        <f>HYPERLINK("http://ts.21cn.com/tousu/show/id/1373384","骚扰威胁")</f>
      </c>
      <c r="C719" t="s" s="2">
        <v>15</v>
      </c>
      <c r="D719" t="s" s="2">
        <v>16</v>
      </c>
      <c r="E719" t="s" s="2">
        <v>17</v>
      </c>
      <c r="F719" t="s" s="2">
        <f>HYPERLINK("http://ts.21cn.com/tousu/show/id/1373384","http://ts.21cn.com/tousu/show/id/1373384")</f>
      </c>
      <c r="G719" t="s" s="2">
        <v>17</v>
      </c>
      <c r="H719" t="s" s="2">
        <v>19</v>
      </c>
      <c r="I719" t="s" s="2">
        <v>2850</v>
      </c>
      <c r="J719" t="s" s="2">
        <v>2851</v>
      </c>
      <c r="K719" t="s" s="2">
        <v>22</v>
      </c>
      <c r="L719" t="s" s="2">
        <v>22</v>
      </c>
      <c r="M719" t="s" s="2">
        <v>22</v>
      </c>
    </row>
    <row r="720" ht="25.0" customHeight="true">
      <c r="A720" t="s" s="2">
        <v>13</v>
      </c>
      <c r="B720" t="s" s="2">
        <f>HYPERLINK("http://ts.21cn.com/tousu/show/id/1373386","随意拨打通讯录骚扰")</f>
      </c>
      <c r="C720" t="s" s="2">
        <v>15</v>
      </c>
      <c r="D720" t="s" s="2">
        <v>16</v>
      </c>
      <c r="E720" t="s" s="2">
        <v>17</v>
      </c>
      <c r="F720" t="s" s="2">
        <f>HYPERLINK("http://ts.21cn.com/tousu/show/id/1373386","http://ts.21cn.com/tousu/show/id/1373386")</f>
      </c>
      <c r="G720" t="s" s="2">
        <v>17</v>
      </c>
      <c r="H720" t="s" s="2">
        <v>19</v>
      </c>
      <c r="I720" t="s" s="2">
        <v>2854</v>
      </c>
      <c r="J720" t="s" s="2">
        <v>2855</v>
      </c>
      <c r="K720" t="s" s="2">
        <v>22</v>
      </c>
      <c r="L720" t="s" s="2">
        <v>22</v>
      </c>
      <c r="M720" t="s" s="2">
        <v>22</v>
      </c>
    </row>
    <row r="721" ht="25.0" customHeight="true">
      <c r="A721" t="s" s="2">
        <v>13</v>
      </c>
      <c r="B721" t="s" s="2">
        <f>HYPERLINK("http://ts.21cn.com/tousu/show/id/1373383","平安普惠贷款隐瞒隐藏并强制收取高额保险费管理费投诉事宜")</f>
      </c>
      <c r="C721" t="s" s="2">
        <v>15</v>
      </c>
      <c r="D721" t="s" s="2">
        <v>16</v>
      </c>
      <c r="E721" t="s" s="2">
        <v>17</v>
      </c>
      <c r="F721" t="s" s="2">
        <f>HYPERLINK("http://ts.21cn.com/tousu/show/id/1373383","http://ts.21cn.com/tousu/show/id/1373383")</f>
      </c>
      <c r="G721" t="s" s="2">
        <v>17</v>
      </c>
      <c r="H721" t="s" s="2">
        <v>19</v>
      </c>
      <c r="I721" t="s" s="2">
        <v>2858</v>
      </c>
      <c r="J721" t="s" s="2">
        <v>2859</v>
      </c>
      <c r="K721" t="s" s="2">
        <v>22</v>
      </c>
      <c r="L721" t="s" s="2">
        <v>22</v>
      </c>
      <c r="M721" t="s" s="2">
        <v>22</v>
      </c>
    </row>
    <row r="722" ht="25.0" customHeight="true">
      <c r="A722" t="s" s="2">
        <v>13</v>
      </c>
      <c r="B722" t="s" s="2">
        <f>HYPERLINK("http://ts.21cn.com/tousu/show/id/1373381","趣花钱平台下架，第三方扣款")</f>
      </c>
      <c r="C722" t="s" s="2">
        <v>15</v>
      </c>
      <c r="D722" t="s" s="2">
        <v>16</v>
      </c>
      <c r="E722" t="s" s="2">
        <v>17</v>
      </c>
      <c r="F722" t="s" s="2">
        <f>HYPERLINK("http://ts.21cn.com/tousu/show/id/1373381","http://ts.21cn.com/tousu/show/id/1373381")</f>
      </c>
      <c r="G722" t="s" s="2">
        <v>17</v>
      </c>
      <c r="H722" t="s" s="2">
        <v>19</v>
      </c>
      <c r="I722" t="s" s="2">
        <v>2862</v>
      </c>
      <c r="J722" t="s" s="2">
        <v>2863</v>
      </c>
      <c r="K722" t="s" s="2">
        <v>22</v>
      </c>
      <c r="L722" t="s" s="2">
        <v>22</v>
      </c>
      <c r="M722" t="s" s="2">
        <v>22</v>
      </c>
    </row>
    <row r="723" ht="25.0" customHeight="true">
      <c r="A723" t="s" s="2">
        <v>13</v>
      </c>
      <c r="B723" t="s" s="2">
        <f>HYPERLINK("http://ts.21cn.com/tousu/show/id/1373380","交易猫客服不处理仲裁")</f>
      </c>
      <c r="C723" t="s" s="2">
        <v>15</v>
      </c>
      <c r="D723" t="s" s="2">
        <v>16</v>
      </c>
      <c r="E723" t="s" s="2">
        <v>17</v>
      </c>
      <c r="F723" t="s" s="2">
        <f>HYPERLINK("http://ts.21cn.com/tousu/show/id/1373380","http://ts.21cn.com/tousu/show/id/1373380")</f>
      </c>
      <c r="G723" t="s" s="2">
        <v>17</v>
      </c>
      <c r="H723" t="s" s="2">
        <v>19</v>
      </c>
      <c r="I723" t="s" s="2">
        <v>2866</v>
      </c>
      <c r="J723" t="s" s="2">
        <v>2867</v>
      </c>
      <c r="K723" t="s" s="2">
        <v>22</v>
      </c>
      <c r="L723" t="s" s="2">
        <v>22</v>
      </c>
      <c r="M723" t="s" s="2">
        <v>22</v>
      </c>
    </row>
    <row r="724" ht="25.0" customHeight="true">
      <c r="A724" t="s" s="2">
        <v>13</v>
      </c>
      <c r="B724" t="s" s="2">
        <f>HYPERLINK("http://ts.21cn.com/tousu/show/id/1373296","放款失败要求我赔偿全额还款")</f>
      </c>
      <c r="C724" t="s" s="2">
        <v>15</v>
      </c>
      <c r="D724" t="s" s="2">
        <v>16</v>
      </c>
      <c r="E724" t="s" s="2">
        <v>17</v>
      </c>
      <c r="F724" t="s" s="2">
        <f>HYPERLINK("http://ts.21cn.com/tousu/show/id/1373296","http://ts.21cn.com/tousu/show/id/1373296")</f>
      </c>
      <c r="G724" t="s" s="2">
        <v>17</v>
      </c>
      <c r="H724" t="s" s="2">
        <v>19</v>
      </c>
      <c r="I724" t="s" s="2">
        <v>2870</v>
      </c>
      <c r="J724" t="s" s="2">
        <v>2871</v>
      </c>
      <c r="K724" t="s" s="2">
        <v>22</v>
      </c>
      <c r="L724" t="s" s="2">
        <v>22</v>
      </c>
      <c r="M724" t="s" s="2">
        <v>22</v>
      </c>
    </row>
    <row r="725" ht="25.0" customHeight="true">
      <c r="A725" t="s" s="2">
        <v>13</v>
      </c>
      <c r="B725" t="s" s="2">
        <f>HYPERLINK("http://ts.21cn.com/tousu/show/id/1373379","投诉珍爱网诱导消费，要求退款")</f>
      </c>
      <c r="C725" t="s" s="2">
        <v>15</v>
      </c>
      <c r="D725" t="s" s="2">
        <v>16</v>
      </c>
      <c r="E725" t="s" s="2">
        <v>17</v>
      </c>
      <c r="F725" t="s" s="2">
        <f>HYPERLINK("http://ts.21cn.com/tousu/show/id/1373379","http://ts.21cn.com/tousu/show/id/1373379")</f>
      </c>
      <c r="G725" t="s" s="2">
        <v>17</v>
      </c>
      <c r="H725" t="s" s="2">
        <v>19</v>
      </c>
      <c r="I725" t="s" s="2">
        <v>2874</v>
      </c>
      <c r="J725" t="s" s="2">
        <v>2875</v>
      </c>
      <c r="K725" t="s" s="2">
        <v>22</v>
      </c>
      <c r="L725" t="s" s="2">
        <v>22</v>
      </c>
      <c r="M725" t="s" s="2">
        <v>22</v>
      </c>
    </row>
    <row r="726" ht="25.0" customHeight="true">
      <c r="A726" t="s" s="2">
        <v>13</v>
      </c>
      <c r="B726" t="s" s="2">
        <f>HYPERLINK("http://ts.21cn.com/tousu/show/id/1373378","京东未经本人同意乱扣款")</f>
      </c>
      <c r="C726" t="s" s="2">
        <v>15</v>
      </c>
      <c r="D726" t="s" s="2">
        <v>16</v>
      </c>
      <c r="E726" t="s" s="2">
        <v>17</v>
      </c>
      <c r="F726" t="s" s="2">
        <f>HYPERLINK("http://ts.21cn.com/tousu/show/id/1373378","http://ts.21cn.com/tousu/show/id/1373378")</f>
      </c>
      <c r="G726" t="s" s="2">
        <v>17</v>
      </c>
      <c r="H726" t="s" s="2">
        <v>19</v>
      </c>
      <c r="I726" t="s" s="2">
        <v>2878</v>
      </c>
      <c r="J726" t="s" s="2">
        <v>2879</v>
      </c>
      <c r="K726" t="s" s="2">
        <v>22</v>
      </c>
      <c r="L726" t="s" s="2">
        <v>22</v>
      </c>
      <c r="M726" t="s" s="2">
        <v>22</v>
      </c>
    </row>
    <row r="727" ht="25.0" customHeight="true">
      <c r="A727" t="s" s="2">
        <v>13</v>
      </c>
      <c r="B727" t="s" s="2">
        <f>HYPERLINK("http://ts.21cn.com/tousu/show/id/1373375","暴力威胁催收")</f>
      </c>
      <c r="C727" t="s" s="2">
        <v>15</v>
      </c>
      <c r="D727" t="s" s="2">
        <v>16</v>
      </c>
      <c r="E727" t="s" s="2">
        <v>17</v>
      </c>
      <c r="F727" t="s" s="2">
        <f>HYPERLINK("http://ts.21cn.com/tousu/show/id/1373375","http://ts.21cn.com/tousu/show/id/1373375")</f>
      </c>
      <c r="G727" t="s" s="2">
        <v>17</v>
      </c>
      <c r="H727" t="s" s="2">
        <v>19</v>
      </c>
      <c r="I727" t="s" s="2">
        <v>2882</v>
      </c>
      <c r="J727" t="s" s="2">
        <v>2883</v>
      </c>
      <c r="K727" t="s" s="2">
        <v>22</v>
      </c>
      <c r="L727" t="s" s="2">
        <v>22</v>
      </c>
      <c r="M727" t="s" s="2">
        <v>22</v>
      </c>
    </row>
    <row r="728" ht="25.0" customHeight="true">
      <c r="A728" t="s" s="2">
        <v>13</v>
      </c>
      <c r="B728" t="s" s="2">
        <f>HYPERLINK("http://ts.21cn.com/tousu/show/id/1373374","电话骚扰，盗取个人通讯录")</f>
      </c>
      <c r="C728" t="s" s="2">
        <v>15</v>
      </c>
      <c r="D728" t="s" s="2">
        <v>16</v>
      </c>
      <c r="E728" t="s" s="2">
        <v>17</v>
      </c>
      <c r="F728" t="s" s="2">
        <f>HYPERLINK("http://ts.21cn.com/tousu/show/id/1373374","http://ts.21cn.com/tousu/show/id/1373374")</f>
      </c>
      <c r="G728" t="s" s="2">
        <v>17</v>
      </c>
      <c r="H728" t="s" s="2">
        <v>19</v>
      </c>
      <c r="I728" t="s" s="2">
        <v>2886</v>
      </c>
      <c r="J728" t="s" s="2">
        <v>2887</v>
      </c>
      <c r="K728" t="s" s="2">
        <v>22</v>
      </c>
      <c r="L728" t="s" s="2">
        <v>22</v>
      </c>
      <c r="M728" t="s" s="2">
        <v>22</v>
      </c>
    </row>
    <row r="729" ht="25.0" customHeight="true">
      <c r="A729" t="s" s="2">
        <v>13</v>
      </c>
      <c r="B729" t="s" s="2">
        <f>HYPERLINK("http://ts.21cn.com/tousu/show/id/1373376","网贷高利贷")</f>
      </c>
      <c r="C729" t="s" s="2">
        <v>15</v>
      </c>
      <c r="D729" t="s" s="2">
        <v>16</v>
      </c>
      <c r="E729" t="s" s="2">
        <v>17</v>
      </c>
      <c r="F729" t="s" s="2">
        <f>HYPERLINK("http://ts.21cn.com/tousu/show/id/1373376","http://ts.21cn.com/tousu/show/id/1373376")</f>
      </c>
      <c r="G729" t="s" s="2">
        <v>17</v>
      </c>
      <c r="H729" t="s" s="2">
        <v>19</v>
      </c>
      <c r="I729" t="s" s="2">
        <v>2890</v>
      </c>
      <c r="J729" t="s" s="2">
        <v>2891</v>
      </c>
      <c r="K729" t="s" s="2">
        <v>22</v>
      </c>
      <c r="L729" t="s" s="2">
        <v>22</v>
      </c>
      <c r="M729" t="s" s="2">
        <v>22</v>
      </c>
    </row>
    <row r="730" ht="25.0" customHeight="true">
      <c r="A730" t="s" s="2">
        <v>13</v>
      </c>
      <c r="B730" t="s" s="2">
        <f>HYPERLINK("http://ts.21cn.com/tousu/show/id/1373377","你我贷暴力催收P图爆通讯录")</f>
      </c>
      <c r="C730" t="s" s="2">
        <v>15</v>
      </c>
      <c r="D730" t="s" s="2">
        <v>16</v>
      </c>
      <c r="E730" t="s" s="2">
        <v>17</v>
      </c>
      <c r="F730" t="s" s="2">
        <f>HYPERLINK("http://ts.21cn.com/tousu/show/id/1373377","http://ts.21cn.com/tousu/show/id/1373377")</f>
      </c>
      <c r="G730" t="s" s="2">
        <v>17</v>
      </c>
      <c r="H730" t="s" s="2">
        <v>19</v>
      </c>
      <c r="I730" t="s" s="2">
        <v>2890</v>
      </c>
      <c r="J730" t="s" s="2">
        <v>2894</v>
      </c>
      <c r="K730" t="s" s="2">
        <v>22</v>
      </c>
      <c r="L730" t="s" s="2">
        <v>22</v>
      </c>
      <c r="M730" t="s" s="2">
        <v>22</v>
      </c>
    </row>
    <row r="731" ht="25.0" customHeight="true">
      <c r="A731" t="s" s="2">
        <v>13</v>
      </c>
      <c r="B731" t="s" s="2">
        <f>HYPERLINK("http://ts.21cn.com/tousu/show/id/1373373","暴力催收，停止骚扰")</f>
      </c>
      <c r="C731" t="s" s="2">
        <v>15</v>
      </c>
      <c r="D731" t="s" s="2">
        <v>16</v>
      </c>
      <c r="E731" t="s" s="2">
        <v>17</v>
      </c>
      <c r="F731" t="s" s="2">
        <f>HYPERLINK("http://ts.21cn.com/tousu/show/id/1373373","http://ts.21cn.com/tousu/show/id/1373373")</f>
      </c>
      <c r="G731" t="s" s="2">
        <v>17</v>
      </c>
      <c r="H731" t="s" s="2">
        <v>19</v>
      </c>
      <c r="I731" t="s" s="2">
        <v>2897</v>
      </c>
      <c r="J731" t="s" s="2">
        <v>2898</v>
      </c>
      <c r="K731" t="s" s="2">
        <v>22</v>
      </c>
      <c r="L731" t="s" s="2">
        <v>22</v>
      </c>
      <c r="M731" t="s" s="2">
        <v>22</v>
      </c>
    </row>
    <row r="732" ht="25.0" customHeight="true">
      <c r="A732" t="s" s="2">
        <v>13</v>
      </c>
      <c r="B732" t="s" s="2">
        <f>HYPERLINK("http://ts.21cn.com/tousu/show/id/1373372","华农钱庄高利贷")</f>
      </c>
      <c r="C732" t="s" s="2">
        <v>15</v>
      </c>
      <c r="D732" t="s" s="2">
        <v>16</v>
      </c>
      <c r="E732" t="s" s="2">
        <v>17</v>
      </c>
      <c r="F732" t="s" s="2">
        <f>HYPERLINK("http://ts.21cn.com/tousu/show/id/1373372","http://ts.21cn.com/tousu/show/id/1373372")</f>
      </c>
      <c r="G732" t="s" s="2">
        <v>17</v>
      </c>
      <c r="H732" t="s" s="2">
        <v>19</v>
      </c>
      <c r="I732" t="s" s="2">
        <v>2901</v>
      </c>
      <c r="J732" t="s" s="2">
        <v>2902</v>
      </c>
      <c r="K732" t="s" s="2">
        <v>22</v>
      </c>
      <c r="L732" t="s" s="2">
        <v>22</v>
      </c>
      <c r="M732" t="s" s="2">
        <v>22</v>
      </c>
    </row>
    <row r="733" ht="25.0" customHeight="true">
      <c r="A733" t="s" s="2">
        <v>13</v>
      </c>
      <c r="B733" t="s" s="2">
        <f>HYPERLINK("http://ts.21cn.com/tousu/show/id/1373370","贷上钱以买游戏豆为由收取高额贷款通过费")</f>
      </c>
      <c r="C733" t="s" s="2">
        <v>15</v>
      </c>
      <c r="D733" t="s" s="2">
        <v>16</v>
      </c>
      <c r="E733" t="s" s="2">
        <v>17</v>
      </c>
      <c r="F733" t="s" s="2">
        <f>HYPERLINK("http://ts.21cn.com/tousu/show/id/1373370","http://ts.21cn.com/tousu/show/id/1373370")</f>
      </c>
      <c r="G733" t="s" s="2">
        <v>17</v>
      </c>
      <c r="H733" t="s" s="2">
        <v>19</v>
      </c>
      <c r="I733" t="s" s="2">
        <v>2904</v>
      </c>
      <c r="J733" t="s" s="2">
        <v>2905</v>
      </c>
      <c r="K733" t="s" s="2">
        <v>22</v>
      </c>
      <c r="L733" t="s" s="2">
        <v>22</v>
      </c>
      <c r="M733" t="s" s="2">
        <v>22</v>
      </c>
    </row>
    <row r="734" ht="25.0" customHeight="true">
      <c r="A734" t="s" s="2">
        <v>13</v>
      </c>
      <c r="B734" t="s" s="2">
        <f>HYPERLINK("http://ts.21cn.com/tousu/show/id/1373369","暴力催收，爆通讯录，骚扰家人，给公司打电话，威胁")</f>
      </c>
      <c r="C734" t="s" s="2">
        <v>15</v>
      </c>
      <c r="D734" t="s" s="2">
        <v>16</v>
      </c>
      <c r="E734" t="s" s="2">
        <v>17</v>
      </c>
      <c r="F734" t="s" s="2">
        <f>HYPERLINK("http://ts.21cn.com/tousu/show/id/1373369","http://ts.21cn.com/tousu/show/id/1373369")</f>
      </c>
      <c r="G734" t="s" s="2">
        <v>17</v>
      </c>
      <c r="H734" t="s" s="2">
        <v>19</v>
      </c>
      <c r="I734" t="s" s="2">
        <v>2908</v>
      </c>
      <c r="J734" t="s" s="2">
        <v>2909</v>
      </c>
      <c r="K734" t="s" s="2">
        <v>22</v>
      </c>
      <c r="L734" t="s" s="2">
        <v>22</v>
      </c>
      <c r="M734" t="s" s="2">
        <v>22</v>
      </c>
    </row>
    <row r="735" ht="25.0" customHeight="true">
      <c r="A735" t="s" s="2">
        <v>13</v>
      </c>
      <c r="B735" t="s" s="2">
        <f>HYPERLINK("http://ts.21cn.com/tousu/show/id/1373368","你我贷合作平台优贷高额利率，恶意崔还")</f>
      </c>
      <c r="C735" t="s" s="2">
        <v>15</v>
      </c>
      <c r="D735" t="s" s="2">
        <v>16</v>
      </c>
      <c r="E735" t="s" s="2">
        <v>17</v>
      </c>
      <c r="F735" t="s" s="2">
        <f>HYPERLINK("http://ts.21cn.com/tousu/show/id/1373368","http://ts.21cn.com/tousu/show/id/1373368")</f>
      </c>
      <c r="G735" t="s" s="2">
        <v>17</v>
      </c>
      <c r="H735" t="s" s="2">
        <v>19</v>
      </c>
      <c r="I735" t="s" s="2">
        <v>2912</v>
      </c>
      <c r="J735" t="s" s="2">
        <v>2913</v>
      </c>
      <c r="K735" t="s" s="2">
        <v>22</v>
      </c>
      <c r="L735" t="s" s="2">
        <v>22</v>
      </c>
      <c r="M735" t="s" s="2">
        <v>22</v>
      </c>
    </row>
    <row r="736" ht="25.0" customHeight="true">
      <c r="A736" t="s" s="2">
        <v>13</v>
      </c>
      <c r="B736" t="s" s="2">
        <f>HYPERLINK("http://ts.21cn.com/tousu/show/id/1373367","投诉我来数科高利贷砍头息")</f>
      </c>
      <c r="C736" t="s" s="2">
        <v>15</v>
      </c>
      <c r="D736" t="s" s="2">
        <v>16</v>
      </c>
      <c r="E736" t="s" s="2">
        <v>17</v>
      </c>
      <c r="F736" t="s" s="2">
        <f>HYPERLINK("http://ts.21cn.com/tousu/show/id/1373367","http://ts.21cn.com/tousu/show/id/1373367")</f>
      </c>
      <c r="G736" t="s" s="2">
        <v>17</v>
      </c>
      <c r="H736" t="s" s="2">
        <v>19</v>
      </c>
      <c r="I736" t="s" s="2">
        <v>2916</v>
      </c>
      <c r="J736" t="s" s="2">
        <v>2917</v>
      </c>
      <c r="K736" t="s" s="2">
        <v>22</v>
      </c>
      <c r="L736" t="s" s="2">
        <v>22</v>
      </c>
      <c r="M736" t="s" s="2">
        <v>22</v>
      </c>
    </row>
    <row r="737" ht="25.0" customHeight="true">
      <c r="A737" t="s" s="2">
        <v>13</v>
      </c>
      <c r="B737" t="s" s="2">
        <f>HYPERLINK("http://ts.21cn.com/tousu/show/id/1373316","平安普惠与第三方平台陆金所利息偏高")</f>
      </c>
      <c r="C737" t="s" s="2">
        <v>15</v>
      </c>
      <c r="D737" t="s" s="2">
        <v>16</v>
      </c>
      <c r="E737" t="s" s="2">
        <v>17</v>
      </c>
      <c r="F737" t="s" s="2">
        <f>HYPERLINK("http://ts.21cn.com/tousu/show/id/1373316","http://ts.21cn.com/tousu/show/id/1373316")</f>
      </c>
      <c r="G737" t="s" s="2">
        <v>17</v>
      </c>
      <c r="H737" t="s" s="2">
        <v>19</v>
      </c>
      <c r="I737" t="s" s="2">
        <v>2920</v>
      </c>
      <c r="J737" t="s" s="2">
        <v>2921</v>
      </c>
      <c r="K737" t="s" s="2">
        <v>22</v>
      </c>
      <c r="L737" t="s" s="2">
        <v>22</v>
      </c>
      <c r="M737" t="s" s="2">
        <v>22</v>
      </c>
    </row>
    <row r="738" ht="25.0" customHeight="true">
      <c r="A738" t="s" s="2">
        <v>13</v>
      </c>
      <c r="B738" t="s" s="2">
        <f>HYPERLINK("http://ts.21cn.com/tousu/show/id/1373366","江南农村商业银行下卡又不让用")</f>
      </c>
      <c r="C738" t="s" s="2">
        <v>52</v>
      </c>
      <c r="D738" t="s" s="2">
        <v>16</v>
      </c>
      <c r="E738" t="s" s="2">
        <v>17</v>
      </c>
      <c r="F738" t="s" s="2">
        <f>HYPERLINK("http://ts.21cn.com/tousu/show/id/1373366","http://ts.21cn.com/tousu/show/id/1373366")</f>
      </c>
      <c r="G738" t="s" s="2">
        <v>17</v>
      </c>
      <c r="H738" t="s" s="2">
        <v>19</v>
      </c>
      <c r="I738" t="s" s="2">
        <v>2924</v>
      </c>
      <c r="J738" t="s" s="2">
        <v>2925</v>
      </c>
      <c r="K738" t="s" s="2">
        <v>22</v>
      </c>
      <c r="L738" t="s" s="2">
        <v>22</v>
      </c>
      <c r="M738" t="s" s="2">
        <v>22</v>
      </c>
    </row>
    <row r="739" ht="25.0" customHeight="true">
      <c r="A739" t="s" s="2">
        <v>13</v>
      </c>
      <c r="B739" t="s" s="2">
        <f>HYPERLINK("http://ts.21cn.com/tousu/show/id/1373365","非法盗刷，不明扣款")</f>
      </c>
      <c r="C739" t="s" s="2">
        <v>15</v>
      </c>
      <c r="D739" t="s" s="2">
        <v>16</v>
      </c>
      <c r="E739" t="s" s="2">
        <v>17</v>
      </c>
      <c r="F739" t="s" s="2">
        <f>HYPERLINK("http://ts.21cn.com/tousu/show/id/1373365","http://ts.21cn.com/tousu/show/id/1373365")</f>
      </c>
      <c r="G739" t="s" s="2">
        <v>17</v>
      </c>
      <c r="H739" t="s" s="2">
        <v>19</v>
      </c>
      <c r="I739" t="s" s="2">
        <v>2928</v>
      </c>
      <c r="J739" t="s" s="2">
        <v>2929</v>
      </c>
      <c r="K739" t="s" s="2">
        <v>22</v>
      </c>
      <c r="L739" t="s" s="2">
        <v>22</v>
      </c>
      <c r="M739" t="s" s="2">
        <v>22</v>
      </c>
    </row>
    <row r="740" ht="25.0" customHeight="true">
      <c r="A740" t="s" s="2">
        <v>13</v>
      </c>
      <c r="B740" t="s" s="2">
        <f>HYPERLINK("http://ts.21cn.com/tousu/show/id/1373364","招联金融暴力催收，辱骂，黑社会性质骚扰亲朋好友")</f>
      </c>
      <c r="C740" t="s" s="2">
        <v>15</v>
      </c>
      <c r="D740" t="s" s="2">
        <v>16</v>
      </c>
      <c r="E740" t="s" s="2">
        <v>17</v>
      </c>
      <c r="F740" t="s" s="2">
        <f>HYPERLINK("http://ts.21cn.com/tousu/show/id/1373364","http://ts.21cn.com/tousu/show/id/1373364")</f>
      </c>
      <c r="G740" t="s" s="2">
        <v>17</v>
      </c>
      <c r="H740" t="s" s="2">
        <v>19</v>
      </c>
      <c r="I740" t="s" s="2">
        <v>2932</v>
      </c>
      <c r="J740" t="s" s="2">
        <v>2933</v>
      </c>
      <c r="K740" t="s" s="2">
        <v>22</v>
      </c>
      <c r="L740" t="s" s="2">
        <v>22</v>
      </c>
      <c r="M740" t="s" s="2">
        <v>22</v>
      </c>
    </row>
    <row r="741" ht="25.0" customHeight="true">
      <c r="A741" t="s" s="2">
        <v>13</v>
      </c>
      <c r="B741" t="s" s="2">
        <f>HYPERLINK("http://ts.21cn.com/tousu/show/id/1373362","平安i贷属于高利贷")</f>
      </c>
      <c r="C741" t="s" s="2">
        <v>15</v>
      </c>
      <c r="D741" t="s" s="2">
        <v>16</v>
      </c>
      <c r="E741" t="s" s="2">
        <v>17</v>
      </c>
      <c r="F741" t="s" s="2">
        <f>HYPERLINK("http://ts.21cn.com/tousu/show/id/1373362","http://ts.21cn.com/tousu/show/id/1373362")</f>
      </c>
      <c r="G741" t="s" s="2">
        <v>17</v>
      </c>
      <c r="H741" t="s" s="2">
        <v>19</v>
      </c>
      <c r="I741" t="s" s="2">
        <v>2936</v>
      </c>
      <c r="J741" t="s" s="2">
        <v>2937</v>
      </c>
      <c r="K741" t="s" s="2">
        <v>22</v>
      </c>
      <c r="L741" t="s" s="2">
        <v>22</v>
      </c>
      <c r="M741" t="s" s="2">
        <v>22</v>
      </c>
    </row>
    <row r="742" ht="25.0" customHeight="true">
      <c r="A742" t="s" s="2">
        <v>13</v>
      </c>
      <c r="B742" t="s" s="2">
        <f>HYPERLINK("http://ts.21cn.com/tousu/show/id/1373361","闪银糯米贷泄露个人隐私")</f>
      </c>
      <c r="C742" t="s" s="2">
        <v>15</v>
      </c>
      <c r="D742" t="s" s="2">
        <v>16</v>
      </c>
      <c r="E742" t="s" s="2">
        <v>17</v>
      </c>
      <c r="F742" t="s" s="2">
        <f>HYPERLINK("http://ts.21cn.com/tousu/show/id/1373361","http://ts.21cn.com/tousu/show/id/1373361")</f>
      </c>
      <c r="G742" t="s" s="2">
        <v>17</v>
      </c>
      <c r="H742" t="s" s="2">
        <v>19</v>
      </c>
      <c r="I742" t="s" s="2">
        <v>2940</v>
      </c>
      <c r="J742" t="s" s="2">
        <v>2941</v>
      </c>
      <c r="K742" t="s" s="2">
        <v>22</v>
      </c>
      <c r="L742" t="s" s="2">
        <v>22</v>
      </c>
      <c r="M742" t="s" s="2">
        <v>22</v>
      </c>
    </row>
    <row r="743" ht="25.0" customHeight="true">
      <c r="A743" t="s" s="2">
        <v>13</v>
      </c>
      <c r="B743" t="s" s="2">
        <f>HYPERLINK("http://ts.21cn.com/tousu/show/id/1373363","我来数科催收")</f>
      </c>
      <c r="C743" t="s" s="2">
        <v>15</v>
      </c>
      <c r="D743" t="s" s="2">
        <v>16</v>
      </c>
      <c r="E743" t="s" s="2">
        <v>17</v>
      </c>
      <c r="F743" t="s" s="2">
        <f>HYPERLINK("http://ts.21cn.com/tousu/show/id/1373363","http://ts.21cn.com/tousu/show/id/1373363")</f>
      </c>
      <c r="G743" t="s" s="2">
        <v>17</v>
      </c>
      <c r="H743" t="s" s="2">
        <v>19</v>
      </c>
      <c r="I743" t="s" s="2">
        <v>2944</v>
      </c>
      <c r="J743" t="s" s="2">
        <v>2945</v>
      </c>
      <c r="K743" t="s" s="2">
        <v>22</v>
      </c>
      <c r="L743" t="s" s="2">
        <v>22</v>
      </c>
      <c r="M743" t="s" s="2">
        <v>22</v>
      </c>
    </row>
    <row r="744" ht="25.0" customHeight="true">
      <c r="A744" t="s" s="2">
        <v>13</v>
      </c>
      <c r="B744" t="s" s="2">
        <f>HYPERLINK("http://ts.21cn.com/tousu/show/id/1373360","钱橙无忧随意扣费")</f>
      </c>
      <c r="C744" t="s" s="2">
        <v>15</v>
      </c>
      <c r="D744" t="s" s="2">
        <v>16</v>
      </c>
      <c r="E744" t="s" s="2">
        <v>17</v>
      </c>
      <c r="F744" t="s" s="2">
        <f>HYPERLINK("http://ts.21cn.com/tousu/show/id/1373360","http://ts.21cn.com/tousu/show/id/1373360")</f>
      </c>
      <c r="G744" t="s" s="2">
        <v>17</v>
      </c>
      <c r="H744" t="s" s="2">
        <v>19</v>
      </c>
      <c r="I744" t="s" s="2">
        <v>2947</v>
      </c>
      <c r="J744" t="s" s="2">
        <v>2948</v>
      </c>
      <c r="K744" t="s" s="2">
        <v>22</v>
      </c>
      <c r="L744" t="s" s="2">
        <v>22</v>
      </c>
      <c r="M744" t="s" s="2">
        <v>22</v>
      </c>
    </row>
    <row r="745" ht="25.0" customHeight="true">
      <c r="A745" t="s" s="2">
        <v>13</v>
      </c>
      <c r="B745" t="s" s="2">
        <f>HYPERLINK("http://ts.21cn.com/tousu/show/id/1373359","支付宝恶意冻结我资金")</f>
      </c>
      <c r="C745" t="s" s="2">
        <v>15</v>
      </c>
      <c r="D745" t="s" s="2">
        <v>16</v>
      </c>
      <c r="E745" t="s" s="2">
        <v>17</v>
      </c>
      <c r="F745" t="s" s="2">
        <f>HYPERLINK("http://ts.21cn.com/tousu/show/id/1373359","http://ts.21cn.com/tousu/show/id/1373359")</f>
      </c>
      <c r="G745" t="s" s="2">
        <v>17</v>
      </c>
      <c r="H745" t="s" s="2">
        <v>19</v>
      </c>
      <c r="I745" t="s" s="2">
        <v>2951</v>
      </c>
      <c r="J745" t="s" s="2">
        <v>2952</v>
      </c>
      <c r="K745" t="s" s="2">
        <v>22</v>
      </c>
      <c r="L745" t="s" s="2">
        <v>22</v>
      </c>
      <c r="M745" t="s" s="2">
        <v>22</v>
      </c>
    </row>
    <row r="746" ht="25.0" customHeight="true">
      <c r="A746" t="s" s="2">
        <v>13</v>
      </c>
      <c r="B746" t="s" s="2">
        <f>HYPERLINK("http://ts.21cn.com/tousu/show/id/1373357","买买乐购app贷款利息过高")</f>
      </c>
      <c r="C746" t="s" s="2">
        <v>15</v>
      </c>
      <c r="D746" t="s" s="2">
        <v>16</v>
      </c>
      <c r="E746" t="s" s="2">
        <v>17</v>
      </c>
      <c r="F746" t="s" s="2">
        <f>HYPERLINK("http://ts.21cn.com/tousu/show/id/1373357","http://ts.21cn.com/tousu/show/id/1373357")</f>
      </c>
      <c r="G746" t="s" s="2">
        <v>17</v>
      </c>
      <c r="H746" t="s" s="2">
        <v>19</v>
      </c>
      <c r="I746" t="s" s="2">
        <v>2955</v>
      </c>
      <c r="J746" t="s" s="2">
        <v>2956</v>
      </c>
      <c r="K746" t="s" s="2">
        <v>22</v>
      </c>
      <c r="L746" t="s" s="2">
        <v>22</v>
      </c>
      <c r="M746" t="s" s="2">
        <v>22</v>
      </c>
    </row>
    <row r="747" ht="25.0" customHeight="true">
      <c r="A747" t="s" s="2">
        <v>13</v>
      </c>
      <c r="B747" t="s" s="2">
        <f>HYPERLINK("http://ts.21cn.com/tousu/show/id/1373356","招联金融恶意恐吓要打电话骚扰合作公司")</f>
      </c>
      <c r="C747" t="s" s="2">
        <v>15</v>
      </c>
      <c r="D747" t="s" s="2">
        <v>16</v>
      </c>
      <c r="E747" t="s" s="2">
        <v>17</v>
      </c>
      <c r="F747" t="s" s="2">
        <f>HYPERLINK("http://ts.21cn.com/tousu/show/id/1373356","http://ts.21cn.com/tousu/show/id/1373356")</f>
      </c>
      <c r="G747" t="s" s="2">
        <v>17</v>
      </c>
      <c r="H747" t="s" s="2">
        <v>19</v>
      </c>
      <c r="I747" t="s" s="2">
        <v>2955</v>
      </c>
      <c r="J747" t="s" s="2">
        <v>2959</v>
      </c>
      <c r="K747" t="s" s="2">
        <v>22</v>
      </c>
      <c r="L747" t="s" s="2">
        <v>22</v>
      </c>
      <c r="M747" t="s" s="2">
        <v>22</v>
      </c>
    </row>
    <row r="748" ht="25.0" customHeight="true">
      <c r="A748" t="s" s="2">
        <v>13</v>
      </c>
      <c r="B748" t="s" s="2">
        <f>HYPERLINK("http://ts.21cn.com/tousu/show/id/1373355","安逸花第一次逾期，这个月工资发晚了，到现在还没发，安逸花就不停打电话，我已经打了客服电话说明情况了")</f>
      </c>
      <c r="C748" t="s" s="2">
        <v>15</v>
      </c>
      <c r="D748" t="s" s="2">
        <v>16</v>
      </c>
      <c r="E748" t="s" s="2">
        <v>17</v>
      </c>
      <c r="F748" t="s" s="2">
        <f>HYPERLINK("http://ts.21cn.com/tousu/show/id/1373355","http://ts.21cn.com/tousu/show/id/1373355")</f>
      </c>
      <c r="G748" t="s" s="2">
        <v>17</v>
      </c>
      <c r="H748" t="s" s="2">
        <v>19</v>
      </c>
      <c r="I748" t="s" s="2">
        <v>2962</v>
      </c>
      <c r="J748" t="s" s="2">
        <v>2963</v>
      </c>
      <c r="K748" t="s" s="2">
        <v>22</v>
      </c>
      <c r="L748" t="s" s="2">
        <v>22</v>
      </c>
      <c r="M748" t="s" s="2">
        <v>22</v>
      </c>
    </row>
    <row r="749" ht="25.0" customHeight="true">
      <c r="A749" t="s" s="2">
        <v>13</v>
      </c>
      <c r="B749" t="s" s="2">
        <f>HYPERLINK("http://ts.21cn.com/tousu/show/id/1373354","想花乐高利贷")</f>
      </c>
      <c r="C749" t="s" s="2">
        <v>15</v>
      </c>
      <c r="D749" t="s" s="2">
        <v>16</v>
      </c>
      <c r="E749" t="s" s="2">
        <v>17</v>
      </c>
      <c r="F749" t="s" s="2">
        <f>HYPERLINK("http://ts.21cn.com/tousu/show/id/1373354","http://ts.21cn.com/tousu/show/id/1373354")</f>
      </c>
      <c r="G749" t="s" s="2">
        <v>17</v>
      </c>
      <c r="H749" t="s" s="2">
        <v>19</v>
      </c>
      <c r="I749" t="s" s="2">
        <v>2966</v>
      </c>
      <c r="J749" t="s" s="2">
        <v>2967</v>
      </c>
      <c r="K749" t="s" s="2">
        <v>22</v>
      </c>
      <c r="L749" t="s" s="2">
        <v>22</v>
      </c>
      <c r="M749" t="s" s="2">
        <v>22</v>
      </c>
    </row>
    <row r="750" ht="25.0" customHeight="true">
      <c r="A750" t="s" s="2">
        <v>13</v>
      </c>
      <c r="B750" t="s" s="2">
        <f>HYPERLINK("http://ts.21cn.com/tousu/show/id/1373353","暴力催收威胁")</f>
      </c>
      <c r="C750" t="s" s="2">
        <v>15</v>
      </c>
      <c r="D750" t="s" s="2">
        <v>16</v>
      </c>
      <c r="E750" t="s" s="2">
        <v>17</v>
      </c>
      <c r="F750" t="s" s="2">
        <f>HYPERLINK("http://ts.21cn.com/tousu/show/id/1373353","http://ts.21cn.com/tousu/show/id/1373353")</f>
      </c>
      <c r="G750" t="s" s="2">
        <v>17</v>
      </c>
      <c r="H750" t="s" s="2">
        <v>19</v>
      </c>
      <c r="I750" t="s" s="2">
        <v>2970</v>
      </c>
      <c r="J750" t="s" s="2">
        <v>2971</v>
      </c>
      <c r="K750" t="s" s="2">
        <v>22</v>
      </c>
      <c r="L750" t="s" s="2">
        <v>22</v>
      </c>
      <c r="M750" t="s" s="2">
        <v>22</v>
      </c>
    </row>
    <row r="751" ht="25.0" customHeight="true">
      <c r="A751" t="s" s="2">
        <v>13</v>
      </c>
      <c r="B751" t="s" s="2">
        <f>HYPERLINK("http://ts.21cn.com/tousu/show/id/1373352","广发信用卡从额度五万四降到三千额度")</f>
      </c>
      <c r="C751" t="s" s="2">
        <v>52</v>
      </c>
      <c r="D751" t="s" s="2">
        <v>16</v>
      </c>
      <c r="E751" t="s" s="2">
        <v>17</v>
      </c>
      <c r="F751" t="s" s="2">
        <f>HYPERLINK("http://ts.21cn.com/tousu/show/id/1373352","http://ts.21cn.com/tousu/show/id/1373352")</f>
      </c>
      <c r="G751" t="s" s="2">
        <v>17</v>
      </c>
      <c r="H751" t="s" s="2">
        <v>19</v>
      </c>
      <c r="I751" t="s" s="2">
        <v>2974</v>
      </c>
      <c r="J751" t="s" s="2">
        <v>2975</v>
      </c>
      <c r="K751" t="s" s="2">
        <v>22</v>
      </c>
      <c r="L751" t="s" s="2">
        <v>22</v>
      </c>
      <c r="M751" t="s" s="2">
        <v>22</v>
      </c>
    </row>
    <row r="752" ht="25.0" customHeight="true">
      <c r="A752" t="s" s="2">
        <v>13</v>
      </c>
      <c r="B752" t="s" s="2">
        <f>HYPERLINK("http://ts.21cn.com/tousu/show/id/1373349","微博借钱威胁恐吓借款人")</f>
      </c>
      <c r="C752" t="s" s="2">
        <v>15</v>
      </c>
      <c r="D752" t="s" s="2">
        <v>16</v>
      </c>
      <c r="E752" t="s" s="2">
        <v>17</v>
      </c>
      <c r="F752" t="s" s="2">
        <f>HYPERLINK("http://ts.21cn.com/tousu/show/id/1373349","http://ts.21cn.com/tousu/show/id/1373349")</f>
      </c>
      <c r="G752" t="s" s="2">
        <v>17</v>
      </c>
      <c r="H752" t="s" s="2">
        <v>19</v>
      </c>
      <c r="I752" t="s" s="2">
        <v>2978</v>
      </c>
      <c r="J752" t="s" s="2">
        <v>2979</v>
      </c>
      <c r="K752" t="s" s="2">
        <v>22</v>
      </c>
      <c r="L752" t="s" s="2">
        <v>22</v>
      </c>
      <c r="M752" t="s" s="2">
        <v>22</v>
      </c>
    </row>
    <row r="753" ht="25.0" customHeight="true">
      <c r="A753" t="s" s="2">
        <v>13</v>
      </c>
      <c r="B753" t="s" s="2">
        <f>HYPERLINK("http://ts.21cn.com/tousu/show/id/1373348","闪电借款变相砍头息")</f>
      </c>
      <c r="C753" t="s" s="2">
        <v>15</v>
      </c>
      <c r="D753" t="s" s="2">
        <v>16</v>
      </c>
      <c r="E753" t="s" s="2">
        <v>17</v>
      </c>
      <c r="F753" t="s" s="2">
        <f>HYPERLINK("http://ts.21cn.com/tousu/show/id/1373348","http://ts.21cn.com/tousu/show/id/1373348")</f>
      </c>
      <c r="G753" t="s" s="2">
        <v>17</v>
      </c>
      <c r="H753" t="s" s="2">
        <v>19</v>
      </c>
      <c r="I753" t="s" s="2">
        <v>2982</v>
      </c>
      <c r="J753" t="s" s="2">
        <v>2983</v>
      </c>
      <c r="K753" t="s" s="2">
        <v>22</v>
      </c>
      <c r="L753" t="s" s="2">
        <v>22</v>
      </c>
      <c r="M753" t="s" s="2">
        <v>22</v>
      </c>
    </row>
    <row r="754" ht="25.0" customHeight="true">
      <c r="A754" t="s" s="2">
        <v>13</v>
      </c>
      <c r="B754" t="s" s="2">
        <f>HYPERLINK("http://ts.21cn.com/tousu/show/id/1373351","360贷款")</f>
      </c>
      <c r="C754" t="s" s="2">
        <v>15</v>
      </c>
      <c r="D754" t="s" s="2">
        <v>16</v>
      </c>
      <c r="E754" t="s" s="2">
        <v>17</v>
      </c>
      <c r="F754" t="s" s="2">
        <f>HYPERLINK("http://ts.21cn.com/tousu/show/id/1373351","http://ts.21cn.com/tousu/show/id/1373351")</f>
      </c>
      <c r="G754" t="s" s="2">
        <v>17</v>
      </c>
      <c r="H754" t="s" s="2">
        <v>19</v>
      </c>
      <c r="I754" t="s" s="2">
        <v>2986</v>
      </c>
      <c r="J754" t="s" s="2">
        <v>2987</v>
      </c>
      <c r="K754" t="s" s="2">
        <v>22</v>
      </c>
      <c r="L754" t="s" s="2">
        <v>22</v>
      </c>
      <c r="M754" t="s" s="2">
        <v>22</v>
      </c>
    </row>
    <row r="755" ht="25.0" customHeight="true">
      <c r="A755" t="s" s="2">
        <v>13</v>
      </c>
      <c r="B755" t="s" s="2">
        <f>HYPERLINK("http://ts.21cn.com/tousu/show/id/1373350","套路扣费")</f>
      </c>
      <c r="C755" t="s" s="2">
        <v>15</v>
      </c>
      <c r="D755" t="s" s="2">
        <v>16</v>
      </c>
      <c r="E755" t="s" s="2">
        <v>17</v>
      </c>
      <c r="F755" t="s" s="2">
        <f>HYPERLINK("http://ts.21cn.com/tousu/show/id/1373350","http://ts.21cn.com/tousu/show/id/1373350")</f>
      </c>
      <c r="G755" t="s" s="2">
        <v>17</v>
      </c>
      <c r="H755" t="s" s="2">
        <v>19</v>
      </c>
      <c r="I755" t="s" s="2">
        <v>2990</v>
      </c>
      <c r="J755" t="s" s="2">
        <v>2991</v>
      </c>
      <c r="K755" t="s" s="2">
        <v>22</v>
      </c>
      <c r="L755" t="s" s="2">
        <v>22</v>
      </c>
      <c r="M755" t="s" s="2">
        <v>22</v>
      </c>
    </row>
    <row r="756" ht="25.0" customHeight="true">
      <c r="A756" t="s" s="2">
        <v>13</v>
      </c>
      <c r="B756" t="s" s="2">
        <f>HYPERLINK("http://ts.21cn.com/tousu/show/id/1373347","无缘无故扣钱")</f>
      </c>
      <c r="C756" t="s" s="2">
        <v>15</v>
      </c>
      <c r="D756" t="s" s="2">
        <v>16</v>
      </c>
      <c r="E756" t="s" s="2">
        <v>17</v>
      </c>
      <c r="F756" t="s" s="2">
        <f>HYPERLINK("http://ts.21cn.com/tousu/show/id/1373347","http://ts.21cn.com/tousu/show/id/1373347")</f>
      </c>
      <c r="G756" t="s" s="2">
        <v>17</v>
      </c>
      <c r="H756" t="s" s="2">
        <v>19</v>
      </c>
      <c r="I756" t="s" s="2">
        <v>2994</v>
      </c>
      <c r="J756" t="s" s="2">
        <v>2995</v>
      </c>
      <c r="K756" t="s" s="2">
        <v>22</v>
      </c>
      <c r="L756" t="s" s="2">
        <v>22</v>
      </c>
      <c r="M756" t="s" s="2">
        <v>22</v>
      </c>
    </row>
    <row r="757" ht="25.0" customHeight="true">
      <c r="A757" t="s" s="2">
        <v>13</v>
      </c>
      <c r="B757" t="s" s="2">
        <f>HYPERLINK("http://ts.21cn.com/tousu/show/id/1373345","圆通速递乱收费")</f>
      </c>
      <c r="C757" t="s" s="2">
        <v>15</v>
      </c>
      <c r="D757" t="s" s="2">
        <v>16</v>
      </c>
      <c r="E757" t="s" s="2">
        <v>17</v>
      </c>
      <c r="F757" t="s" s="2">
        <f>HYPERLINK("http://ts.21cn.com/tousu/show/id/1373345","http://ts.21cn.com/tousu/show/id/1373345")</f>
      </c>
      <c r="G757" t="s" s="2">
        <v>17</v>
      </c>
      <c r="H757" t="s" s="2">
        <v>19</v>
      </c>
      <c r="I757" t="s" s="2">
        <v>2998</v>
      </c>
      <c r="J757" t="s" s="2">
        <v>2999</v>
      </c>
      <c r="K757" t="s" s="2">
        <v>22</v>
      </c>
      <c r="L757" t="s" s="2">
        <v>22</v>
      </c>
      <c r="M757" t="s" s="2">
        <v>22</v>
      </c>
    </row>
    <row r="758" ht="25.0" customHeight="true">
      <c r="A758" t="s" s="2">
        <v>13</v>
      </c>
      <c r="B758" t="s" s="2">
        <f>HYPERLINK("http://ts.21cn.com/tousu/show/id/1373344","国美易卡高利贷，砍头息、暴力催收、骚扰家人和朋友")</f>
      </c>
      <c r="C758" t="s" s="2">
        <v>15</v>
      </c>
      <c r="D758" t="s" s="2">
        <v>16</v>
      </c>
      <c r="E758" t="s" s="2">
        <v>17</v>
      </c>
      <c r="F758" t="s" s="2">
        <f>HYPERLINK("http://ts.21cn.com/tousu/show/id/1373344","http://ts.21cn.com/tousu/show/id/1373344")</f>
      </c>
      <c r="G758" t="s" s="2">
        <v>17</v>
      </c>
      <c r="H758" t="s" s="2">
        <v>19</v>
      </c>
      <c r="I758" t="s" s="2">
        <v>3002</v>
      </c>
      <c r="J758" t="s" s="2">
        <v>3003</v>
      </c>
      <c r="K758" t="s" s="2">
        <v>22</v>
      </c>
      <c r="L758" t="s" s="2">
        <v>22</v>
      </c>
      <c r="M758" t="s" s="2">
        <v>22</v>
      </c>
    </row>
    <row r="759" ht="25.0" customHeight="true">
      <c r="A759" t="s" s="2">
        <v>13</v>
      </c>
      <c r="B759" t="s" s="2">
        <f>HYPERLINK("http://ts.21cn.com/tousu/show/id/1373343","用钱宝高利贷")</f>
      </c>
      <c r="C759" t="s" s="2">
        <v>15</v>
      </c>
      <c r="D759" t="s" s="2">
        <v>16</v>
      </c>
      <c r="E759" t="s" s="2">
        <v>17</v>
      </c>
      <c r="F759" t="s" s="2">
        <f>HYPERLINK("http://ts.21cn.com/tousu/show/id/1373343","http://ts.21cn.com/tousu/show/id/1373343")</f>
      </c>
      <c r="G759" t="s" s="2">
        <v>17</v>
      </c>
      <c r="H759" t="s" s="2">
        <v>19</v>
      </c>
      <c r="I759" t="s" s="2">
        <v>3006</v>
      </c>
      <c r="J759" t="s" s="2">
        <v>3007</v>
      </c>
      <c r="K759" t="s" s="2">
        <v>22</v>
      </c>
      <c r="L759" t="s" s="2">
        <v>22</v>
      </c>
      <c r="M759" t="s" s="2">
        <v>22</v>
      </c>
    </row>
    <row r="760" ht="25.0" customHeight="true">
      <c r="A760" t="s" s="2">
        <v>13</v>
      </c>
      <c r="B760" t="s" s="2">
        <f>HYPERLINK("http://ts.21cn.com/tousu/show/id/1373342","请求停止爆通讯录")</f>
      </c>
      <c r="C760" t="s" s="2">
        <v>15</v>
      </c>
      <c r="D760" t="s" s="2">
        <v>16</v>
      </c>
      <c r="E760" t="s" s="2">
        <v>17</v>
      </c>
      <c r="F760" t="s" s="2">
        <f>HYPERLINK("http://ts.21cn.com/tousu/show/id/1373342","http://ts.21cn.com/tousu/show/id/1373342")</f>
      </c>
      <c r="G760" t="s" s="2">
        <v>17</v>
      </c>
      <c r="H760" t="s" s="2">
        <v>19</v>
      </c>
      <c r="I760" t="s" s="2">
        <v>3010</v>
      </c>
      <c r="J760" t="s" s="2">
        <v>3011</v>
      </c>
      <c r="K760" t="s" s="2">
        <v>22</v>
      </c>
      <c r="L760" t="s" s="2">
        <v>22</v>
      </c>
      <c r="M760" t="s" s="2">
        <v>22</v>
      </c>
    </row>
    <row r="761" ht="25.0" customHeight="true">
      <c r="A761" t="s" s="2">
        <v>13</v>
      </c>
      <c r="B761" t="s" s="2">
        <f>HYPERLINK("http://ts.21cn.com/tousu/show/id/1373341","浦发银行我换单位了还一直骚扰我原单位的老板")</f>
      </c>
      <c r="C761" t="s" s="2">
        <v>15</v>
      </c>
      <c r="D761" t="s" s="2">
        <v>16</v>
      </c>
      <c r="E761" t="s" s="2">
        <v>17</v>
      </c>
      <c r="F761" t="s" s="2">
        <f>HYPERLINK("http://ts.21cn.com/tousu/show/id/1373341","http://ts.21cn.com/tousu/show/id/1373341")</f>
      </c>
      <c r="G761" t="s" s="2">
        <v>17</v>
      </c>
      <c r="H761" t="s" s="2">
        <v>19</v>
      </c>
      <c r="I761" t="s" s="2">
        <v>3014</v>
      </c>
      <c r="J761" t="s" s="2">
        <v>3015</v>
      </c>
      <c r="K761" t="s" s="2">
        <v>22</v>
      </c>
      <c r="L761" t="s" s="2">
        <v>22</v>
      </c>
      <c r="M761" t="s" s="2">
        <v>22</v>
      </c>
    </row>
    <row r="762" ht="25.0" customHeight="true">
      <c r="A762" t="s" s="2">
        <v>13</v>
      </c>
      <c r="B762" t="s" s="2">
        <f>HYPERLINK("http://ts.21cn.com/tousu/show/id/1373340","吓唬我")</f>
      </c>
      <c r="C762" t="s" s="2">
        <v>15</v>
      </c>
      <c r="D762" t="s" s="2">
        <v>16</v>
      </c>
      <c r="E762" t="s" s="2">
        <v>17</v>
      </c>
      <c r="F762" t="s" s="2">
        <f>HYPERLINK("http://ts.21cn.com/tousu/show/id/1373340","http://ts.21cn.com/tousu/show/id/1373340")</f>
      </c>
      <c r="G762" t="s" s="2">
        <v>17</v>
      </c>
      <c r="H762" t="s" s="2">
        <v>19</v>
      </c>
      <c r="I762" t="s" s="2">
        <v>3018</v>
      </c>
      <c r="J762" t="s" s="2">
        <v>3019</v>
      </c>
      <c r="K762" t="s" s="2">
        <v>22</v>
      </c>
      <c r="L762" t="s" s="2">
        <v>22</v>
      </c>
      <c r="M762" t="s" s="2">
        <v>22</v>
      </c>
    </row>
    <row r="763" ht="25.0" customHeight="true">
      <c r="A763" t="s" s="2">
        <v>13</v>
      </c>
      <c r="B763" t="s" s="2">
        <f>HYPERLINK("http://ts.21cn.com/tousu/show/id/1373339","亿联银行为高利贷平台金鸡下蛋菜鸟有钱提供支付通道")</f>
      </c>
      <c r="C763" t="s" s="2">
        <v>15</v>
      </c>
      <c r="D763" t="s" s="2">
        <v>16</v>
      </c>
      <c r="E763" t="s" s="2">
        <v>17</v>
      </c>
      <c r="F763" t="s" s="2">
        <f>HYPERLINK("http://ts.21cn.com/tousu/show/id/1373339","http://ts.21cn.com/tousu/show/id/1373339")</f>
      </c>
      <c r="G763" t="s" s="2">
        <v>17</v>
      </c>
      <c r="H763" t="s" s="2">
        <v>19</v>
      </c>
      <c r="I763" t="s" s="2">
        <v>3022</v>
      </c>
      <c r="J763" t="s" s="2">
        <v>3023</v>
      </c>
      <c r="K763" t="s" s="2">
        <v>22</v>
      </c>
      <c r="L763" t="s" s="2">
        <v>22</v>
      </c>
      <c r="M763" t="s" s="2">
        <v>22</v>
      </c>
    </row>
    <row r="764" ht="25.0" customHeight="true">
      <c r="A764" t="s" s="2">
        <v>13</v>
      </c>
      <c r="B764" t="s" s="2">
        <f>HYPERLINK("http://ts.21cn.com/tousu/show/id/1373338","牛人有品砍头息")</f>
      </c>
      <c r="C764" t="s" s="2">
        <v>15</v>
      </c>
      <c r="D764" t="s" s="2">
        <v>16</v>
      </c>
      <c r="E764" t="s" s="2">
        <v>17</v>
      </c>
      <c r="F764" t="s" s="2">
        <f>HYPERLINK("http://ts.21cn.com/tousu/show/id/1373338","http://ts.21cn.com/tousu/show/id/1373338")</f>
      </c>
      <c r="G764" t="s" s="2">
        <v>17</v>
      </c>
      <c r="H764" t="s" s="2">
        <v>19</v>
      </c>
      <c r="I764" t="s" s="2">
        <v>3026</v>
      </c>
      <c r="J764" t="s" s="2">
        <v>3027</v>
      </c>
      <c r="K764" t="s" s="2">
        <v>22</v>
      </c>
      <c r="L764" t="s" s="2">
        <v>22</v>
      </c>
      <c r="M764" t="s" s="2">
        <v>22</v>
      </c>
    </row>
    <row r="765" ht="25.0" customHeight="true">
      <c r="A765" t="s" s="2">
        <v>13</v>
      </c>
      <c r="B765" t="s" s="2">
        <f>HYPERLINK("http://ts.21cn.com/tousu/show/id/1373336","马上金融以及安逸花退还不合法费用")</f>
      </c>
      <c r="C765" t="s" s="2">
        <v>15</v>
      </c>
      <c r="D765" t="s" s="2">
        <v>16</v>
      </c>
      <c r="E765" t="s" s="2">
        <v>17</v>
      </c>
      <c r="F765" t="s" s="2">
        <f>HYPERLINK("http://ts.21cn.com/tousu/show/id/1373336","http://ts.21cn.com/tousu/show/id/1373336")</f>
      </c>
      <c r="G765" t="s" s="2">
        <v>17</v>
      </c>
      <c r="H765" t="s" s="2">
        <v>19</v>
      </c>
      <c r="I765" t="s" s="2">
        <v>3030</v>
      </c>
      <c r="J765" t="s" s="2">
        <v>3031</v>
      </c>
      <c r="K765" t="s" s="2">
        <v>22</v>
      </c>
      <c r="L765" t="s" s="2">
        <v>22</v>
      </c>
      <c r="M765" t="s" s="2">
        <v>22</v>
      </c>
    </row>
    <row r="766" ht="25.0" customHeight="true">
      <c r="A766" t="s" s="2">
        <v>13</v>
      </c>
      <c r="B766" t="s" s="2">
        <f>HYPERLINK("http://ts.21cn.com/tousu/show/id/1373337","请求建设银行信用卡协商还款")</f>
      </c>
      <c r="C766" t="s" s="2">
        <v>15</v>
      </c>
      <c r="D766" t="s" s="2">
        <v>16</v>
      </c>
      <c r="E766" t="s" s="2">
        <v>17</v>
      </c>
      <c r="F766" t="s" s="2">
        <f>HYPERLINK("http://ts.21cn.com/tousu/show/id/1373337","http://ts.21cn.com/tousu/show/id/1373337")</f>
      </c>
      <c r="G766" t="s" s="2">
        <v>17</v>
      </c>
      <c r="H766" t="s" s="2">
        <v>19</v>
      </c>
      <c r="I766" t="s" s="2">
        <v>3034</v>
      </c>
      <c r="J766" t="s" s="2">
        <v>3035</v>
      </c>
      <c r="K766" t="s" s="2">
        <v>22</v>
      </c>
      <c r="L766" t="s" s="2">
        <v>22</v>
      </c>
      <c r="M766" t="s" s="2">
        <v>22</v>
      </c>
    </row>
    <row r="767" ht="25.0" customHeight="true">
      <c r="A767" t="s" s="2">
        <v>13</v>
      </c>
      <c r="B767" t="s" s="2">
        <f>HYPERLINK("http://ts.21cn.com/tousu/show/id/1373335","牛人有品客服无人理会")</f>
      </c>
      <c r="C767" t="s" s="2">
        <v>15</v>
      </c>
      <c r="D767" t="s" s="2">
        <v>16</v>
      </c>
      <c r="E767" t="s" s="2">
        <v>17</v>
      </c>
      <c r="F767" t="s" s="2">
        <f>HYPERLINK("http://ts.21cn.com/tousu/show/id/1373335","http://ts.21cn.com/tousu/show/id/1373335")</f>
      </c>
      <c r="G767" t="s" s="2">
        <v>17</v>
      </c>
      <c r="H767" t="s" s="2">
        <v>19</v>
      </c>
      <c r="I767" t="s" s="2">
        <v>3038</v>
      </c>
      <c r="J767" t="s" s="2">
        <v>3039</v>
      </c>
      <c r="K767" t="s" s="2">
        <v>22</v>
      </c>
      <c r="L767" t="s" s="2">
        <v>22</v>
      </c>
      <c r="M767" t="s" s="2">
        <v>22</v>
      </c>
    </row>
    <row r="768" ht="25.0" customHeight="true">
      <c r="A768" t="s" s="2">
        <v>13</v>
      </c>
      <c r="B768" t="s" s="2">
        <f>HYPERLINK("http://ts.21cn.com/tousu/show/id/1373333","恶意扣款！")</f>
      </c>
      <c r="C768" t="s" s="2">
        <v>15</v>
      </c>
      <c r="D768" t="s" s="2">
        <v>16</v>
      </c>
      <c r="E768" t="s" s="2">
        <v>17</v>
      </c>
      <c r="F768" t="s" s="2">
        <f>HYPERLINK("http://ts.21cn.com/tousu/show/id/1373333","http://ts.21cn.com/tousu/show/id/1373333")</f>
      </c>
      <c r="G768" t="s" s="2">
        <v>17</v>
      </c>
      <c r="H768" t="s" s="2">
        <v>19</v>
      </c>
      <c r="I768" t="s" s="2">
        <v>3042</v>
      </c>
      <c r="J768" t="s" s="2">
        <v>3043</v>
      </c>
      <c r="K768" t="s" s="2">
        <v>22</v>
      </c>
      <c r="L768" t="s" s="2">
        <v>22</v>
      </c>
      <c r="M768" t="s" s="2">
        <v>22</v>
      </c>
    </row>
    <row r="769" ht="25.0" customHeight="true">
      <c r="A769" t="s" s="2">
        <v>13</v>
      </c>
      <c r="B769" t="s" s="2">
        <f>HYPERLINK("http://ts.21cn.com/tousu/show/id/1373334","现金巴士暴力催收态度恶劣")</f>
      </c>
      <c r="C769" t="s" s="2">
        <v>15</v>
      </c>
      <c r="D769" t="s" s="2">
        <v>16</v>
      </c>
      <c r="E769" t="s" s="2">
        <v>17</v>
      </c>
      <c r="F769" t="s" s="2">
        <f>HYPERLINK("http://ts.21cn.com/tousu/show/id/1373334","http://ts.21cn.com/tousu/show/id/1373334")</f>
      </c>
      <c r="G769" t="s" s="2">
        <v>17</v>
      </c>
      <c r="H769" t="s" s="2">
        <v>19</v>
      </c>
      <c r="I769" t="s" s="2">
        <v>3046</v>
      </c>
      <c r="J769" t="s" s="2">
        <v>3047</v>
      </c>
      <c r="K769" t="s" s="2">
        <v>22</v>
      </c>
      <c r="L769" t="s" s="2">
        <v>22</v>
      </c>
      <c r="M769" t="s" s="2">
        <v>22</v>
      </c>
    </row>
    <row r="770" ht="25.0" customHeight="true">
      <c r="A770" t="s" s="2">
        <v>13</v>
      </c>
      <c r="B770" t="s" s="2">
        <f>HYPERLINK("http://ts.21cn.com/tousu/show/id/1373332","小花钱包骚扰我通讯录好友")</f>
      </c>
      <c r="C770" t="s" s="2">
        <v>52</v>
      </c>
      <c r="D770" t="s" s="2">
        <v>16</v>
      </c>
      <c r="E770" t="s" s="2">
        <v>17</v>
      </c>
      <c r="F770" t="s" s="2">
        <f>HYPERLINK("http://ts.21cn.com/tousu/show/id/1373332","http://ts.21cn.com/tousu/show/id/1373332")</f>
      </c>
      <c r="G770" t="s" s="2">
        <v>17</v>
      </c>
      <c r="H770" t="s" s="2">
        <v>19</v>
      </c>
      <c r="I770" t="s" s="2">
        <v>3050</v>
      </c>
      <c r="J770" t="s" s="2">
        <v>3051</v>
      </c>
      <c r="K770" t="s" s="2">
        <v>22</v>
      </c>
      <c r="L770" t="s" s="2">
        <v>22</v>
      </c>
      <c r="M770" t="s" s="2">
        <v>22</v>
      </c>
    </row>
    <row r="771" ht="25.0" customHeight="true">
      <c r="A771" t="s" s="2">
        <v>13</v>
      </c>
      <c r="B771" t="s" s="2">
        <f>HYPERLINK("http://ts.21cn.com/tousu/show/id/1373331","ETC助手激活不了")</f>
      </c>
      <c r="C771" t="s" s="2">
        <v>52</v>
      </c>
      <c r="D771" t="s" s="2">
        <v>16</v>
      </c>
      <c r="E771" t="s" s="2">
        <v>17</v>
      </c>
      <c r="F771" t="s" s="2">
        <f>HYPERLINK("http://ts.21cn.com/tousu/show/id/1373331","http://ts.21cn.com/tousu/show/id/1373331")</f>
      </c>
      <c r="G771" t="s" s="2">
        <v>17</v>
      </c>
      <c r="H771" t="s" s="2">
        <v>19</v>
      </c>
      <c r="I771" t="s" s="2">
        <v>3054</v>
      </c>
      <c r="J771" t="s" s="2">
        <v>3055</v>
      </c>
      <c r="K771" t="s" s="2">
        <v>22</v>
      </c>
      <c r="L771" t="s" s="2">
        <v>22</v>
      </c>
      <c r="M771" t="s" s="2">
        <v>22</v>
      </c>
    </row>
    <row r="772" ht="25.0" customHeight="true">
      <c r="A772" t="s" s="2">
        <v>13</v>
      </c>
      <c r="B772" t="s" s="2">
        <f>HYPERLINK("http://ts.21cn.com/tousu/show/id/1373328","投诉中国移动不给我换月租套餐")</f>
      </c>
      <c r="C772" t="s" s="2">
        <v>15</v>
      </c>
      <c r="D772" t="s" s="2">
        <v>16</v>
      </c>
      <c r="E772" t="s" s="2">
        <v>17</v>
      </c>
      <c r="F772" t="s" s="2">
        <f>HYPERLINK("http://ts.21cn.com/tousu/show/id/1373328","http://ts.21cn.com/tousu/show/id/1373328")</f>
      </c>
      <c r="G772" t="s" s="2">
        <v>17</v>
      </c>
      <c r="H772" t="s" s="2">
        <v>19</v>
      </c>
      <c r="I772" t="s" s="2">
        <v>3058</v>
      </c>
      <c r="J772" t="s" s="2">
        <v>3059</v>
      </c>
      <c r="K772" t="s" s="2">
        <v>22</v>
      </c>
      <c r="L772" t="s" s="2">
        <v>22</v>
      </c>
      <c r="M772" t="s" s="2">
        <v>22</v>
      </c>
    </row>
    <row r="773" ht="25.0" customHeight="true">
      <c r="A773" t="s" s="2">
        <v>13</v>
      </c>
      <c r="B773" t="s" s="2">
        <f>HYPERLINK("http://ts.21cn.com/tousu/show/id/1373329","贷款威胁轰炸")</f>
      </c>
      <c r="C773" t="s" s="2">
        <v>15</v>
      </c>
      <c r="D773" t="s" s="2">
        <v>16</v>
      </c>
      <c r="E773" t="s" s="2">
        <v>17</v>
      </c>
      <c r="F773" t="s" s="2">
        <f>HYPERLINK("http://ts.21cn.com/tousu/show/id/1373329","http://ts.21cn.com/tousu/show/id/1373329")</f>
      </c>
      <c r="G773" t="s" s="2">
        <v>17</v>
      </c>
      <c r="H773" t="s" s="2">
        <v>19</v>
      </c>
      <c r="I773" t="s" s="2">
        <v>3062</v>
      </c>
      <c r="J773" t="s" s="2">
        <v>3063</v>
      </c>
      <c r="K773" t="s" s="2">
        <v>22</v>
      </c>
      <c r="L773" t="s" s="2">
        <v>22</v>
      </c>
      <c r="M773" t="s" s="2">
        <v>22</v>
      </c>
    </row>
    <row r="774" ht="25.0" customHeight="true">
      <c r="A774" t="s" s="2">
        <v>13</v>
      </c>
      <c r="B774" t="s" s="2">
        <f>HYPERLINK("http://ts.21cn.com/tousu/show/id/1373327","宜人贷，高利息，砍头息")</f>
      </c>
      <c r="C774" t="s" s="2">
        <v>15</v>
      </c>
      <c r="D774" t="s" s="2">
        <v>16</v>
      </c>
      <c r="E774" t="s" s="2">
        <v>17</v>
      </c>
      <c r="F774" t="s" s="2">
        <f>HYPERLINK("http://ts.21cn.com/tousu/show/id/1373327","http://ts.21cn.com/tousu/show/id/1373327")</f>
      </c>
      <c r="G774" t="s" s="2">
        <v>17</v>
      </c>
      <c r="H774" t="s" s="2">
        <v>19</v>
      </c>
      <c r="I774" t="s" s="2">
        <v>3066</v>
      </c>
      <c r="J774" t="s" s="2">
        <v>3067</v>
      </c>
      <c r="K774" t="s" s="2">
        <v>22</v>
      </c>
      <c r="L774" t="s" s="2">
        <v>22</v>
      </c>
      <c r="M774" t="s" s="2">
        <v>22</v>
      </c>
    </row>
    <row r="775" ht="25.0" customHeight="true">
      <c r="A775" t="s" s="2">
        <v>13</v>
      </c>
      <c r="B775" t="s" s="2">
        <f>HYPERLINK("http://ts.21cn.com/tousu/show/id/1373326","钱站暴力催收骚扰详单打客服电话无效")</f>
      </c>
      <c r="C775" t="s" s="2">
        <v>15</v>
      </c>
      <c r="D775" t="s" s="2">
        <v>16</v>
      </c>
      <c r="E775" t="s" s="2">
        <v>17</v>
      </c>
      <c r="F775" t="s" s="2">
        <f>HYPERLINK("http://ts.21cn.com/tousu/show/id/1373326","http://ts.21cn.com/tousu/show/id/1373326")</f>
      </c>
      <c r="G775" t="s" s="2">
        <v>17</v>
      </c>
      <c r="H775" t="s" s="2">
        <v>19</v>
      </c>
      <c r="I775" t="s" s="2">
        <v>3070</v>
      </c>
      <c r="J775" t="s" s="2">
        <v>3071</v>
      </c>
      <c r="K775" t="s" s="2">
        <v>22</v>
      </c>
      <c r="L775" t="s" s="2">
        <v>22</v>
      </c>
      <c r="M775" t="s" s="2">
        <v>22</v>
      </c>
    </row>
    <row r="776" ht="25.0" customHeight="true">
      <c r="A776" t="s" s="2">
        <v>13</v>
      </c>
      <c r="B776" t="s" s="2">
        <f>HYPERLINK("http://ts.21cn.com/tousu/show/id/1373325","协商无果继续暴力催收")</f>
      </c>
      <c r="C776" t="s" s="2">
        <v>15</v>
      </c>
      <c r="D776" t="s" s="2">
        <v>16</v>
      </c>
      <c r="E776" t="s" s="2">
        <v>17</v>
      </c>
      <c r="F776" t="s" s="2">
        <f>HYPERLINK("http://ts.21cn.com/tousu/show/id/1373325","http://ts.21cn.com/tousu/show/id/1373325")</f>
      </c>
      <c r="G776" t="s" s="2">
        <v>17</v>
      </c>
      <c r="H776" t="s" s="2">
        <v>19</v>
      </c>
      <c r="I776" t="s" s="2">
        <v>3074</v>
      </c>
      <c r="J776" t="s" s="2">
        <v>3075</v>
      </c>
      <c r="K776" t="s" s="2">
        <v>22</v>
      </c>
      <c r="L776" t="s" s="2">
        <v>22</v>
      </c>
      <c r="M776" t="s" s="2">
        <v>22</v>
      </c>
    </row>
    <row r="777" ht="25.0" customHeight="true">
      <c r="A777" t="s" s="2">
        <v>13</v>
      </c>
      <c r="B777" t="s" s="2">
        <f>HYPERLINK("http://ts.21cn.com/tousu/show/id/1373324","钱站大搞阴阳合同大搞高利贷爆通讯录")</f>
      </c>
      <c r="C777" t="s" s="2">
        <v>15</v>
      </c>
      <c r="D777" t="s" s="2">
        <v>16</v>
      </c>
      <c r="E777" t="s" s="2">
        <v>17</v>
      </c>
      <c r="F777" t="s" s="2">
        <f>HYPERLINK("http://ts.21cn.com/tousu/show/id/1373324","http://ts.21cn.com/tousu/show/id/1373324")</f>
      </c>
      <c r="G777" t="s" s="2">
        <v>17</v>
      </c>
      <c r="H777" t="s" s="2">
        <v>19</v>
      </c>
      <c r="I777" t="s" s="2">
        <v>3078</v>
      </c>
      <c r="J777" t="s" s="2">
        <v>3079</v>
      </c>
      <c r="K777" t="s" s="2">
        <v>22</v>
      </c>
      <c r="L777" t="s" s="2">
        <v>22</v>
      </c>
      <c r="M777" t="s" s="2">
        <v>22</v>
      </c>
    </row>
    <row r="778" ht="25.0" customHeight="true">
      <c r="A778" t="s" s="2">
        <v>13</v>
      </c>
      <c r="B778" t="s" s="2">
        <f>HYPERLINK("http://ts.21cn.com/tousu/show/id/1373323","你我贷暴力催收")</f>
      </c>
      <c r="C778" t="s" s="2">
        <v>15</v>
      </c>
      <c r="D778" t="s" s="2">
        <v>16</v>
      </c>
      <c r="E778" t="s" s="2">
        <v>17</v>
      </c>
      <c r="F778" t="s" s="2">
        <f>HYPERLINK("http://ts.21cn.com/tousu/show/id/1373323","http://ts.21cn.com/tousu/show/id/1373323")</f>
      </c>
      <c r="G778" t="s" s="2">
        <v>17</v>
      </c>
      <c r="H778" t="s" s="2">
        <v>19</v>
      </c>
      <c r="I778" t="s" s="2">
        <v>3081</v>
      </c>
      <c r="J778" t="s" s="2">
        <v>3082</v>
      </c>
      <c r="K778" t="s" s="2">
        <v>22</v>
      </c>
      <c r="L778" t="s" s="2">
        <v>22</v>
      </c>
      <c r="M778" t="s" s="2">
        <v>22</v>
      </c>
    </row>
    <row r="779" ht="25.0" customHeight="true">
      <c r="A779" t="s" s="2">
        <v>13</v>
      </c>
      <c r="B779" t="s" s="2">
        <f>HYPERLINK("http://ts.21cn.com/tousu/show/id/1373322","我是天猫供销平台的分销商，产品是从供销平台上传到淘宝店被系统通过信息层面判断，售假，申诉不成立原因根据账户行为综合判定。")</f>
      </c>
      <c r="C779" t="s" s="2">
        <v>15</v>
      </c>
      <c r="D779" t="s" s="2">
        <v>16</v>
      </c>
      <c r="E779" t="s" s="2">
        <v>17</v>
      </c>
      <c r="F779" t="s" s="2">
        <f>HYPERLINK("http://ts.21cn.com/tousu/show/id/1373322","http://ts.21cn.com/tousu/show/id/1373322")</f>
      </c>
      <c r="G779" t="s" s="2">
        <v>17</v>
      </c>
      <c r="H779" t="s" s="2">
        <v>19</v>
      </c>
      <c r="I779" t="s" s="2">
        <v>3085</v>
      </c>
      <c r="J779" t="s" s="2">
        <v>3086</v>
      </c>
      <c r="K779" t="s" s="2">
        <v>22</v>
      </c>
      <c r="L779" t="s" s="2">
        <v>22</v>
      </c>
      <c r="M779" t="s" s="2">
        <v>22</v>
      </c>
    </row>
    <row r="780" ht="25.0" customHeight="true">
      <c r="A780" t="s" s="2">
        <v>13</v>
      </c>
      <c r="B780" t="s" s="2">
        <f>HYPERLINK("http://ts.21cn.com/tousu/show/id/1373321","根本就是套路贷")</f>
      </c>
      <c r="C780" t="s" s="2">
        <v>15</v>
      </c>
      <c r="D780" t="s" s="2">
        <v>16</v>
      </c>
      <c r="E780" t="s" s="2">
        <v>17</v>
      </c>
      <c r="F780" t="s" s="2">
        <f>HYPERLINK("http://ts.21cn.com/tousu/show/id/1373321","http://ts.21cn.com/tousu/show/id/1373321")</f>
      </c>
      <c r="G780" t="s" s="2">
        <v>17</v>
      </c>
      <c r="H780" t="s" s="2">
        <v>19</v>
      </c>
      <c r="I780" t="s" s="2">
        <v>3089</v>
      </c>
      <c r="J780" t="s" s="2">
        <v>3090</v>
      </c>
      <c r="K780" t="s" s="2">
        <v>22</v>
      </c>
      <c r="L780" t="s" s="2">
        <v>22</v>
      </c>
      <c r="M780" t="s" s="2">
        <v>22</v>
      </c>
    </row>
    <row r="781" ht="25.0" customHeight="true">
      <c r="A781" t="s" s="2">
        <v>13</v>
      </c>
      <c r="B781" t="s" s="2">
        <f>HYPERLINK("http://ts.21cn.com/tousu/show/id/1373320","被爆通讯录")</f>
      </c>
      <c r="C781" t="s" s="2">
        <v>15</v>
      </c>
      <c r="D781" t="s" s="2">
        <v>16</v>
      </c>
      <c r="E781" t="s" s="2">
        <v>17</v>
      </c>
      <c r="F781" t="s" s="2">
        <f>HYPERLINK("http://ts.21cn.com/tousu/show/id/1373320","http://ts.21cn.com/tousu/show/id/1373320")</f>
      </c>
      <c r="G781" t="s" s="2">
        <v>17</v>
      </c>
      <c r="H781" t="s" s="2">
        <v>19</v>
      </c>
      <c r="I781" t="s" s="2">
        <v>3093</v>
      </c>
      <c r="J781" t="s" s="2">
        <v>3094</v>
      </c>
      <c r="K781" t="s" s="2">
        <v>22</v>
      </c>
      <c r="L781" t="s" s="2">
        <v>22</v>
      </c>
      <c r="M781" t="s" s="2">
        <v>22</v>
      </c>
    </row>
    <row r="782" ht="25.0" customHeight="true">
      <c r="A782" t="s" s="2">
        <v>13</v>
      </c>
      <c r="B782" t="s" s="2">
        <f>HYPERLINK("http://ts.21cn.com/tousu/show/id/1373318","聚福钱包未经许可私自扣款")</f>
      </c>
      <c r="C782" t="s" s="2">
        <v>15</v>
      </c>
      <c r="D782" t="s" s="2">
        <v>16</v>
      </c>
      <c r="E782" t="s" s="2">
        <v>17</v>
      </c>
      <c r="F782" t="s" s="2">
        <f>HYPERLINK("http://ts.21cn.com/tousu/show/id/1373318","http://ts.21cn.com/tousu/show/id/1373318")</f>
      </c>
      <c r="G782" t="s" s="2">
        <v>17</v>
      </c>
      <c r="H782" t="s" s="2">
        <v>19</v>
      </c>
      <c r="I782" t="s" s="2">
        <v>3096</v>
      </c>
      <c r="J782" t="s" s="2">
        <v>3097</v>
      </c>
      <c r="K782" t="s" s="2">
        <v>22</v>
      </c>
      <c r="L782" t="s" s="2">
        <v>22</v>
      </c>
      <c r="M782" t="s" s="2">
        <v>22</v>
      </c>
    </row>
    <row r="783" ht="25.0" customHeight="true">
      <c r="A783" t="s" s="2">
        <v>13</v>
      </c>
      <c r="B783" t="s" s="2">
        <f>HYPERLINK("http://ts.21cn.com/tousu/show/id/1373319","一双鞋大小不一样")</f>
      </c>
      <c r="C783" t="s" s="2">
        <v>52</v>
      </c>
      <c r="D783" t="s" s="2">
        <v>16</v>
      </c>
      <c r="E783" t="s" s="2">
        <v>17</v>
      </c>
      <c r="F783" t="s" s="2">
        <f>HYPERLINK("http://ts.21cn.com/tousu/show/id/1373319","http://ts.21cn.com/tousu/show/id/1373319")</f>
      </c>
      <c r="G783" t="s" s="2">
        <v>17</v>
      </c>
      <c r="H783" t="s" s="2">
        <v>19</v>
      </c>
      <c r="I783" t="s" s="2">
        <v>3100</v>
      </c>
      <c r="J783" t="s" s="2">
        <v>3101</v>
      </c>
      <c r="K783" t="s" s="2">
        <v>22</v>
      </c>
      <c r="L783" t="s" s="2">
        <v>22</v>
      </c>
      <c r="M783" t="s" s="2">
        <v>22</v>
      </c>
    </row>
    <row r="784" ht="25.0" customHeight="true">
      <c r="A784" t="s" s="2">
        <v>13</v>
      </c>
      <c r="B784" t="s" s="2">
        <f>HYPERLINK("http://ts.21cn.com/tousu/show/id/1373317","我来贷骚扰通讯录好友，高利贷款")</f>
      </c>
      <c r="C784" t="s" s="2">
        <v>15</v>
      </c>
      <c r="D784" t="s" s="2">
        <v>16</v>
      </c>
      <c r="E784" t="s" s="2">
        <v>17</v>
      </c>
      <c r="F784" t="s" s="2">
        <f>HYPERLINK("http://ts.21cn.com/tousu/show/id/1373317","http://ts.21cn.com/tousu/show/id/1373317")</f>
      </c>
      <c r="G784" t="s" s="2">
        <v>17</v>
      </c>
      <c r="H784" t="s" s="2">
        <v>19</v>
      </c>
      <c r="I784" t="s" s="2">
        <v>3104</v>
      </c>
      <c r="J784" t="s" s="2">
        <v>3105</v>
      </c>
      <c r="K784" t="s" s="2">
        <v>22</v>
      </c>
      <c r="L784" t="s" s="2">
        <v>22</v>
      </c>
      <c r="M784" t="s" s="2">
        <v>22</v>
      </c>
    </row>
    <row r="785" ht="25.0" customHeight="true">
      <c r="A785" t="s" s="2">
        <v>13</v>
      </c>
      <c r="B785" t="s" s="2">
        <f>HYPERLINK("http://ts.21cn.com/tousu/show/id/1373314","态度差，语言攻击")</f>
      </c>
      <c r="C785" t="s" s="2">
        <v>15</v>
      </c>
      <c r="D785" t="s" s="2">
        <v>16</v>
      </c>
      <c r="E785" t="s" s="2">
        <v>17</v>
      </c>
      <c r="F785" t="s" s="2">
        <f>HYPERLINK("http://ts.21cn.com/tousu/show/id/1373314","http://ts.21cn.com/tousu/show/id/1373314")</f>
      </c>
      <c r="G785" t="s" s="2">
        <v>17</v>
      </c>
      <c r="H785" t="s" s="2">
        <v>19</v>
      </c>
      <c r="I785" t="s" s="2">
        <v>3108</v>
      </c>
      <c r="J785" t="s" s="2">
        <v>3109</v>
      </c>
      <c r="K785" t="s" s="2">
        <v>22</v>
      </c>
      <c r="L785" t="s" s="2">
        <v>22</v>
      </c>
      <c r="M785" t="s" s="2">
        <v>22</v>
      </c>
    </row>
    <row r="786" ht="25.0" customHeight="true">
      <c r="A786" t="s" s="2">
        <v>13</v>
      </c>
      <c r="B786" t="s" s="2">
        <f>HYPERLINK("http://ts.21cn.com/tousu/show/id/1373315","小米金融甩锅，新网银行结清系统垃圾")</f>
      </c>
      <c r="C786" t="s" s="2">
        <v>15</v>
      </c>
      <c r="D786" t="s" s="2">
        <v>16</v>
      </c>
      <c r="E786" t="s" s="2">
        <v>17</v>
      </c>
      <c r="F786" t="s" s="2">
        <f>HYPERLINK("http://ts.21cn.com/tousu/show/id/1373315","http://ts.21cn.com/tousu/show/id/1373315")</f>
      </c>
      <c r="G786" t="s" s="2">
        <v>17</v>
      </c>
      <c r="H786" t="s" s="2">
        <v>19</v>
      </c>
      <c r="I786" t="s" s="2">
        <v>3112</v>
      </c>
      <c r="J786" t="s" s="2">
        <v>3113</v>
      </c>
      <c r="K786" t="s" s="2">
        <v>22</v>
      </c>
      <c r="L786" t="s" s="2">
        <v>22</v>
      </c>
      <c r="M786" t="s" s="2">
        <v>22</v>
      </c>
    </row>
    <row r="787" ht="25.0" customHeight="true">
      <c r="A787" t="s" s="2">
        <v>13</v>
      </c>
      <c r="B787" t="s" s="2">
        <f>HYPERLINK("http://ts.21cn.com/tousu/show/id/1373313","购买黑卡借款不成功退费")</f>
      </c>
      <c r="C787" t="s" s="2">
        <v>15</v>
      </c>
      <c r="D787" t="s" s="2">
        <v>16</v>
      </c>
      <c r="E787" t="s" s="2">
        <v>17</v>
      </c>
      <c r="F787" t="s" s="2">
        <f>HYPERLINK("http://ts.21cn.com/tousu/show/id/1373313","http://ts.21cn.com/tousu/show/id/1373313")</f>
      </c>
      <c r="G787" t="s" s="2">
        <v>17</v>
      </c>
      <c r="H787" t="s" s="2">
        <v>19</v>
      </c>
      <c r="I787" t="s" s="2">
        <v>3116</v>
      </c>
      <c r="J787" t="s" s="2">
        <v>3117</v>
      </c>
      <c r="K787" t="s" s="2">
        <v>22</v>
      </c>
      <c r="L787" t="s" s="2">
        <v>22</v>
      </c>
      <c r="M787" t="s" s="2">
        <v>22</v>
      </c>
    </row>
    <row r="788" ht="25.0" customHeight="true">
      <c r="A788" t="s" s="2">
        <v>13</v>
      </c>
      <c r="B788" t="s" s="2">
        <f>HYPERLINK("http://ts.21cn.com/tousu/show/id/1373312","闪电借款恶意催收轰炸通讯录")</f>
      </c>
      <c r="C788" t="s" s="2">
        <v>15</v>
      </c>
      <c r="D788" t="s" s="2">
        <v>16</v>
      </c>
      <c r="E788" t="s" s="2">
        <v>17</v>
      </c>
      <c r="F788" t="s" s="2">
        <f>HYPERLINK("http://ts.21cn.com/tousu/show/id/1373312","http://ts.21cn.com/tousu/show/id/1373312")</f>
      </c>
      <c r="G788" t="s" s="2">
        <v>17</v>
      </c>
      <c r="H788" t="s" s="2">
        <v>19</v>
      </c>
      <c r="I788" t="s" s="2">
        <v>3120</v>
      </c>
      <c r="J788" t="s" s="2">
        <v>3121</v>
      </c>
      <c r="K788" t="s" s="2">
        <v>22</v>
      </c>
      <c r="L788" t="s" s="2">
        <v>22</v>
      </c>
      <c r="M788" t="s" s="2">
        <v>22</v>
      </c>
    </row>
    <row r="789" ht="25.0" customHeight="true">
      <c r="A789" t="s" s="2">
        <v>13</v>
      </c>
      <c r="B789" t="s" s="2">
        <f>HYPERLINK("http://ts.21cn.com/tousu/show/id/1373311","百世快递延误不赔偿")</f>
      </c>
      <c r="C789" t="s" s="2">
        <v>15</v>
      </c>
      <c r="D789" t="s" s="2">
        <v>16</v>
      </c>
      <c r="E789" t="s" s="2">
        <v>17</v>
      </c>
      <c r="F789" t="s" s="2">
        <f>HYPERLINK("http://ts.21cn.com/tousu/show/id/1373311","http://ts.21cn.com/tousu/show/id/1373311")</f>
      </c>
      <c r="G789" t="s" s="2">
        <v>17</v>
      </c>
      <c r="H789" t="s" s="2">
        <v>19</v>
      </c>
      <c r="I789" t="s" s="2">
        <v>3124</v>
      </c>
      <c r="J789" t="s" s="2">
        <v>3125</v>
      </c>
      <c r="K789" t="s" s="2">
        <v>22</v>
      </c>
      <c r="L789" t="s" s="2">
        <v>22</v>
      </c>
      <c r="M789" t="s" s="2">
        <v>22</v>
      </c>
    </row>
    <row r="790" ht="25.0" customHeight="true">
      <c r="A790" t="s" s="2">
        <v>13</v>
      </c>
      <c r="B790" t="s" s="2">
        <f>HYPERLINK("http://ts.21cn.com/tousu/show/id/1373310","霸王条款，不给退款")</f>
      </c>
      <c r="C790" t="s" s="2">
        <v>15</v>
      </c>
      <c r="D790" t="s" s="2">
        <v>16</v>
      </c>
      <c r="E790" t="s" s="2">
        <v>17</v>
      </c>
      <c r="F790" t="s" s="2">
        <f>HYPERLINK("http://ts.21cn.com/tousu/show/id/1373310","http://ts.21cn.com/tousu/show/id/1373310")</f>
      </c>
      <c r="G790" t="s" s="2">
        <v>17</v>
      </c>
      <c r="H790" t="s" s="2">
        <v>19</v>
      </c>
      <c r="I790" t="s" s="2">
        <v>3128</v>
      </c>
      <c r="J790" t="s" s="2">
        <v>3129</v>
      </c>
      <c r="K790" t="s" s="2">
        <v>22</v>
      </c>
      <c r="L790" t="s" s="2">
        <v>22</v>
      </c>
      <c r="M790" t="s" s="2">
        <v>22</v>
      </c>
    </row>
    <row r="791" ht="25.0" customHeight="true">
      <c r="A791" t="s" s="2">
        <v>13</v>
      </c>
      <c r="B791" t="s" s="2">
        <f>HYPERLINK("http://ts.21cn.com/tousu/show/id/1373308","现金巴士恐吓威胁。")</f>
      </c>
      <c r="C791" t="s" s="2">
        <v>15</v>
      </c>
      <c r="D791" t="s" s="2">
        <v>16</v>
      </c>
      <c r="E791" t="s" s="2">
        <v>17</v>
      </c>
      <c r="F791" t="s" s="2">
        <f>HYPERLINK("http://ts.21cn.com/tousu/show/id/1373308","http://ts.21cn.com/tousu/show/id/1373308")</f>
      </c>
      <c r="G791" t="s" s="2">
        <v>17</v>
      </c>
      <c r="H791" t="s" s="2">
        <v>19</v>
      </c>
      <c r="I791" t="s" s="2">
        <v>3132</v>
      </c>
      <c r="J791" t="s" s="2">
        <v>3133</v>
      </c>
      <c r="K791" t="s" s="2">
        <v>22</v>
      </c>
      <c r="L791" t="s" s="2">
        <v>22</v>
      </c>
      <c r="M791" t="s" s="2">
        <v>22</v>
      </c>
    </row>
    <row r="792" ht="25.0" customHeight="true">
      <c r="A792" t="s" s="2">
        <v>13</v>
      </c>
      <c r="B792" t="s" s="2">
        <f>HYPERLINK("http://ts.21cn.com/tousu/show/id/1373307","兴业信用卡高额违约金")</f>
      </c>
      <c r="C792" t="s" s="2">
        <v>15</v>
      </c>
      <c r="D792" t="s" s="2">
        <v>16</v>
      </c>
      <c r="E792" t="s" s="2">
        <v>17</v>
      </c>
      <c r="F792" t="s" s="2">
        <f>HYPERLINK("http://ts.21cn.com/tousu/show/id/1373307","http://ts.21cn.com/tousu/show/id/1373307")</f>
      </c>
      <c r="G792" t="s" s="2">
        <v>17</v>
      </c>
      <c r="H792" t="s" s="2">
        <v>19</v>
      </c>
      <c r="I792" t="s" s="2">
        <v>3136</v>
      </c>
      <c r="J792" t="s" s="2">
        <v>3137</v>
      </c>
      <c r="K792" t="s" s="2">
        <v>22</v>
      </c>
      <c r="L792" t="s" s="2">
        <v>22</v>
      </c>
      <c r="M792" t="s" s="2">
        <v>22</v>
      </c>
    </row>
    <row r="793" ht="25.0" customHeight="true">
      <c r="A793" t="s" s="2">
        <v>13</v>
      </c>
      <c r="B793" t="s" s="2">
        <f>HYPERLINK("http://ts.21cn.com/tousu/show/id/1373306","招联金融直接套路")</f>
      </c>
      <c r="C793" t="s" s="2">
        <v>15</v>
      </c>
      <c r="D793" t="s" s="2">
        <v>16</v>
      </c>
      <c r="E793" t="s" s="2">
        <v>17</v>
      </c>
      <c r="F793" t="s" s="2">
        <f>HYPERLINK("http://ts.21cn.com/tousu/show/id/1373306","http://ts.21cn.com/tousu/show/id/1373306")</f>
      </c>
      <c r="G793" t="s" s="2">
        <v>17</v>
      </c>
      <c r="H793" t="s" s="2">
        <v>19</v>
      </c>
      <c r="I793" t="s" s="2">
        <v>3140</v>
      </c>
      <c r="J793" t="s" s="2">
        <v>3141</v>
      </c>
      <c r="K793" t="s" s="2">
        <v>22</v>
      </c>
      <c r="L793" t="s" s="2">
        <v>22</v>
      </c>
      <c r="M793" t="s" s="2">
        <v>22</v>
      </c>
    </row>
    <row r="794" ht="25.0" customHeight="true">
      <c r="A794" t="s" s="2">
        <v>13</v>
      </c>
      <c r="B794" t="s" s="2">
        <f>HYPERLINK("http://ts.21cn.com/tousu/show/id/1373304","处理态度不好，解决问题不到位，敷衍客户")</f>
      </c>
      <c r="C794" t="s" s="2">
        <v>15</v>
      </c>
      <c r="D794" t="s" s="2">
        <v>16</v>
      </c>
      <c r="E794" t="s" s="2">
        <v>17</v>
      </c>
      <c r="F794" t="s" s="2">
        <f>HYPERLINK("http://ts.21cn.com/tousu/show/id/1373304","http://ts.21cn.com/tousu/show/id/1373304")</f>
      </c>
      <c r="G794" t="s" s="2">
        <v>17</v>
      </c>
      <c r="H794" t="s" s="2">
        <v>19</v>
      </c>
      <c r="I794" t="s" s="2">
        <v>3144</v>
      </c>
      <c r="J794" t="s" s="2">
        <v>3145</v>
      </c>
      <c r="K794" t="s" s="2">
        <v>22</v>
      </c>
      <c r="L794" t="s" s="2">
        <v>22</v>
      </c>
      <c r="M794" t="s" s="2">
        <v>22</v>
      </c>
    </row>
    <row r="795" ht="25.0" customHeight="true">
      <c r="A795" t="s" s="2">
        <v>13</v>
      </c>
      <c r="B795" t="s" s="2">
        <f>HYPERLINK("http://ts.21cn.com/tousu/show/id/1373305","360借条骚扰通讯录亲朋好友")</f>
      </c>
      <c r="C795" t="s" s="2">
        <v>15</v>
      </c>
      <c r="D795" t="s" s="2">
        <v>16</v>
      </c>
      <c r="E795" t="s" s="2">
        <v>17</v>
      </c>
      <c r="F795" t="s" s="2">
        <f>HYPERLINK("http://ts.21cn.com/tousu/show/id/1373305","http://ts.21cn.com/tousu/show/id/1373305")</f>
      </c>
      <c r="G795" t="s" s="2">
        <v>17</v>
      </c>
      <c r="H795" t="s" s="2">
        <v>19</v>
      </c>
      <c r="I795" t="s" s="2">
        <v>3148</v>
      </c>
      <c r="J795" t="s" s="2">
        <v>3149</v>
      </c>
      <c r="K795" t="s" s="2">
        <v>22</v>
      </c>
      <c r="L795" t="s" s="2">
        <v>22</v>
      </c>
      <c r="M795" t="s" s="2">
        <v>22</v>
      </c>
    </row>
    <row r="796" ht="25.0" customHeight="true">
      <c r="A796" t="s" s="2">
        <v>13</v>
      </c>
      <c r="B796" t="s" s="2">
        <f>HYPERLINK("http://ts.21cn.com/tousu/show/id/1373301","催收威胁上门")</f>
      </c>
      <c r="C796" t="s" s="2">
        <v>15</v>
      </c>
      <c r="D796" t="s" s="2">
        <v>16</v>
      </c>
      <c r="E796" t="s" s="2">
        <v>17</v>
      </c>
      <c r="F796" t="s" s="2">
        <f>HYPERLINK("http://ts.21cn.com/tousu/show/id/1373301","http://ts.21cn.com/tousu/show/id/1373301")</f>
      </c>
      <c r="G796" t="s" s="2">
        <v>17</v>
      </c>
      <c r="H796" t="s" s="2">
        <v>19</v>
      </c>
      <c r="I796" t="s" s="2">
        <v>3152</v>
      </c>
      <c r="J796" t="s" s="2">
        <v>3153</v>
      </c>
      <c r="K796" t="s" s="2">
        <v>22</v>
      </c>
      <c r="L796" t="s" s="2">
        <v>22</v>
      </c>
      <c r="M796" t="s" s="2">
        <v>22</v>
      </c>
    </row>
    <row r="797" ht="25.0" customHeight="true">
      <c r="A797" t="s" s="2">
        <v>13</v>
      </c>
      <c r="B797" t="s" s="2">
        <f>HYPERLINK("http://ts.21cn.com/tousu/show/id/1373302","每日优鲜诱导我分享无用优惠券链接，拒不补偿")</f>
      </c>
      <c r="C797" t="s" s="2">
        <v>52</v>
      </c>
      <c r="D797" t="s" s="2">
        <v>16</v>
      </c>
      <c r="E797" t="s" s="2">
        <v>17</v>
      </c>
      <c r="F797" t="s" s="2">
        <f>HYPERLINK("http://ts.21cn.com/tousu/show/id/1373302","http://ts.21cn.com/tousu/show/id/1373302")</f>
      </c>
      <c r="G797" t="s" s="2">
        <v>17</v>
      </c>
      <c r="H797" t="s" s="2">
        <v>19</v>
      </c>
      <c r="I797" t="s" s="2">
        <v>3156</v>
      </c>
      <c r="J797" t="s" s="2">
        <v>3157</v>
      </c>
      <c r="K797" t="s" s="2">
        <v>22</v>
      </c>
      <c r="L797" t="s" s="2">
        <v>22</v>
      </c>
      <c r="M797" t="s" s="2">
        <v>22</v>
      </c>
    </row>
    <row r="798" ht="25.0" customHeight="true">
      <c r="A798" t="s" s="2">
        <v>13</v>
      </c>
      <c r="B798" t="s" s="2">
        <f>HYPERLINK("http://ts.21cn.com/tousu/show/id/1373303","提前还款利息不退")</f>
      </c>
      <c r="C798" t="s" s="2">
        <v>52</v>
      </c>
      <c r="D798" t="s" s="2">
        <v>16</v>
      </c>
      <c r="E798" t="s" s="2">
        <v>17</v>
      </c>
      <c r="F798" t="s" s="2">
        <f>HYPERLINK("http://ts.21cn.com/tousu/show/id/1373303","http://ts.21cn.com/tousu/show/id/1373303")</f>
      </c>
      <c r="G798" t="s" s="2">
        <v>17</v>
      </c>
      <c r="H798" t="s" s="2">
        <v>19</v>
      </c>
      <c r="I798" t="s" s="2">
        <v>3156</v>
      </c>
      <c r="J798" t="s" s="2">
        <v>3160</v>
      </c>
      <c r="K798" t="s" s="2">
        <v>22</v>
      </c>
      <c r="L798" t="s" s="2">
        <v>22</v>
      </c>
      <c r="M798" t="s" s="2">
        <v>22</v>
      </c>
    </row>
    <row r="799" ht="25.0" customHeight="true">
      <c r="A799" t="s" s="2">
        <v>13</v>
      </c>
      <c r="B799" t="s" s="2">
        <f>HYPERLINK("http://ts.21cn.com/tousu/show/id/1373300","微信支付冻结投诉")</f>
      </c>
      <c r="C799" t="s" s="2">
        <v>15</v>
      </c>
      <c r="D799" t="s" s="2">
        <v>16</v>
      </c>
      <c r="E799" t="s" s="2">
        <v>17</v>
      </c>
      <c r="F799" t="s" s="2">
        <f>HYPERLINK("http://ts.21cn.com/tousu/show/id/1373300","http://ts.21cn.com/tousu/show/id/1373300")</f>
      </c>
      <c r="G799" t="s" s="2">
        <v>17</v>
      </c>
      <c r="H799" t="s" s="2">
        <v>19</v>
      </c>
      <c r="I799" t="s" s="2">
        <v>3163</v>
      </c>
      <c r="J799" t="s" s="2">
        <v>3164</v>
      </c>
      <c r="K799" t="s" s="2">
        <v>22</v>
      </c>
      <c r="L799" t="s" s="2">
        <v>22</v>
      </c>
      <c r="M799" t="s" s="2">
        <v>22</v>
      </c>
    </row>
    <row r="800" ht="25.0" customHeight="true">
      <c r="A800" t="s" s="2">
        <v>13</v>
      </c>
      <c r="B800" t="s" s="2">
        <f>HYPERLINK("http://ts.21cn.com/tousu/show/id/1373299","你我贷威胁爆通讯录")</f>
      </c>
      <c r="C800" t="s" s="2">
        <v>15</v>
      </c>
      <c r="D800" t="s" s="2">
        <v>16</v>
      </c>
      <c r="E800" t="s" s="2">
        <v>17</v>
      </c>
      <c r="F800" t="s" s="2">
        <f>HYPERLINK("http://ts.21cn.com/tousu/show/id/1373299","http://ts.21cn.com/tousu/show/id/1373299")</f>
      </c>
      <c r="G800" t="s" s="2">
        <v>17</v>
      </c>
      <c r="H800" t="s" s="2">
        <v>19</v>
      </c>
      <c r="I800" t="s" s="2">
        <v>3167</v>
      </c>
      <c r="J800" t="s" s="2">
        <v>3168</v>
      </c>
      <c r="K800" t="s" s="2">
        <v>22</v>
      </c>
      <c r="L800" t="s" s="2">
        <v>22</v>
      </c>
      <c r="M800" t="s" s="2">
        <v>22</v>
      </c>
    </row>
    <row r="801" ht="25.0" customHeight="true">
      <c r="A801" t="s" s="2">
        <v>13</v>
      </c>
      <c r="B801" t="s" s="2">
        <f>HYPERLINK("http://ts.21cn.com/tousu/show/id/1373298","民生银行威胁短信")</f>
      </c>
      <c r="C801" t="s" s="2">
        <v>15</v>
      </c>
      <c r="D801" t="s" s="2">
        <v>16</v>
      </c>
      <c r="E801" t="s" s="2">
        <v>17</v>
      </c>
      <c r="F801" t="s" s="2">
        <f>HYPERLINK("http://ts.21cn.com/tousu/show/id/1373298","http://ts.21cn.com/tousu/show/id/1373298")</f>
      </c>
      <c r="G801" t="s" s="2">
        <v>17</v>
      </c>
      <c r="H801" t="s" s="2">
        <v>19</v>
      </c>
      <c r="I801" t="s" s="2">
        <v>3171</v>
      </c>
      <c r="J801" t="s" s="2">
        <v>3172</v>
      </c>
      <c r="K801" t="s" s="2">
        <v>22</v>
      </c>
      <c r="L801" t="s" s="2">
        <v>22</v>
      </c>
      <c r="M801" t="s" s="2">
        <v>22</v>
      </c>
    </row>
    <row r="802" ht="25.0" customHeight="true">
      <c r="A802" t="s" s="2">
        <v>13</v>
      </c>
      <c r="B802" t="s" s="2">
        <f>HYPERLINK("http://ts.21cn.com/tousu/show/id/1373297","分期乐暴力催收")</f>
      </c>
      <c r="C802" t="s" s="2">
        <v>15</v>
      </c>
      <c r="D802" t="s" s="2">
        <v>16</v>
      </c>
      <c r="E802" t="s" s="2">
        <v>17</v>
      </c>
      <c r="F802" t="s" s="2">
        <f>HYPERLINK("http://ts.21cn.com/tousu/show/id/1373297","http://ts.21cn.com/tousu/show/id/1373297")</f>
      </c>
      <c r="G802" t="s" s="2">
        <v>17</v>
      </c>
      <c r="H802" t="s" s="2">
        <v>19</v>
      </c>
      <c r="I802" t="s" s="2">
        <v>3175</v>
      </c>
      <c r="J802" t="s" s="2">
        <v>3176</v>
      </c>
      <c r="K802" t="s" s="2">
        <v>22</v>
      </c>
      <c r="L802" t="s" s="2">
        <v>22</v>
      </c>
      <c r="M802" t="s" s="2">
        <v>22</v>
      </c>
    </row>
    <row r="803" ht="25.0" customHeight="true">
      <c r="A803" t="s" s="2">
        <v>13</v>
      </c>
      <c r="B803" t="s" s="2">
        <f>HYPERLINK("http://ts.21cn.com/tousu/show/id/1373295","白天分期诱导我购买会员")</f>
      </c>
      <c r="C803" t="s" s="2">
        <v>15</v>
      </c>
      <c r="D803" t="s" s="2">
        <v>16</v>
      </c>
      <c r="E803" t="s" s="2">
        <v>17</v>
      </c>
      <c r="F803" t="s" s="2">
        <f>HYPERLINK("http://ts.21cn.com/tousu/show/id/1373295","http://ts.21cn.com/tousu/show/id/1373295")</f>
      </c>
      <c r="G803" t="s" s="2">
        <v>17</v>
      </c>
      <c r="H803" t="s" s="2">
        <v>19</v>
      </c>
      <c r="I803" t="s" s="2">
        <v>3179</v>
      </c>
      <c r="J803" t="s" s="2">
        <v>3180</v>
      </c>
      <c r="K803" t="s" s="2">
        <v>22</v>
      </c>
      <c r="L803" t="s" s="2">
        <v>22</v>
      </c>
      <c r="M803" t="s" s="2">
        <v>22</v>
      </c>
    </row>
    <row r="804" ht="25.0" customHeight="true">
      <c r="A804" t="s" s="2">
        <v>13</v>
      </c>
      <c r="B804" t="s" s="2">
        <f>HYPERLINK("http://ts.21cn.com/tousu/show/id/1373294","大量用户无法退还立刻出行499元押金")</f>
      </c>
      <c r="C804" t="s" s="2">
        <v>15</v>
      </c>
      <c r="D804" t="s" s="2">
        <v>16</v>
      </c>
      <c r="E804" t="s" s="2">
        <v>17</v>
      </c>
      <c r="F804" t="s" s="2">
        <f>HYPERLINK("http://ts.21cn.com/tousu/show/id/1373294","http://ts.21cn.com/tousu/show/id/1373294")</f>
      </c>
      <c r="G804" t="s" s="2">
        <v>17</v>
      </c>
      <c r="H804" t="s" s="2">
        <v>19</v>
      </c>
      <c r="I804" t="s" s="2">
        <v>3183</v>
      </c>
      <c r="J804" t="s" s="2">
        <v>3184</v>
      </c>
      <c r="K804" t="s" s="2">
        <v>22</v>
      </c>
      <c r="L804" t="s" s="2">
        <v>22</v>
      </c>
      <c r="M804" t="s" s="2">
        <v>22</v>
      </c>
    </row>
    <row r="805" ht="25.0" customHeight="true">
      <c r="A805" t="s" s="2">
        <v>13</v>
      </c>
      <c r="B805" t="s" s="2">
        <f>HYPERLINK("http://ts.21cn.com/tousu/show/id/1373293","平安银行法务部人员语言侮辱")</f>
      </c>
      <c r="C805" t="s" s="2">
        <v>15</v>
      </c>
      <c r="D805" t="s" s="2">
        <v>16</v>
      </c>
      <c r="E805" t="s" s="2">
        <v>17</v>
      </c>
      <c r="F805" t="s" s="2">
        <f>HYPERLINK("http://ts.21cn.com/tousu/show/id/1373293","http://ts.21cn.com/tousu/show/id/1373293")</f>
      </c>
      <c r="G805" t="s" s="2">
        <v>17</v>
      </c>
      <c r="H805" t="s" s="2">
        <v>19</v>
      </c>
      <c r="I805" t="s" s="2">
        <v>3187</v>
      </c>
      <c r="J805" t="s" s="2">
        <v>3188</v>
      </c>
      <c r="K805" t="s" s="2">
        <v>22</v>
      </c>
      <c r="L805" t="s" s="2">
        <v>22</v>
      </c>
      <c r="M805" t="s" s="2">
        <v>22</v>
      </c>
    </row>
    <row r="806" ht="25.0" customHeight="true">
      <c r="A806" t="s" s="2">
        <v>13</v>
      </c>
      <c r="B806" t="s" s="2">
        <f>HYPERLINK("http://ts.21cn.com/tousu/show/id/1373291","钱站阴阳合同")</f>
      </c>
      <c r="C806" t="s" s="2">
        <v>15</v>
      </c>
      <c r="D806" t="s" s="2">
        <v>16</v>
      </c>
      <c r="E806" t="s" s="2">
        <v>17</v>
      </c>
      <c r="F806" t="s" s="2">
        <f>HYPERLINK("http://ts.21cn.com/tousu/show/id/1373291","http://ts.21cn.com/tousu/show/id/1373291")</f>
      </c>
      <c r="G806" t="s" s="2">
        <v>17</v>
      </c>
      <c r="H806" t="s" s="2">
        <v>19</v>
      </c>
      <c r="I806" t="s" s="2">
        <v>3191</v>
      </c>
      <c r="J806" t="s" s="2">
        <v>3192</v>
      </c>
      <c r="K806" t="s" s="2">
        <v>22</v>
      </c>
      <c r="L806" t="s" s="2">
        <v>22</v>
      </c>
      <c r="M806" t="s" s="2">
        <v>22</v>
      </c>
    </row>
    <row r="807" ht="25.0" customHeight="true">
      <c r="A807" t="s" s="2">
        <v>13</v>
      </c>
      <c r="B807" t="s" s="2">
        <f>HYPERLINK("http://ts.21cn.com/tousu/show/id/1373290","平安普惠暴力催收")</f>
      </c>
      <c r="C807" t="s" s="2">
        <v>15</v>
      </c>
      <c r="D807" t="s" s="2">
        <v>16</v>
      </c>
      <c r="E807" t="s" s="2">
        <v>17</v>
      </c>
      <c r="F807" t="s" s="2">
        <f>HYPERLINK("http://ts.21cn.com/tousu/show/id/1373290","http://ts.21cn.com/tousu/show/id/1373290")</f>
      </c>
      <c r="G807" t="s" s="2">
        <v>17</v>
      </c>
      <c r="H807" t="s" s="2">
        <v>19</v>
      </c>
      <c r="I807" t="s" s="2">
        <v>3195</v>
      </c>
      <c r="J807" t="s" s="2">
        <v>3196</v>
      </c>
      <c r="K807" t="s" s="2">
        <v>22</v>
      </c>
      <c r="L807" t="s" s="2">
        <v>22</v>
      </c>
      <c r="M807" t="s" s="2">
        <v>22</v>
      </c>
    </row>
    <row r="808" ht="25.0" customHeight="true">
      <c r="A808" t="s" s="2">
        <v>13</v>
      </c>
      <c r="B808" t="s" s="2">
        <f>HYPERLINK("http://ts.21cn.com/tousu/show/id/1373288","平安普惠恶意催收，爆通讯录")</f>
      </c>
      <c r="C808" t="s" s="2">
        <v>15</v>
      </c>
      <c r="D808" t="s" s="2">
        <v>16</v>
      </c>
      <c r="E808" t="s" s="2">
        <v>17</v>
      </c>
      <c r="F808" t="s" s="2">
        <f>HYPERLINK("http://ts.21cn.com/tousu/show/id/1373288","http://ts.21cn.com/tousu/show/id/1373288")</f>
      </c>
      <c r="G808" t="s" s="2">
        <v>17</v>
      </c>
      <c r="H808" t="s" s="2">
        <v>19</v>
      </c>
      <c r="I808" t="s" s="2">
        <v>3199</v>
      </c>
      <c r="J808" t="s" s="2">
        <v>3200</v>
      </c>
      <c r="K808" t="s" s="2">
        <v>22</v>
      </c>
      <c r="L808" t="s" s="2">
        <v>22</v>
      </c>
      <c r="M808" t="s" s="2">
        <v>22</v>
      </c>
    </row>
    <row r="809" ht="25.0" customHeight="true">
      <c r="A809" t="s" s="2">
        <v>13</v>
      </c>
      <c r="B809" t="s" s="2">
        <f>HYPERLINK("http://ts.21cn.com/tousu/show/id/1373289","申请还本金，高利")</f>
      </c>
      <c r="C809" t="s" s="2">
        <v>52</v>
      </c>
      <c r="D809" t="s" s="2">
        <v>16</v>
      </c>
      <c r="E809" t="s" s="2">
        <v>17</v>
      </c>
      <c r="F809" t="s" s="2">
        <f>HYPERLINK("http://ts.21cn.com/tousu/show/id/1373289","http://ts.21cn.com/tousu/show/id/1373289")</f>
      </c>
      <c r="G809" t="s" s="2">
        <v>17</v>
      </c>
      <c r="H809" t="s" s="2">
        <v>19</v>
      </c>
      <c r="I809" t="s" s="2">
        <v>3203</v>
      </c>
      <c r="J809" t="s" s="2">
        <v>3204</v>
      </c>
      <c r="K809" t="s" s="2">
        <v>22</v>
      </c>
      <c r="L809" t="s" s="2">
        <v>22</v>
      </c>
      <c r="M809" t="s" s="2">
        <v>22</v>
      </c>
    </row>
    <row r="810" ht="25.0" customHeight="true">
      <c r="A810" t="s" s="2">
        <v>13</v>
      </c>
      <c r="B810" t="s" s="2">
        <f>HYPERLINK("http://ts.21cn.com/tousu/show/id/1373287","特约中智消费无故刷走408.76元")</f>
      </c>
      <c r="C810" t="s" s="2">
        <v>15</v>
      </c>
      <c r="D810" t="s" s="2">
        <v>16</v>
      </c>
      <c r="E810" t="s" s="2">
        <v>17</v>
      </c>
      <c r="F810" t="s" s="2">
        <f>HYPERLINK("http://ts.21cn.com/tousu/show/id/1373287","http://ts.21cn.com/tousu/show/id/1373287")</f>
      </c>
      <c r="G810" t="s" s="2">
        <v>17</v>
      </c>
      <c r="H810" t="s" s="2">
        <v>19</v>
      </c>
      <c r="I810" t="s" s="2">
        <v>3207</v>
      </c>
      <c r="J810" t="s" s="2">
        <v>3208</v>
      </c>
      <c r="K810" t="s" s="2">
        <v>22</v>
      </c>
      <c r="L810" t="s" s="2">
        <v>22</v>
      </c>
      <c r="M810" t="s" s="2">
        <v>22</v>
      </c>
    </row>
    <row r="811" ht="25.0" customHeight="true">
      <c r="A811" t="s" s="2">
        <v>13</v>
      </c>
      <c r="B811" t="s" s="2">
        <f>HYPERLINK("http://ts.21cn.com/tousu/show/id/1373286","捷信不分时间段无规律多次打电话推销业务构成骚扰")</f>
      </c>
      <c r="C811" t="s" s="2">
        <v>15</v>
      </c>
      <c r="D811" t="s" s="2">
        <v>16</v>
      </c>
      <c r="E811" t="s" s="2">
        <v>17</v>
      </c>
      <c r="F811" t="s" s="2">
        <f>HYPERLINK("http://ts.21cn.com/tousu/show/id/1373286","http://ts.21cn.com/tousu/show/id/1373286")</f>
      </c>
      <c r="G811" t="s" s="2">
        <v>17</v>
      </c>
      <c r="H811" t="s" s="2">
        <v>19</v>
      </c>
      <c r="I811" t="s" s="2">
        <v>3211</v>
      </c>
      <c r="J811" t="s" s="2">
        <v>3212</v>
      </c>
      <c r="K811" t="s" s="2">
        <v>22</v>
      </c>
      <c r="L811" t="s" s="2">
        <v>22</v>
      </c>
      <c r="M811" t="s" s="2">
        <v>22</v>
      </c>
    </row>
    <row r="812" ht="25.0" customHeight="true">
      <c r="A812" t="s" s="2">
        <v>13</v>
      </c>
      <c r="B812" t="s" s="2">
        <f>HYPERLINK("http://ts.21cn.com/tousu/show/id/1373285","投诉豹子贷，在我们不知情的情况下就扣了我们卡里面的钱299元，说是查询征信报告的钱，这个也太不靠谱了嘛")</f>
      </c>
      <c r="C812" t="s" s="2">
        <v>15</v>
      </c>
      <c r="D812" t="s" s="2">
        <v>16</v>
      </c>
      <c r="E812" t="s" s="2">
        <v>17</v>
      </c>
      <c r="F812" t="s" s="2">
        <f>HYPERLINK("http://ts.21cn.com/tousu/show/id/1373285","http://ts.21cn.com/tousu/show/id/1373285")</f>
      </c>
      <c r="G812" t="s" s="2">
        <v>17</v>
      </c>
      <c r="H812" t="s" s="2">
        <v>19</v>
      </c>
      <c r="I812" t="s" s="2">
        <v>3215</v>
      </c>
      <c r="J812" t="s" s="2">
        <v>3216</v>
      </c>
      <c r="K812" t="s" s="2">
        <v>22</v>
      </c>
      <c r="L812" t="s" s="2">
        <v>22</v>
      </c>
      <c r="M812" t="s" s="2">
        <v>22</v>
      </c>
    </row>
    <row r="813" ht="25.0" customHeight="true">
      <c r="A813" t="s" s="2">
        <v>13</v>
      </c>
      <c r="B813" t="s" s="2">
        <f>HYPERLINK("http://ts.21cn.com/tousu/show/id/1373284","小米金融暴力催收单方面取消合同分期")</f>
      </c>
      <c r="C813" t="s" s="2">
        <v>15</v>
      </c>
      <c r="D813" t="s" s="2">
        <v>16</v>
      </c>
      <c r="E813" t="s" s="2">
        <v>17</v>
      </c>
      <c r="F813" t="s" s="2">
        <f>HYPERLINK("http://ts.21cn.com/tousu/show/id/1373284","http://ts.21cn.com/tousu/show/id/1373284")</f>
      </c>
      <c r="G813" t="s" s="2">
        <v>17</v>
      </c>
      <c r="H813" t="s" s="2">
        <v>19</v>
      </c>
      <c r="I813" t="s" s="2">
        <v>3219</v>
      </c>
      <c r="J813" t="s" s="2">
        <v>3220</v>
      </c>
      <c r="K813" t="s" s="2">
        <v>22</v>
      </c>
      <c r="L813" t="s" s="2">
        <v>22</v>
      </c>
      <c r="M813" t="s" s="2">
        <v>22</v>
      </c>
    </row>
    <row r="814" ht="25.0" customHeight="true">
      <c r="A814" t="s" s="2">
        <v>13</v>
      </c>
      <c r="B814" t="s" s="2">
        <f>HYPERLINK("http://ts.21cn.com/tousu/show/id/1373283","兴业银行暴力催收，威胁我")</f>
      </c>
      <c r="C814" t="s" s="2">
        <v>15</v>
      </c>
      <c r="D814" t="s" s="2">
        <v>16</v>
      </c>
      <c r="E814" t="s" s="2">
        <v>17</v>
      </c>
      <c r="F814" t="s" s="2">
        <f>HYPERLINK("http://ts.21cn.com/tousu/show/id/1373283","http://ts.21cn.com/tousu/show/id/1373283")</f>
      </c>
      <c r="G814" t="s" s="2">
        <v>17</v>
      </c>
      <c r="H814" t="s" s="2">
        <v>19</v>
      </c>
      <c r="I814" t="s" s="2">
        <v>3223</v>
      </c>
      <c r="J814" t="s" s="2">
        <v>3224</v>
      </c>
      <c r="K814" t="s" s="2">
        <v>22</v>
      </c>
      <c r="L814" t="s" s="2">
        <v>22</v>
      </c>
      <c r="M814" t="s" s="2">
        <v>22</v>
      </c>
    </row>
    <row r="815" ht="25.0" customHeight="true">
      <c r="A815" t="s" s="2">
        <v>13</v>
      </c>
      <c r="B815" t="s" s="2">
        <f>HYPERLINK("http://ts.21cn.com/tousu/show/id/1373281","小花钱包频繁换人，暴力催收，不给协商，客服投诉无效")</f>
      </c>
      <c r="C815" t="s" s="2">
        <v>15</v>
      </c>
      <c r="D815" t="s" s="2">
        <v>16</v>
      </c>
      <c r="E815" t="s" s="2">
        <v>17</v>
      </c>
      <c r="F815" t="s" s="2">
        <f>HYPERLINK("http://ts.21cn.com/tousu/show/id/1373281","http://ts.21cn.com/tousu/show/id/1373281")</f>
      </c>
      <c r="G815" t="s" s="2">
        <v>17</v>
      </c>
      <c r="H815" t="s" s="2">
        <v>19</v>
      </c>
      <c r="I815" t="s" s="2">
        <v>3227</v>
      </c>
      <c r="J815" t="s" s="2">
        <v>3228</v>
      </c>
      <c r="K815" t="s" s="2">
        <v>22</v>
      </c>
      <c r="L815" t="s" s="2">
        <v>22</v>
      </c>
      <c r="M815" t="s" s="2">
        <v>22</v>
      </c>
    </row>
    <row r="816" ht="25.0" customHeight="true">
      <c r="A816" t="s" s="2">
        <v>13</v>
      </c>
      <c r="B816" t="s" s="2">
        <f>HYPERLINK("http://ts.21cn.com/tousu/show/id/1373280","有关凡普信恶意侵权信息骚扰")</f>
      </c>
      <c r="C816" t="s" s="2">
        <v>15</v>
      </c>
      <c r="D816" t="s" s="2">
        <v>16</v>
      </c>
      <c r="E816" t="s" s="2">
        <v>17</v>
      </c>
      <c r="F816" t="s" s="2">
        <f>HYPERLINK("http://ts.21cn.com/tousu/show/id/1373280","http://ts.21cn.com/tousu/show/id/1373280")</f>
      </c>
      <c r="G816" t="s" s="2">
        <v>17</v>
      </c>
      <c r="H816" t="s" s="2">
        <v>19</v>
      </c>
      <c r="I816" t="s" s="2">
        <v>3231</v>
      </c>
      <c r="J816" t="s" s="2">
        <v>3232</v>
      </c>
      <c r="K816" t="s" s="2">
        <v>22</v>
      </c>
      <c r="L816" t="s" s="2">
        <v>22</v>
      </c>
      <c r="M816" t="s" s="2">
        <v>22</v>
      </c>
    </row>
    <row r="817" ht="25.0" customHeight="true">
      <c r="A817" t="s" s="2">
        <v>13</v>
      </c>
      <c r="B817" t="s" s="2">
        <f>HYPERLINK("http://ts.21cn.com/tousu/show/id/1373282","上海点佰趣公司无故冻结账号分润无法提现")</f>
      </c>
      <c r="C817" t="s" s="2">
        <v>15</v>
      </c>
      <c r="D817" t="s" s="2">
        <v>16</v>
      </c>
      <c r="E817" t="s" s="2">
        <v>17</v>
      </c>
      <c r="F817" t="s" s="2">
        <f>HYPERLINK("http://ts.21cn.com/tousu/show/id/1373282","http://ts.21cn.com/tousu/show/id/1373282")</f>
      </c>
      <c r="G817" t="s" s="2">
        <v>17</v>
      </c>
      <c r="H817" t="s" s="2">
        <v>19</v>
      </c>
      <c r="I817" t="s" s="2">
        <v>3235</v>
      </c>
      <c r="J817" t="s" s="2">
        <v>3236</v>
      </c>
      <c r="K817" t="s" s="2">
        <v>22</v>
      </c>
      <c r="L817" t="s" s="2">
        <v>22</v>
      </c>
      <c r="M817" t="s" s="2">
        <v>22</v>
      </c>
    </row>
    <row r="818" ht="25.0" customHeight="true">
      <c r="A818" t="s" s="2">
        <v>13</v>
      </c>
      <c r="B818" t="s" s="2">
        <f>HYPERLINK("http://ts.21cn.com/tousu/show/id/1373279","畅金服务高利贷，套路贷")</f>
      </c>
      <c r="C818" t="s" s="2">
        <v>15</v>
      </c>
      <c r="D818" t="s" s="2">
        <v>16</v>
      </c>
      <c r="E818" t="s" s="2">
        <v>17</v>
      </c>
      <c r="F818" t="s" s="2">
        <f>HYPERLINK("http://ts.21cn.com/tousu/show/id/1373279","http://ts.21cn.com/tousu/show/id/1373279")</f>
      </c>
      <c r="G818" t="s" s="2">
        <v>17</v>
      </c>
      <c r="H818" t="s" s="2">
        <v>19</v>
      </c>
      <c r="I818" t="s" s="2">
        <v>3239</v>
      </c>
      <c r="J818" t="s" s="2">
        <v>3240</v>
      </c>
      <c r="K818" t="s" s="2">
        <v>22</v>
      </c>
      <c r="L818" t="s" s="2">
        <v>22</v>
      </c>
      <c r="M818" t="s" s="2">
        <v>22</v>
      </c>
    </row>
    <row r="819" ht="25.0" customHeight="true">
      <c r="A819" t="s" s="2">
        <v>13</v>
      </c>
      <c r="B819" t="s" s="2">
        <f>HYPERLINK("http://ts.21cn.com/tousu/show/id/1373278","钱橙无忧随意扣费")</f>
      </c>
      <c r="C819" t="s" s="2">
        <v>15</v>
      </c>
      <c r="D819" t="s" s="2">
        <v>16</v>
      </c>
      <c r="E819" t="s" s="2">
        <v>17</v>
      </c>
      <c r="F819" t="s" s="2">
        <f>HYPERLINK("http://ts.21cn.com/tousu/show/id/1373278","http://ts.21cn.com/tousu/show/id/1373278")</f>
      </c>
      <c r="G819" t="s" s="2">
        <v>17</v>
      </c>
      <c r="H819" t="s" s="2">
        <v>19</v>
      </c>
      <c r="I819" t="s" s="2">
        <v>3242</v>
      </c>
      <c r="J819" t="s" s="2">
        <v>3243</v>
      </c>
      <c r="K819" t="s" s="2">
        <v>22</v>
      </c>
      <c r="L819" t="s" s="2">
        <v>22</v>
      </c>
      <c r="M819" t="s" s="2">
        <v>22</v>
      </c>
    </row>
    <row r="820" ht="25.0" customHeight="true">
      <c r="A820" t="s" s="2">
        <v>13</v>
      </c>
      <c r="B820" t="s" s="2">
        <f>HYPERLINK("http://ts.21cn.com/tousu/show/id/1373277","美团总部领导威胁说上市公司要去当地报案，有牢狱之灾，还要请律师")</f>
      </c>
      <c r="C820" t="s" s="2">
        <v>15</v>
      </c>
      <c r="D820" t="s" s="2">
        <v>16</v>
      </c>
      <c r="E820" t="s" s="2">
        <v>17</v>
      </c>
      <c r="F820" t="s" s="2">
        <f>HYPERLINK("http://ts.21cn.com/tousu/show/id/1373277","http://ts.21cn.com/tousu/show/id/1373277")</f>
      </c>
      <c r="G820" t="s" s="2">
        <v>17</v>
      </c>
      <c r="H820" t="s" s="2">
        <v>19</v>
      </c>
      <c r="I820" t="s" s="2">
        <v>3246</v>
      </c>
      <c r="J820" t="s" s="2">
        <v>3247</v>
      </c>
      <c r="K820" t="s" s="2">
        <v>22</v>
      </c>
      <c r="L820" t="s" s="2">
        <v>22</v>
      </c>
      <c r="M820" t="s" s="2">
        <v>22</v>
      </c>
    </row>
    <row r="821" ht="25.0" customHeight="true">
      <c r="A821" t="s" s="2">
        <v>13</v>
      </c>
      <c r="B821" t="s" s="2">
        <f>HYPERLINK("http://ts.21cn.com/tousu/show/id/1373275","友信有合同金额，高利息")</f>
      </c>
      <c r="C821" t="s" s="2">
        <v>52</v>
      </c>
      <c r="D821" t="s" s="2">
        <v>16</v>
      </c>
      <c r="E821" t="s" s="2">
        <v>17</v>
      </c>
      <c r="F821" t="s" s="2">
        <f>HYPERLINK("http://ts.21cn.com/tousu/show/id/1373275","http://ts.21cn.com/tousu/show/id/1373275")</f>
      </c>
      <c r="G821" t="s" s="2">
        <v>17</v>
      </c>
      <c r="H821" t="s" s="2">
        <v>19</v>
      </c>
      <c r="I821" t="s" s="2">
        <v>3250</v>
      </c>
      <c r="J821" t="s" s="2">
        <v>3251</v>
      </c>
      <c r="K821" t="s" s="2">
        <v>22</v>
      </c>
      <c r="L821" t="s" s="2">
        <v>22</v>
      </c>
      <c r="M821" t="s" s="2">
        <v>22</v>
      </c>
    </row>
    <row r="822" ht="25.0" customHeight="true">
      <c r="A822" t="s" s="2">
        <v>13</v>
      </c>
      <c r="B822" t="s" s="2">
        <f>HYPERLINK("http://ts.21cn.com/tousu/show/id/1373274","想你分期退我多余费用")</f>
      </c>
      <c r="C822" t="s" s="2">
        <v>52</v>
      </c>
      <c r="D822" t="s" s="2">
        <v>16</v>
      </c>
      <c r="E822" t="s" s="2">
        <v>17</v>
      </c>
      <c r="F822" t="s" s="2">
        <f>HYPERLINK("http://ts.21cn.com/tousu/show/id/1373274","http://ts.21cn.com/tousu/show/id/1373274")</f>
      </c>
      <c r="G822" t="s" s="2">
        <v>17</v>
      </c>
      <c r="H822" t="s" s="2">
        <v>19</v>
      </c>
      <c r="I822" t="s" s="2">
        <v>3254</v>
      </c>
      <c r="J822" t="s" s="2">
        <v>3255</v>
      </c>
      <c r="K822" t="s" s="2">
        <v>22</v>
      </c>
      <c r="L822" t="s" s="2">
        <v>22</v>
      </c>
      <c r="M822" t="s" s="2">
        <v>22</v>
      </c>
    </row>
    <row r="823" ht="25.0" customHeight="true">
      <c r="A823" t="s" s="2">
        <v>13</v>
      </c>
      <c r="B823" t="s" s="2">
        <f>HYPERLINK("http://ts.21cn.com/tousu/show/id/1373273","今日头条放心购不给商家退保证金")</f>
      </c>
      <c r="C823" t="s" s="2">
        <v>15</v>
      </c>
      <c r="D823" t="s" s="2">
        <v>16</v>
      </c>
      <c r="E823" t="s" s="2">
        <v>17</v>
      </c>
      <c r="F823" t="s" s="2">
        <f>HYPERLINK("http://ts.21cn.com/tousu/show/id/1373273","http://ts.21cn.com/tousu/show/id/1373273")</f>
      </c>
      <c r="G823" t="s" s="2">
        <v>17</v>
      </c>
      <c r="H823" t="s" s="2">
        <v>19</v>
      </c>
      <c r="I823" t="s" s="2">
        <v>3258</v>
      </c>
      <c r="J823" t="s" s="2">
        <v>3259</v>
      </c>
      <c r="K823" t="s" s="2">
        <v>22</v>
      </c>
      <c r="L823" t="s" s="2">
        <v>22</v>
      </c>
      <c r="M823" t="s" s="2">
        <v>22</v>
      </c>
    </row>
    <row r="824" ht="25.0" customHeight="true">
      <c r="A824" t="s" s="2">
        <v>13</v>
      </c>
      <c r="B824" t="s" s="2">
        <f>HYPERLINK("http://ts.21cn.com/tousu/show/id/1373271","玖富高利贷")</f>
      </c>
      <c r="C824" t="s" s="2">
        <v>15</v>
      </c>
      <c r="D824" t="s" s="2">
        <v>16</v>
      </c>
      <c r="E824" t="s" s="2">
        <v>17</v>
      </c>
      <c r="F824" t="s" s="2">
        <f>HYPERLINK("http://ts.21cn.com/tousu/show/id/1373271","http://ts.21cn.com/tousu/show/id/1373271")</f>
      </c>
      <c r="G824" t="s" s="2">
        <v>17</v>
      </c>
      <c r="H824" t="s" s="2">
        <v>19</v>
      </c>
      <c r="I824" t="s" s="2">
        <v>3261</v>
      </c>
      <c r="J824" t="s" s="2">
        <v>3262</v>
      </c>
      <c r="K824" t="s" s="2">
        <v>22</v>
      </c>
      <c r="L824" t="s" s="2">
        <v>22</v>
      </c>
      <c r="M824" t="s" s="2">
        <v>22</v>
      </c>
    </row>
    <row r="825" ht="25.0" customHeight="true">
      <c r="A825" t="s" s="2">
        <v>13</v>
      </c>
      <c r="B825" t="s" s="2">
        <f>HYPERLINK("http://ts.21cn.com/tousu/show/id/1373272","淘集集商家乱发货平台不理事")</f>
      </c>
      <c r="C825" t="s" s="2">
        <v>15</v>
      </c>
      <c r="D825" t="s" s="2">
        <v>16</v>
      </c>
      <c r="E825" t="s" s="2">
        <v>17</v>
      </c>
      <c r="F825" t="s" s="2">
        <f>HYPERLINK("http://ts.21cn.com/tousu/show/id/1373272","http://ts.21cn.com/tousu/show/id/1373272")</f>
      </c>
      <c r="G825" t="s" s="2">
        <v>17</v>
      </c>
      <c r="H825" t="s" s="2">
        <v>19</v>
      </c>
      <c r="I825" t="s" s="2">
        <v>3265</v>
      </c>
      <c r="J825" t="s" s="2">
        <v>3266</v>
      </c>
      <c r="K825" t="s" s="2">
        <v>22</v>
      </c>
      <c r="L825" t="s" s="2">
        <v>22</v>
      </c>
      <c r="M825" t="s" s="2">
        <v>22</v>
      </c>
    </row>
    <row r="826" ht="25.0" customHeight="true">
      <c r="A826" t="s" s="2">
        <v>13</v>
      </c>
      <c r="B826" t="s" s="2">
        <f>HYPERLINK("http://ts.21cn.com/tousu/show/id/1373270","闪银恶意催收")</f>
      </c>
      <c r="C826" t="s" s="2">
        <v>15</v>
      </c>
      <c r="D826" t="s" s="2">
        <v>16</v>
      </c>
      <c r="E826" t="s" s="2">
        <v>17</v>
      </c>
      <c r="F826" t="s" s="2">
        <f>HYPERLINK("http://ts.21cn.com/tousu/show/id/1373270","http://ts.21cn.com/tousu/show/id/1373270")</f>
      </c>
      <c r="G826" t="s" s="2">
        <v>17</v>
      </c>
      <c r="H826" t="s" s="2">
        <v>19</v>
      </c>
      <c r="I826" t="s" s="2">
        <v>3269</v>
      </c>
      <c r="J826" t="s" s="2">
        <v>3270</v>
      </c>
      <c r="K826" t="s" s="2">
        <v>22</v>
      </c>
      <c r="L826" t="s" s="2">
        <v>22</v>
      </c>
      <c r="M826" t="s" s="2">
        <v>22</v>
      </c>
    </row>
    <row r="827" ht="25.0" customHeight="true">
      <c r="A827" t="s" s="2">
        <v>13</v>
      </c>
      <c r="B827" t="s" s="2">
        <f>HYPERLINK("http://ts.21cn.com/tousu/show/id/1373268","借三千，还款四千，一个月后居然还要多还三千多")</f>
      </c>
      <c r="C827" t="s" s="2">
        <v>15</v>
      </c>
      <c r="D827" t="s" s="2">
        <v>16</v>
      </c>
      <c r="E827" t="s" s="2">
        <v>17</v>
      </c>
      <c r="F827" t="s" s="2">
        <f>HYPERLINK("http://ts.21cn.com/tousu/show/id/1373268","http://ts.21cn.com/tousu/show/id/1373268")</f>
      </c>
      <c r="G827" t="s" s="2">
        <v>17</v>
      </c>
      <c r="H827" t="s" s="2">
        <v>19</v>
      </c>
      <c r="I827" t="s" s="2">
        <v>3273</v>
      </c>
      <c r="J827" t="s" s="2">
        <v>3274</v>
      </c>
      <c r="K827" t="s" s="2">
        <v>22</v>
      </c>
      <c r="L827" t="s" s="2">
        <v>22</v>
      </c>
      <c r="M827" t="s" s="2">
        <v>22</v>
      </c>
    </row>
    <row r="828" ht="25.0" customHeight="true">
      <c r="A828" t="s" s="2">
        <v>13</v>
      </c>
      <c r="B828" t="s" s="2">
        <f>HYPERLINK("http://ts.21cn.com/tousu/show/id/1373267","服务态度恶略")</f>
      </c>
      <c r="C828" t="s" s="2">
        <v>15</v>
      </c>
      <c r="D828" t="s" s="2">
        <v>16</v>
      </c>
      <c r="E828" t="s" s="2">
        <v>17</v>
      </c>
      <c r="F828" t="s" s="2">
        <f>HYPERLINK("http://ts.21cn.com/tousu/show/id/1373267","http://ts.21cn.com/tousu/show/id/1373267")</f>
      </c>
      <c r="G828" t="s" s="2">
        <v>17</v>
      </c>
      <c r="H828" t="s" s="2">
        <v>19</v>
      </c>
      <c r="I828" t="s" s="2">
        <v>3277</v>
      </c>
      <c r="J828" t="s" s="2">
        <v>3278</v>
      </c>
      <c r="K828" t="s" s="2">
        <v>22</v>
      </c>
      <c r="L828" t="s" s="2">
        <v>22</v>
      </c>
      <c r="M828" t="s" s="2">
        <v>22</v>
      </c>
    </row>
    <row r="829" ht="25.0" customHeight="true">
      <c r="A829" t="s" s="2">
        <v>13</v>
      </c>
      <c r="B829" t="s" s="2">
        <f>HYPERLINK("http://ts.21cn.com/tousu/show/id/1373266","360停止爆通讯录")</f>
      </c>
      <c r="C829" t="s" s="2">
        <v>15</v>
      </c>
      <c r="D829" t="s" s="2">
        <v>16</v>
      </c>
      <c r="E829" t="s" s="2">
        <v>17</v>
      </c>
      <c r="F829" t="s" s="2">
        <f>HYPERLINK("http://ts.21cn.com/tousu/show/id/1373266","http://ts.21cn.com/tousu/show/id/1373266")</f>
      </c>
      <c r="G829" t="s" s="2">
        <v>17</v>
      </c>
      <c r="H829" t="s" s="2">
        <v>19</v>
      </c>
      <c r="I829" t="s" s="2">
        <v>3281</v>
      </c>
      <c r="J829" t="s" s="2">
        <v>3282</v>
      </c>
      <c r="K829" t="s" s="2">
        <v>22</v>
      </c>
      <c r="L829" t="s" s="2">
        <v>22</v>
      </c>
      <c r="M829" t="s" s="2">
        <v>22</v>
      </c>
    </row>
    <row r="830" ht="25.0" customHeight="true">
      <c r="A830" t="s" s="2">
        <v>13</v>
      </c>
      <c r="B830" t="s" s="2">
        <f>HYPERLINK("http://ts.21cn.com/tousu/show/id/1373264","延期还款")</f>
      </c>
      <c r="C830" t="s" s="2">
        <v>15</v>
      </c>
      <c r="D830" t="s" s="2">
        <v>16</v>
      </c>
      <c r="E830" t="s" s="2">
        <v>17</v>
      </c>
      <c r="F830" t="s" s="2">
        <f>HYPERLINK("http://ts.21cn.com/tousu/show/id/1373264","http://ts.21cn.com/tousu/show/id/1373264")</f>
      </c>
      <c r="G830" t="s" s="2">
        <v>17</v>
      </c>
      <c r="H830" t="s" s="2">
        <v>19</v>
      </c>
      <c r="I830" t="s" s="2">
        <v>3285</v>
      </c>
      <c r="J830" t="s" s="2">
        <v>3286</v>
      </c>
      <c r="K830" t="s" s="2">
        <v>22</v>
      </c>
      <c r="L830" t="s" s="2">
        <v>22</v>
      </c>
      <c r="M830" t="s" s="2">
        <v>22</v>
      </c>
    </row>
    <row r="831" ht="25.0" customHeight="true">
      <c r="A831" t="s" s="2">
        <v>13</v>
      </c>
      <c r="B831" t="s" s="2">
        <f>HYPERLINK("http://ts.21cn.com/tousu/show/id/1373263","白条分期虚假宣传")</f>
      </c>
      <c r="C831" t="s" s="2">
        <v>15</v>
      </c>
      <c r="D831" t="s" s="2">
        <v>16</v>
      </c>
      <c r="E831" t="s" s="2">
        <v>17</v>
      </c>
      <c r="F831" t="s" s="2">
        <f>HYPERLINK("http://ts.21cn.com/tousu/show/id/1373263","http://ts.21cn.com/tousu/show/id/1373263")</f>
      </c>
      <c r="G831" t="s" s="2">
        <v>17</v>
      </c>
      <c r="H831" t="s" s="2">
        <v>19</v>
      </c>
      <c r="I831" t="s" s="2">
        <v>3289</v>
      </c>
      <c r="J831" t="s" s="2">
        <v>3290</v>
      </c>
      <c r="K831" t="s" s="2">
        <v>22</v>
      </c>
      <c r="L831" t="s" s="2">
        <v>22</v>
      </c>
      <c r="M831" t="s" s="2">
        <v>22</v>
      </c>
    </row>
    <row r="832" ht="25.0" customHeight="true">
      <c r="A832" t="s" s="2">
        <v>13</v>
      </c>
      <c r="B832" t="s" s="2">
        <f>HYPERLINK("http://ts.21cn.com/tousu/show/id/1373262","恶意催收，联系紧急人")</f>
      </c>
      <c r="C832" t="s" s="2">
        <v>15</v>
      </c>
      <c r="D832" t="s" s="2">
        <v>16</v>
      </c>
      <c r="E832" t="s" s="2">
        <v>17</v>
      </c>
      <c r="F832" t="s" s="2">
        <f>HYPERLINK("http://ts.21cn.com/tousu/show/id/1373262","http://ts.21cn.com/tousu/show/id/1373262")</f>
      </c>
      <c r="G832" t="s" s="2">
        <v>17</v>
      </c>
      <c r="H832" t="s" s="2">
        <v>19</v>
      </c>
      <c r="I832" t="s" s="2">
        <v>3293</v>
      </c>
      <c r="J832" t="s" s="2">
        <v>3294</v>
      </c>
      <c r="K832" t="s" s="2">
        <v>22</v>
      </c>
      <c r="L832" t="s" s="2">
        <v>22</v>
      </c>
      <c r="M832" t="s" s="2">
        <v>22</v>
      </c>
    </row>
    <row r="833" ht="25.0" customHeight="true">
      <c r="A833" t="s" s="2">
        <v>13</v>
      </c>
      <c r="B833" t="s" s="2">
        <f>HYPERLINK("http://ts.21cn.com/tousu/show/id/1373260","闪银哼哼套路贷")</f>
      </c>
      <c r="C833" t="s" s="2">
        <v>15</v>
      </c>
      <c r="D833" t="s" s="2">
        <v>16</v>
      </c>
      <c r="E833" t="s" s="2">
        <v>17</v>
      </c>
      <c r="F833" t="s" s="2">
        <f>HYPERLINK("http://ts.21cn.com/tousu/show/id/1373260","http://ts.21cn.com/tousu/show/id/1373260")</f>
      </c>
      <c r="G833" t="s" s="2">
        <v>17</v>
      </c>
      <c r="H833" t="s" s="2">
        <v>19</v>
      </c>
      <c r="I833" t="s" s="2">
        <v>3297</v>
      </c>
      <c r="J833" t="s" s="2">
        <v>3298</v>
      </c>
      <c r="K833" t="s" s="2">
        <v>22</v>
      </c>
      <c r="L833" t="s" s="2">
        <v>22</v>
      </c>
      <c r="M833" t="s" s="2">
        <v>22</v>
      </c>
    </row>
    <row r="834" ht="25.0" customHeight="true">
      <c r="A834" t="s" s="2">
        <v>13</v>
      </c>
      <c r="B834" t="s" s="2">
        <f>HYPERLINK("http://ts.21cn.com/tousu/show/id/1373261","新浪分期高利贷，提前还款利息一样全扣")</f>
      </c>
      <c r="C834" t="s" s="2">
        <v>15</v>
      </c>
      <c r="D834" t="s" s="2">
        <v>16</v>
      </c>
      <c r="E834" t="s" s="2">
        <v>17</v>
      </c>
      <c r="F834" t="s" s="2">
        <f>HYPERLINK("http://ts.21cn.com/tousu/show/id/1373261","http://ts.21cn.com/tousu/show/id/1373261")</f>
      </c>
      <c r="G834" t="s" s="2">
        <v>17</v>
      </c>
      <c r="H834" t="s" s="2">
        <v>19</v>
      </c>
      <c r="I834" t="s" s="2">
        <v>3301</v>
      </c>
      <c r="J834" t="s" s="2">
        <v>3302</v>
      </c>
      <c r="K834" t="s" s="2">
        <v>22</v>
      </c>
      <c r="L834" t="s" s="2">
        <v>22</v>
      </c>
      <c r="M834" t="s" s="2">
        <v>22</v>
      </c>
    </row>
    <row r="835" ht="25.0" customHeight="true">
      <c r="A835" t="s" s="2">
        <v>13</v>
      </c>
      <c r="B835" t="s" s="2">
        <f>HYPERLINK("http://ts.21cn.com/tousu/show/id/1373259","人人花偷扣银行卡钱")</f>
      </c>
      <c r="C835" t="s" s="2">
        <v>15</v>
      </c>
      <c r="D835" t="s" s="2">
        <v>16</v>
      </c>
      <c r="E835" t="s" s="2">
        <v>17</v>
      </c>
      <c r="F835" t="s" s="2">
        <f>HYPERLINK("http://ts.21cn.com/tousu/show/id/1373259","http://ts.21cn.com/tousu/show/id/1373259")</f>
      </c>
      <c r="G835" t="s" s="2">
        <v>17</v>
      </c>
      <c r="H835" t="s" s="2">
        <v>19</v>
      </c>
      <c r="I835" t="s" s="2">
        <v>3305</v>
      </c>
      <c r="J835" t="s" s="2">
        <v>3306</v>
      </c>
      <c r="K835" t="s" s="2">
        <v>22</v>
      </c>
      <c r="L835" t="s" s="2">
        <v>22</v>
      </c>
      <c r="M835" t="s" s="2">
        <v>22</v>
      </c>
    </row>
    <row r="836" ht="25.0" customHeight="true">
      <c r="A836" t="s" s="2">
        <v>13</v>
      </c>
      <c r="B836" t="s" s="2">
        <f>HYPERLINK("http://ts.21cn.com/tousu/show/id/1373256","拍拍贷不肯协商，还发恐吓信。")</f>
      </c>
      <c r="C836" t="s" s="2">
        <v>15</v>
      </c>
      <c r="D836" t="s" s="2">
        <v>16</v>
      </c>
      <c r="E836" t="s" s="2">
        <v>17</v>
      </c>
      <c r="F836" t="s" s="2">
        <f>HYPERLINK("http://ts.21cn.com/tousu/show/id/1373256","http://ts.21cn.com/tousu/show/id/1373256")</f>
      </c>
      <c r="G836" t="s" s="2">
        <v>17</v>
      </c>
      <c r="H836" t="s" s="2">
        <v>19</v>
      </c>
      <c r="I836" t="s" s="2">
        <v>3309</v>
      </c>
      <c r="J836" t="s" s="2">
        <v>3310</v>
      </c>
      <c r="K836" t="s" s="2">
        <v>22</v>
      </c>
      <c r="L836" t="s" s="2">
        <v>22</v>
      </c>
      <c r="M836" t="s" s="2">
        <v>22</v>
      </c>
    </row>
    <row r="837" ht="25.0" customHeight="true">
      <c r="A837" t="s" s="2">
        <v>13</v>
      </c>
      <c r="B837" t="s" s="2">
        <f>HYPERLINK("http://ts.21cn.com/tousu/show/id/1373253","名校贷暴力催收，不予受理")</f>
      </c>
      <c r="C837" t="s" s="2">
        <v>15</v>
      </c>
      <c r="D837" t="s" s="2">
        <v>16</v>
      </c>
      <c r="E837" t="s" s="2">
        <v>17</v>
      </c>
      <c r="F837" t="s" s="2">
        <f>HYPERLINK("http://ts.21cn.com/tousu/show/id/1373253","http://ts.21cn.com/tousu/show/id/1373253")</f>
      </c>
      <c r="G837" t="s" s="2">
        <v>17</v>
      </c>
      <c r="H837" t="s" s="2">
        <v>19</v>
      </c>
      <c r="I837" t="s" s="2">
        <v>3313</v>
      </c>
      <c r="J837" t="s" s="2">
        <v>3314</v>
      </c>
      <c r="K837" t="s" s="2">
        <v>22</v>
      </c>
      <c r="L837" t="s" s="2">
        <v>22</v>
      </c>
      <c r="M837" t="s" s="2">
        <v>22</v>
      </c>
    </row>
    <row r="838" ht="25.0" customHeight="true">
      <c r="A838" t="s" s="2">
        <v>13</v>
      </c>
      <c r="B838" t="s" s="2">
        <f>HYPERLINK("http://ts.21cn.com/tousu/show/id/1373254","嗨钱网还款了不入账一直显示逾期")</f>
      </c>
      <c r="C838" t="s" s="2">
        <v>15</v>
      </c>
      <c r="D838" t="s" s="2">
        <v>16</v>
      </c>
      <c r="E838" t="s" s="2">
        <v>17</v>
      </c>
      <c r="F838" t="s" s="2">
        <f>HYPERLINK("http://ts.21cn.com/tousu/show/id/1373254","http://ts.21cn.com/tousu/show/id/1373254")</f>
      </c>
      <c r="G838" t="s" s="2">
        <v>17</v>
      </c>
      <c r="H838" t="s" s="2">
        <v>19</v>
      </c>
      <c r="I838" t="s" s="2">
        <v>3317</v>
      </c>
      <c r="J838" t="s" s="2">
        <v>3318</v>
      </c>
      <c r="K838" t="s" s="2">
        <v>22</v>
      </c>
      <c r="L838" t="s" s="2">
        <v>22</v>
      </c>
      <c r="M838" t="s" s="2">
        <v>22</v>
      </c>
    </row>
    <row r="839" ht="25.0" customHeight="true">
      <c r="A839" t="s" s="2">
        <v>13</v>
      </c>
      <c r="B839" t="s" s="2">
        <f>HYPERLINK("http://ts.21cn.com/tousu/show/id/1373252","高利贷。群爆通许录。骂人")</f>
      </c>
      <c r="C839" t="s" s="2">
        <v>15</v>
      </c>
      <c r="D839" t="s" s="2">
        <v>16</v>
      </c>
      <c r="E839" t="s" s="2">
        <v>17</v>
      </c>
      <c r="F839" t="s" s="2">
        <f>HYPERLINK("http://ts.21cn.com/tousu/show/id/1373252","http://ts.21cn.com/tousu/show/id/1373252")</f>
      </c>
      <c r="G839" t="s" s="2">
        <v>17</v>
      </c>
      <c r="H839" t="s" s="2">
        <v>19</v>
      </c>
      <c r="I839" t="s" s="2">
        <v>3317</v>
      </c>
      <c r="J839" t="s" s="2">
        <v>3321</v>
      </c>
      <c r="K839" t="s" s="2">
        <v>22</v>
      </c>
      <c r="L839" t="s" s="2">
        <v>22</v>
      </c>
      <c r="M839" t="s" s="2">
        <v>22</v>
      </c>
    </row>
    <row r="840" ht="25.0" customHeight="true">
      <c r="A840" t="s" s="2">
        <v>13</v>
      </c>
      <c r="B840" t="s" s="2">
        <f>HYPERLINK("http://ts.21cn.com/tousu/show/id/1373249","解除合约别再恐吓我了让我生活归于以前的安静")</f>
      </c>
      <c r="C840" t="s" s="2">
        <v>15</v>
      </c>
      <c r="D840" t="s" s="2">
        <v>16</v>
      </c>
      <c r="E840" t="s" s="2">
        <v>17</v>
      </c>
      <c r="F840" t="s" s="2">
        <f>HYPERLINK("http://ts.21cn.com/tousu/show/id/1373249","http://ts.21cn.com/tousu/show/id/1373249")</f>
      </c>
      <c r="G840" t="s" s="2">
        <v>17</v>
      </c>
      <c r="H840" t="s" s="2">
        <v>19</v>
      </c>
      <c r="I840" t="s" s="2">
        <v>3324</v>
      </c>
      <c r="J840" t="s" s="2">
        <v>3325</v>
      </c>
      <c r="K840" t="s" s="2">
        <v>22</v>
      </c>
      <c r="L840" t="s" s="2">
        <v>22</v>
      </c>
      <c r="M840" t="s" s="2">
        <v>22</v>
      </c>
    </row>
    <row r="841" ht="25.0" customHeight="true">
      <c r="A841" t="s" s="2">
        <v>13</v>
      </c>
      <c r="B841" t="s" s="2">
        <f>HYPERLINK("http://ts.21cn.com/tousu/show/id/1373248","高额回报诱导充值不给提现")</f>
      </c>
      <c r="C841" t="s" s="2">
        <v>15</v>
      </c>
      <c r="D841" t="s" s="2">
        <v>16</v>
      </c>
      <c r="E841" t="s" s="2">
        <v>17</v>
      </c>
      <c r="F841" t="s" s="2">
        <f>HYPERLINK("http://ts.21cn.com/tousu/show/id/1373248","http://ts.21cn.com/tousu/show/id/1373248")</f>
      </c>
      <c r="G841" t="s" s="2">
        <v>17</v>
      </c>
      <c r="H841" t="s" s="2">
        <v>19</v>
      </c>
      <c r="I841" t="s" s="2">
        <v>3328</v>
      </c>
      <c r="J841" t="s" s="2">
        <v>3329</v>
      </c>
      <c r="K841" t="s" s="2">
        <v>22</v>
      </c>
      <c r="L841" t="s" s="2">
        <v>22</v>
      </c>
      <c r="M841" t="s" s="2">
        <v>22</v>
      </c>
    </row>
    <row r="842" ht="25.0" customHeight="true">
      <c r="A842" t="s" s="2">
        <v>13</v>
      </c>
      <c r="B842" t="s" s="2">
        <f>HYPERLINK("http://ts.21cn.com/tousu/show/id/1373247","没有借款打电话叫我还款")</f>
      </c>
      <c r="C842" t="s" s="2">
        <v>15</v>
      </c>
      <c r="D842" t="s" s="2">
        <v>16</v>
      </c>
      <c r="E842" t="s" s="2">
        <v>17</v>
      </c>
      <c r="F842" t="s" s="2">
        <f>HYPERLINK("http://ts.21cn.com/tousu/show/id/1373247","http://ts.21cn.com/tousu/show/id/1373247")</f>
      </c>
      <c r="G842" t="s" s="2">
        <v>17</v>
      </c>
      <c r="H842" t="s" s="2">
        <v>19</v>
      </c>
      <c r="I842" t="s" s="2">
        <v>3332</v>
      </c>
      <c r="J842" t="s" s="2">
        <v>3333</v>
      </c>
      <c r="K842" t="s" s="2">
        <v>22</v>
      </c>
      <c r="L842" t="s" s="2">
        <v>22</v>
      </c>
      <c r="M842" t="s" s="2">
        <v>22</v>
      </c>
    </row>
    <row r="843" ht="25.0" customHeight="true">
      <c r="A843" t="s" s="2">
        <v>13</v>
      </c>
      <c r="B843" t="s" s="2">
        <f>HYPERLINK("http://ts.21cn.com/tousu/show/id/1373246","接乘客导致的违停罚款200扣3分滴滴不给报销")</f>
      </c>
      <c r="C843" t="s" s="2">
        <v>15</v>
      </c>
      <c r="D843" t="s" s="2">
        <v>16</v>
      </c>
      <c r="E843" t="s" s="2">
        <v>17</v>
      </c>
      <c r="F843" t="s" s="2">
        <f>HYPERLINK("http://ts.21cn.com/tousu/show/id/1373246","http://ts.21cn.com/tousu/show/id/1373246")</f>
      </c>
      <c r="G843" t="s" s="2">
        <v>17</v>
      </c>
      <c r="H843" t="s" s="2">
        <v>19</v>
      </c>
      <c r="I843" t="s" s="2">
        <v>3336</v>
      </c>
      <c r="J843" t="s" s="2">
        <v>3337</v>
      </c>
      <c r="K843" t="s" s="2">
        <v>22</v>
      </c>
      <c r="L843" t="s" s="2">
        <v>22</v>
      </c>
      <c r="M843" t="s" s="2">
        <v>22</v>
      </c>
    </row>
    <row r="844" ht="25.0" customHeight="true">
      <c r="A844" t="s" s="2">
        <v>13</v>
      </c>
      <c r="B844" t="s" s="2">
        <f>HYPERLINK("http://ts.21cn.com/tousu/show/id/1373244","钱站恶意催收，阴阳合同，发送辱骂短信")</f>
      </c>
      <c r="C844" t="s" s="2">
        <v>15</v>
      </c>
      <c r="D844" t="s" s="2">
        <v>16</v>
      </c>
      <c r="E844" t="s" s="2">
        <v>17</v>
      </c>
      <c r="F844" t="s" s="2">
        <f>HYPERLINK("http://ts.21cn.com/tousu/show/id/1373244","http://ts.21cn.com/tousu/show/id/1373244")</f>
      </c>
      <c r="G844" t="s" s="2">
        <v>17</v>
      </c>
      <c r="H844" t="s" s="2">
        <v>19</v>
      </c>
      <c r="I844" t="s" s="2">
        <v>3340</v>
      </c>
      <c r="J844" t="s" s="2">
        <v>3341</v>
      </c>
      <c r="K844" t="s" s="2">
        <v>22</v>
      </c>
      <c r="L844" t="s" s="2">
        <v>22</v>
      </c>
      <c r="M844" t="s" s="2">
        <v>22</v>
      </c>
    </row>
    <row r="845" ht="25.0" customHeight="true">
      <c r="A845" t="s" s="2">
        <v>13</v>
      </c>
      <c r="B845" t="s" s="2">
        <f>HYPERLINK("http://ts.21cn.com/tousu/show/id/1373245","马上消费金融恶意轰炸")</f>
      </c>
      <c r="C845" t="s" s="2">
        <v>15</v>
      </c>
      <c r="D845" t="s" s="2">
        <v>16</v>
      </c>
      <c r="E845" t="s" s="2">
        <v>17</v>
      </c>
      <c r="F845" t="s" s="2">
        <f>HYPERLINK("http://ts.21cn.com/tousu/show/id/1373245","http://ts.21cn.com/tousu/show/id/1373245")</f>
      </c>
      <c r="G845" t="s" s="2">
        <v>17</v>
      </c>
      <c r="H845" t="s" s="2">
        <v>19</v>
      </c>
      <c r="I845" t="s" s="2">
        <v>3344</v>
      </c>
      <c r="J845" t="s" s="2">
        <v>3345</v>
      </c>
      <c r="K845" t="s" s="2">
        <v>22</v>
      </c>
      <c r="L845" t="s" s="2">
        <v>22</v>
      </c>
      <c r="M845" t="s" s="2">
        <v>22</v>
      </c>
    </row>
    <row r="846" ht="25.0" customHeight="true">
      <c r="A846" t="s" s="2">
        <v>13</v>
      </c>
      <c r="B846" t="s" s="2">
        <f>HYPERLINK("http://ts.21cn.com/tousu/show/id/1373241","新浪有借联合玖富收取高额服务费暴力催收威胁恐吓本人不给协商处理")</f>
      </c>
      <c r="C846" t="s" s="2">
        <v>15</v>
      </c>
      <c r="D846" t="s" s="2">
        <v>16</v>
      </c>
      <c r="E846" t="s" s="2">
        <v>17</v>
      </c>
      <c r="F846" t="s" s="2">
        <f>HYPERLINK("http://ts.21cn.com/tousu/show/id/1373241","http://ts.21cn.com/tousu/show/id/1373241")</f>
      </c>
      <c r="G846" t="s" s="2">
        <v>17</v>
      </c>
      <c r="H846" t="s" s="2">
        <v>19</v>
      </c>
      <c r="I846" t="s" s="2">
        <v>3348</v>
      </c>
      <c r="J846" t="s" s="2">
        <v>3349</v>
      </c>
      <c r="K846" t="s" s="2">
        <v>22</v>
      </c>
      <c r="L846" t="s" s="2">
        <v>22</v>
      </c>
      <c r="M846" t="s" s="2">
        <v>22</v>
      </c>
    </row>
    <row r="847" ht="25.0" customHeight="true">
      <c r="A847" t="s" s="2">
        <v>13</v>
      </c>
      <c r="B847" t="s" s="2">
        <f>HYPERLINK("http://ts.21cn.com/tousu/show/id/1373240","协融借（原手机借钱）放714高利贷")</f>
      </c>
      <c r="C847" t="s" s="2">
        <v>15</v>
      </c>
      <c r="D847" t="s" s="2">
        <v>16</v>
      </c>
      <c r="E847" t="s" s="2">
        <v>17</v>
      </c>
      <c r="F847" t="s" s="2">
        <f>HYPERLINK("http://ts.21cn.com/tousu/show/id/1373240","http://ts.21cn.com/tousu/show/id/1373240")</f>
      </c>
      <c r="G847" t="s" s="2">
        <v>17</v>
      </c>
      <c r="H847" t="s" s="2">
        <v>19</v>
      </c>
      <c r="I847" t="s" s="2">
        <v>3352</v>
      </c>
      <c r="J847" t="s" s="2">
        <v>3353</v>
      </c>
      <c r="K847" t="s" s="2">
        <v>22</v>
      </c>
      <c r="L847" t="s" s="2">
        <v>22</v>
      </c>
      <c r="M847" t="s" s="2">
        <v>22</v>
      </c>
    </row>
    <row r="848" ht="25.0" customHeight="true">
      <c r="A848" t="s" s="2">
        <v>13</v>
      </c>
      <c r="B848" t="s" s="2">
        <f>HYPERLINK("http://ts.21cn.com/tousu/show/id/1373239","汽车理赔一直不解决已经一年了")</f>
      </c>
      <c r="C848" t="s" s="2">
        <v>15</v>
      </c>
      <c r="D848" t="s" s="2">
        <v>16</v>
      </c>
      <c r="E848" t="s" s="2">
        <v>17</v>
      </c>
      <c r="F848" t="s" s="2">
        <f>HYPERLINK("http://ts.21cn.com/tousu/show/id/1373239","http://ts.21cn.com/tousu/show/id/1373239")</f>
      </c>
      <c r="G848" t="s" s="2">
        <v>17</v>
      </c>
      <c r="H848" t="s" s="2">
        <v>19</v>
      </c>
      <c r="I848" t="s" s="2">
        <v>3356</v>
      </c>
      <c r="J848" t="s" s="2">
        <v>3357</v>
      </c>
      <c r="K848" t="s" s="2">
        <v>22</v>
      </c>
      <c r="L848" t="s" s="2">
        <v>22</v>
      </c>
      <c r="M848" t="s" s="2">
        <v>22</v>
      </c>
    </row>
    <row r="849" ht="25.0" customHeight="true">
      <c r="A849" t="s" s="2">
        <v>13</v>
      </c>
      <c r="B849" t="s" s="2">
        <f>HYPERLINK("http://ts.21cn.com/tousu/show/id/1373242","腾安基金销售（深圳）无故扣费")</f>
      </c>
      <c r="C849" t="s" s="2">
        <v>15</v>
      </c>
      <c r="D849" t="s" s="2">
        <v>16</v>
      </c>
      <c r="E849" t="s" s="2">
        <v>17</v>
      </c>
      <c r="F849" t="s" s="2">
        <f>HYPERLINK("http://ts.21cn.com/tousu/show/id/1373242","http://ts.21cn.com/tousu/show/id/1373242")</f>
      </c>
      <c r="G849" t="s" s="2">
        <v>17</v>
      </c>
      <c r="H849" t="s" s="2">
        <v>19</v>
      </c>
      <c r="I849" t="s" s="2">
        <v>3360</v>
      </c>
      <c r="J849" t="s" s="2">
        <v>3361</v>
      </c>
      <c r="K849" t="s" s="2">
        <v>22</v>
      </c>
      <c r="L849" t="s" s="2">
        <v>22</v>
      </c>
      <c r="M849" t="s" s="2">
        <v>22</v>
      </c>
    </row>
    <row r="850" ht="25.0" customHeight="true">
      <c r="A850" t="s" s="2">
        <v>13</v>
      </c>
      <c r="B850" t="s" s="2">
        <f>HYPERLINK("http://ts.21cn.com/tousu/show/id/1373238","升学教育机构不退款")</f>
      </c>
      <c r="C850" t="s" s="2">
        <v>15</v>
      </c>
      <c r="D850" t="s" s="2">
        <v>16</v>
      </c>
      <c r="E850" t="s" s="2">
        <v>17</v>
      </c>
      <c r="F850" t="s" s="2">
        <f>HYPERLINK("http://ts.21cn.com/tousu/show/id/1373238","http://ts.21cn.com/tousu/show/id/1373238")</f>
      </c>
      <c r="G850" t="s" s="2">
        <v>17</v>
      </c>
      <c r="H850" t="s" s="2">
        <v>19</v>
      </c>
      <c r="I850" t="s" s="2">
        <v>3363</v>
      </c>
      <c r="J850" t="s" s="2">
        <v>3364</v>
      </c>
      <c r="K850" t="s" s="2">
        <v>22</v>
      </c>
      <c r="L850" t="s" s="2">
        <v>22</v>
      </c>
      <c r="M850" t="s" s="2">
        <v>22</v>
      </c>
    </row>
    <row r="851" ht="25.0" customHeight="true">
      <c r="A851" t="s" s="2">
        <v>13</v>
      </c>
      <c r="B851" t="s" s="2">
        <f>HYPERLINK("http://ts.21cn.com/tousu/show/id/1373237","点点暴力催收")</f>
      </c>
      <c r="C851" t="s" s="2">
        <v>15</v>
      </c>
      <c r="D851" t="s" s="2">
        <v>16</v>
      </c>
      <c r="E851" t="s" s="2">
        <v>17</v>
      </c>
      <c r="F851" t="s" s="2">
        <f>HYPERLINK("http://ts.21cn.com/tousu/show/id/1373237","http://ts.21cn.com/tousu/show/id/1373237")</f>
      </c>
      <c r="G851" t="s" s="2">
        <v>17</v>
      </c>
      <c r="H851" t="s" s="2">
        <v>19</v>
      </c>
      <c r="I851" t="s" s="2">
        <v>3367</v>
      </c>
      <c r="J851" t="s" s="2">
        <v>3368</v>
      </c>
      <c r="K851" t="s" s="2">
        <v>22</v>
      </c>
      <c r="L851" t="s" s="2">
        <v>22</v>
      </c>
      <c r="M851" t="s" s="2">
        <v>22</v>
      </c>
    </row>
    <row r="852" ht="25.0" customHeight="true">
      <c r="A852" t="s" s="2">
        <v>13</v>
      </c>
      <c r="B852" t="s" s="2">
        <f>HYPERLINK("http://ts.21cn.com/tousu/show/id/1373235","嗨学网诱导消费者签订霸王条款，不退费")</f>
      </c>
      <c r="C852" t="s" s="2">
        <v>15</v>
      </c>
      <c r="D852" t="s" s="2">
        <v>16</v>
      </c>
      <c r="E852" t="s" s="2">
        <v>17</v>
      </c>
      <c r="F852" t="s" s="2">
        <f>HYPERLINK("http://ts.21cn.com/tousu/show/id/1373235","http://ts.21cn.com/tousu/show/id/1373235")</f>
      </c>
      <c r="G852" t="s" s="2">
        <v>17</v>
      </c>
      <c r="H852" t="s" s="2">
        <v>19</v>
      </c>
      <c r="I852" t="s" s="2">
        <v>3371</v>
      </c>
      <c r="J852" t="s" s="2">
        <v>3372</v>
      </c>
      <c r="K852" t="s" s="2">
        <v>22</v>
      </c>
      <c r="L852" t="s" s="2">
        <v>22</v>
      </c>
      <c r="M852" t="s" s="2">
        <v>22</v>
      </c>
    </row>
    <row r="853" ht="25.0" customHeight="true">
      <c r="A853" t="s" s="2">
        <v>13</v>
      </c>
      <c r="B853" t="s" s="2">
        <f>HYPERLINK("http://ts.21cn.com/tousu/show/id/1373234","我被人报案说欠什么请你贷的钱，突然短信和电话，我一脸懵逼")</f>
      </c>
      <c r="C853" t="s" s="2">
        <v>15</v>
      </c>
      <c r="D853" t="s" s="2">
        <v>16</v>
      </c>
      <c r="E853" t="s" s="2">
        <v>17</v>
      </c>
      <c r="F853" t="s" s="2">
        <f>HYPERLINK("http://ts.21cn.com/tousu/show/id/1373234","http://ts.21cn.com/tousu/show/id/1373234")</f>
      </c>
      <c r="G853" t="s" s="2">
        <v>17</v>
      </c>
      <c r="H853" t="s" s="2">
        <v>19</v>
      </c>
      <c r="I853" t="s" s="2">
        <v>3375</v>
      </c>
      <c r="J853" t="s" s="2">
        <v>3376</v>
      </c>
      <c r="K853" t="s" s="2">
        <v>22</v>
      </c>
      <c r="L853" t="s" s="2">
        <v>22</v>
      </c>
      <c r="M853" t="s" s="2">
        <v>22</v>
      </c>
    </row>
    <row r="854" ht="25.0" customHeight="true">
      <c r="A854" t="s" s="2">
        <v>13</v>
      </c>
      <c r="B854" t="s" s="2">
        <f>HYPERLINK("http://ts.21cn.com/tousu/show/id/1373233","乱扣款")</f>
      </c>
      <c r="C854" t="s" s="2">
        <v>15</v>
      </c>
      <c r="D854" t="s" s="2">
        <v>16</v>
      </c>
      <c r="E854" t="s" s="2">
        <v>17</v>
      </c>
      <c r="F854" t="s" s="2">
        <f>HYPERLINK("http://ts.21cn.com/tousu/show/id/1373233","http://ts.21cn.com/tousu/show/id/1373233")</f>
      </c>
      <c r="G854" t="s" s="2">
        <v>17</v>
      </c>
      <c r="H854" t="s" s="2">
        <v>19</v>
      </c>
      <c r="I854" t="s" s="2">
        <v>3379</v>
      </c>
      <c r="J854" t="s" s="2">
        <v>3380</v>
      </c>
      <c r="K854" t="s" s="2">
        <v>22</v>
      </c>
      <c r="L854" t="s" s="2">
        <v>22</v>
      </c>
      <c r="M854" t="s" s="2">
        <v>22</v>
      </c>
    </row>
    <row r="855" ht="25.0" customHeight="true">
      <c r="A855" t="s" s="2">
        <v>13</v>
      </c>
      <c r="B855" t="s" s="2">
        <f>HYPERLINK("http://ts.21cn.com/tousu/show/id/1373232","餐品撒漏，商家不退款")</f>
      </c>
      <c r="C855" t="s" s="2">
        <v>15</v>
      </c>
      <c r="D855" t="s" s="2">
        <v>16</v>
      </c>
      <c r="E855" t="s" s="2">
        <v>17</v>
      </c>
      <c r="F855" t="s" s="2">
        <f>HYPERLINK("http://ts.21cn.com/tousu/show/id/1373232","http://ts.21cn.com/tousu/show/id/1373232")</f>
      </c>
      <c r="G855" t="s" s="2">
        <v>17</v>
      </c>
      <c r="H855" t="s" s="2">
        <v>19</v>
      </c>
      <c r="I855" t="s" s="2">
        <v>3383</v>
      </c>
      <c r="J855" t="s" s="2">
        <v>3384</v>
      </c>
      <c r="K855" t="s" s="2">
        <v>22</v>
      </c>
      <c r="L855" t="s" s="2">
        <v>22</v>
      </c>
      <c r="M855" t="s" s="2">
        <v>22</v>
      </c>
    </row>
    <row r="856" ht="25.0" customHeight="true">
      <c r="A856" t="s" s="2">
        <v>13</v>
      </c>
      <c r="B856" t="s" s="2">
        <f>HYPERLINK("http://ts.21cn.com/tousu/show/id/1373231","招联金融暴力催收")</f>
      </c>
      <c r="C856" t="s" s="2">
        <v>15</v>
      </c>
      <c r="D856" t="s" s="2">
        <v>16</v>
      </c>
      <c r="E856" t="s" s="2">
        <v>17</v>
      </c>
      <c r="F856" t="s" s="2">
        <f>HYPERLINK("http://ts.21cn.com/tousu/show/id/1373231","http://ts.21cn.com/tousu/show/id/1373231")</f>
      </c>
      <c r="G856" t="s" s="2">
        <v>17</v>
      </c>
      <c r="H856" t="s" s="2">
        <v>19</v>
      </c>
      <c r="I856" t="s" s="2">
        <v>3387</v>
      </c>
      <c r="J856" t="s" s="2">
        <v>3388</v>
      </c>
      <c r="K856" t="s" s="2">
        <v>22</v>
      </c>
      <c r="L856" t="s" s="2">
        <v>22</v>
      </c>
      <c r="M856" t="s" s="2">
        <v>22</v>
      </c>
    </row>
    <row r="857" ht="25.0" customHeight="true">
      <c r="A857" t="s" s="2">
        <v>13</v>
      </c>
      <c r="B857" t="s" s="2">
        <f>HYPERLINK("http://ts.21cn.com/tousu/show/id/1373230","没有收到货，京东商城不退款")</f>
      </c>
      <c r="C857" t="s" s="2">
        <v>15</v>
      </c>
      <c r="D857" t="s" s="2">
        <v>16</v>
      </c>
      <c r="E857" t="s" s="2">
        <v>17</v>
      </c>
      <c r="F857" t="s" s="2">
        <f>HYPERLINK("http://ts.21cn.com/tousu/show/id/1373230","http://ts.21cn.com/tousu/show/id/1373230")</f>
      </c>
      <c r="G857" t="s" s="2">
        <v>17</v>
      </c>
      <c r="H857" t="s" s="2">
        <v>19</v>
      </c>
      <c r="I857" t="s" s="2">
        <v>3391</v>
      </c>
      <c r="J857" t="s" s="2">
        <v>3392</v>
      </c>
      <c r="K857" t="s" s="2">
        <v>22</v>
      </c>
      <c r="L857" t="s" s="2">
        <v>22</v>
      </c>
      <c r="M857" t="s" s="2">
        <v>22</v>
      </c>
    </row>
    <row r="858" ht="25.0" customHeight="true">
      <c r="A858" t="s" s="2">
        <v>13</v>
      </c>
      <c r="B858" t="s" s="2">
        <f>HYPERLINK("http://ts.21cn.com/tousu/show/id/1373229","招商银行信用卡收取高额利息和违约金")</f>
      </c>
      <c r="C858" t="s" s="2">
        <v>15</v>
      </c>
      <c r="D858" t="s" s="2">
        <v>16</v>
      </c>
      <c r="E858" t="s" s="2">
        <v>17</v>
      </c>
      <c r="F858" t="s" s="2">
        <f>HYPERLINK("http://ts.21cn.com/tousu/show/id/1373229","http://ts.21cn.com/tousu/show/id/1373229")</f>
      </c>
      <c r="G858" t="s" s="2">
        <v>17</v>
      </c>
      <c r="H858" t="s" s="2">
        <v>19</v>
      </c>
      <c r="I858" t="s" s="2">
        <v>3395</v>
      </c>
      <c r="J858" t="s" s="2">
        <v>3396</v>
      </c>
      <c r="K858" t="s" s="2">
        <v>22</v>
      </c>
      <c r="L858" t="s" s="2">
        <v>22</v>
      </c>
      <c r="M858" t="s" s="2">
        <v>22</v>
      </c>
    </row>
    <row r="859" ht="25.0" customHeight="true">
      <c r="A859" t="s" s="2">
        <v>13</v>
      </c>
      <c r="B859" t="s" s="2">
        <f>HYPERLINK("http://ts.21cn.com/tousu/show/id/1373228","滴滴出行诬陷我线下交易")</f>
      </c>
      <c r="C859" t="s" s="2">
        <v>15</v>
      </c>
      <c r="D859" t="s" s="2">
        <v>16</v>
      </c>
      <c r="E859" t="s" s="2">
        <v>17</v>
      </c>
      <c r="F859" t="s" s="2">
        <f>HYPERLINK("http://ts.21cn.com/tousu/show/id/1373228","http://ts.21cn.com/tousu/show/id/1373228")</f>
      </c>
      <c r="G859" t="s" s="2">
        <v>17</v>
      </c>
      <c r="H859" t="s" s="2">
        <v>19</v>
      </c>
      <c r="I859" t="s" s="2">
        <v>3399</v>
      </c>
      <c r="J859" t="s" s="2">
        <v>3400</v>
      </c>
      <c r="K859" t="s" s="2">
        <v>22</v>
      </c>
      <c r="L859" t="s" s="2">
        <v>22</v>
      </c>
      <c r="M859" t="s" s="2">
        <v>22</v>
      </c>
    </row>
    <row r="860" ht="25.0" customHeight="true">
      <c r="A860" t="s" s="2">
        <v>13</v>
      </c>
      <c r="B860" t="s" s="2">
        <f>HYPERLINK("http://ts.21cn.com/tousu/show/id/1373227","小象优品再次威胁爆通讯录，骚扰联系人")</f>
      </c>
      <c r="C860" t="s" s="2">
        <v>15</v>
      </c>
      <c r="D860" t="s" s="2">
        <v>16</v>
      </c>
      <c r="E860" t="s" s="2">
        <v>17</v>
      </c>
      <c r="F860" t="s" s="2">
        <f>HYPERLINK("http://ts.21cn.com/tousu/show/id/1373227","http://ts.21cn.com/tousu/show/id/1373227")</f>
      </c>
      <c r="G860" t="s" s="2">
        <v>17</v>
      </c>
      <c r="H860" t="s" s="2">
        <v>19</v>
      </c>
      <c r="I860" t="s" s="2">
        <v>3403</v>
      </c>
      <c r="J860" t="s" s="2">
        <v>3404</v>
      </c>
      <c r="K860" t="s" s="2">
        <v>22</v>
      </c>
      <c r="L860" t="s" s="2">
        <v>22</v>
      </c>
      <c r="M860" t="s" s="2">
        <v>22</v>
      </c>
    </row>
    <row r="861" ht="25.0" customHeight="true">
      <c r="A861" t="s" s="2">
        <v>13</v>
      </c>
      <c r="B861" t="s" s="2">
        <f>HYPERLINK("http://ts.21cn.com/tousu/show/id/1373226","快来花威胁辱骂")</f>
      </c>
      <c r="C861" t="s" s="2">
        <v>15</v>
      </c>
      <c r="D861" t="s" s="2">
        <v>16</v>
      </c>
      <c r="E861" t="s" s="2">
        <v>17</v>
      </c>
      <c r="F861" t="s" s="2">
        <f>HYPERLINK("http://ts.21cn.com/tousu/show/id/1373226","http://ts.21cn.com/tousu/show/id/1373226")</f>
      </c>
      <c r="G861" t="s" s="2">
        <v>17</v>
      </c>
      <c r="H861" t="s" s="2">
        <v>19</v>
      </c>
      <c r="I861" t="s" s="2">
        <v>3407</v>
      </c>
      <c r="J861" t="s" s="2">
        <v>3408</v>
      </c>
      <c r="K861" t="s" s="2">
        <v>22</v>
      </c>
      <c r="L861" t="s" s="2">
        <v>22</v>
      </c>
      <c r="M861" t="s" s="2">
        <v>22</v>
      </c>
    </row>
    <row r="862" ht="25.0" customHeight="true">
      <c r="A862" t="s" s="2">
        <v>13</v>
      </c>
      <c r="B862" t="s" s="2">
        <f>HYPERLINK("http://ts.21cn.com/tousu/show/id/1373225","招联金融威胁我")</f>
      </c>
      <c r="C862" t="s" s="2">
        <v>15</v>
      </c>
      <c r="D862" t="s" s="2">
        <v>16</v>
      </c>
      <c r="E862" t="s" s="2">
        <v>17</v>
      </c>
      <c r="F862" t="s" s="2">
        <f>HYPERLINK("http://ts.21cn.com/tousu/show/id/1373225","http://ts.21cn.com/tousu/show/id/1373225")</f>
      </c>
      <c r="G862" t="s" s="2">
        <v>17</v>
      </c>
      <c r="H862" t="s" s="2">
        <v>19</v>
      </c>
      <c r="I862" t="s" s="2">
        <v>3411</v>
      </c>
      <c r="J862" t="s" s="2">
        <v>3412</v>
      </c>
      <c r="K862" t="s" s="2">
        <v>22</v>
      </c>
      <c r="L862" t="s" s="2">
        <v>22</v>
      </c>
      <c r="M862" t="s" s="2">
        <v>22</v>
      </c>
    </row>
    <row r="863" ht="25.0" customHeight="true">
      <c r="A863" t="s" s="2">
        <v>13</v>
      </c>
      <c r="B863" t="s" s="2">
        <f>HYPERLINK("http://ts.21cn.com/tousu/show/id/1373224","玖富万卡高利贷，阴阳合同")</f>
      </c>
      <c r="C863" t="s" s="2">
        <v>15</v>
      </c>
      <c r="D863" t="s" s="2">
        <v>16</v>
      </c>
      <c r="E863" t="s" s="2">
        <v>17</v>
      </c>
      <c r="F863" t="s" s="2">
        <f>HYPERLINK("http://ts.21cn.com/tousu/show/id/1373224","http://ts.21cn.com/tousu/show/id/1373224")</f>
      </c>
      <c r="G863" t="s" s="2">
        <v>17</v>
      </c>
      <c r="H863" t="s" s="2">
        <v>19</v>
      </c>
      <c r="I863" t="s" s="2">
        <v>3415</v>
      </c>
      <c r="J863" t="s" s="2">
        <v>3416</v>
      </c>
      <c r="K863" t="s" s="2">
        <v>22</v>
      </c>
      <c r="L863" t="s" s="2">
        <v>22</v>
      </c>
      <c r="M863" t="s" s="2">
        <v>22</v>
      </c>
    </row>
    <row r="864" ht="25.0" customHeight="true">
      <c r="A864" t="s" s="2">
        <v>13</v>
      </c>
      <c r="B864" t="s" s="2">
        <f>HYPERLINK("http://ts.21cn.com/tousu/show/id/1373223","给高利贷做平台洗黑钱")</f>
      </c>
      <c r="C864" t="s" s="2">
        <v>15</v>
      </c>
      <c r="D864" t="s" s="2">
        <v>16</v>
      </c>
      <c r="E864" t="s" s="2">
        <v>17</v>
      </c>
      <c r="F864" t="s" s="2">
        <f>HYPERLINK("http://ts.21cn.com/tousu/show/id/1373223","http://ts.21cn.com/tousu/show/id/1373223")</f>
      </c>
      <c r="G864" t="s" s="2">
        <v>17</v>
      </c>
      <c r="H864" t="s" s="2">
        <v>19</v>
      </c>
      <c r="I864" t="s" s="2">
        <v>3419</v>
      </c>
      <c r="J864" t="s" s="2">
        <v>3420</v>
      </c>
      <c r="K864" t="s" s="2">
        <v>22</v>
      </c>
      <c r="L864" t="s" s="2">
        <v>22</v>
      </c>
      <c r="M864" t="s" s="2">
        <v>22</v>
      </c>
    </row>
    <row r="865" ht="25.0" customHeight="true">
      <c r="A865" t="s" s="2">
        <v>13</v>
      </c>
      <c r="B865" t="s" s="2">
        <f>HYPERLINK("http://ts.21cn.com/tousu/show/id/1373222","闪银借款强制性购物。客诉平台不作为")</f>
      </c>
      <c r="C865" t="s" s="2">
        <v>15</v>
      </c>
      <c r="D865" t="s" s="2">
        <v>16</v>
      </c>
      <c r="E865" t="s" s="2">
        <v>17</v>
      </c>
      <c r="F865" t="s" s="2">
        <f>HYPERLINK("http://ts.21cn.com/tousu/show/id/1373222","http://ts.21cn.com/tousu/show/id/1373222")</f>
      </c>
      <c r="G865" t="s" s="2">
        <v>17</v>
      </c>
      <c r="H865" t="s" s="2">
        <v>19</v>
      </c>
      <c r="I865" t="s" s="2">
        <v>3419</v>
      </c>
      <c r="J865" t="s" s="2">
        <v>3423</v>
      </c>
      <c r="K865" t="s" s="2">
        <v>22</v>
      </c>
      <c r="L865" t="s" s="2">
        <v>22</v>
      </c>
      <c r="M865" t="s" s="2">
        <v>22</v>
      </c>
    </row>
    <row r="866" ht="25.0" customHeight="true">
      <c r="A866" t="s" s="2">
        <v>13</v>
      </c>
      <c r="B866" t="s" s="2">
        <f>HYPERLINK("http://ts.21cn.com/tousu/show/id/1373221","快易花催收承诺还清就可以恢复账号，还清就拉黑")</f>
      </c>
      <c r="C866" t="s" s="2">
        <v>52</v>
      </c>
      <c r="D866" t="s" s="2">
        <v>16</v>
      </c>
      <c r="E866" t="s" s="2">
        <v>17</v>
      </c>
      <c r="F866" t="s" s="2">
        <f>HYPERLINK("http://ts.21cn.com/tousu/show/id/1373221","http://ts.21cn.com/tousu/show/id/1373221")</f>
      </c>
      <c r="G866" t="s" s="2">
        <v>17</v>
      </c>
      <c r="H866" t="s" s="2">
        <v>19</v>
      </c>
      <c r="I866" t="s" s="2">
        <v>3426</v>
      </c>
      <c r="J866" t="s" s="2">
        <v>3427</v>
      </c>
      <c r="K866" t="s" s="2">
        <v>22</v>
      </c>
      <c r="L866" t="s" s="2">
        <v>22</v>
      </c>
      <c r="M866" t="s" s="2">
        <v>22</v>
      </c>
    </row>
    <row r="867" ht="25.0" customHeight="true">
      <c r="A867" t="s" s="2">
        <v>13</v>
      </c>
      <c r="B867" t="s" s="2">
        <f>HYPERLINK("http://ts.21cn.com/tousu/show/id/1373220","我来贷我来数科")</f>
      </c>
      <c r="C867" t="s" s="2">
        <v>15</v>
      </c>
      <c r="D867" t="s" s="2">
        <v>16</v>
      </c>
      <c r="E867" t="s" s="2">
        <v>17</v>
      </c>
      <c r="F867" t="s" s="2">
        <f>HYPERLINK("http://ts.21cn.com/tousu/show/id/1373220","http://ts.21cn.com/tousu/show/id/1373220")</f>
      </c>
      <c r="G867" t="s" s="2">
        <v>17</v>
      </c>
      <c r="H867" t="s" s="2">
        <v>19</v>
      </c>
      <c r="I867" t="s" s="2">
        <v>3430</v>
      </c>
      <c r="J867" t="s" s="2">
        <v>3431</v>
      </c>
      <c r="K867" t="s" s="2">
        <v>22</v>
      </c>
      <c r="L867" t="s" s="2">
        <v>22</v>
      </c>
      <c r="M867" t="s" s="2">
        <v>22</v>
      </c>
    </row>
    <row r="868" ht="25.0" customHeight="true">
      <c r="A868" t="s" s="2">
        <v>13</v>
      </c>
      <c r="B868" t="s" s="2">
        <f>HYPERLINK("http://ts.21cn.com/tousu/show/id/1373219","my钱包暴力催收高利贷威胁恐吓")</f>
      </c>
      <c r="C868" t="s" s="2">
        <v>15</v>
      </c>
      <c r="D868" t="s" s="2">
        <v>16</v>
      </c>
      <c r="E868" t="s" s="2">
        <v>17</v>
      </c>
      <c r="F868" t="s" s="2">
        <f>HYPERLINK("http://ts.21cn.com/tousu/show/id/1373219","http://ts.21cn.com/tousu/show/id/1373219")</f>
      </c>
      <c r="G868" t="s" s="2">
        <v>17</v>
      </c>
      <c r="H868" t="s" s="2">
        <v>19</v>
      </c>
      <c r="I868" t="s" s="2">
        <v>3434</v>
      </c>
      <c r="J868" t="s" s="2">
        <v>3435</v>
      </c>
      <c r="K868" t="s" s="2">
        <v>22</v>
      </c>
      <c r="L868" t="s" s="2">
        <v>22</v>
      </c>
      <c r="M868" t="s" s="2">
        <v>22</v>
      </c>
    </row>
    <row r="869" ht="25.0" customHeight="true">
      <c r="A869" t="s" s="2">
        <v>13</v>
      </c>
      <c r="B869" t="s" s="2">
        <f>HYPERLINK("http://ts.21cn.com/tousu/show/id/1373217","无辜扣款，要回扣款")</f>
      </c>
      <c r="C869" t="s" s="2">
        <v>15</v>
      </c>
      <c r="D869" t="s" s="2">
        <v>16</v>
      </c>
      <c r="E869" t="s" s="2">
        <v>17</v>
      </c>
      <c r="F869" t="s" s="2">
        <f>HYPERLINK("http://ts.21cn.com/tousu/show/id/1373217","http://ts.21cn.com/tousu/show/id/1373217")</f>
      </c>
      <c r="G869" t="s" s="2">
        <v>17</v>
      </c>
      <c r="H869" t="s" s="2">
        <v>19</v>
      </c>
      <c r="I869" t="s" s="2">
        <v>3438</v>
      </c>
      <c r="J869" t="s" s="2">
        <v>3439</v>
      </c>
      <c r="K869" t="s" s="2">
        <v>22</v>
      </c>
      <c r="L869" t="s" s="2">
        <v>22</v>
      </c>
      <c r="M869" t="s" s="2">
        <v>22</v>
      </c>
    </row>
    <row r="870" ht="25.0" customHeight="true">
      <c r="A870" t="s" s="2">
        <v>13</v>
      </c>
      <c r="B870" t="s" s="2">
        <f>HYPERLINK("http://ts.21cn.com/tousu/show/id/1373218","牛人有品砍头利息")</f>
      </c>
      <c r="C870" t="s" s="2">
        <v>52</v>
      </c>
      <c r="D870" t="s" s="2">
        <v>16</v>
      </c>
      <c r="E870" t="s" s="2">
        <v>17</v>
      </c>
      <c r="F870" t="s" s="2">
        <f>HYPERLINK("http://ts.21cn.com/tousu/show/id/1373218","http://ts.21cn.com/tousu/show/id/1373218")</f>
      </c>
      <c r="G870" t="s" s="2">
        <v>17</v>
      </c>
      <c r="H870" t="s" s="2">
        <v>19</v>
      </c>
      <c r="I870" t="s" s="2">
        <v>3442</v>
      </c>
      <c r="J870" t="s" s="2">
        <v>3443</v>
      </c>
      <c r="K870" t="s" s="2">
        <v>22</v>
      </c>
      <c r="L870" t="s" s="2">
        <v>22</v>
      </c>
      <c r="M870" t="s" s="2">
        <v>22</v>
      </c>
    </row>
    <row r="871" ht="25.0" customHeight="true">
      <c r="A871" t="s" s="2">
        <v>13</v>
      </c>
      <c r="B871" t="s" s="2">
        <f>HYPERLINK("http://ts.21cn.com/tousu/show/id/1373216","来分期的“相关费用”是什么费用，为什么查我自己的借款合同查不了")</f>
      </c>
      <c r="C871" t="s" s="2">
        <v>15</v>
      </c>
      <c r="D871" t="s" s="2">
        <v>16</v>
      </c>
      <c r="E871" t="s" s="2">
        <v>17</v>
      </c>
      <c r="F871" t="s" s="2">
        <f>HYPERLINK("http://ts.21cn.com/tousu/show/id/1373216","http://ts.21cn.com/tousu/show/id/1373216")</f>
      </c>
      <c r="G871" t="s" s="2">
        <v>17</v>
      </c>
      <c r="H871" t="s" s="2">
        <v>19</v>
      </c>
      <c r="I871" t="s" s="2">
        <v>3446</v>
      </c>
      <c r="J871" t="s" s="2">
        <v>3447</v>
      </c>
      <c r="K871" t="s" s="2">
        <v>22</v>
      </c>
      <c r="L871" t="s" s="2">
        <v>22</v>
      </c>
      <c r="M871" t="s" s="2">
        <v>22</v>
      </c>
    </row>
    <row r="872" ht="25.0" customHeight="true">
      <c r="A872" t="s" s="2">
        <v>13</v>
      </c>
      <c r="B872" t="s" s="2">
        <f>HYPERLINK("http://ts.21cn.com/tousu/show/id/1373215","暴力威胁催收")</f>
      </c>
      <c r="C872" t="s" s="2">
        <v>15</v>
      </c>
      <c r="D872" t="s" s="2">
        <v>16</v>
      </c>
      <c r="E872" t="s" s="2">
        <v>17</v>
      </c>
      <c r="F872" t="s" s="2">
        <f>HYPERLINK("http://ts.21cn.com/tousu/show/id/1373215","http://ts.21cn.com/tousu/show/id/1373215")</f>
      </c>
      <c r="G872" t="s" s="2">
        <v>17</v>
      </c>
      <c r="H872" t="s" s="2">
        <v>19</v>
      </c>
      <c r="I872" t="s" s="2">
        <v>3449</v>
      </c>
      <c r="J872" t="s" s="2">
        <v>3450</v>
      </c>
      <c r="K872" t="s" s="2">
        <v>22</v>
      </c>
      <c r="L872" t="s" s="2">
        <v>22</v>
      </c>
      <c r="M872" t="s" s="2">
        <v>22</v>
      </c>
    </row>
    <row r="873" ht="25.0" customHeight="true">
      <c r="A873" t="s" s="2">
        <v>13</v>
      </c>
      <c r="B873" t="s" s="2">
        <f>HYPERLINK("http://ts.21cn.com/tousu/show/id/1373214","严重骚扰")</f>
      </c>
      <c r="C873" t="s" s="2">
        <v>15</v>
      </c>
      <c r="D873" t="s" s="2">
        <v>16</v>
      </c>
      <c r="E873" t="s" s="2">
        <v>17</v>
      </c>
      <c r="F873" t="s" s="2">
        <f>HYPERLINK("http://ts.21cn.com/tousu/show/id/1373214","http://ts.21cn.com/tousu/show/id/1373214")</f>
      </c>
      <c r="G873" t="s" s="2">
        <v>17</v>
      </c>
      <c r="H873" t="s" s="2">
        <v>19</v>
      </c>
      <c r="I873" t="s" s="2">
        <v>3453</v>
      </c>
      <c r="J873" t="s" s="2">
        <v>3454</v>
      </c>
      <c r="K873" t="s" s="2">
        <v>22</v>
      </c>
      <c r="L873" t="s" s="2">
        <v>22</v>
      </c>
      <c r="M873" t="s" s="2">
        <v>22</v>
      </c>
    </row>
    <row r="874" ht="25.0" customHeight="true">
      <c r="A874" t="s" s="2">
        <v>13</v>
      </c>
      <c r="B874" t="s" s="2">
        <f>HYPERLINK("http://ts.21cn.com/tousu/show/id/1373212","要求退款财神黑卡")</f>
      </c>
      <c r="C874" t="s" s="2">
        <v>15</v>
      </c>
      <c r="D874" t="s" s="2">
        <v>16</v>
      </c>
      <c r="E874" t="s" s="2">
        <v>17</v>
      </c>
      <c r="F874" t="s" s="2">
        <f>HYPERLINK("http://ts.21cn.com/tousu/show/id/1373212","http://ts.21cn.com/tousu/show/id/1373212")</f>
      </c>
      <c r="G874" t="s" s="2">
        <v>17</v>
      </c>
      <c r="H874" t="s" s="2">
        <v>19</v>
      </c>
      <c r="I874" t="s" s="2">
        <v>3457</v>
      </c>
      <c r="J874" t="s" s="2">
        <v>3458</v>
      </c>
      <c r="K874" t="s" s="2">
        <v>22</v>
      </c>
      <c r="L874" t="s" s="2">
        <v>22</v>
      </c>
      <c r="M874" t="s" s="2">
        <v>22</v>
      </c>
    </row>
    <row r="875" ht="25.0" customHeight="true">
      <c r="A875" t="s" s="2">
        <v>13</v>
      </c>
      <c r="B875" t="s" s="2">
        <f>HYPERLINK("http://ts.21cn.com/tousu/show/id/1373213","虚假宣传、误导消费、服务严重欺诈")</f>
      </c>
      <c r="C875" t="s" s="2">
        <v>15</v>
      </c>
      <c r="D875" t="s" s="2">
        <v>16</v>
      </c>
      <c r="E875" t="s" s="2">
        <v>17</v>
      </c>
      <c r="F875" t="s" s="2">
        <f>HYPERLINK("http://ts.21cn.com/tousu/show/id/1373213","http://ts.21cn.com/tousu/show/id/1373213")</f>
      </c>
      <c r="G875" t="s" s="2">
        <v>17</v>
      </c>
      <c r="H875" t="s" s="2">
        <v>19</v>
      </c>
      <c r="I875" t="s" s="2">
        <v>3461</v>
      </c>
      <c r="J875" t="s" s="2">
        <v>3462</v>
      </c>
      <c r="K875" t="s" s="2">
        <v>22</v>
      </c>
      <c r="L875" t="s" s="2">
        <v>22</v>
      </c>
      <c r="M875" t="s" s="2">
        <v>22</v>
      </c>
    </row>
    <row r="876" ht="25.0" customHeight="true">
      <c r="A876" t="s" s="2">
        <v>13</v>
      </c>
      <c r="B876" t="s" s="2">
        <f>HYPERLINK("http://ts.21cn.com/tousu/show/id/1373211","天天打十几个电话，短信威胁，严重影响工作")</f>
      </c>
      <c r="C876" t="s" s="2">
        <v>52</v>
      </c>
      <c r="D876" t="s" s="2">
        <v>16</v>
      </c>
      <c r="E876" t="s" s="2">
        <v>17</v>
      </c>
      <c r="F876" t="s" s="2">
        <f>HYPERLINK("http://ts.21cn.com/tousu/show/id/1373211","http://ts.21cn.com/tousu/show/id/1373211")</f>
      </c>
      <c r="G876" t="s" s="2">
        <v>17</v>
      </c>
      <c r="H876" t="s" s="2">
        <v>19</v>
      </c>
      <c r="I876" t="s" s="2">
        <v>3465</v>
      </c>
      <c r="J876" t="s" s="2">
        <v>3466</v>
      </c>
      <c r="K876" t="s" s="2">
        <v>22</v>
      </c>
      <c r="L876" t="s" s="2">
        <v>22</v>
      </c>
      <c r="M876" t="s" s="2">
        <v>22</v>
      </c>
    </row>
    <row r="877" ht="25.0" customHeight="true">
      <c r="A877" t="s" s="2">
        <v>13</v>
      </c>
      <c r="B877" t="s" s="2">
        <f>HYPERLINK("http://ts.21cn.com/tousu/show/id/1373210","尚德机构高额扣费，投诉无门")</f>
      </c>
      <c r="C877" t="s" s="2">
        <v>15</v>
      </c>
      <c r="D877" t="s" s="2">
        <v>16</v>
      </c>
      <c r="E877" t="s" s="2">
        <v>17</v>
      </c>
      <c r="F877" t="s" s="2">
        <f>HYPERLINK("http://ts.21cn.com/tousu/show/id/1373210","http://ts.21cn.com/tousu/show/id/1373210")</f>
      </c>
      <c r="G877" t="s" s="2">
        <v>17</v>
      </c>
      <c r="H877" t="s" s="2">
        <v>19</v>
      </c>
      <c r="I877" t="s" s="2">
        <v>3469</v>
      </c>
      <c r="J877" t="s" s="2">
        <v>3470</v>
      </c>
      <c r="K877" t="s" s="2">
        <v>22</v>
      </c>
      <c r="L877" t="s" s="2">
        <v>22</v>
      </c>
      <c r="M877" t="s" s="2">
        <v>22</v>
      </c>
    </row>
    <row r="878" ht="25.0" customHeight="true">
      <c r="A878" t="s" s="2">
        <v>13</v>
      </c>
      <c r="B878" t="s" s="2">
        <f>HYPERLINK("http://ts.21cn.com/tousu/show/id/1373158","玖富万卡提前结清之后确是显示部分还款！")</f>
      </c>
      <c r="C878" t="s" s="2">
        <v>15</v>
      </c>
      <c r="D878" t="s" s="2">
        <v>16</v>
      </c>
      <c r="E878" t="s" s="2">
        <v>17</v>
      </c>
      <c r="F878" t="s" s="2">
        <f>HYPERLINK("http://ts.21cn.com/tousu/show/id/1373158","http://ts.21cn.com/tousu/show/id/1373158")</f>
      </c>
      <c r="G878" t="s" s="2">
        <v>17</v>
      </c>
      <c r="H878" t="s" s="2">
        <v>19</v>
      </c>
      <c r="I878" t="s" s="2">
        <v>3473</v>
      </c>
      <c r="J878" t="s" s="2">
        <v>3474</v>
      </c>
      <c r="K878" t="s" s="2">
        <v>22</v>
      </c>
      <c r="L878" t="s" s="2">
        <v>22</v>
      </c>
      <c r="M878" t="s" s="2">
        <v>22</v>
      </c>
    </row>
    <row r="879" ht="25.0" customHeight="true">
      <c r="A879" t="s" s="2">
        <v>13</v>
      </c>
      <c r="B879" t="s" s="2">
        <f>HYPERLINK("http://ts.21cn.com/tousu/show/id/1373209","信用飞套路扣款")</f>
      </c>
      <c r="C879" t="s" s="2">
        <v>15</v>
      </c>
      <c r="D879" t="s" s="2">
        <v>16</v>
      </c>
      <c r="E879" t="s" s="2">
        <v>17</v>
      </c>
      <c r="F879" t="s" s="2">
        <f>HYPERLINK("http://ts.21cn.com/tousu/show/id/1373209","http://ts.21cn.com/tousu/show/id/1373209")</f>
      </c>
      <c r="G879" t="s" s="2">
        <v>17</v>
      </c>
      <c r="H879" t="s" s="2">
        <v>19</v>
      </c>
      <c r="I879" t="s" s="2">
        <v>3477</v>
      </c>
      <c r="J879" t="s" s="2">
        <v>3478</v>
      </c>
      <c r="K879" t="s" s="2">
        <v>22</v>
      </c>
      <c r="L879" t="s" s="2">
        <v>22</v>
      </c>
      <c r="M879" t="s" s="2">
        <v>22</v>
      </c>
    </row>
    <row r="880" ht="25.0" customHeight="true">
      <c r="A880" t="s" s="2">
        <v>13</v>
      </c>
      <c r="B880" t="s" s="2">
        <f>HYPERLINK("http://ts.21cn.com/tousu/show/id/1373208","恶意骚扰")</f>
      </c>
      <c r="C880" t="s" s="2">
        <v>15</v>
      </c>
      <c r="D880" t="s" s="2">
        <v>16</v>
      </c>
      <c r="E880" t="s" s="2">
        <v>17</v>
      </c>
      <c r="F880" t="s" s="2">
        <f>HYPERLINK("http://ts.21cn.com/tousu/show/id/1373208","http://ts.21cn.com/tousu/show/id/1373208")</f>
      </c>
      <c r="G880" t="s" s="2">
        <v>17</v>
      </c>
      <c r="H880" t="s" s="2">
        <v>19</v>
      </c>
      <c r="I880" t="s" s="2">
        <v>3481</v>
      </c>
      <c r="J880" t="s" s="2">
        <v>3482</v>
      </c>
      <c r="K880" t="s" s="2">
        <v>22</v>
      </c>
      <c r="L880" t="s" s="2">
        <v>22</v>
      </c>
      <c r="M880" t="s" s="2">
        <v>22</v>
      </c>
    </row>
    <row r="881" ht="25.0" customHeight="true">
      <c r="A881" t="s" s="2">
        <v>13</v>
      </c>
      <c r="B881" t="s" s="2">
        <f>HYPERLINK("http://ts.21cn.com/tousu/show/id/1373207","大道用车不退押金，")</f>
      </c>
      <c r="C881" t="s" s="2">
        <v>15</v>
      </c>
      <c r="D881" t="s" s="2">
        <v>16</v>
      </c>
      <c r="E881" t="s" s="2">
        <v>17</v>
      </c>
      <c r="F881" t="s" s="2">
        <f>HYPERLINK("http://ts.21cn.com/tousu/show/id/1373207","http://ts.21cn.com/tousu/show/id/1373207")</f>
      </c>
      <c r="G881" t="s" s="2">
        <v>17</v>
      </c>
      <c r="H881" t="s" s="2">
        <v>19</v>
      </c>
      <c r="I881" t="s" s="2">
        <v>3485</v>
      </c>
      <c r="J881" t="s" s="2">
        <v>3486</v>
      </c>
      <c r="K881" t="s" s="2">
        <v>22</v>
      </c>
      <c r="L881" t="s" s="2">
        <v>22</v>
      </c>
      <c r="M881" t="s" s="2">
        <v>22</v>
      </c>
    </row>
    <row r="882" ht="25.0" customHeight="true">
      <c r="A882" t="s" s="2">
        <v>13</v>
      </c>
      <c r="B882" t="s" s="2">
        <f>HYPERLINK("http://ts.21cn.com/tousu/show/id/1373206","超高利息与逾期费")</f>
      </c>
      <c r="C882" t="s" s="2">
        <v>15</v>
      </c>
      <c r="D882" t="s" s="2">
        <v>16</v>
      </c>
      <c r="E882" t="s" s="2">
        <v>17</v>
      </c>
      <c r="F882" t="s" s="2">
        <f>HYPERLINK("http://ts.21cn.com/tousu/show/id/1373206","http://ts.21cn.com/tousu/show/id/1373206")</f>
      </c>
      <c r="G882" t="s" s="2">
        <v>17</v>
      </c>
      <c r="H882" t="s" s="2">
        <v>19</v>
      </c>
      <c r="I882" t="s" s="2">
        <v>3489</v>
      </c>
      <c r="J882" t="s" s="2">
        <v>3490</v>
      </c>
      <c r="K882" t="s" s="2">
        <v>22</v>
      </c>
      <c r="L882" t="s" s="2">
        <v>22</v>
      </c>
      <c r="M882" t="s" s="2">
        <v>22</v>
      </c>
    </row>
    <row r="883" ht="25.0" customHeight="true">
      <c r="A883" t="s" s="2">
        <v>13</v>
      </c>
      <c r="B883" t="s" s="2">
        <f>HYPERLINK("http://ts.21cn.com/tousu/show/id/1373204","维信卡卡贷涉嫌高利率和砍头息")</f>
      </c>
      <c r="C883" t="s" s="2">
        <v>15</v>
      </c>
      <c r="D883" t="s" s="2">
        <v>16</v>
      </c>
      <c r="E883" t="s" s="2">
        <v>17</v>
      </c>
      <c r="F883" t="s" s="2">
        <f>HYPERLINK("http://ts.21cn.com/tousu/show/id/1373204","http://ts.21cn.com/tousu/show/id/1373204")</f>
      </c>
      <c r="G883" t="s" s="2">
        <v>17</v>
      </c>
      <c r="H883" t="s" s="2">
        <v>19</v>
      </c>
      <c r="I883" t="s" s="2">
        <v>3492</v>
      </c>
      <c r="J883" t="s" s="2">
        <v>3493</v>
      </c>
      <c r="K883" t="s" s="2">
        <v>22</v>
      </c>
      <c r="L883" t="s" s="2">
        <v>22</v>
      </c>
      <c r="M883" t="s" s="2">
        <v>22</v>
      </c>
    </row>
    <row r="884" ht="25.0" customHeight="true">
      <c r="A884" t="s" s="2">
        <v>13</v>
      </c>
      <c r="B884" t="s" s="2">
        <f>HYPERLINK("http://ts.21cn.com/tousu/show/id/1373203","微信支付被冻结永久，永久是什么概念？钱是腾讯所有了？")</f>
      </c>
      <c r="C884" t="s" s="2">
        <v>15</v>
      </c>
      <c r="D884" t="s" s="2">
        <v>16</v>
      </c>
      <c r="E884" t="s" s="2">
        <v>17</v>
      </c>
      <c r="F884" t="s" s="2">
        <f>HYPERLINK("http://ts.21cn.com/tousu/show/id/1373203","http://ts.21cn.com/tousu/show/id/1373203")</f>
      </c>
      <c r="G884" t="s" s="2">
        <v>17</v>
      </c>
      <c r="H884" t="s" s="2">
        <v>19</v>
      </c>
      <c r="I884" t="s" s="2">
        <v>3496</v>
      </c>
      <c r="J884" t="s" s="2">
        <v>3497</v>
      </c>
      <c r="K884" t="s" s="2">
        <v>22</v>
      </c>
      <c r="L884" t="s" s="2">
        <v>22</v>
      </c>
      <c r="M884" t="s" s="2">
        <v>22</v>
      </c>
    </row>
    <row r="885" ht="25.0" customHeight="true">
      <c r="A885" t="s" s="2">
        <v>13</v>
      </c>
      <c r="B885" t="s" s="2">
        <f>HYPERLINK("http://ts.21cn.com/tousu/show/id/1373202","我的交通银行信用卡已经逾期了，我已经和交通银行说过我们正在买房需要一些时间，等款项到账了我会全额还款的")</f>
      </c>
      <c r="C885" t="s" s="2">
        <v>15</v>
      </c>
      <c r="D885" t="s" s="2">
        <v>16</v>
      </c>
      <c r="E885" t="s" s="2">
        <v>17</v>
      </c>
      <c r="F885" t="s" s="2">
        <f>HYPERLINK("http://ts.21cn.com/tousu/show/id/1373202","http://ts.21cn.com/tousu/show/id/1373202")</f>
      </c>
      <c r="G885" t="s" s="2">
        <v>17</v>
      </c>
      <c r="H885" t="s" s="2">
        <v>19</v>
      </c>
      <c r="I885" t="s" s="2">
        <v>3500</v>
      </c>
      <c r="J885" t="s" s="2">
        <v>3501</v>
      </c>
      <c r="K885" t="s" s="2">
        <v>22</v>
      </c>
      <c r="L885" t="s" s="2">
        <v>22</v>
      </c>
      <c r="M885" t="s" s="2">
        <v>22</v>
      </c>
    </row>
    <row r="886" ht="25.0" customHeight="true">
      <c r="A886" t="s" s="2">
        <v>13</v>
      </c>
      <c r="B886" t="s" s="2">
        <f>HYPERLINK("http://ts.21cn.com/tousu/show/id/1373200","新橙优品没有合同！")</f>
      </c>
      <c r="C886" t="s" s="2">
        <v>15</v>
      </c>
      <c r="D886" t="s" s="2">
        <v>16</v>
      </c>
      <c r="E886" t="s" s="2">
        <v>17</v>
      </c>
      <c r="F886" t="s" s="2">
        <f>HYPERLINK("http://ts.21cn.com/tousu/show/id/1373200","http://ts.21cn.com/tousu/show/id/1373200")</f>
      </c>
      <c r="G886" t="s" s="2">
        <v>17</v>
      </c>
      <c r="H886" t="s" s="2">
        <v>19</v>
      </c>
      <c r="I886" t="s" s="2">
        <v>3504</v>
      </c>
      <c r="J886" t="s" s="2">
        <v>3505</v>
      </c>
      <c r="K886" t="s" s="2">
        <v>22</v>
      </c>
      <c r="L886" t="s" s="2">
        <v>22</v>
      </c>
      <c r="M886" t="s" s="2">
        <v>22</v>
      </c>
    </row>
    <row r="887" ht="25.0" customHeight="true">
      <c r="A887" t="s" s="2">
        <v>13</v>
      </c>
      <c r="B887" t="s" s="2">
        <f>HYPERLINK("http://ts.21cn.com/tousu/show/id/1373201","珍爱网注销我账号")</f>
      </c>
      <c r="C887" t="s" s="2">
        <v>52</v>
      </c>
      <c r="D887" t="s" s="2">
        <v>16</v>
      </c>
      <c r="E887" t="s" s="2">
        <v>17</v>
      </c>
      <c r="F887" t="s" s="2">
        <f>HYPERLINK("http://ts.21cn.com/tousu/show/id/1373201","http://ts.21cn.com/tousu/show/id/1373201")</f>
      </c>
      <c r="G887" t="s" s="2">
        <v>17</v>
      </c>
      <c r="H887" t="s" s="2">
        <v>19</v>
      </c>
      <c r="I887" t="s" s="2">
        <v>3508</v>
      </c>
      <c r="J887" t="s" s="2">
        <v>3509</v>
      </c>
      <c r="K887" t="s" s="2">
        <v>22</v>
      </c>
      <c r="L887" t="s" s="2">
        <v>22</v>
      </c>
      <c r="M887" t="s" s="2">
        <v>22</v>
      </c>
    </row>
    <row r="888" ht="25.0" customHeight="true">
      <c r="A888" t="s" s="2">
        <v>13</v>
      </c>
      <c r="B888" t="s" s="2">
        <f>HYPERLINK("http://ts.21cn.com/tousu/show/id/1373199","新橙优品客服处理不满意")</f>
      </c>
      <c r="C888" t="s" s="2">
        <v>52</v>
      </c>
      <c r="D888" t="s" s="2">
        <v>16</v>
      </c>
      <c r="E888" t="s" s="2">
        <v>17</v>
      </c>
      <c r="F888" t="s" s="2">
        <f>HYPERLINK("http://ts.21cn.com/tousu/show/id/1373199","http://ts.21cn.com/tousu/show/id/1373199")</f>
      </c>
      <c r="G888" t="s" s="2">
        <v>17</v>
      </c>
      <c r="H888" t="s" s="2">
        <v>19</v>
      </c>
      <c r="I888" t="s" s="2">
        <v>3512</v>
      </c>
      <c r="J888" t="s" s="2">
        <v>3513</v>
      </c>
      <c r="K888" t="s" s="2">
        <v>22</v>
      </c>
      <c r="L888" t="s" s="2">
        <v>22</v>
      </c>
      <c r="M888" t="s" s="2">
        <v>22</v>
      </c>
    </row>
    <row r="889" ht="25.0" customHeight="true">
      <c r="A889" t="s" s="2">
        <v>13</v>
      </c>
      <c r="B889" t="s" s="2">
        <f>HYPERLINK("http://ts.21cn.com/tousu/show/id/1373198","故意扣钱")</f>
      </c>
      <c r="C889" t="s" s="2">
        <v>52</v>
      </c>
      <c r="D889" t="s" s="2">
        <v>16</v>
      </c>
      <c r="E889" t="s" s="2">
        <v>17</v>
      </c>
      <c r="F889" t="s" s="2">
        <f>HYPERLINK("http://ts.21cn.com/tousu/show/id/1373198","http://ts.21cn.com/tousu/show/id/1373198")</f>
      </c>
      <c r="G889" t="s" s="2">
        <v>17</v>
      </c>
      <c r="H889" t="s" s="2">
        <v>19</v>
      </c>
      <c r="I889" t="s" s="2">
        <v>3516</v>
      </c>
      <c r="J889" t="s" s="2">
        <v>3517</v>
      </c>
      <c r="K889" t="s" s="2">
        <v>22</v>
      </c>
      <c r="L889" t="s" s="2">
        <v>22</v>
      </c>
      <c r="M889" t="s" s="2">
        <v>22</v>
      </c>
    </row>
    <row r="890" ht="25.0" customHeight="true">
      <c r="A890" t="s" s="2">
        <v>13</v>
      </c>
      <c r="B890" t="s" s="2">
        <f>HYPERLINK("http://ts.21cn.com/tousu/show/id/1373197","豆豆钱违法高利贷")</f>
      </c>
      <c r="C890" t="s" s="2">
        <v>15</v>
      </c>
      <c r="D890" t="s" s="2">
        <v>16</v>
      </c>
      <c r="E890" t="s" s="2">
        <v>17</v>
      </c>
      <c r="F890" t="s" s="2">
        <f>HYPERLINK("http://ts.21cn.com/tousu/show/id/1373197","http://ts.21cn.com/tousu/show/id/1373197")</f>
      </c>
      <c r="G890" t="s" s="2">
        <v>17</v>
      </c>
      <c r="H890" t="s" s="2">
        <v>19</v>
      </c>
      <c r="I890" t="s" s="2">
        <v>3520</v>
      </c>
      <c r="J890" t="s" s="2">
        <v>3521</v>
      </c>
      <c r="K890" t="s" s="2">
        <v>22</v>
      </c>
      <c r="L890" t="s" s="2">
        <v>22</v>
      </c>
      <c r="M890" t="s" s="2">
        <v>22</v>
      </c>
    </row>
    <row r="891" ht="25.0" customHeight="true">
      <c r="A891" t="s" s="2">
        <v>13</v>
      </c>
      <c r="B891" t="s" s="2">
        <f>HYPERLINK("http://ts.21cn.com/tousu/show/id/1373196","360借条爆通讯录疯狂拨打联系人电话")</f>
      </c>
      <c r="C891" t="s" s="2">
        <v>15</v>
      </c>
      <c r="D891" t="s" s="2">
        <v>16</v>
      </c>
      <c r="E891" t="s" s="2">
        <v>17</v>
      </c>
      <c r="F891" t="s" s="2">
        <f>HYPERLINK("http://ts.21cn.com/tousu/show/id/1373196","http://ts.21cn.com/tousu/show/id/1373196")</f>
      </c>
      <c r="G891" t="s" s="2">
        <v>17</v>
      </c>
      <c r="H891" t="s" s="2">
        <v>19</v>
      </c>
      <c r="I891" t="s" s="2">
        <v>3524</v>
      </c>
      <c r="J891" t="s" s="2">
        <v>3525</v>
      </c>
      <c r="K891" t="s" s="2">
        <v>22</v>
      </c>
      <c r="L891" t="s" s="2">
        <v>22</v>
      </c>
      <c r="M891" t="s" s="2">
        <v>22</v>
      </c>
    </row>
    <row r="892" ht="25.0" customHeight="true">
      <c r="A892" t="s" s="2">
        <v>13</v>
      </c>
      <c r="B892" t="s" s="2">
        <f>HYPERLINK("http://ts.21cn.com/tousu/show/id/1373195","暴力催收")</f>
      </c>
      <c r="C892" t="s" s="2">
        <v>15</v>
      </c>
      <c r="D892" t="s" s="2">
        <v>16</v>
      </c>
      <c r="E892" t="s" s="2">
        <v>17</v>
      </c>
      <c r="F892" t="s" s="2">
        <f>HYPERLINK("http://ts.21cn.com/tousu/show/id/1373195","http://ts.21cn.com/tousu/show/id/1373195")</f>
      </c>
      <c r="G892" t="s" s="2">
        <v>17</v>
      </c>
      <c r="H892" t="s" s="2">
        <v>19</v>
      </c>
      <c r="I892" t="s" s="2">
        <v>3524</v>
      </c>
      <c r="J892" t="s" s="2">
        <v>3527</v>
      </c>
      <c r="K892" t="s" s="2">
        <v>22</v>
      </c>
      <c r="L892" t="s" s="2">
        <v>22</v>
      </c>
      <c r="M892" t="s" s="2">
        <v>22</v>
      </c>
    </row>
    <row r="893" ht="25.0" customHeight="true">
      <c r="A893" t="s" s="2">
        <v>13</v>
      </c>
      <c r="B893" t="s" s="2">
        <f>HYPERLINK("http://ts.21cn.com/tousu/show/id/1373193","小鹿情感忽悠消费者，退款问题要求退全款")</f>
      </c>
      <c r="C893" t="s" s="2">
        <v>15</v>
      </c>
      <c r="D893" t="s" s="2">
        <v>16</v>
      </c>
      <c r="E893" t="s" s="2">
        <v>17</v>
      </c>
      <c r="F893" t="s" s="2">
        <f>HYPERLINK("http://ts.21cn.com/tousu/show/id/1373193","http://ts.21cn.com/tousu/show/id/1373193")</f>
      </c>
      <c r="G893" t="s" s="2">
        <v>17</v>
      </c>
      <c r="H893" t="s" s="2">
        <v>19</v>
      </c>
      <c r="I893" t="s" s="2">
        <v>3530</v>
      </c>
      <c r="J893" t="s" s="2">
        <v>3531</v>
      </c>
      <c r="K893" t="s" s="2">
        <v>22</v>
      </c>
      <c r="L893" t="s" s="2">
        <v>22</v>
      </c>
      <c r="M893" t="s" s="2">
        <v>22</v>
      </c>
    </row>
    <row r="894" ht="25.0" customHeight="true">
      <c r="A894" t="s" s="2">
        <v>13</v>
      </c>
      <c r="B894" t="s" s="2">
        <f>HYPERLINK("http://ts.21cn.com/tousu/show/id/1373194","新橙优品威胁我！扬言打我联系人帮我借钱")</f>
      </c>
      <c r="C894" t="s" s="2">
        <v>15</v>
      </c>
      <c r="D894" t="s" s="2">
        <v>16</v>
      </c>
      <c r="E894" t="s" s="2">
        <v>17</v>
      </c>
      <c r="F894" t="s" s="2">
        <f>HYPERLINK("http://ts.21cn.com/tousu/show/id/1373194","http://ts.21cn.com/tousu/show/id/1373194")</f>
      </c>
      <c r="G894" t="s" s="2">
        <v>17</v>
      </c>
      <c r="H894" t="s" s="2">
        <v>19</v>
      </c>
      <c r="I894" t="s" s="2">
        <v>3534</v>
      </c>
      <c r="J894" t="s" s="2">
        <v>3535</v>
      </c>
      <c r="K894" t="s" s="2">
        <v>22</v>
      </c>
      <c r="L894" t="s" s="2">
        <v>22</v>
      </c>
      <c r="M894" t="s" s="2">
        <v>22</v>
      </c>
    </row>
    <row r="895" ht="25.0" customHeight="true">
      <c r="A895" t="s" s="2">
        <v>13</v>
      </c>
      <c r="B895" t="s" s="2">
        <f>HYPERLINK("http://ts.21cn.com/tousu/show/id/1373190","闪银强制绑定虚拟产品，变相收取砍头息")</f>
      </c>
      <c r="C895" t="s" s="2">
        <v>15</v>
      </c>
      <c r="D895" t="s" s="2">
        <v>16</v>
      </c>
      <c r="E895" t="s" s="2">
        <v>17</v>
      </c>
      <c r="F895" t="s" s="2">
        <f>HYPERLINK("http://ts.21cn.com/tousu/show/id/1373190","http://ts.21cn.com/tousu/show/id/1373190")</f>
      </c>
      <c r="G895" t="s" s="2">
        <v>17</v>
      </c>
      <c r="H895" t="s" s="2">
        <v>19</v>
      </c>
      <c r="I895" t="s" s="2">
        <v>3538</v>
      </c>
      <c r="J895" t="s" s="2">
        <v>3539</v>
      </c>
      <c r="K895" t="s" s="2">
        <v>22</v>
      </c>
      <c r="L895" t="s" s="2">
        <v>22</v>
      </c>
      <c r="M895" t="s" s="2">
        <v>22</v>
      </c>
    </row>
    <row r="896" ht="25.0" customHeight="true">
      <c r="A896" t="s" s="2">
        <v>13</v>
      </c>
      <c r="B896" t="s" s="2">
        <f>HYPERLINK("http://ts.21cn.com/tousu/show/id/1373189","小当家贷款删除用户的贷款记录看不到贷款分期数本来是1/2期然后我两期都还了又出来了1/3不知道后续还有没有客服也打不通")</f>
      </c>
      <c r="C896" t="s" s="2">
        <v>15</v>
      </c>
      <c r="D896" t="s" s="2">
        <v>16</v>
      </c>
      <c r="E896" t="s" s="2">
        <v>17</v>
      </c>
      <c r="F896" t="s" s="2">
        <f>HYPERLINK("http://ts.21cn.com/tousu/show/id/1373189","http://ts.21cn.com/tousu/show/id/1373189")</f>
      </c>
      <c r="G896" t="s" s="2">
        <v>17</v>
      </c>
      <c r="H896" t="s" s="2">
        <v>19</v>
      </c>
      <c r="I896" t="s" s="2">
        <v>3542</v>
      </c>
      <c r="J896" t="s" s="2">
        <v>3543</v>
      </c>
      <c r="K896" t="s" s="2">
        <v>22</v>
      </c>
      <c r="L896" t="s" s="2">
        <v>22</v>
      </c>
      <c r="M896" t="s" s="2">
        <v>22</v>
      </c>
    </row>
    <row r="897" ht="25.0" customHeight="true">
      <c r="A897" t="s" s="2">
        <v>13</v>
      </c>
      <c r="B897" t="s" s="2">
        <f>HYPERLINK("http://ts.21cn.com/tousu/show/id/1373188","收取高额利息")</f>
      </c>
      <c r="C897" t="s" s="2">
        <v>15</v>
      </c>
      <c r="D897" t="s" s="2">
        <v>16</v>
      </c>
      <c r="E897" t="s" s="2">
        <v>17</v>
      </c>
      <c r="F897" t="s" s="2">
        <f>HYPERLINK("http://ts.21cn.com/tousu/show/id/1373188","http://ts.21cn.com/tousu/show/id/1373188")</f>
      </c>
      <c r="G897" t="s" s="2">
        <v>17</v>
      </c>
      <c r="H897" t="s" s="2">
        <v>19</v>
      </c>
      <c r="I897" t="s" s="2">
        <v>3545</v>
      </c>
      <c r="J897" t="s" s="2">
        <v>3546</v>
      </c>
      <c r="K897" t="s" s="2">
        <v>22</v>
      </c>
      <c r="L897" t="s" s="2">
        <v>22</v>
      </c>
      <c r="M897" t="s" s="2">
        <v>22</v>
      </c>
    </row>
    <row r="898" ht="25.0" customHeight="true">
      <c r="A898" t="s" s="2">
        <v>13</v>
      </c>
      <c r="B898" t="s" s="2">
        <f>HYPERLINK("http://ts.21cn.com/tousu/show/id/1373187","停止骚扰，协商还款")</f>
      </c>
      <c r="C898" t="s" s="2">
        <v>15</v>
      </c>
      <c r="D898" t="s" s="2">
        <v>16</v>
      </c>
      <c r="E898" t="s" s="2">
        <v>17</v>
      </c>
      <c r="F898" t="s" s="2">
        <f>HYPERLINK("http://ts.21cn.com/tousu/show/id/1373187","http://ts.21cn.com/tousu/show/id/1373187")</f>
      </c>
      <c r="G898" t="s" s="2">
        <v>17</v>
      </c>
      <c r="H898" t="s" s="2">
        <v>19</v>
      </c>
      <c r="I898" t="s" s="2">
        <v>3549</v>
      </c>
      <c r="J898" t="s" s="2">
        <v>3550</v>
      </c>
      <c r="K898" t="s" s="2">
        <v>22</v>
      </c>
      <c r="L898" t="s" s="2">
        <v>22</v>
      </c>
      <c r="M898" t="s" s="2">
        <v>22</v>
      </c>
    </row>
    <row r="899" ht="25.0" customHeight="true">
      <c r="A899" t="s" s="2">
        <v>13</v>
      </c>
      <c r="B899" t="s" s="2">
        <f>HYPERLINK("http://ts.21cn.com/tousu/show/id/1373186","拼多多为网络赌博平台提供充值服务，虚假交易等")</f>
      </c>
      <c r="C899" t="s" s="2">
        <v>15</v>
      </c>
      <c r="D899" t="s" s="2">
        <v>16</v>
      </c>
      <c r="E899" t="s" s="2">
        <v>17</v>
      </c>
      <c r="F899" t="s" s="2">
        <f>HYPERLINK("http://ts.21cn.com/tousu/show/id/1373186","http://ts.21cn.com/tousu/show/id/1373186")</f>
      </c>
      <c r="G899" t="s" s="2">
        <v>17</v>
      </c>
      <c r="H899" t="s" s="2">
        <v>19</v>
      </c>
      <c r="I899" t="s" s="2">
        <v>3553</v>
      </c>
      <c r="J899" t="s" s="2">
        <v>3554</v>
      </c>
      <c r="K899" t="s" s="2">
        <v>22</v>
      </c>
      <c r="L899" t="s" s="2">
        <v>22</v>
      </c>
      <c r="M899" t="s" s="2">
        <v>22</v>
      </c>
    </row>
    <row r="900" ht="25.0" customHeight="true">
      <c r="A900" t="s" s="2">
        <v>13</v>
      </c>
      <c r="B900" t="s" s="2">
        <f>HYPERLINK("http://ts.21cn.com/tousu/show/id/1373185","714高炮")</f>
      </c>
      <c r="C900" t="s" s="2">
        <v>52</v>
      </c>
      <c r="D900" t="s" s="2">
        <v>16</v>
      </c>
      <c r="E900" t="s" s="2">
        <v>17</v>
      </c>
      <c r="F900" t="s" s="2">
        <f>HYPERLINK("http://ts.21cn.com/tousu/show/id/1373185","http://ts.21cn.com/tousu/show/id/1373185")</f>
      </c>
      <c r="G900" t="s" s="2">
        <v>17</v>
      </c>
      <c r="H900" t="s" s="2">
        <v>19</v>
      </c>
      <c r="I900" t="s" s="2">
        <v>3556</v>
      </c>
      <c r="J900" t="s" s="2">
        <v>3557</v>
      </c>
      <c r="K900" t="s" s="2">
        <v>22</v>
      </c>
      <c r="L900" t="s" s="2">
        <v>22</v>
      </c>
      <c r="M900" t="s" s="2">
        <v>22</v>
      </c>
    </row>
    <row r="901" ht="25.0" customHeight="true">
      <c r="A901" t="s" s="2">
        <v>13</v>
      </c>
      <c r="B901" t="s" s="2">
        <f>HYPERLINK("http://ts.21cn.com/tousu/show/id/1373184","美团生活费爆通讯录")</f>
      </c>
      <c r="C901" t="s" s="2">
        <v>15</v>
      </c>
      <c r="D901" t="s" s="2">
        <v>16</v>
      </c>
      <c r="E901" t="s" s="2">
        <v>17</v>
      </c>
      <c r="F901" t="s" s="2">
        <f>HYPERLINK("http://ts.21cn.com/tousu/show/id/1373184","http://ts.21cn.com/tousu/show/id/1373184")</f>
      </c>
      <c r="G901" t="s" s="2">
        <v>17</v>
      </c>
      <c r="H901" t="s" s="2">
        <v>19</v>
      </c>
      <c r="I901" t="s" s="2">
        <v>3560</v>
      </c>
      <c r="J901" t="s" s="2">
        <v>3561</v>
      </c>
      <c r="K901" t="s" s="2">
        <v>22</v>
      </c>
      <c r="L901" t="s" s="2">
        <v>22</v>
      </c>
      <c r="M901" t="s" s="2">
        <v>22</v>
      </c>
    </row>
    <row r="902" ht="25.0" customHeight="true">
      <c r="A902" t="s" s="2">
        <v>13</v>
      </c>
      <c r="B902" t="s" s="2">
        <f>HYPERLINK("http://ts.21cn.com/tousu/show/id/1373183","牛人有品暴力催收高利贷")</f>
      </c>
      <c r="C902" t="s" s="2">
        <v>15</v>
      </c>
      <c r="D902" t="s" s="2">
        <v>16</v>
      </c>
      <c r="E902" t="s" s="2">
        <v>17</v>
      </c>
      <c r="F902" t="s" s="2">
        <f>HYPERLINK("http://ts.21cn.com/tousu/show/id/1373183","http://ts.21cn.com/tousu/show/id/1373183")</f>
      </c>
      <c r="G902" t="s" s="2">
        <v>17</v>
      </c>
      <c r="H902" t="s" s="2">
        <v>19</v>
      </c>
      <c r="I902" t="s" s="2">
        <v>3564</v>
      </c>
      <c r="J902" t="s" s="2">
        <v>3565</v>
      </c>
      <c r="K902" t="s" s="2">
        <v>22</v>
      </c>
      <c r="L902" t="s" s="2">
        <v>22</v>
      </c>
      <c r="M902" t="s" s="2">
        <v>22</v>
      </c>
    </row>
    <row r="903" ht="25.0" customHeight="true">
      <c r="A903" t="s" s="2">
        <v>13</v>
      </c>
      <c r="B903" t="s" s="2">
        <f>HYPERLINK("http://ts.21cn.com/tousu/show/id/1373181","请不要骚扰我的联系人")</f>
      </c>
      <c r="C903" t="s" s="2">
        <v>15</v>
      </c>
      <c r="D903" t="s" s="2">
        <v>16</v>
      </c>
      <c r="E903" t="s" s="2">
        <v>17</v>
      </c>
      <c r="F903" t="s" s="2">
        <f>HYPERLINK("http://ts.21cn.com/tousu/show/id/1373181","http://ts.21cn.com/tousu/show/id/1373181")</f>
      </c>
      <c r="G903" t="s" s="2">
        <v>17</v>
      </c>
      <c r="H903" t="s" s="2">
        <v>19</v>
      </c>
      <c r="I903" t="s" s="2">
        <v>3568</v>
      </c>
      <c r="J903" t="s" s="2">
        <v>3569</v>
      </c>
      <c r="K903" t="s" s="2">
        <v>22</v>
      </c>
      <c r="L903" t="s" s="2">
        <v>22</v>
      </c>
      <c r="M903" t="s" s="2">
        <v>22</v>
      </c>
    </row>
    <row r="904" ht="25.0" customHeight="true">
      <c r="A904" t="s" s="2">
        <v>13</v>
      </c>
      <c r="B904" t="s" s="2">
        <f>HYPERLINK("http://ts.21cn.com/tousu/show/id/1373182","还款未处理，催收电话打遍亲戚好友")</f>
      </c>
      <c r="C904" t="s" s="2">
        <v>15</v>
      </c>
      <c r="D904" t="s" s="2">
        <v>16</v>
      </c>
      <c r="E904" t="s" s="2">
        <v>17</v>
      </c>
      <c r="F904" t="s" s="2">
        <f>HYPERLINK("http://ts.21cn.com/tousu/show/id/1373182","http://ts.21cn.com/tousu/show/id/1373182")</f>
      </c>
      <c r="G904" t="s" s="2">
        <v>17</v>
      </c>
      <c r="H904" t="s" s="2">
        <v>19</v>
      </c>
      <c r="I904" t="s" s="2">
        <v>3572</v>
      </c>
      <c r="J904" t="s" s="2">
        <v>3573</v>
      </c>
      <c r="K904" t="s" s="2">
        <v>22</v>
      </c>
      <c r="L904" t="s" s="2">
        <v>22</v>
      </c>
      <c r="M904" t="s" s="2">
        <v>22</v>
      </c>
    </row>
    <row r="905" ht="25.0" customHeight="true">
      <c r="A905" t="s" s="2">
        <v>13</v>
      </c>
      <c r="B905" t="s" s="2">
        <f>HYPERLINK("http://ts.21cn.com/tousu/show/id/1373180","我在苹果手机上买了探探的RMB90元的服务，却得不到应有的服务，以此投诉！客服也联系不上呢！")</f>
      </c>
      <c r="C905" t="s" s="2">
        <v>15</v>
      </c>
      <c r="D905" t="s" s="2">
        <v>16</v>
      </c>
      <c r="E905" t="s" s="2">
        <v>17</v>
      </c>
      <c r="F905" t="s" s="2">
        <f>HYPERLINK("http://ts.21cn.com/tousu/show/id/1373180","http://ts.21cn.com/tousu/show/id/1373180")</f>
      </c>
      <c r="G905" t="s" s="2">
        <v>17</v>
      </c>
      <c r="H905" t="s" s="2">
        <v>19</v>
      </c>
      <c r="I905" t="s" s="2">
        <v>3576</v>
      </c>
      <c r="J905" t="s" s="2">
        <v>3577</v>
      </c>
      <c r="K905" t="s" s="2">
        <v>22</v>
      </c>
      <c r="L905" t="s" s="2">
        <v>22</v>
      </c>
      <c r="M905" t="s" s="2">
        <v>22</v>
      </c>
    </row>
    <row r="906" ht="25.0" customHeight="true">
      <c r="A906" t="s" s="2">
        <v>13</v>
      </c>
      <c r="B906" t="s" s="2">
        <f>HYPERLINK("http://ts.21cn.com/tousu/show/id/1373179","你我贷平台暴力催收电话辱骂")</f>
      </c>
      <c r="C906" t="s" s="2">
        <v>15</v>
      </c>
      <c r="D906" t="s" s="2">
        <v>16</v>
      </c>
      <c r="E906" t="s" s="2">
        <v>17</v>
      </c>
      <c r="F906" t="s" s="2">
        <f>HYPERLINK("http://ts.21cn.com/tousu/show/id/1373179","http://ts.21cn.com/tousu/show/id/1373179")</f>
      </c>
      <c r="G906" t="s" s="2">
        <v>17</v>
      </c>
      <c r="H906" t="s" s="2">
        <v>19</v>
      </c>
      <c r="I906" t="s" s="2">
        <v>3580</v>
      </c>
      <c r="J906" t="s" s="2">
        <v>3581</v>
      </c>
      <c r="K906" t="s" s="2">
        <v>22</v>
      </c>
      <c r="L906" t="s" s="2">
        <v>22</v>
      </c>
      <c r="M906" t="s" s="2">
        <v>22</v>
      </c>
    </row>
    <row r="907" ht="25.0" customHeight="true">
      <c r="A907" t="s" s="2">
        <v>13</v>
      </c>
      <c r="B907" t="s" s="2">
        <f>HYPERLINK("http://ts.21cn.com/tousu/show/id/1373178","北京友信普惠")</f>
      </c>
      <c r="C907" t="s" s="2">
        <v>15</v>
      </c>
      <c r="D907" t="s" s="2">
        <v>16</v>
      </c>
      <c r="E907" t="s" s="2">
        <v>17</v>
      </c>
      <c r="F907" t="s" s="2">
        <f>HYPERLINK("http://ts.21cn.com/tousu/show/id/1373178","http://ts.21cn.com/tousu/show/id/1373178")</f>
      </c>
      <c r="G907" t="s" s="2">
        <v>17</v>
      </c>
      <c r="H907" t="s" s="2">
        <v>19</v>
      </c>
      <c r="I907" t="s" s="2">
        <v>3584</v>
      </c>
      <c r="J907" t="s" s="2">
        <v>3585</v>
      </c>
      <c r="K907" t="s" s="2">
        <v>22</v>
      </c>
      <c r="L907" t="s" s="2">
        <v>22</v>
      </c>
      <c r="M907" t="s" s="2">
        <v>22</v>
      </c>
    </row>
    <row r="908" ht="25.0" customHeight="true">
      <c r="A908" t="s" s="2">
        <v>13</v>
      </c>
      <c r="B908" t="s" s="2">
        <f>HYPERLINK("http://ts.21cn.com/tousu/show/id/1373177","投诉拍拍贷")</f>
      </c>
      <c r="C908" t="s" s="2">
        <v>15</v>
      </c>
      <c r="D908" t="s" s="2">
        <v>16</v>
      </c>
      <c r="E908" t="s" s="2">
        <v>17</v>
      </c>
      <c r="F908" t="s" s="2">
        <f>HYPERLINK("http://ts.21cn.com/tousu/show/id/1373177","http://ts.21cn.com/tousu/show/id/1373177")</f>
      </c>
      <c r="G908" t="s" s="2">
        <v>17</v>
      </c>
      <c r="H908" t="s" s="2">
        <v>19</v>
      </c>
      <c r="I908" t="s" s="2">
        <v>3588</v>
      </c>
      <c r="J908" t="s" s="2">
        <v>3589</v>
      </c>
      <c r="K908" t="s" s="2">
        <v>22</v>
      </c>
      <c r="L908" t="s" s="2">
        <v>22</v>
      </c>
      <c r="M908" t="s" s="2">
        <v>22</v>
      </c>
    </row>
    <row r="909" ht="25.0" customHeight="true">
      <c r="A909" t="s" s="2">
        <v>13</v>
      </c>
      <c r="B909" t="s" s="2">
        <f>HYPERLINK("http://ts.21cn.com/tousu/show/id/1373176","强烈要求洛基英语全额给我退款并终止在富盛分云的分期")</f>
      </c>
      <c r="C909" t="s" s="2">
        <v>15</v>
      </c>
      <c r="D909" t="s" s="2">
        <v>16</v>
      </c>
      <c r="E909" t="s" s="2">
        <v>17</v>
      </c>
      <c r="F909" t="s" s="2">
        <f>HYPERLINK("http://ts.21cn.com/tousu/show/id/1373176","http://ts.21cn.com/tousu/show/id/1373176")</f>
      </c>
      <c r="G909" t="s" s="2">
        <v>17</v>
      </c>
      <c r="H909" t="s" s="2">
        <v>19</v>
      </c>
      <c r="I909" t="s" s="2">
        <v>3592</v>
      </c>
      <c r="J909" t="s" s="2">
        <v>3593</v>
      </c>
      <c r="K909" t="s" s="2">
        <v>22</v>
      </c>
      <c r="L909" t="s" s="2">
        <v>22</v>
      </c>
      <c r="M909" t="s" s="2">
        <v>22</v>
      </c>
    </row>
    <row r="910" ht="25.0" customHeight="true">
      <c r="A910" t="s" s="2">
        <v>13</v>
      </c>
      <c r="B910" t="s" s="2">
        <f>HYPERLINK("http://ts.21cn.com/tousu/show/id/1373175","网贷催收")</f>
      </c>
      <c r="C910" t="s" s="2">
        <v>15</v>
      </c>
      <c r="D910" t="s" s="2">
        <v>16</v>
      </c>
      <c r="E910" t="s" s="2">
        <v>17</v>
      </c>
      <c r="F910" t="s" s="2">
        <f>HYPERLINK("http://ts.21cn.com/tousu/show/id/1373175","http://ts.21cn.com/tousu/show/id/1373175")</f>
      </c>
      <c r="G910" t="s" s="2">
        <v>17</v>
      </c>
      <c r="H910" t="s" s="2">
        <v>19</v>
      </c>
      <c r="I910" t="s" s="2">
        <v>3596</v>
      </c>
      <c r="J910" t="s" s="2">
        <v>3597</v>
      </c>
      <c r="K910" t="s" s="2">
        <v>22</v>
      </c>
      <c r="L910" t="s" s="2">
        <v>22</v>
      </c>
      <c r="M910" t="s" s="2">
        <v>22</v>
      </c>
    </row>
    <row r="911" ht="25.0" customHeight="true">
      <c r="A911" t="s" s="2">
        <v>13</v>
      </c>
      <c r="B911" t="s" s="2">
        <f>HYPERLINK("http://ts.21cn.com/tousu/show/id/1373174","闪电借款暴力催收，变相砍头息，高额逾期罚息")</f>
      </c>
      <c r="C911" t="s" s="2">
        <v>15</v>
      </c>
      <c r="D911" t="s" s="2">
        <v>16</v>
      </c>
      <c r="E911" t="s" s="2">
        <v>17</v>
      </c>
      <c r="F911" t="s" s="2">
        <f>HYPERLINK("http://ts.21cn.com/tousu/show/id/1373174","http://ts.21cn.com/tousu/show/id/1373174")</f>
      </c>
      <c r="G911" t="s" s="2">
        <v>17</v>
      </c>
      <c r="H911" t="s" s="2">
        <v>19</v>
      </c>
      <c r="I911" t="s" s="2">
        <v>3600</v>
      </c>
      <c r="J911" t="s" s="2">
        <v>3601</v>
      </c>
      <c r="K911" t="s" s="2">
        <v>22</v>
      </c>
      <c r="L911" t="s" s="2">
        <v>22</v>
      </c>
      <c r="M911" t="s" s="2">
        <v>22</v>
      </c>
    </row>
    <row r="912" ht="25.0" customHeight="true">
      <c r="A912" t="s" s="2">
        <v>13</v>
      </c>
      <c r="B912" t="s" s="2">
        <f>HYPERLINK("http://ts.21cn.com/tousu/show/id/1373173","小花钱包非法催收")</f>
      </c>
      <c r="C912" t="s" s="2">
        <v>15</v>
      </c>
      <c r="D912" t="s" s="2">
        <v>16</v>
      </c>
      <c r="E912" t="s" s="2">
        <v>17</v>
      </c>
      <c r="F912" t="s" s="2">
        <f>HYPERLINK("http://ts.21cn.com/tousu/show/id/1373173","http://ts.21cn.com/tousu/show/id/1373173")</f>
      </c>
      <c r="G912" t="s" s="2">
        <v>17</v>
      </c>
      <c r="H912" t="s" s="2">
        <v>19</v>
      </c>
      <c r="I912" t="s" s="2">
        <v>3604</v>
      </c>
      <c r="J912" t="s" s="2">
        <v>3605</v>
      </c>
      <c r="K912" t="s" s="2">
        <v>22</v>
      </c>
      <c r="L912" t="s" s="2">
        <v>22</v>
      </c>
      <c r="M912" t="s" s="2">
        <v>22</v>
      </c>
    </row>
    <row r="913" ht="25.0" customHeight="true">
      <c r="A913" t="s" s="2">
        <v>13</v>
      </c>
      <c r="B913" t="s" s="2">
        <f>HYPERLINK("http://ts.21cn.com/tousu/show/id/1373172","网贷催收恐吓父母亲戚")</f>
      </c>
      <c r="C913" t="s" s="2">
        <v>15</v>
      </c>
      <c r="D913" t="s" s="2">
        <v>16</v>
      </c>
      <c r="E913" t="s" s="2">
        <v>17</v>
      </c>
      <c r="F913" t="s" s="2">
        <f>HYPERLINK("http://ts.21cn.com/tousu/show/id/1373172","http://ts.21cn.com/tousu/show/id/1373172")</f>
      </c>
      <c r="G913" t="s" s="2">
        <v>17</v>
      </c>
      <c r="H913" t="s" s="2">
        <v>19</v>
      </c>
      <c r="I913" t="s" s="2">
        <v>3608</v>
      </c>
      <c r="J913" t="s" s="2">
        <v>3609</v>
      </c>
      <c r="K913" t="s" s="2">
        <v>22</v>
      </c>
      <c r="L913" t="s" s="2">
        <v>22</v>
      </c>
      <c r="M913" t="s" s="2">
        <v>22</v>
      </c>
    </row>
    <row r="914" ht="25.0" customHeight="true">
      <c r="A914" t="s" s="2">
        <v>13</v>
      </c>
      <c r="B914" t="s" s="2">
        <f>HYPERLINK("http://ts.21cn.com/tousu/show/id/1350453","世纪佳缘请退我钱")</f>
      </c>
      <c r="C914" t="s" s="2">
        <v>15</v>
      </c>
      <c r="D914" t="s" s="2">
        <v>16</v>
      </c>
      <c r="E914" t="s" s="2">
        <v>17</v>
      </c>
      <c r="F914" t="s" s="2">
        <f>HYPERLINK("http://ts.21cn.com/tousu/show/id/1350453","http://ts.21cn.com/tousu/show/id/1350453")</f>
      </c>
      <c r="G914" t="s" s="2">
        <v>17</v>
      </c>
      <c r="H914" t="s" s="2">
        <v>19</v>
      </c>
      <c r="I914" t="s" s="2">
        <v>3612</v>
      </c>
      <c r="J914" t="s" s="2">
        <v>3613</v>
      </c>
      <c r="K914" t="s" s="2">
        <v>22</v>
      </c>
      <c r="L914" t="s" s="2">
        <v>22</v>
      </c>
      <c r="M914" t="s" s="2">
        <v>22</v>
      </c>
    </row>
    <row r="915" ht="25.0" customHeight="true">
      <c r="A915" t="s" s="2">
        <v>13</v>
      </c>
      <c r="B915" t="s" s="2">
        <f>HYPERLINK("http://ts.21cn.com/tousu/show/id/1373165","招商银行收取高额违约金")</f>
      </c>
      <c r="C915" t="s" s="2">
        <v>15</v>
      </c>
      <c r="D915" t="s" s="2">
        <v>16</v>
      </c>
      <c r="E915" t="s" s="2">
        <v>17</v>
      </c>
      <c r="F915" t="s" s="2">
        <f>HYPERLINK("http://ts.21cn.com/tousu/show/id/1373165","http://ts.21cn.com/tousu/show/id/1373165")</f>
      </c>
      <c r="G915" t="s" s="2">
        <v>17</v>
      </c>
      <c r="H915" t="s" s="2">
        <v>19</v>
      </c>
      <c r="I915" t="s" s="2">
        <v>3616</v>
      </c>
      <c r="J915" t="s" s="2">
        <v>3617</v>
      </c>
      <c r="K915" t="s" s="2">
        <v>22</v>
      </c>
      <c r="L915" t="s" s="2">
        <v>22</v>
      </c>
      <c r="M915" t="s" s="2">
        <v>22</v>
      </c>
    </row>
    <row r="916" ht="25.0" customHeight="true">
      <c r="A916" t="s" s="2">
        <v>13</v>
      </c>
      <c r="B916" t="s" s="2">
        <f>HYPERLINK("http://ts.21cn.com/tousu/show/id/1373169","砍头息")</f>
      </c>
      <c r="C916" t="s" s="2">
        <v>52</v>
      </c>
      <c r="D916" t="s" s="2">
        <v>16</v>
      </c>
      <c r="E916" t="s" s="2">
        <v>17</v>
      </c>
      <c r="F916" t="s" s="2">
        <f>HYPERLINK("http://ts.21cn.com/tousu/show/id/1373169","http://ts.21cn.com/tousu/show/id/1373169")</f>
      </c>
      <c r="G916" t="s" s="2">
        <v>17</v>
      </c>
      <c r="H916" t="s" s="2">
        <v>19</v>
      </c>
      <c r="I916" t="s" s="2">
        <v>3620</v>
      </c>
      <c r="J916" t="s" s="2">
        <v>3621</v>
      </c>
      <c r="K916" t="s" s="2">
        <v>22</v>
      </c>
      <c r="L916" t="s" s="2">
        <v>22</v>
      </c>
      <c r="M916" t="s" s="2">
        <v>22</v>
      </c>
    </row>
    <row r="917" ht="25.0" customHeight="true">
      <c r="A917" t="s" s="2">
        <v>13</v>
      </c>
      <c r="B917" t="s" s="2">
        <f>HYPERLINK("http://ts.21cn.com/tousu/show/id/1373168","快贷催收威胁骚扰")</f>
      </c>
      <c r="C917" t="s" s="2">
        <v>15</v>
      </c>
      <c r="D917" t="s" s="2">
        <v>16</v>
      </c>
      <c r="E917" t="s" s="2">
        <v>17</v>
      </c>
      <c r="F917" t="s" s="2">
        <f>HYPERLINK("http://ts.21cn.com/tousu/show/id/1373168","http://ts.21cn.com/tousu/show/id/1373168")</f>
      </c>
      <c r="G917" t="s" s="2">
        <v>17</v>
      </c>
      <c r="H917" t="s" s="2">
        <v>19</v>
      </c>
      <c r="I917" t="s" s="2">
        <v>3620</v>
      </c>
      <c r="J917" t="s" s="2">
        <v>3624</v>
      </c>
      <c r="K917" t="s" s="2">
        <v>22</v>
      </c>
      <c r="L917" t="s" s="2">
        <v>22</v>
      </c>
      <c r="M917" t="s" s="2">
        <v>22</v>
      </c>
    </row>
    <row r="918" ht="25.0" customHeight="true">
      <c r="A918" t="s" s="2">
        <v>13</v>
      </c>
      <c r="B918" t="s" s="2">
        <f>HYPERLINK("http://ts.21cn.com/tousu/show/id/1373167","乱扣款")</f>
      </c>
      <c r="C918" t="s" s="2">
        <v>15</v>
      </c>
      <c r="D918" t="s" s="2">
        <v>16</v>
      </c>
      <c r="E918" t="s" s="2">
        <v>17</v>
      </c>
      <c r="F918" t="s" s="2">
        <f>HYPERLINK("http://ts.21cn.com/tousu/show/id/1373167","http://ts.21cn.com/tousu/show/id/1373167")</f>
      </c>
      <c r="G918" t="s" s="2">
        <v>17</v>
      </c>
      <c r="H918" t="s" s="2">
        <v>19</v>
      </c>
      <c r="I918" t="s" s="2">
        <v>3626</v>
      </c>
      <c r="J918" t="s" s="2">
        <v>3627</v>
      </c>
      <c r="K918" t="s" s="2">
        <v>22</v>
      </c>
      <c r="L918" t="s" s="2">
        <v>22</v>
      </c>
      <c r="M918" t="s" s="2">
        <v>22</v>
      </c>
    </row>
    <row r="919" ht="25.0" customHeight="true">
      <c r="A919" t="s" s="2">
        <v>13</v>
      </c>
      <c r="B919" t="s" s="2">
        <f>HYPERLINK("http://ts.21cn.com/tousu/show/id/1373166","马上消费金融，暴力催收，群发短信，恐吓催收")</f>
      </c>
      <c r="C919" t="s" s="2">
        <v>15</v>
      </c>
      <c r="D919" t="s" s="2">
        <v>16</v>
      </c>
      <c r="E919" t="s" s="2">
        <v>17</v>
      </c>
      <c r="F919" t="s" s="2">
        <f>HYPERLINK("http://ts.21cn.com/tousu/show/id/1373166","http://ts.21cn.com/tousu/show/id/1373166")</f>
      </c>
      <c r="G919" t="s" s="2">
        <v>17</v>
      </c>
      <c r="H919" t="s" s="2">
        <v>19</v>
      </c>
      <c r="I919" t="s" s="2">
        <v>3629</v>
      </c>
      <c r="J919" t="s" s="2">
        <v>3630</v>
      </c>
      <c r="K919" t="s" s="2">
        <v>22</v>
      </c>
      <c r="L919" t="s" s="2">
        <v>22</v>
      </c>
      <c r="M919" t="s" s="2">
        <v>22</v>
      </c>
    </row>
    <row r="920" ht="25.0" customHeight="true">
      <c r="A920" t="s" s="2">
        <v>13</v>
      </c>
      <c r="B920" t="s" s="2">
        <f>HYPERLINK("http://ts.21cn.com/tousu/show/id/1373163","高炮平台蓝鲸鱼钱包暴力催收，辱骂，爆通讯录")</f>
      </c>
      <c r="C920" t="s" s="2">
        <v>15</v>
      </c>
      <c r="D920" t="s" s="2">
        <v>16</v>
      </c>
      <c r="E920" t="s" s="2">
        <v>17</v>
      </c>
      <c r="F920" t="s" s="2">
        <f>HYPERLINK("http://ts.21cn.com/tousu/show/id/1373163","http://ts.21cn.com/tousu/show/id/1373163")</f>
      </c>
      <c r="G920" t="s" s="2">
        <v>17</v>
      </c>
      <c r="H920" t="s" s="2">
        <v>19</v>
      </c>
      <c r="I920" t="s" s="2">
        <v>3633</v>
      </c>
      <c r="J920" t="s" s="2">
        <v>3634</v>
      </c>
      <c r="K920" t="s" s="2">
        <v>22</v>
      </c>
      <c r="L920" t="s" s="2">
        <v>22</v>
      </c>
      <c r="M920" t="s" s="2">
        <v>22</v>
      </c>
    </row>
    <row r="921" ht="25.0" customHeight="true">
      <c r="A921" t="s" s="2">
        <v>13</v>
      </c>
      <c r="B921" t="s" s="2">
        <f>HYPERLINK("http://ts.21cn.com/tousu/show/id/1373164","希望能跟浦发银行协商还款")</f>
      </c>
      <c r="C921" t="s" s="2">
        <v>15</v>
      </c>
      <c r="D921" t="s" s="2">
        <v>16</v>
      </c>
      <c r="E921" t="s" s="2">
        <v>17</v>
      </c>
      <c r="F921" t="s" s="2">
        <f>HYPERLINK("http://ts.21cn.com/tousu/show/id/1373164","http://ts.21cn.com/tousu/show/id/1373164")</f>
      </c>
      <c r="G921" t="s" s="2">
        <v>17</v>
      </c>
      <c r="H921" t="s" s="2">
        <v>19</v>
      </c>
      <c r="I921" t="s" s="2">
        <v>3637</v>
      </c>
      <c r="J921" t="s" s="2">
        <v>3638</v>
      </c>
      <c r="K921" t="s" s="2">
        <v>22</v>
      </c>
      <c r="L921" t="s" s="2">
        <v>22</v>
      </c>
      <c r="M921" t="s" s="2">
        <v>22</v>
      </c>
    </row>
    <row r="922" ht="25.0" customHeight="true">
      <c r="A922" t="s" s="2">
        <v>13</v>
      </c>
      <c r="B922" t="s" s="2">
        <f>HYPERLINK("http://ts.21cn.com/tousu/show/id/1373162","只还本金，不管利息")</f>
      </c>
      <c r="C922" t="s" s="2">
        <v>15</v>
      </c>
      <c r="D922" t="s" s="2">
        <v>16</v>
      </c>
      <c r="E922" t="s" s="2">
        <v>17</v>
      </c>
      <c r="F922" t="s" s="2">
        <f>HYPERLINK("http://ts.21cn.com/tousu/show/id/1373162","http://ts.21cn.com/tousu/show/id/1373162")</f>
      </c>
      <c r="G922" t="s" s="2">
        <v>17</v>
      </c>
      <c r="H922" t="s" s="2">
        <v>19</v>
      </c>
      <c r="I922" t="s" s="2">
        <v>3641</v>
      </c>
      <c r="J922" t="s" s="2">
        <v>3642</v>
      </c>
      <c r="K922" t="s" s="2">
        <v>22</v>
      </c>
      <c r="L922" t="s" s="2">
        <v>22</v>
      </c>
      <c r="M922" t="s" s="2">
        <v>22</v>
      </c>
    </row>
    <row r="923" ht="25.0" customHeight="true">
      <c r="A923" t="s" s="2">
        <v>13</v>
      </c>
      <c r="B923" t="s" s="2">
        <f>HYPERLINK("http://ts.21cn.com/tousu/show/id/1373161","花转转恶意赚取高额逾期费")</f>
      </c>
      <c r="C923" t="s" s="2">
        <v>15</v>
      </c>
      <c r="D923" t="s" s="2">
        <v>16</v>
      </c>
      <c r="E923" t="s" s="2">
        <v>17</v>
      </c>
      <c r="F923" t="s" s="2">
        <f>HYPERLINK("http://ts.21cn.com/tousu/show/id/1373161","http://ts.21cn.com/tousu/show/id/1373161")</f>
      </c>
      <c r="G923" t="s" s="2">
        <v>17</v>
      </c>
      <c r="H923" t="s" s="2">
        <v>19</v>
      </c>
      <c r="I923" t="s" s="2">
        <v>3645</v>
      </c>
      <c r="J923" t="s" s="2">
        <v>3646</v>
      </c>
      <c r="K923" t="s" s="2">
        <v>22</v>
      </c>
      <c r="L923" t="s" s="2">
        <v>22</v>
      </c>
      <c r="M923" t="s" s="2">
        <v>22</v>
      </c>
    </row>
    <row r="924" ht="25.0" customHeight="true">
      <c r="A924" t="s" s="2">
        <v>13</v>
      </c>
      <c r="B924" t="s" s="2">
        <f>HYPERLINK("http://ts.21cn.com/tousu/show/id/1373160","凤凰金融旗下凤凰智信--喜鹊快贷高利贷黑网贷套路贷平台严重违反国家法律法规暴力催收砍头息严重")</f>
      </c>
      <c r="C924" t="s" s="2">
        <v>15</v>
      </c>
      <c r="D924" t="s" s="2">
        <v>16</v>
      </c>
      <c r="E924" t="s" s="2">
        <v>17</v>
      </c>
      <c r="F924" t="s" s="2">
        <f>HYPERLINK("http://ts.21cn.com/tousu/show/id/1373160","http://ts.21cn.com/tousu/show/id/1373160")</f>
      </c>
      <c r="G924" t="s" s="2">
        <v>17</v>
      </c>
      <c r="H924" t="s" s="2">
        <v>19</v>
      </c>
      <c r="I924" t="s" s="2">
        <v>3649</v>
      </c>
      <c r="J924" t="s" s="2">
        <v>3650</v>
      </c>
      <c r="K924" t="s" s="2">
        <v>22</v>
      </c>
      <c r="L924" t="s" s="2">
        <v>22</v>
      </c>
      <c r="M924" t="s" s="2">
        <v>22</v>
      </c>
    </row>
    <row r="925" ht="25.0" customHeight="true">
      <c r="A925" t="s" s="2">
        <v>13</v>
      </c>
      <c r="B925" t="s" s="2">
        <f>HYPERLINK("http://ts.21cn.com/tousu/show/id/1373159","新意花小木钱包套路贷砍头息，故意造成逾期收取高额逾期费用")</f>
      </c>
      <c r="C925" t="s" s="2">
        <v>15</v>
      </c>
      <c r="D925" t="s" s="2">
        <v>16</v>
      </c>
      <c r="E925" t="s" s="2">
        <v>17</v>
      </c>
      <c r="F925" t="s" s="2">
        <f>HYPERLINK("http://ts.21cn.com/tousu/show/id/1373159","http://ts.21cn.com/tousu/show/id/1373159")</f>
      </c>
      <c r="G925" t="s" s="2">
        <v>17</v>
      </c>
      <c r="H925" t="s" s="2">
        <v>19</v>
      </c>
      <c r="I925" t="s" s="2">
        <v>3653</v>
      </c>
      <c r="J925" t="s" s="2">
        <v>3654</v>
      </c>
      <c r="K925" t="s" s="2">
        <v>22</v>
      </c>
      <c r="L925" t="s" s="2">
        <v>22</v>
      </c>
      <c r="M925" t="s" s="2">
        <v>22</v>
      </c>
    </row>
    <row r="926" ht="25.0" customHeight="true">
      <c r="A926" t="s" s="2">
        <v>13</v>
      </c>
      <c r="B926" t="s" s="2">
        <f>HYPERLINK("http://ts.21cn.com/tousu/show/id/1373157","投诉交通银行骚扰家人")</f>
      </c>
      <c r="C926" t="s" s="2">
        <v>15</v>
      </c>
      <c r="D926" t="s" s="2">
        <v>16</v>
      </c>
      <c r="E926" t="s" s="2">
        <v>17</v>
      </c>
      <c r="F926" t="s" s="2">
        <f>HYPERLINK("http://ts.21cn.com/tousu/show/id/1373157","http://ts.21cn.com/tousu/show/id/1373157")</f>
      </c>
      <c r="G926" t="s" s="2">
        <v>17</v>
      </c>
      <c r="H926" t="s" s="2">
        <v>19</v>
      </c>
      <c r="I926" t="s" s="2">
        <v>3657</v>
      </c>
      <c r="J926" t="s" s="2">
        <v>3658</v>
      </c>
      <c r="K926" t="s" s="2">
        <v>22</v>
      </c>
      <c r="L926" t="s" s="2">
        <v>22</v>
      </c>
      <c r="M926" t="s" s="2">
        <v>22</v>
      </c>
    </row>
    <row r="927" ht="25.0" customHeight="true">
      <c r="A927" t="s" s="2">
        <v>13</v>
      </c>
      <c r="B927" t="s" s="2">
        <f>HYPERLINK("http://ts.21cn.com/tousu/show/id/1373156","既有分期电话威胁侮辱")</f>
      </c>
      <c r="C927" t="s" s="2">
        <v>15</v>
      </c>
      <c r="D927" t="s" s="2">
        <v>16</v>
      </c>
      <c r="E927" t="s" s="2">
        <v>17</v>
      </c>
      <c r="F927" t="s" s="2">
        <f>HYPERLINK("http://ts.21cn.com/tousu/show/id/1373156","http://ts.21cn.com/tousu/show/id/1373156")</f>
      </c>
      <c r="G927" t="s" s="2">
        <v>17</v>
      </c>
      <c r="H927" t="s" s="2">
        <v>19</v>
      </c>
      <c r="I927" t="s" s="2">
        <v>3661</v>
      </c>
      <c r="J927" t="s" s="2">
        <v>3662</v>
      </c>
      <c r="K927" t="s" s="2">
        <v>22</v>
      </c>
      <c r="L927" t="s" s="2">
        <v>22</v>
      </c>
      <c r="M927" t="s" s="2">
        <v>22</v>
      </c>
    </row>
    <row r="928" ht="25.0" customHeight="true">
      <c r="A928" t="s" s="2">
        <v>13</v>
      </c>
      <c r="B928" t="s" s="2">
        <f>HYPERLINK("http://ts.21cn.com/tousu/show/id/1373155","立借前三月年化率104%，提前结清不减免")</f>
      </c>
      <c r="C928" t="s" s="2">
        <v>15</v>
      </c>
      <c r="D928" t="s" s="2">
        <v>16</v>
      </c>
      <c r="E928" t="s" s="2">
        <v>17</v>
      </c>
      <c r="F928" t="s" s="2">
        <f>HYPERLINK("http://ts.21cn.com/tousu/show/id/1373155","http://ts.21cn.com/tousu/show/id/1373155")</f>
      </c>
      <c r="G928" t="s" s="2">
        <v>17</v>
      </c>
      <c r="H928" t="s" s="2">
        <v>19</v>
      </c>
      <c r="I928" t="s" s="2">
        <v>3665</v>
      </c>
      <c r="J928" t="s" s="2">
        <v>3666</v>
      </c>
      <c r="K928" t="s" s="2">
        <v>22</v>
      </c>
      <c r="L928" t="s" s="2">
        <v>22</v>
      </c>
      <c r="M928" t="s" s="2">
        <v>22</v>
      </c>
    </row>
    <row r="929" ht="25.0" customHeight="true">
      <c r="A929" t="s" s="2">
        <v>13</v>
      </c>
      <c r="B929" t="s" s="2">
        <f>HYPERLINK("http://ts.21cn.com/tousu/show/id/1373154","钱站高利贷阴阳合同")</f>
      </c>
      <c r="C929" t="s" s="2">
        <v>15</v>
      </c>
      <c r="D929" t="s" s="2">
        <v>16</v>
      </c>
      <c r="E929" t="s" s="2">
        <v>17</v>
      </c>
      <c r="F929" t="s" s="2">
        <f>HYPERLINK("http://ts.21cn.com/tousu/show/id/1373154","http://ts.21cn.com/tousu/show/id/1373154")</f>
      </c>
      <c r="G929" t="s" s="2">
        <v>17</v>
      </c>
      <c r="H929" t="s" s="2">
        <v>19</v>
      </c>
      <c r="I929" t="s" s="2">
        <v>3669</v>
      </c>
      <c r="J929" t="s" s="2">
        <v>3670</v>
      </c>
      <c r="K929" t="s" s="2">
        <v>22</v>
      </c>
      <c r="L929" t="s" s="2">
        <v>22</v>
      </c>
      <c r="M929" t="s" s="2">
        <v>22</v>
      </c>
    </row>
    <row r="930" ht="25.0" customHeight="true">
      <c r="A930" t="s" s="2">
        <v>13</v>
      </c>
      <c r="B930" t="s" s="2">
        <f>HYPERLINK("http://ts.21cn.com/tousu/show/id/1373153","小赢卡贷威胁人还要打公司电话众安保险捆绑销售")</f>
      </c>
      <c r="C930" t="s" s="2">
        <v>15</v>
      </c>
      <c r="D930" t="s" s="2">
        <v>16</v>
      </c>
      <c r="E930" t="s" s="2">
        <v>17</v>
      </c>
      <c r="F930" t="s" s="2">
        <f>HYPERLINK("http://ts.21cn.com/tousu/show/id/1373153","http://ts.21cn.com/tousu/show/id/1373153")</f>
      </c>
      <c r="G930" t="s" s="2">
        <v>17</v>
      </c>
      <c r="H930" t="s" s="2">
        <v>19</v>
      </c>
      <c r="I930" t="s" s="2">
        <v>3673</v>
      </c>
      <c r="J930" t="s" s="2">
        <v>3674</v>
      </c>
      <c r="K930" t="s" s="2">
        <v>22</v>
      </c>
      <c r="L930" t="s" s="2">
        <v>22</v>
      </c>
      <c r="M930" t="s" s="2">
        <v>22</v>
      </c>
    </row>
    <row r="931" ht="25.0" customHeight="true">
      <c r="A931" t="s" s="2">
        <v>13</v>
      </c>
      <c r="B931" t="s" s="2">
        <f>HYPERLINK("http://ts.21cn.com/tousu/show/id/1373084","高利贷砍头息")</f>
      </c>
      <c r="C931" t="s" s="2">
        <v>15</v>
      </c>
      <c r="D931" t="s" s="2">
        <v>16</v>
      </c>
      <c r="E931" t="s" s="2">
        <v>17</v>
      </c>
      <c r="F931" t="s" s="2">
        <f>HYPERLINK("http://ts.21cn.com/tousu/show/id/1373084","http://ts.21cn.com/tousu/show/id/1373084")</f>
      </c>
      <c r="G931" t="s" s="2">
        <v>17</v>
      </c>
      <c r="H931" t="s" s="2">
        <v>19</v>
      </c>
      <c r="I931" t="s" s="2">
        <v>3676</v>
      </c>
      <c r="J931" t="s" s="2">
        <v>3677</v>
      </c>
      <c r="K931" t="s" s="2">
        <v>22</v>
      </c>
      <c r="L931" t="s" s="2">
        <v>22</v>
      </c>
      <c r="M931" t="s" s="2">
        <v>22</v>
      </c>
    </row>
    <row r="932" ht="25.0" customHeight="true">
      <c r="A932" t="s" s="2">
        <v>13</v>
      </c>
      <c r="B932" t="s" s="2">
        <f>HYPERLINK("http://ts.21cn.com/tousu/show/id/1373152","高利贷")</f>
      </c>
      <c r="C932" t="s" s="2">
        <v>15</v>
      </c>
      <c r="D932" t="s" s="2">
        <v>16</v>
      </c>
      <c r="E932" t="s" s="2">
        <v>17</v>
      </c>
      <c r="F932" t="s" s="2">
        <f>HYPERLINK("http://ts.21cn.com/tousu/show/id/1373152","http://ts.21cn.com/tousu/show/id/1373152")</f>
      </c>
      <c r="G932" t="s" s="2">
        <v>17</v>
      </c>
      <c r="H932" t="s" s="2">
        <v>19</v>
      </c>
      <c r="I932" t="s" s="2">
        <v>3679</v>
      </c>
      <c r="J932" t="s" s="2">
        <v>3680</v>
      </c>
      <c r="K932" t="s" s="2">
        <v>22</v>
      </c>
      <c r="L932" t="s" s="2">
        <v>22</v>
      </c>
      <c r="M932" t="s" s="2">
        <v>22</v>
      </c>
    </row>
    <row r="933" ht="25.0" customHeight="true">
      <c r="A933" t="s" s="2">
        <v>13</v>
      </c>
      <c r="B933" t="s" s="2">
        <f>HYPERLINK("http://ts.21cn.com/tousu/show/id/1373150","不知道是自考，要求退款")</f>
      </c>
      <c r="C933" t="s" s="2">
        <v>15</v>
      </c>
      <c r="D933" t="s" s="2">
        <v>16</v>
      </c>
      <c r="E933" t="s" s="2">
        <v>17</v>
      </c>
      <c r="F933" t="s" s="2">
        <f>HYPERLINK("http://ts.21cn.com/tousu/show/id/1373150","http://ts.21cn.com/tousu/show/id/1373150")</f>
      </c>
      <c r="G933" t="s" s="2">
        <v>17</v>
      </c>
      <c r="H933" t="s" s="2">
        <v>19</v>
      </c>
      <c r="I933" t="s" s="2">
        <v>3683</v>
      </c>
      <c r="J933" t="s" s="2">
        <v>3684</v>
      </c>
      <c r="K933" t="s" s="2">
        <v>22</v>
      </c>
      <c r="L933" t="s" s="2">
        <v>22</v>
      </c>
      <c r="M933" t="s" s="2">
        <v>22</v>
      </c>
    </row>
    <row r="934" ht="25.0" customHeight="true">
      <c r="A934" t="s" s="2">
        <v>13</v>
      </c>
      <c r="B934" t="s" s="2">
        <f>HYPERLINK("http://ts.21cn.com/tousu/show/id/1373149","招行信用卡违约金超过法定")</f>
      </c>
      <c r="C934" t="s" s="2">
        <v>15</v>
      </c>
      <c r="D934" t="s" s="2">
        <v>16</v>
      </c>
      <c r="E934" t="s" s="2">
        <v>17</v>
      </c>
      <c r="F934" t="s" s="2">
        <f>HYPERLINK("http://ts.21cn.com/tousu/show/id/1373149","http://ts.21cn.com/tousu/show/id/1373149")</f>
      </c>
      <c r="G934" t="s" s="2">
        <v>17</v>
      </c>
      <c r="H934" t="s" s="2">
        <v>19</v>
      </c>
      <c r="I934" t="s" s="2">
        <v>3687</v>
      </c>
      <c r="J934" t="s" s="2">
        <v>3688</v>
      </c>
      <c r="K934" t="s" s="2">
        <v>22</v>
      </c>
      <c r="L934" t="s" s="2">
        <v>22</v>
      </c>
      <c r="M934" t="s" s="2">
        <v>22</v>
      </c>
    </row>
    <row r="935" ht="25.0" customHeight="true">
      <c r="A935" t="s" s="2">
        <v>13</v>
      </c>
      <c r="B935" t="s" s="2">
        <f>HYPERLINK("http://ts.21cn.com/tousu/show/id/1373148","高利贷，违规收取前期费用")</f>
      </c>
      <c r="C935" t="s" s="2">
        <v>15</v>
      </c>
      <c r="D935" t="s" s="2">
        <v>16</v>
      </c>
      <c r="E935" t="s" s="2">
        <v>17</v>
      </c>
      <c r="F935" t="s" s="2">
        <f>HYPERLINK("http://ts.21cn.com/tousu/show/id/1373148","http://ts.21cn.com/tousu/show/id/1373148")</f>
      </c>
      <c r="G935" t="s" s="2">
        <v>17</v>
      </c>
      <c r="H935" t="s" s="2">
        <v>19</v>
      </c>
      <c r="I935" t="s" s="2">
        <v>3691</v>
      </c>
      <c r="J935" t="s" s="2">
        <v>3692</v>
      </c>
      <c r="K935" t="s" s="2">
        <v>22</v>
      </c>
      <c r="L935" t="s" s="2">
        <v>22</v>
      </c>
      <c r="M935" t="s" s="2">
        <v>22</v>
      </c>
    </row>
    <row r="936" ht="25.0" customHeight="true">
      <c r="A936" t="s" s="2">
        <v>13</v>
      </c>
      <c r="B936" t="s" s="2">
        <f>HYPERLINK("http://ts.21cn.com/tousu/show/id/1373147","安逸花乱收费，超过国家规定的利率")</f>
      </c>
      <c r="C936" t="s" s="2">
        <v>15</v>
      </c>
      <c r="D936" t="s" s="2">
        <v>16</v>
      </c>
      <c r="E936" t="s" s="2">
        <v>17</v>
      </c>
      <c r="F936" t="s" s="2">
        <f>HYPERLINK("http://ts.21cn.com/tousu/show/id/1373147","http://ts.21cn.com/tousu/show/id/1373147")</f>
      </c>
      <c r="G936" t="s" s="2">
        <v>17</v>
      </c>
      <c r="H936" t="s" s="2">
        <v>19</v>
      </c>
      <c r="I936" t="s" s="2">
        <v>3695</v>
      </c>
      <c r="J936" t="s" s="2">
        <v>3696</v>
      </c>
      <c r="K936" t="s" s="2">
        <v>22</v>
      </c>
      <c r="L936" t="s" s="2">
        <v>22</v>
      </c>
      <c r="M936" t="s" s="2">
        <v>22</v>
      </c>
    </row>
    <row r="937" ht="25.0" customHeight="true">
      <c r="A937" t="s" s="2">
        <v>13</v>
      </c>
      <c r="B937" t="s" s="2">
        <f>HYPERLINK("http://ts.21cn.com/tousu/show/id/1373146","到处张贴个人信息，冒充警察")</f>
      </c>
      <c r="C937" t="s" s="2">
        <v>15</v>
      </c>
      <c r="D937" t="s" s="2">
        <v>16</v>
      </c>
      <c r="E937" t="s" s="2">
        <v>17</v>
      </c>
      <c r="F937" t="s" s="2">
        <f>HYPERLINK("http://ts.21cn.com/tousu/show/id/1373146","http://ts.21cn.com/tousu/show/id/1373146")</f>
      </c>
      <c r="G937" t="s" s="2">
        <v>17</v>
      </c>
      <c r="H937" t="s" s="2">
        <v>19</v>
      </c>
      <c r="I937" t="s" s="2">
        <v>3699</v>
      </c>
      <c r="J937" t="s" s="2">
        <v>3700</v>
      </c>
      <c r="K937" t="s" s="2">
        <v>22</v>
      </c>
      <c r="L937" t="s" s="2">
        <v>22</v>
      </c>
      <c r="M937" t="s" s="2">
        <v>22</v>
      </c>
    </row>
    <row r="938" ht="25.0" customHeight="true">
      <c r="A938" t="s" s="2">
        <v>13</v>
      </c>
      <c r="B938" t="s" s="2">
        <f>HYPERLINK("http://ts.21cn.com/tousu/show/id/1373144","新建商品房精装修施工质量维权")</f>
      </c>
      <c r="C938" t="s" s="2">
        <v>15</v>
      </c>
      <c r="D938" t="s" s="2">
        <v>16</v>
      </c>
      <c r="E938" t="s" s="2">
        <v>17</v>
      </c>
      <c r="F938" t="s" s="2">
        <f>HYPERLINK("http://ts.21cn.com/tousu/show/id/1373144","http://ts.21cn.com/tousu/show/id/1373144")</f>
      </c>
      <c r="G938" t="s" s="2">
        <v>17</v>
      </c>
      <c r="H938" t="s" s="2">
        <v>19</v>
      </c>
      <c r="I938" t="s" s="2">
        <v>3703</v>
      </c>
      <c r="J938" t="s" s="2">
        <v>3704</v>
      </c>
      <c r="K938" t="s" s="2">
        <v>22</v>
      </c>
      <c r="L938" t="s" s="2">
        <v>22</v>
      </c>
      <c r="M938" t="s" s="2">
        <v>22</v>
      </c>
    </row>
    <row r="939" ht="25.0" customHeight="true">
      <c r="A939" t="s" s="2">
        <v>13</v>
      </c>
      <c r="B939" t="s" s="2">
        <f>HYPERLINK("http://ts.21cn.com/tousu/show/id/1373143","活力花利息太高")</f>
      </c>
      <c r="C939" t="s" s="2">
        <v>15</v>
      </c>
      <c r="D939" t="s" s="2">
        <v>16</v>
      </c>
      <c r="E939" t="s" s="2">
        <v>17</v>
      </c>
      <c r="F939" t="s" s="2">
        <f>HYPERLINK("http://ts.21cn.com/tousu/show/id/1373143","http://ts.21cn.com/tousu/show/id/1373143")</f>
      </c>
      <c r="G939" t="s" s="2">
        <v>17</v>
      </c>
      <c r="H939" t="s" s="2">
        <v>19</v>
      </c>
      <c r="I939" t="s" s="2">
        <v>3707</v>
      </c>
      <c r="J939" t="s" s="2">
        <v>3708</v>
      </c>
      <c r="K939" t="s" s="2">
        <v>22</v>
      </c>
      <c r="L939" t="s" s="2">
        <v>22</v>
      </c>
      <c r="M939" t="s" s="2">
        <v>22</v>
      </c>
    </row>
    <row r="940" ht="25.0" customHeight="true">
      <c r="A940" t="s" s="2">
        <v>13</v>
      </c>
      <c r="B940" t="s" s="2">
        <f>HYPERLINK("http://ts.21cn.com/tousu/show/id/1373142","马上消费金融安逸花")</f>
      </c>
      <c r="C940" t="s" s="2">
        <v>15</v>
      </c>
      <c r="D940" t="s" s="2">
        <v>16</v>
      </c>
      <c r="E940" t="s" s="2">
        <v>17</v>
      </c>
      <c r="F940" t="s" s="2">
        <f>HYPERLINK("http://ts.21cn.com/tousu/show/id/1373142","http://ts.21cn.com/tousu/show/id/1373142")</f>
      </c>
      <c r="G940" t="s" s="2">
        <v>17</v>
      </c>
      <c r="H940" t="s" s="2">
        <v>19</v>
      </c>
      <c r="I940" t="s" s="2">
        <v>3711</v>
      </c>
      <c r="J940" t="s" s="2">
        <v>3712</v>
      </c>
      <c r="K940" t="s" s="2">
        <v>22</v>
      </c>
      <c r="L940" t="s" s="2">
        <v>22</v>
      </c>
      <c r="M940" t="s" s="2">
        <v>22</v>
      </c>
    </row>
    <row r="941" ht="25.0" customHeight="true">
      <c r="A941" t="s" s="2">
        <v>13</v>
      </c>
      <c r="B941" t="s" s="2">
        <f>HYPERLINK("http://ts.21cn.com/tousu/show/id/1373141","国美易卡请您接受协商还款")</f>
      </c>
      <c r="C941" t="s" s="2">
        <v>15</v>
      </c>
      <c r="D941" t="s" s="2">
        <v>16</v>
      </c>
      <c r="E941" t="s" s="2">
        <v>17</v>
      </c>
      <c r="F941" t="s" s="2">
        <f>HYPERLINK("http://ts.21cn.com/tousu/show/id/1373141","http://ts.21cn.com/tousu/show/id/1373141")</f>
      </c>
      <c r="G941" t="s" s="2">
        <v>17</v>
      </c>
      <c r="H941" t="s" s="2">
        <v>19</v>
      </c>
      <c r="I941" t="s" s="2">
        <v>3715</v>
      </c>
      <c r="J941" t="s" s="2">
        <v>3716</v>
      </c>
      <c r="K941" t="s" s="2">
        <v>22</v>
      </c>
      <c r="L941" t="s" s="2">
        <v>22</v>
      </c>
      <c r="M941" t="s" s="2">
        <v>22</v>
      </c>
    </row>
    <row r="942" ht="25.0" customHeight="true">
      <c r="A942" t="s" s="2">
        <v>13</v>
      </c>
      <c r="B942" t="s" s="2">
        <f>HYPERLINK("http://ts.21cn.com/tousu/show/id/1373140","每天电话骚扰不断")</f>
      </c>
      <c r="C942" t="s" s="2">
        <v>15</v>
      </c>
      <c r="D942" t="s" s="2">
        <v>16</v>
      </c>
      <c r="E942" t="s" s="2">
        <v>17</v>
      </c>
      <c r="F942" t="s" s="2">
        <f>HYPERLINK("http://ts.21cn.com/tousu/show/id/1373140","http://ts.21cn.com/tousu/show/id/1373140")</f>
      </c>
      <c r="G942" t="s" s="2">
        <v>17</v>
      </c>
      <c r="H942" t="s" s="2">
        <v>19</v>
      </c>
      <c r="I942" t="s" s="2">
        <v>3719</v>
      </c>
      <c r="J942" t="s" s="2">
        <v>3720</v>
      </c>
      <c r="K942" t="s" s="2">
        <v>22</v>
      </c>
      <c r="L942" t="s" s="2">
        <v>22</v>
      </c>
      <c r="M942" t="s" s="2">
        <v>22</v>
      </c>
    </row>
    <row r="943" ht="25.0" customHeight="true">
      <c r="A943" t="s" s="2">
        <v>13</v>
      </c>
      <c r="B943" t="s" s="2">
        <f>HYPERLINK("http://ts.21cn.com/tousu/show/id/1373137","凡普信持续猖狂，暴力催收")</f>
      </c>
      <c r="C943" t="s" s="2">
        <v>15</v>
      </c>
      <c r="D943" t="s" s="2">
        <v>16</v>
      </c>
      <c r="E943" t="s" s="2">
        <v>17</v>
      </c>
      <c r="F943" t="s" s="2">
        <f>HYPERLINK("http://ts.21cn.com/tousu/show/id/1373137","http://ts.21cn.com/tousu/show/id/1373137")</f>
      </c>
      <c r="G943" t="s" s="2">
        <v>17</v>
      </c>
      <c r="H943" t="s" s="2">
        <v>19</v>
      </c>
      <c r="I943" t="s" s="2">
        <v>3723</v>
      </c>
      <c r="J943" t="s" s="2">
        <v>3724</v>
      </c>
      <c r="K943" t="s" s="2">
        <v>22</v>
      </c>
      <c r="L943" t="s" s="2">
        <v>22</v>
      </c>
      <c r="M943" t="s" s="2">
        <v>22</v>
      </c>
    </row>
    <row r="944" ht="25.0" customHeight="true">
      <c r="A944" t="s" s="2">
        <v>13</v>
      </c>
      <c r="B944" t="s" s="2">
        <f>HYPERLINK("http://ts.21cn.com/tousu/show/id/1373139","暴力威胁恐吓")</f>
      </c>
      <c r="C944" t="s" s="2">
        <v>15</v>
      </c>
      <c r="D944" t="s" s="2">
        <v>16</v>
      </c>
      <c r="E944" t="s" s="2">
        <v>17</v>
      </c>
      <c r="F944" t="s" s="2">
        <f>HYPERLINK("http://ts.21cn.com/tousu/show/id/1373139","http://ts.21cn.com/tousu/show/id/1373139")</f>
      </c>
      <c r="G944" t="s" s="2">
        <v>17</v>
      </c>
      <c r="H944" t="s" s="2">
        <v>19</v>
      </c>
      <c r="I944" t="s" s="2">
        <v>3727</v>
      </c>
      <c r="J944" t="s" s="2">
        <v>3728</v>
      </c>
      <c r="K944" t="s" s="2">
        <v>22</v>
      </c>
      <c r="L944" t="s" s="2">
        <v>22</v>
      </c>
      <c r="M944" t="s" s="2">
        <v>22</v>
      </c>
    </row>
    <row r="945" ht="25.0" customHeight="true">
      <c r="A945" t="s" s="2">
        <v>13</v>
      </c>
      <c r="B945" t="s" s="2">
        <f>HYPERLINK("http://ts.21cn.com/tousu/show/id/1373136","喔刷传销")</f>
      </c>
      <c r="C945" t="s" s="2">
        <v>15</v>
      </c>
      <c r="D945" t="s" s="2">
        <v>16</v>
      </c>
      <c r="E945" t="s" s="2">
        <v>17</v>
      </c>
      <c r="F945" t="s" s="2">
        <f>HYPERLINK("http://ts.21cn.com/tousu/show/id/1373136","http://ts.21cn.com/tousu/show/id/1373136")</f>
      </c>
      <c r="G945" t="s" s="2">
        <v>17</v>
      </c>
      <c r="H945" t="s" s="2">
        <v>19</v>
      </c>
      <c r="I945" t="s" s="2">
        <v>3731</v>
      </c>
      <c r="J945" t="s" s="2">
        <v>3732</v>
      </c>
      <c r="K945" t="s" s="2">
        <v>22</v>
      </c>
      <c r="L945" t="s" s="2">
        <v>22</v>
      </c>
      <c r="M945" t="s" s="2">
        <v>22</v>
      </c>
    </row>
    <row r="946" ht="25.0" customHeight="true">
      <c r="A946" t="s" s="2">
        <v>13</v>
      </c>
      <c r="B946" t="s" s="2">
        <f>HYPERLINK("http://ts.21cn.com/tousu/show/id/1373138","360借条威胁爆周边联系人，高额逾期费")</f>
      </c>
      <c r="C946" t="s" s="2">
        <v>15</v>
      </c>
      <c r="D946" t="s" s="2">
        <v>16</v>
      </c>
      <c r="E946" t="s" s="2">
        <v>17</v>
      </c>
      <c r="F946" t="s" s="2">
        <f>HYPERLINK("http://ts.21cn.com/tousu/show/id/1373138","http://ts.21cn.com/tousu/show/id/1373138")</f>
      </c>
      <c r="G946" t="s" s="2">
        <v>17</v>
      </c>
      <c r="H946" t="s" s="2">
        <v>19</v>
      </c>
      <c r="I946" t="s" s="2">
        <v>3735</v>
      </c>
      <c r="J946" t="s" s="2">
        <v>3736</v>
      </c>
      <c r="K946" t="s" s="2">
        <v>22</v>
      </c>
      <c r="L946" t="s" s="2">
        <v>22</v>
      </c>
      <c r="M946" t="s" s="2">
        <v>22</v>
      </c>
    </row>
    <row r="947" ht="25.0" customHeight="true">
      <c r="A947" t="s" s="2">
        <v>13</v>
      </c>
      <c r="B947" t="s" s="2">
        <f>HYPERLINK("http://ts.21cn.com/tousu/show/id/1373135","玖富万卡高利贷，阴阳合同")</f>
      </c>
      <c r="C947" t="s" s="2">
        <v>15</v>
      </c>
      <c r="D947" t="s" s="2">
        <v>16</v>
      </c>
      <c r="E947" t="s" s="2">
        <v>17</v>
      </c>
      <c r="F947" t="s" s="2">
        <f>HYPERLINK("http://ts.21cn.com/tousu/show/id/1373135","http://ts.21cn.com/tousu/show/id/1373135")</f>
      </c>
      <c r="G947" t="s" s="2">
        <v>17</v>
      </c>
      <c r="H947" t="s" s="2">
        <v>19</v>
      </c>
      <c r="I947" t="s" s="2">
        <v>3738</v>
      </c>
      <c r="J947" t="s" s="2">
        <v>3739</v>
      </c>
      <c r="K947" t="s" s="2">
        <v>22</v>
      </c>
      <c r="L947" t="s" s="2">
        <v>22</v>
      </c>
      <c r="M947" t="s" s="2">
        <v>22</v>
      </c>
    </row>
    <row r="948" ht="25.0" customHeight="true">
      <c r="A948" t="s" s="2">
        <v>13</v>
      </c>
      <c r="B948" t="s" s="2">
        <f>HYPERLINK("http://ts.21cn.com/tousu/show/id/1373134","急用钱包通过新生支付恶意扣款")</f>
      </c>
      <c r="C948" t="s" s="2">
        <v>15</v>
      </c>
      <c r="D948" t="s" s="2">
        <v>16</v>
      </c>
      <c r="E948" t="s" s="2">
        <v>17</v>
      </c>
      <c r="F948" t="s" s="2">
        <f>HYPERLINK("http://ts.21cn.com/tousu/show/id/1373134","http://ts.21cn.com/tousu/show/id/1373134")</f>
      </c>
      <c r="G948" t="s" s="2">
        <v>17</v>
      </c>
      <c r="H948" t="s" s="2">
        <v>19</v>
      </c>
      <c r="I948" t="s" s="2">
        <v>3742</v>
      </c>
      <c r="J948" t="s" s="2">
        <v>3743</v>
      </c>
      <c r="K948" t="s" s="2">
        <v>22</v>
      </c>
      <c r="L948" t="s" s="2">
        <v>22</v>
      </c>
      <c r="M948" t="s" s="2">
        <v>22</v>
      </c>
    </row>
    <row r="949" ht="25.0" customHeight="true">
      <c r="A949" t="s" s="2">
        <v>13</v>
      </c>
      <c r="B949" t="s" s="2">
        <f>HYPERLINK("http://ts.21cn.com/tousu/show/id/1373132","我来贷收取高额逾期费，暴力催收")</f>
      </c>
      <c r="C949" t="s" s="2">
        <v>15</v>
      </c>
      <c r="D949" t="s" s="2">
        <v>16</v>
      </c>
      <c r="E949" t="s" s="2">
        <v>17</v>
      </c>
      <c r="F949" t="s" s="2">
        <f>HYPERLINK("http://ts.21cn.com/tousu/show/id/1373132","http://ts.21cn.com/tousu/show/id/1373132")</f>
      </c>
      <c r="G949" t="s" s="2">
        <v>17</v>
      </c>
      <c r="H949" t="s" s="2">
        <v>19</v>
      </c>
      <c r="I949" t="s" s="2">
        <v>3746</v>
      </c>
      <c r="J949" t="s" s="2">
        <v>3747</v>
      </c>
      <c r="K949" t="s" s="2">
        <v>22</v>
      </c>
      <c r="L949" t="s" s="2">
        <v>22</v>
      </c>
      <c r="M949" t="s" s="2">
        <v>22</v>
      </c>
    </row>
    <row r="950" ht="25.0" customHeight="true">
      <c r="A950" t="s" s="2">
        <v>13</v>
      </c>
      <c r="B950" t="s" s="2">
        <f>HYPERLINK("http://ts.21cn.com/tousu/show/id/1373131","淘宝卖家以旧充新，并言语侮辱他人，淘宝平台不闻不问")</f>
      </c>
      <c r="C950" t="s" s="2">
        <v>15</v>
      </c>
      <c r="D950" t="s" s="2">
        <v>16</v>
      </c>
      <c r="E950" t="s" s="2">
        <v>17</v>
      </c>
      <c r="F950" t="s" s="2">
        <f>HYPERLINK("http://ts.21cn.com/tousu/show/id/1373131","http://ts.21cn.com/tousu/show/id/1373131")</f>
      </c>
      <c r="G950" t="s" s="2">
        <v>17</v>
      </c>
      <c r="H950" t="s" s="2">
        <v>19</v>
      </c>
      <c r="I950" t="s" s="2">
        <v>3750</v>
      </c>
      <c r="J950" t="s" s="2">
        <v>3751</v>
      </c>
      <c r="K950" t="s" s="2">
        <v>22</v>
      </c>
      <c r="L950" t="s" s="2">
        <v>22</v>
      </c>
      <c r="M950" t="s" s="2">
        <v>22</v>
      </c>
    </row>
    <row r="951" ht="25.0" customHeight="true">
      <c r="A951" t="s" s="2">
        <v>13</v>
      </c>
      <c r="B951" t="s" s="2">
        <f>HYPERLINK("http://ts.21cn.com/tousu/show/id/1373133","闪银奇异催收人员威胁")</f>
      </c>
      <c r="C951" t="s" s="2">
        <v>15</v>
      </c>
      <c r="D951" t="s" s="2">
        <v>16</v>
      </c>
      <c r="E951" t="s" s="2">
        <v>17</v>
      </c>
      <c r="F951" t="s" s="2">
        <f>HYPERLINK("http://ts.21cn.com/tousu/show/id/1373133","http://ts.21cn.com/tousu/show/id/1373133")</f>
      </c>
      <c r="G951" t="s" s="2">
        <v>17</v>
      </c>
      <c r="H951" t="s" s="2">
        <v>19</v>
      </c>
      <c r="I951" t="s" s="2">
        <v>3754</v>
      </c>
      <c r="J951" t="s" s="2">
        <v>3755</v>
      </c>
      <c r="K951" t="s" s="2">
        <v>22</v>
      </c>
      <c r="L951" t="s" s="2">
        <v>22</v>
      </c>
      <c r="M951" t="s" s="2">
        <v>22</v>
      </c>
    </row>
    <row r="952" ht="25.0" customHeight="true">
      <c r="A952" t="s" s="2">
        <v>13</v>
      </c>
      <c r="B952" t="s" s="2">
        <f>HYPERLINK("http://ts.21cn.com/tousu/show/id/1373129","51人品贷提前还款收取高额各项费用")</f>
      </c>
      <c r="C952" t="s" s="2">
        <v>52</v>
      </c>
      <c r="D952" t="s" s="2">
        <v>16</v>
      </c>
      <c r="E952" t="s" s="2">
        <v>17</v>
      </c>
      <c r="F952" t="s" s="2">
        <f>HYPERLINK("http://ts.21cn.com/tousu/show/id/1373129","http://ts.21cn.com/tousu/show/id/1373129")</f>
      </c>
      <c r="G952" t="s" s="2">
        <v>17</v>
      </c>
      <c r="H952" t="s" s="2">
        <v>19</v>
      </c>
      <c r="I952" t="s" s="2">
        <v>3758</v>
      </c>
      <c r="J952" t="s" s="2">
        <v>3759</v>
      </c>
      <c r="K952" t="s" s="2">
        <v>22</v>
      </c>
      <c r="L952" t="s" s="2">
        <v>22</v>
      </c>
      <c r="M952" t="s" s="2">
        <v>22</v>
      </c>
    </row>
    <row r="953" ht="25.0" customHeight="true">
      <c r="A953" t="s" s="2">
        <v>13</v>
      </c>
      <c r="B953" t="s" s="2">
        <f>HYPERLINK("http://ts.21cn.com/tousu/show/id/1373128","程咬金借款7天借款暴力催收")</f>
      </c>
      <c r="C953" t="s" s="2">
        <v>15</v>
      </c>
      <c r="D953" t="s" s="2">
        <v>16</v>
      </c>
      <c r="E953" t="s" s="2">
        <v>17</v>
      </c>
      <c r="F953" t="s" s="2">
        <f>HYPERLINK("http://ts.21cn.com/tousu/show/id/1373128","http://ts.21cn.com/tousu/show/id/1373128")</f>
      </c>
      <c r="G953" t="s" s="2">
        <v>17</v>
      </c>
      <c r="H953" t="s" s="2">
        <v>19</v>
      </c>
      <c r="I953" t="s" s="2">
        <v>3762</v>
      </c>
      <c r="J953" t="s" s="2">
        <v>3763</v>
      </c>
      <c r="K953" t="s" s="2">
        <v>22</v>
      </c>
      <c r="L953" t="s" s="2">
        <v>22</v>
      </c>
      <c r="M953" t="s" s="2">
        <v>22</v>
      </c>
    </row>
    <row r="954" ht="25.0" customHeight="true">
      <c r="A954" t="s" s="2">
        <v>13</v>
      </c>
      <c r="B954" t="s" s="2">
        <f>HYPERLINK("http://ts.21cn.com/tousu/show/id/1373127","先花一亿元审核通过交了100评测费结果不能借款")</f>
      </c>
      <c r="C954" t="s" s="2">
        <v>15</v>
      </c>
      <c r="D954" t="s" s="2">
        <v>16</v>
      </c>
      <c r="E954" t="s" s="2">
        <v>17</v>
      </c>
      <c r="F954" t="s" s="2">
        <f>HYPERLINK("http://ts.21cn.com/tousu/show/id/1373127","http://ts.21cn.com/tousu/show/id/1373127")</f>
      </c>
      <c r="G954" t="s" s="2">
        <v>17</v>
      </c>
      <c r="H954" t="s" s="2">
        <v>19</v>
      </c>
      <c r="I954" t="s" s="2">
        <v>3766</v>
      </c>
      <c r="J954" t="s" s="2">
        <v>3767</v>
      </c>
      <c r="K954" t="s" s="2">
        <v>22</v>
      </c>
      <c r="L954" t="s" s="2">
        <v>22</v>
      </c>
      <c r="M954" t="s" s="2">
        <v>22</v>
      </c>
    </row>
    <row r="955" ht="25.0" customHeight="true">
      <c r="A955" t="s" s="2">
        <v>13</v>
      </c>
      <c r="B955" t="s" s="2">
        <f>HYPERLINK("http://ts.21cn.com/tousu/show/id/1373126","不退钱不放款")</f>
      </c>
      <c r="C955" t="s" s="2">
        <v>15</v>
      </c>
      <c r="D955" t="s" s="2">
        <v>16</v>
      </c>
      <c r="E955" t="s" s="2">
        <v>17</v>
      </c>
      <c r="F955" t="s" s="2">
        <f>HYPERLINK("http://ts.21cn.com/tousu/show/id/1373126","http://ts.21cn.com/tousu/show/id/1373126")</f>
      </c>
      <c r="G955" t="s" s="2">
        <v>17</v>
      </c>
      <c r="H955" t="s" s="2">
        <v>19</v>
      </c>
      <c r="I955" t="s" s="2">
        <v>3770</v>
      </c>
      <c r="J955" t="s" s="2">
        <v>3771</v>
      </c>
      <c r="K955" t="s" s="2">
        <v>22</v>
      </c>
      <c r="L955" t="s" s="2">
        <v>22</v>
      </c>
      <c r="M955" t="s" s="2">
        <v>22</v>
      </c>
    </row>
    <row r="956" ht="25.0" customHeight="true">
      <c r="A956" t="s" s="2">
        <v>13</v>
      </c>
      <c r="B956" t="s" s="2">
        <f>HYPERLINK("http://ts.21cn.com/tousu/show/id/1373124","虚假商品收钱不给予发货")</f>
      </c>
      <c r="C956" t="s" s="2">
        <v>15</v>
      </c>
      <c r="D956" t="s" s="2">
        <v>16</v>
      </c>
      <c r="E956" t="s" s="2">
        <v>17</v>
      </c>
      <c r="F956" t="s" s="2">
        <f>HYPERLINK("http://ts.21cn.com/tousu/show/id/1373124","http://ts.21cn.com/tousu/show/id/1373124")</f>
      </c>
      <c r="G956" t="s" s="2">
        <v>17</v>
      </c>
      <c r="H956" t="s" s="2">
        <v>19</v>
      </c>
      <c r="I956" t="s" s="2">
        <v>3774</v>
      </c>
      <c r="J956" t="s" s="2">
        <v>3775</v>
      </c>
      <c r="K956" t="s" s="2">
        <v>22</v>
      </c>
      <c r="L956" t="s" s="2">
        <v>22</v>
      </c>
      <c r="M956" t="s" s="2">
        <v>22</v>
      </c>
    </row>
    <row r="957" ht="25.0" customHeight="true">
      <c r="A957" t="s" s="2">
        <v>13</v>
      </c>
      <c r="B957" t="s" s="2">
        <f>HYPERLINK("http://ts.21cn.com/tousu/show/id/1373125","你借我有协商还款")</f>
      </c>
      <c r="C957" t="s" s="2">
        <v>52</v>
      </c>
      <c r="D957" t="s" s="2">
        <v>16</v>
      </c>
      <c r="E957" t="s" s="2">
        <v>17</v>
      </c>
      <c r="F957" t="s" s="2">
        <f>HYPERLINK("http://ts.21cn.com/tousu/show/id/1373125","http://ts.21cn.com/tousu/show/id/1373125")</f>
      </c>
      <c r="G957" t="s" s="2">
        <v>17</v>
      </c>
      <c r="H957" t="s" s="2">
        <v>19</v>
      </c>
      <c r="I957" t="s" s="2">
        <v>3778</v>
      </c>
      <c r="J957" t="s" s="2">
        <v>3779</v>
      </c>
      <c r="K957" t="s" s="2">
        <v>22</v>
      </c>
      <c r="L957" t="s" s="2">
        <v>22</v>
      </c>
      <c r="M957" t="s" s="2">
        <v>22</v>
      </c>
    </row>
    <row r="958" ht="25.0" customHeight="true">
      <c r="A958" t="s" s="2">
        <v>13</v>
      </c>
      <c r="B958" t="s" s="2">
        <f>HYPERLINK("http://ts.21cn.com/tousu/show/id/1373123","升学教育不退款")</f>
      </c>
      <c r="C958" t="s" s="2">
        <v>15</v>
      </c>
      <c r="D958" t="s" s="2">
        <v>16</v>
      </c>
      <c r="E958" t="s" s="2">
        <v>17</v>
      </c>
      <c r="F958" t="s" s="2">
        <f>HYPERLINK("http://ts.21cn.com/tousu/show/id/1373123","http://ts.21cn.com/tousu/show/id/1373123")</f>
      </c>
      <c r="G958" t="s" s="2">
        <v>17</v>
      </c>
      <c r="H958" t="s" s="2">
        <v>19</v>
      </c>
      <c r="I958" t="s" s="2">
        <v>3782</v>
      </c>
      <c r="J958" t="s" s="2">
        <v>3783</v>
      </c>
      <c r="K958" t="s" s="2">
        <v>22</v>
      </c>
      <c r="L958" t="s" s="2">
        <v>22</v>
      </c>
      <c r="M958" t="s" s="2">
        <v>22</v>
      </c>
    </row>
    <row r="959" ht="25.0" customHeight="true">
      <c r="A959" t="s" s="2">
        <v>13</v>
      </c>
      <c r="B959" t="s" s="2">
        <f>HYPERLINK("http://ts.21cn.com/tousu/show/id/1373121","爱钱进私自行为让客户的钱无法出来")</f>
      </c>
      <c r="C959" t="s" s="2">
        <v>15</v>
      </c>
      <c r="D959" t="s" s="2">
        <v>16</v>
      </c>
      <c r="E959" t="s" s="2">
        <v>17</v>
      </c>
      <c r="F959" t="s" s="2">
        <f>HYPERLINK("http://ts.21cn.com/tousu/show/id/1373121","http://ts.21cn.com/tousu/show/id/1373121")</f>
      </c>
      <c r="G959" t="s" s="2">
        <v>17</v>
      </c>
      <c r="H959" t="s" s="2">
        <v>19</v>
      </c>
      <c r="I959" t="s" s="2">
        <v>3786</v>
      </c>
      <c r="J959" t="s" s="2">
        <v>3787</v>
      </c>
      <c r="K959" t="s" s="2">
        <v>22</v>
      </c>
      <c r="L959" t="s" s="2">
        <v>22</v>
      </c>
      <c r="M959" t="s" s="2">
        <v>22</v>
      </c>
    </row>
    <row r="960" ht="25.0" customHeight="true">
      <c r="A960" t="s" s="2">
        <v>13</v>
      </c>
      <c r="B960" t="s" s="2">
        <f>HYPERLINK("http://ts.21cn.com/tousu/show/id/1373122","好易贷高利贷")</f>
      </c>
      <c r="C960" t="s" s="2">
        <v>15</v>
      </c>
      <c r="D960" t="s" s="2">
        <v>16</v>
      </c>
      <c r="E960" t="s" s="2">
        <v>17</v>
      </c>
      <c r="F960" t="s" s="2">
        <f>HYPERLINK("http://ts.21cn.com/tousu/show/id/1373122","http://ts.21cn.com/tousu/show/id/1373122")</f>
      </c>
      <c r="G960" t="s" s="2">
        <v>17</v>
      </c>
      <c r="H960" t="s" s="2">
        <v>19</v>
      </c>
      <c r="I960" t="s" s="2">
        <v>3790</v>
      </c>
      <c r="J960" t="s" s="2">
        <v>3791</v>
      </c>
      <c r="K960" t="s" s="2">
        <v>22</v>
      </c>
      <c r="L960" t="s" s="2">
        <v>22</v>
      </c>
      <c r="M960" t="s" s="2">
        <v>22</v>
      </c>
    </row>
    <row r="961" ht="25.0" customHeight="true">
      <c r="A961" t="s" s="2">
        <v>13</v>
      </c>
      <c r="B961" t="s" s="2">
        <f>HYPERLINK("http://ts.21cn.com/tousu/show/id/1372273","天猫超市买到变质长虫的大米")</f>
      </c>
      <c r="C961" t="s" s="2">
        <v>52</v>
      </c>
      <c r="D961" t="s" s="2">
        <v>16</v>
      </c>
      <c r="E961" t="s" s="2">
        <v>17</v>
      </c>
      <c r="F961" t="s" s="2">
        <f>HYPERLINK("http://ts.21cn.com/tousu/show/id/1372273","http://ts.21cn.com/tousu/show/id/1372273")</f>
      </c>
      <c r="G961" t="s" s="2">
        <v>17</v>
      </c>
      <c r="H961" t="s" s="2">
        <v>19</v>
      </c>
      <c r="I961" t="s" s="2">
        <v>3794</v>
      </c>
      <c r="J961" t="s" s="2">
        <v>3795</v>
      </c>
      <c r="K961" t="s" s="2">
        <v>22</v>
      </c>
      <c r="L961" t="s" s="2">
        <v>22</v>
      </c>
      <c r="M961" t="s" s="2">
        <v>22</v>
      </c>
    </row>
    <row r="962" ht="25.0" customHeight="true">
      <c r="A962" t="s" s="2">
        <v>13</v>
      </c>
      <c r="B962" t="s" s="2">
        <f>HYPERLINK("http://ts.21cn.com/tousu/show/id/1373120","客服一直说给协商处理，一直没有结果")</f>
      </c>
      <c r="C962" t="s" s="2">
        <v>15</v>
      </c>
      <c r="D962" t="s" s="2">
        <v>16</v>
      </c>
      <c r="E962" t="s" s="2">
        <v>17</v>
      </c>
      <c r="F962" t="s" s="2">
        <f>HYPERLINK("http://ts.21cn.com/tousu/show/id/1373120","http://ts.21cn.com/tousu/show/id/1373120")</f>
      </c>
      <c r="G962" t="s" s="2">
        <v>17</v>
      </c>
      <c r="H962" t="s" s="2">
        <v>19</v>
      </c>
      <c r="I962" t="s" s="2">
        <v>3798</v>
      </c>
      <c r="J962" t="s" s="2">
        <v>3799</v>
      </c>
      <c r="K962" t="s" s="2">
        <v>22</v>
      </c>
      <c r="L962" t="s" s="2">
        <v>22</v>
      </c>
      <c r="M962" t="s" s="2">
        <v>22</v>
      </c>
    </row>
    <row r="963" ht="25.0" customHeight="true">
      <c r="A963" t="s" s="2">
        <v>13</v>
      </c>
      <c r="B963" t="s" s="2">
        <f>HYPERLINK("http://ts.21cn.com/tousu/show/id/1373119","期待合伙人（期待科技））高利贷、砍头息、暴力恐吓催收")</f>
      </c>
      <c r="C963" t="s" s="2">
        <v>15</v>
      </c>
      <c r="D963" t="s" s="2">
        <v>16</v>
      </c>
      <c r="E963" t="s" s="2">
        <v>17</v>
      </c>
      <c r="F963" t="s" s="2">
        <f>HYPERLINK("http://ts.21cn.com/tousu/show/id/1373119","http://ts.21cn.com/tousu/show/id/1373119")</f>
      </c>
      <c r="G963" t="s" s="2">
        <v>17</v>
      </c>
      <c r="H963" t="s" s="2">
        <v>19</v>
      </c>
      <c r="I963" t="s" s="2">
        <v>3802</v>
      </c>
      <c r="J963" t="s" s="2">
        <v>3803</v>
      </c>
      <c r="K963" t="s" s="2">
        <v>22</v>
      </c>
      <c r="L963" t="s" s="2">
        <v>22</v>
      </c>
      <c r="M963" t="s" s="2">
        <v>22</v>
      </c>
    </row>
    <row r="964" ht="25.0" customHeight="true">
      <c r="A964" t="s" s="2">
        <v>13</v>
      </c>
      <c r="B964" t="s" s="2">
        <f>HYPERLINK("http://ts.21cn.com/tousu/show/id/1373116","恒富创融科技·钱橙无忧强制扣费")</f>
      </c>
      <c r="C964" t="s" s="2">
        <v>15</v>
      </c>
      <c r="D964" t="s" s="2">
        <v>16</v>
      </c>
      <c r="E964" t="s" s="2">
        <v>17</v>
      </c>
      <c r="F964" t="s" s="2">
        <f>HYPERLINK("http://ts.21cn.com/tousu/show/id/1373116","http://ts.21cn.com/tousu/show/id/1373116")</f>
      </c>
      <c r="G964" t="s" s="2">
        <v>17</v>
      </c>
      <c r="H964" t="s" s="2">
        <v>19</v>
      </c>
      <c r="I964" t="s" s="2">
        <v>3806</v>
      </c>
      <c r="J964" t="s" s="2">
        <v>3807</v>
      </c>
      <c r="K964" t="s" s="2">
        <v>22</v>
      </c>
      <c r="L964" t="s" s="2">
        <v>22</v>
      </c>
      <c r="M964" t="s" s="2">
        <v>22</v>
      </c>
    </row>
    <row r="965" ht="25.0" customHeight="true">
      <c r="A965" t="s" s="2">
        <v>13</v>
      </c>
      <c r="B965" t="s" s="2">
        <f>HYPERLINK("http://ts.21cn.com/tousu/show/id/1373115","金鹰钱包714平台高利贷")</f>
      </c>
      <c r="C965" t="s" s="2">
        <v>15</v>
      </c>
      <c r="D965" t="s" s="2">
        <v>16</v>
      </c>
      <c r="E965" t="s" s="2">
        <v>17</v>
      </c>
      <c r="F965" t="s" s="2">
        <f>HYPERLINK("http://ts.21cn.com/tousu/show/id/1373115","http://ts.21cn.com/tousu/show/id/1373115")</f>
      </c>
      <c r="G965" t="s" s="2">
        <v>17</v>
      </c>
      <c r="H965" t="s" s="2">
        <v>19</v>
      </c>
      <c r="I965" t="s" s="2">
        <v>3810</v>
      </c>
      <c r="J965" t="s" s="2">
        <v>3811</v>
      </c>
      <c r="K965" t="s" s="2">
        <v>22</v>
      </c>
      <c r="L965" t="s" s="2">
        <v>22</v>
      </c>
      <c r="M965" t="s" s="2">
        <v>22</v>
      </c>
    </row>
    <row r="966" ht="25.0" customHeight="true">
      <c r="A966" t="s" s="2">
        <v>13</v>
      </c>
      <c r="B966" t="s" s="2">
        <f>HYPERLINK("http://ts.21cn.com/tousu/show/id/1373117","立借套路贷")</f>
      </c>
      <c r="C966" t="s" s="2">
        <v>15</v>
      </c>
      <c r="D966" t="s" s="2">
        <v>16</v>
      </c>
      <c r="E966" t="s" s="2">
        <v>17</v>
      </c>
      <c r="F966" t="s" s="2">
        <f>HYPERLINK("http://ts.21cn.com/tousu/show/id/1373117","http://ts.21cn.com/tousu/show/id/1373117")</f>
      </c>
      <c r="G966" t="s" s="2">
        <v>17</v>
      </c>
      <c r="H966" t="s" s="2">
        <v>19</v>
      </c>
      <c r="I966" t="s" s="2">
        <v>3814</v>
      </c>
      <c r="J966" t="s" s="2">
        <v>3815</v>
      </c>
      <c r="K966" t="s" s="2">
        <v>22</v>
      </c>
      <c r="L966" t="s" s="2">
        <v>22</v>
      </c>
      <c r="M966" t="s" s="2">
        <v>22</v>
      </c>
    </row>
    <row r="967" ht="25.0" customHeight="true">
      <c r="A967" t="s" s="2">
        <v>13</v>
      </c>
      <c r="B967" t="s" s="2">
        <f>HYPERLINK("http://ts.21cn.com/tousu/show/id/1373114","招联金融威胁恐吓")</f>
      </c>
      <c r="C967" t="s" s="2">
        <v>15</v>
      </c>
      <c r="D967" t="s" s="2">
        <v>16</v>
      </c>
      <c r="E967" t="s" s="2">
        <v>17</v>
      </c>
      <c r="F967" t="s" s="2">
        <f>HYPERLINK("http://ts.21cn.com/tousu/show/id/1373114","http://ts.21cn.com/tousu/show/id/1373114")</f>
      </c>
      <c r="G967" t="s" s="2">
        <v>17</v>
      </c>
      <c r="H967" t="s" s="2">
        <v>19</v>
      </c>
      <c r="I967" t="s" s="2">
        <v>3818</v>
      </c>
      <c r="J967" t="s" s="2">
        <v>3819</v>
      </c>
      <c r="K967" t="s" s="2">
        <v>22</v>
      </c>
      <c r="L967" t="s" s="2">
        <v>22</v>
      </c>
      <c r="M967" t="s" s="2">
        <v>22</v>
      </c>
    </row>
    <row r="968" ht="25.0" customHeight="true">
      <c r="A968" t="s" s="2">
        <v>13</v>
      </c>
      <c r="B968" t="s" s="2">
        <f>HYPERLINK("http://ts.21cn.com/tousu/show/id/1373113","平安人寿保险离职后不退还入职保证金")</f>
      </c>
      <c r="C968" t="s" s="2">
        <v>15</v>
      </c>
      <c r="D968" t="s" s="2">
        <v>16</v>
      </c>
      <c r="E968" t="s" s="2">
        <v>17</v>
      </c>
      <c r="F968" t="s" s="2">
        <f>HYPERLINK("http://ts.21cn.com/tousu/show/id/1373113","http://ts.21cn.com/tousu/show/id/1373113")</f>
      </c>
      <c r="G968" t="s" s="2">
        <v>17</v>
      </c>
      <c r="H968" t="s" s="2">
        <v>19</v>
      </c>
      <c r="I968" t="s" s="2">
        <v>3822</v>
      </c>
      <c r="J968" t="s" s="2">
        <v>3823</v>
      </c>
      <c r="K968" t="s" s="2">
        <v>22</v>
      </c>
      <c r="L968" t="s" s="2">
        <v>22</v>
      </c>
      <c r="M968" t="s" s="2">
        <v>22</v>
      </c>
    </row>
    <row r="969" ht="25.0" customHeight="true">
      <c r="A969" t="s" s="2">
        <v>13</v>
      </c>
      <c r="B969" t="s" s="2">
        <f>HYPERLINK("http://ts.21cn.com/tousu/show/id/1373111","暴力威胁催收")</f>
      </c>
      <c r="C969" t="s" s="2">
        <v>15</v>
      </c>
      <c r="D969" t="s" s="2">
        <v>16</v>
      </c>
      <c r="E969" t="s" s="2">
        <v>17</v>
      </c>
      <c r="F969" t="s" s="2">
        <f>HYPERLINK("http://ts.21cn.com/tousu/show/id/1373111","http://ts.21cn.com/tousu/show/id/1373111")</f>
      </c>
      <c r="G969" t="s" s="2">
        <v>17</v>
      </c>
      <c r="H969" t="s" s="2">
        <v>19</v>
      </c>
      <c r="I969" t="s" s="2">
        <v>3825</v>
      </c>
      <c r="J969" t="s" s="2">
        <v>3826</v>
      </c>
      <c r="K969" t="s" s="2">
        <v>22</v>
      </c>
      <c r="L969" t="s" s="2">
        <v>22</v>
      </c>
      <c r="M969" t="s" s="2">
        <v>22</v>
      </c>
    </row>
    <row r="970" ht="25.0" customHeight="true">
      <c r="A970" t="s" s="2">
        <v>13</v>
      </c>
      <c r="B970" t="s" s="2">
        <f>HYPERLINK("http://ts.21cn.com/tousu/show/id/1373112","爱上街套路不能分期了")</f>
      </c>
      <c r="C970" t="s" s="2">
        <v>15</v>
      </c>
      <c r="D970" t="s" s="2">
        <v>16</v>
      </c>
      <c r="E970" t="s" s="2">
        <v>17</v>
      </c>
      <c r="F970" t="s" s="2">
        <f>HYPERLINK("http://ts.21cn.com/tousu/show/id/1373112","http://ts.21cn.com/tousu/show/id/1373112")</f>
      </c>
      <c r="G970" t="s" s="2">
        <v>17</v>
      </c>
      <c r="H970" t="s" s="2">
        <v>19</v>
      </c>
      <c r="I970" t="s" s="2">
        <v>3829</v>
      </c>
      <c r="J970" t="s" s="2">
        <v>3830</v>
      </c>
      <c r="K970" t="s" s="2">
        <v>22</v>
      </c>
      <c r="L970" t="s" s="2">
        <v>22</v>
      </c>
      <c r="M970" t="s" s="2">
        <v>22</v>
      </c>
    </row>
    <row r="971" ht="25.0" customHeight="true">
      <c r="A971" t="s" s="2">
        <v>13</v>
      </c>
      <c r="B971" t="s" s="2">
        <f>HYPERLINK("http://ts.21cn.com/tousu/show/id/1373110","北京众慧科技有限公司（闪电借款）恶意 电话骚扰")</f>
      </c>
      <c r="C971" t="s" s="2">
        <v>15</v>
      </c>
      <c r="D971" t="s" s="2">
        <v>16</v>
      </c>
      <c r="E971" t="s" s="2">
        <v>17</v>
      </c>
      <c r="F971" t="s" s="2">
        <f>HYPERLINK("http://ts.21cn.com/tousu/show/id/1373110","http://ts.21cn.com/tousu/show/id/1373110")</f>
      </c>
      <c r="G971" t="s" s="2">
        <v>17</v>
      </c>
      <c r="H971" t="s" s="2">
        <v>19</v>
      </c>
      <c r="I971" t="s" s="2">
        <v>3833</v>
      </c>
      <c r="J971" t="s" s="2">
        <v>3834</v>
      </c>
      <c r="K971" t="s" s="2">
        <v>22</v>
      </c>
      <c r="L971" t="s" s="2">
        <v>22</v>
      </c>
      <c r="M971" t="s" s="2">
        <v>22</v>
      </c>
    </row>
    <row r="972" ht="25.0" customHeight="true">
      <c r="A972" t="s" s="2">
        <v>13</v>
      </c>
      <c r="B972" t="s" s="2">
        <f>HYPERLINK("http://ts.21cn.com/tousu/show/id/1372692","拼多多商户涉嫌为博彩黑平台收款")</f>
      </c>
      <c r="C972" t="s" s="2">
        <v>15</v>
      </c>
      <c r="D972" t="s" s="2">
        <v>16</v>
      </c>
      <c r="E972" t="s" s="2">
        <v>17</v>
      </c>
      <c r="F972" t="s" s="2">
        <f>HYPERLINK("http://ts.21cn.com/tousu/show/id/1372692","http://ts.21cn.com/tousu/show/id/1372692")</f>
      </c>
      <c r="G972" t="s" s="2">
        <v>17</v>
      </c>
      <c r="H972" t="s" s="2">
        <v>19</v>
      </c>
      <c r="I972" t="s" s="2">
        <v>3837</v>
      </c>
      <c r="J972" t="s" s="2">
        <v>3838</v>
      </c>
      <c r="K972" t="s" s="2">
        <v>22</v>
      </c>
      <c r="L972" t="s" s="2">
        <v>22</v>
      </c>
      <c r="M972" t="s" s="2">
        <v>22</v>
      </c>
    </row>
    <row r="973" ht="25.0" customHeight="true">
      <c r="A973" t="s" s="2">
        <v>13</v>
      </c>
      <c r="B973" t="s" s="2">
        <f>HYPERLINK("http://ts.21cn.com/tousu/show/id/1373092","多次与兴业银行沟通第三方仍然威逼一次性还款")</f>
      </c>
      <c r="C973" t="s" s="2">
        <v>15</v>
      </c>
      <c r="D973" t="s" s="2">
        <v>16</v>
      </c>
      <c r="E973" t="s" s="2">
        <v>17</v>
      </c>
      <c r="F973" t="s" s="2">
        <f>HYPERLINK("http://ts.21cn.com/tousu/show/id/1373092","http://ts.21cn.com/tousu/show/id/1373092")</f>
      </c>
      <c r="G973" t="s" s="2">
        <v>17</v>
      </c>
      <c r="H973" t="s" s="2">
        <v>19</v>
      </c>
      <c r="I973" t="s" s="2">
        <v>3841</v>
      </c>
      <c r="J973" t="s" s="2">
        <v>3842</v>
      </c>
      <c r="K973" t="s" s="2">
        <v>22</v>
      </c>
      <c r="L973" t="s" s="2">
        <v>22</v>
      </c>
      <c r="M973" t="s" s="2">
        <v>22</v>
      </c>
    </row>
    <row r="974" ht="25.0" customHeight="true">
      <c r="A974" t="s" s="2">
        <v>13</v>
      </c>
      <c r="B974" t="s" s="2">
        <f>HYPERLINK("http://ts.21cn.com/tousu/show/id/1373108","高利贷，催收")</f>
      </c>
      <c r="C974" t="s" s="2">
        <v>15</v>
      </c>
      <c r="D974" t="s" s="2">
        <v>16</v>
      </c>
      <c r="E974" t="s" s="2">
        <v>17</v>
      </c>
      <c r="F974" t="s" s="2">
        <f>HYPERLINK("http://ts.21cn.com/tousu/show/id/1373108","http://ts.21cn.com/tousu/show/id/1373108")</f>
      </c>
      <c r="G974" t="s" s="2">
        <v>17</v>
      </c>
      <c r="H974" t="s" s="2">
        <v>19</v>
      </c>
      <c r="I974" t="s" s="2">
        <v>3845</v>
      </c>
      <c r="J974" t="s" s="2">
        <v>3846</v>
      </c>
      <c r="K974" t="s" s="2">
        <v>22</v>
      </c>
      <c r="L974" t="s" s="2">
        <v>22</v>
      </c>
      <c r="M974" t="s" s="2">
        <v>22</v>
      </c>
    </row>
    <row r="975" ht="25.0" customHeight="true">
      <c r="A975" t="s" s="2">
        <v>13</v>
      </c>
      <c r="B975" t="s" s="2">
        <f>HYPERLINK("http://ts.21cn.com/tousu/show/id/1373109","苏打优选恶意出售问题商品")</f>
      </c>
      <c r="C975" t="s" s="2">
        <v>15</v>
      </c>
      <c r="D975" t="s" s="2">
        <v>16</v>
      </c>
      <c r="E975" t="s" s="2">
        <v>17</v>
      </c>
      <c r="F975" t="s" s="2">
        <f>HYPERLINK("http://ts.21cn.com/tousu/show/id/1373109","http://ts.21cn.com/tousu/show/id/1373109")</f>
      </c>
      <c r="G975" t="s" s="2">
        <v>17</v>
      </c>
      <c r="H975" t="s" s="2">
        <v>19</v>
      </c>
      <c r="I975" t="s" s="2">
        <v>3849</v>
      </c>
      <c r="J975" t="s" s="2">
        <v>3850</v>
      </c>
      <c r="K975" t="s" s="2">
        <v>22</v>
      </c>
      <c r="L975" t="s" s="2">
        <v>22</v>
      </c>
      <c r="M975" t="s" s="2">
        <v>22</v>
      </c>
    </row>
    <row r="976" ht="25.0" customHeight="true">
      <c r="A976" t="s" s="2">
        <v>13</v>
      </c>
      <c r="B976" t="s" s="2">
        <f>HYPERLINK("http://ts.21cn.com/tousu/show/id/1373107","飞猪旅行非自愿退票等待时间过长，一直处于受理状态")</f>
      </c>
      <c r="C976" t="s" s="2">
        <v>15</v>
      </c>
      <c r="D976" t="s" s="2">
        <v>16</v>
      </c>
      <c r="E976" t="s" s="2">
        <v>17</v>
      </c>
      <c r="F976" t="s" s="2">
        <f>HYPERLINK("http://ts.21cn.com/tousu/show/id/1373107","http://ts.21cn.com/tousu/show/id/1373107")</f>
      </c>
      <c r="G976" t="s" s="2">
        <v>17</v>
      </c>
      <c r="H976" t="s" s="2">
        <v>19</v>
      </c>
      <c r="I976" t="s" s="2">
        <v>3853</v>
      </c>
      <c r="J976" t="s" s="2">
        <v>3854</v>
      </c>
      <c r="K976" t="s" s="2">
        <v>22</v>
      </c>
      <c r="L976" t="s" s="2">
        <v>22</v>
      </c>
      <c r="M976" t="s" s="2">
        <v>22</v>
      </c>
    </row>
    <row r="977" ht="25.0" customHeight="true">
      <c r="A977" t="s" s="2">
        <v>13</v>
      </c>
      <c r="B977" t="s" s="2">
        <f>HYPERLINK("http://ts.21cn.com/tousu/show/id/1373106","中信银行没完没了骚扰")</f>
      </c>
      <c r="C977" t="s" s="2">
        <v>15</v>
      </c>
      <c r="D977" t="s" s="2">
        <v>16</v>
      </c>
      <c r="E977" t="s" s="2">
        <v>17</v>
      </c>
      <c r="F977" t="s" s="2">
        <f>HYPERLINK("http://ts.21cn.com/tousu/show/id/1373106","http://ts.21cn.com/tousu/show/id/1373106")</f>
      </c>
      <c r="G977" t="s" s="2">
        <v>17</v>
      </c>
      <c r="H977" t="s" s="2">
        <v>19</v>
      </c>
      <c r="I977" t="s" s="2">
        <v>3857</v>
      </c>
      <c r="J977" t="s" s="2">
        <v>3858</v>
      </c>
      <c r="K977" t="s" s="2">
        <v>22</v>
      </c>
      <c r="L977" t="s" s="2">
        <v>22</v>
      </c>
      <c r="M977" t="s" s="2">
        <v>22</v>
      </c>
    </row>
    <row r="978" ht="25.0" customHeight="true">
      <c r="A978" t="s" s="2">
        <v>13</v>
      </c>
      <c r="B978" t="s" s="2">
        <f>HYPERLINK("http://ts.21cn.com/tousu/show/id/1373105","快闪卡贷（小闪分期）与中国人民保险集团捆绑兜售保险，光大银行苏州分行放款，高额砍头息，套路贷")</f>
      </c>
      <c r="C978" t="s" s="2">
        <v>15</v>
      </c>
      <c r="D978" t="s" s="2">
        <v>16</v>
      </c>
      <c r="E978" t="s" s="2">
        <v>17</v>
      </c>
      <c r="F978" t="s" s="2">
        <f>HYPERLINK("http://ts.21cn.com/tousu/show/id/1373105","http://ts.21cn.com/tousu/show/id/1373105")</f>
      </c>
      <c r="G978" t="s" s="2">
        <v>17</v>
      </c>
      <c r="H978" t="s" s="2">
        <v>19</v>
      </c>
      <c r="I978" t="s" s="2">
        <v>3861</v>
      </c>
      <c r="J978" t="s" s="2">
        <v>3862</v>
      </c>
      <c r="K978" t="s" s="2">
        <v>22</v>
      </c>
      <c r="L978" t="s" s="2">
        <v>22</v>
      </c>
      <c r="M978" t="s" s="2">
        <v>22</v>
      </c>
    </row>
    <row r="979" ht="25.0" customHeight="true">
      <c r="A979" t="s" s="2">
        <v>13</v>
      </c>
      <c r="B979" t="s" s="2">
        <f>HYPERLINK("http://ts.21cn.com/tousu/show/id/1373104","伪造立案通知")</f>
      </c>
      <c r="C979" t="s" s="2">
        <v>15</v>
      </c>
      <c r="D979" t="s" s="2">
        <v>16</v>
      </c>
      <c r="E979" t="s" s="2">
        <v>17</v>
      </c>
      <c r="F979" t="s" s="2">
        <f>HYPERLINK("http://ts.21cn.com/tousu/show/id/1373104","http://ts.21cn.com/tousu/show/id/1373104")</f>
      </c>
      <c r="G979" t="s" s="2">
        <v>17</v>
      </c>
      <c r="H979" t="s" s="2">
        <v>19</v>
      </c>
      <c r="I979" t="s" s="2">
        <v>3865</v>
      </c>
      <c r="J979" t="s" s="2">
        <v>3866</v>
      </c>
      <c r="K979" t="s" s="2">
        <v>22</v>
      </c>
      <c r="L979" t="s" s="2">
        <v>22</v>
      </c>
      <c r="M979" t="s" s="2">
        <v>22</v>
      </c>
    </row>
    <row r="980" ht="25.0" customHeight="true">
      <c r="A980" t="s" s="2">
        <v>13</v>
      </c>
      <c r="B980" t="s" s="2">
        <f>HYPERLINK("http://ts.21cn.com/tousu/show/id/1373103","从退款到现在两个月了")</f>
      </c>
      <c r="C980" t="s" s="2">
        <v>15</v>
      </c>
      <c r="D980" t="s" s="2">
        <v>16</v>
      </c>
      <c r="E980" t="s" s="2">
        <v>17</v>
      </c>
      <c r="F980" t="s" s="2">
        <f>HYPERLINK("http://ts.21cn.com/tousu/show/id/1373103","http://ts.21cn.com/tousu/show/id/1373103")</f>
      </c>
      <c r="G980" t="s" s="2">
        <v>17</v>
      </c>
      <c r="H980" t="s" s="2">
        <v>19</v>
      </c>
      <c r="I980" t="s" s="2">
        <v>3869</v>
      </c>
      <c r="J980" t="s" s="2">
        <v>3870</v>
      </c>
      <c r="K980" t="s" s="2">
        <v>22</v>
      </c>
      <c r="L980" t="s" s="2">
        <v>22</v>
      </c>
      <c r="M980" t="s" s="2">
        <v>22</v>
      </c>
    </row>
    <row r="981" ht="25.0" customHeight="true">
      <c r="A981" t="s" s="2">
        <v>13</v>
      </c>
      <c r="B981" t="s" s="2">
        <f>HYPERLINK("http://ts.21cn.com/tousu/show/id/1373102","平安普惠i贷无法提前结清")</f>
      </c>
      <c r="C981" t="s" s="2">
        <v>52</v>
      </c>
      <c r="D981" t="s" s="2">
        <v>16</v>
      </c>
      <c r="E981" t="s" s="2">
        <v>17</v>
      </c>
      <c r="F981" t="s" s="2">
        <f>HYPERLINK("http://ts.21cn.com/tousu/show/id/1373102","http://ts.21cn.com/tousu/show/id/1373102")</f>
      </c>
      <c r="G981" t="s" s="2">
        <v>17</v>
      </c>
      <c r="H981" t="s" s="2">
        <v>19</v>
      </c>
      <c r="I981" t="s" s="2">
        <v>3873</v>
      </c>
      <c r="J981" t="s" s="2">
        <v>3874</v>
      </c>
      <c r="K981" t="s" s="2">
        <v>22</v>
      </c>
      <c r="L981" t="s" s="2">
        <v>22</v>
      </c>
      <c r="M981" t="s" s="2">
        <v>22</v>
      </c>
    </row>
    <row r="982" ht="25.0" customHeight="true">
      <c r="A982" t="s" s="2">
        <v>13</v>
      </c>
      <c r="B982" t="s" s="2">
        <f>HYPERLINK("http://ts.21cn.com/tousu/show/id/1373101","钱站高利贷阴阳合同")</f>
      </c>
      <c r="C982" t="s" s="2">
        <v>15</v>
      </c>
      <c r="D982" t="s" s="2">
        <v>16</v>
      </c>
      <c r="E982" t="s" s="2">
        <v>17</v>
      </c>
      <c r="F982" t="s" s="2">
        <f>HYPERLINK("http://ts.21cn.com/tousu/show/id/1373101","http://ts.21cn.com/tousu/show/id/1373101")</f>
      </c>
      <c r="G982" t="s" s="2">
        <v>17</v>
      </c>
      <c r="H982" t="s" s="2">
        <v>19</v>
      </c>
      <c r="I982" t="s" s="2">
        <v>3876</v>
      </c>
      <c r="J982" t="s" s="2">
        <v>3877</v>
      </c>
      <c r="K982" t="s" s="2">
        <v>22</v>
      </c>
      <c r="L982" t="s" s="2">
        <v>22</v>
      </c>
      <c r="M982" t="s" s="2">
        <v>22</v>
      </c>
    </row>
    <row r="983" ht="25.0" customHeight="true">
      <c r="A983" t="s" s="2">
        <v>13</v>
      </c>
      <c r="B983" t="s" s="2">
        <f>HYPERLINK("http://ts.21cn.com/tousu/show/id/1373071","要求恒企教育退还学费并终止分期还款")</f>
      </c>
      <c r="C983" t="s" s="2">
        <v>15</v>
      </c>
      <c r="D983" t="s" s="2">
        <v>16</v>
      </c>
      <c r="E983" t="s" s="2">
        <v>17</v>
      </c>
      <c r="F983" t="s" s="2">
        <f>HYPERLINK("http://ts.21cn.com/tousu/show/id/1373071","http://ts.21cn.com/tousu/show/id/1373071")</f>
      </c>
      <c r="G983" t="s" s="2">
        <v>17</v>
      </c>
      <c r="H983" t="s" s="2">
        <v>19</v>
      </c>
      <c r="I983" t="s" s="2">
        <v>3880</v>
      </c>
      <c r="J983" t="s" s="2">
        <v>3881</v>
      </c>
      <c r="K983" t="s" s="2">
        <v>22</v>
      </c>
      <c r="L983" t="s" s="2">
        <v>22</v>
      </c>
      <c r="M983" t="s" s="2">
        <v>22</v>
      </c>
    </row>
    <row r="984" ht="25.0" customHeight="true">
      <c r="A984" t="s" s="2">
        <v>13</v>
      </c>
      <c r="B984" t="s" s="2">
        <f>HYPERLINK("http://ts.21cn.com/tousu/show/id/1373099","无故扣款")</f>
      </c>
      <c r="C984" t="s" s="2">
        <v>52</v>
      </c>
      <c r="D984" t="s" s="2">
        <v>16</v>
      </c>
      <c r="E984" t="s" s="2">
        <v>17</v>
      </c>
      <c r="F984" t="s" s="2">
        <f>HYPERLINK("http://ts.21cn.com/tousu/show/id/1373099","http://ts.21cn.com/tousu/show/id/1373099")</f>
      </c>
      <c r="G984" t="s" s="2">
        <v>17</v>
      </c>
      <c r="H984" t="s" s="2">
        <v>19</v>
      </c>
      <c r="I984" t="s" s="2">
        <v>3884</v>
      </c>
      <c r="J984" t="s" s="2">
        <v>3885</v>
      </c>
      <c r="K984" t="s" s="2">
        <v>22</v>
      </c>
      <c r="L984" t="s" s="2">
        <v>22</v>
      </c>
      <c r="M984" t="s" s="2">
        <v>22</v>
      </c>
    </row>
    <row r="985" ht="25.0" customHeight="true">
      <c r="A985" t="s" s="2">
        <v>13</v>
      </c>
      <c r="B985" t="s" s="2">
        <f>HYPERLINK("http://ts.21cn.com/tousu/show/id/1373098","海淘免税app")</f>
      </c>
      <c r="C985" t="s" s="2">
        <v>15</v>
      </c>
      <c r="D985" t="s" s="2">
        <v>16</v>
      </c>
      <c r="E985" t="s" s="2">
        <v>17</v>
      </c>
      <c r="F985" t="s" s="2">
        <f>HYPERLINK("http://ts.21cn.com/tousu/show/id/1373098","http://ts.21cn.com/tousu/show/id/1373098")</f>
      </c>
      <c r="G985" t="s" s="2">
        <v>17</v>
      </c>
      <c r="H985" t="s" s="2">
        <v>19</v>
      </c>
      <c r="I985" t="s" s="2">
        <v>3888</v>
      </c>
      <c r="J985" t="s" s="2">
        <v>3889</v>
      </c>
      <c r="K985" t="s" s="2">
        <v>22</v>
      </c>
      <c r="L985" t="s" s="2">
        <v>22</v>
      </c>
      <c r="M985" t="s" s="2">
        <v>22</v>
      </c>
    </row>
    <row r="986" ht="25.0" customHeight="true">
      <c r="A986" t="s" s="2">
        <v>13</v>
      </c>
      <c r="B986" t="s" s="2">
        <f>HYPERLINK("http://ts.21cn.com/tousu/show/id/1373096","紫马财行提现问题")</f>
      </c>
      <c r="C986" t="s" s="2">
        <v>52</v>
      </c>
      <c r="D986" t="s" s="2">
        <v>16</v>
      </c>
      <c r="E986" t="s" s="2">
        <v>17</v>
      </c>
      <c r="F986" t="s" s="2">
        <f>HYPERLINK("http://ts.21cn.com/tousu/show/id/1373096","http://ts.21cn.com/tousu/show/id/1373096")</f>
      </c>
      <c r="G986" t="s" s="2">
        <v>17</v>
      </c>
      <c r="H986" t="s" s="2">
        <v>19</v>
      </c>
      <c r="I986" t="s" s="2">
        <v>3892</v>
      </c>
      <c r="J986" t="s" s="2">
        <v>3893</v>
      </c>
      <c r="K986" t="s" s="2">
        <v>22</v>
      </c>
      <c r="L986" t="s" s="2">
        <v>22</v>
      </c>
      <c r="M986" t="s" s="2">
        <v>22</v>
      </c>
    </row>
    <row r="987" ht="25.0" customHeight="true">
      <c r="A987" t="s" s="2">
        <v>13</v>
      </c>
      <c r="B987" t="s" s="2">
        <f>HYPERLINK("http://ts.21cn.com/tousu/show/id/1373095","360借条无法无天每天恐吓威胁我家人及朋友同事")</f>
      </c>
      <c r="C987" t="s" s="2">
        <v>15</v>
      </c>
      <c r="D987" t="s" s="2">
        <v>16</v>
      </c>
      <c r="E987" t="s" s="2">
        <v>17</v>
      </c>
      <c r="F987" t="s" s="2">
        <f>HYPERLINK("http://ts.21cn.com/tousu/show/id/1373095","http://ts.21cn.com/tousu/show/id/1373095")</f>
      </c>
      <c r="G987" t="s" s="2">
        <v>17</v>
      </c>
      <c r="H987" t="s" s="2">
        <v>19</v>
      </c>
      <c r="I987" t="s" s="2">
        <v>3896</v>
      </c>
      <c r="J987" t="s" s="2">
        <v>3897</v>
      </c>
      <c r="K987" t="s" s="2">
        <v>22</v>
      </c>
      <c r="L987" t="s" s="2">
        <v>22</v>
      </c>
      <c r="M987" t="s" s="2">
        <v>22</v>
      </c>
    </row>
    <row r="988" ht="25.0" customHeight="true">
      <c r="A988" t="s" s="2">
        <v>13</v>
      </c>
      <c r="B988" t="s" s="2">
        <f>HYPERLINK("http://ts.21cn.com/tousu/show/id/1373094","利息太高")</f>
      </c>
      <c r="C988" t="s" s="2">
        <v>15</v>
      </c>
      <c r="D988" t="s" s="2">
        <v>16</v>
      </c>
      <c r="E988" t="s" s="2">
        <v>17</v>
      </c>
      <c r="F988" t="s" s="2">
        <f>HYPERLINK("http://ts.21cn.com/tousu/show/id/1373094","http://ts.21cn.com/tousu/show/id/1373094")</f>
      </c>
      <c r="G988" t="s" s="2">
        <v>17</v>
      </c>
      <c r="H988" t="s" s="2">
        <v>19</v>
      </c>
      <c r="I988" t="s" s="2">
        <v>3900</v>
      </c>
      <c r="J988" t="s" s="2">
        <v>3901</v>
      </c>
      <c r="K988" t="s" s="2">
        <v>22</v>
      </c>
      <c r="L988" t="s" s="2">
        <v>22</v>
      </c>
      <c r="M988" t="s" s="2">
        <v>22</v>
      </c>
    </row>
    <row r="989" ht="25.0" customHeight="true">
      <c r="A989" t="s" s="2">
        <v>13</v>
      </c>
      <c r="B989" t="s" s="2">
        <f>HYPERLINK("http://ts.21cn.com/tousu/show/id/1373091","还的信用卡钱对不上帐")</f>
      </c>
      <c r="C989" t="s" s="2">
        <v>15</v>
      </c>
      <c r="D989" t="s" s="2">
        <v>16</v>
      </c>
      <c r="E989" t="s" s="2">
        <v>17</v>
      </c>
      <c r="F989" t="s" s="2">
        <f>HYPERLINK("http://ts.21cn.com/tousu/show/id/1373091","http://ts.21cn.com/tousu/show/id/1373091")</f>
      </c>
      <c r="G989" t="s" s="2">
        <v>17</v>
      </c>
      <c r="H989" t="s" s="2">
        <v>19</v>
      </c>
      <c r="I989" t="s" s="2">
        <v>3904</v>
      </c>
      <c r="J989" t="s" s="2">
        <v>3905</v>
      </c>
      <c r="K989" t="s" s="2">
        <v>22</v>
      </c>
      <c r="L989" t="s" s="2">
        <v>22</v>
      </c>
      <c r="M989" t="s" s="2">
        <v>22</v>
      </c>
    </row>
    <row r="990" ht="25.0" customHeight="true">
      <c r="A990" t="s" s="2">
        <v>13</v>
      </c>
      <c r="B990" t="s" s="2">
        <f>HYPERLINK("http://ts.21cn.com/tousu/show/id/1373090","蜂窝钱包保留催收")</f>
      </c>
      <c r="C990" t="s" s="2">
        <v>15</v>
      </c>
      <c r="D990" t="s" s="2">
        <v>16</v>
      </c>
      <c r="E990" t="s" s="2">
        <v>17</v>
      </c>
      <c r="F990" t="s" s="2">
        <f>HYPERLINK("http://ts.21cn.com/tousu/show/id/1373090","http://ts.21cn.com/tousu/show/id/1373090")</f>
      </c>
      <c r="G990" t="s" s="2">
        <v>17</v>
      </c>
      <c r="H990" t="s" s="2">
        <v>19</v>
      </c>
      <c r="I990" t="s" s="2">
        <v>3908</v>
      </c>
      <c r="J990" t="s" s="2">
        <v>3909</v>
      </c>
      <c r="K990" t="s" s="2">
        <v>22</v>
      </c>
      <c r="L990" t="s" s="2">
        <v>22</v>
      </c>
      <c r="M990" t="s" s="2">
        <v>22</v>
      </c>
    </row>
    <row r="991" ht="25.0" customHeight="true">
      <c r="A991" t="s" s="2">
        <v>13</v>
      </c>
      <c r="B991" t="s" s="2">
        <f>HYPERLINK("http://ts.21cn.com/tousu/show/id/1373089","你我贷怂恿我去借钱还他们")</f>
      </c>
      <c r="C991" t="s" s="2">
        <v>15</v>
      </c>
      <c r="D991" t="s" s="2">
        <v>16</v>
      </c>
      <c r="E991" t="s" s="2">
        <v>17</v>
      </c>
      <c r="F991" t="s" s="2">
        <f>HYPERLINK("http://ts.21cn.com/tousu/show/id/1373089","http://ts.21cn.com/tousu/show/id/1373089")</f>
      </c>
      <c r="G991" t="s" s="2">
        <v>17</v>
      </c>
      <c r="H991" t="s" s="2">
        <v>19</v>
      </c>
      <c r="I991" t="s" s="2">
        <v>3912</v>
      </c>
      <c r="J991" t="s" s="2">
        <v>3913</v>
      </c>
      <c r="K991" t="s" s="2">
        <v>22</v>
      </c>
      <c r="L991" t="s" s="2">
        <v>22</v>
      </c>
      <c r="M991" t="s" s="2">
        <v>22</v>
      </c>
    </row>
    <row r="992" ht="25.0" customHeight="true">
      <c r="A992" t="s" s="2">
        <v>13</v>
      </c>
      <c r="B992" t="s" s="2">
        <f>HYPERLINK("http://ts.21cn.com/tousu/show/id/1373087","投诉闪银奇异高利贷")</f>
      </c>
      <c r="C992" t="s" s="2">
        <v>15</v>
      </c>
      <c r="D992" t="s" s="2">
        <v>16</v>
      </c>
      <c r="E992" t="s" s="2">
        <v>17</v>
      </c>
      <c r="F992" t="s" s="2">
        <f>HYPERLINK("http://ts.21cn.com/tousu/show/id/1373087","http://ts.21cn.com/tousu/show/id/1373087")</f>
      </c>
      <c r="G992" t="s" s="2">
        <v>17</v>
      </c>
      <c r="H992" t="s" s="2">
        <v>19</v>
      </c>
      <c r="I992" t="s" s="2">
        <v>3916</v>
      </c>
      <c r="J992" t="s" s="2">
        <v>3917</v>
      </c>
      <c r="K992" t="s" s="2">
        <v>22</v>
      </c>
      <c r="L992" t="s" s="2">
        <v>22</v>
      </c>
      <c r="M992" t="s" s="2">
        <v>22</v>
      </c>
    </row>
    <row r="993" ht="25.0" customHeight="true">
      <c r="A993" t="s" s="2">
        <v>13</v>
      </c>
      <c r="B993" t="s" s="2">
        <f>HYPERLINK("http://ts.21cn.com/tousu/show/id/1373088","想你分期套路贷砍头息")</f>
      </c>
      <c r="C993" t="s" s="2">
        <v>15</v>
      </c>
      <c r="D993" t="s" s="2">
        <v>16</v>
      </c>
      <c r="E993" t="s" s="2">
        <v>17</v>
      </c>
      <c r="F993" t="s" s="2">
        <f>HYPERLINK("http://ts.21cn.com/tousu/show/id/1373088","http://ts.21cn.com/tousu/show/id/1373088")</f>
      </c>
      <c r="G993" t="s" s="2">
        <v>17</v>
      </c>
      <c r="H993" t="s" s="2">
        <v>19</v>
      </c>
      <c r="I993" t="s" s="2">
        <v>3920</v>
      </c>
      <c r="J993" t="s" s="2">
        <v>3921</v>
      </c>
      <c r="K993" t="s" s="2">
        <v>22</v>
      </c>
      <c r="L993" t="s" s="2">
        <v>22</v>
      </c>
      <c r="M993" t="s" s="2">
        <v>22</v>
      </c>
    </row>
    <row r="994" ht="25.0" customHeight="true">
      <c r="A994" t="s" s="2">
        <v>13</v>
      </c>
      <c r="B994" t="s" s="2">
        <f>HYPERLINK("http://ts.21cn.com/tousu/show/id/1373085","马上消费金融，暴力催收，群发短信，恐吓催收")</f>
      </c>
      <c r="C994" t="s" s="2">
        <v>15</v>
      </c>
      <c r="D994" t="s" s="2">
        <v>16</v>
      </c>
      <c r="E994" t="s" s="2">
        <v>17</v>
      </c>
      <c r="F994" t="s" s="2">
        <f>HYPERLINK("http://ts.21cn.com/tousu/show/id/1373085","http://ts.21cn.com/tousu/show/id/1373085")</f>
      </c>
      <c r="G994" t="s" s="2">
        <v>17</v>
      </c>
      <c r="H994" t="s" s="2">
        <v>19</v>
      </c>
      <c r="I994" t="s" s="2">
        <v>3923</v>
      </c>
      <c r="J994" t="s" s="2">
        <v>3924</v>
      </c>
      <c r="K994" t="s" s="2">
        <v>22</v>
      </c>
      <c r="L994" t="s" s="2">
        <v>22</v>
      </c>
      <c r="M994" t="s" s="2">
        <v>22</v>
      </c>
    </row>
    <row r="995" ht="25.0" customHeight="true">
      <c r="A995" t="s" s="2">
        <v>13</v>
      </c>
      <c r="B995" t="s" s="2">
        <f>HYPERLINK("http://ts.21cn.com/tousu/show/id/1373086","月光侠套路贷")</f>
      </c>
      <c r="C995" t="s" s="2">
        <v>15</v>
      </c>
      <c r="D995" t="s" s="2">
        <v>16</v>
      </c>
      <c r="E995" t="s" s="2">
        <v>17</v>
      </c>
      <c r="F995" t="s" s="2">
        <f>HYPERLINK("http://ts.21cn.com/tousu/show/id/1373086","http://ts.21cn.com/tousu/show/id/1373086")</f>
      </c>
      <c r="G995" t="s" s="2">
        <v>17</v>
      </c>
      <c r="H995" t="s" s="2">
        <v>19</v>
      </c>
      <c r="I995" t="s" s="2">
        <v>3927</v>
      </c>
      <c r="J995" t="s" s="2">
        <v>3928</v>
      </c>
      <c r="K995" t="s" s="2">
        <v>22</v>
      </c>
      <c r="L995" t="s" s="2">
        <v>22</v>
      </c>
      <c r="M995" t="s" s="2">
        <v>22</v>
      </c>
    </row>
    <row r="996" ht="25.0" customHeight="true">
      <c r="A996" t="s" s="2">
        <v>13</v>
      </c>
      <c r="B996" t="s" s="2">
        <f>HYPERLINK("http://ts.21cn.com/tousu/show/id/1373083","薪意贷暴力催收威胁")</f>
      </c>
      <c r="C996" t="s" s="2">
        <v>15</v>
      </c>
      <c r="D996" t="s" s="2">
        <v>16</v>
      </c>
      <c r="E996" t="s" s="2">
        <v>17</v>
      </c>
      <c r="F996" t="s" s="2">
        <f>HYPERLINK("http://ts.21cn.com/tousu/show/id/1373083","http://ts.21cn.com/tousu/show/id/1373083")</f>
      </c>
      <c r="G996" t="s" s="2">
        <v>17</v>
      </c>
      <c r="H996" t="s" s="2">
        <v>19</v>
      </c>
      <c r="I996" t="s" s="2">
        <v>3931</v>
      </c>
      <c r="J996" t="s" s="2">
        <v>3932</v>
      </c>
      <c r="K996" t="s" s="2">
        <v>22</v>
      </c>
      <c r="L996" t="s" s="2">
        <v>22</v>
      </c>
      <c r="M996" t="s" s="2">
        <v>22</v>
      </c>
    </row>
    <row r="997" ht="25.0" customHeight="true">
      <c r="A997" t="s" s="2">
        <v>13</v>
      </c>
      <c r="B997" t="s" s="2">
        <f>HYPERLINK("http://ts.21cn.com/tousu/show/id/1373082","闪电借款不注销账号")</f>
      </c>
      <c r="C997" t="s" s="2">
        <v>15</v>
      </c>
      <c r="D997" t="s" s="2">
        <v>16</v>
      </c>
      <c r="E997" t="s" s="2">
        <v>17</v>
      </c>
      <c r="F997" t="s" s="2">
        <f>HYPERLINK("http://ts.21cn.com/tousu/show/id/1373082","http://ts.21cn.com/tousu/show/id/1373082")</f>
      </c>
      <c r="G997" t="s" s="2">
        <v>17</v>
      </c>
      <c r="H997" t="s" s="2">
        <v>19</v>
      </c>
      <c r="I997" t="s" s="2">
        <v>3935</v>
      </c>
      <c r="J997" t="s" s="2">
        <v>3936</v>
      </c>
      <c r="K997" t="s" s="2">
        <v>22</v>
      </c>
      <c r="L997" t="s" s="2">
        <v>22</v>
      </c>
      <c r="M997" t="s" s="2">
        <v>22</v>
      </c>
    </row>
    <row r="998" ht="25.0" customHeight="true">
      <c r="A998" t="s" s="2">
        <v>13</v>
      </c>
      <c r="B998" t="s" s="2">
        <f>HYPERLINK("http://ts.21cn.com/tousu/show/id/1373074","前海锐步商业保理（深圳）有限公司虚假贷款，以开通会员、账户异常为由套取费用不放款。")</f>
      </c>
      <c r="C998" t="s" s="2">
        <v>15</v>
      </c>
      <c r="D998" t="s" s="2">
        <v>16</v>
      </c>
      <c r="E998" t="s" s="2">
        <v>17</v>
      </c>
      <c r="F998" t="s" s="2">
        <f>HYPERLINK("http://ts.21cn.com/tousu/show/id/1373074","http://ts.21cn.com/tousu/show/id/1373074")</f>
      </c>
      <c r="G998" t="s" s="2">
        <v>17</v>
      </c>
      <c r="H998" t="s" s="2">
        <v>19</v>
      </c>
      <c r="I998" t="s" s="2">
        <v>3939</v>
      </c>
      <c r="J998" t="s" s="2">
        <v>3940</v>
      </c>
      <c r="K998" t="s" s="2">
        <v>22</v>
      </c>
      <c r="L998" t="s" s="2">
        <v>22</v>
      </c>
      <c r="M998" t="s" s="2">
        <v>22</v>
      </c>
    </row>
    <row r="999" ht="25.0" customHeight="true">
      <c r="A999" t="s" s="2">
        <v>13</v>
      </c>
      <c r="B999" t="s" s="2">
        <f>HYPERLINK("http://ts.21cn.com/tousu/show/id/1373066","无良商家，恶意承诺有关部门麻烦调查，本人配合")</f>
      </c>
      <c r="C999" t="s" s="2">
        <v>15</v>
      </c>
      <c r="D999" t="s" s="2">
        <v>16</v>
      </c>
      <c r="E999" t="s" s="2">
        <v>17</v>
      </c>
      <c r="F999" t="s" s="2">
        <f>HYPERLINK("http://ts.21cn.com/tousu/show/id/1373066","http://ts.21cn.com/tousu/show/id/1373066")</f>
      </c>
      <c r="G999" t="s" s="2">
        <v>17</v>
      </c>
      <c r="H999" t="s" s="2">
        <v>19</v>
      </c>
      <c r="I999" t="s" s="2">
        <v>3943</v>
      </c>
      <c r="J999" t="s" s="2">
        <v>3944</v>
      </c>
      <c r="K999" t="s" s="2">
        <v>22</v>
      </c>
      <c r="L999" t="s" s="2">
        <v>22</v>
      </c>
      <c r="M999" t="s" s="2">
        <v>22</v>
      </c>
    </row>
    <row r="1000" ht="25.0" customHeight="true">
      <c r="A1000" t="s" s="2">
        <v>13</v>
      </c>
      <c r="B1000" t="s" s="2">
        <f>HYPERLINK("http://ts.21cn.com/tousu/show/id/1373081","支付宝未经我同意自动划扣我银行卡的钱")</f>
      </c>
      <c r="C1000" t="s" s="2">
        <v>15</v>
      </c>
      <c r="D1000" t="s" s="2">
        <v>16</v>
      </c>
      <c r="E1000" t="s" s="2">
        <v>17</v>
      </c>
      <c r="F1000" t="s" s="2">
        <f>HYPERLINK("http://ts.21cn.com/tousu/show/id/1373081","http://ts.21cn.com/tousu/show/id/1373081")</f>
      </c>
      <c r="G1000" t="s" s="2">
        <v>17</v>
      </c>
      <c r="H1000" t="s" s="2">
        <v>19</v>
      </c>
      <c r="I1000" t="s" s="2">
        <v>3947</v>
      </c>
      <c r="J1000" t="s" s="2">
        <v>3948</v>
      </c>
      <c r="K1000" t="s" s="2">
        <v>22</v>
      </c>
      <c r="L1000" t="s" s="2">
        <v>22</v>
      </c>
      <c r="M1000" t="s" s="2">
        <v>22</v>
      </c>
    </row>
    <row r="1001" ht="25.0" customHeight="true">
      <c r="A1001" t="s" s="2">
        <v>13</v>
      </c>
      <c r="B1001" t="s" s="2">
        <f>HYPERLINK("http://ts.21cn.com/tousu/show/id/1373080","捷信高利贷")</f>
      </c>
      <c r="C1001" t="s" s="2">
        <v>15</v>
      </c>
      <c r="D1001" t="s" s="2">
        <v>16</v>
      </c>
      <c r="E1001" t="s" s="2">
        <v>17</v>
      </c>
      <c r="F1001" t="s" s="2">
        <f>HYPERLINK("http://ts.21cn.com/tousu/show/id/1373080","http://ts.21cn.com/tousu/show/id/1373080")</f>
      </c>
      <c r="G1001" t="s" s="2">
        <v>17</v>
      </c>
      <c r="H1001" t="s" s="2">
        <v>19</v>
      </c>
      <c r="I1001" t="s" s="2">
        <v>3950</v>
      </c>
      <c r="J1001" t="s" s="2">
        <v>3951</v>
      </c>
      <c r="K1001" t="s" s="2">
        <v>22</v>
      </c>
      <c r="L1001" t="s" s="2">
        <v>22</v>
      </c>
      <c r="M1001" t="s" s="2">
        <v>22</v>
      </c>
    </row>
    <row r="1002" ht="25.0" customHeight="true">
      <c r="A1002" t="s" s="2">
        <v>13</v>
      </c>
      <c r="B1002" t="s" s="2">
        <f>HYPERLINK("http://ts.21cn.com/tousu/show/id/1373079","对保险不认可，被搭售认为众安保险和闪电借款相互勾结借贷搭售，要求退保！闪电借款降息")</f>
      </c>
      <c r="C1002" t="s" s="2">
        <v>15</v>
      </c>
      <c r="D1002" t="s" s="2">
        <v>16</v>
      </c>
      <c r="E1002" t="s" s="2">
        <v>17</v>
      </c>
      <c r="F1002" t="s" s="2">
        <f>HYPERLINK("http://ts.21cn.com/tousu/show/id/1373079","http://ts.21cn.com/tousu/show/id/1373079")</f>
      </c>
      <c r="G1002" t="s" s="2">
        <v>17</v>
      </c>
      <c r="H1002" t="s" s="2">
        <v>19</v>
      </c>
      <c r="I1002" t="s" s="2">
        <v>3954</v>
      </c>
      <c r="J1002" t="s" s="2">
        <v>3955</v>
      </c>
      <c r="K1002" t="s" s="2">
        <v>22</v>
      </c>
      <c r="L1002" t="s" s="2">
        <v>22</v>
      </c>
      <c r="M1002" t="s" s="2">
        <v>22</v>
      </c>
    </row>
    <row r="1003" ht="25.0" customHeight="true">
      <c r="A1003" t="s" s="2">
        <v>13</v>
      </c>
      <c r="B1003" t="s" s="2">
        <f>HYPERLINK("http://ts.21cn.com/tousu/show/id/1373078","好分期暴力催收高利贷")</f>
      </c>
      <c r="C1003" t="s" s="2">
        <v>15</v>
      </c>
      <c r="D1003" t="s" s="2">
        <v>16</v>
      </c>
      <c r="E1003" t="s" s="2">
        <v>17</v>
      </c>
      <c r="F1003" t="s" s="2">
        <f>HYPERLINK("http://ts.21cn.com/tousu/show/id/1373078","http://ts.21cn.com/tousu/show/id/1373078")</f>
      </c>
      <c r="G1003" t="s" s="2">
        <v>17</v>
      </c>
      <c r="H1003" t="s" s="2">
        <v>19</v>
      </c>
      <c r="I1003" t="s" s="2">
        <v>3958</v>
      </c>
      <c r="J1003" t="s" s="2">
        <v>3959</v>
      </c>
      <c r="K1003" t="s" s="2">
        <v>22</v>
      </c>
      <c r="L1003" t="s" s="2">
        <v>22</v>
      </c>
      <c r="M1003" t="s" s="2">
        <v>22</v>
      </c>
    </row>
    <row r="1004" ht="25.0" customHeight="true">
      <c r="A1004" t="s" s="2">
        <v>13</v>
      </c>
      <c r="B1004" t="s" s="2">
        <f>HYPERLINK("http://ts.21cn.com/tousu/show/id/1373061","借贷宝借条不放款暴力催收")</f>
      </c>
      <c r="C1004" t="s" s="2">
        <v>15</v>
      </c>
      <c r="D1004" t="s" s="2">
        <v>16</v>
      </c>
      <c r="E1004" t="s" s="2">
        <v>17</v>
      </c>
      <c r="F1004" t="s" s="2">
        <f>HYPERLINK("http://ts.21cn.com/tousu/show/id/1373061","http://ts.21cn.com/tousu/show/id/1373061")</f>
      </c>
      <c r="G1004" t="s" s="2">
        <v>17</v>
      </c>
      <c r="H1004" t="s" s="2">
        <v>19</v>
      </c>
      <c r="I1004" t="s" s="2">
        <v>3962</v>
      </c>
      <c r="J1004" t="s" s="2">
        <v>3963</v>
      </c>
      <c r="K1004" t="s" s="2">
        <v>22</v>
      </c>
      <c r="L1004" t="s" s="2">
        <v>22</v>
      </c>
      <c r="M1004" t="s" s="2">
        <v>22</v>
      </c>
    </row>
    <row r="1005" ht="25.0" customHeight="true">
      <c r="A1005" t="s" s="2">
        <v>13</v>
      </c>
      <c r="B1005" t="s" s="2">
        <f>HYPERLINK("http://ts.21cn.com/tousu/show/id/1373077","洋钱罐逾期一天50利息，暴力催收")</f>
      </c>
      <c r="C1005" t="s" s="2">
        <v>15</v>
      </c>
      <c r="D1005" t="s" s="2">
        <v>16</v>
      </c>
      <c r="E1005" t="s" s="2">
        <v>17</v>
      </c>
      <c r="F1005" t="s" s="2">
        <f>HYPERLINK("http://ts.21cn.com/tousu/show/id/1373077","http://ts.21cn.com/tousu/show/id/1373077")</f>
      </c>
      <c r="G1005" t="s" s="2">
        <v>17</v>
      </c>
      <c r="H1005" t="s" s="2">
        <v>19</v>
      </c>
      <c r="I1005" t="s" s="2">
        <v>3966</v>
      </c>
      <c r="J1005" t="s" s="2">
        <v>3967</v>
      </c>
      <c r="K1005" t="s" s="2">
        <v>22</v>
      </c>
      <c r="L1005" t="s" s="2">
        <v>22</v>
      </c>
      <c r="M1005" t="s" s="2">
        <v>22</v>
      </c>
    </row>
    <row r="1006" ht="25.0" customHeight="true">
      <c r="A1006" t="s" s="2">
        <v>13</v>
      </c>
      <c r="B1006" t="s" s="2">
        <f>HYPERLINK("http://ts.21cn.com/tousu/show/id/1373076","魔借")</f>
      </c>
      <c r="C1006" t="s" s="2">
        <v>52</v>
      </c>
      <c r="D1006" t="s" s="2">
        <v>16</v>
      </c>
      <c r="E1006" t="s" s="2">
        <v>17</v>
      </c>
      <c r="F1006" t="s" s="2">
        <f>HYPERLINK("http://ts.21cn.com/tousu/show/id/1373076","http://ts.21cn.com/tousu/show/id/1373076")</f>
      </c>
      <c r="G1006" t="s" s="2">
        <v>17</v>
      </c>
      <c r="H1006" t="s" s="2">
        <v>19</v>
      </c>
      <c r="I1006" t="s" s="2">
        <v>3970</v>
      </c>
      <c r="J1006" t="s" s="2">
        <v>3971</v>
      </c>
      <c r="K1006" t="s" s="2">
        <v>22</v>
      </c>
      <c r="L1006" t="s" s="2">
        <v>22</v>
      </c>
      <c r="M1006" t="s" s="2">
        <v>22</v>
      </c>
    </row>
    <row r="1007" ht="25.0" customHeight="true">
      <c r="A1007" t="s" s="2">
        <v>13</v>
      </c>
      <c r="B1007" t="s" s="2">
        <f>HYPERLINK("http://ts.21cn.com/tousu/show/id/1373063","即付宝刷我100元承诺退我但是不退")</f>
      </c>
      <c r="C1007" t="s" s="2">
        <v>15</v>
      </c>
      <c r="D1007" t="s" s="2">
        <v>16</v>
      </c>
      <c r="E1007" t="s" s="2">
        <v>17</v>
      </c>
      <c r="F1007" t="s" s="2">
        <f>HYPERLINK("http://ts.21cn.com/tousu/show/id/1373063","http://ts.21cn.com/tousu/show/id/1373063")</f>
      </c>
      <c r="G1007" t="s" s="2">
        <v>17</v>
      </c>
      <c r="H1007" t="s" s="2">
        <v>19</v>
      </c>
      <c r="I1007" t="s" s="2">
        <v>3974</v>
      </c>
      <c r="J1007" t="s" s="2">
        <v>3975</v>
      </c>
      <c r="K1007" t="s" s="2">
        <v>22</v>
      </c>
      <c r="L1007" t="s" s="2">
        <v>22</v>
      </c>
      <c r="M1007" t="s" s="2">
        <v>22</v>
      </c>
    </row>
    <row r="1008" ht="25.0" customHeight="true">
      <c r="A1008" t="s" s="2">
        <v>13</v>
      </c>
      <c r="B1008" t="s" s="2">
        <f>HYPERLINK("http://ts.21cn.com/tousu/show/id/1373075","招商银行信用卡高额违约金")</f>
      </c>
      <c r="C1008" t="s" s="2">
        <v>15</v>
      </c>
      <c r="D1008" t="s" s="2">
        <v>16</v>
      </c>
      <c r="E1008" t="s" s="2">
        <v>17</v>
      </c>
      <c r="F1008" t="s" s="2">
        <f>HYPERLINK("http://ts.21cn.com/tousu/show/id/1373075","http://ts.21cn.com/tousu/show/id/1373075")</f>
      </c>
      <c r="G1008" t="s" s="2">
        <v>17</v>
      </c>
      <c r="H1008" t="s" s="2">
        <v>19</v>
      </c>
      <c r="I1008" t="s" s="2">
        <v>3978</v>
      </c>
      <c r="J1008" t="s" s="2">
        <v>3979</v>
      </c>
      <c r="K1008" t="s" s="2">
        <v>22</v>
      </c>
      <c r="L1008" t="s" s="2">
        <v>22</v>
      </c>
      <c r="M1008" t="s" s="2">
        <v>22</v>
      </c>
    </row>
    <row r="1009" ht="25.0" customHeight="true">
      <c r="A1009" t="s" s="2">
        <v>13</v>
      </c>
      <c r="B1009" t="s" s="2">
        <f>HYPERLINK("http://ts.21cn.com/tousu/show/id/1373072","海南意源达网络科技有限公司乱扣费")</f>
      </c>
      <c r="C1009" t="s" s="2">
        <v>15</v>
      </c>
      <c r="D1009" t="s" s="2">
        <v>16</v>
      </c>
      <c r="E1009" t="s" s="2">
        <v>17</v>
      </c>
      <c r="F1009" t="s" s="2">
        <f>HYPERLINK("http://ts.21cn.com/tousu/show/id/1373072","http://ts.21cn.com/tousu/show/id/1373072")</f>
      </c>
      <c r="G1009" t="s" s="2">
        <v>17</v>
      </c>
      <c r="H1009" t="s" s="2">
        <v>19</v>
      </c>
      <c r="I1009" t="s" s="2">
        <v>3982</v>
      </c>
      <c r="J1009" t="s" s="2">
        <v>3983</v>
      </c>
      <c r="K1009" t="s" s="2">
        <v>22</v>
      </c>
      <c r="L1009" t="s" s="2">
        <v>22</v>
      </c>
      <c r="M1009" t="s" s="2">
        <v>22</v>
      </c>
    </row>
    <row r="1010" ht="25.0" customHeight="true">
      <c r="A1010" t="s" s="2">
        <v>13</v>
      </c>
      <c r="B1010" t="s" s="2">
        <f>HYPERLINK("http://ts.21cn.com/tousu/show/id/1373070","去花花砍头息高利贷")</f>
      </c>
      <c r="C1010" t="s" s="2">
        <v>15</v>
      </c>
      <c r="D1010" t="s" s="2">
        <v>16</v>
      </c>
      <c r="E1010" t="s" s="2">
        <v>17</v>
      </c>
      <c r="F1010" t="s" s="2">
        <f>HYPERLINK("http://ts.21cn.com/tousu/show/id/1373070","http://ts.21cn.com/tousu/show/id/1373070")</f>
      </c>
      <c r="G1010" t="s" s="2">
        <v>17</v>
      </c>
      <c r="H1010" t="s" s="2">
        <v>19</v>
      </c>
      <c r="I1010" t="s" s="2">
        <v>3986</v>
      </c>
      <c r="J1010" t="s" s="2">
        <v>3987</v>
      </c>
      <c r="K1010" t="s" s="2">
        <v>22</v>
      </c>
      <c r="L1010" t="s" s="2">
        <v>22</v>
      </c>
      <c r="M1010" t="s" s="2">
        <v>22</v>
      </c>
    </row>
    <row r="1011" ht="25.0" customHeight="true">
      <c r="A1011" t="s" s="2">
        <v>13</v>
      </c>
      <c r="B1011" t="s" s="2">
        <f>HYPERLINK("http://ts.21cn.com/tousu/show/id/1373069","海洋商旅和南通兴东机场联合误导欺诈旅客")</f>
      </c>
      <c r="C1011" t="s" s="2">
        <v>15</v>
      </c>
      <c r="D1011" t="s" s="2">
        <v>16</v>
      </c>
      <c r="E1011" t="s" s="2">
        <v>17</v>
      </c>
      <c r="F1011" t="s" s="2">
        <f>HYPERLINK("http://ts.21cn.com/tousu/show/id/1373069","http://ts.21cn.com/tousu/show/id/1373069")</f>
      </c>
      <c r="G1011" t="s" s="2">
        <v>17</v>
      </c>
      <c r="H1011" t="s" s="2">
        <v>19</v>
      </c>
      <c r="I1011" t="s" s="2">
        <v>3990</v>
      </c>
      <c r="J1011" t="s" s="2">
        <v>3991</v>
      </c>
      <c r="K1011" t="s" s="2">
        <v>22</v>
      </c>
      <c r="L1011" t="s" s="2">
        <v>22</v>
      </c>
      <c r="M1011" t="s" s="2">
        <v>22</v>
      </c>
    </row>
    <row r="1012" ht="25.0" customHeight="true">
      <c r="A1012" t="s" s="2">
        <v>13</v>
      </c>
      <c r="B1012" t="s" s="2">
        <f>HYPERLINK("http://ts.21cn.com/tousu/show/id/1373068","威胁爆破通讯录")</f>
      </c>
      <c r="C1012" t="s" s="2">
        <v>15</v>
      </c>
      <c r="D1012" t="s" s="2">
        <v>16</v>
      </c>
      <c r="E1012" t="s" s="2">
        <v>17</v>
      </c>
      <c r="F1012" t="s" s="2">
        <f>HYPERLINK("http://ts.21cn.com/tousu/show/id/1373068","http://ts.21cn.com/tousu/show/id/1373068")</f>
      </c>
      <c r="G1012" t="s" s="2">
        <v>17</v>
      </c>
      <c r="H1012" t="s" s="2">
        <v>19</v>
      </c>
      <c r="I1012" t="s" s="2">
        <v>3994</v>
      </c>
      <c r="J1012" t="s" s="2">
        <v>3995</v>
      </c>
      <c r="K1012" t="s" s="2">
        <v>22</v>
      </c>
      <c r="L1012" t="s" s="2">
        <v>22</v>
      </c>
      <c r="M1012" t="s" s="2">
        <v>22</v>
      </c>
    </row>
    <row r="1013" ht="25.0" customHeight="true">
      <c r="A1013" t="s" s="2">
        <v>13</v>
      </c>
      <c r="B1013" t="s" s="2">
        <f>HYPERLINK("http://ts.21cn.com/tousu/show/id/1373067","佰仟金融")</f>
      </c>
      <c r="C1013" t="s" s="2">
        <v>15</v>
      </c>
      <c r="D1013" t="s" s="2">
        <v>16</v>
      </c>
      <c r="E1013" t="s" s="2">
        <v>17</v>
      </c>
      <c r="F1013" t="s" s="2">
        <f>HYPERLINK("http://ts.21cn.com/tousu/show/id/1373067","http://ts.21cn.com/tousu/show/id/1373067")</f>
      </c>
      <c r="G1013" t="s" s="2">
        <v>17</v>
      </c>
      <c r="H1013" t="s" s="2">
        <v>19</v>
      </c>
      <c r="I1013" t="s" s="2">
        <v>3998</v>
      </c>
      <c r="J1013" t="s" s="2">
        <v>3999</v>
      </c>
      <c r="K1013" t="s" s="2">
        <v>22</v>
      </c>
      <c r="L1013" t="s" s="2">
        <v>22</v>
      </c>
      <c r="M1013" t="s" s="2">
        <v>22</v>
      </c>
    </row>
    <row r="1014" ht="25.0" customHeight="true">
      <c r="A1014" t="s" s="2">
        <v>13</v>
      </c>
      <c r="B1014" t="s" s="2">
        <f>HYPERLINK("http://ts.21cn.com/tousu/show/id/1373031","拍拍贷系统维护，无法还款，第二天就算逾期，还有违约金！")</f>
      </c>
      <c r="C1014" t="s" s="2">
        <v>15</v>
      </c>
      <c r="D1014" t="s" s="2">
        <v>16</v>
      </c>
      <c r="E1014" t="s" s="2">
        <v>17</v>
      </c>
      <c r="F1014" t="s" s="2">
        <f>HYPERLINK("http://ts.21cn.com/tousu/show/id/1373031","http://ts.21cn.com/tousu/show/id/1373031")</f>
      </c>
      <c r="G1014" t="s" s="2">
        <v>17</v>
      </c>
      <c r="H1014" t="s" s="2">
        <v>19</v>
      </c>
      <c r="I1014" t="s" s="2">
        <v>4002</v>
      </c>
      <c r="J1014" t="s" s="2">
        <v>4003</v>
      </c>
      <c r="K1014" t="s" s="2">
        <v>22</v>
      </c>
      <c r="L1014" t="s" s="2">
        <v>22</v>
      </c>
      <c r="M1014" t="s" s="2">
        <v>22</v>
      </c>
    </row>
    <row r="1015" ht="25.0" customHeight="true">
      <c r="A1015" t="s" s="2">
        <v>13</v>
      </c>
      <c r="B1015" t="s" s="2">
        <f>HYPERLINK("http://ts.21cn.com/tousu/show/id/1373065","豹子贷无故扣我299")</f>
      </c>
      <c r="C1015" t="s" s="2">
        <v>15</v>
      </c>
      <c r="D1015" t="s" s="2">
        <v>16</v>
      </c>
      <c r="E1015" t="s" s="2">
        <v>17</v>
      </c>
      <c r="F1015" t="s" s="2">
        <f>HYPERLINK("http://ts.21cn.com/tousu/show/id/1373065","http://ts.21cn.com/tousu/show/id/1373065")</f>
      </c>
      <c r="G1015" t="s" s="2">
        <v>17</v>
      </c>
      <c r="H1015" t="s" s="2">
        <v>19</v>
      </c>
      <c r="I1015" t="s" s="2">
        <v>4006</v>
      </c>
      <c r="J1015" t="s" s="2">
        <v>4007</v>
      </c>
      <c r="K1015" t="s" s="2">
        <v>22</v>
      </c>
      <c r="L1015" t="s" s="2">
        <v>22</v>
      </c>
      <c r="M1015" t="s" s="2">
        <v>22</v>
      </c>
    </row>
    <row r="1016" ht="25.0" customHeight="true">
      <c r="A1016" t="s" s="2">
        <v>13</v>
      </c>
      <c r="B1016" t="s" s="2">
        <f>HYPERLINK("http://ts.21cn.com/tousu/show/id/1373064","花转转樱桃小借高利贷暴力催收超高逾期费")</f>
      </c>
      <c r="C1016" t="s" s="2">
        <v>15</v>
      </c>
      <c r="D1016" t="s" s="2">
        <v>16</v>
      </c>
      <c r="E1016" t="s" s="2">
        <v>17</v>
      </c>
      <c r="F1016" t="s" s="2">
        <f>HYPERLINK("http://ts.21cn.com/tousu/show/id/1373064","http://ts.21cn.com/tousu/show/id/1373064")</f>
      </c>
      <c r="G1016" t="s" s="2">
        <v>17</v>
      </c>
      <c r="H1016" t="s" s="2">
        <v>19</v>
      </c>
      <c r="I1016" t="s" s="2">
        <v>4010</v>
      </c>
      <c r="J1016" t="s" s="2">
        <v>4011</v>
      </c>
      <c r="K1016" t="s" s="2">
        <v>22</v>
      </c>
      <c r="L1016" t="s" s="2">
        <v>22</v>
      </c>
      <c r="M1016" t="s" s="2">
        <v>22</v>
      </c>
    </row>
    <row r="1017" ht="25.0" customHeight="true">
      <c r="A1017" t="s" s="2">
        <v>13</v>
      </c>
      <c r="B1017" t="s" s="2">
        <f>HYPERLINK("http://ts.21cn.com/tousu/show/id/1373054","闪电借款伙同财神黑卡宝付支付收取去会员费（砍头息）")</f>
      </c>
      <c r="C1017" t="s" s="2">
        <v>15</v>
      </c>
      <c r="D1017" t="s" s="2">
        <v>16</v>
      </c>
      <c r="E1017" t="s" s="2">
        <v>17</v>
      </c>
      <c r="F1017" t="s" s="2">
        <f>HYPERLINK("http://ts.21cn.com/tousu/show/id/1373054","http://ts.21cn.com/tousu/show/id/1373054")</f>
      </c>
      <c r="G1017" t="s" s="2">
        <v>17</v>
      </c>
      <c r="H1017" t="s" s="2">
        <v>19</v>
      </c>
      <c r="I1017" t="s" s="2">
        <v>4014</v>
      </c>
      <c r="J1017" t="s" s="2">
        <v>4015</v>
      </c>
      <c r="K1017" t="s" s="2">
        <v>22</v>
      </c>
      <c r="L1017" t="s" s="2">
        <v>22</v>
      </c>
      <c r="M1017" t="s" s="2">
        <v>22</v>
      </c>
    </row>
    <row r="1018" ht="25.0" customHeight="true">
      <c r="A1018" t="s" s="2">
        <v>13</v>
      </c>
      <c r="B1018" t="s" s="2">
        <f>HYPERLINK("http://ts.21cn.com/tousu/show/id/1373062","闪电借款暴力催收，砍头息，高利贷")</f>
      </c>
      <c r="C1018" t="s" s="2">
        <v>15</v>
      </c>
      <c r="D1018" t="s" s="2">
        <v>16</v>
      </c>
      <c r="E1018" t="s" s="2">
        <v>17</v>
      </c>
      <c r="F1018" t="s" s="2">
        <f>HYPERLINK("http://ts.21cn.com/tousu/show/id/1373062","http://ts.21cn.com/tousu/show/id/1373062")</f>
      </c>
      <c r="G1018" t="s" s="2">
        <v>17</v>
      </c>
      <c r="H1018" t="s" s="2">
        <v>19</v>
      </c>
      <c r="I1018" t="s" s="2">
        <v>4018</v>
      </c>
      <c r="J1018" t="s" s="2">
        <v>4019</v>
      </c>
      <c r="K1018" t="s" s="2">
        <v>22</v>
      </c>
      <c r="L1018" t="s" s="2">
        <v>22</v>
      </c>
      <c r="M1018" t="s" s="2">
        <v>22</v>
      </c>
    </row>
    <row r="1019" ht="25.0" customHeight="true">
      <c r="A1019" t="s" s="2">
        <v>13</v>
      </c>
      <c r="B1019" t="s" s="2">
        <f>HYPERLINK("http://ts.21cn.com/tousu/show/id/1373060","分期乐骚扰家人")</f>
      </c>
      <c r="C1019" t="s" s="2">
        <v>52</v>
      </c>
      <c r="D1019" t="s" s="2">
        <v>16</v>
      </c>
      <c r="E1019" t="s" s="2">
        <v>17</v>
      </c>
      <c r="F1019" t="s" s="2">
        <f>HYPERLINK("http://ts.21cn.com/tousu/show/id/1373060","http://ts.21cn.com/tousu/show/id/1373060")</f>
      </c>
      <c r="G1019" t="s" s="2">
        <v>17</v>
      </c>
      <c r="H1019" t="s" s="2">
        <v>19</v>
      </c>
      <c r="I1019" t="s" s="2">
        <v>4022</v>
      </c>
      <c r="J1019" t="s" s="2">
        <v>4023</v>
      </c>
      <c r="K1019" t="s" s="2">
        <v>22</v>
      </c>
      <c r="L1019" t="s" s="2">
        <v>22</v>
      </c>
      <c r="M1019" t="s" s="2">
        <v>22</v>
      </c>
    </row>
    <row r="1020" ht="25.0" customHeight="true">
      <c r="A1020" t="s" s="2">
        <v>13</v>
      </c>
      <c r="B1020" t="s" s="2">
        <f>HYPERLINK("http://ts.21cn.com/tousu/show/id/1373058","洋钱包和讯联智付私自恶意扣款")</f>
      </c>
      <c r="C1020" t="s" s="2">
        <v>15</v>
      </c>
      <c r="D1020" t="s" s="2">
        <v>16</v>
      </c>
      <c r="E1020" t="s" s="2">
        <v>17</v>
      </c>
      <c r="F1020" t="s" s="2">
        <f>HYPERLINK("http://ts.21cn.com/tousu/show/id/1373058","http://ts.21cn.com/tousu/show/id/1373058")</f>
      </c>
      <c r="G1020" t="s" s="2">
        <v>17</v>
      </c>
      <c r="H1020" t="s" s="2">
        <v>19</v>
      </c>
      <c r="I1020" t="s" s="2">
        <v>4026</v>
      </c>
      <c r="J1020" t="s" s="2">
        <v>4027</v>
      </c>
      <c r="K1020" t="s" s="2">
        <v>22</v>
      </c>
      <c r="L1020" t="s" s="2">
        <v>22</v>
      </c>
      <c r="M1020" t="s" s="2">
        <v>22</v>
      </c>
    </row>
    <row r="1021" ht="25.0" customHeight="true">
      <c r="A1021" t="s" s="2">
        <v>13</v>
      </c>
      <c r="B1021" t="s" s="2">
        <f>HYPERLINK("http://ts.21cn.com/tousu/show/id/1373057","小闪分期，协商还款")</f>
      </c>
      <c r="C1021" t="s" s="2">
        <v>15</v>
      </c>
      <c r="D1021" t="s" s="2">
        <v>16</v>
      </c>
      <c r="E1021" t="s" s="2">
        <v>17</v>
      </c>
      <c r="F1021" t="s" s="2">
        <f>HYPERLINK("http://ts.21cn.com/tousu/show/id/1373057","http://ts.21cn.com/tousu/show/id/1373057")</f>
      </c>
      <c r="G1021" t="s" s="2">
        <v>17</v>
      </c>
      <c r="H1021" t="s" s="2">
        <v>19</v>
      </c>
      <c r="I1021" t="s" s="2">
        <v>4030</v>
      </c>
      <c r="J1021" t="s" s="2">
        <v>4031</v>
      </c>
      <c r="K1021" t="s" s="2">
        <v>22</v>
      </c>
      <c r="L1021" t="s" s="2">
        <v>22</v>
      </c>
      <c r="M1021" t="s" s="2">
        <v>22</v>
      </c>
    </row>
    <row r="1022" ht="25.0" customHeight="true">
      <c r="A1022" t="s" s="2">
        <v>13</v>
      </c>
      <c r="B1022" t="s" s="2">
        <f>HYPERLINK("http://ts.21cn.com/tousu/show/id/1373056","商品经顺丰承运 但是收到后已是泡水件")</f>
      </c>
      <c r="C1022" t="s" s="2">
        <v>15</v>
      </c>
      <c r="D1022" t="s" s="2">
        <v>16</v>
      </c>
      <c r="E1022" t="s" s="2">
        <v>17</v>
      </c>
      <c r="F1022" t="s" s="2">
        <f>HYPERLINK("http://ts.21cn.com/tousu/show/id/1373056","http://ts.21cn.com/tousu/show/id/1373056")</f>
      </c>
      <c r="G1022" t="s" s="2">
        <v>17</v>
      </c>
      <c r="H1022" t="s" s="2">
        <v>19</v>
      </c>
      <c r="I1022" t="s" s="2">
        <v>4034</v>
      </c>
      <c r="J1022" t="s" s="2">
        <v>4035</v>
      </c>
      <c r="K1022" t="s" s="2">
        <v>22</v>
      </c>
      <c r="L1022" t="s" s="2">
        <v>22</v>
      </c>
      <c r="M1022" t="s" s="2">
        <v>22</v>
      </c>
    </row>
    <row r="1023" ht="25.0" customHeight="true">
      <c r="A1023" t="s" s="2">
        <v>13</v>
      </c>
      <c r="B1023" t="s" s="2">
        <f>HYPERLINK("http://ts.21cn.com/tousu/show/id/1373055","拍拍贷骚扰同事朋友家人")</f>
      </c>
      <c r="C1023" t="s" s="2">
        <v>15</v>
      </c>
      <c r="D1023" t="s" s="2">
        <v>16</v>
      </c>
      <c r="E1023" t="s" s="2">
        <v>17</v>
      </c>
      <c r="F1023" t="s" s="2">
        <f>HYPERLINK("http://ts.21cn.com/tousu/show/id/1373055","http://ts.21cn.com/tousu/show/id/1373055")</f>
      </c>
      <c r="G1023" t="s" s="2">
        <v>17</v>
      </c>
      <c r="H1023" t="s" s="2">
        <v>19</v>
      </c>
      <c r="I1023" t="s" s="2">
        <v>4038</v>
      </c>
      <c r="J1023" t="s" s="2">
        <v>4039</v>
      </c>
      <c r="K1023" t="s" s="2">
        <v>22</v>
      </c>
      <c r="L1023" t="s" s="2">
        <v>22</v>
      </c>
      <c r="M1023" t="s" s="2">
        <v>22</v>
      </c>
    </row>
    <row r="1024" ht="25.0" customHeight="true">
      <c r="A1024" t="s" s="2">
        <v>13</v>
      </c>
      <c r="B1024" t="s" s="2">
        <f>HYPERLINK("http://ts.21cn.com/tousu/show/id/1373053","捷信金融严重影响家人生活")</f>
      </c>
      <c r="C1024" t="s" s="2">
        <v>15</v>
      </c>
      <c r="D1024" t="s" s="2">
        <v>16</v>
      </c>
      <c r="E1024" t="s" s="2">
        <v>17</v>
      </c>
      <c r="F1024" t="s" s="2">
        <f>HYPERLINK("http://ts.21cn.com/tousu/show/id/1373053","http://ts.21cn.com/tousu/show/id/1373053")</f>
      </c>
      <c r="G1024" t="s" s="2">
        <v>17</v>
      </c>
      <c r="H1024" t="s" s="2">
        <v>19</v>
      </c>
      <c r="I1024" t="s" s="2">
        <v>4042</v>
      </c>
      <c r="J1024" t="s" s="2">
        <v>4043</v>
      </c>
      <c r="K1024" t="s" s="2">
        <v>22</v>
      </c>
      <c r="L1024" t="s" s="2">
        <v>22</v>
      </c>
      <c r="M1024" t="s" s="2">
        <v>22</v>
      </c>
    </row>
    <row r="1025" ht="25.0" customHeight="true">
      <c r="A1025" t="s" s="2">
        <v>13</v>
      </c>
      <c r="B1025" t="s" s="2">
        <f>HYPERLINK("http://ts.21cn.com/tousu/show/id/1373052","砍头息，年利率百分之36，协商还款")</f>
      </c>
      <c r="C1025" t="s" s="2">
        <v>52</v>
      </c>
      <c r="D1025" t="s" s="2">
        <v>16</v>
      </c>
      <c r="E1025" t="s" s="2">
        <v>17</v>
      </c>
      <c r="F1025" t="s" s="2">
        <f>HYPERLINK("http://ts.21cn.com/tousu/show/id/1373052","http://ts.21cn.com/tousu/show/id/1373052")</f>
      </c>
      <c r="G1025" t="s" s="2">
        <v>17</v>
      </c>
      <c r="H1025" t="s" s="2">
        <v>19</v>
      </c>
      <c r="I1025" t="s" s="2">
        <v>4046</v>
      </c>
      <c r="J1025" t="s" s="2">
        <v>4047</v>
      </c>
      <c r="K1025" t="s" s="2">
        <v>22</v>
      </c>
      <c r="L1025" t="s" s="2">
        <v>22</v>
      </c>
      <c r="M1025" t="s" s="2">
        <v>22</v>
      </c>
    </row>
    <row r="1026" ht="25.0" customHeight="true">
      <c r="A1026" t="s" s="2">
        <v>13</v>
      </c>
      <c r="B1026" t="s" s="2">
        <f>HYPERLINK("http://ts.21cn.com/tousu/show/id/1373051","催收爆通讯录骚扰我")</f>
      </c>
      <c r="C1026" t="s" s="2">
        <v>15</v>
      </c>
      <c r="D1026" t="s" s="2">
        <v>16</v>
      </c>
      <c r="E1026" t="s" s="2">
        <v>17</v>
      </c>
      <c r="F1026" t="s" s="2">
        <f>HYPERLINK("http://ts.21cn.com/tousu/show/id/1373051","http://ts.21cn.com/tousu/show/id/1373051")</f>
      </c>
      <c r="G1026" t="s" s="2">
        <v>17</v>
      </c>
      <c r="H1026" t="s" s="2">
        <v>19</v>
      </c>
      <c r="I1026" t="s" s="2">
        <v>4050</v>
      </c>
      <c r="J1026" t="s" s="2">
        <v>4051</v>
      </c>
      <c r="K1026" t="s" s="2">
        <v>22</v>
      </c>
      <c r="L1026" t="s" s="2">
        <v>22</v>
      </c>
      <c r="M1026" t="s" s="2">
        <v>22</v>
      </c>
    </row>
    <row r="1027" ht="25.0" customHeight="true">
      <c r="A1027" t="s" s="2">
        <v>13</v>
      </c>
      <c r="B1027" t="s" s="2">
        <f>HYPERLINK("http://ts.21cn.com/tousu/show/id/1373050","易宝支付严重违规为714套路贷提供清结算通道，获取暴利")</f>
      </c>
      <c r="C1027" t="s" s="2">
        <v>15</v>
      </c>
      <c r="D1027" t="s" s="2">
        <v>16</v>
      </c>
      <c r="E1027" t="s" s="2">
        <v>17</v>
      </c>
      <c r="F1027" t="s" s="2">
        <f>HYPERLINK("http://ts.21cn.com/tousu/show/id/1373050","http://ts.21cn.com/tousu/show/id/1373050")</f>
      </c>
      <c r="G1027" t="s" s="2">
        <v>17</v>
      </c>
      <c r="H1027" t="s" s="2">
        <v>19</v>
      </c>
      <c r="I1027" t="s" s="2">
        <v>4054</v>
      </c>
      <c r="J1027" t="s" s="2">
        <v>4055</v>
      </c>
      <c r="K1027" t="s" s="2">
        <v>22</v>
      </c>
      <c r="L1027" t="s" s="2">
        <v>22</v>
      </c>
      <c r="M1027" t="s" s="2">
        <v>22</v>
      </c>
    </row>
    <row r="1028" ht="25.0" customHeight="true">
      <c r="A1028" t="s" s="2">
        <v>13</v>
      </c>
      <c r="B1028" t="s" s="2">
        <f>HYPERLINK("http://ts.21cn.com/tousu/show/id/1373049","中邮金融恶意")</f>
      </c>
      <c r="C1028" t="s" s="2">
        <v>15</v>
      </c>
      <c r="D1028" t="s" s="2">
        <v>16</v>
      </c>
      <c r="E1028" t="s" s="2">
        <v>17</v>
      </c>
      <c r="F1028" t="s" s="2">
        <f>HYPERLINK("http://ts.21cn.com/tousu/show/id/1373049","http://ts.21cn.com/tousu/show/id/1373049")</f>
      </c>
      <c r="G1028" t="s" s="2">
        <v>17</v>
      </c>
      <c r="H1028" t="s" s="2">
        <v>19</v>
      </c>
      <c r="I1028" t="s" s="2">
        <v>4058</v>
      </c>
      <c r="J1028" t="s" s="2">
        <v>4059</v>
      </c>
      <c r="K1028" t="s" s="2">
        <v>22</v>
      </c>
      <c r="L1028" t="s" s="2">
        <v>22</v>
      </c>
      <c r="M1028" t="s" s="2">
        <v>22</v>
      </c>
    </row>
    <row r="1029" ht="25.0" customHeight="true">
      <c r="A1029" t="s" s="2">
        <v>13</v>
      </c>
      <c r="B1029" t="s" s="2">
        <f>HYPERLINK("http://ts.21cn.com/tousu/show/id/1373047","活力花暴力催收、骚扰")</f>
      </c>
      <c r="C1029" t="s" s="2">
        <v>15</v>
      </c>
      <c r="D1029" t="s" s="2">
        <v>16</v>
      </c>
      <c r="E1029" t="s" s="2">
        <v>17</v>
      </c>
      <c r="F1029" t="s" s="2">
        <f>HYPERLINK("http://ts.21cn.com/tousu/show/id/1373047","http://ts.21cn.com/tousu/show/id/1373047")</f>
      </c>
      <c r="G1029" t="s" s="2">
        <v>17</v>
      </c>
      <c r="H1029" t="s" s="2">
        <v>19</v>
      </c>
      <c r="I1029" t="s" s="2">
        <v>4062</v>
      </c>
      <c r="J1029" t="s" s="2">
        <v>4063</v>
      </c>
      <c r="K1029" t="s" s="2">
        <v>22</v>
      </c>
      <c r="L1029" t="s" s="2">
        <v>22</v>
      </c>
      <c r="M1029" t="s" s="2">
        <v>22</v>
      </c>
    </row>
    <row r="1030" ht="25.0" customHeight="true">
      <c r="A1030" t="s" s="2">
        <v>13</v>
      </c>
      <c r="B1030" t="s" s="2">
        <f>HYPERLINK("http://ts.21cn.com/tousu/show/id/1373048","特约小富商城无缘无故扣掉我卡里的2000元钱")</f>
      </c>
      <c r="C1030" t="s" s="2">
        <v>15</v>
      </c>
      <c r="D1030" t="s" s="2">
        <v>16</v>
      </c>
      <c r="E1030" t="s" s="2">
        <v>17</v>
      </c>
      <c r="F1030" t="s" s="2">
        <f>HYPERLINK("http://ts.21cn.com/tousu/show/id/1373048","http://ts.21cn.com/tousu/show/id/1373048")</f>
      </c>
      <c r="G1030" t="s" s="2">
        <v>17</v>
      </c>
      <c r="H1030" t="s" s="2">
        <v>19</v>
      </c>
      <c r="I1030" t="s" s="2">
        <v>4066</v>
      </c>
      <c r="J1030" t="s" s="2">
        <v>4067</v>
      </c>
      <c r="K1030" t="s" s="2">
        <v>22</v>
      </c>
      <c r="L1030" t="s" s="2">
        <v>22</v>
      </c>
      <c r="M1030" t="s" s="2">
        <v>22</v>
      </c>
    </row>
    <row r="1031" ht="25.0" customHeight="true">
      <c r="A1031" t="s" s="2">
        <v>13</v>
      </c>
      <c r="B1031" t="s" s="2">
        <f>HYPERLINK("http://ts.21cn.com/tousu/show/id/1373046","婕信贷款套路贷")</f>
      </c>
      <c r="C1031" t="s" s="2">
        <v>15</v>
      </c>
      <c r="D1031" t="s" s="2">
        <v>16</v>
      </c>
      <c r="E1031" t="s" s="2">
        <v>17</v>
      </c>
      <c r="F1031" t="s" s="2">
        <f>HYPERLINK("http://ts.21cn.com/tousu/show/id/1373046","http://ts.21cn.com/tousu/show/id/1373046")</f>
      </c>
      <c r="G1031" t="s" s="2">
        <v>17</v>
      </c>
      <c r="H1031" t="s" s="2">
        <v>19</v>
      </c>
      <c r="I1031" t="s" s="2">
        <v>4070</v>
      </c>
      <c r="J1031" t="s" s="2">
        <v>4071</v>
      </c>
      <c r="K1031" t="s" s="2">
        <v>22</v>
      </c>
      <c r="L1031" t="s" s="2">
        <v>22</v>
      </c>
      <c r="M1031" t="s" s="2">
        <v>22</v>
      </c>
    </row>
    <row r="1032" ht="25.0" customHeight="true">
      <c r="A1032" t="s" s="2">
        <v>13</v>
      </c>
      <c r="B1032" t="s" s="2">
        <f>HYPERLINK("http://ts.21cn.com/tousu/show/id/1373045","关于手机借钱里的多宝分期高利贷的投诉")</f>
      </c>
      <c r="C1032" t="s" s="2">
        <v>15</v>
      </c>
      <c r="D1032" t="s" s="2">
        <v>16</v>
      </c>
      <c r="E1032" t="s" s="2">
        <v>17</v>
      </c>
      <c r="F1032" t="s" s="2">
        <f>HYPERLINK("http://ts.21cn.com/tousu/show/id/1373045","http://ts.21cn.com/tousu/show/id/1373045")</f>
      </c>
      <c r="G1032" t="s" s="2">
        <v>17</v>
      </c>
      <c r="H1032" t="s" s="2">
        <v>19</v>
      </c>
      <c r="I1032" t="s" s="2">
        <v>4074</v>
      </c>
      <c r="J1032" t="s" s="2">
        <v>4075</v>
      </c>
      <c r="K1032" t="s" s="2">
        <v>22</v>
      </c>
      <c r="L1032" t="s" s="2">
        <v>22</v>
      </c>
      <c r="M1032" t="s" s="2">
        <v>22</v>
      </c>
    </row>
    <row r="1033" ht="25.0" customHeight="true">
      <c r="A1033" t="s" s="2">
        <v>13</v>
      </c>
      <c r="B1033" t="s" s="2">
        <f>HYPERLINK("http://ts.21cn.com/tousu/show/id/1373001","拖着不给退款")</f>
      </c>
      <c r="C1033" t="s" s="2">
        <v>15</v>
      </c>
      <c r="D1033" t="s" s="2">
        <v>16</v>
      </c>
      <c r="E1033" t="s" s="2">
        <v>17</v>
      </c>
      <c r="F1033" t="s" s="2">
        <f>HYPERLINK("http://ts.21cn.com/tousu/show/id/1373001","http://ts.21cn.com/tousu/show/id/1373001")</f>
      </c>
      <c r="G1033" t="s" s="2">
        <v>17</v>
      </c>
      <c r="H1033" t="s" s="2">
        <v>19</v>
      </c>
      <c r="I1033" t="s" s="2">
        <v>4078</v>
      </c>
      <c r="J1033" t="s" s="2">
        <v>4079</v>
      </c>
      <c r="K1033" t="s" s="2">
        <v>22</v>
      </c>
      <c r="L1033" t="s" s="2">
        <v>22</v>
      </c>
      <c r="M1033" t="s" s="2">
        <v>22</v>
      </c>
    </row>
    <row r="1034" ht="25.0" customHeight="true">
      <c r="A1034" t="s" s="2">
        <v>13</v>
      </c>
      <c r="B1034" t="s" s="2">
        <f>HYPERLINK("http://ts.21cn.com/tousu/show/id/1373042","钱站恶意骚扰爆通讯录")</f>
      </c>
      <c r="C1034" t="s" s="2">
        <v>15</v>
      </c>
      <c r="D1034" t="s" s="2">
        <v>16</v>
      </c>
      <c r="E1034" t="s" s="2">
        <v>17</v>
      </c>
      <c r="F1034" t="s" s="2">
        <f>HYPERLINK("http://ts.21cn.com/tousu/show/id/1373042","http://ts.21cn.com/tousu/show/id/1373042")</f>
      </c>
      <c r="G1034" t="s" s="2">
        <v>17</v>
      </c>
      <c r="H1034" t="s" s="2">
        <v>19</v>
      </c>
      <c r="I1034" t="s" s="2">
        <v>4082</v>
      </c>
      <c r="J1034" t="s" s="2">
        <v>4083</v>
      </c>
      <c r="K1034" t="s" s="2">
        <v>22</v>
      </c>
      <c r="L1034" t="s" s="2">
        <v>22</v>
      </c>
      <c r="M1034" t="s" s="2">
        <v>22</v>
      </c>
    </row>
    <row r="1035" ht="25.0" customHeight="true">
      <c r="A1035" t="s" s="2">
        <v>13</v>
      </c>
      <c r="B1035" t="s" s="2">
        <f>HYPERLINK("http://ts.21cn.com/tousu/show/id/1373043","洋钱罐收取不合法的利息")</f>
      </c>
      <c r="C1035" t="s" s="2">
        <v>15</v>
      </c>
      <c r="D1035" t="s" s="2">
        <v>16</v>
      </c>
      <c r="E1035" t="s" s="2">
        <v>17</v>
      </c>
      <c r="F1035" t="s" s="2">
        <f>HYPERLINK("http://ts.21cn.com/tousu/show/id/1373043","http://ts.21cn.com/tousu/show/id/1373043")</f>
      </c>
      <c r="G1035" t="s" s="2">
        <v>17</v>
      </c>
      <c r="H1035" t="s" s="2">
        <v>19</v>
      </c>
      <c r="I1035" t="s" s="2">
        <v>4086</v>
      </c>
      <c r="J1035" t="s" s="2">
        <v>4087</v>
      </c>
      <c r="K1035" t="s" s="2">
        <v>22</v>
      </c>
      <c r="L1035" t="s" s="2">
        <v>22</v>
      </c>
      <c r="M1035" t="s" s="2">
        <v>22</v>
      </c>
    </row>
    <row r="1036" ht="25.0" customHeight="true">
      <c r="A1036" t="s" s="2">
        <v>13</v>
      </c>
      <c r="B1036" t="s" s="2">
        <f>HYPERLINK("http://ts.21cn.com/tousu/show/id/1373044","钱站高利贷阴阳合同")</f>
      </c>
      <c r="C1036" t="s" s="2">
        <v>15</v>
      </c>
      <c r="D1036" t="s" s="2">
        <v>16</v>
      </c>
      <c r="E1036" t="s" s="2">
        <v>17</v>
      </c>
      <c r="F1036" t="s" s="2">
        <f>HYPERLINK("http://ts.21cn.com/tousu/show/id/1373044","http://ts.21cn.com/tousu/show/id/1373044")</f>
      </c>
      <c r="G1036" t="s" s="2">
        <v>17</v>
      </c>
      <c r="H1036" t="s" s="2">
        <v>19</v>
      </c>
      <c r="I1036" t="s" s="2">
        <v>4089</v>
      </c>
      <c r="J1036" t="s" s="2">
        <v>4090</v>
      </c>
      <c r="K1036" t="s" s="2">
        <v>22</v>
      </c>
      <c r="L1036" t="s" s="2">
        <v>22</v>
      </c>
      <c r="M1036" t="s" s="2">
        <v>22</v>
      </c>
    </row>
    <row r="1037" ht="25.0" customHeight="true">
      <c r="A1037" t="s" s="2">
        <v>13</v>
      </c>
      <c r="B1037" t="s" s="2">
        <f>HYPERLINK("http://ts.21cn.com/tousu/show/id/1373041","与中信银行信用卡中心协商还款")</f>
      </c>
      <c r="C1037" t="s" s="2">
        <v>52</v>
      </c>
      <c r="D1037" t="s" s="2">
        <v>16</v>
      </c>
      <c r="E1037" t="s" s="2">
        <v>17</v>
      </c>
      <c r="F1037" t="s" s="2">
        <f>HYPERLINK("http://ts.21cn.com/tousu/show/id/1373041","http://ts.21cn.com/tousu/show/id/1373041")</f>
      </c>
      <c r="G1037" t="s" s="2">
        <v>17</v>
      </c>
      <c r="H1037" t="s" s="2">
        <v>19</v>
      </c>
      <c r="I1037" t="s" s="2">
        <v>4093</v>
      </c>
      <c r="J1037" t="s" s="2">
        <v>4094</v>
      </c>
      <c r="K1037" t="s" s="2">
        <v>22</v>
      </c>
      <c r="L1037" t="s" s="2">
        <v>22</v>
      </c>
      <c r="M1037" t="s" s="2">
        <v>22</v>
      </c>
    </row>
    <row r="1038" ht="25.0" customHeight="true">
      <c r="A1038" t="s" s="2">
        <v>13</v>
      </c>
      <c r="B1038" t="s" s="2">
        <f>HYPERLINK("http://ts.21cn.com/tousu/show/id/1373014","钱橙无忧乱扣费")</f>
      </c>
      <c r="C1038" t="s" s="2">
        <v>15</v>
      </c>
      <c r="D1038" t="s" s="2">
        <v>16</v>
      </c>
      <c r="E1038" t="s" s="2">
        <v>17</v>
      </c>
      <c r="F1038" t="s" s="2">
        <f>HYPERLINK("http://ts.21cn.com/tousu/show/id/1373014","http://ts.21cn.com/tousu/show/id/1373014")</f>
      </c>
      <c r="G1038" t="s" s="2">
        <v>17</v>
      </c>
      <c r="H1038" t="s" s="2">
        <v>19</v>
      </c>
      <c r="I1038" t="s" s="2">
        <v>4097</v>
      </c>
      <c r="J1038" t="s" s="2">
        <v>4098</v>
      </c>
      <c r="K1038" t="s" s="2">
        <v>22</v>
      </c>
      <c r="L1038" t="s" s="2">
        <v>22</v>
      </c>
      <c r="M1038" t="s" s="2">
        <v>22</v>
      </c>
    </row>
    <row r="1039" ht="25.0" customHeight="true">
      <c r="A1039" t="s" s="2">
        <v>13</v>
      </c>
      <c r="B1039" t="s" s="2">
        <f>HYPERLINK("http://ts.21cn.com/tousu/show/id/1373040","立借钱置宝还款不销账")</f>
      </c>
      <c r="C1039" t="s" s="2">
        <v>15</v>
      </c>
      <c r="D1039" t="s" s="2">
        <v>16</v>
      </c>
      <c r="E1039" t="s" s="2">
        <v>17</v>
      </c>
      <c r="F1039" t="s" s="2">
        <f>HYPERLINK("http://ts.21cn.com/tousu/show/id/1373040","http://ts.21cn.com/tousu/show/id/1373040")</f>
      </c>
      <c r="G1039" t="s" s="2">
        <v>17</v>
      </c>
      <c r="H1039" t="s" s="2">
        <v>19</v>
      </c>
      <c r="I1039" t="s" s="2">
        <v>4101</v>
      </c>
      <c r="J1039" t="s" s="2">
        <v>4102</v>
      </c>
      <c r="K1039" t="s" s="2">
        <v>22</v>
      </c>
      <c r="L1039" t="s" s="2">
        <v>22</v>
      </c>
      <c r="M1039" t="s" s="2">
        <v>22</v>
      </c>
    </row>
    <row r="1040" ht="25.0" customHeight="true">
      <c r="A1040" t="s" s="2">
        <v>13</v>
      </c>
      <c r="B1040" t="s" s="2">
        <f>HYPERLINK("http://ts.21cn.com/tousu/show/id/1373039","闪银开延期")</f>
      </c>
      <c r="C1040" t="s" s="2">
        <v>52</v>
      </c>
      <c r="D1040" t="s" s="2">
        <v>16</v>
      </c>
      <c r="E1040" t="s" s="2">
        <v>17</v>
      </c>
      <c r="F1040" t="s" s="2">
        <f>HYPERLINK("http://ts.21cn.com/tousu/show/id/1373039","http://ts.21cn.com/tousu/show/id/1373039")</f>
      </c>
      <c r="G1040" t="s" s="2">
        <v>17</v>
      </c>
      <c r="H1040" t="s" s="2">
        <v>19</v>
      </c>
      <c r="I1040" t="s" s="2">
        <v>4105</v>
      </c>
      <c r="J1040" t="s" s="2">
        <v>4106</v>
      </c>
      <c r="K1040" t="s" s="2">
        <v>22</v>
      </c>
      <c r="L1040" t="s" s="2">
        <v>22</v>
      </c>
      <c r="M1040" t="s" s="2">
        <v>22</v>
      </c>
    </row>
    <row r="1041" ht="25.0" customHeight="true">
      <c r="A1041" t="s" s="2">
        <v>13</v>
      </c>
      <c r="B1041" t="s" s="2">
        <f>HYPERLINK("http://ts.21cn.com/tousu/show/id/1373038","翼钱包已经银行扣款，已经显示已还清，可是第二天来看就是逾期，而且逾期费用快到一百")</f>
      </c>
      <c r="C1041" t="s" s="2">
        <v>52</v>
      </c>
      <c r="D1041" t="s" s="2">
        <v>16</v>
      </c>
      <c r="E1041" t="s" s="2">
        <v>17</v>
      </c>
      <c r="F1041" t="s" s="2">
        <f>HYPERLINK("http://ts.21cn.com/tousu/show/id/1373038","http://ts.21cn.com/tousu/show/id/1373038")</f>
      </c>
      <c r="G1041" t="s" s="2">
        <v>17</v>
      </c>
      <c r="H1041" t="s" s="2">
        <v>19</v>
      </c>
      <c r="I1041" t="s" s="2">
        <v>4109</v>
      </c>
      <c r="J1041" t="s" s="2">
        <v>4110</v>
      </c>
      <c r="K1041" t="s" s="2">
        <v>22</v>
      </c>
      <c r="L1041" t="s" s="2">
        <v>22</v>
      </c>
      <c r="M1041" t="s" s="2">
        <v>22</v>
      </c>
    </row>
    <row r="1042" ht="25.0" customHeight="true">
      <c r="A1042" t="s" s="2">
        <v>13</v>
      </c>
      <c r="B1042" t="s" s="2">
        <f>HYPERLINK("http://ts.21cn.com/tousu/show/id/1373037","玖富万卡擅自改写合同，变相收取费用，高利贷")</f>
      </c>
      <c r="C1042" t="s" s="2">
        <v>15</v>
      </c>
      <c r="D1042" t="s" s="2">
        <v>16</v>
      </c>
      <c r="E1042" t="s" s="2">
        <v>17</v>
      </c>
      <c r="F1042" t="s" s="2">
        <f>HYPERLINK("http://ts.21cn.com/tousu/show/id/1373037","http://ts.21cn.com/tousu/show/id/1373037")</f>
      </c>
      <c r="G1042" t="s" s="2">
        <v>17</v>
      </c>
      <c r="H1042" t="s" s="2">
        <v>19</v>
      </c>
      <c r="I1042" t="s" s="2">
        <v>4112</v>
      </c>
      <c r="J1042" t="s" s="2">
        <v>4113</v>
      </c>
      <c r="K1042" t="s" s="2">
        <v>22</v>
      </c>
      <c r="L1042" t="s" s="2">
        <v>22</v>
      </c>
      <c r="M1042" t="s" s="2">
        <v>22</v>
      </c>
    </row>
    <row r="1043" ht="25.0" customHeight="true">
      <c r="A1043" t="s" s="2">
        <v>13</v>
      </c>
      <c r="B1043" t="s" s="2">
        <f>HYPERLINK("http://ts.21cn.com/tousu/show/id/1373036","多次收连环利息")</f>
      </c>
      <c r="C1043" t="s" s="2">
        <v>52</v>
      </c>
      <c r="D1043" t="s" s="2">
        <v>16</v>
      </c>
      <c r="E1043" t="s" s="2">
        <v>17</v>
      </c>
      <c r="F1043" t="s" s="2">
        <f>HYPERLINK("http://ts.21cn.com/tousu/show/id/1373036","http://ts.21cn.com/tousu/show/id/1373036")</f>
      </c>
      <c r="G1043" t="s" s="2">
        <v>17</v>
      </c>
      <c r="H1043" t="s" s="2">
        <v>19</v>
      </c>
      <c r="I1043" t="s" s="2">
        <v>4116</v>
      </c>
      <c r="J1043" t="s" s="2">
        <v>4117</v>
      </c>
      <c r="K1043" t="s" s="2">
        <v>22</v>
      </c>
      <c r="L1043" t="s" s="2">
        <v>22</v>
      </c>
      <c r="M1043" t="s" s="2">
        <v>22</v>
      </c>
    </row>
    <row r="1044" ht="25.0" customHeight="true">
      <c r="A1044" t="s" s="2">
        <v>13</v>
      </c>
      <c r="B1044" t="s" s="2">
        <f>HYPERLINK("http://ts.21cn.com/tousu/show/id/1373032","彩虹钱包不合法")</f>
      </c>
      <c r="C1044" t="s" s="2">
        <v>15</v>
      </c>
      <c r="D1044" t="s" s="2">
        <v>16</v>
      </c>
      <c r="E1044" t="s" s="2">
        <v>17</v>
      </c>
      <c r="F1044" t="s" s="2">
        <f>HYPERLINK("http://ts.21cn.com/tousu/show/id/1373032","http://ts.21cn.com/tousu/show/id/1373032")</f>
      </c>
      <c r="G1044" t="s" s="2">
        <v>17</v>
      </c>
      <c r="H1044" t="s" s="2">
        <v>19</v>
      </c>
      <c r="I1044" t="s" s="2">
        <v>4120</v>
      </c>
      <c r="J1044" t="s" s="2">
        <v>4121</v>
      </c>
      <c r="K1044" t="s" s="2">
        <v>22</v>
      </c>
      <c r="L1044" t="s" s="2">
        <v>22</v>
      </c>
      <c r="M1044" t="s" s="2">
        <v>22</v>
      </c>
    </row>
    <row r="1045" ht="25.0" customHeight="true">
      <c r="A1045" t="s" s="2">
        <v>13</v>
      </c>
      <c r="B1045" t="s" s="2">
        <f>HYPERLINK("http://ts.21cn.com/tousu/show/id/1373035","神舟租车绑定车辆信息不给解绑")</f>
      </c>
      <c r="C1045" t="s" s="2">
        <v>15</v>
      </c>
      <c r="D1045" t="s" s="2">
        <v>16</v>
      </c>
      <c r="E1045" t="s" s="2">
        <v>17</v>
      </c>
      <c r="F1045" t="s" s="2">
        <f>HYPERLINK("http://ts.21cn.com/tousu/show/id/1373035","http://ts.21cn.com/tousu/show/id/1373035")</f>
      </c>
      <c r="G1045" t="s" s="2">
        <v>17</v>
      </c>
      <c r="H1045" t="s" s="2">
        <v>19</v>
      </c>
      <c r="I1045" t="s" s="2">
        <v>4124</v>
      </c>
      <c r="J1045" t="s" s="2">
        <v>4125</v>
      </c>
      <c r="K1045" t="s" s="2">
        <v>22</v>
      </c>
      <c r="L1045" t="s" s="2">
        <v>22</v>
      </c>
      <c r="M1045" t="s" s="2">
        <v>22</v>
      </c>
    </row>
    <row r="1046" ht="25.0" customHeight="true">
      <c r="A1046" t="s" s="2">
        <v>13</v>
      </c>
      <c r="B1046" t="s" s="2">
        <f>HYPERLINK("http://ts.21cn.com/tousu/show/id/1373034","要求美图免除多余利息")</f>
      </c>
      <c r="C1046" t="s" s="2">
        <v>15</v>
      </c>
      <c r="D1046" t="s" s="2">
        <v>16</v>
      </c>
      <c r="E1046" t="s" s="2">
        <v>17</v>
      </c>
      <c r="F1046" t="s" s="2">
        <f>HYPERLINK("http://ts.21cn.com/tousu/show/id/1373034","http://ts.21cn.com/tousu/show/id/1373034")</f>
      </c>
      <c r="G1046" t="s" s="2">
        <v>17</v>
      </c>
      <c r="H1046" t="s" s="2">
        <v>19</v>
      </c>
      <c r="I1046" t="s" s="2">
        <v>4128</v>
      </c>
      <c r="J1046" t="s" s="2">
        <v>4129</v>
      </c>
      <c r="K1046" t="s" s="2">
        <v>22</v>
      </c>
      <c r="L1046" t="s" s="2">
        <v>22</v>
      </c>
      <c r="M1046" t="s" s="2">
        <v>22</v>
      </c>
    </row>
    <row r="1047" ht="25.0" customHeight="true">
      <c r="A1047" t="s" s="2">
        <v>13</v>
      </c>
      <c r="B1047" t="s" s="2">
        <f>HYPERLINK("http://ts.21cn.com/tousu/show/id/1373033","协商还款")</f>
      </c>
      <c r="C1047" t="s" s="2">
        <v>15</v>
      </c>
      <c r="D1047" t="s" s="2">
        <v>16</v>
      </c>
      <c r="E1047" t="s" s="2">
        <v>17</v>
      </c>
      <c r="F1047" t="s" s="2">
        <f>HYPERLINK("http://ts.21cn.com/tousu/show/id/1373033","http://ts.21cn.com/tousu/show/id/1373033")</f>
      </c>
      <c r="G1047" t="s" s="2">
        <v>17</v>
      </c>
      <c r="H1047" t="s" s="2">
        <v>19</v>
      </c>
      <c r="I1047" t="s" s="2">
        <v>4131</v>
      </c>
      <c r="J1047" t="s" s="2">
        <v>4132</v>
      </c>
      <c r="K1047" t="s" s="2">
        <v>22</v>
      </c>
      <c r="L1047" t="s" s="2">
        <v>22</v>
      </c>
      <c r="M1047" t="s" s="2">
        <v>22</v>
      </c>
    </row>
    <row r="1048" ht="25.0" customHeight="true">
      <c r="A1048" t="s" s="2">
        <v>13</v>
      </c>
      <c r="B1048" t="s" s="2">
        <f>HYPERLINK("http://ts.21cn.com/tousu/show/id/1373029","蜂窝钱包5天非法高利贷申请额度直接下款不接受协商还款汇潮支付和支付宝为非法高利贷提供放款还款通道请求协商本金")</f>
      </c>
      <c r="C1048" t="s" s="2">
        <v>15</v>
      </c>
      <c r="D1048" t="s" s="2">
        <v>16</v>
      </c>
      <c r="E1048" t="s" s="2">
        <v>17</v>
      </c>
      <c r="F1048" t="s" s="2">
        <f>HYPERLINK("http://ts.21cn.com/tousu/show/id/1373029","http://ts.21cn.com/tousu/show/id/1373029")</f>
      </c>
      <c r="G1048" t="s" s="2">
        <v>17</v>
      </c>
      <c r="H1048" t="s" s="2">
        <v>19</v>
      </c>
      <c r="I1048" t="s" s="2">
        <v>4135</v>
      </c>
      <c r="J1048" t="s" s="2">
        <v>4136</v>
      </c>
      <c r="K1048" t="s" s="2">
        <v>22</v>
      </c>
      <c r="L1048" t="s" s="2">
        <v>22</v>
      </c>
      <c r="M1048" t="s" s="2">
        <v>22</v>
      </c>
    </row>
    <row r="1049" ht="25.0" customHeight="true">
      <c r="A1049" t="s" s="2">
        <v>13</v>
      </c>
      <c r="B1049" t="s" s="2">
        <f>HYPERLINK("http://ts.21cn.com/tousu/show/id/1373027","闲鱼买到假货，卖家拒绝退货，拒不处理")</f>
      </c>
      <c r="C1049" t="s" s="2">
        <v>15</v>
      </c>
      <c r="D1049" t="s" s="2">
        <v>16</v>
      </c>
      <c r="E1049" t="s" s="2">
        <v>17</v>
      </c>
      <c r="F1049" t="s" s="2">
        <f>HYPERLINK("http://ts.21cn.com/tousu/show/id/1373027","http://ts.21cn.com/tousu/show/id/1373027")</f>
      </c>
      <c r="G1049" t="s" s="2">
        <v>17</v>
      </c>
      <c r="H1049" t="s" s="2">
        <v>19</v>
      </c>
      <c r="I1049" t="s" s="2">
        <v>4139</v>
      </c>
      <c r="J1049" t="s" s="2">
        <v>4140</v>
      </c>
      <c r="K1049" t="s" s="2">
        <v>22</v>
      </c>
      <c r="L1049" t="s" s="2">
        <v>22</v>
      </c>
      <c r="M1049" t="s" s="2">
        <v>22</v>
      </c>
    </row>
    <row r="1050" ht="25.0" customHeight="true">
      <c r="A1050" t="s" s="2">
        <v>13</v>
      </c>
      <c r="B1050" t="s" s="2">
        <f>HYPERLINK("http://ts.21cn.com/tousu/show/id/1373026","联动优势为变相高利贷平台趣惠买提供通道")</f>
      </c>
      <c r="C1050" t="s" s="2">
        <v>15</v>
      </c>
      <c r="D1050" t="s" s="2">
        <v>16</v>
      </c>
      <c r="E1050" t="s" s="2">
        <v>17</v>
      </c>
      <c r="F1050" t="s" s="2">
        <f>HYPERLINK("http://ts.21cn.com/tousu/show/id/1373026","http://ts.21cn.com/tousu/show/id/1373026")</f>
      </c>
      <c r="G1050" t="s" s="2">
        <v>17</v>
      </c>
      <c r="H1050" t="s" s="2">
        <v>19</v>
      </c>
      <c r="I1050" t="s" s="2">
        <v>4143</v>
      </c>
      <c r="J1050" t="s" s="2">
        <v>4144</v>
      </c>
      <c r="K1050" t="s" s="2">
        <v>22</v>
      </c>
      <c r="L1050" t="s" s="2">
        <v>22</v>
      </c>
      <c r="M1050" t="s" s="2">
        <v>22</v>
      </c>
    </row>
    <row r="1051" ht="25.0" customHeight="true">
      <c r="A1051" t="s" s="2">
        <v>13</v>
      </c>
      <c r="B1051" t="s" s="2">
        <f>HYPERLINK("http://ts.21cn.com/tousu/show/id/1373025","注册上海律环科技网络的立即秒贷没有提示就扣款299元，")</f>
      </c>
      <c r="C1051" t="s" s="2">
        <v>15</v>
      </c>
      <c r="D1051" t="s" s="2">
        <v>16</v>
      </c>
      <c r="E1051" t="s" s="2">
        <v>17</v>
      </c>
      <c r="F1051" t="s" s="2">
        <f>HYPERLINK("http://ts.21cn.com/tousu/show/id/1373025","http://ts.21cn.com/tousu/show/id/1373025")</f>
      </c>
      <c r="G1051" t="s" s="2">
        <v>17</v>
      </c>
      <c r="H1051" t="s" s="2">
        <v>19</v>
      </c>
      <c r="I1051" t="s" s="2">
        <v>4147</v>
      </c>
      <c r="J1051" t="s" s="2">
        <v>4148</v>
      </c>
      <c r="K1051" t="s" s="2">
        <v>22</v>
      </c>
      <c r="L1051" t="s" s="2">
        <v>22</v>
      </c>
      <c r="M1051" t="s" s="2">
        <v>22</v>
      </c>
    </row>
    <row r="1052" ht="25.0" customHeight="true">
      <c r="A1052" t="s" s="2">
        <v>13</v>
      </c>
      <c r="B1052" t="s" s="2">
        <f>HYPERLINK("http://ts.21cn.com/tousu/show/id/1373024","宜信砍头息，暴力催收，恐吓")</f>
      </c>
      <c r="C1052" t="s" s="2">
        <v>15</v>
      </c>
      <c r="D1052" t="s" s="2">
        <v>16</v>
      </c>
      <c r="E1052" t="s" s="2">
        <v>17</v>
      </c>
      <c r="F1052" t="s" s="2">
        <f>HYPERLINK("http://ts.21cn.com/tousu/show/id/1373024","http://ts.21cn.com/tousu/show/id/1373024")</f>
      </c>
      <c r="G1052" t="s" s="2">
        <v>17</v>
      </c>
      <c r="H1052" t="s" s="2">
        <v>19</v>
      </c>
      <c r="I1052" t="s" s="2">
        <v>4151</v>
      </c>
      <c r="J1052" t="s" s="2">
        <v>4152</v>
      </c>
      <c r="K1052" t="s" s="2">
        <v>22</v>
      </c>
      <c r="L1052" t="s" s="2">
        <v>22</v>
      </c>
      <c r="M1052" t="s" s="2">
        <v>22</v>
      </c>
    </row>
    <row r="1053" ht="25.0" customHeight="true">
      <c r="A1053" t="s" s="2">
        <v>13</v>
      </c>
      <c r="B1053" t="s" s="2">
        <f>HYPERLINK("http://ts.21cn.com/tousu/show/id/1373023","360借款未经同意骚扰并泄露通讯录")</f>
      </c>
      <c r="C1053" t="s" s="2">
        <v>15</v>
      </c>
      <c r="D1053" t="s" s="2">
        <v>16</v>
      </c>
      <c r="E1053" t="s" s="2">
        <v>17</v>
      </c>
      <c r="F1053" t="s" s="2">
        <f>HYPERLINK("http://ts.21cn.com/tousu/show/id/1373023","http://ts.21cn.com/tousu/show/id/1373023")</f>
      </c>
      <c r="G1053" t="s" s="2">
        <v>17</v>
      </c>
      <c r="H1053" t="s" s="2">
        <v>19</v>
      </c>
      <c r="I1053" t="s" s="2">
        <v>4155</v>
      </c>
      <c r="J1053" t="s" s="2">
        <v>4156</v>
      </c>
      <c r="K1053" t="s" s="2">
        <v>22</v>
      </c>
      <c r="L1053" t="s" s="2">
        <v>22</v>
      </c>
      <c r="M1053" t="s" s="2">
        <v>22</v>
      </c>
    </row>
    <row r="1054" ht="25.0" customHeight="true">
      <c r="A1054" t="s" s="2">
        <v>13</v>
      </c>
      <c r="B1054" t="s" s="2">
        <f>HYPERLINK("http://ts.21cn.com/tousu/show/id/1373022","商家逾期未发货")</f>
      </c>
      <c r="C1054" t="s" s="2">
        <v>15</v>
      </c>
      <c r="D1054" t="s" s="2">
        <v>16</v>
      </c>
      <c r="E1054" t="s" s="2">
        <v>17</v>
      </c>
      <c r="F1054" t="s" s="2">
        <f>HYPERLINK("http://ts.21cn.com/tousu/show/id/1373022","http://ts.21cn.com/tousu/show/id/1373022")</f>
      </c>
      <c r="G1054" t="s" s="2">
        <v>17</v>
      </c>
      <c r="H1054" t="s" s="2">
        <v>19</v>
      </c>
      <c r="I1054" t="s" s="2">
        <v>4159</v>
      </c>
      <c r="J1054" t="s" s="2">
        <v>4160</v>
      </c>
      <c r="K1054" t="s" s="2">
        <v>22</v>
      </c>
      <c r="L1054" t="s" s="2">
        <v>22</v>
      </c>
      <c r="M1054" t="s" s="2">
        <v>22</v>
      </c>
    </row>
    <row r="1055" ht="25.0" customHeight="true">
      <c r="A1055" t="s" s="2">
        <v>13</v>
      </c>
      <c r="B1055" t="s" s="2">
        <f>HYPERLINK("http://ts.21cn.com/tousu/show/id/1373021","交通银行信用卡中心客服")</f>
      </c>
      <c r="C1055" t="s" s="2">
        <v>15</v>
      </c>
      <c r="D1055" t="s" s="2">
        <v>16</v>
      </c>
      <c r="E1055" t="s" s="2">
        <v>17</v>
      </c>
      <c r="F1055" t="s" s="2">
        <f>HYPERLINK("http://ts.21cn.com/tousu/show/id/1373021","http://ts.21cn.com/tousu/show/id/1373021")</f>
      </c>
      <c r="G1055" t="s" s="2">
        <v>17</v>
      </c>
      <c r="H1055" t="s" s="2">
        <v>19</v>
      </c>
      <c r="I1055" t="s" s="2">
        <v>4163</v>
      </c>
      <c r="J1055" t="s" s="2">
        <v>4164</v>
      </c>
      <c r="K1055" t="s" s="2">
        <v>22</v>
      </c>
      <c r="L1055" t="s" s="2">
        <v>22</v>
      </c>
      <c r="M1055" t="s" s="2">
        <v>22</v>
      </c>
    </row>
    <row r="1056" ht="25.0" customHeight="true">
      <c r="A1056" t="s" s="2">
        <v>13</v>
      </c>
      <c r="B1056" t="s" s="2">
        <f>HYPERLINK("http://ts.21cn.com/tousu/show/id/1373019","捷信又爆通讯录")</f>
      </c>
      <c r="C1056" t="s" s="2">
        <v>15</v>
      </c>
      <c r="D1056" t="s" s="2">
        <v>16</v>
      </c>
      <c r="E1056" t="s" s="2">
        <v>17</v>
      </c>
      <c r="F1056" t="s" s="2">
        <f>HYPERLINK("http://ts.21cn.com/tousu/show/id/1373019","http://ts.21cn.com/tousu/show/id/1373019")</f>
      </c>
      <c r="G1056" t="s" s="2">
        <v>17</v>
      </c>
      <c r="H1056" t="s" s="2">
        <v>19</v>
      </c>
      <c r="I1056" t="s" s="2">
        <v>4167</v>
      </c>
      <c r="J1056" t="s" s="2">
        <v>4168</v>
      </c>
      <c r="K1056" t="s" s="2">
        <v>22</v>
      </c>
      <c r="L1056" t="s" s="2">
        <v>22</v>
      </c>
      <c r="M1056" t="s" s="2">
        <v>22</v>
      </c>
    </row>
    <row r="1057" ht="25.0" customHeight="true">
      <c r="A1057" t="s" s="2">
        <v>13</v>
      </c>
      <c r="B1057" t="s" s="2">
        <f>HYPERLINK("http://ts.21cn.com/tousu/show/id/1373018","求求你们别逼我了，非要把人逼死")</f>
      </c>
      <c r="C1057" t="s" s="2">
        <v>15</v>
      </c>
      <c r="D1057" t="s" s="2">
        <v>16</v>
      </c>
      <c r="E1057" t="s" s="2">
        <v>17</v>
      </c>
      <c r="F1057" t="s" s="2">
        <f>HYPERLINK("http://ts.21cn.com/tousu/show/id/1373018","http://ts.21cn.com/tousu/show/id/1373018")</f>
      </c>
      <c r="G1057" t="s" s="2">
        <v>17</v>
      </c>
      <c r="H1057" t="s" s="2">
        <v>19</v>
      </c>
      <c r="I1057" t="s" s="2">
        <v>4171</v>
      </c>
      <c r="J1057" t="s" s="2">
        <v>4172</v>
      </c>
      <c r="K1057" t="s" s="2">
        <v>22</v>
      </c>
      <c r="L1057" t="s" s="2">
        <v>22</v>
      </c>
      <c r="M1057" t="s" s="2">
        <v>22</v>
      </c>
    </row>
    <row r="1058" ht="25.0" customHeight="true">
      <c r="A1058" t="s" s="2">
        <v>13</v>
      </c>
      <c r="B1058" t="s" s="2">
        <f>HYPERLINK("http://ts.21cn.com/tousu/show/id/1373017","星赫梁山科技有限公司乱扣钱")</f>
      </c>
      <c r="C1058" t="s" s="2">
        <v>15</v>
      </c>
      <c r="D1058" t="s" s="2">
        <v>16</v>
      </c>
      <c r="E1058" t="s" s="2">
        <v>17</v>
      </c>
      <c r="F1058" t="s" s="2">
        <f>HYPERLINK("http://ts.21cn.com/tousu/show/id/1373017","http://ts.21cn.com/tousu/show/id/1373017")</f>
      </c>
      <c r="G1058" t="s" s="2">
        <v>17</v>
      </c>
      <c r="H1058" t="s" s="2">
        <v>19</v>
      </c>
      <c r="I1058" t="s" s="2">
        <v>4175</v>
      </c>
      <c r="J1058" t="s" s="2">
        <v>4176</v>
      </c>
      <c r="K1058" t="s" s="2">
        <v>22</v>
      </c>
      <c r="L1058" t="s" s="2">
        <v>22</v>
      </c>
      <c r="M1058" t="s" s="2">
        <v>22</v>
      </c>
    </row>
    <row r="1059" ht="25.0" customHeight="true">
      <c r="A1059" t="s" s="2">
        <v>13</v>
      </c>
      <c r="B1059" t="s" s="2">
        <f>HYPERLINK("http://ts.21cn.com/tousu/show/id/1373016","浦发信用卡中心")</f>
      </c>
      <c r="C1059" t="s" s="2">
        <v>52</v>
      </c>
      <c r="D1059" t="s" s="2">
        <v>16</v>
      </c>
      <c r="E1059" t="s" s="2">
        <v>17</v>
      </c>
      <c r="F1059" t="s" s="2">
        <f>HYPERLINK("http://ts.21cn.com/tousu/show/id/1373016","http://ts.21cn.com/tousu/show/id/1373016")</f>
      </c>
      <c r="G1059" t="s" s="2">
        <v>17</v>
      </c>
      <c r="H1059" t="s" s="2">
        <v>19</v>
      </c>
      <c r="I1059" t="s" s="2">
        <v>4179</v>
      </c>
      <c r="J1059" t="s" s="2">
        <v>4180</v>
      </c>
      <c r="K1059" t="s" s="2">
        <v>22</v>
      </c>
      <c r="L1059" t="s" s="2">
        <v>22</v>
      </c>
      <c r="M1059" t="s" s="2">
        <v>22</v>
      </c>
    </row>
    <row r="1060" ht="25.0" customHeight="true">
      <c r="A1060" t="s" s="2">
        <v>13</v>
      </c>
      <c r="B1060" t="s" s="2">
        <f>HYPERLINK("http://ts.21cn.com/tousu/show/id/1373015","今日花呗未使用服务扣款299")</f>
      </c>
      <c r="C1060" t="s" s="2">
        <v>52</v>
      </c>
      <c r="D1060" t="s" s="2">
        <v>16</v>
      </c>
      <c r="E1060" t="s" s="2">
        <v>17</v>
      </c>
      <c r="F1060" t="s" s="2">
        <f>HYPERLINK("http://ts.21cn.com/tousu/show/id/1373015","http://ts.21cn.com/tousu/show/id/1373015")</f>
      </c>
      <c r="G1060" t="s" s="2">
        <v>17</v>
      </c>
      <c r="H1060" t="s" s="2">
        <v>19</v>
      </c>
      <c r="I1060" t="s" s="2">
        <v>4183</v>
      </c>
      <c r="J1060" t="s" s="2">
        <v>4184</v>
      </c>
      <c r="K1060" t="s" s="2">
        <v>22</v>
      </c>
      <c r="L1060" t="s" s="2">
        <v>22</v>
      </c>
      <c r="M1060" t="s" s="2">
        <v>22</v>
      </c>
    </row>
    <row r="1061" ht="25.0" customHeight="true">
      <c r="A1061" t="s" s="2">
        <v>13</v>
      </c>
      <c r="B1061" t="s" s="2">
        <f>HYPERLINK("http://ts.21cn.com/tousu/show/id/1372992","砍头息，高利贷，714，阴阳合同")</f>
      </c>
      <c r="C1061" t="s" s="2">
        <v>15</v>
      </c>
      <c r="D1061" t="s" s="2">
        <v>16</v>
      </c>
      <c r="E1061" t="s" s="2">
        <v>17</v>
      </c>
      <c r="F1061" t="s" s="2">
        <f>HYPERLINK("http://ts.21cn.com/tousu/show/id/1372992","http://ts.21cn.com/tousu/show/id/1372992")</f>
      </c>
      <c r="G1061" t="s" s="2">
        <v>17</v>
      </c>
      <c r="H1061" t="s" s="2">
        <v>19</v>
      </c>
      <c r="I1061" t="s" s="2">
        <v>4187</v>
      </c>
      <c r="J1061" t="s" s="2">
        <v>4188</v>
      </c>
      <c r="K1061" t="s" s="2">
        <v>22</v>
      </c>
      <c r="L1061" t="s" s="2">
        <v>22</v>
      </c>
      <c r="M1061" t="s" s="2">
        <v>22</v>
      </c>
    </row>
    <row r="1062" ht="25.0" customHeight="true">
      <c r="A1062" t="s" s="2">
        <v>13</v>
      </c>
      <c r="B1062" t="s" s="2">
        <f>HYPERLINK("http://ts.21cn.com/tousu/show/id/1373012","套路贷。高利息")</f>
      </c>
      <c r="C1062" t="s" s="2">
        <v>15</v>
      </c>
      <c r="D1062" t="s" s="2">
        <v>16</v>
      </c>
      <c r="E1062" t="s" s="2">
        <v>17</v>
      </c>
      <c r="F1062" t="s" s="2">
        <f>HYPERLINK("http://ts.21cn.com/tousu/show/id/1373012","http://ts.21cn.com/tousu/show/id/1373012")</f>
      </c>
      <c r="G1062" t="s" s="2">
        <v>17</v>
      </c>
      <c r="H1062" t="s" s="2">
        <v>19</v>
      </c>
      <c r="I1062" t="s" s="2">
        <v>4191</v>
      </c>
      <c r="J1062" t="s" s="2">
        <v>4192</v>
      </c>
      <c r="K1062" t="s" s="2">
        <v>22</v>
      </c>
      <c r="L1062" t="s" s="2">
        <v>22</v>
      </c>
      <c r="M1062" t="s" s="2">
        <v>22</v>
      </c>
    </row>
    <row r="1063" ht="25.0" customHeight="true">
      <c r="A1063" t="s" s="2">
        <v>13</v>
      </c>
      <c r="B1063" t="s" s="2">
        <f>HYPERLINK("http://ts.21cn.com/tousu/show/id/1373013","通联支付未经本人同意第三方直接扣除银行卡的钱")</f>
      </c>
      <c r="C1063" t="s" s="2">
        <v>15</v>
      </c>
      <c r="D1063" t="s" s="2">
        <v>16</v>
      </c>
      <c r="E1063" t="s" s="2">
        <v>17</v>
      </c>
      <c r="F1063" t="s" s="2">
        <f>HYPERLINK("http://ts.21cn.com/tousu/show/id/1373013","http://ts.21cn.com/tousu/show/id/1373013")</f>
      </c>
      <c r="G1063" t="s" s="2">
        <v>17</v>
      </c>
      <c r="H1063" t="s" s="2">
        <v>19</v>
      </c>
      <c r="I1063" t="s" s="2">
        <v>4195</v>
      </c>
      <c r="J1063" t="s" s="2">
        <v>4196</v>
      </c>
      <c r="K1063" t="s" s="2">
        <v>22</v>
      </c>
      <c r="L1063" t="s" s="2">
        <v>22</v>
      </c>
      <c r="M1063" t="s" s="2">
        <v>22</v>
      </c>
    </row>
    <row r="1064" ht="25.0" customHeight="true">
      <c r="A1064" t="s" s="2">
        <v>13</v>
      </c>
      <c r="B1064" t="s" s="2">
        <f>HYPERLINK("http://ts.21cn.com/tousu/show/id/1373011","变向收取费用")</f>
      </c>
      <c r="C1064" t="s" s="2">
        <v>15</v>
      </c>
      <c r="D1064" t="s" s="2">
        <v>16</v>
      </c>
      <c r="E1064" t="s" s="2">
        <v>17</v>
      </c>
      <c r="F1064" t="s" s="2">
        <f>HYPERLINK("http://ts.21cn.com/tousu/show/id/1373011","http://ts.21cn.com/tousu/show/id/1373011")</f>
      </c>
      <c r="G1064" t="s" s="2">
        <v>17</v>
      </c>
      <c r="H1064" t="s" s="2">
        <v>19</v>
      </c>
      <c r="I1064" t="s" s="2">
        <v>4199</v>
      </c>
      <c r="J1064" t="s" s="2">
        <v>4200</v>
      </c>
      <c r="K1064" t="s" s="2">
        <v>22</v>
      </c>
      <c r="L1064" t="s" s="2">
        <v>22</v>
      </c>
      <c r="M1064" t="s" s="2">
        <v>22</v>
      </c>
    </row>
    <row r="1065" ht="25.0" customHeight="true">
      <c r="A1065" t="s" s="2">
        <v>13</v>
      </c>
      <c r="B1065" t="s" s="2">
        <f>HYPERLINK("http://ts.21cn.com/tousu/show/id/1373010","牛人有品暴力要求还款高利贷！")</f>
      </c>
      <c r="C1065" t="s" s="2">
        <v>15</v>
      </c>
      <c r="D1065" t="s" s="2">
        <v>16</v>
      </c>
      <c r="E1065" t="s" s="2">
        <v>17</v>
      </c>
      <c r="F1065" t="s" s="2">
        <f>HYPERLINK("http://ts.21cn.com/tousu/show/id/1373010","http://ts.21cn.com/tousu/show/id/1373010")</f>
      </c>
      <c r="G1065" t="s" s="2">
        <v>17</v>
      </c>
      <c r="H1065" t="s" s="2">
        <v>19</v>
      </c>
      <c r="I1065" t="s" s="2">
        <v>4203</v>
      </c>
      <c r="J1065" t="s" s="2">
        <v>4204</v>
      </c>
      <c r="K1065" t="s" s="2">
        <v>22</v>
      </c>
      <c r="L1065" t="s" s="2">
        <v>22</v>
      </c>
      <c r="M1065" t="s" s="2">
        <v>22</v>
      </c>
    </row>
    <row r="1066" ht="25.0" customHeight="true">
      <c r="A1066" t="s" s="2">
        <v>13</v>
      </c>
      <c r="B1066" t="s" s="2">
        <f>HYPERLINK("http://ts.21cn.com/tousu/show/id/1373009","退货淘宝介入快2个月没处理结果")</f>
      </c>
      <c r="C1066" t="s" s="2">
        <v>15</v>
      </c>
      <c r="D1066" t="s" s="2">
        <v>16</v>
      </c>
      <c r="E1066" t="s" s="2">
        <v>17</v>
      </c>
      <c r="F1066" t="s" s="2">
        <f>HYPERLINK("http://ts.21cn.com/tousu/show/id/1373009","http://ts.21cn.com/tousu/show/id/1373009")</f>
      </c>
      <c r="G1066" t="s" s="2">
        <v>17</v>
      </c>
      <c r="H1066" t="s" s="2">
        <v>19</v>
      </c>
      <c r="I1066" t="s" s="2">
        <v>4207</v>
      </c>
      <c r="J1066" t="s" s="2">
        <v>4208</v>
      </c>
      <c r="K1066" t="s" s="2">
        <v>22</v>
      </c>
      <c r="L1066" t="s" s="2">
        <v>22</v>
      </c>
      <c r="M1066" t="s" s="2">
        <v>22</v>
      </c>
    </row>
    <row r="1067" ht="25.0" customHeight="true">
      <c r="A1067" t="s" s="2">
        <v>13</v>
      </c>
      <c r="B1067" t="s" s="2">
        <f>HYPERLINK("http://ts.21cn.com/tousu/show/id/1373008","瓜子网不按合同提供快速过户服务")</f>
      </c>
      <c r="C1067" t="s" s="2">
        <v>15</v>
      </c>
      <c r="D1067" t="s" s="2">
        <v>16</v>
      </c>
      <c r="E1067" t="s" s="2">
        <v>17</v>
      </c>
      <c r="F1067" t="s" s="2">
        <f>HYPERLINK("http://ts.21cn.com/tousu/show/id/1373008","http://ts.21cn.com/tousu/show/id/1373008")</f>
      </c>
      <c r="G1067" t="s" s="2">
        <v>17</v>
      </c>
      <c r="H1067" t="s" s="2">
        <v>19</v>
      </c>
      <c r="I1067" t="s" s="2">
        <v>4211</v>
      </c>
      <c r="J1067" t="s" s="2">
        <v>4212</v>
      </c>
      <c r="K1067" t="s" s="2">
        <v>22</v>
      </c>
      <c r="L1067" t="s" s="2">
        <v>22</v>
      </c>
      <c r="M1067" t="s" s="2">
        <v>22</v>
      </c>
    </row>
    <row r="1068" ht="25.0" customHeight="true">
      <c r="A1068" t="s" s="2">
        <v>13</v>
      </c>
      <c r="B1068" t="s" s="2">
        <f>HYPERLINK("http://ts.21cn.com/tousu/show/id/1373007","财付通微信零钱充值账户")</f>
      </c>
      <c r="C1068" t="s" s="2">
        <v>52</v>
      </c>
      <c r="D1068" t="s" s="2">
        <v>16</v>
      </c>
      <c r="E1068" t="s" s="2">
        <v>17</v>
      </c>
      <c r="F1068" t="s" s="2">
        <f>HYPERLINK("http://ts.21cn.com/tousu/show/id/1373007","http://ts.21cn.com/tousu/show/id/1373007")</f>
      </c>
      <c r="G1068" t="s" s="2">
        <v>17</v>
      </c>
      <c r="H1068" t="s" s="2">
        <v>19</v>
      </c>
      <c r="I1068" t="s" s="2">
        <v>4215</v>
      </c>
      <c r="J1068" t="s" s="2">
        <v>4216</v>
      </c>
      <c r="K1068" t="s" s="2">
        <v>22</v>
      </c>
      <c r="L1068" t="s" s="2">
        <v>22</v>
      </c>
      <c r="M1068" t="s" s="2">
        <v>22</v>
      </c>
    </row>
    <row r="1069" ht="25.0" customHeight="true">
      <c r="A1069" t="s" s="2">
        <v>13</v>
      </c>
      <c r="B1069" t="s" s="2">
        <f>HYPERLINK("http://ts.21cn.com/tousu/show/id/1373006","兰州中川机场套路办理出行唯选1998")</f>
      </c>
      <c r="C1069" t="s" s="2">
        <v>15</v>
      </c>
      <c r="D1069" t="s" s="2">
        <v>16</v>
      </c>
      <c r="E1069" t="s" s="2">
        <v>17</v>
      </c>
      <c r="F1069" t="s" s="2">
        <f>HYPERLINK("http://ts.21cn.com/tousu/show/id/1373006","http://ts.21cn.com/tousu/show/id/1373006")</f>
      </c>
      <c r="G1069" t="s" s="2">
        <v>17</v>
      </c>
      <c r="H1069" t="s" s="2">
        <v>19</v>
      </c>
      <c r="I1069" t="s" s="2">
        <v>4219</v>
      </c>
      <c r="J1069" t="s" s="2">
        <v>4220</v>
      </c>
      <c r="K1069" t="s" s="2">
        <v>22</v>
      </c>
      <c r="L1069" t="s" s="2">
        <v>22</v>
      </c>
      <c r="M1069" t="s" s="2">
        <v>22</v>
      </c>
    </row>
    <row r="1070" ht="25.0" customHeight="true">
      <c r="A1070" t="s" s="2">
        <v>13</v>
      </c>
      <c r="B1070" t="s" s="2">
        <f>HYPERLINK("http://ts.21cn.com/tousu/show/id/1373005","公示总欠款，停息还款")</f>
      </c>
      <c r="C1070" t="s" s="2">
        <v>15</v>
      </c>
      <c r="D1070" t="s" s="2">
        <v>16</v>
      </c>
      <c r="E1070" t="s" s="2">
        <v>17</v>
      </c>
      <c r="F1070" t="s" s="2">
        <f>HYPERLINK("http://ts.21cn.com/tousu/show/id/1373005","http://ts.21cn.com/tousu/show/id/1373005")</f>
      </c>
      <c r="G1070" t="s" s="2">
        <v>17</v>
      </c>
      <c r="H1070" t="s" s="2">
        <v>19</v>
      </c>
      <c r="I1070" t="s" s="2">
        <v>4223</v>
      </c>
      <c r="J1070" t="s" s="2">
        <v>4224</v>
      </c>
      <c r="K1070" t="s" s="2">
        <v>22</v>
      </c>
      <c r="L1070" t="s" s="2">
        <v>22</v>
      </c>
      <c r="M1070" t="s" s="2">
        <v>22</v>
      </c>
    </row>
    <row r="1071" ht="25.0" customHeight="true">
      <c r="A1071" t="s" s="2">
        <v>13</v>
      </c>
      <c r="B1071" t="s" s="2">
        <f>HYPERLINK("http://ts.21cn.com/tousu/show/id/1373004","闪银开延期")</f>
      </c>
      <c r="C1071" t="s" s="2">
        <v>52</v>
      </c>
      <c r="D1071" t="s" s="2">
        <v>16</v>
      </c>
      <c r="E1071" t="s" s="2">
        <v>17</v>
      </c>
      <c r="F1071" t="s" s="2">
        <f>HYPERLINK("http://ts.21cn.com/tousu/show/id/1373004","http://ts.21cn.com/tousu/show/id/1373004")</f>
      </c>
      <c r="G1071" t="s" s="2">
        <v>17</v>
      </c>
      <c r="H1071" t="s" s="2">
        <v>19</v>
      </c>
      <c r="I1071" t="s" s="2">
        <v>4226</v>
      </c>
      <c r="J1071" t="s" s="2">
        <v>4227</v>
      </c>
      <c r="K1071" t="s" s="2">
        <v>22</v>
      </c>
      <c r="L1071" t="s" s="2">
        <v>22</v>
      </c>
      <c r="M1071" t="s" s="2">
        <v>22</v>
      </c>
    </row>
    <row r="1072" ht="25.0" customHeight="true">
      <c r="A1072" t="s" s="2">
        <v>13</v>
      </c>
      <c r="B1072" t="s" s="2">
        <f>HYPERLINK("http://ts.21cn.com/tousu/show/id/1373003","闪电借款暴力催收，客服联系不上")</f>
      </c>
      <c r="C1072" t="s" s="2">
        <v>15</v>
      </c>
      <c r="D1072" t="s" s="2">
        <v>16</v>
      </c>
      <c r="E1072" t="s" s="2">
        <v>17</v>
      </c>
      <c r="F1072" t="s" s="2">
        <f>HYPERLINK("http://ts.21cn.com/tousu/show/id/1373003","http://ts.21cn.com/tousu/show/id/1373003")</f>
      </c>
      <c r="G1072" t="s" s="2">
        <v>17</v>
      </c>
      <c r="H1072" t="s" s="2">
        <v>19</v>
      </c>
      <c r="I1072" t="s" s="2">
        <v>4230</v>
      </c>
      <c r="J1072" t="s" s="2">
        <v>4231</v>
      </c>
      <c r="K1072" t="s" s="2">
        <v>22</v>
      </c>
      <c r="L1072" t="s" s="2">
        <v>22</v>
      </c>
      <c r="M1072" t="s" s="2">
        <v>22</v>
      </c>
    </row>
    <row r="1073" ht="25.0" customHeight="true">
      <c r="A1073" t="s" s="2">
        <v>13</v>
      </c>
      <c r="B1073" t="s" s="2">
        <f>HYPERLINK("http://ts.21cn.com/tousu/show/id/1373002","品牌奶粉纽瑞滋佶润一段奶粉吃出黄色固体颗粒")</f>
      </c>
      <c r="C1073" t="s" s="2">
        <v>15</v>
      </c>
      <c r="D1073" t="s" s="2">
        <v>16</v>
      </c>
      <c r="E1073" t="s" s="2">
        <v>17</v>
      </c>
      <c r="F1073" t="s" s="2">
        <f>HYPERLINK("http://ts.21cn.com/tousu/show/id/1373002","http://ts.21cn.com/tousu/show/id/1373002")</f>
      </c>
      <c r="G1073" t="s" s="2">
        <v>17</v>
      </c>
      <c r="H1073" t="s" s="2">
        <v>19</v>
      </c>
      <c r="I1073" t="s" s="2">
        <v>4234</v>
      </c>
      <c r="J1073" t="s" s="2">
        <v>4235</v>
      </c>
      <c r="K1073" t="s" s="2">
        <v>22</v>
      </c>
      <c r="L1073" t="s" s="2">
        <v>22</v>
      </c>
      <c r="M1073" t="s" s="2">
        <v>22</v>
      </c>
    </row>
    <row r="1074" ht="25.0" customHeight="true">
      <c r="A1074" t="s" s="2">
        <v>13</v>
      </c>
      <c r="B1074" t="s" s="2">
        <f>HYPERLINK("http://ts.21cn.com/tousu/show/id/1372964","盈股信息配资虚拟盘非法")</f>
      </c>
      <c r="C1074" t="s" s="2">
        <v>15</v>
      </c>
      <c r="D1074" t="s" s="2">
        <v>16</v>
      </c>
      <c r="E1074" t="s" s="2">
        <v>17</v>
      </c>
      <c r="F1074" t="s" s="2">
        <f>HYPERLINK("http://ts.21cn.com/tousu/show/id/1372964","http://ts.21cn.com/tousu/show/id/1372964")</f>
      </c>
      <c r="G1074" t="s" s="2">
        <v>17</v>
      </c>
      <c r="H1074" t="s" s="2">
        <v>19</v>
      </c>
      <c r="I1074" t="s" s="2">
        <v>4238</v>
      </c>
      <c r="J1074" t="s" s="2">
        <v>4239</v>
      </c>
      <c r="K1074" t="s" s="2">
        <v>22</v>
      </c>
      <c r="L1074" t="s" s="2">
        <v>22</v>
      </c>
      <c r="M1074" t="s" s="2">
        <v>22</v>
      </c>
    </row>
    <row r="1075" ht="25.0" customHeight="true">
      <c r="A1075" t="s" s="2">
        <v>13</v>
      </c>
      <c r="B1075" t="s" s="2">
        <f>HYPERLINK("http://ts.21cn.com/tousu/show/id/1373000","招联金融暴力催收让我生死不能")</f>
      </c>
      <c r="C1075" t="s" s="2">
        <v>15</v>
      </c>
      <c r="D1075" t="s" s="2">
        <v>16</v>
      </c>
      <c r="E1075" t="s" s="2">
        <v>17</v>
      </c>
      <c r="F1075" t="s" s="2">
        <f>HYPERLINK("http://ts.21cn.com/tousu/show/id/1373000","http://ts.21cn.com/tousu/show/id/1373000")</f>
      </c>
      <c r="G1075" t="s" s="2">
        <v>17</v>
      </c>
      <c r="H1075" t="s" s="2">
        <v>19</v>
      </c>
      <c r="I1075" t="s" s="2">
        <v>4242</v>
      </c>
      <c r="J1075" t="s" s="2">
        <v>4243</v>
      </c>
      <c r="K1075" t="s" s="2">
        <v>22</v>
      </c>
      <c r="L1075" t="s" s="2">
        <v>22</v>
      </c>
      <c r="M1075" t="s" s="2">
        <v>22</v>
      </c>
    </row>
    <row r="1076" ht="25.0" customHeight="true">
      <c r="A1076" t="s" s="2">
        <v>13</v>
      </c>
      <c r="B1076" t="s" s="2">
        <f>HYPERLINK("http://ts.21cn.com/tousu/show/id/1372999","淘手游平台办事效率低")</f>
      </c>
      <c r="C1076" t="s" s="2">
        <v>15</v>
      </c>
      <c r="D1076" t="s" s="2">
        <v>16</v>
      </c>
      <c r="E1076" t="s" s="2">
        <v>17</v>
      </c>
      <c r="F1076" t="s" s="2">
        <f>HYPERLINK("http://ts.21cn.com/tousu/show/id/1372999","http://ts.21cn.com/tousu/show/id/1372999")</f>
      </c>
      <c r="G1076" t="s" s="2">
        <v>17</v>
      </c>
      <c r="H1076" t="s" s="2">
        <v>19</v>
      </c>
      <c r="I1076" t="s" s="2">
        <v>4246</v>
      </c>
      <c r="J1076" t="s" s="2">
        <v>4247</v>
      </c>
      <c r="K1076" t="s" s="2">
        <v>22</v>
      </c>
      <c r="L1076" t="s" s="2">
        <v>22</v>
      </c>
      <c r="M1076" t="s" s="2">
        <v>22</v>
      </c>
    </row>
    <row r="1077" ht="25.0" customHeight="true">
      <c r="A1077" t="s" s="2">
        <v>13</v>
      </c>
      <c r="B1077" t="s" s="2">
        <f>HYPERLINK("http://ts.21cn.com/tousu/show/id/1372998","暴力威胁爆通讯录")</f>
      </c>
      <c r="C1077" t="s" s="2">
        <v>15</v>
      </c>
      <c r="D1077" t="s" s="2">
        <v>16</v>
      </c>
      <c r="E1077" t="s" s="2">
        <v>17</v>
      </c>
      <c r="F1077" t="s" s="2">
        <f>HYPERLINK("http://ts.21cn.com/tousu/show/id/1372998","http://ts.21cn.com/tousu/show/id/1372998")</f>
      </c>
      <c r="G1077" t="s" s="2">
        <v>17</v>
      </c>
      <c r="H1077" t="s" s="2">
        <v>19</v>
      </c>
      <c r="I1077" t="s" s="2">
        <v>4250</v>
      </c>
      <c r="J1077" t="s" s="2">
        <v>4251</v>
      </c>
      <c r="K1077" t="s" s="2">
        <v>22</v>
      </c>
      <c r="L1077" t="s" s="2">
        <v>22</v>
      </c>
      <c r="M1077" t="s" s="2">
        <v>22</v>
      </c>
    </row>
    <row r="1078" ht="25.0" customHeight="true">
      <c r="A1078" t="s" s="2">
        <v>13</v>
      </c>
      <c r="B1078" t="s" s="2">
        <f>HYPERLINK("http://ts.21cn.com/tousu/show/id/1372996","多宝分期高利贷")</f>
      </c>
      <c r="C1078" t="s" s="2">
        <v>15</v>
      </c>
      <c r="D1078" t="s" s="2">
        <v>16</v>
      </c>
      <c r="E1078" t="s" s="2">
        <v>17</v>
      </c>
      <c r="F1078" t="s" s="2">
        <f>HYPERLINK("http://ts.21cn.com/tousu/show/id/1372996","http://ts.21cn.com/tousu/show/id/1372996")</f>
      </c>
      <c r="G1078" t="s" s="2">
        <v>17</v>
      </c>
      <c r="H1078" t="s" s="2">
        <v>19</v>
      </c>
      <c r="I1078" t="s" s="2">
        <v>4254</v>
      </c>
      <c r="J1078" t="s" s="2">
        <v>4255</v>
      </c>
      <c r="K1078" t="s" s="2">
        <v>22</v>
      </c>
      <c r="L1078" t="s" s="2">
        <v>22</v>
      </c>
      <c r="M1078" t="s" s="2">
        <v>22</v>
      </c>
    </row>
    <row r="1079" ht="25.0" customHeight="true">
      <c r="A1079" t="s" s="2">
        <v>13</v>
      </c>
      <c r="B1079" t="s" s="2">
        <f>HYPERLINK("http://ts.21cn.com/tousu/show/id/1372995","飞贷")</f>
      </c>
      <c r="C1079" t="s" s="2">
        <v>15</v>
      </c>
      <c r="D1079" t="s" s="2">
        <v>16</v>
      </c>
      <c r="E1079" t="s" s="2">
        <v>17</v>
      </c>
      <c r="F1079" t="s" s="2">
        <f>HYPERLINK("http://ts.21cn.com/tousu/show/id/1372995","http://ts.21cn.com/tousu/show/id/1372995")</f>
      </c>
      <c r="G1079" t="s" s="2">
        <v>17</v>
      </c>
      <c r="H1079" t="s" s="2">
        <v>19</v>
      </c>
      <c r="I1079" t="s" s="2">
        <v>4258</v>
      </c>
      <c r="J1079" t="s" s="2">
        <v>4259</v>
      </c>
      <c r="K1079" t="s" s="2">
        <v>22</v>
      </c>
      <c r="L1079" t="s" s="2">
        <v>22</v>
      </c>
      <c r="M1079" t="s" s="2">
        <v>22</v>
      </c>
    </row>
    <row r="1080" ht="25.0" customHeight="true">
      <c r="A1080" t="s" s="2">
        <v>13</v>
      </c>
      <c r="B1080" t="s" s="2">
        <f>HYPERLINK("http://ts.21cn.com/tousu/show/id/1372994","瑞易生活扫码支付未到账，客户一直推说到账时间，投诉赔付")</f>
      </c>
      <c r="C1080" t="s" s="2">
        <v>15</v>
      </c>
      <c r="D1080" t="s" s="2">
        <v>16</v>
      </c>
      <c r="E1080" t="s" s="2">
        <v>17</v>
      </c>
      <c r="F1080" t="s" s="2">
        <f>HYPERLINK("http://ts.21cn.com/tousu/show/id/1372994","http://ts.21cn.com/tousu/show/id/1372994")</f>
      </c>
      <c r="G1080" t="s" s="2">
        <v>17</v>
      </c>
      <c r="H1080" t="s" s="2">
        <v>19</v>
      </c>
      <c r="I1080" t="s" s="2">
        <v>4262</v>
      </c>
      <c r="J1080" t="s" s="2">
        <v>4263</v>
      </c>
      <c r="K1080" t="s" s="2">
        <v>22</v>
      </c>
      <c r="L1080" t="s" s="2">
        <v>22</v>
      </c>
      <c r="M1080" t="s" s="2">
        <v>22</v>
      </c>
    </row>
    <row r="1081" ht="25.0" customHeight="true">
      <c r="A1081" t="s" s="2">
        <v>13</v>
      </c>
      <c r="B1081" t="s" s="2">
        <f>HYPERLINK("http://ts.21cn.com/tousu/show/id/1372993","钱站高利贷，")</f>
      </c>
      <c r="C1081" t="s" s="2">
        <v>15</v>
      </c>
      <c r="D1081" t="s" s="2">
        <v>16</v>
      </c>
      <c r="E1081" t="s" s="2">
        <v>17</v>
      </c>
      <c r="F1081" t="s" s="2">
        <f>HYPERLINK("http://ts.21cn.com/tousu/show/id/1372993","http://ts.21cn.com/tousu/show/id/1372993")</f>
      </c>
      <c r="G1081" t="s" s="2">
        <v>17</v>
      </c>
      <c r="H1081" t="s" s="2">
        <v>19</v>
      </c>
      <c r="I1081" t="s" s="2">
        <v>4266</v>
      </c>
      <c r="J1081" t="s" s="2">
        <v>4267</v>
      </c>
      <c r="K1081" t="s" s="2">
        <v>22</v>
      </c>
      <c r="L1081" t="s" s="2">
        <v>22</v>
      </c>
      <c r="M1081" t="s" s="2">
        <v>22</v>
      </c>
    </row>
    <row r="1082" ht="25.0" customHeight="true">
      <c r="A1082" t="s" s="2">
        <v>13</v>
      </c>
      <c r="B1082" t="s" s="2">
        <f>HYPERLINK("http://ts.21cn.com/tousu/show/id/1372990","所有家人被威胁骚扰，要求道歉")</f>
      </c>
      <c r="C1082" t="s" s="2">
        <v>15</v>
      </c>
      <c r="D1082" t="s" s="2">
        <v>16</v>
      </c>
      <c r="E1082" t="s" s="2">
        <v>17</v>
      </c>
      <c r="F1082" t="s" s="2">
        <f>HYPERLINK("http://ts.21cn.com/tousu/show/id/1372990","http://ts.21cn.com/tousu/show/id/1372990")</f>
      </c>
      <c r="G1082" t="s" s="2">
        <v>17</v>
      </c>
      <c r="H1082" t="s" s="2">
        <v>19</v>
      </c>
      <c r="I1082" t="s" s="2">
        <v>4270</v>
      </c>
      <c r="J1082" t="s" s="2">
        <v>4271</v>
      </c>
      <c r="K1082" t="s" s="2">
        <v>22</v>
      </c>
      <c r="L1082" t="s" s="2">
        <v>22</v>
      </c>
      <c r="M1082" t="s" s="2">
        <v>22</v>
      </c>
    </row>
    <row r="1083" ht="25.0" customHeight="true">
      <c r="A1083" t="s" s="2">
        <v>13</v>
      </c>
      <c r="B1083" t="s" s="2">
        <f>HYPERLINK("http://ts.21cn.com/tousu/show/id/1372991","你我贷高利贷")</f>
      </c>
      <c r="C1083" t="s" s="2">
        <v>15</v>
      </c>
      <c r="D1083" t="s" s="2">
        <v>16</v>
      </c>
      <c r="E1083" t="s" s="2">
        <v>17</v>
      </c>
      <c r="F1083" t="s" s="2">
        <f>HYPERLINK("http://ts.21cn.com/tousu/show/id/1372991","http://ts.21cn.com/tousu/show/id/1372991")</f>
      </c>
      <c r="G1083" t="s" s="2">
        <v>17</v>
      </c>
      <c r="H1083" t="s" s="2">
        <v>19</v>
      </c>
      <c r="I1083" t="s" s="2">
        <v>4274</v>
      </c>
      <c r="J1083" t="s" s="2">
        <v>4275</v>
      </c>
      <c r="K1083" t="s" s="2">
        <v>22</v>
      </c>
      <c r="L1083" t="s" s="2">
        <v>22</v>
      </c>
      <c r="M1083" t="s" s="2">
        <v>22</v>
      </c>
    </row>
    <row r="1084" ht="25.0" customHeight="true">
      <c r="A1084" t="s" s="2">
        <v>13</v>
      </c>
      <c r="B1084" t="s" s="2">
        <f>HYPERLINK("http://ts.21cn.com/tousu/show/id/1372988","暴力催收恐吓辱骂")</f>
      </c>
      <c r="C1084" t="s" s="2">
        <v>15</v>
      </c>
      <c r="D1084" t="s" s="2">
        <v>16</v>
      </c>
      <c r="E1084" t="s" s="2">
        <v>17</v>
      </c>
      <c r="F1084" t="s" s="2">
        <f>HYPERLINK("http://ts.21cn.com/tousu/show/id/1372988","http://ts.21cn.com/tousu/show/id/1372988")</f>
      </c>
      <c r="G1084" t="s" s="2">
        <v>17</v>
      </c>
      <c r="H1084" t="s" s="2">
        <v>19</v>
      </c>
      <c r="I1084" t="s" s="2">
        <v>4278</v>
      </c>
      <c r="J1084" t="s" s="2">
        <v>4279</v>
      </c>
      <c r="K1084" t="s" s="2">
        <v>22</v>
      </c>
      <c r="L1084" t="s" s="2">
        <v>22</v>
      </c>
      <c r="M1084" t="s" s="2">
        <v>22</v>
      </c>
    </row>
    <row r="1085" ht="25.0" customHeight="true">
      <c r="A1085" t="s" s="2">
        <v>13</v>
      </c>
      <c r="B1085" t="s" s="2">
        <f>HYPERLINK("http://ts.21cn.com/tousu/show/id/1372987","51人品贷胡乱收费")</f>
      </c>
      <c r="C1085" t="s" s="2">
        <v>15</v>
      </c>
      <c r="D1085" t="s" s="2">
        <v>16</v>
      </c>
      <c r="E1085" t="s" s="2">
        <v>17</v>
      </c>
      <c r="F1085" t="s" s="2">
        <f>HYPERLINK("http://ts.21cn.com/tousu/show/id/1372987","http://ts.21cn.com/tousu/show/id/1372987")</f>
      </c>
      <c r="G1085" t="s" s="2">
        <v>17</v>
      </c>
      <c r="H1085" t="s" s="2">
        <v>19</v>
      </c>
      <c r="I1085" t="s" s="2">
        <v>4282</v>
      </c>
      <c r="J1085" t="s" s="2">
        <v>4283</v>
      </c>
      <c r="K1085" t="s" s="2">
        <v>22</v>
      </c>
      <c r="L1085" t="s" s="2">
        <v>22</v>
      </c>
      <c r="M1085" t="s" s="2">
        <v>22</v>
      </c>
    </row>
    <row r="1086" ht="25.0" customHeight="true">
      <c r="A1086" t="s" s="2">
        <v>13</v>
      </c>
      <c r="B1086" t="s" s="2">
        <f>HYPERLINK("http://ts.21cn.com/tousu/show/id/1372986","天天拍车检测差异胡乱扣款")</f>
      </c>
      <c r="C1086" t="s" s="2">
        <v>15</v>
      </c>
      <c r="D1086" t="s" s="2">
        <v>16</v>
      </c>
      <c r="E1086" t="s" s="2">
        <v>17</v>
      </c>
      <c r="F1086" t="s" s="2">
        <f>HYPERLINK("http://ts.21cn.com/tousu/show/id/1372986","http://ts.21cn.com/tousu/show/id/1372986")</f>
      </c>
      <c r="G1086" t="s" s="2">
        <v>17</v>
      </c>
      <c r="H1086" t="s" s="2">
        <v>19</v>
      </c>
      <c r="I1086" t="s" s="2">
        <v>4286</v>
      </c>
      <c r="J1086" t="s" s="2">
        <v>4287</v>
      </c>
      <c r="K1086" t="s" s="2">
        <v>22</v>
      </c>
      <c r="L1086" t="s" s="2">
        <v>22</v>
      </c>
      <c r="M1086" t="s" s="2">
        <v>22</v>
      </c>
    </row>
    <row r="1087" ht="25.0" customHeight="true">
      <c r="A1087" t="s" s="2">
        <v>13</v>
      </c>
      <c r="B1087" t="s" s="2">
        <f>HYPERLINK("http://ts.21cn.com/tousu/show/id/1372985","尚德机构投诉专题")</f>
      </c>
      <c r="C1087" t="s" s="2">
        <v>15</v>
      </c>
      <c r="D1087" t="s" s="2">
        <v>16</v>
      </c>
      <c r="E1087" t="s" s="2">
        <v>17</v>
      </c>
      <c r="F1087" t="s" s="2">
        <f>HYPERLINK("http://ts.21cn.com/tousu/show/id/1372985","http://ts.21cn.com/tousu/show/id/1372985")</f>
      </c>
      <c r="G1087" t="s" s="2">
        <v>17</v>
      </c>
      <c r="H1087" t="s" s="2">
        <v>19</v>
      </c>
      <c r="I1087" t="s" s="2">
        <v>4290</v>
      </c>
      <c r="J1087" t="s" s="2">
        <v>4291</v>
      </c>
      <c r="K1087" t="s" s="2">
        <v>22</v>
      </c>
      <c r="L1087" t="s" s="2">
        <v>22</v>
      </c>
      <c r="M1087" t="s" s="2">
        <v>22</v>
      </c>
    </row>
    <row r="1088" ht="25.0" customHeight="true">
      <c r="A1088" t="s" s="2">
        <v>13</v>
      </c>
      <c r="B1088" t="s" s="2">
        <f>HYPERLINK("http://ts.21cn.com/tousu/show/id/1372983","新浪分期的受害者")</f>
      </c>
      <c r="C1088" t="s" s="2">
        <v>15</v>
      </c>
      <c r="D1088" t="s" s="2">
        <v>16</v>
      </c>
      <c r="E1088" t="s" s="2">
        <v>17</v>
      </c>
      <c r="F1088" t="s" s="2">
        <f>HYPERLINK("http://ts.21cn.com/tousu/show/id/1372983","http://ts.21cn.com/tousu/show/id/1372983")</f>
      </c>
      <c r="G1088" t="s" s="2">
        <v>17</v>
      </c>
      <c r="H1088" t="s" s="2">
        <v>19</v>
      </c>
      <c r="I1088" t="s" s="2">
        <v>4294</v>
      </c>
      <c r="J1088" t="s" s="2">
        <v>4295</v>
      </c>
      <c r="K1088" t="s" s="2">
        <v>22</v>
      </c>
      <c r="L1088" t="s" s="2">
        <v>22</v>
      </c>
      <c r="M1088" t="s" s="2">
        <v>22</v>
      </c>
    </row>
    <row r="1089" ht="25.0" customHeight="true">
      <c r="A1089" t="s" s="2">
        <v>13</v>
      </c>
      <c r="B1089" t="s" s="2">
        <f>HYPERLINK("http://ts.21cn.com/tousu/show/id/1372984","51分期砍头息")</f>
      </c>
      <c r="C1089" t="s" s="2">
        <v>52</v>
      </c>
      <c r="D1089" t="s" s="2">
        <v>16</v>
      </c>
      <c r="E1089" t="s" s="2">
        <v>17</v>
      </c>
      <c r="F1089" t="s" s="2">
        <f>HYPERLINK("http://ts.21cn.com/tousu/show/id/1372984","http://ts.21cn.com/tousu/show/id/1372984")</f>
      </c>
      <c r="G1089" t="s" s="2">
        <v>17</v>
      </c>
      <c r="H1089" t="s" s="2">
        <v>19</v>
      </c>
      <c r="I1089" t="s" s="2">
        <v>4298</v>
      </c>
      <c r="J1089" t="s" s="2">
        <v>4299</v>
      </c>
      <c r="K1089" t="s" s="2">
        <v>22</v>
      </c>
      <c r="L1089" t="s" s="2">
        <v>22</v>
      </c>
      <c r="M1089" t="s" s="2">
        <v>22</v>
      </c>
    </row>
    <row r="1090" ht="25.0" customHeight="true">
      <c r="A1090" t="s" s="2">
        <v>13</v>
      </c>
      <c r="B1090" t="s" s="2">
        <f>HYPERLINK("http://ts.21cn.com/tousu/show/id/1372981","在我不知情情况下，扣我199块钱")</f>
      </c>
      <c r="C1090" t="s" s="2">
        <v>15</v>
      </c>
      <c r="D1090" t="s" s="2">
        <v>16</v>
      </c>
      <c r="E1090" t="s" s="2">
        <v>17</v>
      </c>
      <c r="F1090" t="s" s="2">
        <f>HYPERLINK("http://ts.21cn.com/tousu/show/id/1372981","http://ts.21cn.com/tousu/show/id/1372981")</f>
      </c>
      <c r="G1090" t="s" s="2">
        <v>17</v>
      </c>
      <c r="H1090" t="s" s="2">
        <v>19</v>
      </c>
      <c r="I1090" t="s" s="2">
        <v>4302</v>
      </c>
      <c r="J1090" t="s" s="2">
        <v>4303</v>
      </c>
      <c r="K1090" t="s" s="2">
        <v>22</v>
      </c>
      <c r="L1090" t="s" s="2">
        <v>22</v>
      </c>
      <c r="M1090" t="s" s="2">
        <v>22</v>
      </c>
    </row>
    <row r="1091" ht="25.0" customHeight="true">
      <c r="A1091" t="s" s="2">
        <v>13</v>
      </c>
      <c r="B1091" t="s" s="2">
        <f>HYPERLINK("http://ts.21cn.com/tousu/show/id/1372982","报通讯录")</f>
      </c>
      <c r="C1091" t="s" s="2">
        <v>52</v>
      </c>
      <c r="D1091" t="s" s="2">
        <v>16</v>
      </c>
      <c r="E1091" t="s" s="2">
        <v>17</v>
      </c>
      <c r="F1091" t="s" s="2">
        <f>HYPERLINK("http://ts.21cn.com/tousu/show/id/1372982","http://ts.21cn.com/tousu/show/id/1372982")</f>
      </c>
      <c r="G1091" t="s" s="2">
        <v>17</v>
      </c>
      <c r="H1091" t="s" s="2">
        <v>19</v>
      </c>
      <c r="I1091" t="s" s="2">
        <v>4302</v>
      </c>
      <c r="J1091" t="s" s="2">
        <v>4306</v>
      </c>
      <c r="K1091" t="s" s="2">
        <v>22</v>
      </c>
      <c r="L1091" t="s" s="2">
        <v>22</v>
      </c>
      <c r="M1091" t="s" s="2">
        <v>22</v>
      </c>
    </row>
    <row r="1092" ht="25.0" customHeight="true">
      <c r="A1092" t="s" s="2">
        <v>13</v>
      </c>
      <c r="B1092" t="s" s="2">
        <f>HYPERLINK("http://ts.21cn.com/tousu/show/id/1372980","海浪分期系原肥猫贷，高利贷")</f>
      </c>
      <c r="C1092" t="s" s="2">
        <v>15</v>
      </c>
      <c r="D1092" t="s" s="2">
        <v>16</v>
      </c>
      <c r="E1092" t="s" s="2">
        <v>17</v>
      </c>
      <c r="F1092" t="s" s="2">
        <f>HYPERLINK("http://ts.21cn.com/tousu/show/id/1372980","http://ts.21cn.com/tousu/show/id/1372980")</f>
      </c>
      <c r="G1092" t="s" s="2">
        <v>17</v>
      </c>
      <c r="H1092" t="s" s="2">
        <v>19</v>
      </c>
      <c r="I1092" t="s" s="2">
        <v>4309</v>
      </c>
      <c r="J1092" t="s" s="2">
        <v>4310</v>
      </c>
      <c r="K1092" t="s" s="2">
        <v>22</v>
      </c>
      <c r="L1092" t="s" s="2">
        <v>22</v>
      </c>
      <c r="M1092" t="s" s="2">
        <v>22</v>
      </c>
    </row>
    <row r="1093" ht="25.0" customHeight="true">
      <c r="A1093" t="s" s="2">
        <v>13</v>
      </c>
      <c r="B1093" t="s" s="2">
        <f>HYPERLINK("http://ts.21cn.com/tousu/show/id/1372979","钱站高利贷高额砍头息")</f>
      </c>
      <c r="C1093" t="s" s="2">
        <v>15</v>
      </c>
      <c r="D1093" t="s" s="2">
        <v>16</v>
      </c>
      <c r="E1093" t="s" s="2">
        <v>17</v>
      </c>
      <c r="F1093" t="s" s="2">
        <f>HYPERLINK("http://ts.21cn.com/tousu/show/id/1372979","http://ts.21cn.com/tousu/show/id/1372979")</f>
      </c>
      <c r="G1093" t="s" s="2">
        <v>17</v>
      </c>
      <c r="H1093" t="s" s="2">
        <v>19</v>
      </c>
      <c r="I1093" t="s" s="2">
        <v>4313</v>
      </c>
      <c r="J1093" t="s" s="2">
        <v>4314</v>
      </c>
      <c r="K1093" t="s" s="2">
        <v>22</v>
      </c>
      <c r="L1093" t="s" s="2">
        <v>22</v>
      </c>
      <c r="M1093" t="s" s="2">
        <v>22</v>
      </c>
    </row>
    <row r="1094" ht="25.0" customHeight="true">
      <c r="A1094" t="s" s="2">
        <v>13</v>
      </c>
      <c r="B1094" t="s" s="2">
        <f>HYPERLINK("http://ts.21cn.com/tousu/show/id/1372977","扣款问题")</f>
      </c>
      <c r="C1094" t="s" s="2">
        <v>15</v>
      </c>
      <c r="D1094" t="s" s="2">
        <v>16</v>
      </c>
      <c r="E1094" t="s" s="2">
        <v>17</v>
      </c>
      <c r="F1094" t="s" s="2">
        <f>HYPERLINK("http://ts.21cn.com/tousu/show/id/1372977","http://ts.21cn.com/tousu/show/id/1372977")</f>
      </c>
      <c r="G1094" t="s" s="2">
        <v>17</v>
      </c>
      <c r="H1094" t="s" s="2">
        <v>19</v>
      </c>
      <c r="I1094" t="s" s="2">
        <v>4317</v>
      </c>
      <c r="J1094" t="s" s="2">
        <v>4318</v>
      </c>
      <c r="K1094" t="s" s="2">
        <v>22</v>
      </c>
      <c r="L1094" t="s" s="2">
        <v>22</v>
      </c>
      <c r="M1094" t="s" s="2">
        <v>22</v>
      </c>
    </row>
    <row r="1095" ht="25.0" customHeight="true">
      <c r="A1095" t="s" s="2">
        <v>13</v>
      </c>
      <c r="B1095" t="s" s="2">
        <f>HYPERLINK("http://ts.21cn.com/tousu/show/id/1372976","薪薪借钱恶意扣款")</f>
      </c>
      <c r="C1095" t="s" s="2">
        <v>15</v>
      </c>
      <c r="D1095" t="s" s="2">
        <v>16</v>
      </c>
      <c r="E1095" t="s" s="2">
        <v>17</v>
      </c>
      <c r="F1095" t="s" s="2">
        <f>HYPERLINK("http://ts.21cn.com/tousu/show/id/1372976","http://ts.21cn.com/tousu/show/id/1372976")</f>
      </c>
      <c r="G1095" t="s" s="2">
        <v>17</v>
      </c>
      <c r="H1095" t="s" s="2">
        <v>19</v>
      </c>
      <c r="I1095" t="s" s="2">
        <v>4321</v>
      </c>
      <c r="J1095" t="s" s="2">
        <v>4322</v>
      </c>
      <c r="K1095" t="s" s="2">
        <v>22</v>
      </c>
      <c r="L1095" t="s" s="2">
        <v>22</v>
      </c>
      <c r="M1095" t="s" s="2">
        <v>22</v>
      </c>
    </row>
    <row r="1096" ht="25.0" customHeight="true">
      <c r="A1096" t="s" s="2">
        <v>13</v>
      </c>
      <c r="B1096" t="s" s="2">
        <f>HYPERLINK("http://ts.21cn.com/tousu/show/id/1372975","闪银高利贷套路贷")</f>
      </c>
      <c r="C1096" t="s" s="2">
        <v>15</v>
      </c>
      <c r="D1096" t="s" s="2">
        <v>16</v>
      </c>
      <c r="E1096" t="s" s="2">
        <v>17</v>
      </c>
      <c r="F1096" t="s" s="2">
        <f>HYPERLINK("http://ts.21cn.com/tousu/show/id/1372975","http://ts.21cn.com/tousu/show/id/1372975")</f>
      </c>
      <c r="G1096" t="s" s="2">
        <v>17</v>
      </c>
      <c r="H1096" t="s" s="2">
        <v>19</v>
      </c>
      <c r="I1096" t="s" s="2">
        <v>4325</v>
      </c>
      <c r="J1096" t="s" s="2">
        <v>4326</v>
      </c>
      <c r="K1096" t="s" s="2">
        <v>22</v>
      </c>
      <c r="L1096" t="s" s="2">
        <v>22</v>
      </c>
      <c r="M1096" t="s" s="2">
        <v>22</v>
      </c>
    </row>
    <row r="1097" ht="25.0" customHeight="true">
      <c r="A1097" t="s" s="2">
        <v>13</v>
      </c>
      <c r="B1097" t="s" s="2">
        <f>HYPERLINK("http://ts.21cn.com/tousu/show/id/1372974","马上金融，平安普惠不实征信")</f>
      </c>
      <c r="C1097" t="s" s="2">
        <v>52</v>
      </c>
      <c r="D1097" t="s" s="2">
        <v>16</v>
      </c>
      <c r="E1097" t="s" s="2">
        <v>17</v>
      </c>
      <c r="F1097" t="s" s="2">
        <f>HYPERLINK("http://ts.21cn.com/tousu/show/id/1372974","http://ts.21cn.com/tousu/show/id/1372974")</f>
      </c>
      <c r="G1097" t="s" s="2">
        <v>17</v>
      </c>
      <c r="H1097" t="s" s="2">
        <v>19</v>
      </c>
      <c r="I1097" t="s" s="2">
        <v>4329</v>
      </c>
      <c r="J1097" t="s" s="2">
        <v>4330</v>
      </c>
      <c r="K1097" t="s" s="2">
        <v>22</v>
      </c>
      <c r="L1097" t="s" s="2">
        <v>22</v>
      </c>
      <c r="M1097" t="s" s="2">
        <v>22</v>
      </c>
    </row>
    <row r="1098" ht="25.0" customHeight="true">
      <c r="A1098" t="s" s="2">
        <v>13</v>
      </c>
      <c r="B1098" t="s" s="2">
        <f>HYPERLINK("http://ts.21cn.com/tousu/show/id/1372973","暴力威胁恐吓")</f>
      </c>
      <c r="C1098" t="s" s="2">
        <v>15</v>
      </c>
      <c r="D1098" t="s" s="2">
        <v>16</v>
      </c>
      <c r="E1098" t="s" s="2">
        <v>17</v>
      </c>
      <c r="F1098" t="s" s="2">
        <f>HYPERLINK("http://ts.21cn.com/tousu/show/id/1372973","http://ts.21cn.com/tousu/show/id/1372973")</f>
      </c>
      <c r="G1098" t="s" s="2">
        <v>17</v>
      </c>
      <c r="H1098" t="s" s="2">
        <v>19</v>
      </c>
      <c r="I1098" t="s" s="2">
        <v>4332</v>
      </c>
      <c r="J1098" t="s" s="2">
        <v>4333</v>
      </c>
      <c r="K1098" t="s" s="2">
        <v>22</v>
      </c>
      <c r="L1098" t="s" s="2">
        <v>22</v>
      </c>
      <c r="M1098" t="s" s="2">
        <v>22</v>
      </c>
    </row>
    <row r="1099" ht="25.0" customHeight="true">
      <c r="A1099" t="s" s="2">
        <v>13</v>
      </c>
      <c r="B1099" t="s" s="2">
        <f>HYPERLINK("http://ts.21cn.com/tousu/show/id/1372971","收取工本费")</f>
      </c>
      <c r="C1099" t="s" s="2">
        <v>15</v>
      </c>
      <c r="D1099" t="s" s="2">
        <v>16</v>
      </c>
      <c r="E1099" t="s" s="2">
        <v>17</v>
      </c>
      <c r="F1099" t="s" s="2">
        <f>HYPERLINK("http://ts.21cn.com/tousu/show/id/1372971","http://ts.21cn.com/tousu/show/id/1372971")</f>
      </c>
      <c r="G1099" t="s" s="2">
        <v>17</v>
      </c>
      <c r="H1099" t="s" s="2">
        <v>19</v>
      </c>
      <c r="I1099" t="s" s="2">
        <v>4336</v>
      </c>
      <c r="J1099" t="s" s="2">
        <v>4337</v>
      </c>
      <c r="K1099" t="s" s="2">
        <v>22</v>
      </c>
      <c r="L1099" t="s" s="2">
        <v>22</v>
      </c>
      <c r="M1099" t="s" s="2">
        <v>22</v>
      </c>
    </row>
    <row r="1100" ht="25.0" customHeight="true">
      <c r="A1100" t="s" s="2">
        <v>13</v>
      </c>
      <c r="B1100" t="s" s="2">
        <f>HYPERLINK("http://ts.21cn.com/tousu/show/id/1372970","未经本人允许泄露个人信息与第三方，爆通讯录")</f>
      </c>
      <c r="C1100" t="s" s="2">
        <v>15</v>
      </c>
      <c r="D1100" t="s" s="2">
        <v>16</v>
      </c>
      <c r="E1100" t="s" s="2">
        <v>17</v>
      </c>
      <c r="F1100" t="s" s="2">
        <f>HYPERLINK("http://ts.21cn.com/tousu/show/id/1372970","http://ts.21cn.com/tousu/show/id/1372970")</f>
      </c>
      <c r="G1100" t="s" s="2">
        <v>17</v>
      </c>
      <c r="H1100" t="s" s="2">
        <v>19</v>
      </c>
      <c r="I1100" t="s" s="2">
        <v>4340</v>
      </c>
      <c r="J1100" t="s" s="2">
        <v>4341</v>
      </c>
      <c r="K1100" t="s" s="2">
        <v>22</v>
      </c>
      <c r="L1100" t="s" s="2">
        <v>22</v>
      </c>
      <c r="M1100" t="s" s="2">
        <v>22</v>
      </c>
    </row>
    <row r="1101" ht="25.0" customHeight="true">
      <c r="A1101" t="s" s="2">
        <v>13</v>
      </c>
      <c r="B1101" t="s" s="2">
        <f>HYPERLINK("http://ts.21cn.com/tousu/show/id/1372969","暴力威胁恐吓")</f>
      </c>
      <c r="C1101" t="s" s="2">
        <v>15</v>
      </c>
      <c r="D1101" t="s" s="2">
        <v>16</v>
      </c>
      <c r="E1101" t="s" s="2">
        <v>17</v>
      </c>
      <c r="F1101" t="s" s="2">
        <f>HYPERLINK("http://ts.21cn.com/tousu/show/id/1372969","http://ts.21cn.com/tousu/show/id/1372969")</f>
      </c>
      <c r="G1101" t="s" s="2">
        <v>17</v>
      </c>
      <c r="H1101" t="s" s="2">
        <v>19</v>
      </c>
      <c r="I1101" t="s" s="2">
        <v>4343</v>
      </c>
      <c r="J1101" t="s" s="2">
        <v>4344</v>
      </c>
      <c r="K1101" t="s" s="2">
        <v>22</v>
      </c>
      <c r="L1101" t="s" s="2">
        <v>22</v>
      </c>
      <c r="M1101" t="s" s="2">
        <v>22</v>
      </c>
    </row>
    <row r="1102" ht="25.0" customHeight="true">
      <c r="A1102" t="s" s="2">
        <v>13</v>
      </c>
      <c r="B1102" t="s" s="2">
        <f>HYPERLINK("http://ts.21cn.com/tousu/show/id/1372968","拼多多平台纵容商家，拖延时间不解决问题")</f>
      </c>
      <c r="C1102" t="s" s="2">
        <v>15</v>
      </c>
      <c r="D1102" t="s" s="2">
        <v>16</v>
      </c>
      <c r="E1102" t="s" s="2">
        <v>17</v>
      </c>
      <c r="F1102" t="s" s="2">
        <f>HYPERLINK("http://ts.21cn.com/tousu/show/id/1372968","http://ts.21cn.com/tousu/show/id/1372968")</f>
      </c>
      <c r="G1102" t="s" s="2">
        <v>17</v>
      </c>
      <c r="H1102" t="s" s="2">
        <v>19</v>
      </c>
      <c r="I1102" t="s" s="2">
        <v>4347</v>
      </c>
      <c r="J1102" t="s" s="2">
        <v>4348</v>
      </c>
      <c r="K1102" t="s" s="2">
        <v>22</v>
      </c>
      <c r="L1102" t="s" s="2">
        <v>22</v>
      </c>
      <c r="M1102" t="s" s="2">
        <v>22</v>
      </c>
    </row>
    <row r="1103" ht="25.0" customHeight="true">
      <c r="A1103" t="s" s="2">
        <v>13</v>
      </c>
      <c r="B1103" t="s" s="2">
        <f>HYPERLINK("http://ts.21cn.com/tousu/show/id/1372967","滴滴故意说我作弊不发奖励")</f>
      </c>
      <c r="C1103" t="s" s="2">
        <v>52</v>
      </c>
      <c r="D1103" t="s" s="2">
        <v>16</v>
      </c>
      <c r="E1103" t="s" s="2">
        <v>17</v>
      </c>
      <c r="F1103" t="s" s="2">
        <f>HYPERLINK("http://ts.21cn.com/tousu/show/id/1372967","http://ts.21cn.com/tousu/show/id/1372967")</f>
      </c>
      <c r="G1103" t="s" s="2">
        <v>17</v>
      </c>
      <c r="H1103" t="s" s="2">
        <v>19</v>
      </c>
      <c r="I1103" t="s" s="2">
        <v>4351</v>
      </c>
      <c r="J1103" t="s" s="2">
        <v>4352</v>
      </c>
      <c r="K1103" t="s" s="2">
        <v>22</v>
      </c>
      <c r="L1103" t="s" s="2">
        <v>22</v>
      </c>
      <c r="M1103" t="s" s="2">
        <v>22</v>
      </c>
    </row>
    <row r="1104" ht="25.0" customHeight="true">
      <c r="A1104" t="s" s="2">
        <v>13</v>
      </c>
      <c r="B1104" t="s" s="2">
        <f>HYPERLINK("http://ts.21cn.com/tousu/show/id/1372966","钱伴平台变向高利贷")</f>
      </c>
      <c r="C1104" t="s" s="2">
        <v>15</v>
      </c>
      <c r="D1104" t="s" s="2">
        <v>16</v>
      </c>
      <c r="E1104" t="s" s="2">
        <v>17</v>
      </c>
      <c r="F1104" t="s" s="2">
        <f>HYPERLINK("http://ts.21cn.com/tousu/show/id/1372966","http://ts.21cn.com/tousu/show/id/1372966")</f>
      </c>
      <c r="G1104" t="s" s="2">
        <v>17</v>
      </c>
      <c r="H1104" t="s" s="2">
        <v>19</v>
      </c>
      <c r="I1104" t="s" s="2">
        <v>4355</v>
      </c>
      <c r="J1104" t="s" s="2">
        <v>4356</v>
      </c>
      <c r="K1104" t="s" s="2">
        <v>22</v>
      </c>
      <c r="L1104" t="s" s="2">
        <v>22</v>
      </c>
      <c r="M1104" t="s" s="2">
        <v>22</v>
      </c>
    </row>
    <row r="1105" ht="25.0" customHeight="true">
      <c r="A1105" t="s" s="2">
        <v>13</v>
      </c>
      <c r="B1105" t="s" s="2">
        <f>HYPERLINK("http://ts.21cn.com/tousu/show/id/1372965","逾期一天暴力催收")</f>
      </c>
      <c r="C1105" t="s" s="2">
        <v>15</v>
      </c>
      <c r="D1105" t="s" s="2">
        <v>16</v>
      </c>
      <c r="E1105" t="s" s="2">
        <v>17</v>
      </c>
      <c r="F1105" t="s" s="2">
        <f>HYPERLINK("http://ts.21cn.com/tousu/show/id/1372965","http://ts.21cn.com/tousu/show/id/1372965")</f>
      </c>
      <c r="G1105" t="s" s="2">
        <v>17</v>
      </c>
      <c r="H1105" t="s" s="2">
        <v>19</v>
      </c>
      <c r="I1105" t="s" s="2">
        <v>4359</v>
      </c>
      <c r="J1105" t="s" s="2">
        <v>4360</v>
      </c>
      <c r="K1105" t="s" s="2">
        <v>22</v>
      </c>
      <c r="L1105" t="s" s="2">
        <v>22</v>
      </c>
      <c r="M1105" t="s" s="2">
        <v>22</v>
      </c>
    </row>
    <row r="1106" ht="25.0" customHeight="true">
      <c r="A1106" t="s" s="2">
        <v>13</v>
      </c>
      <c r="B1106" t="s" s="2">
        <f>HYPERLINK("http://ts.21cn.com/tousu/show/id/1372963","联系不到客服还款导致逾期")</f>
      </c>
      <c r="C1106" t="s" s="2">
        <v>15</v>
      </c>
      <c r="D1106" t="s" s="2">
        <v>16</v>
      </c>
      <c r="E1106" t="s" s="2">
        <v>17</v>
      </c>
      <c r="F1106" t="s" s="2">
        <f>HYPERLINK("http://ts.21cn.com/tousu/show/id/1372963","http://ts.21cn.com/tousu/show/id/1372963")</f>
      </c>
      <c r="G1106" t="s" s="2">
        <v>17</v>
      </c>
      <c r="H1106" t="s" s="2">
        <v>19</v>
      </c>
      <c r="I1106" t="s" s="2">
        <v>4363</v>
      </c>
      <c r="J1106" t="s" s="2">
        <v>4364</v>
      </c>
      <c r="K1106" t="s" s="2">
        <v>22</v>
      </c>
      <c r="L1106" t="s" s="2">
        <v>22</v>
      </c>
      <c r="M1106" t="s" s="2">
        <v>22</v>
      </c>
    </row>
    <row r="1107" ht="25.0" customHeight="true">
      <c r="A1107" t="s" s="2">
        <v>13</v>
      </c>
      <c r="B1107" t="s" s="2">
        <f>HYPERLINK("http://ts.21cn.com/tousu/show/id/1372962","暴力催收暴打通讯录")</f>
      </c>
      <c r="C1107" t="s" s="2">
        <v>15</v>
      </c>
      <c r="D1107" t="s" s="2">
        <v>16</v>
      </c>
      <c r="E1107" t="s" s="2">
        <v>17</v>
      </c>
      <c r="F1107" t="s" s="2">
        <f>HYPERLINK("http://ts.21cn.com/tousu/show/id/1372962","http://ts.21cn.com/tousu/show/id/1372962")</f>
      </c>
      <c r="G1107" t="s" s="2">
        <v>17</v>
      </c>
      <c r="H1107" t="s" s="2">
        <v>19</v>
      </c>
      <c r="I1107" t="s" s="2">
        <v>4367</v>
      </c>
      <c r="J1107" t="s" s="2">
        <v>4368</v>
      </c>
      <c r="K1107" t="s" s="2">
        <v>22</v>
      </c>
      <c r="L1107" t="s" s="2">
        <v>22</v>
      </c>
      <c r="M1107" t="s" s="2">
        <v>22</v>
      </c>
    </row>
    <row r="1108" ht="25.0" customHeight="true">
      <c r="A1108" t="s" s="2">
        <v>13</v>
      </c>
      <c r="B1108" t="s" s="2">
        <f>HYPERLINK("http://ts.21cn.com/tousu/show/id/1372961","请求分期乐账单分期")</f>
      </c>
      <c r="C1108" t="s" s="2">
        <v>52</v>
      </c>
      <c r="D1108" t="s" s="2">
        <v>16</v>
      </c>
      <c r="E1108" t="s" s="2">
        <v>17</v>
      </c>
      <c r="F1108" t="s" s="2">
        <f>HYPERLINK("http://ts.21cn.com/tousu/show/id/1372961","http://ts.21cn.com/tousu/show/id/1372961")</f>
      </c>
      <c r="G1108" t="s" s="2">
        <v>17</v>
      </c>
      <c r="H1108" t="s" s="2">
        <v>19</v>
      </c>
      <c r="I1108" t="s" s="2">
        <v>4371</v>
      </c>
      <c r="J1108" t="s" s="2">
        <v>4372</v>
      </c>
      <c r="K1108" t="s" s="2">
        <v>22</v>
      </c>
      <c r="L1108" t="s" s="2">
        <v>22</v>
      </c>
      <c r="M1108" t="s" s="2">
        <v>22</v>
      </c>
    </row>
    <row r="1109" ht="25.0" customHeight="true">
      <c r="A1109" t="s" s="2">
        <v>13</v>
      </c>
      <c r="B1109" t="s" s="2">
        <f>HYPERLINK("http://ts.21cn.com/tousu/show/id/1372140","京东白条第三方催收伪造文件")</f>
      </c>
      <c r="C1109" t="s" s="2">
        <v>15</v>
      </c>
      <c r="D1109" t="s" s="2">
        <v>16</v>
      </c>
      <c r="E1109" t="s" s="2">
        <v>17</v>
      </c>
      <c r="F1109" t="s" s="2">
        <f>HYPERLINK("http://ts.21cn.com/tousu/show/id/1372140","http://ts.21cn.com/tousu/show/id/1372140")</f>
      </c>
      <c r="G1109" t="s" s="2">
        <v>17</v>
      </c>
      <c r="H1109" t="s" s="2">
        <v>19</v>
      </c>
      <c r="I1109" t="s" s="2">
        <v>4375</v>
      </c>
      <c r="J1109" t="s" s="2">
        <v>4376</v>
      </c>
      <c r="K1109" t="s" s="2">
        <v>22</v>
      </c>
      <c r="L1109" t="s" s="2">
        <v>22</v>
      </c>
      <c r="M1109" t="s" s="2">
        <v>22</v>
      </c>
    </row>
    <row r="1110" ht="25.0" customHeight="true">
      <c r="A1110" t="s" s="2">
        <v>13</v>
      </c>
      <c r="B1110" t="s" s="2">
        <f>HYPERLINK("http://ts.21cn.com/tousu/show/id/1372960","人证审核一直显示审核中")</f>
      </c>
      <c r="C1110" t="s" s="2">
        <v>15</v>
      </c>
      <c r="D1110" t="s" s="2">
        <v>16</v>
      </c>
      <c r="E1110" t="s" s="2">
        <v>17</v>
      </c>
      <c r="F1110" t="s" s="2">
        <f>HYPERLINK("http://ts.21cn.com/tousu/show/id/1372960","http://ts.21cn.com/tousu/show/id/1372960")</f>
      </c>
      <c r="G1110" t="s" s="2">
        <v>17</v>
      </c>
      <c r="H1110" t="s" s="2">
        <v>19</v>
      </c>
      <c r="I1110" t="s" s="2">
        <v>4379</v>
      </c>
      <c r="J1110" t="s" s="2">
        <v>4380</v>
      </c>
      <c r="K1110" t="s" s="2">
        <v>22</v>
      </c>
      <c r="L1110" t="s" s="2">
        <v>22</v>
      </c>
      <c r="M1110" t="s" s="2">
        <v>22</v>
      </c>
    </row>
    <row r="1111" ht="25.0" customHeight="true">
      <c r="A1111" t="s" s="2">
        <v>13</v>
      </c>
      <c r="B1111" t="s" s="2">
        <f>HYPERLINK("http://ts.21cn.com/tousu/show/id/1372953","投诉上海拍拍贷恶意骚扰")</f>
      </c>
      <c r="C1111" t="s" s="2">
        <v>15</v>
      </c>
      <c r="D1111" t="s" s="2">
        <v>16</v>
      </c>
      <c r="E1111" t="s" s="2">
        <v>17</v>
      </c>
      <c r="F1111" t="s" s="2">
        <f>HYPERLINK("http://ts.21cn.com/tousu/show/id/1372953","http://ts.21cn.com/tousu/show/id/1372953")</f>
      </c>
      <c r="G1111" t="s" s="2">
        <v>17</v>
      </c>
      <c r="H1111" t="s" s="2">
        <v>19</v>
      </c>
      <c r="I1111" t="s" s="2">
        <v>4383</v>
      </c>
      <c r="J1111" t="s" s="2">
        <v>4384</v>
      </c>
      <c r="K1111" t="s" s="2">
        <v>22</v>
      </c>
      <c r="L1111" t="s" s="2">
        <v>22</v>
      </c>
      <c r="M1111" t="s" s="2">
        <v>22</v>
      </c>
    </row>
    <row r="1112" ht="25.0" customHeight="true">
      <c r="A1112" t="s" s="2">
        <v>13</v>
      </c>
      <c r="B1112" t="s" s="2">
        <f>HYPERLINK("http://ts.21cn.com/tousu/show/id/1372959","给你花暴力催收")</f>
      </c>
      <c r="C1112" t="s" s="2">
        <v>15</v>
      </c>
      <c r="D1112" t="s" s="2">
        <v>16</v>
      </c>
      <c r="E1112" t="s" s="2">
        <v>17</v>
      </c>
      <c r="F1112" t="s" s="2">
        <f>HYPERLINK("http://ts.21cn.com/tousu/show/id/1372959","http://ts.21cn.com/tousu/show/id/1372959")</f>
      </c>
      <c r="G1112" t="s" s="2">
        <v>17</v>
      </c>
      <c r="H1112" t="s" s="2">
        <v>19</v>
      </c>
      <c r="I1112" t="s" s="2">
        <v>4387</v>
      </c>
      <c r="J1112" t="s" s="2">
        <v>4388</v>
      </c>
      <c r="K1112" t="s" s="2">
        <v>22</v>
      </c>
      <c r="L1112" t="s" s="2">
        <v>22</v>
      </c>
      <c r="M1112" t="s" s="2">
        <v>22</v>
      </c>
    </row>
    <row r="1113" ht="25.0" customHeight="true">
      <c r="A1113" t="s" s="2">
        <v>13</v>
      </c>
      <c r="B1113" t="s" s="2">
        <f>HYPERLINK("http://ts.21cn.com/tousu/show/id/1372958","在本人不知情的情况下扣费")</f>
      </c>
      <c r="C1113" t="s" s="2">
        <v>15</v>
      </c>
      <c r="D1113" t="s" s="2">
        <v>16</v>
      </c>
      <c r="E1113" t="s" s="2">
        <v>17</v>
      </c>
      <c r="F1113" t="s" s="2">
        <f>HYPERLINK("http://ts.21cn.com/tousu/show/id/1372958","http://ts.21cn.com/tousu/show/id/1372958")</f>
      </c>
      <c r="G1113" t="s" s="2">
        <v>17</v>
      </c>
      <c r="H1113" t="s" s="2">
        <v>19</v>
      </c>
      <c r="I1113" t="s" s="2">
        <v>4391</v>
      </c>
      <c r="J1113" t="s" s="2">
        <v>4392</v>
      </c>
      <c r="K1113" t="s" s="2">
        <v>22</v>
      </c>
      <c r="L1113" t="s" s="2">
        <v>22</v>
      </c>
      <c r="M1113" t="s" s="2">
        <v>22</v>
      </c>
    </row>
    <row r="1114" ht="25.0" customHeight="true">
      <c r="A1114" t="s" s="2">
        <v>13</v>
      </c>
      <c r="B1114" t="s" s="2">
        <f>HYPERLINK("http://ts.21cn.com/tousu/show/id/1372957","暴力威胁暴打通讯录")</f>
      </c>
      <c r="C1114" t="s" s="2">
        <v>15</v>
      </c>
      <c r="D1114" t="s" s="2">
        <v>16</v>
      </c>
      <c r="E1114" t="s" s="2">
        <v>17</v>
      </c>
      <c r="F1114" t="s" s="2">
        <f>HYPERLINK("http://ts.21cn.com/tousu/show/id/1372957","http://ts.21cn.com/tousu/show/id/1372957")</f>
      </c>
      <c r="G1114" t="s" s="2">
        <v>17</v>
      </c>
      <c r="H1114" t="s" s="2">
        <v>19</v>
      </c>
      <c r="I1114" t="s" s="2">
        <v>4395</v>
      </c>
      <c r="J1114" t="s" s="2">
        <v>4396</v>
      </c>
      <c r="K1114" t="s" s="2">
        <v>22</v>
      </c>
      <c r="L1114" t="s" s="2">
        <v>22</v>
      </c>
      <c r="M1114" t="s" s="2">
        <v>22</v>
      </c>
    </row>
    <row r="1115" ht="25.0" customHeight="true">
      <c r="A1115" t="s" s="2">
        <v>13</v>
      </c>
      <c r="B1115" t="s" s="2">
        <f>HYPERLINK("http://ts.21cn.com/tousu/show/id/1372956","自称友信客服威胁客户")</f>
      </c>
      <c r="C1115" t="s" s="2">
        <v>15</v>
      </c>
      <c r="D1115" t="s" s="2">
        <v>16</v>
      </c>
      <c r="E1115" t="s" s="2">
        <v>17</v>
      </c>
      <c r="F1115" t="s" s="2">
        <f>HYPERLINK("http://ts.21cn.com/tousu/show/id/1372956","http://ts.21cn.com/tousu/show/id/1372956")</f>
      </c>
      <c r="G1115" t="s" s="2">
        <v>17</v>
      </c>
      <c r="H1115" t="s" s="2">
        <v>19</v>
      </c>
      <c r="I1115" t="s" s="2">
        <v>4399</v>
      </c>
      <c r="J1115" t="s" s="2">
        <v>4400</v>
      </c>
      <c r="K1115" t="s" s="2">
        <v>22</v>
      </c>
      <c r="L1115" t="s" s="2">
        <v>22</v>
      </c>
      <c r="M1115" t="s" s="2">
        <v>22</v>
      </c>
    </row>
    <row r="1116" ht="25.0" customHeight="true">
      <c r="A1116" t="s" s="2">
        <v>13</v>
      </c>
      <c r="B1116" t="s" s="2">
        <f>HYPERLINK("http://ts.21cn.com/tousu/show/id/1372955","my钱包")</f>
      </c>
      <c r="C1116" t="s" s="2">
        <v>15</v>
      </c>
      <c r="D1116" t="s" s="2">
        <v>16</v>
      </c>
      <c r="E1116" t="s" s="2">
        <v>17</v>
      </c>
      <c r="F1116" t="s" s="2">
        <f>HYPERLINK("http://ts.21cn.com/tousu/show/id/1372955","http://ts.21cn.com/tousu/show/id/1372955")</f>
      </c>
      <c r="G1116" t="s" s="2">
        <v>17</v>
      </c>
      <c r="H1116" t="s" s="2">
        <v>19</v>
      </c>
      <c r="I1116" t="s" s="2">
        <v>4403</v>
      </c>
      <c r="J1116" t="s" s="2">
        <v>4404</v>
      </c>
      <c r="K1116" t="s" s="2">
        <v>22</v>
      </c>
      <c r="L1116" t="s" s="2">
        <v>22</v>
      </c>
      <c r="M1116" t="s" s="2">
        <v>22</v>
      </c>
    </row>
    <row r="1117" ht="25.0" customHeight="true">
      <c r="A1117" t="s" s="2">
        <v>13</v>
      </c>
      <c r="B1117" t="s" s="2">
        <f>HYPERLINK("http://ts.21cn.com/tousu/show/id/1372954","建行还我被盗刷的钱")</f>
      </c>
      <c r="C1117" t="s" s="2">
        <v>15</v>
      </c>
      <c r="D1117" t="s" s="2">
        <v>16</v>
      </c>
      <c r="E1117" t="s" s="2">
        <v>17</v>
      </c>
      <c r="F1117" t="s" s="2">
        <f>HYPERLINK("http://ts.21cn.com/tousu/show/id/1372954","http://ts.21cn.com/tousu/show/id/1372954")</f>
      </c>
      <c r="G1117" t="s" s="2">
        <v>17</v>
      </c>
      <c r="H1117" t="s" s="2">
        <v>19</v>
      </c>
      <c r="I1117" t="s" s="2">
        <v>4407</v>
      </c>
      <c r="J1117" t="s" s="2">
        <v>4408</v>
      </c>
      <c r="K1117" t="s" s="2">
        <v>22</v>
      </c>
      <c r="L1117" t="s" s="2">
        <v>22</v>
      </c>
      <c r="M1117" t="s" s="2">
        <v>22</v>
      </c>
    </row>
    <row r="1118" ht="25.0" customHeight="true">
      <c r="A1118" t="s" s="2">
        <v>13</v>
      </c>
      <c r="B1118" t="s" s="2">
        <f>HYPERLINK("http://ts.21cn.com/tousu/show/id/1372952","半夜骚扰通讯录")</f>
      </c>
      <c r="C1118" t="s" s="2">
        <v>15</v>
      </c>
      <c r="D1118" t="s" s="2">
        <v>16</v>
      </c>
      <c r="E1118" t="s" s="2">
        <v>17</v>
      </c>
      <c r="F1118" t="s" s="2">
        <f>HYPERLINK("http://ts.21cn.com/tousu/show/id/1372952","http://ts.21cn.com/tousu/show/id/1372952")</f>
      </c>
      <c r="G1118" t="s" s="2">
        <v>17</v>
      </c>
      <c r="H1118" t="s" s="2">
        <v>19</v>
      </c>
      <c r="I1118" t="s" s="2">
        <v>4411</v>
      </c>
      <c r="J1118" t="s" s="2">
        <v>4412</v>
      </c>
      <c r="K1118" t="s" s="2">
        <v>22</v>
      </c>
      <c r="L1118" t="s" s="2">
        <v>22</v>
      </c>
      <c r="M1118" t="s" s="2">
        <v>22</v>
      </c>
    </row>
    <row r="1119" ht="25.0" customHeight="true">
      <c r="A1119" t="s" s="2">
        <v>13</v>
      </c>
      <c r="B1119" t="s" s="2">
        <f>HYPERLINK("http://ts.21cn.com/tousu/show/id/1372951","淘豆分期退我血汗钱")</f>
      </c>
      <c r="C1119" t="s" s="2">
        <v>15</v>
      </c>
      <c r="D1119" t="s" s="2">
        <v>16</v>
      </c>
      <c r="E1119" t="s" s="2">
        <v>17</v>
      </c>
      <c r="F1119" t="s" s="2">
        <f>HYPERLINK("http://ts.21cn.com/tousu/show/id/1372951","http://ts.21cn.com/tousu/show/id/1372951")</f>
      </c>
      <c r="G1119" t="s" s="2">
        <v>17</v>
      </c>
      <c r="H1119" t="s" s="2">
        <v>19</v>
      </c>
      <c r="I1119" t="s" s="2">
        <v>4415</v>
      </c>
      <c r="J1119" t="s" s="2">
        <v>4416</v>
      </c>
      <c r="K1119" t="s" s="2">
        <v>22</v>
      </c>
      <c r="L1119" t="s" s="2">
        <v>22</v>
      </c>
      <c r="M1119" t="s" s="2">
        <v>22</v>
      </c>
    </row>
    <row r="1120" ht="25.0" customHeight="true">
      <c r="A1120" t="s" s="2">
        <v>13</v>
      </c>
      <c r="B1120" t="s" s="2">
        <f>HYPERLINK("http://ts.21cn.com/tousu/show/id/1372950","Wecash闪银借款砍头息")</f>
      </c>
      <c r="C1120" t="s" s="2">
        <v>52</v>
      </c>
      <c r="D1120" t="s" s="2">
        <v>16</v>
      </c>
      <c r="E1120" t="s" s="2">
        <v>17</v>
      </c>
      <c r="F1120" t="s" s="2">
        <f>HYPERLINK("http://ts.21cn.com/tousu/show/id/1372950","http://ts.21cn.com/tousu/show/id/1372950")</f>
      </c>
      <c r="G1120" t="s" s="2">
        <v>17</v>
      </c>
      <c r="H1120" t="s" s="2">
        <v>19</v>
      </c>
      <c r="I1120" t="s" s="2">
        <v>4419</v>
      </c>
      <c r="J1120" t="s" s="2">
        <v>4420</v>
      </c>
      <c r="K1120" t="s" s="2">
        <v>22</v>
      </c>
      <c r="L1120" t="s" s="2">
        <v>22</v>
      </c>
      <c r="M1120" t="s" s="2">
        <v>22</v>
      </c>
    </row>
    <row r="1121" ht="25.0" customHeight="true">
      <c r="A1121" t="s" s="2">
        <v>13</v>
      </c>
      <c r="B1121" t="s" s="2">
        <f>HYPERLINK("http://ts.21cn.com/tousu/show/id/1372949","涉及到奢侈品包包，闲鱼小二审核凭证超过三个工作日")</f>
      </c>
      <c r="C1121" t="s" s="2">
        <v>15</v>
      </c>
      <c r="D1121" t="s" s="2">
        <v>16</v>
      </c>
      <c r="E1121" t="s" s="2">
        <v>17</v>
      </c>
      <c r="F1121" t="s" s="2">
        <f>HYPERLINK("http://ts.21cn.com/tousu/show/id/1372949","http://ts.21cn.com/tousu/show/id/1372949")</f>
      </c>
      <c r="G1121" t="s" s="2">
        <v>17</v>
      </c>
      <c r="H1121" t="s" s="2">
        <v>19</v>
      </c>
      <c r="I1121" t="s" s="2">
        <v>4423</v>
      </c>
      <c r="J1121" t="s" s="2">
        <v>4424</v>
      </c>
      <c r="K1121" t="s" s="2">
        <v>22</v>
      </c>
      <c r="L1121" t="s" s="2">
        <v>22</v>
      </c>
      <c r="M1121" t="s" s="2">
        <v>22</v>
      </c>
    </row>
    <row r="1122" ht="25.0" customHeight="true">
      <c r="A1122" t="s" s="2">
        <v>13</v>
      </c>
      <c r="B1122" t="s" s="2">
        <f>HYPERLINK("http://ts.21cn.com/tousu/show/id/1372948","飞花宝阴阳合同高利贷")</f>
      </c>
      <c r="C1122" t="s" s="2">
        <v>15</v>
      </c>
      <c r="D1122" t="s" s="2">
        <v>16</v>
      </c>
      <c r="E1122" t="s" s="2">
        <v>17</v>
      </c>
      <c r="F1122" t="s" s="2">
        <f>HYPERLINK("http://ts.21cn.com/tousu/show/id/1372948","http://ts.21cn.com/tousu/show/id/1372948")</f>
      </c>
      <c r="G1122" t="s" s="2">
        <v>17</v>
      </c>
      <c r="H1122" t="s" s="2">
        <v>19</v>
      </c>
      <c r="I1122" t="s" s="2">
        <v>4427</v>
      </c>
      <c r="J1122" t="s" s="2">
        <v>4428</v>
      </c>
      <c r="K1122" t="s" s="2">
        <v>22</v>
      </c>
      <c r="L1122" t="s" s="2">
        <v>22</v>
      </c>
      <c r="M1122" t="s" s="2">
        <v>22</v>
      </c>
    </row>
    <row r="1123" ht="25.0" customHeight="true">
      <c r="A1123" t="s" s="2">
        <v>13</v>
      </c>
      <c r="B1123" t="s" s="2">
        <f>HYPERLINK("http://ts.21cn.com/tousu/show/id/1372947","钱橙无忧随意扣费")</f>
      </c>
      <c r="C1123" t="s" s="2">
        <v>52</v>
      </c>
      <c r="D1123" t="s" s="2">
        <v>16</v>
      </c>
      <c r="E1123" t="s" s="2">
        <v>17</v>
      </c>
      <c r="F1123" t="s" s="2">
        <f>HYPERLINK("http://ts.21cn.com/tousu/show/id/1372947","http://ts.21cn.com/tousu/show/id/1372947")</f>
      </c>
      <c r="G1123" t="s" s="2">
        <v>17</v>
      </c>
      <c r="H1123" t="s" s="2">
        <v>19</v>
      </c>
      <c r="I1123" t="s" s="2">
        <v>4430</v>
      </c>
      <c r="J1123" t="s" s="2">
        <v>4431</v>
      </c>
      <c r="K1123" t="s" s="2">
        <v>22</v>
      </c>
      <c r="L1123" t="s" s="2">
        <v>22</v>
      </c>
      <c r="M1123" t="s" s="2">
        <v>22</v>
      </c>
    </row>
    <row r="1124" ht="25.0" customHeight="true">
      <c r="A1124" t="s" s="2">
        <v>13</v>
      </c>
      <c r="B1124" t="s" s="2">
        <f>HYPERLINK("http://ts.21cn.com/tousu/show/id/1372946","交通银行银行卡被限制使用后无法联系到人工客服")</f>
      </c>
      <c r="C1124" t="s" s="2">
        <v>15</v>
      </c>
      <c r="D1124" t="s" s="2">
        <v>16</v>
      </c>
      <c r="E1124" t="s" s="2">
        <v>17</v>
      </c>
      <c r="F1124" t="s" s="2">
        <f>HYPERLINK("http://ts.21cn.com/tousu/show/id/1372946","http://ts.21cn.com/tousu/show/id/1372946")</f>
      </c>
      <c r="G1124" t="s" s="2">
        <v>17</v>
      </c>
      <c r="H1124" t="s" s="2">
        <v>19</v>
      </c>
      <c r="I1124" t="s" s="2">
        <v>4434</v>
      </c>
      <c r="J1124" t="s" s="2">
        <v>4435</v>
      </c>
      <c r="K1124" t="s" s="2">
        <v>22</v>
      </c>
      <c r="L1124" t="s" s="2">
        <v>22</v>
      </c>
      <c r="M1124" t="s" s="2">
        <v>22</v>
      </c>
    </row>
    <row r="1125" ht="25.0" customHeight="true">
      <c r="A1125" t="s" s="2">
        <v>13</v>
      </c>
      <c r="B1125" t="s" s="2">
        <f>HYPERLINK("http://ts.21cn.com/tousu/show/id/1372944","你我贷暴力催收")</f>
      </c>
      <c r="C1125" t="s" s="2">
        <v>15</v>
      </c>
      <c r="D1125" t="s" s="2">
        <v>16</v>
      </c>
      <c r="E1125" t="s" s="2">
        <v>17</v>
      </c>
      <c r="F1125" t="s" s="2">
        <f>HYPERLINK("http://ts.21cn.com/tousu/show/id/1372944","http://ts.21cn.com/tousu/show/id/1372944")</f>
      </c>
      <c r="G1125" t="s" s="2">
        <v>17</v>
      </c>
      <c r="H1125" t="s" s="2">
        <v>19</v>
      </c>
      <c r="I1125" t="s" s="2">
        <v>4437</v>
      </c>
      <c r="J1125" t="s" s="2">
        <v>4438</v>
      </c>
      <c r="K1125" t="s" s="2">
        <v>22</v>
      </c>
      <c r="L1125" t="s" s="2">
        <v>22</v>
      </c>
      <c r="M1125" t="s" s="2">
        <v>22</v>
      </c>
    </row>
    <row r="1126" ht="25.0" customHeight="true">
      <c r="A1126" t="s" s="2">
        <v>13</v>
      </c>
      <c r="B1126" t="s" s="2">
        <f>HYPERLINK("http://ts.21cn.com/tousu/show/id/1372945","暴力辱骂催收")</f>
      </c>
      <c r="C1126" t="s" s="2">
        <v>15</v>
      </c>
      <c r="D1126" t="s" s="2">
        <v>16</v>
      </c>
      <c r="E1126" t="s" s="2">
        <v>17</v>
      </c>
      <c r="F1126" t="s" s="2">
        <f>HYPERLINK("http://ts.21cn.com/tousu/show/id/1372945","http://ts.21cn.com/tousu/show/id/1372945")</f>
      </c>
      <c r="G1126" t="s" s="2">
        <v>17</v>
      </c>
      <c r="H1126" t="s" s="2">
        <v>19</v>
      </c>
      <c r="I1126" t="s" s="2">
        <v>4441</v>
      </c>
      <c r="J1126" t="s" s="2">
        <v>4442</v>
      </c>
      <c r="K1126" t="s" s="2">
        <v>22</v>
      </c>
      <c r="L1126" t="s" s="2">
        <v>22</v>
      </c>
      <c r="M1126" t="s" s="2">
        <v>22</v>
      </c>
    </row>
    <row r="1127" ht="25.0" customHeight="true">
      <c r="A1127" t="s" s="2">
        <v>13</v>
      </c>
      <c r="B1127" t="s" s="2">
        <f>HYPERLINK("http://ts.21cn.com/tousu/show/id/1372943","友信贷款高利贷")</f>
      </c>
      <c r="C1127" t="s" s="2">
        <v>15</v>
      </c>
      <c r="D1127" t="s" s="2">
        <v>16</v>
      </c>
      <c r="E1127" t="s" s="2">
        <v>17</v>
      </c>
      <c r="F1127" t="s" s="2">
        <f>HYPERLINK("http://ts.21cn.com/tousu/show/id/1372943","http://ts.21cn.com/tousu/show/id/1372943")</f>
      </c>
      <c r="G1127" t="s" s="2">
        <v>17</v>
      </c>
      <c r="H1127" t="s" s="2">
        <v>19</v>
      </c>
      <c r="I1127" t="s" s="2">
        <v>4445</v>
      </c>
      <c r="J1127" t="s" s="2">
        <v>4446</v>
      </c>
      <c r="K1127" t="s" s="2">
        <v>22</v>
      </c>
      <c r="L1127" t="s" s="2">
        <v>22</v>
      </c>
      <c r="M1127" t="s" s="2">
        <v>22</v>
      </c>
    </row>
    <row r="1128" ht="25.0" customHeight="true">
      <c r="A1128" t="s" s="2">
        <v>13</v>
      </c>
      <c r="B1128" t="s" s="2">
        <f>HYPERLINK("http://ts.21cn.com/tousu/show/id/1372942","升学教育机构不退款")</f>
      </c>
      <c r="C1128" t="s" s="2">
        <v>15</v>
      </c>
      <c r="D1128" t="s" s="2">
        <v>16</v>
      </c>
      <c r="E1128" t="s" s="2">
        <v>17</v>
      </c>
      <c r="F1128" t="s" s="2">
        <f>HYPERLINK("http://ts.21cn.com/tousu/show/id/1372942","http://ts.21cn.com/tousu/show/id/1372942")</f>
      </c>
      <c r="G1128" t="s" s="2">
        <v>17</v>
      </c>
      <c r="H1128" t="s" s="2">
        <v>19</v>
      </c>
      <c r="I1128" t="s" s="2">
        <v>4448</v>
      </c>
      <c r="J1128" t="s" s="2">
        <v>4449</v>
      </c>
      <c r="K1128" t="s" s="2">
        <v>22</v>
      </c>
      <c r="L1128" t="s" s="2">
        <v>22</v>
      </c>
      <c r="M1128" t="s" s="2">
        <v>22</v>
      </c>
    </row>
    <row r="1129" ht="25.0" customHeight="true">
      <c r="A1129" t="s" s="2">
        <v>13</v>
      </c>
      <c r="B1129" t="s" s="2">
        <f>HYPERLINK("http://ts.21cn.com/tousu/show/id/1372941","虚假合同，违规利息")</f>
      </c>
      <c r="C1129" t="s" s="2">
        <v>15</v>
      </c>
      <c r="D1129" t="s" s="2">
        <v>16</v>
      </c>
      <c r="E1129" t="s" s="2">
        <v>17</v>
      </c>
      <c r="F1129" t="s" s="2">
        <f>HYPERLINK("http://ts.21cn.com/tousu/show/id/1372941","http://ts.21cn.com/tousu/show/id/1372941")</f>
      </c>
      <c r="G1129" t="s" s="2">
        <v>17</v>
      </c>
      <c r="H1129" t="s" s="2">
        <v>19</v>
      </c>
      <c r="I1129" t="s" s="2">
        <v>4452</v>
      </c>
      <c r="J1129" t="s" s="2">
        <v>4453</v>
      </c>
      <c r="K1129" t="s" s="2">
        <v>22</v>
      </c>
      <c r="L1129" t="s" s="2">
        <v>22</v>
      </c>
      <c r="M1129" t="s" s="2">
        <v>22</v>
      </c>
    </row>
    <row r="1130" ht="25.0" customHeight="true">
      <c r="A1130" t="s" s="2">
        <v>13</v>
      </c>
      <c r="B1130" t="s" s="2">
        <f>HYPERLINK("http://ts.21cn.com/tousu/show/id/1372940","严重骚扰紧急联系人以外的通讯录的亲朋好友")</f>
      </c>
      <c r="C1130" t="s" s="2">
        <v>15</v>
      </c>
      <c r="D1130" t="s" s="2">
        <v>16</v>
      </c>
      <c r="E1130" t="s" s="2">
        <v>17</v>
      </c>
      <c r="F1130" t="s" s="2">
        <f>HYPERLINK("http://ts.21cn.com/tousu/show/id/1372940","http://ts.21cn.com/tousu/show/id/1372940")</f>
      </c>
      <c r="G1130" t="s" s="2">
        <v>17</v>
      </c>
      <c r="H1130" t="s" s="2">
        <v>19</v>
      </c>
      <c r="I1130" t="s" s="2">
        <v>4456</v>
      </c>
      <c r="J1130" t="s" s="2">
        <v>4457</v>
      </c>
      <c r="K1130" t="s" s="2">
        <v>22</v>
      </c>
      <c r="L1130" t="s" s="2">
        <v>22</v>
      </c>
      <c r="M1130" t="s" s="2">
        <v>22</v>
      </c>
    </row>
    <row r="1131" ht="25.0" customHeight="true">
      <c r="A1131" t="s" s="2">
        <v>13</v>
      </c>
      <c r="B1131" t="s" s="2">
        <f>HYPERLINK("http://ts.21cn.com/tousu/show/id/1372939","滴滴更换城市之后滴滴服务分降了30分")</f>
      </c>
      <c r="C1131" t="s" s="2">
        <v>15</v>
      </c>
      <c r="D1131" t="s" s="2">
        <v>16</v>
      </c>
      <c r="E1131" t="s" s="2">
        <v>17</v>
      </c>
      <c r="F1131" t="s" s="2">
        <f>HYPERLINK("http://ts.21cn.com/tousu/show/id/1372939","http://ts.21cn.com/tousu/show/id/1372939")</f>
      </c>
      <c r="G1131" t="s" s="2">
        <v>17</v>
      </c>
      <c r="H1131" t="s" s="2">
        <v>19</v>
      </c>
      <c r="I1131" t="s" s="2">
        <v>4460</v>
      </c>
      <c r="J1131" t="s" s="2">
        <v>4461</v>
      </c>
      <c r="K1131" t="s" s="2">
        <v>22</v>
      </c>
      <c r="L1131" t="s" s="2">
        <v>22</v>
      </c>
      <c r="M1131" t="s" s="2">
        <v>22</v>
      </c>
    </row>
    <row r="1132" ht="25.0" customHeight="true">
      <c r="A1132" t="s" s="2">
        <v>13</v>
      </c>
      <c r="B1132" t="s" s="2">
        <f>HYPERLINK("http://ts.21cn.com/tousu/show/id/1372938","滴滴欠我的奖励至今不发放")</f>
      </c>
      <c r="C1132" t="s" s="2">
        <v>15</v>
      </c>
      <c r="D1132" t="s" s="2">
        <v>16</v>
      </c>
      <c r="E1132" t="s" s="2">
        <v>17</v>
      </c>
      <c r="F1132" t="s" s="2">
        <f>HYPERLINK("http://ts.21cn.com/tousu/show/id/1372938","http://ts.21cn.com/tousu/show/id/1372938")</f>
      </c>
      <c r="G1132" t="s" s="2">
        <v>17</v>
      </c>
      <c r="H1132" t="s" s="2">
        <v>19</v>
      </c>
      <c r="I1132" t="s" s="2">
        <v>4464</v>
      </c>
      <c r="J1132" t="s" s="2">
        <v>4465</v>
      </c>
      <c r="K1132" t="s" s="2">
        <v>22</v>
      </c>
      <c r="L1132" t="s" s="2">
        <v>22</v>
      </c>
      <c r="M1132" t="s" s="2">
        <v>22</v>
      </c>
    </row>
    <row r="1133" ht="25.0" customHeight="true">
      <c r="A1133" t="s" s="2">
        <v>13</v>
      </c>
      <c r="B1133" t="s" s="2">
        <f>HYPERLINK("http://ts.21cn.com/tousu/show/id/1372937","宝付支付未经允许私自盗扣工商银行卡里的钱")</f>
      </c>
      <c r="C1133" t="s" s="2">
        <v>15</v>
      </c>
      <c r="D1133" t="s" s="2">
        <v>16</v>
      </c>
      <c r="E1133" t="s" s="2">
        <v>17</v>
      </c>
      <c r="F1133" t="s" s="2">
        <f>HYPERLINK("http://ts.21cn.com/tousu/show/id/1372937","http://ts.21cn.com/tousu/show/id/1372937")</f>
      </c>
      <c r="G1133" t="s" s="2">
        <v>17</v>
      </c>
      <c r="H1133" t="s" s="2">
        <v>19</v>
      </c>
      <c r="I1133" t="s" s="2">
        <v>4468</v>
      </c>
      <c r="J1133" t="s" s="2">
        <v>4469</v>
      </c>
      <c r="K1133" t="s" s="2">
        <v>22</v>
      </c>
      <c r="L1133" t="s" s="2">
        <v>22</v>
      </c>
      <c r="M1133" t="s" s="2">
        <v>22</v>
      </c>
    </row>
    <row r="1134" ht="25.0" customHeight="true">
      <c r="A1134" t="s" s="2">
        <v>13</v>
      </c>
      <c r="B1134" t="s" s="2">
        <f>HYPERLINK("http://ts.21cn.com/tousu/show/id/1372936","宜人贷系统升级强迫用户承担高额利息")</f>
      </c>
      <c r="C1134" t="s" s="2">
        <v>15</v>
      </c>
      <c r="D1134" t="s" s="2">
        <v>16</v>
      </c>
      <c r="E1134" t="s" s="2">
        <v>17</v>
      </c>
      <c r="F1134" t="s" s="2">
        <f>HYPERLINK("http://ts.21cn.com/tousu/show/id/1372936","http://ts.21cn.com/tousu/show/id/1372936")</f>
      </c>
      <c r="G1134" t="s" s="2">
        <v>17</v>
      </c>
      <c r="H1134" t="s" s="2">
        <v>19</v>
      </c>
      <c r="I1134" t="s" s="2">
        <v>4472</v>
      </c>
      <c r="J1134" t="s" s="2">
        <v>4473</v>
      </c>
      <c r="K1134" t="s" s="2">
        <v>22</v>
      </c>
      <c r="L1134" t="s" s="2">
        <v>22</v>
      </c>
      <c r="M1134" t="s" s="2">
        <v>22</v>
      </c>
    </row>
    <row r="1135" ht="25.0" customHeight="true">
      <c r="A1135" t="s" s="2">
        <v>13</v>
      </c>
      <c r="B1135" t="s" s="2">
        <f>HYPERLINK("http://ts.21cn.com/tousu/show/id/1372935","群利花联合汇潮支付高利贷")</f>
      </c>
      <c r="C1135" t="s" s="2">
        <v>15</v>
      </c>
      <c r="D1135" t="s" s="2">
        <v>16</v>
      </c>
      <c r="E1135" t="s" s="2">
        <v>17</v>
      </c>
      <c r="F1135" t="s" s="2">
        <f>HYPERLINK("http://ts.21cn.com/tousu/show/id/1372935","http://ts.21cn.com/tousu/show/id/1372935")</f>
      </c>
      <c r="G1135" t="s" s="2">
        <v>17</v>
      </c>
      <c r="H1135" t="s" s="2">
        <v>19</v>
      </c>
      <c r="I1135" t="s" s="2">
        <v>4476</v>
      </c>
      <c r="J1135" t="s" s="2">
        <v>4477</v>
      </c>
      <c r="K1135" t="s" s="2">
        <v>22</v>
      </c>
      <c r="L1135" t="s" s="2">
        <v>22</v>
      </c>
      <c r="M1135" t="s" s="2">
        <v>22</v>
      </c>
    </row>
    <row r="1136" ht="25.0" customHeight="true">
      <c r="A1136" t="s" s="2">
        <v>13</v>
      </c>
      <c r="B1136" t="s" s="2">
        <f>HYPERLINK("http://ts.21cn.com/tousu/show/id/1372934","优酷vip误点想要退款")</f>
      </c>
      <c r="C1136" t="s" s="2">
        <v>52</v>
      </c>
      <c r="D1136" t="s" s="2">
        <v>16</v>
      </c>
      <c r="E1136" t="s" s="2">
        <v>17</v>
      </c>
      <c r="F1136" t="s" s="2">
        <f>HYPERLINK("http://ts.21cn.com/tousu/show/id/1372934","http://ts.21cn.com/tousu/show/id/1372934")</f>
      </c>
      <c r="G1136" t="s" s="2">
        <v>17</v>
      </c>
      <c r="H1136" t="s" s="2">
        <v>19</v>
      </c>
      <c r="I1136" t="s" s="2">
        <v>4480</v>
      </c>
      <c r="J1136" t="s" s="2">
        <v>4481</v>
      </c>
      <c r="K1136" t="s" s="2">
        <v>22</v>
      </c>
      <c r="L1136" t="s" s="2">
        <v>22</v>
      </c>
      <c r="M1136" t="s" s="2">
        <v>22</v>
      </c>
    </row>
    <row r="1137" ht="25.0" customHeight="true">
      <c r="A1137" t="s" s="2">
        <v>13</v>
      </c>
      <c r="B1137" t="s" s="2">
        <f>HYPERLINK("http://ts.21cn.com/tousu/show/id/1372933","薪意袋高利贷")</f>
      </c>
      <c r="C1137" t="s" s="2">
        <v>15</v>
      </c>
      <c r="D1137" t="s" s="2">
        <v>16</v>
      </c>
      <c r="E1137" t="s" s="2">
        <v>17</v>
      </c>
      <c r="F1137" t="s" s="2">
        <f>HYPERLINK("http://ts.21cn.com/tousu/show/id/1372933","http://ts.21cn.com/tousu/show/id/1372933")</f>
      </c>
      <c r="G1137" t="s" s="2">
        <v>17</v>
      </c>
      <c r="H1137" t="s" s="2">
        <v>19</v>
      </c>
      <c r="I1137" t="s" s="2">
        <v>4484</v>
      </c>
      <c r="J1137" t="s" s="2">
        <v>4485</v>
      </c>
      <c r="K1137" t="s" s="2">
        <v>22</v>
      </c>
      <c r="L1137" t="s" s="2">
        <v>22</v>
      </c>
      <c r="M1137" t="s" s="2">
        <v>22</v>
      </c>
    </row>
    <row r="1138" ht="25.0" customHeight="true">
      <c r="A1138" t="s" s="2">
        <v>13</v>
      </c>
      <c r="B1138" t="s" s="2">
        <f>HYPERLINK("http://ts.21cn.com/tousu/show/id/1372932","捷信逾期费太吓人，找客服商量减免逾期不同意，还把个人隐私给其他人催收")</f>
      </c>
      <c r="C1138" t="s" s="2">
        <v>52</v>
      </c>
      <c r="D1138" t="s" s="2">
        <v>16</v>
      </c>
      <c r="E1138" t="s" s="2">
        <v>17</v>
      </c>
      <c r="F1138" t="s" s="2">
        <f>HYPERLINK("http://ts.21cn.com/tousu/show/id/1372932","http://ts.21cn.com/tousu/show/id/1372932")</f>
      </c>
      <c r="G1138" t="s" s="2">
        <v>17</v>
      </c>
      <c r="H1138" t="s" s="2">
        <v>19</v>
      </c>
      <c r="I1138" t="s" s="2">
        <v>4488</v>
      </c>
      <c r="J1138" t="s" s="2">
        <v>4489</v>
      </c>
      <c r="K1138" t="s" s="2">
        <v>22</v>
      </c>
      <c r="L1138" t="s" s="2">
        <v>22</v>
      </c>
      <c r="M1138" t="s" s="2">
        <v>22</v>
      </c>
    </row>
    <row r="1139" ht="25.0" customHeight="true">
      <c r="A1139" t="s" s="2">
        <v>13</v>
      </c>
      <c r="B1139" t="s" s="2">
        <f>HYPERLINK("http://ts.21cn.com/tousu/show/id/1372931","卡卡贷不放款也不给取消申请")</f>
      </c>
      <c r="C1139" t="s" s="2">
        <v>15</v>
      </c>
      <c r="D1139" t="s" s="2">
        <v>16</v>
      </c>
      <c r="E1139" t="s" s="2">
        <v>17</v>
      </c>
      <c r="F1139" t="s" s="2">
        <f>HYPERLINK("http://ts.21cn.com/tousu/show/id/1372931","http://ts.21cn.com/tousu/show/id/1372931")</f>
      </c>
      <c r="G1139" t="s" s="2">
        <v>17</v>
      </c>
      <c r="H1139" t="s" s="2">
        <v>19</v>
      </c>
      <c r="I1139" t="s" s="2">
        <v>4492</v>
      </c>
      <c r="J1139" t="s" s="2">
        <v>4493</v>
      </c>
      <c r="K1139" t="s" s="2">
        <v>22</v>
      </c>
      <c r="L1139" t="s" s="2">
        <v>22</v>
      </c>
      <c r="M1139" t="s" s="2">
        <v>22</v>
      </c>
    </row>
    <row r="1140" ht="25.0" customHeight="true">
      <c r="A1140" t="s" s="2">
        <v>13</v>
      </c>
      <c r="B1140" t="s" s="2">
        <f>HYPERLINK("http://ts.21cn.com/tousu/show/id/1372930","石榴快贷和金银钱包是不是高利贷")</f>
      </c>
      <c r="C1140" t="s" s="2">
        <v>15</v>
      </c>
      <c r="D1140" t="s" s="2">
        <v>16</v>
      </c>
      <c r="E1140" t="s" s="2">
        <v>17</v>
      </c>
      <c r="F1140" t="s" s="2">
        <f>HYPERLINK("http://ts.21cn.com/tousu/show/id/1372930","http://ts.21cn.com/tousu/show/id/1372930")</f>
      </c>
      <c r="G1140" t="s" s="2">
        <v>17</v>
      </c>
      <c r="H1140" t="s" s="2">
        <v>19</v>
      </c>
      <c r="I1140" t="s" s="2">
        <v>4496</v>
      </c>
      <c r="J1140" t="s" s="2">
        <v>4497</v>
      </c>
      <c r="K1140" t="s" s="2">
        <v>22</v>
      </c>
      <c r="L1140" t="s" s="2">
        <v>22</v>
      </c>
      <c r="M1140" t="s" s="2">
        <v>22</v>
      </c>
    </row>
    <row r="1141" ht="25.0" customHeight="true">
      <c r="A1141" t="s" s="2">
        <v>13</v>
      </c>
      <c r="B1141" t="s" s="2">
        <f>HYPERLINK("http://ts.21cn.com/tousu/show/id/1372929","高利贷，砍头息")</f>
      </c>
      <c r="C1141" t="s" s="2">
        <v>15</v>
      </c>
      <c r="D1141" t="s" s="2">
        <v>16</v>
      </c>
      <c r="E1141" t="s" s="2">
        <v>17</v>
      </c>
      <c r="F1141" t="s" s="2">
        <f>HYPERLINK("http://ts.21cn.com/tousu/show/id/1372929","http://ts.21cn.com/tousu/show/id/1372929")</f>
      </c>
      <c r="G1141" t="s" s="2">
        <v>17</v>
      </c>
      <c r="H1141" t="s" s="2">
        <v>19</v>
      </c>
      <c r="I1141" t="s" s="2">
        <v>4499</v>
      </c>
      <c r="J1141" t="s" s="2">
        <v>4500</v>
      </c>
      <c r="K1141" t="s" s="2">
        <v>22</v>
      </c>
      <c r="L1141" t="s" s="2">
        <v>22</v>
      </c>
      <c r="M1141" t="s" s="2">
        <v>22</v>
      </c>
    </row>
    <row r="1142" ht="25.0" customHeight="true">
      <c r="A1142" t="s" s="2">
        <v>13</v>
      </c>
      <c r="B1142" t="s" s="2">
        <f>HYPERLINK("http://ts.21cn.com/tousu/show/id/1372928","讯联智付-鲸纬科技恶意扣款")</f>
      </c>
      <c r="C1142" t="s" s="2">
        <v>15</v>
      </c>
      <c r="D1142" t="s" s="2">
        <v>16</v>
      </c>
      <c r="E1142" t="s" s="2">
        <v>17</v>
      </c>
      <c r="F1142" t="s" s="2">
        <f>HYPERLINK("http://ts.21cn.com/tousu/show/id/1372928","http://ts.21cn.com/tousu/show/id/1372928")</f>
      </c>
      <c r="G1142" t="s" s="2">
        <v>17</v>
      </c>
      <c r="H1142" t="s" s="2">
        <v>19</v>
      </c>
      <c r="I1142" t="s" s="2">
        <v>4503</v>
      </c>
      <c r="J1142" t="s" s="2">
        <v>4504</v>
      </c>
      <c r="K1142" t="s" s="2">
        <v>22</v>
      </c>
      <c r="L1142" t="s" s="2">
        <v>22</v>
      </c>
      <c r="M1142" t="s" s="2">
        <v>22</v>
      </c>
    </row>
    <row r="1143" ht="25.0" customHeight="true">
      <c r="A1143" t="s" s="2">
        <v>13</v>
      </c>
      <c r="B1143" t="s" s="2">
        <f>HYPERLINK("http://ts.21cn.com/tousu/show/id/1372927","梁山仙域信息技术有限公司通过天天有钱app恶意扣款")</f>
      </c>
      <c r="C1143" t="s" s="2">
        <v>15</v>
      </c>
      <c r="D1143" t="s" s="2">
        <v>16</v>
      </c>
      <c r="E1143" t="s" s="2">
        <v>17</v>
      </c>
      <c r="F1143" t="s" s="2">
        <f>HYPERLINK("http://ts.21cn.com/tousu/show/id/1372927","http://ts.21cn.com/tousu/show/id/1372927")</f>
      </c>
      <c r="G1143" t="s" s="2">
        <v>17</v>
      </c>
      <c r="H1143" t="s" s="2">
        <v>19</v>
      </c>
      <c r="I1143" t="s" s="2">
        <v>4507</v>
      </c>
      <c r="J1143" t="s" s="2">
        <v>4508</v>
      </c>
      <c r="K1143" t="s" s="2">
        <v>22</v>
      </c>
      <c r="L1143" t="s" s="2">
        <v>22</v>
      </c>
      <c r="M1143" t="s" s="2">
        <v>22</v>
      </c>
    </row>
    <row r="1144" ht="25.0" customHeight="true">
      <c r="A1144" t="s" s="2">
        <v>13</v>
      </c>
      <c r="B1144" t="s" s="2">
        <f>HYPERLINK("http://ts.21cn.com/tousu/show/id/1372922","滴滴司机预约单途中发生小事故，提交证据后依然扣分扣成交率")</f>
      </c>
      <c r="C1144" t="s" s="2">
        <v>15</v>
      </c>
      <c r="D1144" t="s" s="2">
        <v>16</v>
      </c>
      <c r="E1144" t="s" s="2">
        <v>17</v>
      </c>
      <c r="F1144" t="s" s="2">
        <f>HYPERLINK("http://ts.21cn.com/tousu/show/id/1372922","http://ts.21cn.com/tousu/show/id/1372922")</f>
      </c>
      <c r="G1144" t="s" s="2">
        <v>17</v>
      </c>
      <c r="H1144" t="s" s="2">
        <v>19</v>
      </c>
      <c r="I1144" t="s" s="2">
        <v>4511</v>
      </c>
      <c r="J1144" t="s" s="2">
        <v>4512</v>
      </c>
      <c r="K1144" t="s" s="2">
        <v>22</v>
      </c>
      <c r="L1144" t="s" s="2">
        <v>22</v>
      </c>
      <c r="M1144" t="s" s="2">
        <v>22</v>
      </c>
    </row>
    <row r="1145" ht="25.0" customHeight="true">
      <c r="A1145" t="s" s="2">
        <v>13</v>
      </c>
      <c r="B1145" t="s" s="2">
        <f>HYPERLINK("http://ts.21cn.com/tousu/show/id/1372926","在智行上定的机票一直不出票，而且也不能退款")</f>
      </c>
      <c r="C1145" t="s" s="2">
        <v>15</v>
      </c>
      <c r="D1145" t="s" s="2">
        <v>16</v>
      </c>
      <c r="E1145" t="s" s="2">
        <v>17</v>
      </c>
      <c r="F1145" t="s" s="2">
        <f>HYPERLINK("http://ts.21cn.com/tousu/show/id/1372926","http://ts.21cn.com/tousu/show/id/1372926")</f>
      </c>
      <c r="G1145" t="s" s="2">
        <v>17</v>
      </c>
      <c r="H1145" t="s" s="2">
        <v>19</v>
      </c>
      <c r="I1145" t="s" s="2">
        <v>4515</v>
      </c>
      <c r="J1145" t="s" s="2">
        <v>4516</v>
      </c>
      <c r="K1145" t="s" s="2">
        <v>22</v>
      </c>
      <c r="L1145" t="s" s="2">
        <v>22</v>
      </c>
      <c r="M1145" t="s" s="2">
        <v>22</v>
      </c>
    </row>
    <row r="1146" ht="25.0" customHeight="true">
      <c r="A1146" t="s" s="2">
        <v>13</v>
      </c>
      <c r="B1146" t="s" s="2">
        <f>HYPERLINK("http://ts.21cn.com/tousu/show/id/1372924","为什么玖富万卡我把本钱还进去了还要利息，")</f>
      </c>
      <c r="C1146" t="s" s="2">
        <v>15</v>
      </c>
      <c r="D1146" t="s" s="2">
        <v>16</v>
      </c>
      <c r="E1146" t="s" s="2">
        <v>17</v>
      </c>
      <c r="F1146" t="s" s="2">
        <f>HYPERLINK("http://ts.21cn.com/tousu/show/id/1372924","http://ts.21cn.com/tousu/show/id/1372924")</f>
      </c>
      <c r="G1146" t="s" s="2">
        <v>17</v>
      </c>
      <c r="H1146" t="s" s="2">
        <v>19</v>
      </c>
      <c r="I1146" t="s" s="2">
        <v>4519</v>
      </c>
      <c r="J1146" t="s" s="2">
        <v>4520</v>
      </c>
      <c r="K1146" t="s" s="2">
        <v>22</v>
      </c>
      <c r="L1146" t="s" s="2">
        <v>22</v>
      </c>
      <c r="M1146" t="s" s="2">
        <v>22</v>
      </c>
    </row>
    <row r="1147" ht="25.0" customHeight="true">
      <c r="A1147" t="s" s="2">
        <v>13</v>
      </c>
      <c r="B1147" t="s" s="2">
        <f>HYPERLINK("http://ts.21cn.com/tousu/show/id/1372925","钱站太高利贷了")</f>
      </c>
      <c r="C1147" t="s" s="2">
        <v>15</v>
      </c>
      <c r="D1147" t="s" s="2">
        <v>16</v>
      </c>
      <c r="E1147" t="s" s="2">
        <v>17</v>
      </c>
      <c r="F1147" t="s" s="2">
        <f>HYPERLINK("http://ts.21cn.com/tousu/show/id/1372925","http://ts.21cn.com/tousu/show/id/1372925")</f>
      </c>
      <c r="G1147" t="s" s="2">
        <v>17</v>
      </c>
      <c r="H1147" t="s" s="2">
        <v>19</v>
      </c>
      <c r="I1147" t="s" s="2">
        <v>4523</v>
      </c>
      <c r="J1147" t="s" s="2">
        <v>4524</v>
      </c>
      <c r="K1147" t="s" s="2">
        <v>22</v>
      </c>
      <c r="L1147" t="s" s="2">
        <v>22</v>
      </c>
      <c r="M1147" t="s" s="2">
        <v>22</v>
      </c>
    </row>
    <row r="1148" ht="25.0" customHeight="true">
      <c r="A1148" t="s" s="2">
        <v>13</v>
      </c>
      <c r="B1148" t="s" s="2">
        <f>HYPERLINK("http://ts.21cn.com/tousu/show/id/1372923","qq微众银行")</f>
      </c>
      <c r="C1148" t="s" s="2">
        <v>15</v>
      </c>
      <c r="D1148" t="s" s="2">
        <v>16</v>
      </c>
      <c r="E1148" t="s" s="2">
        <v>17</v>
      </c>
      <c r="F1148" t="s" s="2">
        <f>HYPERLINK("http://ts.21cn.com/tousu/show/id/1372923","http://ts.21cn.com/tousu/show/id/1372923")</f>
      </c>
      <c r="G1148" t="s" s="2">
        <v>17</v>
      </c>
      <c r="H1148" t="s" s="2">
        <v>19</v>
      </c>
      <c r="I1148" t="s" s="2">
        <v>4527</v>
      </c>
      <c r="J1148" t="s" s="2">
        <v>4528</v>
      </c>
      <c r="K1148" t="s" s="2">
        <v>22</v>
      </c>
      <c r="L1148" t="s" s="2">
        <v>22</v>
      </c>
      <c r="M1148" t="s" s="2">
        <v>22</v>
      </c>
    </row>
    <row r="1149" ht="25.0" customHeight="true">
      <c r="A1149" t="s" s="2">
        <v>13</v>
      </c>
      <c r="B1149" t="s" s="2">
        <f>HYPERLINK("http://ts.21cn.com/tousu/show/id/1372919","变相抬高利息")</f>
      </c>
      <c r="C1149" t="s" s="2">
        <v>15</v>
      </c>
      <c r="D1149" t="s" s="2">
        <v>16</v>
      </c>
      <c r="E1149" t="s" s="2">
        <v>17</v>
      </c>
      <c r="F1149" t="s" s="2">
        <f>HYPERLINK("http://ts.21cn.com/tousu/show/id/1372919","http://ts.21cn.com/tousu/show/id/1372919")</f>
      </c>
      <c r="G1149" t="s" s="2">
        <v>17</v>
      </c>
      <c r="H1149" t="s" s="2">
        <v>19</v>
      </c>
      <c r="I1149" t="s" s="2">
        <v>4531</v>
      </c>
      <c r="J1149" t="s" s="2">
        <v>4532</v>
      </c>
      <c r="K1149" t="s" s="2">
        <v>22</v>
      </c>
      <c r="L1149" t="s" s="2">
        <v>22</v>
      </c>
      <c r="M1149" t="s" s="2">
        <v>22</v>
      </c>
    </row>
    <row r="1150" ht="25.0" customHeight="true">
      <c r="A1150" t="s" s="2">
        <v>13</v>
      </c>
      <c r="B1150" t="s" s="2">
        <f>HYPERLINK("http://ts.21cn.com/tousu/show/id/1372917","拍拍贷暴力催收")</f>
      </c>
      <c r="C1150" t="s" s="2">
        <v>15</v>
      </c>
      <c r="D1150" t="s" s="2">
        <v>16</v>
      </c>
      <c r="E1150" t="s" s="2">
        <v>17</v>
      </c>
      <c r="F1150" t="s" s="2">
        <f>HYPERLINK("http://ts.21cn.com/tousu/show/id/1372917","http://ts.21cn.com/tousu/show/id/1372917")</f>
      </c>
      <c r="G1150" t="s" s="2">
        <v>17</v>
      </c>
      <c r="H1150" t="s" s="2">
        <v>19</v>
      </c>
      <c r="I1150" t="s" s="2">
        <v>4534</v>
      </c>
      <c r="J1150" t="s" s="2">
        <v>4535</v>
      </c>
      <c r="K1150" t="s" s="2">
        <v>22</v>
      </c>
      <c r="L1150" t="s" s="2">
        <v>22</v>
      </c>
      <c r="M1150" t="s" s="2">
        <v>22</v>
      </c>
    </row>
    <row r="1151" ht="25.0" customHeight="true">
      <c r="A1151" t="s" s="2">
        <v>13</v>
      </c>
      <c r="B1151" t="s" s="2">
        <f>HYPERLINK("http://ts.21cn.com/tousu/show/id/1372916","投诉九阳推销九阳净水器，洗脑式误导消费者消费")</f>
      </c>
      <c r="C1151" t="s" s="2">
        <v>15</v>
      </c>
      <c r="D1151" t="s" s="2">
        <v>16</v>
      </c>
      <c r="E1151" t="s" s="2">
        <v>17</v>
      </c>
      <c r="F1151" t="s" s="2">
        <f>HYPERLINK("http://ts.21cn.com/tousu/show/id/1372916","http://ts.21cn.com/tousu/show/id/1372916")</f>
      </c>
      <c r="G1151" t="s" s="2">
        <v>17</v>
      </c>
      <c r="H1151" t="s" s="2">
        <v>19</v>
      </c>
      <c r="I1151" t="s" s="2">
        <v>4538</v>
      </c>
      <c r="J1151" t="s" s="2">
        <v>4539</v>
      </c>
      <c r="K1151" t="s" s="2">
        <v>22</v>
      </c>
      <c r="L1151" t="s" s="2">
        <v>22</v>
      </c>
      <c r="M1151" t="s" s="2">
        <v>22</v>
      </c>
    </row>
    <row r="1152" ht="25.0" customHeight="true">
      <c r="A1152" t="s" s="2">
        <v>13</v>
      </c>
      <c r="B1152" t="s" s="2">
        <f>HYPERLINK("http://ts.21cn.com/tousu/show/id/1372915","立借叮当想花暴力催收")</f>
      </c>
      <c r="C1152" t="s" s="2">
        <v>15</v>
      </c>
      <c r="D1152" t="s" s="2">
        <v>16</v>
      </c>
      <c r="E1152" t="s" s="2">
        <v>17</v>
      </c>
      <c r="F1152" t="s" s="2">
        <f>HYPERLINK("http://ts.21cn.com/tousu/show/id/1372915","http://ts.21cn.com/tousu/show/id/1372915")</f>
      </c>
      <c r="G1152" t="s" s="2">
        <v>17</v>
      </c>
      <c r="H1152" t="s" s="2">
        <v>19</v>
      </c>
      <c r="I1152" t="s" s="2">
        <v>4542</v>
      </c>
      <c r="J1152" t="s" s="2">
        <v>4543</v>
      </c>
      <c r="K1152" t="s" s="2">
        <v>22</v>
      </c>
      <c r="L1152" t="s" s="2">
        <v>22</v>
      </c>
      <c r="M1152" t="s" s="2">
        <v>22</v>
      </c>
    </row>
    <row r="1153" ht="25.0" customHeight="true">
      <c r="A1153" t="s" s="2">
        <v>13</v>
      </c>
      <c r="B1153" t="s" s="2">
        <f>HYPERLINK("http://ts.21cn.com/tousu/show/id/1372914","银行卡莫名其妙被美团点评平台商户扣费500")</f>
      </c>
      <c r="C1153" t="s" s="2">
        <v>15</v>
      </c>
      <c r="D1153" t="s" s="2">
        <v>16</v>
      </c>
      <c r="E1153" t="s" s="2">
        <v>17</v>
      </c>
      <c r="F1153" t="s" s="2">
        <f>HYPERLINK("http://ts.21cn.com/tousu/show/id/1372914","http://ts.21cn.com/tousu/show/id/1372914")</f>
      </c>
      <c r="G1153" t="s" s="2">
        <v>17</v>
      </c>
      <c r="H1153" t="s" s="2">
        <v>19</v>
      </c>
      <c r="I1153" t="s" s="2">
        <v>4546</v>
      </c>
      <c r="J1153" t="s" s="2">
        <v>4547</v>
      </c>
      <c r="K1153" t="s" s="2">
        <v>22</v>
      </c>
      <c r="L1153" t="s" s="2">
        <v>22</v>
      </c>
      <c r="M1153" t="s" s="2">
        <v>22</v>
      </c>
    </row>
    <row r="1154" ht="25.0" customHeight="true">
      <c r="A1154" t="s" s="2">
        <v>13</v>
      </c>
      <c r="B1154" t="s" s="2">
        <f>HYPERLINK("http://ts.21cn.com/tousu/show/id/1372913","京东金条恶性催收")</f>
      </c>
      <c r="C1154" t="s" s="2">
        <v>15</v>
      </c>
      <c r="D1154" t="s" s="2">
        <v>16</v>
      </c>
      <c r="E1154" t="s" s="2">
        <v>17</v>
      </c>
      <c r="F1154" t="s" s="2">
        <f>HYPERLINK("http://ts.21cn.com/tousu/show/id/1372913","http://ts.21cn.com/tousu/show/id/1372913")</f>
      </c>
      <c r="G1154" t="s" s="2">
        <v>17</v>
      </c>
      <c r="H1154" t="s" s="2">
        <v>19</v>
      </c>
      <c r="I1154" t="s" s="2">
        <v>4549</v>
      </c>
      <c r="J1154" t="s" s="2">
        <v>4550</v>
      </c>
      <c r="K1154" t="s" s="2">
        <v>22</v>
      </c>
      <c r="L1154" t="s" s="2">
        <v>22</v>
      </c>
      <c r="M1154" t="s" s="2">
        <v>22</v>
      </c>
    </row>
    <row r="1155" ht="25.0" customHeight="true">
      <c r="A1155" t="s" s="2">
        <v>13</v>
      </c>
      <c r="B1155" t="s" s="2">
        <f>HYPERLINK("http://ts.21cn.com/tousu/show/id/1372912","微信支付限制支付")</f>
      </c>
      <c r="C1155" t="s" s="2">
        <v>52</v>
      </c>
      <c r="D1155" t="s" s="2">
        <v>16</v>
      </c>
      <c r="E1155" t="s" s="2">
        <v>17</v>
      </c>
      <c r="F1155" t="s" s="2">
        <f>HYPERLINK("http://ts.21cn.com/tousu/show/id/1372912","http://ts.21cn.com/tousu/show/id/1372912")</f>
      </c>
      <c r="G1155" t="s" s="2">
        <v>17</v>
      </c>
      <c r="H1155" t="s" s="2">
        <v>19</v>
      </c>
      <c r="I1155" t="s" s="2">
        <v>4553</v>
      </c>
      <c r="J1155" t="s" s="2">
        <v>4554</v>
      </c>
      <c r="K1155" t="s" s="2">
        <v>22</v>
      </c>
      <c r="L1155" t="s" s="2">
        <v>22</v>
      </c>
      <c r="M1155" t="s" s="2">
        <v>22</v>
      </c>
    </row>
    <row r="1156" ht="25.0" customHeight="true">
      <c r="A1156" t="s" s="2">
        <v>13</v>
      </c>
      <c r="B1156" t="s" s="2">
        <f>HYPERLINK("http://ts.21cn.com/tousu/show/id/1372911","非法博彩软件，骚扰并欺诈")</f>
      </c>
      <c r="C1156" t="s" s="2">
        <v>15</v>
      </c>
      <c r="D1156" t="s" s="2">
        <v>16</v>
      </c>
      <c r="E1156" t="s" s="2">
        <v>17</v>
      </c>
      <c r="F1156" t="s" s="2">
        <f>HYPERLINK("http://ts.21cn.com/tousu/show/id/1372911","http://ts.21cn.com/tousu/show/id/1372911")</f>
      </c>
      <c r="G1156" t="s" s="2">
        <v>17</v>
      </c>
      <c r="H1156" t="s" s="2">
        <v>19</v>
      </c>
      <c r="I1156" t="s" s="2">
        <v>4557</v>
      </c>
      <c r="J1156" t="s" s="2">
        <v>4558</v>
      </c>
      <c r="K1156" t="s" s="2">
        <v>22</v>
      </c>
      <c r="L1156" t="s" s="2">
        <v>22</v>
      </c>
      <c r="M1156" t="s" s="2">
        <v>22</v>
      </c>
    </row>
    <row r="1157" ht="25.0" customHeight="true">
      <c r="A1157" t="s" s="2">
        <v>13</v>
      </c>
      <c r="B1157" t="s" s="2">
        <f>HYPERLINK("http://ts.21cn.com/tousu/show/id/1372910","小赢易贷高利贷，暴力催收")</f>
      </c>
      <c r="C1157" t="s" s="2">
        <v>15</v>
      </c>
      <c r="D1157" t="s" s="2">
        <v>16</v>
      </c>
      <c r="E1157" t="s" s="2">
        <v>17</v>
      </c>
      <c r="F1157" t="s" s="2">
        <f>HYPERLINK("http://ts.21cn.com/tousu/show/id/1372910","http://ts.21cn.com/tousu/show/id/1372910")</f>
      </c>
      <c r="G1157" t="s" s="2">
        <v>17</v>
      </c>
      <c r="H1157" t="s" s="2">
        <v>19</v>
      </c>
      <c r="I1157" t="s" s="2">
        <v>4561</v>
      </c>
      <c r="J1157" t="s" s="2">
        <v>4562</v>
      </c>
      <c r="K1157" t="s" s="2">
        <v>22</v>
      </c>
      <c r="L1157" t="s" s="2">
        <v>22</v>
      </c>
      <c r="M1157" t="s" s="2">
        <v>22</v>
      </c>
    </row>
    <row r="1158" ht="25.0" customHeight="true">
      <c r="A1158" t="s" s="2">
        <v>13</v>
      </c>
      <c r="B1158" t="s" s="2">
        <f>HYPERLINK("http://ts.21cn.com/tousu/show/id/1372909","滴滴司机接不到女乘客")</f>
      </c>
      <c r="C1158" t="s" s="2">
        <v>15</v>
      </c>
      <c r="D1158" t="s" s="2">
        <v>16</v>
      </c>
      <c r="E1158" t="s" s="2">
        <v>17</v>
      </c>
      <c r="F1158" t="s" s="2">
        <f>HYPERLINK("http://ts.21cn.com/tousu/show/id/1372909","http://ts.21cn.com/tousu/show/id/1372909")</f>
      </c>
      <c r="G1158" t="s" s="2">
        <v>17</v>
      </c>
      <c r="H1158" t="s" s="2">
        <v>19</v>
      </c>
      <c r="I1158" t="s" s="2">
        <v>4565</v>
      </c>
      <c r="J1158" t="s" s="2">
        <v>4566</v>
      </c>
      <c r="K1158" t="s" s="2">
        <v>22</v>
      </c>
      <c r="L1158" t="s" s="2">
        <v>22</v>
      </c>
      <c r="M1158" t="s" s="2">
        <v>22</v>
      </c>
    </row>
    <row r="1159" ht="25.0" customHeight="true">
      <c r="A1159" t="s" s="2">
        <v>13</v>
      </c>
      <c r="B1159" t="s" s="2">
        <f>HYPERLINK("http://ts.21cn.com/tousu/show/id/1372907","瀚银诱导诱刷")</f>
      </c>
      <c r="C1159" t="s" s="2">
        <v>15</v>
      </c>
      <c r="D1159" t="s" s="2">
        <v>16</v>
      </c>
      <c r="E1159" t="s" s="2">
        <v>17</v>
      </c>
      <c r="F1159" t="s" s="2">
        <f>HYPERLINK("http://ts.21cn.com/tousu/show/id/1372907","http://ts.21cn.com/tousu/show/id/1372907")</f>
      </c>
      <c r="G1159" t="s" s="2">
        <v>17</v>
      </c>
      <c r="H1159" t="s" s="2">
        <v>19</v>
      </c>
      <c r="I1159" t="s" s="2">
        <v>4569</v>
      </c>
      <c r="J1159" t="s" s="2">
        <v>4570</v>
      </c>
      <c r="K1159" t="s" s="2">
        <v>22</v>
      </c>
      <c r="L1159" t="s" s="2">
        <v>22</v>
      </c>
      <c r="M1159" t="s" s="2">
        <v>22</v>
      </c>
    </row>
    <row r="1160" ht="25.0" customHeight="true">
      <c r="A1160" t="s" s="2">
        <v>13</v>
      </c>
      <c r="B1160" t="s" s="2">
        <f>HYPERLINK("http://ts.21cn.com/tousu/show/id/1372908","人人贷提前还款收取高额服务费")</f>
      </c>
      <c r="C1160" t="s" s="2">
        <v>15</v>
      </c>
      <c r="D1160" t="s" s="2">
        <v>16</v>
      </c>
      <c r="E1160" t="s" s="2">
        <v>17</v>
      </c>
      <c r="F1160" t="s" s="2">
        <f>HYPERLINK("http://ts.21cn.com/tousu/show/id/1372908","http://ts.21cn.com/tousu/show/id/1372908")</f>
      </c>
      <c r="G1160" t="s" s="2">
        <v>17</v>
      </c>
      <c r="H1160" t="s" s="2">
        <v>19</v>
      </c>
      <c r="I1160" t="s" s="2">
        <v>4573</v>
      </c>
      <c r="J1160" t="s" s="2">
        <v>4574</v>
      </c>
      <c r="K1160" t="s" s="2">
        <v>22</v>
      </c>
      <c r="L1160" t="s" s="2">
        <v>22</v>
      </c>
      <c r="M1160" t="s" s="2">
        <v>22</v>
      </c>
    </row>
    <row r="1161" ht="25.0" customHeight="true">
      <c r="A1161" t="s" s="2">
        <v>13</v>
      </c>
      <c r="B1161" t="s" s="2">
        <f>HYPERLINK("http://ts.21cn.com/tousu/show/id/1372887","诱导求职者高价购买电瓶车")</f>
      </c>
      <c r="C1161" t="s" s="2">
        <v>15</v>
      </c>
      <c r="D1161" t="s" s="2">
        <v>16</v>
      </c>
      <c r="E1161" t="s" s="2">
        <v>17</v>
      </c>
      <c r="F1161" t="s" s="2">
        <f>HYPERLINK("http://ts.21cn.com/tousu/show/id/1372887","http://ts.21cn.com/tousu/show/id/1372887")</f>
      </c>
      <c r="G1161" t="s" s="2">
        <v>17</v>
      </c>
      <c r="H1161" t="s" s="2">
        <v>19</v>
      </c>
      <c r="I1161" t="s" s="2">
        <v>4577</v>
      </c>
      <c r="J1161" t="s" s="2">
        <v>4578</v>
      </c>
      <c r="K1161" t="s" s="2">
        <v>22</v>
      </c>
      <c r="L1161" t="s" s="2">
        <v>22</v>
      </c>
      <c r="M1161" t="s" s="2">
        <v>22</v>
      </c>
    </row>
    <row r="1162" ht="25.0" customHeight="true">
      <c r="A1162" t="s" s="2">
        <v>13</v>
      </c>
      <c r="B1162" t="s" s="2">
        <f>HYPERLINK("http://ts.21cn.com/tousu/show/id/1372906","国美金融爆暴力催收爆我通讯录影响我生活")</f>
      </c>
      <c r="C1162" t="s" s="2">
        <v>15</v>
      </c>
      <c r="D1162" t="s" s="2">
        <v>16</v>
      </c>
      <c r="E1162" t="s" s="2">
        <v>17</v>
      </c>
      <c r="F1162" t="s" s="2">
        <f>HYPERLINK("http://ts.21cn.com/tousu/show/id/1372906","http://ts.21cn.com/tousu/show/id/1372906")</f>
      </c>
      <c r="G1162" t="s" s="2">
        <v>17</v>
      </c>
      <c r="H1162" t="s" s="2">
        <v>19</v>
      </c>
      <c r="I1162" t="s" s="2">
        <v>4581</v>
      </c>
      <c r="J1162" t="s" s="2">
        <v>4582</v>
      </c>
      <c r="K1162" t="s" s="2">
        <v>22</v>
      </c>
      <c r="L1162" t="s" s="2">
        <v>22</v>
      </c>
      <c r="M1162" t="s" s="2">
        <v>22</v>
      </c>
    </row>
    <row r="1163" ht="25.0" customHeight="true">
      <c r="A1163" t="s" s="2">
        <v>13</v>
      </c>
      <c r="B1163" t="s" s="2">
        <f>HYPERLINK("http://ts.21cn.com/tousu/show/id/1372905","钱站催收非法爆通讯录")</f>
      </c>
      <c r="C1163" t="s" s="2">
        <v>15</v>
      </c>
      <c r="D1163" t="s" s="2">
        <v>16</v>
      </c>
      <c r="E1163" t="s" s="2">
        <v>17</v>
      </c>
      <c r="F1163" t="s" s="2">
        <f>HYPERLINK("http://ts.21cn.com/tousu/show/id/1372905","http://ts.21cn.com/tousu/show/id/1372905")</f>
      </c>
      <c r="G1163" t="s" s="2">
        <v>17</v>
      </c>
      <c r="H1163" t="s" s="2">
        <v>19</v>
      </c>
      <c r="I1163" t="s" s="2">
        <v>4585</v>
      </c>
      <c r="J1163" t="s" s="2">
        <v>4586</v>
      </c>
      <c r="K1163" t="s" s="2">
        <v>22</v>
      </c>
      <c r="L1163" t="s" s="2">
        <v>22</v>
      </c>
      <c r="M1163" t="s" s="2">
        <v>22</v>
      </c>
    </row>
    <row r="1164" ht="25.0" customHeight="true">
      <c r="A1164" t="s" s="2">
        <v>13</v>
      </c>
      <c r="B1164" t="s" s="2">
        <f>HYPERLINK("http://ts.21cn.com/tousu/show/id/1372904","招联金融暴力催骚扰公司被辞退")</f>
      </c>
      <c r="C1164" t="s" s="2">
        <v>15</v>
      </c>
      <c r="D1164" t="s" s="2">
        <v>16</v>
      </c>
      <c r="E1164" t="s" s="2">
        <v>17</v>
      </c>
      <c r="F1164" t="s" s="2">
        <f>HYPERLINK("http://ts.21cn.com/tousu/show/id/1372904","http://ts.21cn.com/tousu/show/id/1372904")</f>
      </c>
      <c r="G1164" t="s" s="2">
        <v>17</v>
      </c>
      <c r="H1164" t="s" s="2">
        <v>19</v>
      </c>
      <c r="I1164" t="s" s="2">
        <v>4589</v>
      </c>
      <c r="J1164" t="s" s="2">
        <v>4590</v>
      </c>
      <c r="K1164" t="s" s="2">
        <v>22</v>
      </c>
      <c r="L1164" t="s" s="2">
        <v>22</v>
      </c>
      <c r="M1164" t="s" s="2">
        <v>22</v>
      </c>
    </row>
    <row r="1165" ht="25.0" customHeight="true">
      <c r="A1165" t="s" s="2">
        <v>13</v>
      </c>
      <c r="B1165" t="s" s="2">
        <f>HYPERLINK("http://ts.21cn.com/tousu/show/id/1372902","云闪付中国银联纵容网路赌博为网络赌博提供充值服务")</f>
      </c>
      <c r="C1165" t="s" s="2">
        <v>15</v>
      </c>
      <c r="D1165" t="s" s="2">
        <v>16</v>
      </c>
      <c r="E1165" t="s" s="2">
        <v>17</v>
      </c>
      <c r="F1165" t="s" s="2">
        <f>HYPERLINK("http://ts.21cn.com/tousu/show/id/1372902","http://ts.21cn.com/tousu/show/id/1372902")</f>
      </c>
      <c r="G1165" t="s" s="2">
        <v>17</v>
      </c>
      <c r="H1165" t="s" s="2">
        <v>19</v>
      </c>
      <c r="I1165" t="s" s="2">
        <v>4593</v>
      </c>
      <c r="J1165" t="s" s="2">
        <v>4594</v>
      </c>
      <c r="K1165" t="s" s="2">
        <v>22</v>
      </c>
      <c r="L1165" t="s" s="2">
        <v>22</v>
      </c>
      <c r="M1165" t="s" s="2">
        <v>22</v>
      </c>
    </row>
    <row r="1166" ht="25.0" customHeight="true">
      <c r="A1166" t="s" s="2">
        <v>13</v>
      </c>
      <c r="B1166" t="s" s="2">
        <f>HYPERLINK("http://ts.21cn.com/tousu/show/id/1372900","我来数科高利贷")</f>
      </c>
      <c r="C1166" t="s" s="2">
        <v>15</v>
      </c>
      <c r="D1166" t="s" s="2">
        <v>16</v>
      </c>
      <c r="E1166" t="s" s="2">
        <v>17</v>
      </c>
      <c r="F1166" t="s" s="2">
        <f>HYPERLINK("http://ts.21cn.com/tousu/show/id/1372900","http://ts.21cn.com/tousu/show/id/1372900")</f>
      </c>
      <c r="G1166" t="s" s="2">
        <v>17</v>
      </c>
      <c r="H1166" t="s" s="2">
        <v>19</v>
      </c>
      <c r="I1166" t="s" s="2">
        <v>4597</v>
      </c>
      <c r="J1166" t="s" s="2">
        <v>4598</v>
      </c>
      <c r="K1166" t="s" s="2">
        <v>22</v>
      </c>
      <c r="L1166" t="s" s="2">
        <v>22</v>
      </c>
      <c r="M1166" t="s" s="2">
        <v>22</v>
      </c>
    </row>
    <row r="1167" ht="25.0" customHeight="true">
      <c r="A1167" t="s" s="2">
        <v>13</v>
      </c>
      <c r="B1167" t="s" s="2">
        <f>HYPERLINK("http://ts.21cn.com/tousu/show/id/1372899","来分期账单到期日没有任何提醒")</f>
      </c>
      <c r="C1167" t="s" s="2">
        <v>15</v>
      </c>
      <c r="D1167" t="s" s="2">
        <v>16</v>
      </c>
      <c r="E1167" t="s" s="2">
        <v>17</v>
      </c>
      <c r="F1167" t="s" s="2">
        <f>HYPERLINK("http://ts.21cn.com/tousu/show/id/1372899","http://ts.21cn.com/tousu/show/id/1372899")</f>
      </c>
      <c r="G1167" t="s" s="2">
        <v>17</v>
      </c>
      <c r="H1167" t="s" s="2">
        <v>19</v>
      </c>
      <c r="I1167" t="s" s="2">
        <v>4601</v>
      </c>
      <c r="J1167" t="s" s="2">
        <v>4602</v>
      </c>
      <c r="K1167" t="s" s="2">
        <v>22</v>
      </c>
      <c r="L1167" t="s" s="2">
        <v>22</v>
      </c>
      <c r="M1167" t="s" s="2">
        <v>22</v>
      </c>
    </row>
    <row r="1168" ht="25.0" customHeight="true">
      <c r="A1168" t="s" s="2">
        <v>13</v>
      </c>
      <c r="B1168" t="s" s="2">
        <f>HYPERLINK("http://ts.21cn.com/tousu/show/id/1372898","华尔街英语欺诈")</f>
      </c>
      <c r="C1168" t="s" s="2">
        <v>15</v>
      </c>
      <c r="D1168" t="s" s="2">
        <v>16</v>
      </c>
      <c r="E1168" t="s" s="2">
        <v>17</v>
      </c>
      <c r="F1168" t="s" s="2">
        <f>HYPERLINK("http://ts.21cn.com/tousu/show/id/1372898","http://ts.21cn.com/tousu/show/id/1372898")</f>
      </c>
      <c r="G1168" t="s" s="2">
        <v>17</v>
      </c>
      <c r="H1168" t="s" s="2">
        <v>19</v>
      </c>
      <c r="I1168" t="s" s="2">
        <v>4605</v>
      </c>
      <c r="J1168" t="s" s="2">
        <v>4606</v>
      </c>
      <c r="K1168" t="s" s="2">
        <v>22</v>
      </c>
      <c r="L1168" t="s" s="2">
        <v>22</v>
      </c>
      <c r="M1168" t="s" s="2">
        <v>22</v>
      </c>
    </row>
    <row r="1169" ht="25.0" customHeight="true">
      <c r="A1169" t="s" s="2">
        <v>13</v>
      </c>
      <c r="B1169" t="s" s="2">
        <f>HYPERLINK("http://ts.21cn.com/tousu/show/id/1372897","在淘手游买的号被找回希望退款")</f>
      </c>
      <c r="C1169" t="s" s="2">
        <v>52</v>
      </c>
      <c r="D1169" t="s" s="2">
        <v>16</v>
      </c>
      <c r="E1169" t="s" s="2">
        <v>17</v>
      </c>
      <c r="F1169" t="s" s="2">
        <f>HYPERLINK("http://ts.21cn.com/tousu/show/id/1372897","http://ts.21cn.com/tousu/show/id/1372897")</f>
      </c>
      <c r="G1169" t="s" s="2">
        <v>17</v>
      </c>
      <c r="H1169" t="s" s="2">
        <v>19</v>
      </c>
      <c r="I1169" t="s" s="2">
        <v>4609</v>
      </c>
      <c r="J1169" t="s" s="2">
        <v>4610</v>
      </c>
      <c r="K1169" t="s" s="2">
        <v>22</v>
      </c>
      <c r="L1169" t="s" s="2">
        <v>22</v>
      </c>
      <c r="M1169" t="s" s="2">
        <v>22</v>
      </c>
    </row>
    <row r="1170" ht="25.0" customHeight="true">
      <c r="A1170" t="s" s="2">
        <v>13</v>
      </c>
      <c r="B1170" t="s" s="2">
        <f>HYPERLINK("http://ts.21cn.com/tousu/show/id/1372894","虚假宣传，误导消费者")</f>
      </c>
      <c r="C1170" t="s" s="2">
        <v>15</v>
      </c>
      <c r="D1170" t="s" s="2">
        <v>16</v>
      </c>
      <c r="E1170" t="s" s="2">
        <v>17</v>
      </c>
      <c r="F1170" t="s" s="2">
        <f>HYPERLINK("http://ts.21cn.com/tousu/show/id/1372894","http://ts.21cn.com/tousu/show/id/1372894")</f>
      </c>
      <c r="G1170" t="s" s="2">
        <v>17</v>
      </c>
      <c r="H1170" t="s" s="2">
        <v>19</v>
      </c>
      <c r="I1170" t="s" s="2">
        <v>4613</v>
      </c>
      <c r="J1170" t="s" s="2">
        <v>4614</v>
      </c>
      <c r="K1170" t="s" s="2">
        <v>22</v>
      </c>
      <c r="L1170" t="s" s="2">
        <v>22</v>
      </c>
      <c r="M1170" t="s" s="2">
        <v>22</v>
      </c>
    </row>
    <row r="1171" ht="25.0" customHeight="true">
      <c r="A1171" t="s" s="2">
        <v>13</v>
      </c>
      <c r="B1171" t="s" s="2">
        <f>HYPERLINK("http://ts.21cn.com/tousu/show/id/1372893","贷上钱高利贷暴力催收")</f>
      </c>
      <c r="C1171" t="s" s="2">
        <v>15</v>
      </c>
      <c r="D1171" t="s" s="2">
        <v>16</v>
      </c>
      <c r="E1171" t="s" s="2">
        <v>17</v>
      </c>
      <c r="F1171" t="s" s="2">
        <f>HYPERLINK("http://ts.21cn.com/tousu/show/id/1372893","http://ts.21cn.com/tousu/show/id/1372893")</f>
      </c>
      <c r="G1171" t="s" s="2">
        <v>17</v>
      </c>
      <c r="H1171" t="s" s="2">
        <v>19</v>
      </c>
      <c r="I1171" t="s" s="2">
        <v>4617</v>
      </c>
      <c r="J1171" t="s" s="2">
        <v>4618</v>
      </c>
      <c r="K1171" t="s" s="2">
        <v>22</v>
      </c>
      <c r="L1171" t="s" s="2">
        <v>22</v>
      </c>
      <c r="M1171" t="s" s="2">
        <v>22</v>
      </c>
    </row>
    <row r="1172" ht="25.0" customHeight="true">
      <c r="A1172" t="s" s="2">
        <v>13</v>
      </c>
      <c r="B1172" t="s" s="2">
        <f>HYPERLINK("http://ts.21cn.com/tousu/show/id/1372891","首汽车主要求下线支付，让加钱不然就扔半路")</f>
      </c>
      <c r="C1172" t="s" s="2">
        <v>15</v>
      </c>
      <c r="D1172" t="s" s="2">
        <v>16</v>
      </c>
      <c r="E1172" t="s" s="2">
        <v>17</v>
      </c>
      <c r="F1172" t="s" s="2">
        <f>HYPERLINK("http://ts.21cn.com/tousu/show/id/1372891","http://ts.21cn.com/tousu/show/id/1372891")</f>
      </c>
      <c r="G1172" t="s" s="2">
        <v>17</v>
      </c>
      <c r="H1172" t="s" s="2">
        <v>19</v>
      </c>
      <c r="I1172" t="s" s="2">
        <v>4621</v>
      </c>
      <c r="J1172" t="s" s="2">
        <v>4622</v>
      </c>
      <c r="K1172" t="s" s="2">
        <v>22</v>
      </c>
      <c r="L1172" t="s" s="2">
        <v>22</v>
      </c>
      <c r="M1172" t="s" s="2">
        <v>22</v>
      </c>
    </row>
    <row r="1173" ht="25.0" customHeight="true">
      <c r="A1173" t="s" s="2">
        <v>13</v>
      </c>
      <c r="B1173" t="s" s="2">
        <f>HYPERLINK("http://ts.21cn.com/tousu/show/id/1372890","广州银行虚假宣传.吴经理态度恶劣")</f>
      </c>
      <c r="C1173" t="s" s="2">
        <v>15</v>
      </c>
      <c r="D1173" t="s" s="2">
        <v>16</v>
      </c>
      <c r="E1173" t="s" s="2">
        <v>17</v>
      </c>
      <c r="F1173" t="s" s="2">
        <f>HYPERLINK("http://ts.21cn.com/tousu/show/id/1372890","http://ts.21cn.com/tousu/show/id/1372890")</f>
      </c>
      <c r="G1173" t="s" s="2">
        <v>17</v>
      </c>
      <c r="H1173" t="s" s="2">
        <v>19</v>
      </c>
      <c r="I1173" t="s" s="2">
        <v>4625</v>
      </c>
      <c r="J1173" t="s" s="2">
        <v>4626</v>
      </c>
      <c r="K1173" t="s" s="2">
        <v>22</v>
      </c>
      <c r="L1173" t="s" s="2">
        <v>22</v>
      </c>
      <c r="M1173" t="s" s="2">
        <v>22</v>
      </c>
    </row>
    <row r="1174" ht="25.0" customHeight="true">
      <c r="A1174" t="s" s="2">
        <v>13</v>
      </c>
      <c r="B1174" t="s" s="2">
        <f>HYPERLINK("http://ts.21cn.com/tousu/show/id/1372889","阴阳合同高利贷")</f>
      </c>
      <c r="C1174" t="s" s="2">
        <v>15</v>
      </c>
      <c r="D1174" t="s" s="2">
        <v>16</v>
      </c>
      <c r="E1174" t="s" s="2">
        <v>17</v>
      </c>
      <c r="F1174" t="s" s="2">
        <f>HYPERLINK("http://ts.21cn.com/tousu/show/id/1372889","http://ts.21cn.com/tousu/show/id/1372889")</f>
      </c>
      <c r="G1174" t="s" s="2">
        <v>17</v>
      </c>
      <c r="H1174" t="s" s="2">
        <v>19</v>
      </c>
      <c r="I1174" t="s" s="2">
        <v>4629</v>
      </c>
      <c r="J1174" t="s" s="2">
        <v>4630</v>
      </c>
      <c r="K1174" t="s" s="2">
        <v>22</v>
      </c>
      <c r="L1174" t="s" s="2">
        <v>22</v>
      </c>
      <c r="M1174" t="s" s="2">
        <v>22</v>
      </c>
    </row>
    <row r="1175" ht="25.0" customHeight="true">
      <c r="A1175" t="s" s="2">
        <v>13</v>
      </c>
      <c r="B1175" t="s" s="2">
        <f>HYPERLINK("http://ts.21cn.com/tousu/show/id/1372888","投诉百事普惠乱扣费，误导着绑定银行卡后在没有本人的操作下一共自动的在卡上扣掉了299块钱，我要求退还扣掉的299块钱")</f>
      </c>
      <c r="C1175" t="s" s="2">
        <v>15</v>
      </c>
      <c r="D1175" t="s" s="2">
        <v>16</v>
      </c>
      <c r="E1175" t="s" s="2">
        <v>17</v>
      </c>
      <c r="F1175" t="s" s="2">
        <f>HYPERLINK("http://ts.21cn.com/tousu/show/id/1372888","http://ts.21cn.com/tousu/show/id/1372888")</f>
      </c>
      <c r="G1175" t="s" s="2">
        <v>17</v>
      </c>
      <c r="H1175" t="s" s="2">
        <v>19</v>
      </c>
      <c r="I1175" t="s" s="2">
        <v>4633</v>
      </c>
      <c r="J1175" t="s" s="2">
        <v>4634</v>
      </c>
      <c r="K1175" t="s" s="2">
        <v>22</v>
      </c>
      <c r="L1175" t="s" s="2">
        <v>22</v>
      </c>
      <c r="M1175" t="s" s="2">
        <v>22</v>
      </c>
    </row>
    <row r="1176" ht="25.0" customHeight="true">
      <c r="A1176" t="s" s="2">
        <v>13</v>
      </c>
      <c r="B1176" t="s" s="2">
        <f>HYPERLINK("http://ts.21cn.com/tousu/show/id/1372885","东方银谷第三方催收打着黑社会名义恐吓侮辱及威胁当事人及通讯录人员")</f>
      </c>
      <c r="C1176" t="s" s="2">
        <v>15</v>
      </c>
      <c r="D1176" t="s" s="2">
        <v>16</v>
      </c>
      <c r="E1176" t="s" s="2">
        <v>17</v>
      </c>
      <c r="F1176" t="s" s="2">
        <f>HYPERLINK("http://ts.21cn.com/tousu/show/id/1372885","http://ts.21cn.com/tousu/show/id/1372885")</f>
      </c>
      <c r="G1176" t="s" s="2">
        <v>17</v>
      </c>
      <c r="H1176" t="s" s="2">
        <v>19</v>
      </c>
      <c r="I1176" t="s" s="2">
        <v>4637</v>
      </c>
      <c r="J1176" t="s" s="2">
        <v>4638</v>
      </c>
      <c r="K1176" t="s" s="2">
        <v>22</v>
      </c>
      <c r="L1176" t="s" s="2">
        <v>22</v>
      </c>
      <c r="M1176" t="s" s="2">
        <v>22</v>
      </c>
    </row>
    <row r="1177" ht="25.0" customHeight="true">
      <c r="A1177" t="s" s="2">
        <v>13</v>
      </c>
      <c r="B1177" t="s" s="2">
        <f>HYPERLINK("http://ts.21cn.com/tousu/show/id/1372884","信用飞l砍头息催收影响人正常生活")</f>
      </c>
      <c r="C1177" t="s" s="2">
        <v>15</v>
      </c>
      <c r="D1177" t="s" s="2">
        <v>16</v>
      </c>
      <c r="E1177" t="s" s="2">
        <v>17</v>
      </c>
      <c r="F1177" t="s" s="2">
        <f>HYPERLINK("http://ts.21cn.com/tousu/show/id/1372884","http://ts.21cn.com/tousu/show/id/1372884")</f>
      </c>
      <c r="G1177" t="s" s="2">
        <v>17</v>
      </c>
      <c r="H1177" t="s" s="2">
        <v>19</v>
      </c>
      <c r="I1177" t="s" s="2">
        <v>4641</v>
      </c>
      <c r="J1177" t="s" s="2">
        <v>4642</v>
      </c>
      <c r="K1177" t="s" s="2">
        <v>22</v>
      </c>
      <c r="L1177" t="s" s="2">
        <v>22</v>
      </c>
      <c r="M1177" t="s" s="2">
        <v>22</v>
      </c>
    </row>
    <row r="1178" ht="25.0" customHeight="true">
      <c r="A1178" t="s" s="2">
        <v>13</v>
      </c>
      <c r="B1178" t="s" s="2">
        <f>HYPERLINK("http://ts.21cn.com/tousu/show/id/1372882","360借条提前还款需要收取全额借款利息")</f>
      </c>
      <c r="C1178" t="s" s="2">
        <v>52</v>
      </c>
      <c r="D1178" t="s" s="2">
        <v>16</v>
      </c>
      <c r="E1178" t="s" s="2">
        <v>17</v>
      </c>
      <c r="F1178" t="s" s="2">
        <f>HYPERLINK("http://ts.21cn.com/tousu/show/id/1372882","http://ts.21cn.com/tousu/show/id/1372882")</f>
      </c>
      <c r="G1178" t="s" s="2">
        <v>17</v>
      </c>
      <c r="H1178" t="s" s="2">
        <v>19</v>
      </c>
      <c r="I1178" t="s" s="2">
        <v>4645</v>
      </c>
      <c r="J1178" t="s" s="2">
        <v>4646</v>
      </c>
      <c r="K1178" t="s" s="2">
        <v>22</v>
      </c>
      <c r="L1178" t="s" s="2">
        <v>22</v>
      </c>
      <c r="M1178" t="s" s="2">
        <v>22</v>
      </c>
    </row>
    <row r="1179" ht="25.0" customHeight="true">
      <c r="A1179" t="s" s="2">
        <v>13</v>
      </c>
      <c r="B1179" t="s" s="2">
        <f>HYPERLINK("http://ts.21cn.com/tousu/show/id/1372881","怀疑被套路贷，要求取消贷款订单注销账号")</f>
      </c>
      <c r="C1179" t="s" s="2">
        <v>15</v>
      </c>
      <c r="D1179" t="s" s="2">
        <v>16</v>
      </c>
      <c r="E1179" t="s" s="2">
        <v>17</v>
      </c>
      <c r="F1179" t="s" s="2">
        <f>HYPERLINK("http://ts.21cn.com/tousu/show/id/1372881","http://ts.21cn.com/tousu/show/id/1372881")</f>
      </c>
      <c r="G1179" t="s" s="2">
        <v>17</v>
      </c>
      <c r="H1179" t="s" s="2">
        <v>19</v>
      </c>
      <c r="I1179" t="s" s="2">
        <v>4649</v>
      </c>
      <c r="J1179" t="s" s="2">
        <v>4650</v>
      </c>
      <c r="K1179" t="s" s="2">
        <v>22</v>
      </c>
      <c r="L1179" t="s" s="2">
        <v>22</v>
      </c>
      <c r="M1179" t="s" s="2">
        <v>22</v>
      </c>
    </row>
    <row r="1180" ht="25.0" customHeight="true">
      <c r="A1180" t="s" s="2">
        <v>13</v>
      </c>
      <c r="B1180" t="s" s="2">
        <f>HYPERLINK("http://ts.21cn.com/tousu/show/id/1372880","兴业银行开卡自动扣搜狐视频年费")</f>
      </c>
      <c r="C1180" t="s" s="2">
        <v>15</v>
      </c>
      <c r="D1180" t="s" s="2">
        <v>16</v>
      </c>
      <c r="E1180" t="s" s="2">
        <v>17</v>
      </c>
      <c r="F1180" t="s" s="2">
        <f>HYPERLINK("http://ts.21cn.com/tousu/show/id/1372880","http://ts.21cn.com/tousu/show/id/1372880")</f>
      </c>
      <c r="G1180" t="s" s="2">
        <v>17</v>
      </c>
      <c r="H1180" t="s" s="2">
        <v>19</v>
      </c>
      <c r="I1180" t="s" s="2">
        <v>4653</v>
      </c>
      <c r="J1180" t="s" s="2">
        <v>4654</v>
      </c>
      <c r="K1180" t="s" s="2">
        <v>22</v>
      </c>
      <c r="L1180" t="s" s="2">
        <v>22</v>
      </c>
      <c r="M1180" t="s" s="2">
        <v>22</v>
      </c>
    </row>
    <row r="1181" ht="25.0" customHeight="true">
      <c r="A1181" t="s" s="2">
        <v>13</v>
      </c>
      <c r="B1181" t="s" s="2">
        <f>HYPERLINK("http://ts.21cn.com/tousu/show/id/1372878","闪银联系不到客服")</f>
      </c>
      <c r="C1181" t="s" s="2">
        <v>15</v>
      </c>
      <c r="D1181" t="s" s="2">
        <v>16</v>
      </c>
      <c r="E1181" t="s" s="2">
        <v>17</v>
      </c>
      <c r="F1181" t="s" s="2">
        <f>HYPERLINK("http://ts.21cn.com/tousu/show/id/1372878","http://ts.21cn.com/tousu/show/id/1372878")</f>
      </c>
      <c r="G1181" t="s" s="2">
        <v>17</v>
      </c>
      <c r="H1181" t="s" s="2">
        <v>19</v>
      </c>
      <c r="I1181" t="s" s="2">
        <v>4657</v>
      </c>
      <c r="J1181" t="s" s="2">
        <v>4658</v>
      </c>
      <c r="K1181" t="s" s="2">
        <v>22</v>
      </c>
      <c r="L1181" t="s" s="2">
        <v>22</v>
      </c>
      <c r="M1181" t="s" s="2">
        <v>22</v>
      </c>
    </row>
    <row r="1182" ht="25.0" customHeight="true">
      <c r="A1182" t="s" s="2">
        <v>13</v>
      </c>
      <c r="B1182" t="s" s="2">
        <f>HYPERLINK("http://ts.21cn.com/tousu/show/id/1372877","钱站高利贷阴阳合同")</f>
      </c>
      <c r="C1182" t="s" s="2">
        <v>15</v>
      </c>
      <c r="D1182" t="s" s="2">
        <v>16</v>
      </c>
      <c r="E1182" t="s" s="2">
        <v>17</v>
      </c>
      <c r="F1182" t="s" s="2">
        <f>HYPERLINK("http://ts.21cn.com/tousu/show/id/1372877","http://ts.21cn.com/tousu/show/id/1372877")</f>
      </c>
      <c r="G1182" t="s" s="2">
        <v>17</v>
      </c>
      <c r="H1182" t="s" s="2">
        <v>19</v>
      </c>
      <c r="I1182" t="s" s="2">
        <v>4660</v>
      </c>
      <c r="J1182" t="s" s="2">
        <v>4661</v>
      </c>
      <c r="K1182" t="s" s="2">
        <v>22</v>
      </c>
      <c r="L1182" t="s" s="2">
        <v>22</v>
      </c>
      <c r="M1182" t="s" s="2">
        <v>22</v>
      </c>
    </row>
    <row r="1183" ht="25.0" customHeight="true">
      <c r="A1183" t="s" s="2">
        <v>13</v>
      </c>
      <c r="B1183" t="s" s="2">
        <f>HYPERLINK("http://ts.21cn.com/tousu/show/id/1372874","腾讯支付")</f>
      </c>
      <c r="C1183" t="s" s="2">
        <v>52</v>
      </c>
      <c r="D1183" t="s" s="2">
        <v>16</v>
      </c>
      <c r="E1183" t="s" s="2">
        <v>17</v>
      </c>
      <c r="F1183" t="s" s="2">
        <f>HYPERLINK("http://ts.21cn.com/tousu/show/id/1372874","http://ts.21cn.com/tousu/show/id/1372874")</f>
      </c>
      <c r="G1183" t="s" s="2">
        <v>17</v>
      </c>
      <c r="H1183" t="s" s="2">
        <v>19</v>
      </c>
      <c r="I1183" t="s" s="2">
        <v>4664</v>
      </c>
      <c r="J1183" t="s" s="2">
        <v>4665</v>
      </c>
      <c r="K1183" t="s" s="2">
        <v>22</v>
      </c>
      <c r="L1183" t="s" s="2">
        <v>22</v>
      </c>
      <c r="M1183" t="s" s="2">
        <v>22</v>
      </c>
    </row>
    <row r="1184" ht="25.0" customHeight="true">
      <c r="A1184" t="s" s="2">
        <v>13</v>
      </c>
      <c r="B1184" t="s" s="2">
        <f>HYPERLINK("http://ts.21cn.com/tousu/show/id/1372872","无故扣费")</f>
      </c>
      <c r="C1184" t="s" s="2">
        <v>15</v>
      </c>
      <c r="D1184" t="s" s="2">
        <v>16</v>
      </c>
      <c r="E1184" t="s" s="2">
        <v>17</v>
      </c>
      <c r="F1184" t="s" s="2">
        <f>HYPERLINK("http://ts.21cn.com/tousu/show/id/1372872","http://ts.21cn.com/tousu/show/id/1372872")</f>
      </c>
      <c r="G1184" t="s" s="2">
        <v>17</v>
      </c>
      <c r="H1184" t="s" s="2">
        <v>19</v>
      </c>
      <c r="I1184" t="s" s="2">
        <v>4668</v>
      </c>
      <c r="J1184" t="s" s="2">
        <v>4669</v>
      </c>
      <c r="K1184" t="s" s="2">
        <v>22</v>
      </c>
      <c r="L1184" t="s" s="2">
        <v>22</v>
      </c>
      <c r="M1184" t="s" s="2">
        <v>22</v>
      </c>
    </row>
    <row r="1185" ht="25.0" customHeight="true">
      <c r="A1185" t="s" s="2">
        <v>13</v>
      </c>
      <c r="B1185" t="s" s="2">
        <f>HYPERLINK("http://ts.21cn.com/tousu/show/id/1372871","波克扑鱼里的小游戏涉嫌赌博太坑消费者")</f>
      </c>
      <c r="C1185" t="s" s="2">
        <v>15</v>
      </c>
      <c r="D1185" t="s" s="2">
        <v>16</v>
      </c>
      <c r="E1185" t="s" s="2">
        <v>17</v>
      </c>
      <c r="F1185" t="s" s="2">
        <f>HYPERLINK("http://ts.21cn.com/tousu/show/id/1372871","http://ts.21cn.com/tousu/show/id/1372871")</f>
      </c>
      <c r="G1185" t="s" s="2">
        <v>17</v>
      </c>
      <c r="H1185" t="s" s="2">
        <v>19</v>
      </c>
      <c r="I1185" t="s" s="2">
        <v>4672</v>
      </c>
      <c r="J1185" t="s" s="2">
        <v>4673</v>
      </c>
      <c r="K1185" t="s" s="2">
        <v>22</v>
      </c>
      <c r="L1185" t="s" s="2">
        <v>22</v>
      </c>
      <c r="M1185" t="s" s="2">
        <v>22</v>
      </c>
    </row>
    <row r="1186" ht="25.0" customHeight="true">
      <c r="A1186" t="s" s="2">
        <v>13</v>
      </c>
      <c r="B1186" t="s" s="2">
        <f>HYPERLINK("http://ts.21cn.com/tousu/show/id/1372870","瀚银支付提供不正当平台支付渠道")</f>
      </c>
      <c r="C1186" t="s" s="2">
        <v>15</v>
      </c>
      <c r="D1186" t="s" s="2">
        <v>16</v>
      </c>
      <c r="E1186" t="s" s="2">
        <v>17</v>
      </c>
      <c r="F1186" t="s" s="2">
        <f>HYPERLINK("http://ts.21cn.com/tousu/show/id/1372870","http://ts.21cn.com/tousu/show/id/1372870")</f>
      </c>
      <c r="G1186" t="s" s="2">
        <v>17</v>
      </c>
      <c r="H1186" t="s" s="2">
        <v>19</v>
      </c>
      <c r="I1186" t="s" s="2">
        <v>4676</v>
      </c>
      <c r="J1186" t="s" s="2">
        <v>4677</v>
      </c>
      <c r="K1186" t="s" s="2">
        <v>22</v>
      </c>
      <c r="L1186" t="s" s="2">
        <v>22</v>
      </c>
      <c r="M1186" t="s" s="2">
        <v>22</v>
      </c>
    </row>
    <row r="1187" ht="25.0" customHeight="true">
      <c r="A1187" t="s" s="2">
        <v>13</v>
      </c>
      <c r="B1187" t="s" s="2">
        <f>HYPERLINK("http://ts.21cn.com/tousu/show/id/1372869","钱站还款乱扣费")</f>
      </c>
      <c r="C1187" t="s" s="2">
        <v>15</v>
      </c>
      <c r="D1187" t="s" s="2">
        <v>16</v>
      </c>
      <c r="E1187" t="s" s="2">
        <v>17</v>
      </c>
      <c r="F1187" t="s" s="2">
        <f>HYPERLINK("http://ts.21cn.com/tousu/show/id/1372869","http://ts.21cn.com/tousu/show/id/1372869")</f>
      </c>
      <c r="G1187" t="s" s="2">
        <v>17</v>
      </c>
      <c r="H1187" t="s" s="2">
        <v>19</v>
      </c>
      <c r="I1187" t="s" s="2">
        <v>4680</v>
      </c>
      <c r="J1187" t="s" s="2">
        <v>4681</v>
      </c>
      <c r="K1187" t="s" s="2">
        <v>22</v>
      </c>
      <c r="L1187" t="s" s="2">
        <v>22</v>
      </c>
      <c r="M1187" t="s" s="2">
        <v>22</v>
      </c>
    </row>
    <row r="1188" ht="25.0" customHeight="true">
      <c r="A1188" t="s" s="2">
        <v>13</v>
      </c>
      <c r="B1188" t="s" s="2">
        <f>HYPERLINK("http://ts.21cn.com/tousu/show/id/1372868","美团无故扣押合作商家销售款，涉嫌非法侵占")</f>
      </c>
      <c r="C1188" t="s" s="2">
        <v>15</v>
      </c>
      <c r="D1188" t="s" s="2">
        <v>16</v>
      </c>
      <c r="E1188" t="s" s="2">
        <v>17</v>
      </c>
      <c r="F1188" t="s" s="2">
        <f>HYPERLINK("http://ts.21cn.com/tousu/show/id/1372868","http://ts.21cn.com/tousu/show/id/1372868")</f>
      </c>
      <c r="G1188" t="s" s="2">
        <v>17</v>
      </c>
      <c r="H1188" t="s" s="2">
        <v>19</v>
      </c>
      <c r="I1188" t="s" s="2">
        <v>4684</v>
      </c>
      <c r="J1188" t="s" s="2">
        <v>4685</v>
      </c>
      <c r="K1188" t="s" s="2">
        <v>22</v>
      </c>
      <c r="L1188" t="s" s="2">
        <v>22</v>
      </c>
      <c r="M1188" t="s" s="2">
        <v>22</v>
      </c>
    </row>
    <row r="1189" ht="25.0" customHeight="true">
      <c r="A1189" t="s" s="2">
        <v>13</v>
      </c>
      <c r="B1189" t="s" s="2">
        <f>HYPERLINK("http://ts.21cn.com/tousu/show/id/1372866","汇潮支付违规经营套路贷")</f>
      </c>
      <c r="C1189" t="s" s="2">
        <v>15</v>
      </c>
      <c r="D1189" t="s" s="2">
        <v>16</v>
      </c>
      <c r="E1189" t="s" s="2">
        <v>17</v>
      </c>
      <c r="F1189" t="s" s="2">
        <f>HYPERLINK("http://ts.21cn.com/tousu/show/id/1372866","http://ts.21cn.com/tousu/show/id/1372866")</f>
      </c>
      <c r="G1189" t="s" s="2">
        <v>17</v>
      </c>
      <c r="H1189" t="s" s="2">
        <v>19</v>
      </c>
      <c r="I1189" t="s" s="2">
        <v>4688</v>
      </c>
      <c r="J1189" t="s" s="2">
        <v>4689</v>
      </c>
      <c r="K1189" t="s" s="2">
        <v>22</v>
      </c>
      <c r="L1189" t="s" s="2">
        <v>22</v>
      </c>
      <c r="M1189" t="s" s="2">
        <v>22</v>
      </c>
    </row>
    <row r="1190" ht="25.0" customHeight="true">
      <c r="A1190" t="s" s="2">
        <v>13</v>
      </c>
      <c r="B1190" t="s" s="2">
        <f>HYPERLINK("http://ts.21cn.com/tousu/show/id/1372865","汇聚支付违规经营套路贷")</f>
      </c>
      <c r="C1190" t="s" s="2">
        <v>15</v>
      </c>
      <c r="D1190" t="s" s="2">
        <v>16</v>
      </c>
      <c r="E1190" t="s" s="2">
        <v>17</v>
      </c>
      <c r="F1190" t="s" s="2">
        <f>HYPERLINK("http://ts.21cn.com/tousu/show/id/1372865","http://ts.21cn.com/tousu/show/id/1372865")</f>
      </c>
      <c r="G1190" t="s" s="2">
        <v>17</v>
      </c>
      <c r="H1190" t="s" s="2">
        <v>19</v>
      </c>
      <c r="I1190" t="s" s="2">
        <v>4692</v>
      </c>
      <c r="J1190" t="s" s="2">
        <v>4693</v>
      </c>
      <c r="K1190" t="s" s="2">
        <v>22</v>
      </c>
      <c r="L1190" t="s" s="2">
        <v>22</v>
      </c>
      <c r="M1190" t="s" s="2">
        <v>22</v>
      </c>
    </row>
    <row r="1191" ht="25.0" customHeight="true">
      <c r="A1191" t="s" s="2">
        <v>13</v>
      </c>
      <c r="B1191" t="s" s="2">
        <f>HYPERLINK("http://ts.21cn.com/tousu/show/id/1372863","约单APP充值后不能提现")</f>
      </c>
      <c r="C1191" t="s" s="2">
        <v>15</v>
      </c>
      <c r="D1191" t="s" s="2">
        <v>16</v>
      </c>
      <c r="E1191" t="s" s="2">
        <v>17</v>
      </c>
      <c r="F1191" t="s" s="2">
        <f>HYPERLINK("http://ts.21cn.com/tousu/show/id/1372863","http://ts.21cn.com/tousu/show/id/1372863")</f>
      </c>
      <c r="G1191" t="s" s="2">
        <v>17</v>
      </c>
      <c r="H1191" t="s" s="2">
        <v>19</v>
      </c>
      <c r="I1191" t="s" s="2">
        <v>4696</v>
      </c>
      <c r="J1191" t="s" s="2">
        <v>4697</v>
      </c>
      <c r="K1191" t="s" s="2">
        <v>22</v>
      </c>
      <c r="L1191" t="s" s="2">
        <v>22</v>
      </c>
      <c r="M1191" t="s" s="2">
        <v>22</v>
      </c>
    </row>
    <row r="1192" ht="25.0" customHeight="true">
      <c r="A1192" t="s" s="2">
        <v>13</v>
      </c>
      <c r="B1192" t="s" s="2">
        <f>HYPERLINK("http://ts.21cn.com/tousu/show/id/1372862","对方没有了解的情况下冻结资金。")</f>
      </c>
      <c r="C1192" t="s" s="2">
        <v>52</v>
      </c>
      <c r="D1192" t="s" s="2">
        <v>16</v>
      </c>
      <c r="E1192" t="s" s="2">
        <v>17</v>
      </c>
      <c r="F1192" t="s" s="2">
        <f>HYPERLINK("http://ts.21cn.com/tousu/show/id/1372862","http://ts.21cn.com/tousu/show/id/1372862")</f>
      </c>
      <c r="G1192" t="s" s="2">
        <v>17</v>
      </c>
      <c r="H1192" t="s" s="2">
        <v>19</v>
      </c>
      <c r="I1192" t="s" s="2">
        <v>4700</v>
      </c>
      <c r="J1192" t="s" s="2">
        <v>4701</v>
      </c>
      <c r="K1192" t="s" s="2">
        <v>22</v>
      </c>
      <c r="L1192" t="s" s="2">
        <v>22</v>
      </c>
      <c r="M1192" t="s" s="2">
        <v>22</v>
      </c>
    </row>
    <row r="1193" ht="25.0" customHeight="true">
      <c r="A1193" t="s" s="2">
        <v>13</v>
      </c>
      <c r="B1193" t="s" s="2">
        <f>HYPERLINK("http://ts.21cn.com/tousu/show/id/1372849","阳光保险集团黑社会性质催收")</f>
      </c>
      <c r="C1193" t="s" s="2">
        <v>15</v>
      </c>
      <c r="D1193" t="s" s="2">
        <v>16</v>
      </c>
      <c r="E1193" t="s" s="2">
        <v>17</v>
      </c>
      <c r="F1193" t="s" s="2">
        <f>HYPERLINK("http://ts.21cn.com/tousu/show/id/1372849","http://ts.21cn.com/tousu/show/id/1372849")</f>
      </c>
      <c r="G1193" t="s" s="2">
        <v>17</v>
      </c>
      <c r="H1193" t="s" s="2">
        <v>19</v>
      </c>
      <c r="I1193" t="s" s="2">
        <v>4704</v>
      </c>
      <c r="J1193" t="s" s="2">
        <v>4705</v>
      </c>
      <c r="K1193" t="s" s="2">
        <v>22</v>
      </c>
      <c r="L1193" t="s" s="2">
        <v>22</v>
      </c>
      <c r="M1193" t="s" s="2">
        <v>22</v>
      </c>
    </row>
    <row r="1194" ht="25.0" customHeight="true">
      <c r="A1194" t="s" s="2">
        <v>13</v>
      </c>
      <c r="B1194" t="s" s="2">
        <f>HYPERLINK("http://ts.21cn.com/tousu/show/id/1372860","证通股份有限公司涉违规经营套路贷。")</f>
      </c>
      <c r="C1194" t="s" s="2">
        <v>15</v>
      </c>
      <c r="D1194" t="s" s="2">
        <v>16</v>
      </c>
      <c r="E1194" t="s" s="2">
        <v>17</v>
      </c>
      <c r="F1194" t="s" s="2">
        <f>HYPERLINK("http://ts.21cn.com/tousu/show/id/1372860","http://ts.21cn.com/tousu/show/id/1372860")</f>
      </c>
      <c r="G1194" t="s" s="2">
        <v>17</v>
      </c>
      <c r="H1194" t="s" s="2">
        <v>19</v>
      </c>
      <c r="I1194" t="s" s="2">
        <v>4708</v>
      </c>
      <c r="J1194" t="s" s="2">
        <v>4709</v>
      </c>
      <c r="K1194" t="s" s="2">
        <v>22</v>
      </c>
      <c r="L1194" t="s" s="2">
        <v>22</v>
      </c>
      <c r="M1194" t="s" s="2">
        <v>22</v>
      </c>
    </row>
    <row r="1195" ht="25.0" customHeight="true">
      <c r="A1195" t="s" s="2">
        <v>13</v>
      </c>
      <c r="B1195" t="s" s="2">
        <f>HYPERLINK("http://ts.21cn.com/tousu/show/id/1372859","无权无势被无视")</f>
      </c>
      <c r="C1195" t="s" s="2">
        <v>15</v>
      </c>
      <c r="D1195" t="s" s="2">
        <v>16</v>
      </c>
      <c r="E1195" t="s" s="2">
        <v>17</v>
      </c>
      <c r="F1195" t="s" s="2">
        <f>HYPERLINK("http://ts.21cn.com/tousu/show/id/1372859","http://ts.21cn.com/tousu/show/id/1372859")</f>
      </c>
      <c r="G1195" t="s" s="2">
        <v>17</v>
      </c>
      <c r="H1195" t="s" s="2">
        <v>19</v>
      </c>
      <c r="I1195" t="s" s="2">
        <v>4712</v>
      </c>
      <c r="J1195" t="s" s="2">
        <v>4713</v>
      </c>
      <c r="K1195" t="s" s="2">
        <v>22</v>
      </c>
      <c r="L1195" t="s" s="2">
        <v>22</v>
      </c>
      <c r="M1195" t="s" s="2">
        <v>22</v>
      </c>
    </row>
    <row r="1196" ht="25.0" customHeight="true">
      <c r="A1196" t="s" s="2">
        <v>13</v>
      </c>
      <c r="B1196" t="s" s="2">
        <f>HYPERLINK("http://ts.21cn.com/tousu/show/id/1372824","钱站高利贷阴阳合同")</f>
      </c>
      <c r="C1196" t="s" s="2">
        <v>15</v>
      </c>
      <c r="D1196" t="s" s="2">
        <v>16</v>
      </c>
      <c r="E1196" t="s" s="2">
        <v>17</v>
      </c>
      <c r="F1196" t="s" s="2">
        <f>HYPERLINK("http://ts.21cn.com/tousu/show/id/1372824","http://ts.21cn.com/tousu/show/id/1372824")</f>
      </c>
      <c r="G1196" t="s" s="2">
        <v>17</v>
      </c>
      <c r="H1196" t="s" s="2">
        <v>19</v>
      </c>
      <c r="I1196" t="s" s="2">
        <v>4715</v>
      </c>
      <c r="J1196" t="s" s="2">
        <v>4716</v>
      </c>
      <c r="K1196" t="s" s="2">
        <v>22</v>
      </c>
      <c r="L1196" t="s" s="2">
        <v>22</v>
      </c>
      <c r="M1196" t="s" s="2">
        <v>22</v>
      </c>
    </row>
    <row r="1197" ht="25.0" customHeight="true">
      <c r="A1197" t="s" s="2">
        <v>13</v>
      </c>
      <c r="B1197" t="s" s="2">
        <f>HYPERLINK("http://ts.21cn.com/tousu/show/id/1372858","宜人万花道歉")</f>
      </c>
      <c r="C1197" t="s" s="2">
        <v>15</v>
      </c>
      <c r="D1197" t="s" s="2">
        <v>16</v>
      </c>
      <c r="E1197" t="s" s="2">
        <v>17</v>
      </c>
      <c r="F1197" t="s" s="2">
        <f>HYPERLINK("http://ts.21cn.com/tousu/show/id/1372858","http://ts.21cn.com/tousu/show/id/1372858")</f>
      </c>
      <c r="G1197" t="s" s="2">
        <v>17</v>
      </c>
      <c r="H1197" t="s" s="2">
        <v>19</v>
      </c>
      <c r="I1197" t="s" s="2">
        <v>4719</v>
      </c>
      <c r="J1197" t="s" s="2">
        <v>4720</v>
      </c>
      <c r="K1197" t="s" s="2">
        <v>22</v>
      </c>
      <c r="L1197" t="s" s="2">
        <v>22</v>
      </c>
      <c r="M1197" t="s" s="2">
        <v>22</v>
      </c>
    </row>
    <row r="1198" ht="25.0" customHeight="true">
      <c r="A1198" t="s" s="2">
        <v>13</v>
      </c>
      <c r="B1198" t="s" s="2">
        <f>HYPERLINK("http://ts.21cn.com/tousu/show/id/1372855","刷卡2天了一直到账不了，客服电话全天没有人接")</f>
      </c>
      <c r="C1198" t="s" s="2">
        <v>15</v>
      </c>
      <c r="D1198" t="s" s="2">
        <v>16</v>
      </c>
      <c r="E1198" t="s" s="2">
        <v>17</v>
      </c>
      <c r="F1198" t="s" s="2">
        <f>HYPERLINK("http://ts.21cn.com/tousu/show/id/1372855","http://ts.21cn.com/tousu/show/id/1372855")</f>
      </c>
      <c r="G1198" t="s" s="2">
        <v>17</v>
      </c>
      <c r="H1198" t="s" s="2">
        <v>19</v>
      </c>
      <c r="I1198" t="s" s="2">
        <v>4723</v>
      </c>
      <c r="J1198" t="s" s="2">
        <v>4724</v>
      </c>
      <c r="K1198" t="s" s="2">
        <v>22</v>
      </c>
      <c r="L1198" t="s" s="2">
        <v>22</v>
      </c>
      <c r="M1198" t="s" s="2">
        <v>22</v>
      </c>
    </row>
    <row r="1199" ht="25.0" customHeight="true">
      <c r="A1199" t="s" s="2">
        <v>13</v>
      </c>
      <c r="B1199" t="s" s="2">
        <f>HYPERLINK("http://ts.21cn.com/tousu/show/id/1372854","请停止发信息给我家里人以及朋友")</f>
      </c>
      <c r="C1199" t="s" s="2">
        <v>15</v>
      </c>
      <c r="D1199" t="s" s="2">
        <v>16</v>
      </c>
      <c r="E1199" t="s" s="2">
        <v>17</v>
      </c>
      <c r="F1199" t="s" s="2">
        <f>HYPERLINK("http://ts.21cn.com/tousu/show/id/1372854","http://ts.21cn.com/tousu/show/id/1372854")</f>
      </c>
      <c r="G1199" t="s" s="2">
        <v>17</v>
      </c>
      <c r="H1199" t="s" s="2">
        <v>19</v>
      </c>
      <c r="I1199" t="s" s="2">
        <v>4727</v>
      </c>
      <c r="J1199" t="s" s="2">
        <v>4728</v>
      </c>
      <c r="K1199" t="s" s="2">
        <v>22</v>
      </c>
      <c r="L1199" t="s" s="2">
        <v>22</v>
      </c>
      <c r="M1199" t="s" s="2">
        <v>22</v>
      </c>
    </row>
    <row r="1200" ht="25.0" customHeight="true">
      <c r="A1200" t="s" s="2">
        <v>13</v>
      </c>
      <c r="B1200" t="s" s="2">
        <f>HYPERLINK("http://ts.21cn.com/tousu/show/id/1372853","百度有钱花暴力催收")</f>
      </c>
      <c r="C1200" t="s" s="2">
        <v>15</v>
      </c>
      <c r="D1200" t="s" s="2">
        <v>16</v>
      </c>
      <c r="E1200" t="s" s="2">
        <v>17</v>
      </c>
      <c r="F1200" t="s" s="2">
        <f>HYPERLINK("http://ts.21cn.com/tousu/show/id/1372853","http://ts.21cn.com/tousu/show/id/1372853")</f>
      </c>
      <c r="G1200" t="s" s="2">
        <v>17</v>
      </c>
      <c r="H1200" t="s" s="2">
        <v>19</v>
      </c>
      <c r="I1200" t="s" s="2">
        <v>4731</v>
      </c>
      <c r="J1200" t="s" s="2">
        <v>4732</v>
      </c>
      <c r="K1200" t="s" s="2">
        <v>22</v>
      </c>
      <c r="L1200" t="s" s="2">
        <v>22</v>
      </c>
      <c r="M1200" t="s" s="2">
        <v>22</v>
      </c>
    </row>
    <row r="1201" ht="25.0" customHeight="true">
      <c r="A1201" t="s" s="2">
        <v>13</v>
      </c>
      <c r="B1201" t="s" s="2">
        <f>HYPERLINK("http://ts.21cn.com/tousu/show/id/1372852","闪银变相砍头息借1100到账800")</f>
      </c>
      <c r="C1201" t="s" s="2">
        <v>15</v>
      </c>
      <c r="D1201" t="s" s="2">
        <v>16</v>
      </c>
      <c r="E1201" t="s" s="2">
        <v>17</v>
      </c>
      <c r="F1201" t="s" s="2">
        <f>HYPERLINK("http://ts.21cn.com/tousu/show/id/1372852","http://ts.21cn.com/tousu/show/id/1372852")</f>
      </c>
      <c r="G1201" t="s" s="2">
        <v>17</v>
      </c>
      <c r="H1201" t="s" s="2">
        <v>19</v>
      </c>
      <c r="I1201" t="s" s="2">
        <v>4735</v>
      </c>
      <c r="J1201" t="s" s="2">
        <v>4736</v>
      </c>
      <c r="K1201" t="s" s="2">
        <v>22</v>
      </c>
      <c r="L1201" t="s" s="2">
        <v>22</v>
      </c>
      <c r="M1201" t="s" s="2">
        <v>22</v>
      </c>
    </row>
    <row r="1202" ht="25.0" customHeight="true">
      <c r="A1202" t="s" s="2">
        <v>13</v>
      </c>
      <c r="B1202" t="s" s="2">
        <f>HYPERLINK("http://ts.21cn.com/tousu/show/id/1372851","宝付支付违规为套路贷公司提供支付渠道，扣取我银行卡内资金")</f>
      </c>
      <c r="C1202" t="s" s="2">
        <v>15</v>
      </c>
      <c r="D1202" t="s" s="2">
        <v>16</v>
      </c>
      <c r="E1202" t="s" s="2">
        <v>17</v>
      </c>
      <c r="F1202" t="s" s="2">
        <f>HYPERLINK("http://ts.21cn.com/tousu/show/id/1372851","http://ts.21cn.com/tousu/show/id/1372851")</f>
      </c>
      <c r="G1202" t="s" s="2">
        <v>17</v>
      </c>
      <c r="H1202" t="s" s="2">
        <v>19</v>
      </c>
      <c r="I1202" t="s" s="2">
        <v>4739</v>
      </c>
      <c r="J1202" t="s" s="2">
        <v>4740</v>
      </c>
      <c r="K1202" t="s" s="2">
        <v>22</v>
      </c>
      <c r="L1202" t="s" s="2">
        <v>22</v>
      </c>
      <c r="M1202" t="s" s="2">
        <v>22</v>
      </c>
    </row>
    <row r="1203" ht="25.0" customHeight="true">
      <c r="A1203" t="s" s="2">
        <v>13</v>
      </c>
      <c r="B1203" t="s" s="2">
        <f>HYPERLINK("http://ts.21cn.com/tousu/show/id/1372850","小花钱包上门催收问题")</f>
      </c>
      <c r="C1203" t="s" s="2">
        <v>15</v>
      </c>
      <c r="D1203" t="s" s="2">
        <v>16</v>
      </c>
      <c r="E1203" t="s" s="2">
        <v>17</v>
      </c>
      <c r="F1203" t="s" s="2">
        <f>HYPERLINK("http://ts.21cn.com/tousu/show/id/1372850","http://ts.21cn.com/tousu/show/id/1372850")</f>
      </c>
      <c r="G1203" t="s" s="2">
        <v>17</v>
      </c>
      <c r="H1203" t="s" s="2">
        <v>19</v>
      </c>
      <c r="I1203" t="s" s="2">
        <v>4743</v>
      </c>
      <c r="J1203" t="s" s="2">
        <v>4744</v>
      </c>
      <c r="K1203" t="s" s="2">
        <v>22</v>
      </c>
      <c r="L1203" t="s" s="2">
        <v>22</v>
      </c>
      <c r="M1203" t="s" s="2">
        <v>22</v>
      </c>
    </row>
    <row r="1204" ht="25.0" customHeight="true">
      <c r="A1204" t="s" s="2">
        <v>13</v>
      </c>
      <c r="B1204" t="s" s="2">
        <f>HYPERLINK("http://ts.21cn.com/tousu/show/id/1372848","本元商城买东西反现不到帐")</f>
      </c>
      <c r="C1204" t="s" s="2">
        <v>52</v>
      </c>
      <c r="D1204" t="s" s="2">
        <v>16</v>
      </c>
      <c r="E1204" t="s" s="2">
        <v>17</v>
      </c>
      <c r="F1204" t="s" s="2">
        <f>HYPERLINK("http://ts.21cn.com/tousu/show/id/1372848","http://ts.21cn.com/tousu/show/id/1372848")</f>
      </c>
      <c r="G1204" t="s" s="2">
        <v>17</v>
      </c>
      <c r="H1204" t="s" s="2">
        <v>19</v>
      </c>
      <c r="I1204" t="s" s="2">
        <v>4747</v>
      </c>
      <c r="J1204" t="s" s="2">
        <v>4748</v>
      </c>
      <c r="K1204" t="s" s="2">
        <v>22</v>
      </c>
      <c r="L1204" t="s" s="2">
        <v>22</v>
      </c>
      <c r="M1204" t="s" s="2">
        <v>22</v>
      </c>
    </row>
    <row r="1205" ht="25.0" customHeight="true">
      <c r="A1205" t="s" s="2">
        <v>13</v>
      </c>
      <c r="B1205" t="s" s="2">
        <f>HYPERLINK("http://ts.21cn.com/tousu/show/id/1372847","多宝分期app高息借贷")</f>
      </c>
      <c r="C1205" t="s" s="2">
        <v>15</v>
      </c>
      <c r="D1205" t="s" s="2">
        <v>16</v>
      </c>
      <c r="E1205" t="s" s="2">
        <v>17</v>
      </c>
      <c r="F1205" t="s" s="2">
        <f>HYPERLINK("http://ts.21cn.com/tousu/show/id/1372847","http://ts.21cn.com/tousu/show/id/1372847")</f>
      </c>
      <c r="G1205" t="s" s="2">
        <v>17</v>
      </c>
      <c r="H1205" t="s" s="2">
        <v>19</v>
      </c>
      <c r="I1205" t="s" s="2">
        <v>4751</v>
      </c>
      <c r="J1205" t="s" s="2">
        <v>4752</v>
      </c>
      <c r="K1205" t="s" s="2">
        <v>22</v>
      </c>
      <c r="L1205" t="s" s="2">
        <v>22</v>
      </c>
      <c r="M1205" t="s" s="2">
        <v>22</v>
      </c>
    </row>
    <row r="1206" ht="25.0" customHeight="true">
      <c r="A1206" t="s" s="2">
        <v>13</v>
      </c>
      <c r="B1206" t="s" s="2">
        <f>HYPERLINK("http://ts.21cn.com/tousu/show/id/1372829","处处APP涉嫌欺诈，诱导用户套取资金")</f>
      </c>
      <c r="C1206" t="s" s="2">
        <v>15</v>
      </c>
      <c r="D1206" t="s" s="2">
        <v>16</v>
      </c>
      <c r="E1206" t="s" s="2">
        <v>17</v>
      </c>
      <c r="F1206" t="s" s="2">
        <f>HYPERLINK("http://ts.21cn.com/tousu/show/id/1372829","http://ts.21cn.com/tousu/show/id/1372829")</f>
      </c>
      <c r="G1206" t="s" s="2">
        <v>17</v>
      </c>
      <c r="H1206" t="s" s="2">
        <v>19</v>
      </c>
      <c r="I1206" t="s" s="2">
        <v>4755</v>
      </c>
      <c r="J1206" t="s" s="2">
        <v>4756</v>
      </c>
      <c r="K1206" t="s" s="2">
        <v>22</v>
      </c>
      <c r="L1206" t="s" s="2">
        <v>22</v>
      </c>
      <c r="M1206" t="s" s="2">
        <v>22</v>
      </c>
    </row>
    <row r="1207" ht="25.0" customHeight="true">
      <c r="A1207" t="s" s="2">
        <v>13</v>
      </c>
      <c r="B1207" t="s" s="2">
        <f>HYPERLINK("http://ts.21cn.com/tousu/show/id/1372846","我自己花钱买的手机号凭啥被你绑定？")</f>
      </c>
      <c r="C1207" t="s" s="2">
        <v>15</v>
      </c>
      <c r="D1207" t="s" s="2">
        <v>16</v>
      </c>
      <c r="E1207" t="s" s="2">
        <v>17</v>
      </c>
      <c r="F1207" t="s" s="2">
        <f>HYPERLINK("http://ts.21cn.com/tousu/show/id/1372846","http://ts.21cn.com/tousu/show/id/1372846")</f>
      </c>
      <c r="G1207" t="s" s="2">
        <v>17</v>
      </c>
      <c r="H1207" t="s" s="2">
        <v>19</v>
      </c>
      <c r="I1207" t="s" s="2">
        <v>4759</v>
      </c>
      <c r="J1207" t="s" s="2">
        <v>4760</v>
      </c>
      <c r="K1207" t="s" s="2">
        <v>22</v>
      </c>
      <c r="L1207" t="s" s="2">
        <v>22</v>
      </c>
      <c r="M1207" t="s" s="2">
        <v>22</v>
      </c>
    </row>
    <row r="1208" ht="25.0" customHeight="true">
      <c r="A1208" t="s" s="2">
        <v>13</v>
      </c>
      <c r="B1208" t="s" s="2">
        <f>HYPERLINK("http://ts.21cn.com/tousu/show/id/1372842","中国银联股份有限公司广州分公司违规扣刷本人银行卡资金")</f>
      </c>
      <c r="C1208" t="s" s="2">
        <v>15</v>
      </c>
      <c r="D1208" t="s" s="2">
        <v>16</v>
      </c>
      <c r="E1208" t="s" s="2">
        <v>17</v>
      </c>
      <c r="F1208" t="s" s="2">
        <f>HYPERLINK("http://ts.21cn.com/tousu/show/id/1372842","http://ts.21cn.com/tousu/show/id/1372842")</f>
      </c>
      <c r="G1208" t="s" s="2">
        <v>17</v>
      </c>
      <c r="H1208" t="s" s="2">
        <v>19</v>
      </c>
      <c r="I1208" t="s" s="2">
        <v>4763</v>
      </c>
      <c r="J1208" t="s" s="2">
        <v>4764</v>
      </c>
      <c r="K1208" t="s" s="2">
        <v>22</v>
      </c>
      <c r="L1208" t="s" s="2">
        <v>22</v>
      </c>
      <c r="M1208" t="s" s="2">
        <v>22</v>
      </c>
    </row>
    <row r="1209" ht="25.0" customHeight="true">
      <c r="A1209" t="s" s="2">
        <v>13</v>
      </c>
      <c r="B1209" t="s" s="2">
        <f>HYPERLINK("http://ts.21cn.com/tousu/show/id/1049946","浦发银行信用卡暴力催收")</f>
      </c>
      <c r="C1209" t="s" s="2">
        <v>15</v>
      </c>
      <c r="D1209" t="s" s="2">
        <v>16</v>
      </c>
      <c r="E1209" t="s" s="2">
        <v>17</v>
      </c>
      <c r="F1209" t="s" s="2">
        <f>HYPERLINK("http://ts.21cn.com/tousu/show/id/1049946","http://ts.21cn.com/tousu/show/id/1049946")</f>
      </c>
      <c r="G1209" t="s" s="2">
        <v>17</v>
      </c>
      <c r="H1209" t="s" s="2">
        <v>19</v>
      </c>
      <c r="I1209" t="s" s="2">
        <v>4767</v>
      </c>
      <c r="J1209" t="s" s="2">
        <v>4768</v>
      </c>
      <c r="K1209" t="s" s="2">
        <v>22</v>
      </c>
      <c r="L1209" t="s" s="2">
        <v>22</v>
      </c>
      <c r="M1209" t="s" s="2">
        <v>22</v>
      </c>
    </row>
    <row r="1210" ht="25.0" customHeight="true">
      <c r="A1210" t="s" s="2">
        <v>13</v>
      </c>
      <c r="B1210" t="s" s="2">
        <f>HYPERLINK("http://ts.21cn.com/tousu/show/id/1372841","51人品涉嫌联合跨地域放贷")</f>
      </c>
      <c r="C1210" t="s" s="2">
        <v>15</v>
      </c>
      <c r="D1210" t="s" s="2">
        <v>16</v>
      </c>
      <c r="E1210" t="s" s="2">
        <v>17</v>
      </c>
      <c r="F1210" t="s" s="2">
        <f>HYPERLINK("http://ts.21cn.com/tousu/show/id/1372841","http://ts.21cn.com/tousu/show/id/1372841")</f>
      </c>
      <c r="G1210" t="s" s="2">
        <v>17</v>
      </c>
      <c r="H1210" t="s" s="2">
        <v>19</v>
      </c>
      <c r="I1210" t="s" s="2">
        <v>4771</v>
      </c>
      <c r="J1210" t="s" s="2">
        <v>4772</v>
      </c>
      <c r="K1210" t="s" s="2">
        <v>22</v>
      </c>
      <c r="L1210" t="s" s="2">
        <v>22</v>
      </c>
      <c r="M1210" t="s" s="2">
        <v>22</v>
      </c>
    </row>
    <row r="1211" ht="25.0" customHeight="true">
      <c r="A1211" t="s" s="2">
        <v>13</v>
      </c>
      <c r="B1211" t="s" s="2">
        <f>HYPERLINK("http://ts.21cn.com/tousu/show/id/1372840","利息太高，时间本来是一个月改成了十四天，没有人工客服解决这个问题，人工电话也打不通")</f>
      </c>
      <c r="C1211" t="s" s="2">
        <v>15</v>
      </c>
      <c r="D1211" t="s" s="2">
        <v>16</v>
      </c>
      <c r="E1211" t="s" s="2">
        <v>17</v>
      </c>
      <c r="F1211" t="s" s="2">
        <f>HYPERLINK("http://ts.21cn.com/tousu/show/id/1372840","http://ts.21cn.com/tousu/show/id/1372840")</f>
      </c>
      <c r="G1211" t="s" s="2">
        <v>17</v>
      </c>
      <c r="H1211" t="s" s="2">
        <v>19</v>
      </c>
      <c r="I1211" t="s" s="2">
        <v>4775</v>
      </c>
      <c r="J1211" t="s" s="2">
        <v>4776</v>
      </c>
      <c r="K1211" t="s" s="2">
        <v>22</v>
      </c>
      <c r="L1211" t="s" s="2">
        <v>22</v>
      </c>
      <c r="M1211" t="s" s="2">
        <v>22</v>
      </c>
    </row>
    <row r="1212" ht="25.0" customHeight="true">
      <c r="A1212" t="s" s="2">
        <v>13</v>
      </c>
      <c r="B1212" t="s" s="2">
        <f>HYPERLINK("http://ts.21cn.com/tousu/show/id/1372839","虚假服务信息一直让你充钱，没有提现入口")</f>
      </c>
      <c r="C1212" t="s" s="2">
        <v>15</v>
      </c>
      <c r="D1212" t="s" s="2">
        <v>16</v>
      </c>
      <c r="E1212" t="s" s="2">
        <v>17</v>
      </c>
      <c r="F1212" t="s" s="2">
        <f>HYPERLINK("http://ts.21cn.com/tousu/show/id/1372839","http://ts.21cn.com/tousu/show/id/1372839")</f>
      </c>
      <c r="G1212" t="s" s="2">
        <v>17</v>
      </c>
      <c r="H1212" t="s" s="2">
        <v>19</v>
      </c>
      <c r="I1212" t="s" s="2">
        <v>4779</v>
      </c>
      <c r="J1212" t="s" s="2">
        <v>4780</v>
      </c>
      <c r="K1212" t="s" s="2">
        <v>22</v>
      </c>
      <c r="L1212" t="s" s="2">
        <v>22</v>
      </c>
      <c r="M1212" t="s" s="2">
        <v>22</v>
      </c>
    </row>
    <row r="1213" ht="25.0" customHeight="true">
      <c r="A1213" t="s" s="2">
        <v>13</v>
      </c>
      <c r="B1213" t="s" s="2">
        <f>HYPERLINK("http://ts.21cn.com/tousu/show/id/1372838","玖富万卡故意扣款失败导致逾期")</f>
      </c>
      <c r="C1213" t="s" s="2">
        <v>15</v>
      </c>
      <c r="D1213" t="s" s="2">
        <v>16</v>
      </c>
      <c r="E1213" t="s" s="2">
        <v>17</v>
      </c>
      <c r="F1213" t="s" s="2">
        <f>HYPERLINK("http://ts.21cn.com/tousu/show/id/1372838","http://ts.21cn.com/tousu/show/id/1372838")</f>
      </c>
      <c r="G1213" t="s" s="2">
        <v>17</v>
      </c>
      <c r="H1213" t="s" s="2">
        <v>19</v>
      </c>
      <c r="I1213" t="s" s="2">
        <v>4783</v>
      </c>
      <c r="J1213" t="s" s="2">
        <v>4784</v>
      </c>
      <c r="K1213" t="s" s="2">
        <v>22</v>
      </c>
      <c r="L1213" t="s" s="2">
        <v>22</v>
      </c>
      <c r="M1213" t="s" s="2">
        <v>22</v>
      </c>
    </row>
    <row r="1214" ht="25.0" customHeight="true">
      <c r="A1214" t="s" s="2">
        <v>13</v>
      </c>
      <c r="B1214" t="s" s="2">
        <f>HYPERLINK("http://ts.21cn.com/tousu/show/id/1372837","无法提现")</f>
      </c>
      <c r="C1214" t="s" s="2">
        <v>15</v>
      </c>
      <c r="D1214" t="s" s="2">
        <v>16</v>
      </c>
      <c r="E1214" t="s" s="2">
        <v>17</v>
      </c>
      <c r="F1214" t="s" s="2">
        <f>HYPERLINK("http://ts.21cn.com/tousu/show/id/1372837","http://ts.21cn.com/tousu/show/id/1372837")</f>
      </c>
      <c r="G1214" t="s" s="2">
        <v>17</v>
      </c>
      <c r="H1214" t="s" s="2">
        <v>19</v>
      </c>
      <c r="I1214" t="s" s="2">
        <v>4787</v>
      </c>
      <c r="J1214" t="s" s="2">
        <v>4788</v>
      </c>
      <c r="K1214" t="s" s="2">
        <v>22</v>
      </c>
      <c r="L1214" t="s" s="2">
        <v>22</v>
      </c>
      <c r="M1214" t="s" s="2">
        <v>22</v>
      </c>
    </row>
    <row r="1215" ht="25.0" customHeight="true">
      <c r="A1215" t="s" s="2">
        <v>13</v>
      </c>
      <c r="B1215" t="s" s="2">
        <f>HYPERLINK("http://ts.21cn.com/tousu/show/id/1372836","宜人贷强制高利贷砍头息，强制收取咨询费及保障费")</f>
      </c>
      <c r="C1215" t="s" s="2">
        <v>15</v>
      </c>
      <c r="D1215" t="s" s="2">
        <v>16</v>
      </c>
      <c r="E1215" t="s" s="2">
        <v>17</v>
      </c>
      <c r="F1215" t="s" s="2">
        <f>HYPERLINK("http://ts.21cn.com/tousu/show/id/1372836","http://ts.21cn.com/tousu/show/id/1372836")</f>
      </c>
      <c r="G1215" t="s" s="2">
        <v>17</v>
      </c>
      <c r="H1215" t="s" s="2">
        <v>19</v>
      </c>
      <c r="I1215" t="s" s="2">
        <v>4791</v>
      </c>
      <c r="J1215" t="s" s="2">
        <v>4792</v>
      </c>
      <c r="K1215" t="s" s="2">
        <v>22</v>
      </c>
      <c r="L1215" t="s" s="2">
        <v>22</v>
      </c>
      <c r="M1215" t="s" s="2">
        <v>22</v>
      </c>
    </row>
    <row r="1216" ht="25.0" customHeight="true">
      <c r="A1216" t="s" s="2">
        <v>13</v>
      </c>
      <c r="B1216" t="s" s="2">
        <f>HYPERLINK("http://ts.21cn.com/tousu/show/id/1372835","飞花宝，虫虫快借是高利贷借款2000到账1300多")</f>
      </c>
      <c r="C1216" t="s" s="2">
        <v>15</v>
      </c>
      <c r="D1216" t="s" s="2">
        <v>16</v>
      </c>
      <c r="E1216" t="s" s="2">
        <v>17</v>
      </c>
      <c r="F1216" t="s" s="2">
        <f>HYPERLINK("http://ts.21cn.com/tousu/show/id/1372835","http://ts.21cn.com/tousu/show/id/1372835")</f>
      </c>
      <c r="G1216" t="s" s="2">
        <v>17</v>
      </c>
      <c r="H1216" t="s" s="2">
        <v>19</v>
      </c>
      <c r="I1216" t="s" s="2">
        <v>4795</v>
      </c>
      <c r="J1216" t="s" s="2">
        <v>4796</v>
      </c>
      <c r="K1216" t="s" s="2">
        <v>22</v>
      </c>
      <c r="L1216" t="s" s="2">
        <v>22</v>
      </c>
      <c r="M1216" t="s" s="2">
        <v>22</v>
      </c>
    </row>
    <row r="1217" ht="25.0" customHeight="true">
      <c r="A1217" t="s" s="2">
        <v>13</v>
      </c>
      <c r="B1217" t="s" s="2">
        <f>HYPERLINK("http://ts.21cn.com/tousu/show/id/1372833","和信砍头息，严重骚扰单位及个人")</f>
      </c>
      <c r="C1217" t="s" s="2">
        <v>15</v>
      </c>
      <c r="D1217" t="s" s="2">
        <v>16</v>
      </c>
      <c r="E1217" t="s" s="2">
        <v>17</v>
      </c>
      <c r="F1217" t="s" s="2">
        <f>HYPERLINK("http://ts.21cn.com/tousu/show/id/1372833","http://ts.21cn.com/tousu/show/id/1372833")</f>
      </c>
      <c r="G1217" t="s" s="2">
        <v>17</v>
      </c>
      <c r="H1217" t="s" s="2">
        <v>19</v>
      </c>
      <c r="I1217" t="s" s="2">
        <v>4799</v>
      </c>
      <c r="J1217" t="s" s="2">
        <v>4800</v>
      </c>
      <c r="K1217" t="s" s="2">
        <v>22</v>
      </c>
      <c r="L1217" t="s" s="2">
        <v>22</v>
      </c>
      <c r="M1217" t="s" s="2">
        <v>22</v>
      </c>
    </row>
    <row r="1218" ht="25.0" customHeight="true">
      <c r="A1218" t="s" s="2">
        <v>13</v>
      </c>
      <c r="B1218" t="s" s="2">
        <f>HYPERLINK("http://ts.21cn.com/tousu/show/id/1372832","合利宝违规为套路贷公司提供支付")</f>
      </c>
      <c r="C1218" t="s" s="2">
        <v>15</v>
      </c>
      <c r="D1218" t="s" s="2">
        <v>16</v>
      </c>
      <c r="E1218" t="s" s="2">
        <v>17</v>
      </c>
      <c r="F1218" t="s" s="2">
        <f>HYPERLINK("http://ts.21cn.com/tousu/show/id/1372832","http://ts.21cn.com/tousu/show/id/1372832")</f>
      </c>
      <c r="G1218" t="s" s="2">
        <v>17</v>
      </c>
      <c r="H1218" t="s" s="2">
        <v>19</v>
      </c>
      <c r="I1218" t="s" s="2">
        <v>4803</v>
      </c>
      <c r="J1218" t="s" s="2">
        <v>4804</v>
      </c>
      <c r="K1218" t="s" s="2">
        <v>22</v>
      </c>
      <c r="L1218" t="s" s="2">
        <v>22</v>
      </c>
      <c r="M1218" t="s" s="2">
        <v>22</v>
      </c>
    </row>
    <row r="1219" ht="25.0" customHeight="true">
      <c r="A1219" t="s" s="2">
        <v>13</v>
      </c>
      <c r="B1219" t="s" s="2">
        <f>HYPERLINK("http://ts.21cn.com/tousu/show/id/1372831","快闪卡贷砍头息")</f>
      </c>
      <c r="C1219" t="s" s="2">
        <v>15</v>
      </c>
      <c r="D1219" t="s" s="2">
        <v>16</v>
      </c>
      <c r="E1219" t="s" s="2">
        <v>17</v>
      </c>
      <c r="F1219" t="s" s="2">
        <f>HYPERLINK("http://ts.21cn.com/tousu/show/id/1372831","http://ts.21cn.com/tousu/show/id/1372831")</f>
      </c>
      <c r="G1219" t="s" s="2">
        <v>17</v>
      </c>
      <c r="H1219" t="s" s="2">
        <v>19</v>
      </c>
      <c r="I1219" t="s" s="2">
        <v>4807</v>
      </c>
      <c r="J1219" t="s" s="2">
        <v>4808</v>
      </c>
      <c r="K1219" t="s" s="2">
        <v>22</v>
      </c>
      <c r="L1219" t="s" s="2">
        <v>22</v>
      </c>
      <c r="M1219" t="s" s="2">
        <v>22</v>
      </c>
    </row>
    <row r="1220" ht="25.0" customHeight="true">
      <c r="A1220" t="s" s="2">
        <v>13</v>
      </c>
      <c r="B1220" t="s" s="2">
        <f>HYPERLINK("http://ts.21cn.com/tousu/show/id/1372830","已还清卡牛信用管家里的欠款，要注销卡，却一直遭到拒绝。")</f>
      </c>
      <c r="C1220" t="s" s="2">
        <v>15</v>
      </c>
      <c r="D1220" t="s" s="2">
        <v>16</v>
      </c>
      <c r="E1220" t="s" s="2">
        <v>17</v>
      </c>
      <c r="F1220" t="s" s="2">
        <f>HYPERLINK("http://ts.21cn.com/tousu/show/id/1372830","http://ts.21cn.com/tousu/show/id/1372830")</f>
      </c>
      <c r="G1220" t="s" s="2">
        <v>17</v>
      </c>
      <c r="H1220" t="s" s="2">
        <v>19</v>
      </c>
      <c r="I1220" t="s" s="2">
        <v>4811</v>
      </c>
      <c r="J1220" t="s" s="2">
        <v>4812</v>
      </c>
      <c r="K1220" t="s" s="2">
        <v>22</v>
      </c>
      <c r="L1220" t="s" s="2">
        <v>22</v>
      </c>
      <c r="M1220" t="s" s="2">
        <v>22</v>
      </c>
    </row>
    <row r="1221" ht="25.0" customHeight="true">
      <c r="A1221" t="s" s="2">
        <v>13</v>
      </c>
      <c r="B1221" t="s" s="2">
        <f>HYPERLINK("http://ts.21cn.com/tousu/show/id/1372828","移动，电信，联通")</f>
      </c>
      <c r="C1221" t="s" s="2">
        <v>15</v>
      </c>
      <c r="D1221" t="s" s="2">
        <v>16</v>
      </c>
      <c r="E1221" t="s" s="2">
        <v>17</v>
      </c>
      <c r="F1221" t="s" s="2">
        <f>HYPERLINK("http://ts.21cn.com/tousu/show/id/1372828","http://ts.21cn.com/tousu/show/id/1372828")</f>
      </c>
      <c r="G1221" t="s" s="2">
        <v>17</v>
      </c>
      <c r="H1221" t="s" s="2">
        <v>19</v>
      </c>
      <c r="I1221" t="s" s="2">
        <v>4815</v>
      </c>
      <c r="J1221" t="s" s="2">
        <v>4816</v>
      </c>
      <c r="K1221" t="s" s="2">
        <v>22</v>
      </c>
      <c r="L1221" t="s" s="2">
        <v>22</v>
      </c>
      <c r="M1221" t="s" s="2">
        <v>22</v>
      </c>
    </row>
    <row r="1222" ht="25.0" customHeight="true">
      <c r="A1222" t="s" s="2">
        <v>13</v>
      </c>
      <c r="B1222" t="s" s="2">
        <f>HYPERLINK("http://ts.21cn.com/tousu/show/id/1372827","拉卡拉Q码商户通，恶意冻结本人1405交易资金，不予结算")</f>
      </c>
      <c r="C1222" t="s" s="2">
        <v>15</v>
      </c>
      <c r="D1222" t="s" s="2">
        <v>16</v>
      </c>
      <c r="E1222" t="s" s="2">
        <v>17</v>
      </c>
      <c r="F1222" t="s" s="2">
        <f>HYPERLINK("http://ts.21cn.com/tousu/show/id/1372827","http://ts.21cn.com/tousu/show/id/1372827")</f>
      </c>
      <c r="G1222" t="s" s="2">
        <v>17</v>
      </c>
      <c r="H1222" t="s" s="2">
        <v>19</v>
      </c>
      <c r="I1222" t="s" s="2">
        <v>4819</v>
      </c>
      <c r="J1222" t="s" s="2">
        <v>4820</v>
      </c>
      <c r="K1222" t="s" s="2">
        <v>22</v>
      </c>
      <c r="L1222" t="s" s="2">
        <v>22</v>
      </c>
      <c r="M1222" t="s" s="2">
        <v>22</v>
      </c>
    </row>
    <row r="1223" ht="25.0" customHeight="true">
      <c r="A1223" t="s" s="2">
        <v>13</v>
      </c>
      <c r="B1223" t="s" s="2">
        <f>HYPERLINK("http://ts.21cn.com/tousu/show/id/1372826","深圳长鼎富网络金融科技有限公司违法放贷，收取砍头息")</f>
      </c>
      <c r="C1223" t="s" s="2">
        <v>15</v>
      </c>
      <c r="D1223" t="s" s="2">
        <v>16</v>
      </c>
      <c r="E1223" t="s" s="2">
        <v>17</v>
      </c>
      <c r="F1223" t="s" s="2">
        <f>HYPERLINK("http://ts.21cn.com/tousu/show/id/1372826","http://ts.21cn.com/tousu/show/id/1372826")</f>
      </c>
      <c r="G1223" t="s" s="2">
        <v>17</v>
      </c>
      <c r="H1223" t="s" s="2">
        <v>19</v>
      </c>
      <c r="I1223" t="s" s="2">
        <v>4823</v>
      </c>
      <c r="J1223" t="s" s="2">
        <v>4824</v>
      </c>
      <c r="K1223" t="s" s="2">
        <v>22</v>
      </c>
      <c r="L1223" t="s" s="2">
        <v>22</v>
      </c>
      <c r="M1223" t="s" s="2">
        <v>22</v>
      </c>
    </row>
    <row r="1224" ht="25.0" customHeight="true">
      <c r="A1224" t="s" s="2">
        <v>13</v>
      </c>
      <c r="B1224" t="s" s="2">
        <f>HYPERLINK("http://ts.21cn.com/tousu/show/id/1372825","来分期利息费奇高")</f>
      </c>
      <c r="C1224" t="s" s="2">
        <v>52</v>
      </c>
      <c r="D1224" t="s" s="2">
        <v>16</v>
      </c>
      <c r="E1224" t="s" s="2">
        <v>17</v>
      </c>
      <c r="F1224" t="s" s="2">
        <f>HYPERLINK("http://ts.21cn.com/tousu/show/id/1372825","http://ts.21cn.com/tousu/show/id/1372825")</f>
      </c>
      <c r="G1224" t="s" s="2">
        <v>17</v>
      </c>
      <c r="H1224" t="s" s="2">
        <v>19</v>
      </c>
      <c r="I1224" t="s" s="2">
        <v>4827</v>
      </c>
      <c r="J1224" t="s" s="2">
        <v>4828</v>
      </c>
      <c r="K1224" t="s" s="2">
        <v>22</v>
      </c>
      <c r="L1224" t="s" s="2">
        <v>22</v>
      </c>
      <c r="M1224" t="s" s="2">
        <v>22</v>
      </c>
    </row>
    <row r="1225" ht="25.0" customHeight="true">
      <c r="A1225" t="s" s="2">
        <v>13</v>
      </c>
      <c r="B1225" t="s" s="2">
        <f>HYPERLINK("http://ts.21cn.com/tousu/show/id/1372822","拍拍贷爆通讯录，催收冒充交通银行")</f>
      </c>
      <c r="C1225" t="s" s="2">
        <v>15</v>
      </c>
      <c r="D1225" t="s" s="2">
        <v>16</v>
      </c>
      <c r="E1225" t="s" s="2">
        <v>17</v>
      </c>
      <c r="F1225" t="s" s="2">
        <f>HYPERLINK("http://ts.21cn.com/tousu/show/id/1372822","http://ts.21cn.com/tousu/show/id/1372822")</f>
      </c>
      <c r="G1225" t="s" s="2">
        <v>17</v>
      </c>
      <c r="H1225" t="s" s="2">
        <v>19</v>
      </c>
      <c r="I1225" t="s" s="2">
        <v>4831</v>
      </c>
      <c r="J1225" t="s" s="2">
        <v>4832</v>
      </c>
      <c r="K1225" t="s" s="2">
        <v>22</v>
      </c>
      <c r="L1225" t="s" s="2">
        <v>22</v>
      </c>
      <c r="M1225" t="s" s="2">
        <v>22</v>
      </c>
    </row>
    <row r="1226" ht="25.0" customHeight="true">
      <c r="A1226" t="s" s="2">
        <v>13</v>
      </c>
      <c r="B1226" t="s" s="2">
        <f>HYPERLINK("http://ts.21cn.com/tousu/show/id/1372821","还款未销帐，多扣走一期还款金额")</f>
      </c>
      <c r="C1226" t="s" s="2">
        <v>15</v>
      </c>
      <c r="D1226" t="s" s="2">
        <v>16</v>
      </c>
      <c r="E1226" t="s" s="2">
        <v>17</v>
      </c>
      <c r="F1226" t="s" s="2">
        <f>HYPERLINK("http://ts.21cn.com/tousu/show/id/1372821","http://ts.21cn.com/tousu/show/id/1372821")</f>
      </c>
      <c r="G1226" t="s" s="2">
        <v>17</v>
      </c>
      <c r="H1226" t="s" s="2">
        <v>19</v>
      </c>
      <c r="I1226" t="s" s="2">
        <v>4835</v>
      </c>
      <c r="J1226" t="s" s="2">
        <v>4836</v>
      </c>
      <c r="K1226" t="s" s="2">
        <v>22</v>
      </c>
      <c r="L1226" t="s" s="2">
        <v>22</v>
      </c>
      <c r="M1226" t="s" s="2">
        <v>22</v>
      </c>
    </row>
    <row r="1227" ht="25.0" customHeight="true">
      <c r="A1227" t="s" s="2">
        <v>13</v>
      </c>
      <c r="B1227" t="s" s="2">
        <f>HYPERLINK("http://ts.21cn.com/tousu/show/id/1372820","重复扣款")</f>
      </c>
      <c r="C1227" t="s" s="2">
        <v>15</v>
      </c>
      <c r="D1227" t="s" s="2">
        <v>16</v>
      </c>
      <c r="E1227" t="s" s="2">
        <v>17</v>
      </c>
      <c r="F1227" t="s" s="2">
        <f>HYPERLINK("http://ts.21cn.com/tousu/show/id/1372820","http://ts.21cn.com/tousu/show/id/1372820")</f>
      </c>
      <c r="G1227" t="s" s="2">
        <v>17</v>
      </c>
      <c r="H1227" t="s" s="2">
        <v>19</v>
      </c>
      <c r="I1227" t="s" s="2">
        <v>4839</v>
      </c>
      <c r="J1227" t="s" s="2">
        <v>4840</v>
      </c>
      <c r="K1227" t="s" s="2">
        <v>22</v>
      </c>
      <c r="L1227" t="s" s="2">
        <v>22</v>
      </c>
      <c r="M1227" t="s" s="2">
        <v>22</v>
      </c>
    </row>
    <row r="1228" ht="25.0" customHeight="true">
      <c r="A1228" t="s" s="2">
        <v>13</v>
      </c>
      <c r="B1228" t="s" s="2">
        <f>HYPERLINK("http://ts.21cn.com/tousu/show/id/1372818","钱伴催收威胁")</f>
      </c>
      <c r="C1228" t="s" s="2">
        <v>15</v>
      </c>
      <c r="D1228" t="s" s="2">
        <v>16</v>
      </c>
      <c r="E1228" t="s" s="2">
        <v>17</v>
      </c>
      <c r="F1228" t="s" s="2">
        <f>HYPERLINK("http://ts.21cn.com/tousu/show/id/1372818","http://ts.21cn.com/tousu/show/id/1372818")</f>
      </c>
      <c r="G1228" t="s" s="2">
        <v>17</v>
      </c>
      <c r="H1228" t="s" s="2">
        <v>19</v>
      </c>
      <c r="I1228" t="s" s="2">
        <v>4843</v>
      </c>
      <c r="J1228" t="s" s="2">
        <v>4844</v>
      </c>
      <c r="K1228" t="s" s="2">
        <v>22</v>
      </c>
      <c r="L1228" t="s" s="2">
        <v>22</v>
      </c>
      <c r="M1228" t="s" s="2">
        <v>22</v>
      </c>
    </row>
    <row r="1229" ht="25.0" customHeight="true">
      <c r="A1229" t="s" s="2">
        <v>13</v>
      </c>
      <c r="B1229" t="s" s="2">
        <f>HYPERLINK("http://ts.21cn.com/tousu/show/id/1372817","投诉安亿花app，退回欺诈的198元钱。")</f>
      </c>
      <c r="C1229" t="s" s="2">
        <v>15</v>
      </c>
      <c r="D1229" t="s" s="2">
        <v>16</v>
      </c>
      <c r="E1229" t="s" s="2">
        <v>17</v>
      </c>
      <c r="F1229" t="s" s="2">
        <f>HYPERLINK("http://ts.21cn.com/tousu/show/id/1372817","http://ts.21cn.com/tousu/show/id/1372817")</f>
      </c>
      <c r="G1229" t="s" s="2">
        <v>17</v>
      </c>
      <c r="H1229" t="s" s="2">
        <v>19</v>
      </c>
      <c r="I1229" t="s" s="2">
        <v>4847</v>
      </c>
      <c r="J1229" t="s" s="2">
        <v>4848</v>
      </c>
      <c r="K1229" t="s" s="2">
        <v>22</v>
      </c>
      <c r="L1229" t="s" s="2">
        <v>22</v>
      </c>
      <c r="M1229" t="s" s="2">
        <v>22</v>
      </c>
    </row>
    <row r="1230" ht="25.0" customHeight="true">
      <c r="A1230" t="s" s="2">
        <v>13</v>
      </c>
      <c r="B1230" t="s" s="2">
        <f>HYPERLINK("http://ts.21cn.com/tousu/show/id/1372816","捷信高利贷")</f>
      </c>
      <c r="C1230" t="s" s="2">
        <v>15</v>
      </c>
      <c r="D1230" t="s" s="2">
        <v>16</v>
      </c>
      <c r="E1230" t="s" s="2">
        <v>17</v>
      </c>
      <c r="F1230" t="s" s="2">
        <f>HYPERLINK("http://ts.21cn.com/tousu/show/id/1372816","http://ts.21cn.com/tousu/show/id/1372816")</f>
      </c>
      <c r="G1230" t="s" s="2">
        <v>17</v>
      </c>
      <c r="H1230" t="s" s="2">
        <v>19</v>
      </c>
      <c r="I1230" t="s" s="2">
        <v>4850</v>
      </c>
      <c r="J1230" t="s" s="2">
        <v>4851</v>
      </c>
      <c r="K1230" t="s" s="2">
        <v>22</v>
      </c>
      <c r="L1230" t="s" s="2">
        <v>22</v>
      </c>
      <c r="M1230" t="s" s="2">
        <v>22</v>
      </c>
    </row>
    <row r="1231" ht="25.0" customHeight="true">
      <c r="A1231" t="s" s="2">
        <v>13</v>
      </c>
      <c r="B1231" t="s" s="2">
        <f>HYPERLINK("http://ts.21cn.com/tousu/show/id/1372815","正合普惠恶意催收强制结清威胁恐吓拨打联系人曝通迅录")</f>
      </c>
      <c r="C1231" t="s" s="2">
        <v>15</v>
      </c>
      <c r="D1231" t="s" s="2">
        <v>16</v>
      </c>
      <c r="E1231" t="s" s="2">
        <v>17</v>
      </c>
      <c r="F1231" t="s" s="2">
        <f>HYPERLINK("http://ts.21cn.com/tousu/show/id/1372815","http://ts.21cn.com/tousu/show/id/1372815")</f>
      </c>
      <c r="G1231" t="s" s="2">
        <v>17</v>
      </c>
      <c r="H1231" t="s" s="2">
        <v>19</v>
      </c>
      <c r="I1231" t="s" s="2">
        <v>4854</v>
      </c>
      <c r="J1231" t="s" s="2">
        <v>4855</v>
      </c>
      <c r="K1231" t="s" s="2">
        <v>22</v>
      </c>
      <c r="L1231" t="s" s="2">
        <v>22</v>
      </c>
      <c r="M1231" t="s" s="2">
        <v>22</v>
      </c>
    </row>
    <row r="1232" ht="25.0" customHeight="true">
      <c r="A1232" t="s" s="2">
        <v>13</v>
      </c>
      <c r="B1232" t="s" s="2">
        <f>HYPERLINK("http://ts.21cn.com/tousu/show/id/1372814","网贷催收")</f>
      </c>
      <c r="C1232" t="s" s="2">
        <v>15</v>
      </c>
      <c r="D1232" t="s" s="2">
        <v>16</v>
      </c>
      <c r="E1232" t="s" s="2">
        <v>17</v>
      </c>
      <c r="F1232" t="s" s="2">
        <f>HYPERLINK("http://ts.21cn.com/tousu/show/id/1372814","http://ts.21cn.com/tousu/show/id/1372814")</f>
      </c>
      <c r="G1232" t="s" s="2">
        <v>17</v>
      </c>
      <c r="H1232" t="s" s="2">
        <v>19</v>
      </c>
      <c r="I1232" t="s" s="2">
        <v>4857</v>
      </c>
      <c r="J1232" t="s" s="2">
        <v>4858</v>
      </c>
      <c r="K1232" t="s" s="2">
        <v>22</v>
      </c>
      <c r="L1232" t="s" s="2">
        <v>22</v>
      </c>
      <c r="M1232" t="s" s="2">
        <v>22</v>
      </c>
    </row>
    <row r="1233" ht="25.0" customHeight="true">
      <c r="A1233" t="s" s="2">
        <v>13</v>
      </c>
      <c r="B1233" t="s" s="2">
        <f>HYPERLINK("http://ts.21cn.com/tousu/show/id/1372813","暴力催收")</f>
      </c>
      <c r="C1233" t="s" s="2">
        <v>15</v>
      </c>
      <c r="D1233" t="s" s="2">
        <v>16</v>
      </c>
      <c r="E1233" t="s" s="2">
        <v>17</v>
      </c>
      <c r="F1233" t="s" s="2">
        <f>HYPERLINK("http://ts.21cn.com/tousu/show/id/1372813","http://ts.21cn.com/tousu/show/id/1372813")</f>
      </c>
      <c r="G1233" t="s" s="2">
        <v>17</v>
      </c>
      <c r="H1233" t="s" s="2">
        <v>19</v>
      </c>
      <c r="I1233" t="s" s="2">
        <v>4860</v>
      </c>
      <c r="J1233" t="s" s="2">
        <v>4861</v>
      </c>
      <c r="K1233" t="s" s="2">
        <v>22</v>
      </c>
      <c r="L1233" t="s" s="2">
        <v>22</v>
      </c>
      <c r="M1233" t="s" s="2">
        <v>22</v>
      </c>
    </row>
    <row r="1234" ht="25.0" customHeight="true">
      <c r="A1234" t="s" s="2">
        <v>13</v>
      </c>
      <c r="B1234" t="s" s="2">
        <f>HYPERLINK("http://ts.21cn.com/tousu/show/id/1372812","畅快车贷强行偷车")</f>
      </c>
      <c r="C1234" t="s" s="2">
        <v>15</v>
      </c>
      <c r="D1234" t="s" s="2">
        <v>16</v>
      </c>
      <c r="E1234" t="s" s="2">
        <v>17</v>
      </c>
      <c r="F1234" t="s" s="2">
        <f>HYPERLINK("http://ts.21cn.com/tousu/show/id/1372812","http://ts.21cn.com/tousu/show/id/1372812")</f>
      </c>
      <c r="G1234" t="s" s="2">
        <v>17</v>
      </c>
      <c r="H1234" t="s" s="2">
        <v>19</v>
      </c>
      <c r="I1234" t="s" s="2">
        <v>4864</v>
      </c>
      <c r="J1234" t="s" s="2">
        <v>4865</v>
      </c>
      <c r="K1234" t="s" s="2">
        <v>22</v>
      </c>
      <c r="L1234" t="s" s="2">
        <v>22</v>
      </c>
      <c r="M1234" t="s" s="2">
        <v>22</v>
      </c>
    </row>
    <row r="1235" ht="25.0" customHeight="true">
      <c r="A1235" t="s" s="2">
        <v>13</v>
      </c>
      <c r="B1235" t="s" s="2">
        <f>HYPERLINK("http://ts.21cn.com/tousu/show/id/1372811","支付宝单方面冻结资金")</f>
      </c>
      <c r="C1235" t="s" s="2">
        <v>15</v>
      </c>
      <c r="D1235" t="s" s="2">
        <v>16</v>
      </c>
      <c r="E1235" t="s" s="2">
        <v>17</v>
      </c>
      <c r="F1235" t="s" s="2">
        <f>HYPERLINK("http://ts.21cn.com/tousu/show/id/1372811","http://ts.21cn.com/tousu/show/id/1372811")</f>
      </c>
      <c r="G1235" t="s" s="2">
        <v>17</v>
      </c>
      <c r="H1235" t="s" s="2">
        <v>19</v>
      </c>
      <c r="I1235" t="s" s="2">
        <v>4868</v>
      </c>
      <c r="J1235" t="s" s="2">
        <v>4869</v>
      </c>
      <c r="K1235" t="s" s="2">
        <v>22</v>
      </c>
      <c r="L1235" t="s" s="2">
        <v>22</v>
      </c>
      <c r="M1235" t="s" s="2">
        <v>22</v>
      </c>
    </row>
    <row r="1236" ht="25.0" customHeight="true">
      <c r="A1236" t="s" s="2">
        <v>13</v>
      </c>
      <c r="B1236" t="s" s="2">
        <f>HYPERLINK("http://ts.21cn.com/tousu/show/id/1372810","京东金融乱扣费，私自转走我的钱")</f>
      </c>
      <c r="C1236" t="s" s="2">
        <v>15</v>
      </c>
      <c r="D1236" t="s" s="2">
        <v>16</v>
      </c>
      <c r="E1236" t="s" s="2">
        <v>17</v>
      </c>
      <c r="F1236" t="s" s="2">
        <f>HYPERLINK("http://ts.21cn.com/tousu/show/id/1372810","http://ts.21cn.com/tousu/show/id/1372810")</f>
      </c>
      <c r="G1236" t="s" s="2">
        <v>17</v>
      </c>
      <c r="H1236" t="s" s="2">
        <v>19</v>
      </c>
      <c r="I1236" t="s" s="2">
        <v>4872</v>
      </c>
      <c r="J1236" t="s" s="2">
        <v>4873</v>
      </c>
      <c r="K1236" t="s" s="2">
        <v>22</v>
      </c>
      <c r="L1236" t="s" s="2">
        <v>22</v>
      </c>
      <c r="M1236" t="s" s="2">
        <v>22</v>
      </c>
    </row>
    <row r="1237" ht="25.0" customHeight="true">
      <c r="A1237" t="s" s="2">
        <v>13</v>
      </c>
      <c r="B1237" t="s" s="2">
        <f>HYPERLINK("http://ts.21cn.com/tousu/show/id/1372809","长期不退押金")</f>
      </c>
      <c r="C1237" t="s" s="2">
        <v>15</v>
      </c>
      <c r="D1237" t="s" s="2">
        <v>16</v>
      </c>
      <c r="E1237" t="s" s="2">
        <v>17</v>
      </c>
      <c r="F1237" t="s" s="2">
        <f>HYPERLINK("http://ts.21cn.com/tousu/show/id/1372809","http://ts.21cn.com/tousu/show/id/1372809")</f>
      </c>
      <c r="G1237" t="s" s="2">
        <v>17</v>
      </c>
      <c r="H1237" t="s" s="2">
        <v>19</v>
      </c>
      <c r="I1237" t="s" s="2">
        <v>4876</v>
      </c>
      <c r="J1237" t="s" s="2">
        <v>4877</v>
      </c>
      <c r="K1237" t="s" s="2">
        <v>22</v>
      </c>
      <c r="L1237" t="s" s="2">
        <v>22</v>
      </c>
      <c r="M1237" t="s" s="2">
        <v>22</v>
      </c>
    </row>
    <row r="1238" ht="25.0" customHeight="true">
      <c r="A1238" t="s" s="2">
        <v>13</v>
      </c>
      <c r="B1238" t="s" s="2">
        <f>HYPERLINK("http://ts.21cn.com/tousu/show/id/1372808","兑现广告价格并赔偿损失")</f>
      </c>
      <c r="C1238" t="s" s="2">
        <v>15</v>
      </c>
      <c r="D1238" t="s" s="2">
        <v>16</v>
      </c>
      <c r="E1238" t="s" s="2">
        <v>17</v>
      </c>
      <c r="F1238" t="s" s="2">
        <f>HYPERLINK("http://ts.21cn.com/tousu/show/id/1372808","http://ts.21cn.com/tousu/show/id/1372808")</f>
      </c>
      <c r="G1238" t="s" s="2">
        <v>17</v>
      </c>
      <c r="H1238" t="s" s="2">
        <v>19</v>
      </c>
      <c r="I1238" t="s" s="2">
        <v>4880</v>
      </c>
      <c r="J1238" t="s" s="2">
        <v>4881</v>
      </c>
      <c r="K1238" t="s" s="2">
        <v>22</v>
      </c>
      <c r="L1238" t="s" s="2">
        <v>22</v>
      </c>
      <c r="M1238" t="s" s="2">
        <v>22</v>
      </c>
    </row>
    <row r="1239" ht="25.0" customHeight="true">
      <c r="A1239" t="s" s="2">
        <v>13</v>
      </c>
      <c r="B1239" t="s" s="2">
        <f>HYPERLINK("http://ts.21cn.com/tousu/show/id/1372807","中融创融胡乱扣费")</f>
      </c>
      <c r="C1239" t="s" s="2">
        <v>15</v>
      </c>
      <c r="D1239" t="s" s="2">
        <v>16</v>
      </c>
      <c r="E1239" t="s" s="2">
        <v>17</v>
      </c>
      <c r="F1239" t="s" s="2">
        <f>HYPERLINK("http://ts.21cn.com/tousu/show/id/1372807","http://ts.21cn.com/tousu/show/id/1372807")</f>
      </c>
      <c r="G1239" t="s" s="2">
        <v>17</v>
      </c>
      <c r="H1239" t="s" s="2">
        <v>19</v>
      </c>
      <c r="I1239" t="s" s="2">
        <v>4884</v>
      </c>
      <c r="J1239" t="s" s="2">
        <v>4885</v>
      </c>
      <c r="K1239" t="s" s="2">
        <v>22</v>
      </c>
      <c r="L1239" t="s" s="2">
        <v>22</v>
      </c>
      <c r="M1239" t="s" s="2">
        <v>22</v>
      </c>
    </row>
    <row r="1240" ht="25.0" customHeight="true">
      <c r="A1240" t="s" s="2">
        <v>13</v>
      </c>
      <c r="B1240" t="s" s="2">
        <f>HYPERLINK("http://ts.21cn.com/tousu/show/id/1372805","支付1元，实际支付198元")</f>
      </c>
      <c r="C1240" t="s" s="2">
        <v>15</v>
      </c>
      <c r="D1240" t="s" s="2">
        <v>16</v>
      </c>
      <c r="E1240" t="s" s="2">
        <v>17</v>
      </c>
      <c r="F1240" t="s" s="2">
        <f>HYPERLINK("http://ts.21cn.com/tousu/show/id/1372805","http://ts.21cn.com/tousu/show/id/1372805")</f>
      </c>
      <c r="G1240" t="s" s="2">
        <v>17</v>
      </c>
      <c r="H1240" t="s" s="2">
        <v>19</v>
      </c>
      <c r="I1240" t="s" s="2">
        <v>4888</v>
      </c>
      <c r="J1240" t="s" s="2">
        <v>4889</v>
      </c>
      <c r="K1240" t="s" s="2">
        <v>22</v>
      </c>
      <c r="L1240" t="s" s="2">
        <v>22</v>
      </c>
      <c r="M1240" t="s" s="2">
        <v>22</v>
      </c>
    </row>
    <row r="1241" ht="25.0" customHeight="true">
      <c r="A1241" t="s" s="2">
        <v>13</v>
      </c>
      <c r="B1241" t="s" s="2">
        <f>HYPERLINK("http://ts.21cn.com/tousu/show/id/1372804","钱站混淆概念，高利贷，高砍头息")</f>
      </c>
      <c r="C1241" t="s" s="2">
        <v>15</v>
      </c>
      <c r="D1241" t="s" s="2">
        <v>16</v>
      </c>
      <c r="E1241" t="s" s="2">
        <v>17</v>
      </c>
      <c r="F1241" t="s" s="2">
        <f>HYPERLINK("http://ts.21cn.com/tousu/show/id/1372804","http://ts.21cn.com/tousu/show/id/1372804")</f>
      </c>
      <c r="G1241" t="s" s="2">
        <v>17</v>
      </c>
      <c r="H1241" t="s" s="2">
        <v>19</v>
      </c>
      <c r="I1241" t="s" s="2">
        <v>4892</v>
      </c>
      <c r="J1241" t="s" s="2">
        <v>4893</v>
      </c>
      <c r="K1241" t="s" s="2">
        <v>22</v>
      </c>
      <c r="L1241" t="s" s="2">
        <v>22</v>
      </c>
      <c r="M1241" t="s" s="2">
        <v>22</v>
      </c>
    </row>
    <row r="1242" ht="25.0" customHeight="true">
      <c r="A1242" t="s" s="2">
        <v>13</v>
      </c>
      <c r="B1242" t="s" s="2">
        <f>HYPERLINK("http://ts.21cn.com/tousu/show/id/1372806","该平台是违规网贷平台，现无法登陆还款")</f>
      </c>
      <c r="C1242" t="s" s="2">
        <v>15</v>
      </c>
      <c r="D1242" t="s" s="2">
        <v>16</v>
      </c>
      <c r="E1242" t="s" s="2">
        <v>17</v>
      </c>
      <c r="F1242" t="s" s="2">
        <f>HYPERLINK("http://ts.21cn.com/tousu/show/id/1372806","http://ts.21cn.com/tousu/show/id/1372806")</f>
      </c>
      <c r="G1242" t="s" s="2">
        <v>17</v>
      </c>
      <c r="H1242" t="s" s="2">
        <v>19</v>
      </c>
      <c r="I1242" t="s" s="2">
        <v>4896</v>
      </c>
      <c r="J1242" t="s" s="2">
        <v>4897</v>
      </c>
      <c r="K1242" t="s" s="2">
        <v>22</v>
      </c>
      <c r="L1242" t="s" s="2">
        <v>22</v>
      </c>
      <c r="M1242" t="s" s="2">
        <v>22</v>
      </c>
    </row>
    <row r="1243" ht="25.0" customHeight="true">
      <c r="A1243" t="s" s="2">
        <v>13</v>
      </c>
      <c r="B1243" t="s" s="2">
        <f>HYPERLINK("http://ts.21cn.com/tousu/show/id/1372802","小闪分期高利贷暴力催收")</f>
      </c>
      <c r="C1243" t="s" s="2">
        <v>15</v>
      </c>
      <c r="D1243" t="s" s="2">
        <v>16</v>
      </c>
      <c r="E1243" t="s" s="2">
        <v>17</v>
      </c>
      <c r="F1243" t="s" s="2">
        <f>HYPERLINK("http://ts.21cn.com/tousu/show/id/1372802","http://ts.21cn.com/tousu/show/id/1372802")</f>
      </c>
      <c r="G1243" t="s" s="2">
        <v>17</v>
      </c>
      <c r="H1243" t="s" s="2">
        <v>19</v>
      </c>
      <c r="I1243" t="s" s="2">
        <v>4900</v>
      </c>
      <c r="J1243" t="s" s="2">
        <v>4901</v>
      </c>
      <c r="K1243" t="s" s="2">
        <v>22</v>
      </c>
      <c r="L1243" t="s" s="2">
        <v>22</v>
      </c>
      <c r="M1243" t="s" s="2">
        <v>22</v>
      </c>
    </row>
    <row r="1244" ht="25.0" customHeight="true">
      <c r="A1244" t="s" s="2">
        <v>13</v>
      </c>
      <c r="B1244" t="s" s="2">
        <f>HYPERLINK("http://ts.21cn.com/tousu/show/id/1372801","京东金条高利贷")</f>
      </c>
      <c r="C1244" t="s" s="2">
        <v>15</v>
      </c>
      <c r="D1244" t="s" s="2">
        <v>16</v>
      </c>
      <c r="E1244" t="s" s="2">
        <v>17</v>
      </c>
      <c r="F1244" t="s" s="2">
        <f>HYPERLINK("http://ts.21cn.com/tousu/show/id/1372801","http://ts.21cn.com/tousu/show/id/1372801")</f>
      </c>
      <c r="G1244" t="s" s="2">
        <v>17</v>
      </c>
      <c r="H1244" t="s" s="2">
        <v>19</v>
      </c>
      <c r="I1244" t="s" s="2">
        <v>4904</v>
      </c>
      <c r="J1244" t="s" s="2">
        <v>4905</v>
      </c>
      <c r="K1244" t="s" s="2">
        <v>22</v>
      </c>
      <c r="L1244" t="s" s="2">
        <v>22</v>
      </c>
      <c r="M1244" t="s" s="2">
        <v>22</v>
      </c>
    </row>
    <row r="1245" ht="25.0" customHeight="true">
      <c r="A1245" t="s" s="2">
        <v>13</v>
      </c>
      <c r="B1245" t="s" s="2">
        <f>HYPERLINK("http://ts.21cn.com/tousu/show/id/1370558","淘宝纵容黑心商家不退款")</f>
      </c>
      <c r="C1245" t="s" s="2">
        <v>15</v>
      </c>
      <c r="D1245" t="s" s="2">
        <v>16</v>
      </c>
      <c r="E1245" t="s" s="2">
        <v>17</v>
      </c>
      <c r="F1245" t="s" s="2">
        <f>HYPERLINK("http://ts.21cn.com/tousu/show/id/1370558","http://ts.21cn.com/tousu/show/id/1370558")</f>
      </c>
      <c r="G1245" t="s" s="2">
        <v>17</v>
      </c>
      <c r="H1245" t="s" s="2">
        <v>19</v>
      </c>
      <c r="I1245" t="s" s="2">
        <v>4908</v>
      </c>
      <c r="J1245" t="s" s="2">
        <v>4909</v>
      </c>
      <c r="K1245" t="s" s="2">
        <v>22</v>
      </c>
      <c r="L1245" t="s" s="2">
        <v>22</v>
      </c>
      <c r="M1245" t="s" s="2">
        <v>22</v>
      </c>
    </row>
    <row r="1246" ht="25.0" customHeight="true">
      <c r="A1246" t="s" s="2">
        <v>13</v>
      </c>
      <c r="B1246" t="s" s="2">
        <f>HYPERLINK("http://ts.21cn.com/tousu/show/id/1372800","淘集集退店不肯退保证金")</f>
      </c>
      <c r="C1246" t="s" s="2">
        <v>52</v>
      </c>
      <c r="D1246" t="s" s="2">
        <v>16</v>
      </c>
      <c r="E1246" t="s" s="2">
        <v>17</v>
      </c>
      <c r="F1246" t="s" s="2">
        <f>HYPERLINK("http://ts.21cn.com/tousu/show/id/1372800","http://ts.21cn.com/tousu/show/id/1372800")</f>
      </c>
      <c r="G1246" t="s" s="2">
        <v>17</v>
      </c>
      <c r="H1246" t="s" s="2">
        <v>19</v>
      </c>
      <c r="I1246" t="s" s="2">
        <v>4912</v>
      </c>
      <c r="J1246" t="s" s="2">
        <v>4913</v>
      </c>
      <c r="K1246" t="s" s="2">
        <v>22</v>
      </c>
      <c r="L1246" t="s" s="2">
        <v>22</v>
      </c>
      <c r="M1246" t="s" s="2">
        <v>22</v>
      </c>
    </row>
    <row r="1247" ht="25.0" customHeight="true">
      <c r="A1247" t="s" s="2">
        <v>13</v>
      </c>
      <c r="B1247" t="s" s="2">
        <f>HYPERLINK("http://ts.21cn.com/tousu/show/id/1372799","闪电借款。借钱需要买黑卡，说买了之后不行可以退钱，结果根本找不到退钱的口子，而且打客服电话从来也打不通")</f>
      </c>
      <c r="C1247" t="s" s="2">
        <v>15</v>
      </c>
      <c r="D1247" t="s" s="2">
        <v>16</v>
      </c>
      <c r="E1247" t="s" s="2">
        <v>17</v>
      </c>
      <c r="F1247" t="s" s="2">
        <f>HYPERLINK("http://ts.21cn.com/tousu/show/id/1372799","http://ts.21cn.com/tousu/show/id/1372799")</f>
      </c>
      <c r="G1247" t="s" s="2">
        <v>17</v>
      </c>
      <c r="H1247" t="s" s="2">
        <v>19</v>
      </c>
      <c r="I1247" t="s" s="2">
        <v>4916</v>
      </c>
      <c r="J1247" t="s" s="2">
        <v>4917</v>
      </c>
      <c r="K1247" t="s" s="2">
        <v>22</v>
      </c>
      <c r="L1247" t="s" s="2">
        <v>22</v>
      </c>
      <c r="M1247" t="s" s="2">
        <v>22</v>
      </c>
    </row>
    <row r="1248" ht="25.0" customHeight="true">
      <c r="A1248" t="s" s="2">
        <v>13</v>
      </c>
      <c r="B1248" t="s" s="2">
        <f>HYPERLINK("http://ts.21cn.com/tousu/show/id/1372797","深圳小牛普惠第三方暴力催收")</f>
      </c>
      <c r="C1248" t="s" s="2">
        <v>15</v>
      </c>
      <c r="D1248" t="s" s="2">
        <v>16</v>
      </c>
      <c r="E1248" t="s" s="2">
        <v>17</v>
      </c>
      <c r="F1248" t="s" s="2">
        <f>HYPERLINK("http://ts.21cn.com/tousu/show/id/1372797","http://ts.21cn.com/tousu/show/id/1372797")</f>
      </c>
      <c r="G1248" t="s" s="2">
        <v>17</v>
      </c>
      <c r="H1248" t="s" s="2">
        <v>19</v>
      </c>
      <c r="I1248" t="s" s="2">
        <v>4920</v>
      </c>
      <c r="J1248" t="s" s="2">
        <v>4921</v>
      </c>
      <c r="K1248" t="s" s="2">
        <v>22</v>
      </c>
      <c r="L1248" t="s" s="2">
        <v>22</v>
      </c>
      <c r="M1248" t="s" s="2">
        <v>22</v>
      </c>
    </row>
    <row r="1249" ht="25.0" customHeight="true">
      <c r="A1249" t="s" s="2">
        <v>13</v>
      </c>
      <c r="B1249" t="s" s="2">
        <f>HYPERLINK("http://ts.21cn.com/tousu/show/id/1372798","买家退货淘宝方已商品排查为理由同意买家退货并上马退款给买家")</f>
      </c>
      <c r="C1249" t="s" s="2">
        <v>15</v>
      </c>
      <c r="D1249" t="s" s="2">
        <v>16</v>
      </c>
      <c r="E1249" t="s" s="2">
        <v>17</v>
      </c>
      <c r="F1249" t="s" s="2">
        <f>HYPERLINK("http://ts.21cn.com/tousu/show/id/1372798","http://ts.21cn.com/tousu/show/id/1372798")</f>
      </c>
      <c r="G1249" t="s" s="2">
        <v>17</v>
      </c>
      <c r="H1249" t="s" s="2">
        <v>19</v>
      </c>
      <c r="I1249" t="s" s="2">
        <v>4924</v>
      </c>
      <c r="J1249" t="s" s="2">
        <v>4925</v>
      </c>
      <c r="K1249" t="s" s="2">
        <v>22</v>
      </c>
      <c r="L1249" t="s" s="2">
        <v>22</v>
      </c>
      <c r="M1249" t="s" s="2">
        <v>22</v>
      </c>
    </row>
    <row r="1250" ht="25.0" customHeight="true">
      <c r="A1250" t="s" s="2">
        <v>13</v>
      </c>
      <c r="B1250" t="s" s="2">
        <f>HYPERLINK("http://ts.21cn.com/tousu/show/id/1372796","合同金额152300元，实际到手100000元，要还180522")</f>
      </c>
      <c r="C1250" t="s" s="2">
        <v>15</v>
      </c>
      <c r="D1250" t="s" s="2">
        <v>16</v>
      </c>
      <c r="E1250" t="s" s="2">
        <v>17</v>
      </c>
      <c r="F1250" t="s" s="2">
        <f>HYPERLINK("http://ts.21cn.com/tousu/show/id/1372796","http://ts.21cn.com/tousu/show/id/1372796")</f>
      </c>
      <c r="G1250" t="s" s="2">
        <v>17</v>
      </c>
      <c r="H1250" t="s" s="2">
        <v>19</v>
      </c>
      <c r="I1250" t="s" s="2">
        <v>4928</v>
      </c>
      <c r="J1250" t="s" s="2">
        <v>4929</v>
      </c>
      <c r="K1250" t="s" s="2">
        <v>22</v>
      </c>
      <c r="L1250" t="s" s="2">
        <v>22</v>
      </c>
      <c r="M1250" t="s" s="2">
        <v>22</v>
      </c>
    </row>
    <row r="1251" ht="25.0" customHeight="true">
      <c r="A1251" t="s" s="2">
        <v>13</v>
      </c>
      <c r="B1251" t="s" s="2">
        <f>HYPERLINK("http://ts.21cn.com/tousu/show/id/1372795","财滚滚砍头息，高利贷")</f>
      </c>
      <c r="C1251" t="s" s="2">
        <v>15</v>
      </c>
      <c r="D1251" t="s" s="2">
        <v>16</v>
      </c>
      <c r="E1251" t="s" s="2">
        <v>17</v>
      </c>
      <c r="F1251" t="s" s="2">
        <f>HYPERLINK("http://ts.21cn.com/tousu/show/id/1372795","http://ts.21cn.com/tousu/show/id/1372795")</f>
      </c>
      <c r="G1251" t="s" s="2">
        <v>17</v>
      </c>
      <c r="H1251" t="s" s="2">
        <v>19</v>
      </c>
      <c r="I1251" t="s" s="2">
        <v>4932</v>
      </c>
      <c r="J1251" t="s" s="2">
        <v>4933</v>
      </c>
      <c r="K1251" t="s" s="2">
        <v>22</v>
      </c>
      <c r="L1251" t="s" s="2">
        <v>22</v>
      </c>
      <c r="M1251" t="s" s="2">
        <v>22</v>
      </c>
    </row>
    <row r="1252" ht="25.0" customHeight="true">
      <c r="A1252" t="s" s="2">
        <v>13</v>
      </c>
      <c r="B1252" t="s" s="2">
        <f>HYPERLINK("http://ts.21cn.com/tousu/show/id/1372793","立借套路贷款")</f>
      </c>
      <c r="C1252" t="s" s="2">
        <v>15</v>
      </c>
      <c r="D1252" t="s" s="2">
        <v>16</v>
      </c>
      <c r="E1252" t="s" s="2">
        <v>17</v>
      </c>
      <c r="F1252" t="s" s="2">
        <f>HYPERLINK("http://ts.21cn.com/tousu/show/id/1372793","http://ts.21cn.com/tousu/show/id/1372793")</f>
      </c>
      <c r="G1252" t="s" s="2">
        <v>17</v>
      </c>
      <c r="H1252" t="s" s="2">
        <v>19</v>
      </c>
      <c r="I1252" t="s" s="2">
        <v>4936</v>
      </c>
      <c r="J1252" t="s" s="2">
        <v>4937</v>
      </c>
      <c r="K1252" t="s" s="2">
        <v>22</v>
      </c>
      <c r="L1252" t="s" s="2">
        <v>22</v>
      </c>
      <c r="M1252" t="s" s="2">
        <v>22</v>
      </c>
    </row>
    <row r="1253" ht="25.0" customHeight="true">
      <c r="A1253" t="s" s="2">
        <v>13</v>
      </c>
      <c r="B1253" t="s" s="2">
        <f>HYPERLINK("http://ts.21cn.com/tousu/show/id/1372792","高价砍头息")</f>
      </c>
      <c r="C1253" t="s" s="2">
        <v>15</v>
      </c>
      <c r="D1253" t="s" s="2">
        <v>16</v>
      </c>
      <c r="E1253" t="s" s="2">
        <v>17</v>
      </c>
      <c r="F1253" t="s" s="2">
        <f>HYPERLINK("http://ts.21cn.com/tousu/show/id/1372792","http://ts.21cn.com/tousu/show/id/1372792")</f>
      </c>
      <c r="G1253" t="s" s="2">
        <v>17</v>
      </c>
      <c r="H1253" t="s" s="2">
        <v>19</v>
      </c>
      <c r="I1253" t="s" s="2">
        <v>4940</v>
      </c>
      <c r="J1253" t="s" s="2">
        <v>4941</v>
      </c>
      <c r="K1253" t="s" s="2">
        <v>22</v>
      </c>
      <c r="L1253" t="s" s="2">
        <v>22</v>
      </c>
      <c r="M1253" t="s" s="2">
        <v>22</v>
      </c>
    </row>
    <row r="1254" ht="25.0" customHeight="true">
      <c r="A1254" t="s" s="2">
        <v>13</v>
      </c>
      <c r="B1254" t="s" s="2">
        <f>HYPERLINK("http://ts.21cn.com/tousu/show/id/1372791","北京闪银奇异科技有限公司高利贷套路利息")</f>
      </c>
      <c r="C1254" t="s" s="2">
        <v>15</v>
      </c>
      <c r="D1254" t="s" s="2">
        <v>16</v>
      </c>
      <c r="E1254" t="s" s="2">
        <v>17</v>
      </c>
      <c r="F1254" t="s" s="2">
        <f>HYPERLINK("http://ts.21cn.com/tousu/show/id/1372791","http://ts.21cn.com/tousu/show/id/1372791")</f>
      </c>
      <c r="G1254" t="s" s="2">
        <v>17</v>
      </c>
      <c r="H1254" t="s" s="2">
        <v>19</v>
      </c>
      <c r="I1254" t="s" s="2">
        <v>4944</v>
      </c>
      <c r="J1254" t="s" s="2">
        <v>4945</v>
      </c>
      <c r="K1254" t="s" s="2">
        <v>22</v>
      </c>
      <c r="L1254" t="s" s="2">
        <v>22</v>
      </c>
      <c r="M1254" t="s" s="2">
        <v>22</v>
      </c>
    </row>
    <row r="1255" ht="25.0" customHeight="true">
      <c r="A1255" t="s" s="2">
        <v>13</v>
      </c>
      <c r="B1255" t="s" s="2">
        <f>HYPERLINK("http://ts.21cn.com/tousu/show/id/1372790","高利贷，非法")</f>
      </c>
      <c r="C1255" t="s" s="2">
        <v>15</v>
      </c>
      <c r="D1255" t="s" s="2">
        <v>16</v>
      </c>
      <c r="E1255" t="s" s="2">
        <v>17</v>
      </c>
      <c r="F1255" t="s" s="2">
        <f>HYPERLINK("http://ts.21cn.com/tousu/show/id/1372790","http://ts.21cn.com/tousu/show/id/1372790")</f>
      </c>
      <c r="G1255" t="s" s="2">
        <v>17</v>
      </c>
      <c r="H1255" t="s" s="2">
        <v>19</v>
      </c>
      <c r="I1255" t="s" s="2">
        <v>4948</v>
      </c>
      <c r="J1255" t="s" s="2">
        <v>4949</v>
      </c>
      <c r="K1255" t="s" s="2">
        <v>22</v>
      </c>
      <c r="L1255" t="s" s="2">
        <v>22</v>
      </c>
      <c r="M1255" t="s" s="2">
        <v>22</v>
      </c>
    </row>
    <row r="1256" ht="25.0" customHeight="true">
      <c r="A1256" t="s" s="2">
        <v>13</v>
      </c>
      <c r="B1256" t="s" s="2">
        <f>HYPERLINK("http://ts.21cn.com/tousu/show/id/1372789","变相高利贷，阴阳合同")</f>
      </c>
      <c r="C1256" t="s" s="2">
        <v>15</v>
      </c>
      <c r="D1256" t="s" s="2">
        <v>16</v>
      </c>
      <c r="E1256" t="s" s="2">
        <v>17</v>
      </c>
      <c r="F1256" t="s" s="2">
        <f>HYPERLINK("http://ts.21cn.com/tousu/show/id/1372789","http://ts.21cn.com/tousu/show/id/1372789")</f>
      </c>
      <c r="G1256" t="s" s="2">
        <v>17</v>
      </c>
      <c r="H1256" t="s" s="2">
        <v>19</v>
      </c>
      <c r="I1256" t="s" s="2">
        <v>4952</v>
      </c>
      <c r="J1256" t="s" s="2">
        <v>4953</v>
      </c>
      <c r="K1256" t="s" s="2">
        <v>22</v>
      </c>
      <c r="L1256" t="s" s="2">
        <v>22</v>
      </c>
      <c r="M1256" t="s" s="2">
        <v>22</v>
      </c>
    </row>
    <row r="1257" ht="25.0" customHeight="true">
      <c r="A1257" t="s" s="2">
        <v>13</v>
      </c>
      <c r="B1257" t="s" s="2">
        <f>HYPERLINK("http://ts.21cn.com/tousu/show/id/1372787","恶意催款，曝光通讯录，恶意骚扰本人亲朋好友")</f>
      </c>
      <c r="C1257" t="s" s="2">
        <v>15</v>
      </c>
      <c r="D1257" t="s" s="2">
        <v>16</v>
      </c>
      <c r="E1257" t="s" s="2">
        <v>17</v>
      </c>
      <c r="F1257" t="s" s="2">
        <f>HYPERLINK("http://ts.21cn.com/tousu/show/id/1372787","http://ts.21cn.com/tousu/show/id/1372787")</f>
      </c>
      <c r="G1257" t="s" s="2">
        <v>17</v>
      </c>
      <c r="H1257" t="s" s="2">
        <v>19</v>
      </c>
      <c r="I1257" t="s" s="2">
        <v>4956</v>
      </c>
      <c r="J1257" t="s" s="2">
        <v>4957</v>
      </c>
      <c r="K1257" t="s" s="2">
        <v>22</v>
      </c>
      <c r="L1257" t="s" s="2">
        <v>22</v>
      </c>
      <c r="M1257" t="s" s="2">
        <v>22</v>
      </c>
    </row>
    <row r="1258" ht="25.0" customHeight="true">
      <c r="A1258" t="s" s="2">
        <v>13</v>
      </c>
      <c r="B1258" t="s" s="2">
        <f>HYPERLINK("http://ts.21cn.com/tousu/show/id/1372786","智行未告知加速包费用情况下多扣了40")</f>
      </c>
      <c r="C1258" t="s" s="2">
        <v>52</v>
      </c>
      <c r="D1258" t="s" s="2">
        <v>16</v>
      </c>
      <c r="E1258" t="s" s="2">
        <v>17</v>
      </c>
      <c r="F1258" t="s" s="2">
        <f>HYPERLINK("http://ts.21cn.com/tousu/show/id/1372786","http://ts.21cn.com/tousu/show/id/1372786")</f>
      </c>
      <c r="G1258" t="s" s="2">
        <v>17</v>
      </c>
      <c r="H1258" t="s" s="2">
        <v>19</v>
      </c>
      <c r="I1258" t="s" s="2">
        <v>4960</v>
      </c>
      <c r="J1258" t="s" s="2">
        <v>4961</v>
      </c>
      <c r="K1258" t="s" s="2">
        <v>22</v>
      </c>
      <c r="L1258" t="s" s="2">
        <v>22</v>
      </c>
      <c r="M1258" t="s" s="2">
        <v>22</v>
      </c>
    </row>
    <row r="1259" ht="25.0" customHeight="true">
      <c r="A1259" t="s" s="2">
        <v>13</v>
      </c>
      <c r="B1259" t="s" s="2">
        <f>HYPERLINK("http://ts.21cn.com/tousu/show/id/1372785","高价砍头息")</f>
      </c>
      <c r="C1259" t="s" s="2">
        <v>15</v>
      </c>
      <c r="D1259" t="s" s="2">
        <v>16</v>
      </c>
      <c r="E1259" t="s" s="2">
        <v>17</v>
      </c>
      <c r="F1259" t="s" s="2">
        <f>HYPERLINK("http://ts.21cn.com/tousu/show/id/1372785","http://ts.21cn.com/tousu/show/id/1372785")</f>
      </c>
      <c r="G1259" t="s" s="2">
        <v>17</v>
      </c>
      <c r="H1259" t="s" s="2">
        <v>19</v>
      </c>
      <c r="I1259" t="s" s="2">
        <v>4963</v>
      </c>
      <c r="J1259" t="s" s="2">
        <v>4964</v>
      </c>
      <c r="K1259" t="s" s="2">
        <v>22</v>
      </c>
      <c r="L1259" t="s" s="2">
        <v>22</v>
      </c>
      <c r="M1259" t="s" s="2">
        <v>22</v>
      </c>
    </row>
    <row r="1260" ht="25.0" customHeight="true">
      <c r="A1260" t="s" s="2">
        <v>13</v>
      </c>
      <c r="B1260" t="s" s="2">
        <f>HYPERLINK("http://ts.21cn.com/tousu/show/id/1372784","浦发银行信用卡中心恶意骚扰")</f>
      </c>
      <c r="C1260" t="s" s="2">
        <v>15</v>
      </c>
      <c r="D1260" t="s" s="2">
        <v>16</v>
      </c>
      <c r="E1260" t="s" s="2">
        <v>17</v>
      </c>
      <c r="F1260" t="s" s="2">
        <f>HYPERLINK("http://ts.21cn.com/tousu/show/id/1372784","http://ts.21cn.com/tousu/show/id/1372784")</f>
      </c>
      <c r="G1260" t="s" s="2">
        <v>17</v>
      </c>
      <c r="H1260" t="s" s="2">
        <v>19</v>
      </c>
      <c r="I1260" t="s" s="2">
        <v>4967</v>
      </c>
      <c r="J1260" t="s" s="2">
        <v>4968</v>
      </c>
      <c r="K1260" t="s" s="2">
        <v>22</v>
      </c>
      <c r="L1260" t="s" s="2">
        <v>22</v>
      </c>
      <c r="M1260" t="s" s="2">
        <v>22</v>
      </c>
    </row>
    <row r="1261" ht="25.0" customHeight="true">
      <c r="A1261" t="s" s="2">
        <v>13</v>
      </c>
      <c r="B1261" t="s" s="2">
        <f>HYPERLINK("http://ts.21cn.com/tousu/show/id/1372783","浏览器看新闻时广告下载了app处处，然后出现一堆真真假假的推荐信息和主动找我联系得陌生人，怀疑都是处处软件虚构出来引诱用")</f>
      </c>
      <c r="C1261" t="s" s="2">
        <v>15</v>
      </c>
      <c r="D1261" t="s" s="2">
        <v>16</v>
      </c>
      <c r="E1261" t="s" s="2">
        <v>17</v>
      </c>
      <c r="F1261" t="s" s="2">
        <f>HYPERLINK("http://ts.21cn.com/tousu/show/id/1372783","http://ts.21cn.com/tousu/show/id/1372783")</f>
      </c>
      <c r="G1261" t="s" s="2">
        <v>17</v>
      </c>
      <c r="H1261" t="s" s="2">
        <v>19</v>
      </c>
      <c r="I1261" t="s" s="2">
        <v>4971</v>
      </c>
      <c r="J1261" t="s" s="2">
        <v>4972</v>
      </c>
      <c r="K1261" t="s" s="2">
        <v>22</v>
      </c>
      <c r="L1261" t="s" s="2">
        <v>22</v>
      </c>
      <c r="M1261" t="s" s="2">
        <v>22</v>
      </c>
    </row>
    <row r="1262" ht="25.0" customHeight="true">
      <c r="A1262" t="s" s="2">
        <v>13</v>
      </c>
      <c r="B1262" t="s" s="2">
        <f>HYPERLINK("http://ts.21cn.com/tousu/show/id/1372782","拍拍贷主动还款不扣款造成逾期恶意收取逾期费用")</f>
      </c>
      <c r="C1262" t="s" s="2">
        <v>15</v>
      </c>
      <c r="D1262" t="s" s="2">
        <v>16</v>
      </c>
      <c r="E1262" t="s" s="2">
        <v>17</v>
      </c>
      <c r="F1262" t="s" s="2">
        <f>HYPERLINK("http://ts.21cn.com/tousu/show/id/1372782","http://ts.21cn.com/tousu/show/id/1372782")</f>
      </c>
      <c r="G1262" t="s" s="2">
        <v>17</v>
      </c>
      <c r="H1262" t="s" s="2">
        <v>19</v>
      </c>
      <c r="I1262" t="s" s="2">
        <v>4975</v>
      </c>
      <c r="J1262" t="s" s="2">
        <v>4976</v>
      </c>
      <c r="K1262" t="s" s="2">
        <v>22</v>
      </c>
      <c r="L1262" t="s" s="2">
        <v>22</v>
      </c>
      <c r="M1262" t="s" s="2">
        <v>22</v>
      </c>
    </row>
    <row r="1263" ht="25.0" customHeight="true">
      <c r="A1263" t="s" s="2">
        <v>13</v>
      </c>
      <c r="B1263" t="s" s="2">
        <f>HYPERLINK("http://ts.21cn.com/tousu/show/id/1372781","海尔施特劳斯净水机")</f>
      </c>
      <c r="C1263" t="s" s="2">
        <v>15</v>
      </c>
      <c r="D1263" t="s" s="2">
        <v>16</v>
      </c>
      <c r="E1263" t="s" s="2">
        <v>17</v>
      </c>
      <c r="F1263" t="s" s="2">
        <f>HYPERLINK("http://ts.21cn.com/tousu/show/id/1372781","http://ts.21cn.com/tousu/show/id/1372781")</f>
      </c>
      <c r="G1263" t="s" s="2">
        <v>17</v>
      </c>
      <c r="H1263" t="s" s="2">
        <v>19</v>
      </c>
      <c r="I1263" t="s" s="2">
        <v>4979</v>
      </c>
      <c r="J1263" t="s" s="2">
        <v>4980</v>
      </c>
      <c r="K1263" t="s" s="2">
        <v>22</v>
      </c>
      <c r="L1263" t="s" s="2">
        <v>22</v>
      </c>
      <c r="M1263" t="s" s="2">
        <v>22</v>
      </c>
    </row>
    <row r="1264" ht="25.0" customHeight="true">
      <c r="A1264" t="s" s="2">
        <v>13</v>
      </c>
      <c r="B1264" t="s" s="2">
        <f>HYPERLINK("http://ts.21cn.com/tousu/show/id/1372780","随手记账高额砍头息")</f>
      </c>
      <c r="C1264" t="s" s="2">
        <v>15</v>
      </c>
      <c r="D1264" t="s" s="2">
        <v>16</v>
      </c>
      <c r="E1264" t="s" s="2">
        <v>17</v>
      </c>
      <c r="F1264" t="s" s="2">
        <f>HYPERLINK("http://ts.21cn.com/tousu/show/id/1372780","http://ts.21cn.com/tousu/show/id/1372780")</f>
      </c>
      <c r="G1264" t="s" s="2">
        <v>17</v>
      </c>
      <c r="H1264" t="s" s="2">
        <v>19</v>
      </c>
      <c r="I1264" t="s" s="2">
        <v>4983</v>
      </c>
      <c r="J1264" t="s" s="2">
        <v>4984</v>
      </c>
      <c r="K1264" t="s" s="2">
        <v>22</v>
      </c>
      <c r="L1264" t="s" s="2">
        <v>22</v>
      </c>
      <c r="M1264" t="s" s="2">
        <v>22</v>
      </c>
    </row>
    <row r="1265" ht="25.0" customHeight="true">
      <c r="A1265" t="s" s="2">
        <v>13</v>
      </c>
      <c r="B1265" t="s" s="2">
        <f>HYPERLINK("http://ts.21cn.com/tousu/show/id/1372779","51人品贷黑心高利贷，暴利催收骚扰联系人")</f>
      </c>
      <c r="C1265" t="s" s="2">
        <v>15</v>
      </c>
      <c r="D1265" t="s" s="2">
        <v>16</v>
      </c>
      <c r="E1265" t="s" s="2">
        <v>17</v>
      </c>
      <c r="F1265" t="s" s="2">
        <f>HYPERLINK("http://ts.21cn.com/tousu/show/id/1372779","http://ts.21cn.com/tousu/show/id/1372779")</f>
      </c>
      <c r="G1265" t="s" s="2">
        <v>17</v>
      </c>
      <c r="H1265" t="s" s="2">
        <v>19</v>
      </c>
      <c r="I1265" t="s" s="2">
        <v>4987</v>
      </c>
      <c r="J1265" t="s" s="2">
        <v>4988</v>
      </c>
      <c r="K1265" t="s" s="2">
        <v>22</v>
      </c>
      <c r="L1265" t="s" s="2">
        <v>22</v>
      </c>
      <c r="M1265" t="s" s="2">
        <v>22</v>
      </c>
    </row>
    <row r="1266" ht="25.0" customHeight="true">
      <c r="A1266" t="s" s="2">
        <v>13</v>
      </c>
      <c r="B1266" t="s" s="2">
        <f>HYPERLINK("http://ts.21cn.com/tousu/show/id/1372778","钱澄无忧虚假宣传乱扣费")</f>
      </c>
      <c r="C1266" t="s" s="2">
        <v>15</v>
      </c>
      <c r="D1266" t="s" s="2">
        <v>16</v>
      </c>
      <c r="E1266" t="s" s="2">
        <v>17</v>
      </c>
      <c r="F1266" t="s" s="2">
        <f>HYPERLINK("http://ts.21cn.com/tousu/show/id/1372778","http://ts.21cn.com/tousu/show/id/1372778")</f>
      </c>
      <c r="G1266" t="s" s="2">
        <v>17</v>
      </c>
      <c r="H1266" t="s" s="2">
        <v>19</v>
      </c>
      <c r="I1266" t="s" s="2">
        <v>4991</v>
      </c>
      <c r="J1266" t="s" s="2">
        <v>4992</v>
      </c>
      <c r="K1266" t="s" s="2">
        <v>22</v>
      </c>
      <c r="L1266" t="s" s="2">
        <v>22</v>
      </c>
      <c r="M1266" t="s" s="2">
        <v>22</v>
      </c>
    </row>
    <row r="1267" ht="25.0" customHeight="true">
      <c r="A1267" t="s" s="2">
        <v>13</v>
      </c>
      <c r="B1267" t="s" s="2">
        <f>HYPERLINK("http://ts.21cn.com/tousu/show/id/1372777","用苹果手机开通腾讯视频扣费成功，会员没开通")</f>
      </c>
      <c r="C1267" t="s" s="2">
        <v>52</v>
      </c>
      <c r="D1267" t="s" s="2">
        <v>16</v>
      </c>
      <c r="E1267" t="s" s="2">
        <v>17</v>
      </c>
      <c r="F1267" t="s" s="2">
        <f>HYPERLINK("http://ts.21cn.com/tousu/show/id/1372777","http://ts.21cn.com/tousu/show/id/1372777")</f>
      </c>
      <c r="G1267" t="s" s="2">
        <v>17</v>
      </c>
      <c r="H1267" t="s" s="2">
        <v>19</v>
      </c>
      <c r="I1267" t="s" s="2">
        <v>4995</v>
      </c>
      <c r="J1267" t="s" s="2">
        <v>4996</v>
      </c>
      <c r="K1267" t="s" s="2">
        <v>22</v>
      </c>
      <c r="L1267" t="s" s="2">
        <v>22</v>
      </c>
      <c r="M1267" t="s" s="2">
        <v>22</v>
      </c>
    </row>
    <row r="1268" ht="25.0" customHeight="true">
      <c r="A1268" t="s" s="2">
        <v>13</v>
      </c>
      <c r="B1268" t="s" s="2">
        <f>HYPERLINK("http://ts.21cn.com/tousu/show/id/1372776","爆通讯录，骚扰我朋友")</f>
      </c>
      <c r="C1268" t="s" s="2">
        <v>15</v>
      </c>
      <c r="D1268" t="s" s="2">
        <v>16</v>
      </c>
      <c r="E1268" t="s" s="2">
        <v>17</v>
      </c>
      <c r="F1268" t="s" s="2">
        <f>HYPERLINK("http://ts.21cn.com/tousu/show/id/1372776","http://ts.21cn.com/tousu/show/id/1372776")</f>
      </c>
      <c r="G1268" t="s" s="2">
        <v>17</v>
      </c>
      <c r="H1268" t="s" s="2">
        <v>19</v>
      </c>
      <c r="I1268" t="s" s="2">
        <v>4999</v>
      </c>
      <c r="J1268" t="s" s="2">
        <v>5000</v>
      </c>
      <c r="K1268" t="s" s="2">
        <v>22</v>
      </c>
      <c r="L1268" t="s" s="2">
        <v>22</v>
      </c>
      <c r="M1268" t="s" s="2">
        <v>22</v>
      </c>
    </row>
    <row r="1269" ht="25.0" customHeight="true">
      <c r="A1269" t="s" s="2">
        <v>13</v>
      </c>
      <c r="B1269" t="s" s="2">
        <f>HYPERLINK("http://ts.21cn.com/tousu/show/id/1372775","714砍头息利息高暴力催收")</f>
      </c>
      <c r="C1269" t="s" s="2">
        <v>15</v>
      </c>
      <c r="D1269" t="s" s="2">
        <v>16</v>
      </c>
      <c r="E1269" t="s" s="2">
        <v>17</v>
      </c>
      <c r="F1269" t="s" s="2">
        <f>HYPERLINK("http://ts.21cn.com/tousu/show/id/1372775","http://ts.21cn.com/tousu/show/id/1372775")</f>
      </c>
      <c r="G1269" t="s" s="2">
        <v>17</v>
      </c>
      <c r="H1269" t="s" s="2">
        <v>19</v>
      </c>
      <c r="I1269" t="s" s="2">
        <v>5003</v>
      </c>
      <c r="J1269" t="s" s="2">
        <v>5004</v>
      </c>
      <c r="K1269" t="s" s="2">
        <v>22</v>
      </c>
      <c r="L1269" t="s" s="2">
        <v>22</v>
      </c>
      <c r="M1269" t="s" s="2">
        <v>22</v>
      </c>
    </row>
    <row r="1270" ht="25.0" customHeight="true">
      <c r="A1270" t="s" s="2">
        <v>13</v>
      </c>
      <c r="B1270" t="s" s="2">
        <f>HYPERLINK("http://ts.21cn.com/tousu/show/id/1372773","iPhone11摄像头进灰")</f>
      </c>
      <c r="C1270" t="s" s="2">
        <v>52</v>
      </c>
      <c r="D1270" t="s" s="2">
        <v>16</v>
      </c>
      <c r="E1270" t="s" s="2">
        <v>17</v>
      </c>
      <c r="F1270" t="s" s="2">
        <f>HYPERLINK("http://ts.21cn.com/tousu/show/id/1372773","http://ts.21cn.com/tousu/show/id/1372773")</f>
      </c>
      <c r="G1270" t="s" s="2">
        <v>17</v>
      </c>
      <c r="H1270" t="s" s="2">
        <v>19</v>
      </c>
      <c r="I1270" t="s" s="2">
        <v>5007</v>
      </c>
      <c r="J1270" t="s" s="2">
        <v>5008</v>
      </c>
      <c r="K1270" t="s" s="2">
        <v>22</v>
      </c>
      <c r="L1270" t="s" s="2">
        <v>22</v>
      </c>
      <c r="M1270" t="s" s="2">
        <v>22</v>
      </c>
    </row>
    <row r="1271" ht="25.0" customHeight="true">
      <c r="A1271" t="s" s="2">
        <v>13</v>
      </c>
      <c r="B1271" t="s" s="2">
        <f>HYPERLINK("http://ts.21cn.com/tousu/show/id/1372772","360借条套路贷，高炮，黑平台")</f>
      </c>
      <c r="C1271" t="s" s="2">
        <v>15</v>
      </c>
      <c r="D1271" t="s" s="2">
        <v>16</v>
      </c>
      <c r="E1271" t="s" s="2">
        <v>17</v>
      </c>
      <c r="F1271" t="s" s="2">
        <f>HYPERLINK("http://ts.21cn.com/tousu/show/id/1372772","http://ts.21cn.com/tousu/show/id/1372772")</f>
      </c>
      <c r="G1271" t="s" s="2">
        <v>17</v>
      </c>
      <c r="H1271" t="s" s="2">
        <v>19</v>
      </c>
      <c r="I1271" t="s" s="2">
        <v>5011</v>
      </c>
      <c r="J1271" t="s" s="2">
        <v>5012</v>
      </c>
      <c r="K1271" t="s" s="2">
        <v>22</v>
      </c>
      <c r="L1271" t="s" s="2">
        <v>22</v>
      </c>
      <c r="M1271" t="s" s="2">
        <v>22</v>
      </c>
    </row>
    <row r="1272" ht="25.0" customHeight="true">
      <c r="A1272" t="s" s="2">
        <v>13</v>
      </c>
      <c r="B1272" t="s" s="2">
        <f>HYPERLINK("http://ts.21cn.com/tousu/show/id/1372770","好易贷退回砍头息")</f>
      </c>
      <c r="C1272" t="s" s="2">
        <v>52</v>
      </c>
      <c r="D1272" t="s" s="2">
        <v>16</v>
      </c>
      <c r="E1272" t="s" s="2">
        <v>17</v>
      </c>
      <c r="F1272" t="s" s="2">
        <f>HYPERLINK("http://ts.21cn.com/tousu/show/id/1372770","http://ts.21cn.com/tousu/show/id/1372770")</f>
      </c>
      <c r="G1272" t="s" s="2">
        <v>17</v>
      </c>
      <c r="H1272" t="s" s="2">
        <v>19</v>
      </c>
      <c r="I1272" t="s" s="2">
        <v>5015</v>
      </c>
      <c r="J1272" t="s" s="2">
        <v>5016</v>
      </c>
      <c r="K1272" t="s" s="2">
        <v>22</v>
      </c>
      <c r="L1272" t="s" s="2">
        <v>22</v>
      </c>
      <c r="M1272" t="s" s="2">
        <v>22</v>
      </c>
    </row>
    <row r="1273" ht="25.0" customHeight="true">
      <c r="A1273" t="s" s="2">
        <v>13</v>
      </c>
      <c r="B1273" t="s" s="2">
        <f>HYPERLINK("http://ts.21cn.com/tousu/show/id/1372769","创维食材净化器")</f>
      </c>
      <c r="C1273" t="s" s="2">
        <v>15</v>
      </c>
      <c r="D1273" t="s" s="2">
        <v>16</v>
      </c>
      <c r="E1273" t="s" s="2">
        <v>17</v>
      </c>
      <c r="F1273" t="s" s="2">
        <f>HYPERLINK("http://ts.21cn.com/tousu/show/id/1372769","http://ts.21cn.com/tousu/show/id/1372769")</f>
      </c>
      <c r="G1273" t="s" s="2">
        <v>17</v>
      </c>
      <c r="H1273" t="s" s="2">
        <v>19</v>
      </c>
      <c r="I1273" t="s" s="2">
        <v>5019</v>
      </c>
      <c r="J1273" t="s" s="2">
        <v>5020</v>
      </c>
      <c r="K1273" t="s" s="2">
        <v>22</v>
      </c>
      <c r="L1273" t="s" s="2">
        <v>22</v>
      </c>
      <c r="M1273" t="s" s="2">
        <v>22</v>
      </c>
    </row>
    <row r="1274" ht="25.0" customHeight="true">
      <c r="A1274" t="s" s="2">
        <v>13</v>
      </c>
      <c r="B1274" t="s" s="2">
        <f>HYPERLINK("http://ts.21cn.com/tousu/show/id/1372768","制造虚假司法文件，到处群发，影响本人声誉，影响工作，导致失业，对本人的生活造成极大困扰，要求拍拍货对本人道歉及赔偿。")</f>
      </c>
      <c r="C1274" t="s" s="2">
        <v>15</v>
      </c>
      <c r="D1274" t="s" s="2">
        <v>16</v>
      </c>
      <c r="E1274" t="s" s="2">
        <v>17</v>
      </c>
      <c r="F1274" t="s" s="2">
        <f>HYPERLINK("http://ts.21cn.com/tousu/show/id/1372768","http://ts.21cn.com/tousu/show/id/1372768")</f>
      </c>
      <c r="G1274" t="s" s="2">
        <v>17</v>
      </c>
      <c r="H1274" t="s" s="2">
        <v>19</v>
      </c>
      <c r="I1274" t="s" s="2">
        <v>5023</v>
      </c>
      <c r="J1274" t="s" s="2">
        <v>5021</v>
      </c>
      <c r="K1274" t="s" s="2">
        <v>22</v>
      </c>
      <c r="L1274" t="s" s="2">
        <v>22</v>
      </c>
      <c r="M1274" t="s" s="2">
        <v>22</v>
      </c>
    </row>
    <row r="1275" ht="25.0" customHeight="true">
      <c r="A1275" t="s" s="2">
        <v>13</v>
      </c>
      <c r="B1275" t="s" s="2">
        <f>HYPERLINK("http://ts.21cn.com/tousu/show/id/1372767","未经本人同意私自扣费")</f>
      </c>
      <c r="C1275" t="s" s="2">
        <v>15</v>
      </c>
      <c r="D1275" t="s" s="2">
        <v>16</v>
      </c>
      <c r="E1275" t="s" s="2">
        <v>17</v>
      </c>
      <c r="F1275" t="s" s="2">
        <f>HYPERLINK("http://ts.21cn.com/tousu/show/id/1372767","http://ts.21cn.com/tousu/show/id/1372767")</f>
      </c>
      <c r="G1275" t="s" s="2">
        <v>17</v>
      </c>
      <c r="H1275" t="s" s="2">
        <v>19</v>
      </c>
      <c r="I1275" t="s" s="2">
        <v>5026</v>
      </c>
      <c r="J1275" t="s" s="2">
        <v>5027</v>
      </c>
      <c r="K1275" t="s" s="2">
        <v>22</v>
      </c>
      <c r="L1275" t="s" s="2">
        <v>22</v>
      </c>
      <c r="M1275" t="s" s="2">
        <v>22</v>
      </c>
    </row>
    <row r="1276" ht="25.0" customHeight="true">
      <c r="A1276" t="s" s="2">
        <v>13</v>
      </c>
      <c r="B1276" t="s" s="2">
        <f>HYPERLINK("http://ts.21cn.com/tousu/show/id/1372766","青客公寓退押金困难")</f>
      </c>
      <c r="C1276" t="s" s="2">
        <v>52</v>
      </c>
      <c r="D1276" t="s" s="2">
        <v>16</v>
      </c>
      <c r="E1276" t="s" s="2">
        <v>17</v>
      </c>
      <c r="F1276" t="s" s="2">
        <f>HYPERLINK("http://ts.21cn.com/tousu/show/id/1372766","http://ts.21cn.com/tousu/show/id/1372766")</f>
      </c>
      <c r="G1276" t="s" s="2">
        <v>17</v>
      </c>
      <c r="H1276" t="s" s="2">
        <v>19</v>
      </c>
      <c r="I1276" t="s" s="2">
        <v>5030</v>
      </c>
      <c r="J1276" t="s" s="2">
        <v>5031</v>
      </c>
      <c r="K1276" t="s" s="2">
        <v>22</v>
      </c>
      <c r="L1276" t="s" s="2">
        <v>22</v>
      </c>
      <c r="M1276" t="s" s="2">
        <v>22</v>
      </c>
    </row>
    <row r="1277" ht="25.0" customHeight="true">
      <c r="A1277" t="s" s="2">
        <v>13</v>
      </c>
      <c r="B1277" t="s" s="2">
        <f>HYPERLINK("http://ts.21cn.com/tousu/show/id/1372765","投诉银豹")</f>
      </c>
      <c r="C1277" t="s" s="2">
        <v>15</v>
      </c>
      <c r="D1277" t="s" s="2">
        <v>16</v>
      </c>
      <c r="E1277" t="s" s="2">
        <v>17</v>
      </c>
      <c r="F1277" t="s" s="2">
        <f>HYPERLINK("http://ts.21cn.com/tousu/show/id/1372765","http://ts.21cn.com/tousu/show/id/1372765")</f>
      </c>
      <c r="G1277" t="s" s="2">
        <v>17</v>
      </c>
      <c r="H1277" t="s" s="2">
        <v>19</v>
      </c>
      <c r="I1277" t="s" s="2">
        <v>5034</v>
      </c>
      <c r="J1277" t="s" s="2">
        <v>5035</v>
      </c>
      <c r="K1277" t="s" s="2">
        <v>22</v>
      </c>
      <c r="L1277" t="s" s="2">
        <v>22</v>
      </c>
      <c r="M1277" t="s" s="2">
        <v>22</v>
      </c>
    </row>
    <row r="1278" ht="25.0" customHeight="true">
      <c r="A1278" t="s" s="2">
        <v>13</v>
      </c>
      <c r="B1278" t="s" s="2">
        <f>HYPERLINK("http://ts.21cn.com/tousu/show/id/1372764","捷信金融利息高")</f>
      </c>
      <c r="C1278" t="s" s="2">
        <v>15</v>
      </c>
      <c r="D1278" t="s" s="2">
        <v>16</v>
      </c>
      <c r="E1278" t="s" s="2">
        <v>17</v>
      </c>
      <c r="F1278" t="s" s="2">
        <f>HYPERLINK("http://ts.21cn.com/tousu/show/id/1372764","http://ts.21cn.com/tousu/show/id/1372764")</f>
      </c>
      <c r="G1278" t="s" s="2">
        <v>17</v>
      </c>
      <c r="H1278" t="s" s="2">
        <v>19</v>
      </c>
      <c r="I1278" t="s" s="2">
        <v>5038</v>
      </c>
      <c r="J1278" t="s" s="2">
        <v>5039</v>
      </c>
      <c r="K1278" t="s" s="2">
        <v>22</v>
      </c>
      <c r="L1278" t="s" s="2">
        <v>22</v>
      </c>
      <c r="M1278" t="s" s="2">
        <v>22</v>
      </c>
    </row>
    <row r="1279" ht="25.0" customHeight="true">
      <c r="A1279" t="s" s="2">
        <v>13</v>
      </c>
      <c r="B1279" t="s" s="2">
        <f>HYPERLINK("http://ts.21cn.com/tousu/show/id/1372763","即分期和广东南粤银行恶意逾期")</f>
      </c>
      <c r="C1279" t="s" s="2">
        <v>15</v>
      </c>
      <c r="D1279" t="s" s="2">
        <v>16</v>
      </c>
      <c r="E1279" t="s" s="2">
        <v>17</v>
      </c>
      <c r="F1279" t="s" s="2">
        <f>HYPERLINK("http://ts.21cn.com/tousu/show/id/1372763","http://ts.21cn.com/tousu/show/id/1372763")</f>
      </c>
      <c r="G1279" t="s" s="2">
        <v>17</v>
      </c>
      <c r="H1279" t="s" s="2">
        <v>19</v>
      </c>
      <c r="I1279" t="s" s="2">
        <v>5042</v>
      </c>
      <c r="J1279" t="s" s="2">
        <v>5043</v>
      </c>
      <c r="K1279" t="s" s="2">
        <v>22</v>
      </c>
      <c r="L1279" t="s" s="2">
        <v>22</v>
      </c>
      <c r="M1279" t="s" s="2">
        <v>22</v>
      </c>
    </row>
    <row r="1280" ht="25.0" customHeight="true">
      <c r="A1280" t="s" s="2">
        <v>13</v>
      </c>
      <c r="B1280" t="s" s="2">
        <f>HYPERLINK("http://ts.21cn.com/tousu/show/id/1372762","结算，销帐")</f>
      </c>
      <c r="C1280" t="s" s="2">
        <v>52</v>
      </c>
      <c r="D1280" t="s" s="2">
        <v>16</v>
      </c>
      <c r="E1280" t="s" s="2">
        <v>17</v>
      </c>
      <c r="F1280" t="s" s="2">
        <f>HYPERLINK("http://ts.21cn.com/tousu/show/id/1372762","http://ts.21cn.com/tousu/show/id/1372762")</f>
      </c>
      <c r="G1280" t="s" s="2">
        <v>17</v>
      </c>
      <c r="H1280" t="s" s="2">
        <v>19</v>
      </c>
      <c r="I1280" t="s" s="2">
        <v>5046</v>
      </c>
      <c r="J1280" t="s" s="2">
        <v>5047</v>
      </c>
      <c r="K1280" t="s" s="2">
        <v>22</v>
      </c>
      <c r="L1280" t="s" s="2">
        <v>22</v>
      </c>
      <c r="M1280" t="s" s="2">
        <v>22</v>
      </c>
    </row>
    <row r="1281" ht="25.0" customHeight="true">
      <c r="A1281" t="s" s="2">
        <v>13</v>
      </c>
      <c r="B1281" t="s" s="2">
        <f>HYPERLINK("http://ts.21cn.com/tousu/show/id/1372744","安逸花严重超出国家规定利率恶意骚扰")</f>
      </c>
      <c r="C1281" t="s" s="2">
        <v>15</v>
      </c>
      <c r="D1281" t="s" s="2">
        <v>16</v>
      </c>
      <c r="E1281" t="s" s="2">
        <v>17</v>
      </c>
      <c r="F1281" t="s" s="2">
        <f>HYPERLINK("http://ts.21cn.com/tousu/show/id/1372744","http://ts.21cn.com/tousu/show/id/1372744")</f>
      </c>
      <c r="G1281" t="s" s="2">
        <v>17</v>
      </c>
      <c r="H1281" t="s" s="2">
        <v>19</v>
      </c>
      <c r="I1281" t="s" s="2">
        <v>5050</v>
      </c>
      <c r="J1281" t="s" s="2">
        <v>5051</v>
      </c>
      <c r="K1281" t="s" s="2">
        <v>22</v>
      </c>
      <c r="L1281" t="s" s="2">
        <v>22</v>
      </c>
      <c r="M1281" t="s" s="2">
        <v>22</v>
      </c>
    </row>
    <row r="1282" ht="25.0" customHeight="true">
      <c r="A1282" t="s" s="2">
        <v>13</v>
      </c>
      <c r="B1282" t="s" s="2">
        <f>HYPERLINK("http://ts.21cn.com/tousu/show/id/1372761","易秒分期到期app打不开不自动还款找不到客服")</f>
      </c>
      <c r="C1282" t="s" s="2">
        <v>15</v>
      </c>
      <c r="D1282" t="s" s="2">
        <v>16</v>
      </c>
      <c r="E1282" t="s" s="2">
        <v>17</v>
      </c>
      <c r="F1282" t="s" s="2">
        <f>HYPERLINK("http://ts.21cn.com/tousu/show/id/1372761","http://ts.21cn.com/tousu/show/id/1372761")</f>
      </c>
      <c r="G1282" t="s" s="2">
        <v>17</v>
      </c>
      <c r="H1282" t="s" s="2">
        <v>19</v>
      </c>
      <c r="I1282" t="s" s="2">
        <v>5054</v>
      </c>
      <c r="J1282" t="s" s="2">
        <v>5055</v>
      </c>
      <c r="K1282" t="s" s="2">
        <v>22</v>
      </c>
      <c r="L1282" t="s" s="2">
        <v>22</v>
      </c>
      <c r="M1282" t="s" s="2">
        <v>22</v>
      </c>
    </row>
    <row r="1283" ht="25.0" customHeight="true">
      <c r="A1283" t="s" s="2">
        <v>13</v>
      </c>
      <c r="B1283" t="s" s="2">
        <f>HYPERLINK("http://ts.21cn.com/tousu/show/id/1372760","协商还款")</f>
      </c>
      <c r="C1283" t="s" s="2">
        <v>15</v>
      </c>
      <c r="D1283" t="s" s="2">
        <v>16</v>
      </c>
      <c r="E1283" t="s" s="2">
        <v>17</v>
      </c>
      <c r="F1283" t="s" s="2">
        <f>HYPERLINK("http://ts.21cn.com/tousu/show/id/1372760","http://ts.21cn.com/tousu/show/id/1372760")</f>
      </c>
      <c r="G1283" t="s" s="2">
        <v>17</v>
      </c>
      <c r="H1283" t="s" s="2">
        <v>19</v>
      </c>
      <c r="I1283" t="s" s="2">
        <v>5057</v>
      </c>
      <c r="J1283" t="s" s="2">
        <v>5058</v>
      </c>
      <c r="K1283" t="s" s="2">
        <v>22</v>
      </c>
      <c r="L1283" t="s" s="2">
        <v>22</v>
      </c>
      <c r="M1283" t="s" s="2">
        <v>22</v>
      </c>
    </row>
    <row r="1284" ht="25.0" customHeight="true">
      <c r="A1284" t="s" s="2">
        <v>13</v>
      </c>
      <c r="B1284" t="s" s="2">
        <f>HYPERLINK("http://ts.21cn.com/tousu/show/id/1372759","苹果手机激活锁")</f>
      </c>
      <c r="C1284" t="s" s="2">
        <v>52</v>
      </c>
      <c r="D1284" t="s" s="2">
        <v>16</v>
      </c>
      <c r="E1284" t="s" s="2">
        <v>17</v>
      </c>
      <c r="F1284" t="s" s="2">
        <f>HYPERLINK("http://ts.21cn.com/tousu/show/id/1372759","http://ts.21cn.com/tousu/show/id/1372759")</f>
      </c>
      <c r="G1284" t="s" s="2">
        <v>17</v>
      </c>
      <c r="H1284" t="s" s="2">
        <v>19</v>
      </c>
      <c r="I1284" t="s" s="2">
        <v>5061</v>
      </c>
      <c r="J1284" t="s" s="2">
        <v>5062</v>
      </c>
      <c r="K1284" t="s" s="2">
        <v>22</v>
      </c>
      <c r="L1284" t="s" s="2">
        <v>22</v>
      </c>
      <c r="M1284" t="s" s="2">
        <v>22</v>
      </c>
    </row>
    <row r="1285" ht="25.0" customHeight="true">
      <c r="A1285" t="s" s="2">
        <v>13</v>
      </c>
      <c r="B1285" t="s" s="2">
        <f>HYPERLINK("http://ts.21cn.com/tousu/show/id/1372758","小赢卡贷利息高")</f>
      </c>
      <c r="C1285" t="s" s="2">
        <v>15</v>
      </c>
      <c r="D1285" t="s" s="2">
        <v>16</v>
      </c>
      <c r="E1285" t="s" s="2">
        <v>17</v>
      </c>
      <c r="F1285" t="s" s="2">
        <f>HYPERLINK("http://ts.21cn.com/tousu/show/id/1372758","http://ts.21cn.com/tousu/show/id/1372758")</f>
      </c>
      <c r="G1285" t="s" s="2">
        <v>17</v>
      </c>
      <c r="H1285" t="s" s="2">
        <v>19</v>
      </c>
      <c r="I1285" t="s" s="2">
        <v>5065</v>
      </c>
      <c r="J1285" t="s" s="2">
        <v>5066</v>
      </c>
      <c r="K1285" t="s" s="2">
        <v>22</v>
      </c>
      <c r="L1285" t="s" s="2">
        <v>22</v>
      </c>
      <c r="M1285" t="s" s="2">
        <v>22</v>
      </c>
    </row>
    <row r="1286" ht="25.0" customHeight="true">
      <c r="A1286" t="s" s="2">
        <v>13</v>
      </c>
      <c r="B1286" t="s" s="2">
        <f>HYPERLINK("http://ts.21cn.com/tousu/show/id/1372755","上海通用金融暴力催收收取高额利息")</f>
      </c>
      <c r="C1286" t="s" s="2">
        <v>15</v>
      </c>
      <c r="D1286" t="s" s="2">
        <v>16</v>
      </c>
      <c r="E1286" t="s" s="2">
        <v>17</v>
      </c>
      <c r="F1286" t="s" s="2">
        <f>HYPERLINK("http://ts.21cn.com/tousu/show/id/1372755","http://ts.21cn.com/tousu/show/id/1372755")</f>
      </c>
      <c r="G1286" t="s" s="2">
        <v>17</v>
      </c>
      <c r="H1286" t="s" s="2">
        <v>19</v>
      </c>
      <c r="I1286" t="s" s="2">
        <v>5069</v>
      </c>
      <c r="J1286" t="s" s="2">
        <v>5070</v>
      </c>
      <c r="K1286" t="s" s="2">
        <v>22</v>
      </c>
      <c r="L1286" t="s" s="2">
        <v>22</v>
      </c>
      <c r="M1286" t="s" s="2">
        <v>22</v>
      </c>
    </row>
    <row r="1287" ht="25.0" customHeight="true">
      <c r="A1287" t="s" s="2">
        <v>13</v>
      </c>
      <c r="B1287" t="s" s="2">
        <f>HYPERLINK("http://ts.21cn.com/tousu/show/id/1372753","淘集集无限拖延提现时间，一直不让退店")</f>
      </c>
      <c r="C1287" t="s" s="2">
        <v>15</v>
      </c>
      <c r="D1287" t="s" s="2">
        <v>16</v>
      </c>
      <c r="E1287" t="s" s="2">
        <v>17</v>
      </c>
      <c r="F1287" t="s" s="2">
        <f>HYPERLINK("http://ts.21cn.com/tousu/show/id/1372753","http://ts.21cn.com/tousu/show/id/1372753")</f>
      </c>
      <c r="G1287" t="s" s="2">
        <v>17</v>
      </c>
      <c r="H1287" t="s" s="2">
        <v>19</v>
      </c>
      <c r="I1287" t="s" s="2">
        <v>5073</v>
      </c>
      <c r="J1287" t="s" s="2">
        <v>5074</v>
      </c>
      <c r="K1287" t="s" s="2">
        <v>22</v>
      </c>
      <c r="L1287" t="s" s="2">
        <v>22</v>
      </c>
      <c r="M1287" t="s" s="2">
        <v>22</v>
      </c>
    </row>
    <row r="1288" ht="25.0" customHeight="true">
      <c r="A1288" t="s" s="2">
        <v>13</v>
      </c>
      <c r="B1288" t="s" s="2">
        <f>HYPERLINK("http://ts.21cn.com/tousu/show/id/1372754","325棋牌简直就是魔鬼")</f>
      </c>
      <c r="C1288" t="s" s="2">
        <v>15</v>
      </c>
      <c r="D1288" t="s" s="2">
        <v>16</v>
      </c>
      <c r="E1288" t="s" s="2">
        <v>17</v>
      </c>
      <c r="F1288" t="s" s="2">
        <f>HYPERLINK("http://ts.21cn.com/tousu/show/id/1372754","http://ts.21cn.com/tousu/show/id/1372754")</f>
      </c>
      <c r="G1288" t="s" s="2">
        <v>17</v>
      </c>
      <c r="H1288" t="s" s="2">
        <v>19</v>
      </c>
      <c r="I1288" t="s" s="2">
        <v>5077</v>
      </c>
      <c r="J1288" t="s" s="2">
        <v>5078</v>
      </c>
      <c r="K1288" t="s" s="2">
        <v>22</v>
      </c>
      <c r="L1288" t="s" s="2">
        <v>22</v>
      </c>
      <c r="M1288" t="s" s="2">
        <v>22</v>
      </c>
    </row>
    <row r="1289" ht="25.0" customHeight="true">
      <c r="A1289" t="s" s="2">
        <v>13</v>
      </c>
      <c r="B1289" t="s" s="2">
        <f>HYPERLINK("http://ts.21cn.com/tousu/show/id/1372752","腾讯now直播不能注销账号")</f>
      </c>
      <c r="C1289" t="s" s="2">
        <v>52</v>
      </c>
      <c r="D1289" t="s" s="2">
        <v>16</v>
      </c>
      <c r="E1289" t="s" s="2">
        <v>17</v>
      </c>
      <c r="F1289" t="s" s="2">
        <f>HYPERLINK("http://ts.21cn.com/tousu/show/id/1372752","http://ts.21cn.com/tousu/show/id/1372752")</f>
      </c>
      <c r="G1289" t="s" s="2">
        <v>17</v>
      </c>
      <c r="H1289" t="s" s="2">
        <v>19</v>
      </c>
      <c r="I1289" t="s" s="2">
        <v>5081</v>
      </c>
      <c r="J1289" t="s" s="2">
        <v>5082</v>
      </c>
      <c r="K1289" t="s" s="2">
        <v>22</v>
      </c>
      <c r="L1289" t="s" s="2">
        <v>22</v>
      </c>
      <c r="M1289" t="s" s="2">
        <v>22</v>
      </c>
    </row>
    <row r="1290" ht="25.0" customHeight="true">
      <c r="A1290" t="s" s="2">
        <v>13</v>
      </c>
      <c r="B1290" t="s" s="2">
        <f>HYPERLINK("http://ts.21cn.com/tousu/show/id/1372729","活力花高罚息暴力催收恐吓借款人")</f>
      </c>
      <c r="C1290" t="s" s="2">
        <v>15</v>
      </c>
      <c r="D1290" t="s" s="2">
        <v>16</v>
      </c>
      <c r="E1290" t="s" s="2">
        <v>17</v>
      </c>
      <c r="F1290" t="s" s="2">
        <f>HYPERLINK("http://ts.21cn.com/tousu/show/id/1372729","http://ts.21cn.com/tousu/show/id/1372729")</f>
      </c>
      <c r="G1290" t="s" s="2">
        <v>17</v>
      </c>
      <c r="H1290" t="s" s="2">
        <v>19</v>
      </c>
      <c r="I1290" t="s" s="2">
        <v>5085</v>
      </c>
      <c r="J1290" t="s" s="2">
        <v>5086</v>
      </c>
      <c r="K1290" t="s" s="2">
        <v>22</v>
      </c>
      <c r="L1290" t="s" s="2">
        <v>22</v>
      </c>
      <c r="M1290" t="s" s="2">
        <v>22</v>
      </c>
    </row>
    <row r="1291" ht="25.0" customHeight="true">
      <c r="A1291" t="s" s="2">
        <v>13</v>
      </c>
      <c r="B1291" t="s" s="2">
        <f>HYPERLINK("http://ts.21cn.com/tousu/show/id/1372751","宜人贷收取高额服务费，利息，砍头息，阴阳合同")</f>
      </c>
      <c r="C1291" t="s" s="2">
        <v>15</v>
      </c>
      <c r="D1291" t="s" s="2">
        <v>16</v>
      </c>
      <c r="E1291" t="s" s="2">
        <v>17</v>
      </c>
      <c r="F1291" t="s" s="2">
        <f>HYPERLINK("http://ts.21cn.com/tousu/show/id/1372751","http://ts.21cn.com/tousu/show/id/1372751")</f>
      </c>
      <c r="G1291" t="s" s="2">
        <v>17</v>
      </c>
      <c r="H1291" t="s" s="2">
        <v>19</v>
      </c>
      <c r="I1291" t="s" s="2">
        <v>5089</v>
      </c>
      <c r="J1291" t="s" s="2">
        <v>5090</v>
      </c>
      <c r="K1291" t="s" s="2">
        <v>22</v>
      </c>
      <c r="L1291" t="s" s="2">
        <v>22</v>
      </c>
      <c r="M1291" t="s" s="2">
        <v>22</v>
      </c>
    </row>
    <row r="1292" ht="25.0" customHeight="true">
      <c r="A1292" t="s" s="2">
        <v>13</v>
      </c>
      <c r="B1292" t="s" s="2">
        <f>HYPERLINK("http://ts.21cn.com/tousu/show/id/1372738","点点平台所推荐的下款app进都进不去，也验证不了。可从我这里扣走的288元却还没退给我，我已截图给客服看了，可是钱还没退")</f>
      </c>
      <c r="C1292" t="s" s="2">
        <v>15</v>
      </c>
      <c r="D1292" t="s" s="2">
        <v>16</v>
      </c>
      <c r="E1292" t="s" s="2">
        <v>17</v>
      </c>
      <c r="F1292" t="s" s="2">
        <f>HYPERLINK("http://ts.21cn.com/tousu/show/id/1372738","http://ts.21cn.com/tousu/show/id/1372738")</f>
      </c>
      <c r="G1292" t="s" s="2">
        <v>17</v>
      </c>
      <c r="H1292" t="s" s="2">
        <v>19</v>
      </c>
      <c r="I1292" t="s" s="2">
        <v>5093</v>
      </c>
      <c r="J1292" t="s" s="2">
        <v>5094</v>
      </c>
      <c r="K1292" t="s" s="2">
        <v>22</v>
      </c>
      <c r="L1292" t="s" s="2">
        <v>22</v>
      </c>
      <c r="M1292" t="s" s="2">
        <v>22</v>
      </c>
    </row>
    <row r="1293" ht="25.0" customHeight="true">
      <c r="A1293" t="s" s="2">
        <v>13</v>
      </c>
      <c r="B1293" t="s" s="2">
        <f>HYPERLINK("http://ts.21cn.com/tousu/show/id/1372750","爱又米，第三方催收，威胁，人生攻击")</f>
      </c>
      <c r="C1293" t="s" s="2">
        <v>15</v>
      </c>
      <c r="D1293" t="s" s="2">
        <v>16</v>
      </c>
      <c r="E1293" t="s" s="2">
        <v>17</v>
      </c>
      <c r="F1293" t="s" s="2">
        <f>HYPERLINK("http://ts.21cn.com/tousu/show/id/1372750","http://ts.21cn.com/tousu/show/id/1372750")</f>
      </c>
      <c r="G1293" t="s" s="2">
        <v>17</v>
      </c>
      <c r="H1293" t="s" s="2">
        <v>19</v>
      </c>
      <c r="I1293" t="s" s="2">
        <v>5097</v>
      </c>
      <c r="J1293" t="s" s="2">
        <v>5098</v>
      </c>
      <c r="K1293" t="s" s="2">
        <v>22</v>
      </c>
      <c r="L1293" t="s" s="2">
        <v>22</v>
      </c>
      <c r="M1293" t="s" s="2">
        <v>22</v>
      </c>
    </row>
    <row r="1294" ht="25.0" customHeight="true">
      <c r="A1294" t="s" s="2">
        <v>13</v>
      </c>
      <c r="B1294" t="s" s="2">
        <f>HYPERLINK("http://ts.21cn.com/tousu/show/id/1372749","钱站，爱钱进的速金服同样是高炮，阴阳合同，高利息，变相利息。")</f>
      </c>
      <c r="C1294" t="s" s="2">
        <v>15</v>
      </c>
      <c r="D1294" t="s" s="2">
        <v>16</v>
      </c>
      <c r="E1294" t="s" s="2">
        <v>17</v>
      </c>
      <c r="F1294" t="s" s="2">
        <f>HYPERLINK("http://ts.21cn.com/tousu/show/id/1372749","http://ts.21cn.com/tousu/show/id/1372749")</f>
      </c>
      <c r="G1294" t="s" s="2">
        <v>17</v>
      </c>
      <c r="H1294" t="s" s="2">
        <v>19</v>
      </c>
      <c r="I1294" t="s" s="2">
        <v>5101</v>
      </c>
      <c r="J1294" t="s" s="2">
        <v>5102</v>
      </c>
      <c r="K1294" t="s" s="2">
        <v>22</v>
      </c>
      <c r="L1294" t="s" s="2">
        <v>22</v>
      </c>
      <c r="M1294" t="s" s="2">
        <v>22</v>
      </c>
    </row>
    <row r="1295" ht="25.0" customHeight="true">
      <c r="A1295" t="s" s="2">
        <v>13</v>
      </c>
      <c r="B1295" t="s" s="2">
        <f>HYPERLINK("http://ts.21cn.com/tousu/show/id/1372748","钱站高利贷暴力催收，请停止骚扰")</f>
      </c>
      <c r="C1295" t="s" s="2">
        <v>15</v>
      </c>
      <c r="D1295" t="s" s="2">
        <v>16</v>
      </c>
      <c r="E1295" t="s" s="2">
        <v>17</v>
      </c>
      <c r="F1295" t="s" s="2">
        <f>HYPERLINK("http://ts.21cn.com/tousu/show/id/1372748","http://ts.21cn.com/tousu/show/id/1372748")</f>
      </c>
      <c r="G1295" t="s" s="2">
        <v>17</v>
      </c>
      <c r="H1295" t="s" s="2">
        <v>19</v>
      </c>
      <c r="I1295" t="s" s="2">
        <v>5105</v>
      </c>
      <c r="J1295" t="s" s="2">
        <v>5106</v>
      </c>
      <c r="K1295" t="s" s="2">
        <v>22</v>
      </c>
      <c r="L1295" t="s" s="2">
        <v>22</v>
      </c>
      <c r="M1295" t="s" s="2">
        <v>22</v>
      </c>
    </row>
    <row r="1296" ht="25.0" customHeight="true">
      <c r="A1296" t="s" s="2">
        <v>13</v>
      </c>
      <c r="B1296" t="s" s="2">
        <f>HYPERLINK("http://ts.21cn.com/tousu/show/id/1372747","京东百条俞期")</f>
      </c>
      <c r="C1296" t="s" s="2">
        <v>15</v>
      </c>
      <c r="D1296" t="s" s="2">
        <v>16</v>
      </c>
      <c r="E1296" t="s" s="2">
        <v>17</v>
      </c>
      <c r="F1296" t="s" s="2">
        <f>HYPERLINK("http://ts.21cn.com/tousu/show/id/1372747","http://ts.21cn.com/tousu/show/id/1372747")</f>
      </c>
      <c r="G1296" t="s" s="2">
        <v>17</v>
      </c>
      <c r="H1296" t="s" s="2">
        <v>19</v>
      </c>
      <c r="I1296" t="s" s="2">
        <v>5109</v>
      </c>
      <c r="J1296" t="s" s="2">
        <v>5110</v>
      </c>
      <c r="K1296" t="s" s="2">
        <v>22</v>
      </c>
      <c r="L1296" t="s" s="2">
        <v>22</v>
      </c>
      <c r="M1296" t="s" s="2">
        <v>22</v>
      </c>
    </row>
    <row r="1297" ht="25.0" customHeight="true">
      <c r="A1297" t="s" s="2">
        <v>13</v>
      </c>
      <c r="B1297" t="s" s="2">
        <f>HYPERLINK("http://ts.21cn.com/tousu/show/id/1372746","淘宝商家出售无3c认证的手机")</f>
      </c>
      <c r="C1297" t="s" s="2">
        <v>15</v>
      </c>
      <c r="D1297" t="s" s="2">
        <v>16</v>
      </c>
      <c r="E1297" t="s" s="2">
        <v>17</v>
      </c>
      <c r="F1297" t="s" s="2">
        <f>HYPERLINK("http://ts.21cn.com/tousu/show/id/1372746","http://ts.21cn.com/tousu/show/id/1372746")</f>
      </c>
      <c r="G1297" t="s" s="2">
        <v>17</v>
      </c>
      <c r="H1297" t="s" s="2">
        <v>19</v>
      </c>
      <c r="I1297" t="s" s="2">
        <v>5113</v>
      </c>
      <c r="J1297" t="s" s="2">
        <v>5114</v>
      </c>
      <c r="K1297" t="s" s="2">
        <v>22</v>
      </c>
      <c r="L1297" t="s" s="2">
        <v>22</v>
      </c>
      <c r="M1297" t="s" s="2">
        <v>22</v>
      </c>
    </row>
    <row r="1298" ht="25.0" customHeight="true">
      <c r="A1298" t="s" s="2">
        <v>13</v>
      </c>
      <c r="B1298" t="s" s="2">
        <f>HYPERLINK("http://ts.21cn.com/tousu/show/id/1372745","遵义湘江投资公司卖房不给房也不退款")</f>
      </c>
      <c r="C1298" t="s" s="2">
        <v>15</v>
      </c>
      <c r="D1298" t="s" s="2">
        <v>16</v>
      </c>
      <c r="E1298" t="s" s="2">
        <v>17</v>
      </c>
      <c r="F1298" t="s" s="2">
        <f>HYPERLINK("http://ts.21cn.com/tousu/show/id/1372745","http://ts.21cn.com/tousu/show/id/1372745")</f>
      </c>
      <c r="G1298" t="s" s="2">
        <v>17</v>
      </c>
      <c r="H1298" t="s" s="2">
        <v>19</v>
      </c>
      <c r="I1298" t="s" s="2">
        <v>5117</v>
      </c>
      <c r="J1298" t="s" s="2">
        <v>5118</v>
      </c>
      <c r="K1298" t="s" s="2">
        <v>22</v>
      </c>
      <c r="L1298" t="s" s="2">
        <v>22</v>
      </c>
      <c r="M1298" t="s" s="2">
        <v>22</v>
      </c>
    </row>
    <row r="1299" ht="25.0" customHeight="true">
      <c r="A1299" t="s" s="2">
        <v>13</v>
      </c>
      <c r="B1299" t="s" s="2">
        <f>HYPERLINK("http://ts.21cn.com/tousu/show/id/1372728","淘宝服务商武汉葫芦娃科技有限公司，违背承诺，拒绝退剩余时间的运营服务费")</f>
      </c>
      <c r="C1299" t="s" s="2">
        <v>15</v>
      </c>
      <c r="D1299" t="s" s="2">
        <v>16</v>
      </c>
      <c r="E1299" t="s" s="2">
        <v>17</v>
      </c>
      <c r="F1299" t="s" s="2">
        <f>HYPERLINK("http://ts.21cn.com/tousu/show/id/1372728","http://ts.21cn.com/tousu/show/id/1372728")</f>
      </c>
      <c r="G1299" t="s" s="2">
        <v>17</v>
      </c>
      <c r="H1299" t="s" s="2">
        <v>19</v>
      </c>
      <c r="I1299" t="s" s="2">
        <v>5121</v>
      </c>
      <c r="J1299" t="s" s="2">
        <v>5122</v>
      </c>
      <c r="K1299" t="s" s="2">
        <v>22</v>
      </c>
      <c r="L1299" t="s" s="2">
        <v>22</v>
      </c>
      <c r="M1299" t="s" s="2">
        <v>22</v>
      </c>
    </row>
    <row r="1300" ht="25.0" customHeight="true">
      <c r="A1300" t="s" s="2">
        <v>13</v>
      </c>
      <c r="B1300" t="s" s="2">
        <f>HYPERLINK("http://ts.21cn.com/tousu/show/id/1372743","连资贷还款不成功影响征信")</f>
      </c>
      <c r="C1300" t="s" s="2">
        <v>52</v>
      </c>
      <c r="D1300" t="s" s="2">
        <v>16</v>
      </c>
      <c r="E1300" t="s" s="2">
        <v>17</v>
      </c>
      <c r="F1300" t="s" s="2">
        <f>HYPERLINK("http://ts.21cn.com/tousu/show/id/1372743","http://ts.21cn.com/tousu/show/id/1372743")</f>
      </c>
      <c r="G1300" t="s" s="2">
        <v>17</v>
      </c>
      <c r="H1300" t="s" s="2">
        <v>19</v>
      </c>
      <c r="I1300" t="s" s="2">
        <v>5125</v>
      </c>
      <c r="J1300" t="s" s="2">
        <v>5126</v>
      </c>
      <c r="K1300" t="s" s="2">
        <v>22</v>
      </c>
      <c r="L1300" t="s" s="2">
        <v>22</v>
      </c>
      <c r="M1300" t="s" s="2">
        <v>22</v>
      </c>
    </row>
    <row r="1301" ht="25.0" customHeight="true">
      <c r="A1301" t="s" s="2">
        <v>13</v>
      </c>
      <c r="B1301" t="s" s="2">
        <f>HYPERLINK("http://ts.21cn.com/tousu/show/id/1372742","联通信号差，长达半年仍未得到任何回复")</f>
      </c>
      <c r="C1301" t="s" s="2">
        <v>15</v>
      </c>
      <c r="D1301" t="s" s="2">
        <v>16</v>
      </c>
      <c r="E1301" t="s" s="2">
        <v>17</v>
      </c>
      <c r="F1301" t="s" s="2">
        <f>HYPERLINK("http://ts.21cn.com/tousu/show/id/1372742","http://ts.21cn.com/tousu/show/id/1372742")</f>
      </c>
      <c r="G1301" t="s" s="2">
        <v>17</v>
      </c>
      <c r="H1301" t="s" s="2">
        <v>19</v>
      </c>
      <c r="I1301" t="s" s="2">
        <v>5129</v>
      </c>
      <c r="J1301" t="s" s="2">
        <v>5130</v>
      </c>
      <c r="K1301" t="s" s="2">
        <v>22</v>
      </c>
      <c r="L1301" t="s" s="2">
        <v>22</v>
      </c>
      <c r="M1301" t="s" s="2">
        <v>22</v>
      </c>
    </row>
    <row r="1302" ht="25.0" customHeight="true">
      <c r="A1302" t="s" s="2">
        <v>13</v>
      </c>
      <c r="B1302" t="s" s="2">
        <f>HYPERLINK("http://ts.21cn.com/tousu/show/id/1372740","松紧贷高利贷骚扰")</f>
      </c>
      <c r="C1302" t="s" s="2">
        <v>15</v>
      </c>
      <c r="D1302" t="s" s="2">
        <v>16</v>
      </c>
      <c r="E1302" t="s" s="2">
        <v>17</v>
      </c>
      <c r="F1302" t="s" s="2">
        <f>HYPERLINK("http://ts.21cn.com/tousu/show/id/1372740","http://ts.21cn.com/tousu/show/id/1372740")</f>
      </c>
      <c r="G1302" t="s" s="2">
        <v>17</v>
      </c>
      <c r="H1302" t="s" s="2">
        <v>19</v>
      </c>
      <c r="I1302" t="s" s="2">
        <v>5133</v>
      </c>
      <c r="J1302" t="s" s="2">
        <v>5134</v>
      </c>
      <c r="K1302" t="s" s="2">
        <v>22</v>
      </c>
      <c r="L1302" t="s" s="2">
        <v>22</v>
      </c>
      <c r="M1302" t="s" s="2">
        <v>22</v>
      </c>
    </row>
    <row r="1303" ht="25.0" customHeight="true">
      <c r="A1303" t="s" s="2">
        <v>13</v>
      </c>
      <c r="B1303" t="s" s="2">
        <f>HYPERLINK("http://ts.21cn.com/tousu/show/id/1372739","套路高利贷暴力催收阳光保险与光大银行")</f>
      </c>
      <c r="C1303" t="s" s="2">
        <v>15</v>
      </c>
      <c r="D1303" t="s" s="2">
        <v>16</v>
      </c>
      <c r="E1303" t="s" s="2">
        <v>17</v>
      </c>
      <c r="F1303" t="s" s="2">
        <f>HYPERLINK("http://ts.21cn.com/tousu/show/id/1372739","http://ts.21cn.com/tousu/show/id/1372739")</f>
      </c>
      <c r="G1303" t="s" s="2">
        <v>17</v>
      </c>
      <c r="H1303" t="s" s="2">
        <v>19</v>
      </c>
      <c r="I1303" t="s" s="2">
        <v>5137</v>
      </c>
      <c r="J1303" t="s" s="2">
        <v>5138</v>
      </c>
      <c r="K1303" t="s" s="2">
        <v>22</v>
      </c>
      <c r="L1303" t="s" s="2">
        <v>22</v>
      </c>
      <c r="M1303" t="s" s="2">
        <v>22</v>
      </c>
    </row>
    <row r="1304" ht="25.0" customHeight="true">
      <c r="A1304" t="s" s="2">
        <v>13</v>
      </c>
      <c r="B1304" t="s" s="2">
        <f>HYPERLINK("http://ts.21cn.com/tousu/show/id/1372737","交通银行信用卡违约金过高")</f>
      </c>
      <c r="C1304" t="s" s="2">
        <v>15</v>
      </c>
      <c r="D1304" t="s" s="2">
        <v>16</v>
      </c>
      <c r="E1304" t="s" s="2">
        <v>17</v>
      </c>
      <c r="F1304" t="s" s="2">
        <f>HYPERLINK("http://ts.21cn.com/tousu/show/id/1372737","http://ts.21cn.com/tousu/show/id/1372737")</f>
      </c>
      <c r="G1304" t="s" s="2">
        <v>17</v>
      </c>
      <c r="H1304" t="s" s="2">
        <v>19</v>
      </c>
      <c r="I1304" t="s" s="2">
        <v>5141</v>
      </c>
      <c r="J1304" t="s" s="2">
        <v>5142</v>
      </c>
      <c r="K1304" t="s" s="2">
        <v>22</v>
      </c>
      <c r="L1304" t="s" s="2">
        <v>22</v>
      </c>
      <c r="M1304" t="s" s="2">
        <v>22</v>
      </c>
    </row>
    <row r="1305" ht="25.0" customHeight="true">
      <c r="A1305" t="s" s="2">
        <v>13</v>
      </c>
      <c r="B1305" t="s" s="2">
        <f>HYPERLINK("http://ts.21cn.com/tousu/show/id/1372736","还有没有王法呢")</f>
      </c>
      <c r="C1305" t="s" s="2">
        <v>15</v>
      </c>
      <c r="D1305" t="s" s="2">
        <v>16</v>
      </c>
      <c r="E1305" t="s" s="2">
        <v>17</v>
      </c>
      <c r="F1305" t="s" s="2">
        <f>HYPERLINK("http://ts.21cn.com/tousu/show/id/1372736","http://ts.21cn.com/tousu/show/id/1372736")</f>
      </c>
      <c r="G1305" t="s" s="2">
        <v>17</v>
      </c>
      <c r="H1305" t="s" s="2">
        <v>19</v>
      </c>
      <c r="I1305" t="s" s="2">
        <v>5145</v>
      </c>
      <c r="J1305" t="s" s="2">
        <v>5146</v>
      </c>
      <c r="K1305" t="s" s="2">
        <v>22</v>
      </c>
      <c r="L1305" t="s" s="2">
        <v>22</v>
      </c>
      <c r="M1305" t="s" s="2">
        <v>22</v>
      </c>
    </row>
    <row r="1306" ht="25.0" customHeight="true">
      <c r="A1306" t="s" s="2">
        <v>13</v>
      </c>
      <c r="B1306" t="s" s="2">
        <f>HYPERLINK("http://ts.21cn.com/tousu/show/id/1372735","购买衣服质量问题，联系商户退货无回应")</f>
      </c>
      <c r="C1306" t="s" s="2">
        <v>15</v>
      </c>
      <c r="D1306" t="s" s="2">
        <v>16</v>
      </c>
      <c r="E1306" t="s" s="2">
        <v>17</v>
      </c>
      <c r="F1306" t="s" s="2">
        <f>HYPERLINK("http://ts.21cn.com/tousu/show/id/1372735","http://ts.21cn.com/tousu/show/id/1372735")</f>
      </c>
      <c r="G1306" t="s" s="2">
        <v>17</v>
      </c>
      <c r="H1306" t="s" s="2">
        <v>19</v>
      </c>
      <c r="I1306" t="s" s="2">
        <v>5149</v>
      </c>
      <c r="J1306" t="s" s="2">
        <v>5150</v>
      </c>
      <c r="K1306" t="s" s="2">
        <v>22</v>
      </c>
      <c r="L1306" t="s" s="2">
        <v>22</v>
      </c>
      <c r="M1306" t="s" s="2">
        <v>22</v>
      </c>
    </row>
    <row r="1307" ht="25.0" customHeight="true">
      <c r="A1307" t="s" s="2">
        <v>13</v>
      </c>
      <c r="B1307" t="s" s="2">
        <f>HYPERLINK("http://ts.21cn.com/tousu/show/id/1372734","投诉拍拍货暴力催收，制造虚假司法文件")</f>
      </c>
      <c r="C1307" t="s" s="2">
        <v>15</v>
      </c>
      <c r="D1307" t="s" s="2">
        <v>16</v>
      </c>
      <c r="E1307" t="s" s="2">
        <v>17</v>
      </c>
      <c r="F1307" t="s" s="2">
        <f>HYPERLINK("http://ts.21cn.com/tousu/show/id/1372734","http://ts.21cn.com/tousu/show/id/1372734")</f>
      </c>
      <c r="G1307" t="s" s="2">
        <v>17</v>
      </c>
      <c r="H1307" t="s" s="2">
        <v>19</v>
      </c>
      <c r="I1307" t="s" s="2">
        <v>5153</v>
      </c>
      <c r="J1307" t="s" s="2">
        <v>5021</v>
      </c>
      <c r="K1307" t="s" s="2">
        <v>22</v>
      </c>
      <c r="L1307" t="s" s="2">
        <v>22</v>
      </c>
      <c r="M1307" t="s" s="2">
        <v>22</v>
      </c>
    </row>
    <row r="1308" ht="25.0" customHeight="true">
      <c r="A1308" t="s" s="2">
        <v>13</v>
      </c>
      <c r="B1308" t="s" s="2">
        <f>HYPERLINK("http://ts.21cn.com/tousu/show/id/1372732","京东金条扬言要爆我通讯录，还说是本人自己填写的联系人姓名电话")</f>
      </c>
      <c r="C1308" t="s" s="2">
        <v>15</v>
      </c>
      <c r="D1308" t="s" s="2">
        <v>16</v>
      </c>
      <c r="E1308" t="s" s="2">
        <v>17</v>
      </c>
      <c r="F1308" t="s" s="2">
        <f>HYPERLINK("http://ts.21cn.com/tousu/show/id/1372732","http://ts.21cn.com/tousu/show/id/1372732")</f>
      </c>
      <c r="G1308" t="s" s="2">
        <v>17</v>
      </c>
      <c r="H1308" t="s" s="2">
        <v>19</v>
      </c>
      <c r="I1308" t="s" s="2">
        <v>5156</v>
      </c>
      <c r="J1308" t="s" s="2">
        <v>5157</v>
      </c>
      <c r="K1308" t="s" s="2">
        <v>22</v>
      </c>
      <c r="L1308" t="s" s="2">
        <v>22</v>
      </c>
      <c r="M1308" t="s" s="2">
        <v>22</v>
      </c>
    </row>
    <row r="1309" ht="25.0" customHeight="true">
      <c r="A1309" t="s" s="2">
        <v>13</v>
      </c>
      <c r="B1309" t="s" s="2">
        <f>HYPERLINK("http://ts.21cn.com/tousu/show/id/1372731","买房迟迟不交房")</f>
      </c>
      <c r="C1309" t="s" s="2">
        <v>15</v>
      </c>
      <c r="D1309" t="s" s="2">
        <v>16</v>
      </c>
      <c r="E1309" t="s" s="2">
        <v>17</v>
      </c>
      <c r="F1309" t="s" s="2">
        <f>HYPERLINK("http://ts.21cn.com/tousu/show/id/1372731","http://ts.21cn.com/tousu/show/id/1372731")</f>
      </c>
      <c r="G1309" t="s" s="2">
        <v>17</v>
      </c>
      <c r="H1309" t="s" s="2">
        <v>19</v>
      </c>
      <c r="I1309" t="s" s="2">
        <v>5160</v>
      </c>
      <c r="J1309" t="s" s="2">
        <v>5161</v>
      </c>
      <c r="K1309" t="s" s="2">
        <v>22</v>
      </c>
      <c r="L1309" t="s" s="2">
        <v>22</v>
      </c>
      <c r="M1309" t="s" s="2">
        <v>22</v>
      </c>
    </row>
    <row r="1310" ht="25.0" customHeight="true">
      <c r="A1310" t="s" s="2">
        <v>13</v>
      </c>
      <c r="B1310" t="s" s="2">
        <f>HYPERLINK("http://ts.21cn.com/tousu/show/id/1372715","频繁拨打骚扰电话以及爆通讯录")</f>
      </c>
      <c r="C1310" t="s" s="2">
        <v>15</v>
      </c>
      <c r="D1310" t="s" s="2">
        <v>16</v>
      </c>
      <c r="E1310" t="s" s="2">
        <v>17</v>
      </c>
      <c r="F1310" t="s" s="2">
        <f>HYPERLINK("http://ts.21cn.com/tousu/show/id/1372715","http://ts.21cn.com/tousu/show/id/1372715")</f>
      </c>
      <c r="G1310" t="s" s="2">
        <v>17</v>
      </c>
      <c r="H1310" t="s" s="2">
        <v>19</v>
      </c>
      <c r="I1310" t="s" s="2">
        <v>5164</v>
      </c>
      <c r="J1310" t="s" s="2">
        <v>5165</v>
      </c>
      <c r="K1310" t="s" s="2">
        <v>22</v>
      </c>
      <c r="L1310" t="s" s="2">
        <v>22</v>
      </c>
      <c r="M1310" t="s" s="2">
        <v>22</v>
      </c>
    </row>
    <row r="1311" ht="25.0" customHeight="true">
      <c r="A1311" t="s" s="2">
        <v>13</v>
      </c>
      <c r="B1311" t="s" s="2">
        <f>HYPERLINK("http://ts.21cn.com/tousu/show/id/1372727","高利息")</f>
      </c>
      <c r="C1311" t="s" s="2">
        <v>52</v>
      </c>
      <c r="D1311" t="s" s="2">
        <v>16</v>
      </c>
      <c r="E1311" t="s" s="2">
        <v>17</v>
      </c>
      <c r="F1311" t="s" s="2">
        <f>HYPERLINK("http://ts.21cn.com/tousu/show/id/1372727","http://ts.21cn.com/tousu/show/id/1372727")</f>
      </c>
      <c r="G1311" t="s" s="2">
        <v>17</v>
      </c>
      <c r="H1311" t="s" s="2">
        <v>19</v>
      </c>
      <c r="I1311" t="s" s="2">
        <v>5168</v>
      </c>
      <c r="J1311" t="s" s="2">
        <v>5169</v>
      </c>
      <c r="K1311" t="s" s="2">
        <v>22</v>
      </c>
      <c r="L1311" t="s" s="2">
        <v>22</v>
      </c>
      <c r="M1311" t="s" s="2">
        <v>22</v>
      </c>
    </row>
    <row r="1312" ht="25.0" customHeight="true">
      <c r="A1312" t="s" s="2">
        <v>13</v>
      </c>
      <c r="B1312" t="s" s="2">
        <f>HYPERLINK("http://ts.21cn.com/tousu/show/id/1372726","联动云共享汽车换了手机号码以后就登不上去了，客服号码也一直没人接")</f>
      </c>
      <c r="C1312" t="s" s="2">
        <v>15</v>
      </c>
      <c r="D1312" t="s" s="2">
        <v>16</v>
      </c>
      <c r="E1312" t="s" s="2">
        <v>17</v>
      </c>
      <c r="F1312" t="s" s="2">
        <f>HYPERLINK("http://ts.21cn.com/tousu/show/id/1372726","http://ts.21cn.com/tousu/show/id/1372726")</f>
      </c>
      <c r="G1312" t="s" s="2">
        <v>17</v>
      </c>
      <c r="H1312" t="s" s="2">
        <v>19</v>
      </c>
      <c r="I1312" t="s" s="2">
        <v>5172</v>
      </c>
      <c r="J1312" t="s" s="2">
        <v>5173</v>
      </c>
      <c r="K1312" t="s" s="2">
        <v>22</v>
      </c>
      <c r="L1312" t="s" s="2">
        <v>22</v>
      </c>
      <c r="M1312" t="s" s="2">
        <v>22</v>
      </c>
    </row>
    <row r="1313" ht="25.0" customHeight="true">
      <c r="A1313" t="s" s="2">
        <v>13</v>
      </c>
      <c r="B1313" t="s" s="2">
        <f>HYPERLINK("http://ts.21cn.com/tousu/show/id/1372725","钱站高利贷阴阳合同")</f>
      </c>
      <c r="C1313" t="s" s="2">
        <v>15</v>
      </c>
      <c r="D1313" t="s" s="2">
        <v>16</v>
      </c>
      <c r="E1313" t="s" s="2">
        <v>17</v>
      </c>
      <c r="F1313" t="s" s="2">
        <f>HYPERLINK("http://ts.21cn.com/tousu/show/id/1372725","http://ts.21cn.com/tousu/show/id/1372725")</f>
      </c>
      <c r="G1313" t="s" s="2">
        <v>17</v>
      </c>
      <c r="H1313" t="s" s="2">
        <v>19</v>
      </c>
      <c r="I1313" t="s" s="2">
        <v>5175</v>
      </c>
      <c r="J1313" t="s" s="2">
        <v>5176</v>
      </c>
      <c r="K1313" t="s" s="2">
        <v>22</v>
      </c>
      <c r="L1313" t="s" s="2">
        <v>22</v>
      </c>
      <c r="M1313" t="s" s="2">
        <v>22</v>
      </c>
    </row>
    <row r="1314" ht="25.0" customHeight="true">
      <c r="A1314" t="s" s="2">
        <v>13</v>
      </c>
      <c r="B1314" t="s" s="2">
        <f>HYPERLINK("http://ts.21cn.com/tousu/show/id/1372721","投诉贝贝网，诱导消费购买会员")</f>
      </c>
      <c r="C1314" t="s" s="2">
        <v>15</v>
      </c>
      <c r="D1314" t="s" s="2">
        <v>16</v>
      </c>
      <c r="E1314" t="s" s="2">
        <v>17</v>
      </c>
      <c r="F1314" t="s" s="2">
        <f>HYPERLINK("http://ts.21cn.com/tousu/show/id/1372721","http://ts.21cn.com/tousu/show/id/1372721")</f>
      </c>
      <c r="G1314" t="s" s="2">
        <v>17</v>
      </c>
      <c r="H1314" t="s" s="2">
        <v>19</v>
      </c>
      <c r="I1314" t="s" s="2">
        <v>5179</v>
      </c>
      <c r="J1314" t="s" s="2">
        <v>5180</v>
      </c>
      <c r="K1314" t="s" s="2">
        <v>22</v>
      </c>
      <c r="L1314" t="s" s="2">
        <v>22</v>
      </c>
      <c r="M1314" t="s" s="2">
        <v>22</v>
      </c>
    </row>
    <row r="1315" ht="25.0" customHeight="true">
      <c r="A1315" t="s" s="2">
        <v>13</v>
      </c>
      <c r="B1315" t="s" s="2">
        <f>HYPERLINK("http://ts.21cn.com/tousu/show/id/1372723","钱站高利息催收骚扰恐吓我通讯录好友")</f>
      </c>
      <c r="C1315" t="s" s="2">
        <v>15</v>
      </c>
      <c r="D1315" t="s" s="2">
        <v>16</v>
      </c>
      <c r="E1315" t="s" s="2">
        <v>17</v>
      </c>
      <c r="F1315" t="s" s="2">
        <f>HYPERLINK("http://ts.21cn.com/tousu/show/id/1372723","http://ts.21cn.com/tousu/show/id/1372723")</f>
      </c>
      <c r="G1315" t="s" s="2">
        <v>17</v>
      </c>
      <c r="H1315" t="s" s="2">
        <v>19</v>
      </c>
      <c r="I1315" t="s" s="2">
        <v>5183</v>
      </c>
      <c r="J1315" t="s" s="2">
        <v>5184</v>
      </c>
      <c r="K1315" t="s" s="2">
        <v>22</v>
      </c>
      <c r="L1315" t="s" s="2">
        <v>22</v>
      </c>
      <c r="M1315" t="s" s="2">
        <v>22</v>
      </c>
    </row>
    <row r="1316" ht="25.0" customHeight="true">
      <c r="A1316" t="s" s="2">
        <v>13</v>
      </c>
      <c r="B1316" t="s" s="2">
        <f>HYPERLINK("http://ts.21cn.com/tousu/show/id/1372722","龙行天下虚假宣传误导办卡")</f>
      </c>
      <c r="C1316" t="s" s="2">
        <v>15</v>
      </c>
      <c r="D1316" t="s" s="2">
        <v>16</v>
      </c>
      <c r="E1316" t="s" s="2">
        <v>17</v>
      </c>
      <c r="F1316" t="s" s="2">
        <f>HYPERLINK("http://ts.21cn.com/tousu/show/id/1372722","http://ts.21cn.com/tousu/show/id/1372722")</f>
      </c>
      <c r="G1316" t="s" s="2">
        <v>17</v>
      </c>
      <c r="H1316" t="s" s="2">
        <v>19</v>
      </c>
      <c r="I1316" t="s" s="2">
        <v>5187</v>
      </c>
      <c r="J1316" t="s" s="2">
        <v>5188</v>
      </c>
      <c r="K1316" t="s" s="2">
        <v>22</v>
      </c>
      <c r="L1316" t="s" s="2">
        <v>22</v>
      </c>
      <c r="M1316" t="s" s="2">
        <v>22</v>
      </c>
    </row>
    <row r="1317" ht="25.0" customHeight="true">
      <c r="A1317" t="s" s="2">
        <v>13</v>
      </c>
      <c r="B1317" t="s" s="2">
        <f>HYPERLINK("http://ts.21cn.com/tousu/show/id/1371803","嗨包协商未果希望得到该平台的帮助")</f>
      </c>
      <c r="C1317" t="s" s="2">
        <v>15</v>
      </c>
      <c r="D1317" t="s" s="2">
        <v>16</v>
      </c>
      <c r="E1317" t="s" s="2">
        <v>17</v>
      </c>
      <c r="F1317" t="s" s="2">
        <f>HYPERLINK("http://ts.21cn.com/tousu/show/id/1371803","http://ts.21cn.com/tousu/show/id/1371803")</f>
      </c>
      <c r="G1317" t="s" s="2">
        <v>17</v>
      </c>
      <c r="H1317" t="s" s="2">
        <v>19</v>
      </c>
      <c r="I1317" t="s" s="2">
        <v>5191</v>
      </c>
      <c r="J1317" t="s" s="2">
        <v>5192</v>
      </c>
      <c r="K1317" t="s" s="2">
        <v>22</v>
      </c>
      <c r="L1317" t="s" s="2">
        <v>22</v>
      </c>
      <c r="M1317" t="s" s="2">
        <v>22</v>
      </c>
    </row>
    <row r="1318" ht="25.0" customHeight="true">
      <c r="A1318" t="s" s="2">
        <v>13</v>
      </c>
      <c r="B1318" t="s" s="2">
        <f>HYPERLINK("http://ts.21cn.com/tousu/show/id/1372720","我来贷故意不让还款")</f>
      </c>
      <c r="C1318" t="s" s="2">
        <v>15</v>
      </c>
      <c r="D1318" t="s" s="2">
        <v>16</v>
      </c>
      <c r="E1318" t="s" s="2">
        <v>17</v>
      </c>
      <c r="F1318" t="s" s="2">
        <f>HYPERLINK("http://ts.21cn.com/tousu/show/id/1372720","http://ts.21cn.com/tousu/show/id/1372720")</f>
      </c>
      <c r="G1318" t="s" s="2">
        <v>17</v>
      </c>
      <c r="H1318" t="s" s="2">
        <v>19</v>
      </c>
      <c r="I1318" t="s" s="2">
        <v>5195</v>
      </c>
      <c r="J1318" t="s" s="2">
        <v>5196</v>
      </c>
      <c r="K1318" t="s" s="2">
        <v>22</v>
      </c>
      <c r="L1318" t="s" s="2">
        <v>22</v>
      </c>
      <c r="M1318" t="s" s="2">
        <v>22</v>
      </c>
    </row>
    <row r="1319" ht="25.0" customHeight="true">
      <c r="A1319" t="s" s="2">
        <v>13</v>
      </c>
      <c r="B1319" t="s" s="2">
        <f>HYPERLINK("http://ts.21cn.com/tousu/show/id/1372719","打通讯录骚扰，拒不理会提出的提前还款，对后续手续费减除的要求。")</f>
      </c>
      <c r="C1319" t="s" s="2">
        <v>15</v>
      </c>
      <c r="D1319" t="s" s="2">
        <v>16</v>
      </c>
      <c r="E1319" t="s" s="2">
        <v>17</v>
      </c>
      <c r="F1319" t="s" s="2">
        <f>HYPERLINK("http://ts.21cn.com/tousu/show/id/1372719","http://ts.21cn.com/tousu/show/id/1372719")</f>
      </c>
      <c r="G1319" t="s" s="2">
        <v>17</v>
      </c>
      <c r="H1319" t="s" s="2">
        <v>19</v>
      </c>
      <c r="I1319" t="s" s="2">
        <v>5199</v>
      </c>
      <c r="J1319" t="s" s="2">
        <v>5200</v>
      </c>
      <c r="K1319" t="s" s="2">
        <v>22</v>
      </c>
      <c r="L1319" t="s" s="2">
        <v>22</v>
      </c>
      <c r="M1319" t="s" s="2">
        <v>22</v>
      </c>
    </row>
    <row r="1320" ht="25.0" customHeight="true">
      <c r="A1320" t="s" s="2">
        <v>13</v>
      </c>
      <c r="B1320" t="s" s="2">
        <f>HYPERLINK("http://ts.21cn.com/tousu/show/id/1372717","网贷米米罐")</f>
      </c>
      <c r="C1320" t="s" s="2">
        <v>15</v>
      </c>
      <c r="D1320" t="s" s="2">
        <v>16</v>
      </c>
      <c r="E1320" t="s" s="2">
        <v>17</v>
      </c>
      <c r="F1320" t="s" s="2">
        <f>HYPERLINK("http://ts.21cn.com/tousu/show/id/1372717","http://ts.21cn.com/tousu/show/id/1372717")</f>
      </c>
      <c r="G1320" t="s" s="2">
        <v>17</v>
      </c>
      <c r="H1320" t="s" s="2">
        <v>19</v>
      </c>
      <c r="I1320" t="s" s="2">
        <v>5203</v>
      </c>
      <c r="J1320" t="s" s="2">
        <v>5204</v>
      </c>
      <c r="K1320" t="s" s="2">
        <v>22</v>
      </c>
      <c r="L1320" t="s" s="2">
        <v>22</v>
      </c>
      <c r="M1320" t="s" s="2">
        <v>22</v>
      </c>
    </row>
    <row r="1321" ht="25.0" customHeight="true">
      <c r="A1321" t="s" s="2">
        <v>13</v>
      </c>
      <c r="B1321" t="s" s="2">
        <f>HYPERLINK("http://ts.21cn.com/tousu/show/id/1372716","广发银行协商还款")</f>
      </c>
      <c r="C1321" t="s" s="2">
        <v>15</v>
      </c>
      <c r="D1321" t="s" s="2">
        <v>16</v>
      </c>
      <c r="E1321" t="s" s="2">
        <v>17</v>
      </c>
      <c r="F1321" t="s" s="2">
        <f>HYPERLINK("http://ts.21cn.com/tousu/show/id/1372716","http://ts.21cn.com/tousu/show/id/1372716")</f>
      </c>
      <c r="G1321" t="s" s="2">
        <v>17</v>
      </c>
      <c r="H1321" t="s" s="2">
        <v>19</v>
      </c>
      <c r="I1321" t="s" s="2">
        <v>5207</v>
      </c>
      <c r="J1321" t="s" s="2">
        <v>5208</v>
      </c>
      <c r="K1321" t="s" s="2">
        <v>22</v>
      </c>
      <c r="L1321" t="s" s="2">
        <v>22</v>
      </c>
      <c r="M1321" t="s" s="2">
        <v>22</v>
      </c>
    </row>
    <row r="1322" ht="25.0" customHeight="true">
      <c r="A1322" t="s" s="2">
        <v>13</v>
      </c>
      <c r="B1322" t="s" s="2">
        <f>HYPERLINK("http://ts.21cn.com/tousu/show/id/1372714","月光侠app违法高利贷砍头息暴力催收骚扰通讯录")</f>
      </c>
      <c r="C1322" t="s" s="2">
        <v>15</v>
      </c>
      <c r="D1322" t="s" s="2">
        <v>16</v>
      </c>
      <c r="E1322" t="s" s="2">
        <v>17</v>
      </c>
      <c r="F1322" t="s" s="2">
        <f>HYPERLINK("http://ts.21cn.com/tousu/show/id/1372714","http://ts.21cn.com/tousu/show/id/1372714")</f>
      </c>
      <c r="G1322" t="s" s="2">
        <v>17</v>
      </c>
      <c r="H1322" t="s" s="2">
        <v>19</v>
      </c>
      <c r="I1322" t="s" s="2">
        <v>5211</v>
      </c>
      <c r="J1322" t="s" s="2">
        <v>5212</v>
      </c>
      <c r="K1322" t="s" s="2">
        <v>22</v>
      </c>
      <c r="L1322" t="s" s="2">
        <v>22</v>
      </c>
      <c r="M1322" t="s" s="2">
        <v>22</v>
      </c>
    </row>
    <row r="1323" ht="25.0" customHeight="true">
      <c r="A1323" t="s" s="2">
        <v>13</v>
      </c>
      <c r="B1323" t="s" s="2">
        <f>HYPERLINK("http://ts.21cn.com/tousu/show/id/1372713","淘集集不能退店，保证金不能退")</f>
      </c>
      <c r="C1323" t="s" s="2">
        <v>15</v>
      </c>
      <c r="D1323" t="s" s="2">
        <v>16</v>
      </c>
      <c r="E1323" t="s" s="2">
        <v>17</v>
      </c>
      <c r="F1323" t="s" s="2">
        <f>HYPERLINK("http://ts.21cn.com/tousu/show/id/1372713","http://ts.21cn.com/tousu/show/id/1372713")</f>
      </c>
      <c r="G1323" t="s" s="2">
        <v>17</v>
      </c>
      <c r="H1323" t="s" s="2">
        <v>19</v>
      </c>
      <c r="I1323" t="s" s="2">
        <v>5215</v>
      </c>
      <c r="J1323" t="s" s="2">
        <v>5216</v>
      </c>
      <c r="K1323" t="s" s="2">
        <v>22</v>
      </c>
      <c r="L1323" t="s" s="2">
        <v>22</v>
      </c>
      <c r="M1323" t="s" s="2">
        <v>22</v>
      </c>
    </row>
    <row r="1324" ht="25.0" customHeight="true">
      <c r="A1324" t="s" s="2">
        <v>13</v>
      </c>
      <c r="B1324" t="s" s="2">
        <f>HYPERLINK("http://ts.21cn.com/tousu/show/id/1372712","联动云需要我垫付第三方物损")</f>
      </c>
      <c r="C1324" t="s" s="2">
        <v>15</v>
      </c>
      <c r="D1324" t="s" s="2">
        <v>16</v>
      </c>
      <c r="E1324" t="s" s="2">
        <v>17</v>
      </c>
      <c r="F1324" t="s" s="2">
        <f>HYPERLINK("http://ts.21cn.com/tousu/show/id/1372712","http://ts.21cn.com/tousu/show/id/1372712")</f>
      </c>
      <c r="G1324" t="s" s="2">
        <v>17</v>
      </c>
      <c r="H1324" t="s" s="2">
        <v>19</v>
      </c>
      <c r="I1324" t="s" s="2">
        <v>5219</v>
      </c>
      <c r="J1324" t="s" s="2">
        <v>5220</v>
      </c>
      <c r="K1324" t="s" s="2">
        <v>22</v>
      </c>
      <c r="L1324" t="s" s="2">
        <v>22</v>
      </c>
      <c r="M1324" t="s" s="2">
        <v>22</v>
      </c>
    </row>
    <row r="1325" ht="25.0" customHeight="true">
      <c r="A1325" t="s" s="2">
        <v>13</v>
      </c>
      <c r="B1325" t="s" s="2">
        <f>HYPERLINK("http://ts.21cn.com/tousu/show/id/1372711","联动云出租")</f>
      </c>
      <c r="C1325" t="s" s="2">
        <v>15</v>
      </c>
      <c r="D1325" t="s" s="2">
        <v>16</v>
      </c>
      <c r="E1325" t="s" s="2">
        <v>17</v>
      </c>
      <c r="F1325" t="s" s="2">
        <f>HYPERLINK("http://ts.21cn.com/tousu/show/id/1372711","http://ts.21cn.com/tousu/show/id/1372711")</f>
      </c>
      <c r="G1325" t="s" s="2">
        <v>17</v>
      </c>
      <c r="H1325" t="s" s="2">
        <v>19</v>
      </c>
      <c r="I1325" t="s" s="2">
        <v>5223</v>
      </c>
      <c r="J1325" t="s" s="2">
        <v>5224</v>
      </c>
      <c r="K1325" t="s" s="2">
        <v>22</v>
      </c>
      <c r="L1325" t="s" s="2">
        <v>22</v>
      </c>
      <c r="M1325" t="s" s="2">
        <v>22</v>
      </c>
    </row>
    <row r="1326" ht="25.0" customHeight="true">
      <c r="A1326" t="s" s="2">
        <v>13</v>
      </c>
      <c r="B1326" t="s" s="2">
        <f>HYPERLINK("http://ts.21cn.com/tousu/show/id/1372710","信而富欺诈消费者")</f>
      </c>
      <c r="C1326" t="s" s="2">
        <v>15</v>
      </c>
      <c r="D1326" t="s" s="2">
        <v>16</v>
      </c>
      <c r="E1326" t="s" s="2">
        <v>17</v>
      </c>
      <c r="F1326" t="s" s="2">
        <f>HYPERLINK("http://ts.21cn.com/tousu/show/id/1372710","http://ts.21cn.com/tousu/show/id/1372710")</f>
      </c>
      <c r="G1326" t="s" s="2">
        <v>17</v>
      </c>
      <c r="H1326" t="s" s="2">
        <v>19</v>
      </c>
      <c r="I1326" t="s" s="2">
        <v>5227</v>
      </c>
      <c r="J1326" t="s" s="2">
        <v>5228</v>
      </c>
      <c r="K1326" t="s" s="2">
        <v>22</v>
      </c>
      <c r="L1326" t="s" s="2">
        <v>22</v>
      </c>
      <c r="M1326" t="s" s="2">
        <v>22</v>
      </c>
    </row>
    <row r="1327" ht="25.0" customHeight="true">
      <c r="A1327" t="s" s="2">
        <v>13</v>
      </c>
      <c r="B1327" t="s" s="2">
        <f>HYPERLINK("http://ts.21cn.com/tousu/show/id/1372709","拼多多店铺被判断诱导非官方交易，无实际依据")</f>
      </c>
      <c r="C1327" t="s" s="2">
        <v>15</v>
      </c>
      <c r="D1327" t="s" s="2">
        <v>16</v>
      </c>
      <c r="E1327" t="s" s="2">
        <v>17</v>
      </c>
      <c r="F1327" t="s" s="2">
        <f>HYPERLINK("http://ts.21cn.com/tousu/show/id/1372709","http://ts.21cn.com/tousu/show/id/1372709")</f>
      </c>
      <c r="G1327" t="s" s="2">
        <v>17</v>
      </c>
      <c r="H1327" t="s" s="2">
        <v>19</v>
      </c>
      <c r="I1327" t="s" s="2">
        <v>5231</v>
      </c>
      <c r="J1327" t="s" s="2">
        <v>5232</v>
      </c>
      <c r="K1327" t="s" s="2">
        <v>22</v>
      </c>
      <c r="L1327" t="s" s="2">
        <v>22</v>
      </c>
      <c r="M1327" t="s" s="2">
        <v>22</v>
      </c>
    </row>
    <row r="1328" ht="25.0" customHeight="true">
      <c r="A1328" t="s" s="2">
        <v>13</v>
      </c>
      <c r="B1328" t="s" s="2">
        <f>HYPERLINK("http://ts.21cn.com/tousu/show/id/1372708","平安银行对我恶意催收过")</f>
      </c>
      <c r="C1328" t="s" s="2">
        <v>15</v>
      </c>
      <c r="D1328" t="s" s="2">
        <v>16</v>
      </c>
      <c r="E1328" t="s" s="2">
        <v>17</v>
      </c>
      <c r="F1328" t="s" s="2">
        <f>HYPERLINK("http://ts.21cn.com/tousu/show/id/1372708","http://ts.21cn.com/tousu/show/id/1372708")</f>
      </c>
      <c r="G1328" t="s" s="2">
        <v>17</v>
      </c>
      <c r="H1328" t="s" s="2">
        <v>19</v>
      </c>
      <c r="I1328" t="s" s="2">
        <v>5235</v>
      </c>
      <c r="J1328" t="s" s="2">
        <v>5236</v>
      </c>
      <c r="K1328" t="s" s="2">
        <v>22</v>
      </c>
      <c r="L1328" t="s" s="2">
        <v>22</v>
      </c>
      <c r="M1328" t="s" s="2">
        <v>22</v>
      </c>
    </row>
    <row r="1329" ht="25.0" customHeight="true">
      <c r="A1329" t="s" s="2">
        <v>13</v>
      </c>
      <c r="B1329" t="s" s="2">
        <f>HYPERLINK("http://ts.21cn.com/tousu/show/id/1372707","在转转二手平台关闭订单，竟然扣除我19元验机费")</f>
      </c>
      <c r="C1329" t="s" s="2">
        <v>15</v>
      </c>
      <c r="D1329" t="s" s="2">
        <v>16</v>
      </c>
      <c r="E1329" t="s" s="2">
        <v>17</v>
      </c>
      <c r="F1329" t="s" s="2">
        <f>HYPERLINK("http://ts.21cn.com/tousu/show/id/1372707","http://ts.21cn.com/tousu/show/id/1372707")</f>
      </c>
      <c r="G1329" t="s" s="2">
        <v>17</v>
      </c>
      <c r="H1329" t="s" s="2">
        <v>19</v>
      </c>
      <c r="I1329" t="s" s="2">
        <v>5239</v>
      </c>
      <c r="J1329" t="s" s="2">
        <v>5240</v>
      </c>
      <c r="K1329" t="s" s="2">
        <v>22</v>
      </c>
      <c r="L1329" t="s" s="2">
        <v>22</v>
      </c>
      <c r="M1329" t="s" s="2">
        <v>22</v>
      </c>
    </row>
    <row r="1330" ht="25.0" customHeight="true">
      <c r="A1330" t="s" s="2">
        <v>13</v>
      </c>
      <c r="B1330" t="s" s="2">
        <f>HYPERLINK("http://ts.21cn.com/tousu/show/id/1372706","违法博彩网站收款")</f>
      </c>
      <c r="C1330" t="s" s="2">
        <v>52</v>
      </c>
      <c r="D1330" t="s" s="2">
        <v>16</v>
      </c>
      <c r="E1330" t="s" s="2">
        <v>17</v>
      </c>
      <c r="F1330" t="s" s="2">
        <f>HYPERLINK("http://ts.21cn.com/tousu/show/id/1372706","http://ts.21cn.com/tousu/show/id/1372706")</f>
      </c>
      <c r="G1330" t="s" s="2">
        <v>17</v>
      </c>
      <c r="H1330" t="s" s="2">
        <v>19</v>
      </c>
      <c r="I1330" t="s" s="2">
        <v>5243</v>
      </c>
      <c r="J1330" t="s" s="2">
        <v>5244</v>
      </c>
      <c r="K1330" t="s" s="2">
        <v>22</v>
      </c>
      <c r="L1330" t="s" s="2">
        <v>22</v>
      </c>
      <c r="M1330" t="s" s="2">
        <v>22</v>
      </c>
    </row>
    <row r="1331" ht="25.0" customHeight="true">
      <c r="A1331" t="s" s="2">
        <v>13</v>
      </c>
      <c r="B1331" t="s" s="2">
        <f>HYPERLINK("http://ts.21cn.com/tousu/show/id/1372705","迪乐科技有限公司冻结资金不能提现")</f>
      </c>
      <c r="C1331" t="s" s="2">
        <v>52</v>
      </c>
      <c r="D1331" t="s" s="2">
        <v>16</v>
      </c>
      <c r="E1331" t="s" s="2">
        <v>17</v>
      </c>
      <c r="F1331" t="s" s="2">
        <f>HYPERLINK("http://ts.21cn.com/tousu/show/id/1372705","http://ts.21cn.com/tousu/show/id/1372705")</f>
      </c>
      <c r="G1331" t="s" s="2">
        <v>17</v>
      </c>
      <c r="H1331" t="s" s="2">
        <v>19</v>
      </c>
      <c r="I1331" t="s" s="2">
        <v>5247</v>
      </c>
      <c r="J1331" t="s" s="2">
        <v>5248</v>
      </c>
      <c r="K1331" t="s" s="2">
        <v>22</v>
      </c>
      <c r="L1331" t="s" s="2">
        <v>22</v>
      </c>
      <c r="M1331" t="s" s="2">
        <v>22</v>
      </c>
    </row>
    <row r="1332" ht="25.0" customHeight="true">
      <c r="A1332" t="s" s="2">
        <v>13</v>
      </c>
      <c r="B1332" t="s" s="2">
        <f>HYPERLINK("http://ts.21cn.com/tousu/show/id/1372704","网贷催收")</f>
      </c>
      <c r="C1332" t="s" s="2">
        <v>15</v>
      </c>
      <c r="D1332" t="s" s="2">
        <v>16</v>
      </c>
      <c r="E1332" t="s" s="2">
        <v>17</v>
      </c>
      <c r="F1332" t="s" s="2">
        <f>HYPERLINK("http://ts.21cn.com/tousu/show/id/1372704","http://ts.21cn.com/tousu/show/id/1372704")</f>
      </c>
      <c r="G1332" t="s" s="2">
        <v>17</v>
      </c>
      <c r="H1332" t="s" s="2">
        <v>19</v>
      </c>
      <c r="I1332" t="s" s="2">
        <v>5250</v>
      </c>
      <c r="J1332" t="s" s="2">
        <v>5251</v>
      </c>
      <c r="K1332" t="s" s="2">
        <v>22</v>
      </c>
      <c r="L1332" t="s" s="2">
        <v>22</v>
      </c>
      <c r="M1332" t="s" s="2">
        <v>22</v>
      </c>
    </row>
    <row r="1333" ht="25.0" customHeight="true">
      <c r="A1333" t="s" s="2">
        <v>13</v>
      </c>
      <c r="B1333" t="s" s="2">
        <f>HYPERLINK("http://ts.21cn.com/tousu/show/id/1372700","9665游戏中心诱导充值")</f>
      </c>
      <c r="C1333" t="s" s="2">
        <v>15</v>
      </c>
      <c r="D1333" t="s" s="2">
        <v>16</v>
      </c>
      <c r="E1333" t="s" s="2">
        <v>17</v>
      </c>
      <c r="F1333" t="s" s="2">
        <f>HYPERLINK("http://ts.21cn.com/tousu/show/id/1372700","http://ts.21cn.com/tousu/show/id/1372700")</f>
      </c>
      <c r="G1333" t="s" s="2">
        <v>17</v>
      </c>
      <c r="H1333" t="s" s="2">
        <v>19</v>
      </c>
      <c r="I1333" t="s" s="2">
        <v>5254</v>
      </c>
      <c r="J1333" t="s" s="2">
        <v>5255</v>
      </c>
      <c r="K1333" t="s" s="2">
        <v>22</v>
      </c>
      <c r="L1333" t="s" s="2">
        <v>22</v>
      </c>
      <c r="M1333" t="s" s="2">
        <v>22</v>
      </c>
    </row>
    <row r="1334" ht="25.0" customHeight="true">
      <c r="A1334" t="s" s="2">
        <v>13</v>
      </c>
      <c r="B1334" t="s" s="2">
        <f>HYPERLINK("http://ts.21cn.com/tousu/show/id/1372703","闪银奇异催收威胁")</f>
      </c>
      <c r="C1334" t="s" s="2">
        <v>15</v>
      </c>
      <c r="D1334" t="s" s="2">
        <v>16</v>
      </c>
      <c r="E1334" t="s" s="2">
        <v>17</v>
      </c>
      <c r="F1334" t="s" s="2">
        <f>HYPERLINK("http://ts.21cn.com/tousu/show/id/1372703","http://ts.21cn.com/tousu/show/id/1372703")</f>
      </c>
      <c r="G1334" t="s" s="2">
        <v>17</v>
      </c>
      <c r="H1334" t="s" s="2">
        <v>19</v>
      </c>
      <c r="I1334" t="s" s="2">
        <v>5258</v>
      </c>
      <c r="J1334" t="s" s="2">
        <v>5259</v>
      </c>
      <c r="K1334" t="s" s="2">
        <v>22</v>
      </c>
      <c r="L1334" t="s" s="2">
        <v>22</v>
      </c>
      <c r="M1334" t="s" s="2">
        <v>22</v>
      </c>
    </row>
    <row r="1335" ht="25.0" customHeight="true">
      <c r="A1335" t="s" s="2">
        <v>13</v>
      </c>
      <c r="B1335" t="s" s="2">
        <f>HYPERLINK("http://ts.21cn.com/tousu/show/id/1372702","钱站变相收取费用高利贷伪造借款合同")</f>
      </c>
      <c r="C1335" t="s" s="2">
        <v>15</v>
      </c>
      <c r="D1335" t="s" s="2">
        <v>16</v>
      </c>
      <c r="E1335" t="s" s="2">
        <v>17</v>
      </c>
      <c r="F1335" t="s" s="2">
        <f>HYPERLINK("http://ts.21cn.com/tousu/show/id/1372702","http://ts.21cn.com/tousu/show/id/1372702")</f>
      </c>
      <c r="G1335" t="s" s="2">
        <v>17</v>
      </c>
      <c r="H1335" t="s" s="2">
        <v>19</v>
      </c>
      <c r="I1335" t="s" s="2">
        <v>5262</v>
      </c>
      <c r="J1335" t="s" s="2">
        <v>5263</v>
      </c>
      <c r="K1335" t="s" s="2">
        <v>22</v>
      </c>
      <c r="L1335" t="s" s="2">
        <v>22</v>
      </c>
      <c r="M1335" t="s" s="2">
        <v>22</v>
      </c>
    </row>
    <row r="1336" ht="25.0" customHeight="true">
      <c r="A1336" t="s" s="2">
        <v>13</v>
      </c>
      <c r="B1336" t="s" s="2">
        <f>HYPERLINK("http://ts.21cn.com/tousu/show/id/1372699","易开出行推迟退押金")</f>
      </c>
      <c r="C1336" t="s" s="2">
        <v>15</v>
      </c>
      <c r="D1336" t="s" s="2">
        <v>16</v>
      </c>
      <c r="E1336" t="s" s="2">
        <v>17</v>
      </c>
      <c r="F1336" t="s" s="2">
        <f>HYPERLINK("http://ts.21cn.com/tousu/show/id/1372699","http://ts.21cn.com/tousu/show/id/1372699")</f>
      </c>
      <c r="G1336" t="s" s="2">
        <v>17</v>
      </c>
      <c r="H1336" t="s" s="2">
        <v>19</v>
      </c>
      <c r="I1336" t="s" s="2">
        <v>5266</v>
      </c>
      <c r="J1336" t="s" s="2">
        <v>5267</v>
      </c>
      <c r="K1336" t="s" s="2">
        <v>22</v>
      </c>
      <c r="L1336" t="s" s="2">
        <v>22</v>
      </c>
      <c r="M1336" t="s" s="2">
        <v>22</v>
      </c>
    </row>
    <row r="1337" ht="25.0" customHeight="true">
      <c r="A1337" t="s" s="2">
        <v>13</v>
      </c>
      <c r="B1337" t="s" s="2">
        <f>HYPERLINK("http://ts.21cn.com/tousu/show/id/1372698","豆豆钱暴力催收，令人难堪")</f>
      </c>
      <c r="C1337" t="s" s="2">
        <v>15</v>
      </c>
      <c r="D1337" t="s" s="2">
        <v>16</v>
      </c>
      <c r="E1337" t="s" s="2">
        <v>17</v>
      </c>
      <c r="F1337" t="s" s="2">
        <f>HYPERLINK("http://ts.21cn.com/tousu/show/id/1372698","http://ts.21cn.com/tousu/show/id/1372698")</f>
      </c>
      <c r="G1337" t="s" s="2">
        <v>17</v>
      </c>
      <c r="H1337" t="s" s="2">
        <v>19</v>
      </c>
      <c r="I1337" t="s" s="2">
        <v>5270</v>
      </c>
      <c r="J1337" t="s" s="2">
        <v>5271</v>
      </c>
      <c r="K1337" t="s" s="2">
        <v>22</v>
      </c>
      <c r="L1337" t="s" s="2">
        <v>22</v>
      </c>
      <c r="M1337" t="s" s="2">
        <v>22</v>
      </c>
    </row>
    <row r="1338" ht="25.0" customHeight="true">
      <c r="A1338" t="s" s="2">
        <v>13</v>
      </c>
      <c r="B1338" t="s" s="2">
        <f>HYPERLINK("http://ts.21cn.com/tousu/show/id/1372671","投诉前海锐步商业保理深圳有限公司")</f>
      </c>
      <c r="C1338" t="s" s="2">
        <v>15</v>
      </c>
      <c r="D1338" t="s" s="2">
        <v>16</v>
      </c>
      <c r="E1338" t="s" s="2">
        <v>17</v>
      </c>
      <c r="F1338" t="s" s="2">
        <f>HYPERLINK("http://ts.21cn.com/tousu/show/id/1372671","http://ts.21cn.com/tousu/show/id/1372671")</f>
      </c>
      <c r="G1338" t="s" s="2">
        <v>17</v>
      </c>
      <c r="H1338" t="s" s="2">
        <v>19</v>
      </c>
      <c r="I1338" t="s" s="2">
        <v>5274</v>
      </c>
      <c r="J1338" t="s" s="2">
        <v>5275</v>
      </c>
      <c r="K1338" t="s" s="2">
        <v>22</v>
      </c>
      <c r="L1338" t="s" s="2">
        <v>22</v>
      </c>
      <c r="M1338" t="s" s="2">
        <v>22</v>
      </c>
    </row>
    <row r="1339" ht="25.0" customHeight="true">
      <c r="A1339" t="s" s="2">
        <v>13</v>
      </c>
      <c r="B1339" t="s" s="2">
        <f>HYPERLINK("http://ts.21cn.com/tousu/show/id/1372697","华夏信财砍头息，泄漏个人信息，暴力催收")</f>
      </c>
      <c r="C1339" t="s" s="2">
        <v>15</v>
      </c>
      <c r="D1339" t="s" s="2">
        <v>16</v>
      </c>
      <c r="E1339" t="s" s="2">
        <v>17</v>
      </c>
      <c r="F1339" t="s" s="2">
        <f>HYPERLINK("http://ts.21cn.com/tousu/show/id/1372697","http://ts.21cn.com/tousu/show/id/1372697")</f>
      </c>
      <c r="G1339" t="s" s="2">
        <v>17</v>
      </c>
      <c r="H1339" t="s" s="2">
        <v>19</v>
      </c>
      <c r="I1339" t="s" s="2">
        <v>5278</v>
      </c>
      <c r="J1339" t="s" s="2">
        <v>5279</v>
      </c>
      <c r="K1339" t="s" s="2">
        <v>22</v>
      </c>
      <c r="L1339" t="s" s="2">
        <v>22</v>
      </c>
      <c r="M1339" t="s" s="2">
        <v>22</v>
      </c>
    </row>
    <row r="1340" ht="25.0" customHeight="true">
      <c r="A1340" t="s" s="2">
        <v>13</v>
      </c>
      <c r="B1340" t="s" s="2">
        <f>HYPERLINK("http://ts.21cn.com/tousu/show/id/1372696","京东和国通石油联袂推出的京通卡余额无法使用，推诿扯皮不负责")</f>
      </c>
      <c r="C1340" t="s" s="2">
        <v>15</v>
      </c>
      <c r="D1340" t="s" s="2">
        <v>16</v>
      </c>
      <c r="E1340" t="s" s="2">
        <v>17</v>
      </c>
      <c r="F1340" t="s" s="2">
        <f>HYPERLINK("http://ts.21cn.com/tousu/show/id/1372696","http://ts.21cn.com/tousu/show/id/1372696")</f>
      </c>
      <c r="G1340" t="s" s="2">
        <v>17</v>
      </c>
      <c r="H1340" t="s" s="2">
        <v>19</v>
      </c>
      <c r="I1340" t="s" s="2">
        <v>5282</v>
      </c>
      <c r="J1340" t="s" s="2">
        <v>5283</v>
      </c>
      <c r="K1340" t="s" s="2">
        <v>22</v>
      </c>
      <c r="L1340" t="s" s="2">
        <v>22</v>
      </c>
      <c r="M1340" t="s" s="2">
        <v>22</v>
      </c>
    </row>
    <row r="1341" ht="25.0" customHeight="true">
      <c r="A1341" t="s" s="2">
        <v>13</v>
      </c>
      <c r="B1341" t="s" s="2">
        <f>HYPERLINK("http://ts.21cn.com/tousu/show/id/1372695","网贷暴力催收")</f>
      </c>
      <c r="C1341" t="s" s="2">
        <v>15</v>
      </c>
      <c r="D1341" t="s" s="2">
        <v>16</v>
      </c>
      <c r="E1341" t="s" s="2">
        <v>17</v>
      </c>
      <c r="F1341" t="s" s="2">
        <f>HYPERLINK("http://ts.21cn.com/tousu/show/id/1372695","http://ts.21cn.com/tousu/show/id/1372695")</f>
      </c>
      <c r="G1341" t="s" s="2">
        <v>17</v>
      </c>
      <c r="H1341" t="s" s="2">
        <v>19</v>
      </c>
      <c r="I1341" t="s" s="2">
        <v>5286</v>
      </c>
      <c r="J1341" t="s" s="2">
        <v>5287</v>
      </c>
      <c r="K1341" t="s" s="2">
        <v>22</v>
      </c>
      <c r="L1341" t="s" s="2">
        <v>22</v>
      </c>
      <c r="M1341" t="s" s="2">
        <v>22</v>
      </c>
    </row>
    <row r="1342" ht="25.0" customHeight="true">
      <c r="A1342" t="s" s="2">
        <v>13</v>
      </c>
      <c r="B1342" t="s" s="2">
        <f>HYPERLINK("http://ts.21cn.com/tousu/show/id/1372694","月光侠分期砍头息")</f>
      </c>
      <c r="C1342" t="s" s="2">
        <v>15</v>
      </c>
      <c r="D1342" t="s" s="2">
        <v>16</v>
      </c>
      <c r="E1342" t="s" s="2">
        <v>17</v>
      </c>
      <c r="F1342" t="s" s="2">
        <f>HYPERLINK("http://ts.21cn.com/tousu/show/id/1372694","http://ts.21cn.com/tousu/show/id/1372694")</f>
      </c>
      <c r="G1342" t="s" s="2">
        <v>17</v>
      </c>
      <c r="H1342" t="s" s="2">
        <v>19</v>
      </c>
      <c r="I1342" t="s" s="2">
        <v>5290</v>
      </c>
      <c r="J1342" t="s" s="2">
        <v>5291</v>
      </c>
      <c r="K1342" t="s" s="2">
        <v>22</v>
      </c>
      <c r="L1342" t="s" s="2">
        <v>22</v>
      </c>
      <c r="M1342" t="s" s="2">
        <v>22</v>
      </c>
    </row>
    <row r="1343" ht="25.0" customHeight="true">
      <c r="A1343" t="s" s="2">
        <v>13</v>
      </c>
      <c r="B1343" t="s" s="2">
        <f>HYPERLINK("http://ts.21cn.com/tousu/show/id/1372693","驾校教练不负责任拒退学费")</f>
      </c>
      <c r="C1343" t="s" s="2">
        <v>15</v>
      </c>
      <c r="D1343" t="s" s="2">
        <v>16</v>
      </c>
      <c r="E1343" t="s" s="2">
        <v>17</v>
      </c>
      <c r="F1343" t="s" s="2">
        <f>HYPERLINK("http://ts.21cn.com/tousu/show/id/1372693","http://ts.21cn.com/tousu/show/id/1372693")</f>
      </c>
      <c r="G1343" t="s" s="2">
        <v>17</v>
      </c>
      <c r="H1343" t="s" s="2">
        <v>19</v>
      </c>
      <c r="I1343" t="s" s="2">
        <v>5294</v>
      </c>
      <c r="J1343" t="s" s="2">
        <v>5295</v>
      </c>
      <c r="K1343" t="s" s="2">
        <v>22</v>
      </c>
      <c r="L1343" t="s" s="2">
        <v>22</v>
      </c>
      <c r="M1343" t="s" s="2">
        <v>22</v>
      </c>
    </row>
    <row r="1344" ht="25.0" customHeight="true">
      <c r="A1344" t="s" s="2">
        <v>13</v>
      </c>
      <c r="B1344" t="s" s="2">
        <f>HYPERLINK("http://ts.21cn.com/tousu/show/id/1372691","特约小富商城无缘无故扣掉我卡里的钱")</f>
      </c>
      <c r="C1344" t="s" s="2">
        <v>15</v>
      </c>
      <c r="D1344" t="s" s="2">
        <v>16</v>
      </c>
      <c r="E1344" t="s" s="2">
        <v>17</v>
      </c>
      <c r="F1344" t="s" s="2">
        <f>HYPERLINK("http://ts.21cn.com/tousu/show/id/1372691","http://ts.21cn.com/tousu/show/id/1372691")</f>
      </c>
      <c r="G1344" t="s" s="2">
        <v>17</v>
      </c>
      <c r="H1344" t="s" s="2">
        <v>19</v>
      </c>
      <c r="I1344" t="s" s="2">
        <v>5298</v>
      </c>
      <c r="J1344" t="s" s="2">
        <v>5299</v>
      </c>
      <c r="K1344" t="s" s="2">
        <v>22</v>
      </c>
      <c r="L1344" t="s" s="2">
        <v>22</v>
      </c>
      <c r="M1344" t="s" s="2">
        <v>22</v>
      </c>
    </row>
    <row r="1345" ht="25.0" customHeight="true">
      <c r="A1345" t="s" s="2">
        <v>13</v>
      </c>
      <c r="B1345" t="s" s="2">
        <f>HYPERLINK("http://ts.21cn.com/tousu/show/id/1372690","玖富万卡变相收取费用")</f>
      </c>
      <c r="C1345" t="s" s="2">
        <v>15</v>
      </c>
      <c r="D1345" t="s" s="2">
        <v>16</v>
      </c>
      <c r="E1345" t="s" s="2">
        <v>17</v>
      </c>
      <c r="F1345" t="s" s="2">
        <f>HYPERLINK("http://ts.21cn.com/tousu/show/id/1372690","http://ts.21cn.com/tousu/show/id/1372690")</f>
      </c>
      <c r="G1345" t="s" s="2">
        <v>17</v>
      </c>
      <c r="H1345" t="s" s="2">
        <v>19</v>
      </c>
      <c r="I1345" t="s" s="2">
        <v>5302</v>
      </c>
      <c r="J1345" t="s" s="2">
        <v>5303</v>
      </c>
      <c r="K1345" t="s" s="2">
        <v>22</v>
      </c>
      <c r="L1345" t="s" s="2">
        <v>22</v>
      </c>
      <c r="M1345" t="s" s="2">
        <v>22</v>
      </c>
    </row>
    <row r="1346" ht="25.0" customHeight="true">
      <c r="A1346" t="s" s="2">
        <v>13</v>
      </c>
      <c r="B1346" t="s" s="2">
        <f>HYPERLINK("http://ts.21cn.com/tousu/show/id/1372689","宜人贷借款逾期处理")</f>
      </c>
      <c r="C1346" t="s" s="2">
        <v>15</v>
      </c>
      <c r="D1346" t="s" s="2">
        <v>16</v>
      </c>
      <c r="E1346" t="s" s="2">
        <v>17</v>
      </c>
      <c r="F1346" t="s" s="2">
        <f>HYPERLINK("http://ts.21cn.com/tousu/show/id/1372689","http://ts.21cn.com/tousu/show/id/1372689")</f>
      </c>
      <c r="G1346" t="s" s="2">
        <v>17</v>
      </c>
      <c r="H1346" t="s" s="2">
        <v>19</v>
      </c>
      <c r="I1346" t="s" s="2">
        <v>5306</v>
      </c>
      <c r="J1346" t="s" s="2">
        <v>5307</v>
      </c>
      <c r="K1346" t="s" s="2">
        <v>22</v>
      </c>
      <c r="L1346" t="s" s="2">
        <v>22</v>
      </c>
      <c r="M1346" t="s" s="2">
        <v>22</v>
      </c>
    </row>
    <row r="1347" ht="25.0" customHeight="true">
      <c r="A1347" t="s" s="2">
        <v>13</v>
      </c>
      <c r="B1347" t="s" s="2">
        <f>HYPERLINK("http://ts.21cn.com/tousu/show/id/1372688","信用钱包威胁恐吓暴利催收")</f>
      </c>
      <c r="C1347" t="s" s="2">
        <v>15</v>
      </c>
      <c r="D1347" t="s" s="2">
        <v>16</v>
      </c>
      <c r="E1347" t="s" s="2">
        <v>17</v>
      </c>
      <c r="F1347" t="s" s="2">
        <f>HYPERLINK("http://ts.21cn.com/tousu/show/id/1372688","http://ts.21cn.com/tousu/show/id/1372688")</f>
      </c>
      <c r="G1347" t="s" s="2">
        <v>17</v>
      </c>
      <c r="H1347" t="s" s="2">
        <v>19</v>
      </c>
      <c r="I1347" t="s" s="2">
        <v>5310</v>
      </c>
      <c r="J1347" t="s" s="2">
        <v>5311</v>
      </c>
      <c r="K1347" t="s" s="2">
        <v>22</v>
      </c>
      <c r="L1347" t="s" s="2">
        <v>22</v>
      </c>
      <c r="M1347" t="s" s="2">
        <v>22</v>
      </c>
    </row>
    <row r="1348" ht="25.0" customHeight="true">
      <c r="A1348" t="s" s="2">
        <v>13</v>
      </c>
      <c r="B1348" t="s" s="2">
        <f>HYPERLINK("http://ts.21cn.com/tousu/show/id/1372687","八千三百块钱扣了两个月了，一直不给，")</f>
      </c>
      <c r="C1348" t="s" s="2">
        <v>15</v>
      </c>
      <c r="D1348" t="s" s="2">
        <v>16</v>
      </c>
      <c r="E1348" t="s" s="2">
        <v>17</v>
      </c>
      <c r="F1348" t="s" s="2">
        <f>HYPERLINK("http://ts.21cn.com/tousu/show/id/1372687","http://ts.21cn.com/tousu/show/id/1372687")</f>
      </c>
      <c r="G1348" t="s" s="2">
        <v>17</v>
      </c>
      <c r="H1348" t="s" s="2">
        <v>19</v>
      </c>
      <c r="I1348" t="s" s="2">
        <v>5314</v>
      </c>
      <c r="J1348" t="s" s="2">
        <v>5315</v>
      </c>
      <c r="K1348" t="s" s="2">
        <v>22</v>
      </c>
      <c r="L1348" t="s" s="2">
        <v>22</v>
      </c>
      <c r="M1348" t="s" s="2">
        <v>22</v>
      </c>
    </row>
    <row r="1349" ht="25.0" customHeight="true">
      <c r="A1349" t="s" s="2">
        <v>13</v>
      </c>
      <c r="B1349" t="s" s="2">
        <f>HYPERLINK("http://ts.21cn.com/tousu/show/id/1372686","骚扰")</f>
      </c>
      <c r="C1349" t="s" s="2">
        <v>15</v>
      </c>
      <c r="D1349" t="s" s="2">
        <v>16</v>
      </c>
      <c r="E1349" t="s" s="2">
        <v>17</v>
      </c>
      <c r="F1349" t="s" s="2">
        <f>HYPERLINK("http://ts.21cn.com/tousu/show/id/1372686","http://ts.21cn.com/tousu/show/id/1372686")</f>
      </c>
      <c r="G1349" t="s" s="2">
        <v>17</v>
      </c>
      <c r="H1349" t="s" s="2">
        <v>19</v>
      </c>
      <c r="I1349" t="s" s="2">
        <v>5318</v>
      </c>
      <c r="J1349" t="s" s="2">
        <v>5319</v>
      </c>
      <c r="K1349" t="s" s="2">
        <v>22</v>
      </c>
      <c r="L1349" t="s" s="2">
        <v>22</v>
      </c>
      <c r="M1349" t="s" s="2">
        <v>22</v>
      </c>
    </row>
    <row r="1350" ht="25.0" customHeight="true">
      <c r="A1350" t="s" s="2">
        <v>13</v>
      </c>
      <c r="B1350" t="s" s="2">
        <f>HYPERLINK("http://ts.21cn.com/tousu/show/id/1372684","小花钱包暴力催收！触犯个人隐私权，涉爆通讯录，骚扰正常生活，使人颜面扫地伤自尊")</f>
      </c>
      <c r="C1350" t="s" s="2">
        <v>15</v>
      </c>
      <c r="D1350" t="s" s="2">
        <v>16</v>
      </c>
      <c r="E1350" t="s" s="2">
        <v>17</v>
      </c>
      <c r="F1350" t="s" s="2">
        <f>HYPERLINK("http://ts.21cn.com/tousu/show/id/1372684","http://ts.21cn.com/tousu/show/id/1372684")</f>
      </c>
      <c r="G1350" t="s" s="2">
        <v>17</v>
      </c>
      <c r="H1350" t="s" s="2">
        <v>19</v>
      </c>
      <c r="I1350" t="s" s="2">
        <v>5322</v>
      </c>
      <c r="J1350" t="s" s="2">
        <v>5323</v>
      </c>
      <c r="K1350" t="s" s="2">
        <v>22</v>
      </c>
      <c r="L1350" t="s" s="2">
        <v>22</v>
      </c>
      <c r="M1350" t="s" s="2">
        <v>22</v>
      </c>
    </row>
    <row r="1351" ht="25.0" customHeight="true">
      <c r="A1351" t="s" s="2">
        <v>13</v>
      </c>
      <c r="B1351" t="s" s="2">
        <f>HYPERLINK("http://ts.21cn.com/tousu/show/id/1372683","想还款还不了，系统显示是8:00-19:50，导致还款失败增加逾期费用")</f>
      </c>
      <c r="C1351" t="s" s="2">
        <v>52</v>
      </c>
      <c r="D1351" t="s" s="2">
        <v>16</v>
      </c>
      <c r="E1351" t="s" s="2">
        <v>17</v>
      </c>
      <c r="F1351" t="s" s="2">
        <f>HYPERLINK("http://ts.21cn.com/tousu/show/id/1372683","http://ts.21cn.com/tousu/show/id/1372683")</f>
      </c>
      <c r="G1351" t="s" s="2">
        <v>17</v>
      </c>
      <c r="H1351" t="s" s="2">
        <v>19</v>
      </c>
      <c r="I1351" t="s" s="2">
        <v>5326</v>
      </c>
      <c r="J1351" t="s" s="2">
        <v>5327</v>
      </c>
      <c r="K1351" t="s" s="2">
        <v>22</v>
      </c>
      <c r="L1351" t="s" s="2">
        <v>22</v>
      </c>
      <c r="M1351" t="s" s="2">
        <v>22</v>
      </c>
    </row>
    <row r="1352" ht="25.0" customHeight="true">
      <c r="A1352" t="s" s="2">
        <v>13</v>
      </c>
      <c r="B1352" t="s" s="2">
        <f>HYPERLINK("http://ts.21cn.com/tousu/show/id/1372682","my钱包暴利催收，爆通讯录，恐吓，侮辱，威胁家人，泄露隐私")</f>
      </c>
      <c r="C1352" t="s" s="2">
        <v>15</v>
      </c>
      <c r="D1352" t="s" s="2">
        <v>16</v>
      </c>
      <c r="E1352" t="s" s="2">
        <v>17</v>
      </c>
      <c r="F1352" t="s" s="2">
        <f>HYPERLINK("http://ts.21cn.com/tousu/show/id/1372682","http://ts.21cn.com/tousu/show/id/1372682")</f>
      </c>
      <c r="G1352" t="s" s="2">
        <v>17</v>
      </c>
      <c r="H1352" t="s" s="2">
        <v>19</v>
      </c>
      <c r="I1352" t="s" s="2">
        <v>5330</v>
      </c>
      <c r="J1352" t="s" s="2">
        <v>5331</v>
      </c>
      <c r="K1352" t="s" s="2">
        <v>22</v>
      </c>
      <c r="L1352" t="s" s="2">
        <v>22</v>
      </c>
      <c r="M1352" t="s" s="2">
        <v>22</v>
      </c>
    </row>
    <row r="1353" ht="25.0" customHeight="true">
      <c r="A1353" t="s" s="2">
        <v>13</v>
      </c>
      <c r="B1353" t="s" s="2">
        <f>HYPERLINK("http://ts.21cn.com/tousu/show/id/1372681","万和答谢会变相销售净水器")</f>
      </c>
      <c r="C1353" t="s" s="2">
        <v>15</v>
      </c>
      <c r="D1353" t="s" s="2">
        <v>16</v>
      </c>
      <c r="E1353" t="s" s="2">
        <v>17</v>
      </c>
      <c r="F1353" t="s" s="2">
        <f>HYPERLINK("http://ts.21cn.com/tousu/show/id/1372681","http://ts.21cn.com/tousu/show/id/1372681")</f>
      </c>
      <c r="G1353" t="s" s="2">
        <v>17</v>
      </c>
      <c r="H1353" t="s" s="2">
        <v>19</v>
      </c>
      <c r="I1353" t="s" s="2">
        <v>5334</v>
      </c>
      <c r="J1353" t="s" s="2">
        <v>5335</v>
      </c>
      <c r="K1353" t="s" s="2">
        <v>22</v>
      </c>
      <c r="L1353" t="s" s="2">
        <v>22</v>
      </c>
      <c r="M1353" t="s" s="2">
        <v>22</v>
      </c>
    </row>
    <row r="1354" ht="25.0" customHeight="true">
      <c r="A1354" t="s" s="2">
        <v>13</v>
      </c>
      <c r="B1354" t="s" s="2">
        <f>HYPERLINK("http://ts.21cn.com/tousu/show/id/1372680","超职教育虚假宣传拒不退款")</f>
      </c>
      <c r="C1354" t="s" s="2">
        <v>15</v>
      </c>
      <c r="D1354" t="s" s="2">
        <v>16</v>
      </c>
      <c r="E1354" t="s" s="2">
        <v>17</v>
      </c>
      <c r="F1354" t="s" s="2">
        <f>HYPERLINK("http://ts.21cn.com/tousu/show/id/1372680","http://ts.21cn.com/tousu/show/id/1372680")</f>
      </c>
      <c r="G1354" t="s" s="2">
        <v>17</v>
      </c>
      <c r="H1354" t="s" s="2">
        <v>19</v>
      </c>
      <c r="I1354" t="s" s="2">
        <v>5338</v>
      </c>
      <c r="J1354" t="s" s="2">
        <v>5339</v>
      </c>
      <c r="K1354" t="s" s="2">
        <v>22</v>
      </c>
      <c r="L1354" t="s" s="2">
        <v>22</v>
      </c>
      <c r="M1354" t="s" s="2">
        <v>22</v>
      </c>
    </row>
    <row r="1355" ht="25.0" customHeight="true">
      <c r="A1355" t="s" s="2">
        <v>13</v>
      </c>
      <c r="B1355" t="s" s="2">
        <f>HYPERLINK("http://ts.21cn.com/tousu/show/id/1372679","要求聚富分期退款")</f>
      </c>
      <c r="C1355" t="s" s="2">
        <v>52</v>
      </c>
      <c r="D1355" t="s" s="2">
        <v>16</v>
      </c>
      <c r="E1355" t="s" s="2">
        <v>17</v>
      </c>
      <c r="F1355" t="s" s="2">
        <f>HYPERLINK("http://ts.21cn.com/tousu/show/id/1372679","http://ts.21cn.com/tousu/show/id/1372679")</f>
      </c>
      <c r="G1355" t="s" s="2">
        <v>17</v>
      </c>
      <c r="H1355" t="s" s="2">
        <v>19</v>
      </c>
      <c r="I1355" t="s" s="2">
        <v>5342</v>
      </c>
      <c r="J1355" t="s" s="2">
        <v>5343</v>
      </c>
      <c r="K1355" t="s" s="2">
        <v>22</v>
      </c>
      <c r="L1355" t="s" s="2">
        <v>22</v>
      </c>
      <c r="M1355" t="s" s="2">
        <v>22</v>
      </c>
    </row>
    <row r="1356" ht="25.0" customHeight="true">
      <c r="A1356" t="s" s="2">
        <v>13</v>
      </c>
      <c r="B1356" t="s" s="2">
        <f>HYPERLINK("http://ts.21cn.com/tousu/show/id/1372678","就想要个1周用车的资格或者陪我500补卡钱")</f>
      </c>
      <c r="C1356" t="s" s="2">
        <v>15</v>
      </c>
      <c r="D1356" t="s" s="2">
        <v>16</v>
      </c>
      <c r="E1356" t="s" s="2">
        <v>17</v>
      </c>
      <c r="F1356" t="s" s="2">
        <f>HYPERLINK("http://ts.21cn.com/tousu/show/id/1372678","http://ts.21cn.com/tousu/show/id/1372678")</f>
      </c>
      <c r="G1356" t="s" s="2">
        <v>17</v>
      </c>
      <c r="H1356" t="s" s="2">
        <v>19</v>
      </c>
      <c r="I1356" t="s" s="2">
        <v>5346</v>
      </c>
      <c r="J1356" t="s" s="2">
        <v>5347</v>
      </c>
      <c r="K1356" t="s" s="2">
        <v>22</v>
      </c>
      <c r="L1356" t="s" s="2">
        <v>22</v>
      </c>
      <c r="M1356" t="s" s="2">
        <v>22</v>
      </c>
    </row>
    <row r="1357" ht="25.0" customHeight="true">
      <c r="A1357" t="s" s="2">
        <v>13</v>
      </c>
      <c r="B1357" t="s" s="2">
        <f>HYPERLINK("http://ts.21cn.com/tousu/show/id/1372634","趣惠买714")</f>
      </c>
      <c r="C1357" t="s" s="2">
        <v>15</v>
      </c>
      <c r="D1357" t="s" s="2">
        <v>16</v>
      </c>
      <c r="E1357" t="s" s="2">
        <v>17</v>
      </c>
      <c r="F1357" t="s" s="2">
        <f>HYPERLINK("http://ts.21cn.com/tousu/show/id/1372634","http://ts.21cn.com/tousu/show/id/1372634")</f>
      </c>
      <c r="G1357" t="s" s="2">
        <v>17</v>
      </c>
      <c r="H1357" t="s" s="2">
        <v>19</v>
      </c>
      <c r="I1357" t="s" s="2">
        <v>5350</v>
      </c>
      <c r="J1357" t="s" s="2">
        <v>5351</v>
      </c>
      <c r="K1357" t="s" s="2">
        <v>22</v>
      </c>
      <c r="L1357" t="s" s="2">
        <v>22</v>
      </c>
      <c r="M1357" t="s" s="2">
        <v>22</v>
      </c>
    </row>
    <row r="1358" ht="25.0" customHeight="true">
      <c r="A1358" t="s" s="2">
        <v>13</v>
      </c>
      <c r="B1358" t="s" s="2">
        <f>HYPERLINK("http://ts.21cn.com/tousu/show/id/1372677","速金服高利贷阴阳合同")</f>
      </c>
      <c r="C1358" t="s" s="2">
        <v>15</v>
      </c>
      <c r="D1358" t="s" s="2">
        <v>16</v>
      </c>
      <c r="E1358" t="s" s="2">
        <v>17</v>
      </c>
      <c r="F1358" t="s" s="2">
        <f>HYPERLINK("http://ts.21cn.com/tousu/show/id/1372677","http://ts.21cn.com/tousu/show/id/1372677")</f>
      </c>
      <c r="G1358" t="s" s="2">
        <v>17</v>
      </c>
      <c r="H1358" t="s" s="2">
        <v>19</v>
      </c>
      <c r="I1358" t="s" s="2">
        <v>5354</v>
      </c>
      <c r="J1358" t="s" s="2">
        <v>5355</v>
      </c>
      <c r="K1358" t="s" s="2">
        <v>22</v>
      </c>
      <c r="L1358" t="s" s="2">
        <v>22</v>
      </c>
      <c r="M1358" t="s" s="2">
        <v>22</v>
      </c>
    </row>
    <row r="1359" ht="25.0" customHeight="true">
      <c r="A1359" t="s" s="2">
        <v>13</v>
      </c>
      <c r="B1359" t="s" s="2">
        <f>HYPERLINK("http://ts.21cn.com/tousu/show/id/1372676","我要求捷信公司帮我消除征信呆账")</f>
      </c>
      <c r="C1359" t="s" s="2">
        <v>15</v>
      </c>
      <c r="D1359" t="s" s="2">
        <v>16</v>
      </c>
      <c r="E1359" t="s" s="2">
        <v>17</v>
      </c>
      <c r="F1359" t="s" s="2">
        <f>HYPERLINK("http://ts.21cn.com/tousu/show/id/1372676","http://ts.21cn.com/tousu/show/id/1372676")</f>
      </c>
      <c r="G1359" t="s" s="2">
        <v>17</v>
      </c>
      <c r="H1359" t="s" s="2">
        <v>19</v>
      </c>
      <c r="I1359" t="s" s="2">
        <v>5358</v>
      </c>
      <c r="J1359" t="s" s="2">
        <v>5359</v>
      </c>
      <c r="K1359" t="s" s="2">
        <v>22</v>
      </c>
      <c r="L1359" t="s" s="2">
        <v>22</v>
      </c>
      <c r="M1359" t="s" s="2">
        <v>22</v>
      </c>
    </row>
    <row r="1360" ht="25.0" customHeight="true">
      <c r="A1360" t="s" s="2">
        <v>13</v>
      </c>
      <c r="B1360" t="s" s="2">
        <f>HYPERLINK("http://ts.21cn.com/tousu/show/id/1372675","维信卡卡贷减免")</f>
      </c>
      <c r="C1360" t="s" s="2">
        <v>15</v>
      </c>
      <c r="D1360" t="s" s="2">
        <v>16</v>
      </c>
      <c r="E1360" t="s" s="2">
        <v>17</v>
      </c>
      <c r="F1360" t="s" s="2">
        <f>HYPERLINK("http://ts.21cn.com/tousu/show/id/1372675","http://ts.21cn.com/tousu/show/id/1372675")</f>
      </c>
      <c r="G1360" t="s" s="2">
        <v>17</v>
      </c>
      <c r="H1360" t="s" s="2">
        <v>19</v>
      </c>
      <c r="I1360" t="s" s="2">
        <v>5362</v>
      </c>
      <c r="J1360" t="s" s="2">
        <v>5363</v>
      </c>
      <c r="K1360" t="s" s="2">
        <v>22</v>
      </c>
      <c r="L1360" t="s" s="2">
        <v>22</v>
      </c>
      <c r="M1360" t="s" s="2">
        <v>22</v>
      </c>
    </row>
    <row r="1361" ht="25.0" customHeight="true">
      <c r="A1361" t="s" s="2">
        <v>13</v>
      </c>
      <c r="B1361" t="s" s="2">
        <f>HYPERLINK("http://ts.21cn.com/tousu/show/id/1372674","盈盈有钱催收")</f>
      </c>
      <c r="C1361" t="s" s="2">
        <v>15</v>
      </c>
      <c r="D1361" t="s" s="2">
        <v>16</v>
      </c>
      <c r="E1361" t="s" s="2">
        <v>17</v>
      </c>
      <c r="F1361" t="s" s="2">
        <f>HYPERLINK("http://ts.21cn.com/tousu/show/id/1372674","http://ts.21cn.com/tousu/show/id/1372674")</f>
      </c>
      <c r="G1361" t="s" s="2">
        <v>17</v>
      </c>
      <c r="H1361" t="s" s="2">
        <v>19</v>
      </c>
      <c r="I1361" t="s" s="2">
        <v>5366</v>
      </c>
      <c r="J1361" t="s" s="2">
        <v>5367</v>
      </c>
      <c r="K1361" t="s" s="2">
        <v>22</v>
      </c>
      <c r="L1361" t="s" s="2">
        <v>22</v>
      </c>
      <c r="M1361" t="s" s="2">
        <v>22</v>
      </c>
    </row>
    <row r="1362" ht="25.0" customHeight="true">
      <c r="A1362" t="s" s="2">
        <v>13</v>
      </c>
      <c r="B1362" t="s" s="2">
        <f>HYPERLINK("http://ts.21cn.com/tousu/show/id/1372673","京东白条免息手续费")</f>
      </c>
      <c r="C1362" t="s" s="2">
        <v>15</v>
      </c>
      <c r="D1362" t="s" s="2">
        <v>16</v>
      </c>
      <c r="E1362" t="s" s="2">
        <v>17</v>
      </c>
      <c r="F1362" t="s" s="2">
        <f>HYPERLINK("http://ts.21cn.com/tousu/show/id/1372673","http://ts.21cn.com/tousu/show/id/1372673")</f>
      </c>
      <c r="G1362" t="s" s="2">
        <v>17</v>
      </c>
      <c r="H1362" t="s" s="2">
        <v>19</v>
      </c>
      <c r="I1362" t="s" s="2">
        <v>5370</v>
      </c>
      <c r="J1362" t="s" s="2">
        <v>5371</v>
      </c>
      <c r="K1362" t="s" s="2">
        <v>22</v>
      </c>
      <c r="L1362" t="s" s="2">
        <v>22</v>
      </c>
      <c r="M1362" t="s" s="2">
        <v>22</v>
      </c>
    </row>
    <row r="1363" ht="25.0" customHeight="true">
      <c r="A1363" t="s" s="2">
        <v>13</v>
      </c>
      <c r="B1363" t="s" s="2">
        <f>HYPERLINK("http://ts.21cn.com/tousu/show/id/1372672","私家车强制买卖过户")</f>
      </c>
      <c r="C1363" t="s" s="2">
        <v>15</v>
      </c>
      <c r="D1363" t="s" s="2">
        <v>16</v>
      </c>
      <c r="E1363" t="s" s="2">
        <v>17</v>
      </c>
      <c r="F1363" t="s" s="2">
        <f>HYPERLINK("http://ts.21cn.com/tousu/show/id/1372672","http://ts.21cn.com/tousu/show/id/1372672")</f>
      </c>
      <c r="G1363" t="s" s="2">
        <v>17</v>
      </c>
      <c r="H1363" t="s" s="2">
        <v>19</v>
      </c>
      <c r="I1363" t="s" s="2">
        <v>5374</v>
      </c>
      <c r="J1363" t="s" s="2">
        <v>5375</v>
      </c>
      <c r="K1363" t="s" s="2">
        <v>22</v>
      </c>
      <c r="L1363" t="s" s="2">
        <v>22</v>
      </c>
      <c r="M1363" t="s" s="2">
        <v>22</v>
      </c>
    </row>
    <row r="1364" ht="25.0" customHeight="true">
      <c r="A1364" t="s" s="2">
        <v>13</v>
      </c>
      <c r="B1364" t="s" s="2">
        <f>HYPERLINK("http://ts.21cn.com/tousu/show/id/1372670","钱站高利息高手续费")</f>
      </c>
      <c r="C1364" t="s" s="2">
        <v>52</v>
      </c>
      <c r="D1364" t="s" s="2">
        <v>16</v>
      </c>
      <c r="E1364" t="s" s="2">
        <v>17</v>
      </c>
      <c r="F1364" t="s" s="2">
        <f>HYPERLINK("http://ts.21cn.com/tousu/show/id/1372670","http://ts.21cn.com/tousu/show/id/1372670")</f>
      </c>
      <c r="G1364" t="s" s="2">
        <v>17</v>
      </c>
      <c r="H1364" t="s" s="2">
        <v>19</v>
      </c>
      <c r="I1364" t="s" s="2">
        <v>5378</v>
      </c>
      <c r="J1364" t="s" s="2">
        <v>5379</v>
      </c>
      <c r="K1364" t="s" s="2">
        <v>22</v>
      </c>
      <c r="L1364" t="s" s="2">
        <v>22</v>
      </c>
      <c r="M1364" t="s" s="2">
        <v>22</v>
      </c>
    </row>
    <row r="1365" ht="25.0" customHeight="true">
      <c r="A1365" t="s" s="2">
        <v>13</v>
      </c>
      <c r="B1365" t="s" s="2">
        <f>HYPERLINK("http://ts.21cn.com/tousu/show/id/1372669","http://ts.21cn.com")</f>
      </c>
      <c r="C1365" t="s" s="2">
        <v>15</v>
      </c>
      <c r="D1365" t="s" s="2">
        <v>16</v>
      </c>
      <c r="E1365" t="s" s="2">
        <v>17</v>
      </c>
      <c r="F1365" t="s" s="2">
        <f>HYPERLINK("http://ts.21cn.com/tousu/show/id/1372669","http://ts.21cn.com/tousu/show/id/1372669")</f>
      </c>
      <c r="G1365" t="s" s="2">
        <v>17</v>
      </c>
      <c r="H1365" t="s" s="2">
        <v>19</v>
      </c>
      <c r="I1365" t="s" s="2">
        <v>5382</v>
      </c>
      <c r="J1365" t="s" s="2">
        <v>5383</v>
      </c>
      <c r="K1365" t="s" s="2">
        <v>22</v>
      </c>
      <c r="L1365" t="s" s="2">
        <v>22</v>
      </c>
      <c r="M1365" t="s" s="2">
        <v>22</v>
      </c>
    </row>
    <row r="1366" ht="25.0" customHeight="true">
      <c r="A1366" t="s" s="2">
        <v>13</v>
      </c>
      <c r="B1366" t="s" s="2">
        <f>HYPERLINK("http://ts.21cn.com/tousu/show/id/1372668","交易猫仲裁对买家不利")</f>
      </c>
      <c r="C1366" t="s" s="2">
        <v>15</v>
      </c>
      <c r="D1366" t="s" s="2">
        <v>16</v>
      </c>
      <c r="E1366" t="s" s="2">
        <v>17</v>
      </c>
      <c r="F1366" t="s" s="2">
        <f>HYPERLINK("http://ts.21cn.com/tousu/show/id/1372668","http://ts.21cn.com/tousu/show/id/1372668")</f>
      </c>
      <c r="G1366" t="s" s="2">
        <v>17</v>
      </c>
      <c r="H1366" t="s" s="2">
        <v>19</v>
      </c>
      <c r="I1366" t="s" s="2">
        <v>5386</v>
      </c>
      <c r="J1366" t="s" s="2">
        <v>5387</v>
      </c>
      <c r="K1366" t="s" s="2">
        <v>22</v>
      </c>
      <c r="L1366" t="s" s="2">
        <v>22</v>
      </c>
      <c r="M1366" t="s" s="2">
        <v>22</v>
      </c>
    </row>
    <row r="1367" ht="25.0" customHeight="true">
      <c r="A1367" t="s" s="2">
        <v>13</v>
      </c>
      <c r="B1367" t="s" s="2">
        <f>HYPERLINK("http://ts.21cn.com/tousu/show/id/1372666","宜人贷半夜上门催债，频繁电话骚扰")</f>
      </c>
      <c r="C1367" t="s" s="2">
        <v>15</v>
      </c>
      <c r="D1367" t="s" s="2">
        <v>16</v>
      </c>
      <c r="E1367" t="s" s="2">
        <v>17</v>
      </c>
      <c r="F1367" t="s" s="2">
        <f>HYPERLINK("http://ts.21cn.com/tousu/show/id/1372666","http://ts.21cn.com/tousu/show/id/1372666")</f>
      </c>
      <c r="G1367" t="s" s="2">
        <v>17</v>
      </c>
      <c r="H1367" t="s" s="2">
        <v>19</v>
      </c>
      <c r="I1367" t="s" s="2">
        <v>5390</v>
      </c>
      <c r="J1367" t="s" s="2">
        <v>5391</v>
      </c>
      <c r="K1367" t="s" s="2">
        <v>22</v>
      </c>
      <c r="L1367" t="s" s="2">
        <v>22</v>
      </c>
      <c r="M1367" t="s" s="2">
        <v>22</v>
      </c>
    </row>
    <row r="1368" ht="25.0" customHeight="true">
      <c r="A1368" t="s" s="2">
        <v>13</v>
      </c>
      <c r="B1368" t="s" s="2">
        <f>HYPERLINK("http://ts.21cn.com/tousu/show/id/1372667","拼多多虚假发货")</f>
      </c>
      <c r="C1368" t="s" s="2">
        <v>15</v>
      </c>
      <c r="D1368" t="s" s="2">
        <v>16</v>
      </c>
      <c r="E1368" t="s" s="2">
        <v>17</v>
      </c>
      <c r="F1368" t="s" s="2">
        <f>HYPERLINK("http://ts.21cn.com/tousu/show/id/1372667","http://ts.21cn.com/tousu/show/id/1372667")</f>
      </c>
      <c r="G1368" t="s" s="2">
        <v>17</v>
      </c>
      <c r="H1368" t="s" s="2">
        <v>19</v>
      </c>
      <c r="I1368" t="s" s="2">
        <v>5394</v>
      </c>
      <c r="J1368" t="s" s="2">
        <v>5395</v>
      </c>
      <c r="K1368" t="s" s="2">
        <v>22</v>
      </c>
      <c r="L1368" t="s" s="2">
        <v>22</v>
      </c>
      <c r="M1368" t="s" s="2">
        <v>22</v>
      </c>
    </row>
    <row r="1369" ht="25.0" customHeight="true">
      <c r="A1369" t="s" s="2">
        <v>13</v>
      </c>
      <c r="B1369" t="s" s="2">
        <f>HYPERLINK("http://ts.21cn.com/tousu/show/id/1372665","你借我有借款多次扣除高额砍头息要求减免并延期还款")</f>
      </c>
      <c r="C1369" t="s" s="2">
        <v>15</v>
      </c>
      <c r="D1369" t="s" s="2">
        <v>16</v>
      </c>
      <c r="E1369" t="s" s="2">
        <v>17</v>
      </c>
      <c r="F1369" t="s" s="2">
        <f>HYPERLINK("http://ts.21cn.com/tousu/show/id/1372665","http://ts.21cn.com/tousu/show/id/1372665")</f>
      </c>
      <c r="G1369" t="s" s="2">
        <v>17</v>
      </c>
      <c r="H1369" t="s" s="2">
        <v>19</v>
      </c>
      <c r="I1369" t="s" s="2">
        <v>5398</v>
      </c>
      <c r="J1369" t="s" s="2">
        <v>5399</v>
      </c>
      <c r="K1369" t="s" s="2">
        <v>22</v>
      </c>
      <c r="L1369" t="s" s="2">
        <v>22</v>
      </c>
      <c r="M1369" t="s" s="2">
        <v>22</v>
      </c>
    </row>
    <row r="1370" ht="25.0" customHeight="true">
      <c r="A1370" t="s" s="2">
        <v>13</v>
      </c>
      <c r="B1370" t="s" s="2">
        <f>HYPERLINK("http://ts.21cn.com/tousu/show/id/1372664","月光侠阴阳合同，高利贷")</f>
      </c>
      <c r="C1370" t="s" s="2">
        <v>15</v>
      </c>
      <c r="D1370" t="s" s="2">
        <v>16</v>
      </c>
      <c r="E1370" t="s" s="2">
        <v>17</v>
      </c>
      <c r="F1370" t="s" s="2">
        <f>HYPERLINK("http://ts.21cn.com/tousu/show/id/1372664","http://ts.21cn.com/tousu/show/id/1372664")</f>
      </c>
      <c r="G1370" t="s" s="2">
        <v>17</v>
      </c>
      <c r="H1370" t="s" s="2">
        <v>19</v>
      </c>
      <c r="I1370" t="s" s="2">
        <v>5402</v>
      </c>
      <c r="J1370" t="s" s="2">
        <v>5403</v>
      </c>
      <c r="K1370" t="s" s="2">
        <v>22</v>
      </c>
      <c r="L1370" t="s" s="2">
        <v>22</v>
      </c>
      <c r="M1370" t="s" s="2">
        <v>22</v>
      </c>
    </row>
    <row r="1371" ht="25.0" customHeight="true">
      <c r="A1371" t="s" s="2">
        <v>13</v>
      </c>
      <c r="B1371" t="s" s="2">
        <f>HYPERLINK("http://ts.21cn.com/tousu/show/id/1372663","买买乐公司，暴力催收，群发短信，恐吓催收")</f>
      </c>
      <c r="C1371" t="s" s="2">
        <v>15</v>
      </c>
      <c r="D1371" t="s" s="2">
        <v>16</v>
      </c>
      <c r="E1371" t="s" s="2">
        <v>17</v>
      </c>
      <c r="F1371" t="s" s="2">
        <f>HYPERLINK("http://ts.21cn.com/tousu/show/id/1372663","http://ts.21cn.com/tousu/show/id/1372663")</f>
      </c>
      <c r="G1371" t="s" s="2">
        <v>17</v>
      </c>
      <c r="H1371" t="s" s="2">
        <v>19</v>
      </c>
      <c r="I1371" t="s" s="2">
        <v>5406</v>
      </c>
      <c r="J1371" t="s" s="2">
        <v>5407</v>
      </c>
      <c r="K1371" t="s" s="2">
        <v>22</v>
      </c>
      <c r="L1371" t="s" s="2">
        <v>22</v>
      </c>
      <c r="M1371" t="s" s="2">
        <v>22</v>
      </c>
    </row>
    <row r="1372" ht="25.0" customHeight="true">
      <c r="A1372" t="s" s="2">
        <v>13</v>
      </c>
      <c r="B1372" t="s" s="2">
        <f>HYPERLINK("http://ts.21cn.com/tousu/show/id/1372662","活力花暴力催收，罚息太高")</f>
      </c>
      <c r="C1372" t="s" s="2">
        <v>15</v>
      </c>
      <c r="D1372" t="s" s="2">
        <v>16</v>
      </c>
      <c r="E1372" t="s" s="2">
        <v>17</v>
      </c>
      <c r="F1372" t="s" s="2">
        <f>HYPERLINK("http://ts.21cn.com/tousu/show/id/1372662","http://ts.21cn.com/tousu/show/id/1372662")</f>
      </c>
      <c r="G1372" t="s" s="2">
        <v>17</v>
      </c>
      <c r="H1372" t="s" s="2">
        <v>19</v>
      </c>
      <c r="I1372" t="s" s="2">
        <v>5410</v>
      </c>
      <c r="J1372" t="s" s="2">
        <v>5411</v>
      </c>
      <c r="K1372" t="s" s="2">
        <v>22</v>
      </c>
      <c r="L1372" t="s" s="2">
        <v>22</v>
      </c>
      <c r="M1372" t="s" s="2">
        <v>22</v>
      </c>
    </row>
    <row r="1373" ht="25.0" customHeight="true">
      <c r="A1373" t="s" s="2">
        <v>13</v>
      </c>
      <c r="B1373" t="s" s="2">
        <f>HYPERLINK("http://ts.21cn.com/tousu/show/id/1372661","拍拍贷涉嫌套路贷，恶意催收")</f>
      </c>
      <c r="C1373" t="s" s="2">
        <v>15</v>
      </c>
      <c r="D1373" t="s" s="2">
        <v>16</v>
      </c>
      <c r="E1373" t="s" s="2">
        <v>17</v>
      </c>
      <c r="F1373" t="s" s="2">
        <f>HYPERLINK("http://ts.21cn.com/tousu/show/id/1372661","http://ts.21cn.com/tousu/show/id/1372661")</f>
      </c>
      <c r="G1373" t="s" s="2">
        <v>17</v>
      </c>
      <c r="H1373" t="s" s="2">
        <v>19</v>
      </c>
      <c r="I1373" t="s" s="2">
        <v>5414</v>
      </c>
      <c r="J1373" t="s" s="2">
        <v>5415</v>
      </c>
      <c r="K1373" t="s" s="2">
        <v>22</v>
      </c>
      <c r="L1373" t="s" s="2">
        <v>22</v>
      </c>
      <c r="M1373" t="s" s="2">
        <v>22</v>
      </c>
    </row>
    <row r="1374" ht="25.0" customHeight="true">
      <c r="A1374" t="s" s="2">
        <v>13</v>
      </c>
      <c r="B1374" t="s" s="2">
        <f>HYPERLINK("http://ts.21cn.com/tousu/show/id/1372660","借贷宝打条后不放款")</f>
      </c>
      <c r="C1374" t="s" s="2">
        <v>52</v>
      </c>
      <c r="D1374" t="s" s="2">
        <v>16</v>
      </c>
      <c r="E1374" t="s" s="2">
        <v>17</v>
      </c>
      <c r="F1374" t="s" s="2">
        <f>HYPERLINK("http://ts.21cn.com/tousu/show/id/1372660","http://ts.21cn.com/tousu/show/id/1372660")</f>
      </c>
      <c r="G1374" t="s" s="2">
        <v>17</v>
      </c>
      <c r="H1374" t="s" s="2">
        <v>19</v>
      </c>
      <c r="I1374" t="s" s="2">
        <v>5418</v>
      </c>
      <c r="J1374" t="s" s="2">
        <v>5419</v>
      </c>
      <c r="K1374" t="s" s="2">
        <v>22</v>
      </c>
      <c r="L1374" t="s" s="2">
        <v>22</v>
      </c>
      <c r="M1374" t="s" s="2">
        <v>22</v>
      </c>
    </row>
    <row r="1375" ht="25.0" customHeight="true">
      <c r="A1375" t="s" s="2">
        <v>13</v>
      </c>
      <c r="B1375" t="s" s="2">
        <f>HYPERLINK("http://ts.21cn.com/tousu/show/id/1372659","360暴力催收，骚扰通讯录朋友，说话及其难听")</f>
      </c>
      <c r="C1375" t="s" s="2">
        <v>15</v>
      </c>
      <c r="D1375" t="s" s="2">
        <v>16</v>
      </c>
      <c r="E1375" t="s" s="2">
        <v>17</v>
      </c>
      <c r="F1375" t="s" s="2">
        <f>HYPERLINK("http://ts.21cn.com/tousu/show/id/1372659","http://ts.21cn.com/tousu/show/id/1372659")</f>
      </c>
      <c r="G1375" t="s" s="2">
        <v>17</v>
      </c>
      <c r="H1375" t="s" s="2">
        <v>19</v>
      </c>
      <c r="I1375" t="s" s="2">
        <v>5422</v>
      </c>
      <c r="J1375" t="s" s="2">
        <v>5423</v>
      </c>
      <c r="K1375" t="s" s="2">
        <v>22</v>
      </c>
      <c r="L1375" t="s" s="2">
        <v>22</v>
      </c>
      <c r="M1375" t="s" s="2">
        <v>22</v>
      </c>
    </row>
    <row r="1376" ht="25.0" customHeight="true">
      <c r="A1376" t="s" s="2">
        <v>13</v>
      </c>
      <c r="B1376" t="s" s="2">
        <f>HYPERLINK("http://ts.21cn.com/tousu/show/id/1372657","哈罗单车不合理恶意扣除15元调节费")</f>
      </c>
      <c r="C1376" t="s" s="2">
        <v>15</v>
      </c>
      <c r="D1376" t="s" s="2">
        <v>16</v>
      </c>
      <c r="E1376" t="s" s="2">
        <v>17</v>
      </c>
      <c r="F1376" t="s" s="2">
        <f>HYPERLINK("http://ts.21cn.com/tousu/show/id/1372657","http://ts.21cn.com/tousu/show/id/1372657")</f>
      </c>
      <c r="G1376" t="s" s="2">
        <v>17</v>
      </c>
      <c r="H1376" t="s" s="2">
        <v>19</v>
      </c>
      <c r="I1376" t="s" s="2">
        <v>5426</v>
      </c>
      <c r="J1376" t="s" s="2">
        <v>5427</v>
      </c>
      <c r="K1376" t="s" s="2">
        <v>22</v>
      </c>
      <c r="L1376" t="s" s="2">
        <v>22</v>
      </c>
      <c r="M1376" t="s" s="2">
        <v>22</v>
      </c>
    </row>
    <row r="1377" ht="25.0" customHeight="true">
      <c r="A1377" t="s" s="2">
        <v>13</v>
      </c>
      <c r="B1377" t="s" s="2">
        <f>HYPERLINK("http://ts.21cn.com/tousu/show/id/1372655","前海锐步商业保理（深圳）有限公司虚假贷款，以开通会员、账户异常为由套取费用不放款。")</f>
      </c>
      <c r="C1377" t="s" s="2">
        <v>15</v>
      </c>
      <c r="D1377" t="s" s="2">
        <v>16</v>
      </c>
      <c r="E1377" t="s" s="2">
        <v>17</v>
      </c>
      <c r="F1377" t="s" s="2">
        <f>HYPERLINK("http://ts.21cn.com/tousu/show/id/1372655","http://ts.21cn.com/tousu/show/id/1372655")</f>
      </c>
      <c r="G1377" t="s" s="2">
        <v>17</v>
      </c>
      <c r="H1377" t="s" s="2">
        <v>19</v>
      </c>
      <c r="I1377" t="s" s="2">
        <v>5429</v>
      </c>
      <c r="J1377" t="s" s="2">
        <v>5430</v>
      </c>
      <c r="K1377" t="s" s="2">
        <v>22</v>
      </c>
      <c r="L1377" t="s" s="2">
        <v>22</v>
      </c>
      <c r="M1377" t="s" s="2">
        <v>22</v>
      </c>
    </row>
    <row r="1378" ht="25.0" customHeight="true">
      <c r="A1378" t="s" s="2">
        <v>13</v>
      </c>
      <c r="B1378" t="s" s="2">
        <f>HYPERLINK("http://ts.21cn.com/tousu/show/id/1372653","钱站逾期费用一天一百，高利贷")</f>
      </c>
      <c r="C1378" t="s" s="2">
        <v>15</v>
      </c>
      <c r="D1378" t="s" s="2">
        <v>16</v>
      </c>
      <c r="E1378" t="s" s="2">
        <v>17</v>
      </c>
      <c r="F1378" t="s" s="2">
        <f>HYPERLINK("http://ts.21cn.com/tousu/show/id/1372653","http://ts.21cn.com/tousu/show/id/1372653")</f>
      </c>
      <c r="G1378" t="s" s="2">
        <v>17</v>
      </c>
      <c r="H1378" t="s" s="2">
        <v>19</v>
      </c>
      <c r="I1378" t="s" s="2">
        <v>5433</v>
      </c>
      <c r="J1378" t="s" s="2">
        <v>5434</v>
      </c>
      <c r="K1378" t="s" s="2">
        <v>22</v>
      </c>
      <c r="L1378" t="s" s="2">
        <v>22</v>
      </c>
      <c r="M1378" t="s" s="2">
        <v>22</v>
      </c>
    </row>
    <row r="1379" ht="25.0" customHeight="true">
      <c r="A1379" t="s" s="2">
        <v>13</v>
      </c>
      <c r="B1379" t="s" s="2">
        <f>HYPERLINK("http://ts.21cn.com/tousu/show/id/1372654","投诉交通银行信用卡还完款不给销账")</f>
      </c>
      <c r="C1379" t="s" s="2">
        <v>15</v>
      </c>
      <c r="D1379" t="s" s="2">
        <v>16</v>
      </c>
      <c r="E1379" t="s" s="2">
        <v>17</v>
      </c>
      <c r="F1379" t="s" s="2">
        <f>HYPERLINK("http://ts.21cn.com/tousu/show/id/1372654","http://ts.21cn.com/tousu/show/id/1372654")</f>
      </c>
      <c r="G1379" t="s" s="2">
        <v>17</v>
      </c>
      <c r="H1379" t="s" s="2">
        <v>19</v>
      </c>
      <c r="I1379" t="s" s="2">
        <v>5437</v>
      </c>
      <c r="J1379" t="s" s="2">
        <v>5438</v>
      </c>
      <c r="K1379" t="s" s="2">
        <v>22</v>
      </c>
      <c r="L1379" t="s" s="2">
        <v>22</v>
      </c>
      <c r="M1379" t="s" s="2">
        <v>22</v>
      </c>
    </row>
    <row r="1380" ht="25.0" customHeight="true">
      <c r="A1380" t="s" s="2">
        <v>13</v>
      </c>
      <c r="B1380" t="s" s="2">
        <f>HYPERLINK("http://ts.21cn.com/tousu/show/id/1372652","我来贷威胁恐吓。暴力崔收")</f>
      </c>
      <c r="C1380" t="s" s="2">
        <v>15</v>
      </c>
      <c r="D1380" t="s" s="2">
        <v>16</v>
      </c>
      <c r="E1380" t="s" s="2">
        <v>17</v>
      </c>
      <c r="F1380" t="s" s="2">
        <f>HYPERLINK("http://ts.21cn.com/tousu/show/id/1372652","http://ts.21cn.com/tousu/show/id/1372652")</f>
      </c>
      <c r="G1380" t="s" s="2">
        <v>17</v>
      </c>
      <c r="H1380" t="s" s="2">
        <v>19</v>
      </c>
      <c r="I1380" t="s" s="2">
        <v>5441</v>
      </c>
      <c r="J1380" t="s" s="2">
        <v>5442</v>
      </c>
      <c r="K1380" t="s" s="2">
        <v>22</v>
      </c>
      <c r="L1380" t="s" s="2">
        <v>22</v>
      </c>
      <c r="M1380" t="s" s="2">
        <v>22</v>
      </c>
    </row>
    <row r="1381" ht="25.0" customHeight="true">
      <c r="A1381" t="s" s="2">
        <v>13</v>
      </c>
      <c r="B1381" t="s" s="2">
        <f>HYPERLINK("http://ts.21cn.com/tousu/show/id/1372651","高利贷")</f>
      </c>
      <c r="C1381" t="s" s="2">
        <v>15</v>
      </c>
      <c r="D1381" t="s" s="2">
        <v>16</v>
      </c>
      <c r="E1381" t="s" s="2">
        <v>17</v>
      </c>
      <c r="F1381" t="s" s="2">
        <f>HYPERLINK("http://ts.21cn.com/tousu/show/id/1372651","http://ts.21cn.com/tousu/show/id/1372651")</f>
      </c>
      <c r="G1381" t="s" s="2">
        <v>17</v>
      </c>
      <c r="H1381" t="s" s="2">
        <v>19</v>
      </c>
      <c r="I1381" t="s" s="2">
        <v>5444</v>
      </c>
      <c r="J1381" t="s" s="2">
        <v>5445</v>
      </c>
      <c r="K1381" t="s" s="2">
        <v>22</v>
      </c>
      <c r="L1381" t="s" s="2">
        <v>22</v>
      </c>
      <c r="M1381" t="s" s="2">
        <v>22</v>
      </c>
    </row>
    <row r="1382" ht="25.0" customHeight="true">
      <c r="A1382" t="s" s="2">
        <v>13</v>
      </c>
      <c r="B1382" t="s" s="2">
        <f>HYPERLINK("http://ts.21cn.com/tousu/show/id/1372650","套路来")</f>
      </c>
      <c r="C1382" t="s" s="2">
        <v>15</v>
      </c>
      <c r="D1382" t="s" s="2">
        <v>16</v>
      </c>
      <c r="E1382" t="s" s="2">
        <v>17</v>
      </c>
      <c r="F1382" t="s" s="2">
        <f>HYPERLINK("http://ts.21cn.com/tousu/show/id/1372650","http://ts.21cn.com/tousu/show/id/1372650")</f>
      </c>
      <c r="G1382" t="s" s="2">
        <v>17</v>
      </c>
      <c r="H1382" t="s" s="2">
        <v>19</v>
      </c>
      <c r="I1382" t="s" s="2">
        <v>5448</v>
      </c>
      <c r="J1382" t="s" s="2">
        <v>5449</v>
      </c>
      <c r="K1382" t="s" s="2">
        <v>22</v>
      </c>
      <c r="L1382" t="s" s="2">
        <v>22</v>
      </c>
      <c r="M1382" t="s" s="2">
        <v>22</v>
      </c>
    </row>
    <row r="1383" ht="25.0" customHeight="true">
      <c r="A1383" t="s" s="2">
        <v>13</v>
      </c>
      <c r="B1383" t="s" s="2">
        <f>HYPERLINK("http://ts.21cn.com/tousu/show/id/1372649","花薪利息太高不合格")</f>
      </c>
      <c r="C1383" t="s" s="2">
        <v>15</v>
      </c>
      <c r="D1383" t="s" s="2">
        <v>16</v>
      </c>
      <c r="E1383" t="s" s="2">
        <v>17</v>
      </c>
      <c r="F1383" t="s" s="2">
        <f>HYPERLINK("http://ts.21cn.com/tousu/show/id/1372649","http://ts.21cn.com/tousu/show/id/1372649")</f>
      </c>
      <c r="G1383" t="s" s="2">
        <v>17</v>
      </c>
      <c r="H1383" t="s" s="2">
        <v>19</v>
      </c>
      <c r="I1383" t="s" s="2">
        <v>5452</v>
      </c>
      <c r="J1383" t="s" s="2">
        <v>5453</v>
      </c>
      <c r="K1383" t="s" s="2">
        <v>22</v>
      </c>
      <c r="L1383" t="s" s="2">
        <v>22</v>
      </c>
      <c r="M1383" t="s" s="2">
        <v>22</v>
      </c>
    </row>
    <row r="1384" ht="25.0" customHeight="true">
      <c r="A1384" t="s" s="2">
        <v>13</v>
      </c>
      <c r="B1384" t="s" s="2">
        <f>HYPERLINK("http://ts.21cn.com/tousu/show/id/1372648","买房子不交房")</f>
      </c>
      <c r="C1384" t="s" s="2">
        <v>15</v>
      </c>
      <c r="D1384" t="s" s="2">
        <v>16</v>
      </c>
      <c r="E1384" t="s" s="2">
        <v>17</v>
      </c>
      <c r="F1384" t="s" s="2">
        <f>HYPERLINK("http://ts.21cn.com/tousu/show/id/1372648","http://ts.21cn.com/tousu/show/id/1372648")</f>
      </c>
      <c r="G1384" t="s" s="2">
        <v>17</v>
      </c>
      <c r="H1384" t="s" s="2">
        <v>19</v>
      </c>
      <c r="I1384" t="s" s="2">
        <v>5456</v>
      </c>
      <c r="J1384" t="s" s="2">
        <v>5457</v>
      </c>
      <c r="K1384" t="s" s="2">
        <v>22</v>
      </c>
      <c r="L1384" t="s" s="2">
        <v>22</v>
      </c>
      <c r="M1384" t="s" s="2">
        <v>22</v>
      </c>
    </row>
    <row r="1385" ht="25.0" customHeight="true">
      <c r="A1385" t="s" s="2">
        <v>13</v>
      </c>
      <c r="B1385" t="s" s="2">
        <f>HYPERLINK("http://ts.21cn.com/tousu/show/id/1372647","拼多多为赌博提供支付渠道")</f>
      </c>
      <c r="C1385" t="s" s="2">
        <v>15</v>
      </c>
      <c r="D1385" t="s" s="2">
        <v>16</v>
      </c>
      <c r="E1385" t="s" s="2">
        <v>17</v>
      </c>
      <c r="F1385" t="s" s="2">
        <f>HYPERLINK("http://ts.21cn.com/tousu/show/id/1372647","http://ts.21cn.com/tousu/show/id/1372647")</f>
      </c>
      <c r="G1385" t="s" s="2">
        <v>17</v>
      </c>
      <c r="H1385" t="s" s="2">
        <v>19</v>
      </c>
      <c r="I1385" t="s" s="2">
        <v>5460</v>
      </c>
      <c r="J1385" t="s" s="2">
        <v>5461</v>
      </c>
      <c r="K1385" t="s" s="2">
        <v>22</v>
      </c>
      <c r="L1385" t="s" s="2">
        <v>22</v>
      </c>
      <c r="M1385" t="s" s="2">
        <v>22</v>
      </c>
    </row>
    <row r="1386" ht="25.0" customHeight="true">
      <c r="A1386" t="s" s="2">
        <v>13</v>
      </c>
      <c r="B1386" t="s" s="2">
        <f>HYPERLINK("http://ts.21cn.com/tousu/show/id/1372646","中国银联为714提供便")</f>
      </c>
      <c r="C1386" t="s" s="2">
        <v>52</v>
      </c>
      <c r="D1386" t="s" s="2">
        <v>16</v>
      </c>
      <c r="E1386" t="s" s="2">
        <v>17</v>
      </c>
      <c r="F1386" t="s" s="2">
        <f>HYPERLINK("http://ts.21cn.com/tousu/show/id/1372646","http://ts.21cn.com/tousu/show/id/1372646")</f>
      </c>
      <c r="G1386" t="s" s="2">
        <v>17</v>
      </c>
      <c r="H1386" t="s" s="2">
        <v>19</v>
      </c>
      <c r="I1386" t="s" s="2">
        <v>5464</v>
      </c>
      <c r="J1386" t="s" s="2">
        <v>5465</v>
      </c>
      <c r="K1386" t="s" s="2">
        <v>22</v>
      </c>
      <c r="L1386" t="s" s="2">
        <v>22</v>
      </c>
      <c r="M1386" t="s" s="2">
        <v>22</v>
      </c>
    </row>
    <row r="1387" ht="25.0" customHeight="true">
      <c r="A1387" t="s" s="2">
        <v>13</v>
      </c>
      <c r="B1387" t="s" s="2">
        <f>HYPERLINK("http://ts.21cn.com/tousu/show/id/1372645","造艺科技恶意扣款")</f>
      </c>
      <c r="C1387" t="s" s="2">
        <v>15</v>
      </c>
      <c r="D1387" t="s" s="2">
        <v>16</v>
      </c>
      <c r="E1387" t="s" s="2">
        <v>17</v>
      </c>
      <c r="F1387" t="s" s="2">
        <f>HYPERLINK("http://ts.21cn.com/tousu/show/id/1372645","http://ts.21cn.com/tousu/show/id/1372645")</f>
      </c>
      <c r="G1387" t="s" s="2">
        <v>17</v>
      </c>
      <c r="H1387" t="s" s="2">
        <v>19</v>
      </c>
      <c r="I1387" t="s" s="2">
        <v>5468</v>
      </c>
      <c r="J1387" t="s" s="2">
        <v>5469</v>
      </c>
      <c r="K1387" t="s" s="2">
        <v>22</v>
      </c>
      <c r="L1387" t="s" s="2">
        <v>22</v>
      </c>
      <c r="M1387" t="s" s="2">
        <v>22</v>
      </c>
    </row>
    <row r="1388" ht="25.0" customHeight="true">
      <c r="A1388" t="s" s="2">
        <v>13</v>
      </c>
      <c r="B1388" t="s" s="2">
        <f>HYPERLINK("http://ts.21cn.com/tousu/show/id/1372644","广发信用卡积分被盗用")</f>
      </c>
      <c r="C1388" t="s" s="2">
        <v>15</v>
      </c>
      <c r="D1388" t="s" s="2">
        <v>16</v>
      </c>
      <c r="E1388" t="s" s="2">
        <v>17</v>
      </c>
      <c r="F1388" t="s" s="2">
        <f>HYPERLINK("http://ts.21cn.com/tousu/show/id/1372644","http://ts.21cn.com/tousu/show/id/1372644")</f>
      </c>
      <c r="G1388" t="s" s="2">
        <v>17</v>
      </c>
      <c r="H1388" t="s" s="2">
        <v>19</v>
      </c>
      <c r="I1388" t="s" s="2">
        <v>5472</v>
      </c>
      <c r="J1388" t="s" s="2">
        <v>5473</v>
      </c>
      <c r="K1388" t="s" s="2">
        <v>22</v>
      </c>
      <c r="L1388" t="s" s="2">
        <v>22</v>
      </c>
      <c r="M1388" t="s" s="2">
        <v>22</v>
      </c>
    </row>
    <row r="1389" ht="25.0" customHeight="true">
      <c r="A1389" t="s" s="2">
        <v>13</v>
      </c>
      <c r="B1389" t="s" s="2">
        <f>HYPERLINK("http://ts.21cn.com/tousu/show/id/1372643","拍拍贷无法联系")</f>
      </c>
      <c r="C1389" t="s" s="2">
        <v>15</v>
      </c>
      <c r="D1389" t="s" s="2">
        <v>16</v>
      </c>
      <c r="E1389" t="s" s="2">
        <v>17</v>
      </c>
      <c r="F1389" t="s" s="2">
        <f>HYPERLINK("http://ts.21cn.com/tousu/show/id/1372643","http://ts.21cn.com/tousu/show/id/1372643")</f>
      </c>
      <c r="G1389" t="s" s="2">
        <v>17</v>
      </c>
      <c r="H1389" t="s" s="2">
        <v>19</v>
      </c>
      <c r="I1389" t="s" s="2">
        <v>5476</v>
      </c>
      <c r="J1389" t="s" s="2">
        <v>5477</v>
      </c>
      <c r="K1389" t="s" s="2">
        <v>22</v>
      </c>
      <c r="L1389" t="s" s="2">
        <v>22</v>
      </c>
      <c r="M1389" t="s" s="2">
        <v>22</v>
      </c>
    </row>
    <row r="1390" ht="25.0" customHeight="true">
      <c r="A1390" t="s" s="2">
        <v>13</v>
      </c>
      <c r="B1390" t="s" s="2">
        <f>HYPERLINK("http://ts.21cn.com/tousu/show/id/1372642","安逸花")</f>
      </c>
      <c r="C1390" t="s" s="2">
        <v>15</v>
      </c>
      <c r="D1390" t="s" s="2">
        <v>16</v>
      </c>
      <c r="E1390" t="s" s="2">
        <v>17</v>
      </c>
      <c r="F1390" t="s" s="2">
        <f>HYPERLINK("http://ts.21cn.com/tousu/show/id/1372642","http://ts.21cn.com/tousu/show/id/1372642")</f>
      </c>
      <c r="G1390" t="s" s="2">
        <v>17</v>
      </c>
      <c r="H1390" t="s" s="2">
        <v>19</v>
      </c>
      <c r="I1390" t="s" s="2">
        <v>5480</v>
      </c>
      <c r="J1390" t="s" s="2">
        <v>5481</v>
      </c>
      <c r="K1390" t="s" s="2">
        <v>22</v>
      </c>
      <c r="L1390" t="s" s="2">
        <v>22</v>
      </c>
      <c r="M1390" t="s" s="2">
        <v>22</v>
      </c>
    </row>
    <row r="1391" ht="25.0" customHeight="true">
      <c r="A1391" t="s" s="2">
        <v>13</v>
      </c>
      <c r="B1391" t="s" s="2">
        <f>HYPERLINK("http://ts.21cn.com/tousu/show/id/1372641","潭州教育退课难")</f>
      </c>
      <c r="C1391" t="s" s="2">
        <v>15</v>
      </c>
      <c r="D1391" t="s" s="2">
        <v>16</v>
      </c>
      <c r="E1391" t="s" s="2">
        <v>17</v>
      </c>
      <c r="F1391" t="s" s="2">
        <f>HYPERLINK("http://ts.21cn.com/tousu/show/id/1372641","http://ts.21cn.com/tousu/show/id/1372641")</f>
      </c>
      <c r="G1391" t="s" s="2">
        <v>17</v>
      </c>
      <c r="H1391" t="s" s="2">
        <v>19</v>
      </c>
      <c r="I1391" t="s" s="2">
        <v>5484</v>
      </c>
      <c r="J1391" t="s" s="2">
        <v>5485</v>
      </c>
      <c r="K1391" t="s" s="2">
        <v>22</v>
      </c>
      <c r="L1391" t="s" s="2">
        <v>22</v>
      </c>
      <c r="M1391" t="s" s="2">
        <v>22</v>
      </c>
    </row>
    <row r="1392" ht="25.0" customHeight="true">
      <c r="A1392" t="s" s="2">
        <v>13</v>
      </c>
      <c r="B1392" t="s" s="2">
        <f>HYPERLINK("http://ts.21cn.com/tousu/show/id/1372640","马上消费金融，暴力催收，群发短信，恐吓催收")</f>
      </c>
      <c r="C1392" t="s" s="2">
        <v>15</v>
      </c>
      <c r="D1392" t="s" s="2">
        <v>16</v>
      </c>
      <c r="E1392" t="s" s="2">
        <v>17</v>
      </c>
      <c r="F1392" t="s" s="2">
        <f>HYPERLINK("http://ts.21cn.com/tousu/show/id/1372640","http://ts.21cn.com/tousu/show/id/1372640")</f>
      </c>
      <c r="G1392" t="s" s="2">
        <v>17</v>
      </c>
      <c r="H1392" t="s" s="2">
        <v>19</v>
      </c>
      <c r="I1392" t="s" s="2">
        <v>5487</v>
      </c>
      <c r="J1392" t="s" s="2">
        <v>5488</v>
      </c>
      <c r="K1392" t="s" s="2">
        <v>22</v>
      </c>
      <c r="L1392" t="s" s="2">
        <v>22</v>
      </c>
      <c r="M1392" t="s" s="2">
        <v>22</v>
      </c>
    </row>
    <row r="1393" ht="25.0" customHeight="true">
      <c r="A1393" t="s" s="2">
        <v>13</v>
      </c>
      <c r="B1393" t="s" s="2">
        <f>HYPERLINK("http://ts.21cn.com/tousu/show/id/1372638","买家恶意仅退款，拼多多介入处理后，同意买家仅退款不退货，我现在钱货两空")</f>
      </c>
      <c r="C1393" t="s" s="2">
        <v>52</v>
      </c>
      <c r="D1393" t="s" s="2">
        <v>16</v>
      </c>
      <c r="E1393" t="s" s="2">
        <v>17</v>
      </c>
      <c r="F1393" t="s" s="2">
        <f>HYPERLINK("http://ts.21cn.com/tousu/show/id/1372638","http://ts.21cn.com/tousu/show/id/1372638")</f>
      </c>
      <c r="G1393" t="s" s="2">
        <v>17</v>
      </c>
      <c r="H1393" t="s" s="2">
        <v>19</v>
      </c>
      <c r="I1393" t="s" s="2">
        <v>5491</v>
      </c>
      <c r="J1393" t="s" s="2">
        <v>5492</v>
      </c>
      <c r="K1393" t="s" s="2">
        <v>22</v>
      </c>
      <c r="L1393" t="s" s="2">
        <v>22</v>
      </c>
      <c r="M1393" t="s" s="2">
        <v>22</v>
      </c>
    </row>
    <row r="1394" ht="25.0" customHeight="true">
      <c r="A1394" t="s" s="2">
        <v>13</v>
      </c>
      <c r="B1394" t="s" s="2">
        <f>HYPERLINK("http://ts.21cn.com/tousu/show/id/1372639","101947475087必须退款，确实发错货了，已经退货，仓库签收了退款并赔偿我的损失")</f>
      </c>
      <c r="C1394" t="s" s="2">
        <v>52</v>
      </c>
      <c r="D1394" t="s" s="2">
        <v>16</v>
      </c>
      <c r="E1394" t="s" s="2">
        <v>17</v>
      </c>
      <c r="F1394" t="s" s="2">
        <f>HYPERLINK("http://ts.21cn.com/tousu/show/id/1372639","http://ts.21cn.com/tousu/show/id/1372639")</f>
      </c>
      <c r="G1394" t="s" s="2">
        <v>17</v>
      </c>
      <c r="H1394" t="s" s="2">
        <v>19</v>
      </c>
      <c r="I1394" t="s" s="2">
        <v>5495</v>
      </c>
      <c r="J1394" t="s" s="2">
        <v>5496</v>
      </c>
      <c r="K1394" t="s" s="2">
        <v>22</v>
      </c>
      <c r="L1394" t="s" s="2">
        <v>22</v>
      </c>
      <c r="M1394" t="s" s="2">
        <v>22</v>
      </c>
    </row>
    <row r="1395" ht="25.0" customHeight="true">
      <c r="A1395" t="s" s="2">
        <v>13</v>
      </c>
      <c r="B1395" t="s" s="2">
        <f>HYPERLINK("http://ts.21cn.com/tousu/show/id/1372636","暴力催收，威胁恐吓侮辱使用软件骚扰")</f>
      </c>
      <c r="C1395" t="s" s="2">
        <v>15</v>
      </c>
      <c r="D1395" t="s" s="2">
        <v>16</v>
      </c>
      <c r="E1395" t="s" s="2">
        <v>17</v>
      </c>
      <c r="F1395" t="s" s="2">
        <f>HYPERLINK("http://ts.21cn.com/tousu/show/id/1372636","http://ts.21cn.com/tousu/show/id/1372636")</f>
      </c>
      <c r="G1395" t="s" s="2">
        <v>17</v>
      </c>
      <c r="H1395" t="s" s="2">
        <v>19</v>
      </c>
      <c r="I1395" t="s" s="2">
        <v>5499</v>
      </c>
      <c r="J1395" t="s" s="2">
        <v>5500</v>
      </c>
      <c r="K1395" t="s" s="2">
        <v>22</v>
      </c>
      <c r="L1395" t="s" s="2">
        <v>22</v>
      </c>
      <c r="M1395" t="s" s="2">
        <v>22</v>
      </c>
    </row>
    <row r="1396" ht="25.0" customHeight="true">
      <c r="A1396" t="s" s="2">
        <v>13</v>
      </c>
      <c r="B1396" t="s" s="2">
        <f>HYPERLINK("http://ts.21cn.com/tousu/show/id/1372635","要求爱又米平台停止暴力催收")</f>
      </c>
      <c r="C1396" t="s" s="2">
        <v>15</v>
      </c>
      <c r="D1396" t="s" s="2">
        <v>16</v>
      </c>
      <c r="E1396" t="s" s="2">
        <v>17</v>
      </c>
      <c r="F1396" t="s" s="2">
        <f>HYPERLINK("http://ts.21cn.com/tousu/show/id/1372635","http://ts.21cn.com/tousu/show/id/1372635")</f>
      </c>
      <c r="G1396" t="s" s="2">
        <v>17</v>
      </c>
      <c r="H1396" t="s" s="2">
        <v>19</v>
      </c>
      <c r="I1396" t="s" s="2">
        <v>5503</v>
      </c>
      <c r="J1396" t="s" s="2">
        <v>5504</v>
      </c>
      <c r="K1396" t="s" s="2">
        <v>22</v>
      </c>
      <c r="L1396" t="s" s="2">
        <v>22</v>
      </c>
      <c r="M1396" t="s" s="2">
        <v>22</v>
      </c>
    </row>
    <row r="1397" ht="25.0" customHeight="true">
      <c r="A1397" t="s" s="2">
        <v>13</v>
      </c>
      <c r="B1397" t="s" s="2">
        <f>HYPERLINK("http://ts.21cn.com/tousu/show/id/1372608","联动发卡平台的问题")</f>
      </c>
      <c r="C1397" t="s" s="2">
        <v>15</v>
      </c>
      <c r="D1397" t="s" s="2">
        <v>16</v>
      </c>
      <c r="E1397" t="s" s="2">
        <v>17</v>
      </c>
      <c r="F1397" t="s" s="2">
        <f>HYPERLINK("http://ts.21cn.com/tousu/show/id/1372608","http://ts.21cn.com/tousu/show/id/1372608")</f>
      </c>
      <c r="G1397" t="s" s="2">
        <v>17</v>
      </c>
      <c r="H1397" t="s" s="2">
        <v>19</v>
      </c>
      <c r="I1397" t="s" s="2">
        <v>5507</v>
      </c>
      <c r="J1397" t="s" s="2">
        <v>5508</v>
      </c>
      <c r="K1397" t="s" s="2">
        <v>22</v>
      </c>
      <c r="L1397" t="s" s="2">
        <v>22</v>
      </c>
      <c r="M1397" t="s" s="2">
        <v>22</v>
      </c>
    </row>
    <row r="1398" ht="25.0" customHeight="true">
      <c r="A1398" t="s" s="2">
        <v>13</v>
      </c>
      <c r="B1398" t="s" s="2">
        <f>HYPERLINK("http://ts.21cn.com/tousu/show/id/1372633","逾期不办理房产证")</f>
      </c>
      <c r="C1398" t="s" s="2">
        <v>15</v>
      </c>
      <c r="D1398" t="s" s="2">
        <v>16</v>
      </c>
      <c r="E1398" t="s" s="2">
        <v>17</v>
      </c>
      <c r="F1398" t="s" s="2">
        <f>HYPERLINK("http://ts.21cn.com/tousu/show/id/1372633","http://ts.21cn.com/tousu/show/id/1372633")</f>
      </c>
      <c r="G1398" t="s" s="2">
        <v>17</v>
      </c>
      <c r="H1398" t="s" s="2">
        <v>19</v>
      </c>
      <c r="I1398" t="s" s="2">
        <v>5511</v>
      </c>
      <c r="J1398" t="s" s="2">
        <v>5512</v>
      </c>
      <c r="K1398" t="s" s="2">
        <v>22</v>
      </c>
      <c r="L1398" t="s" s="2">
        <v>22</v>
      </c>
      <c r="M1398" t="s" s="2">
        <v>22</v>
      </c>
    </row>
    <row r="1399" ht="25.0" customHeight="true">
      <c r="A1399" t="s" s="2">
        <v>13</v>
      </c>
      <c r="B1399" t="s" s="2">
        <f>HYPERLINK("http://ts.21cn.com/tousu/show/id/1372632","钱站阴阳合同高利债砍头息")</f>
      </c>
      <c r="C1399" t="s" s="2">
        <v>15</v>
      </c>
      <c r="D1399" t="s" s="2">
        <v>16</v>
      </c>
      <c r="E1399" t="s" s="2">
        <v>17</v>
      </c>
      <c r="F1399" t="s" s="2">
        <f>HYPERLINK("http://ts.21cn.com/tousu/show/id/1372632","http://ts.21cn.com/tousu/show/id/1372632")</f>
      </c>
      <c r="G1399" t="s" s="2">
        <v>17</v>
      </c>
      <c r="H1399" t="s" s="2">
        <v>19</v>
      </c>
      <c r="I1399" t="s" s="2">
        <v>5515</v>
      </c>
      <c r="J1399" t="s" s="2">
        <v>5516</v>
      </c>
      <c r="K1399" t="s" s="2">
        <v>22</v>
      </c>
      <c r="L1399" t="s" s="2">
        <v>22</v>
      </c>
      <c r="M1399" t="s" s="2">
        <v>22</v>
      </c>
    </row>
    <row r="1400" ht="25.0" customHeight="true">
      <c r="A1400" t="s" s="2">
        <v>13</v>
      </c>
      <c r="B1400" t="s" s="2">
        <f>HYPERLINK("http://ts.21cn.com/tousu/show/id/1372631","捷信金融催收骚扰电话不断")</f>
      </c>
      <c r="C1400" t="s" s="2">
        <v>15</v>
      </c>
      <c r="D1400" t="s" s="2">
        <v>16</v>
      </c>
      <c r="E1400" t="s" s="2">
        <v>17</v>
      </c>
      <c r="F1400" t="s" s="2">
        <f>HYPERLINK("http://ts.21cn.com/tousu/show/id/1372631","http://ts.21cn.com/tousu/show/id/1372631")</f>
      </c>
      <c r="G1400" t="s" s="2">
        <v>17</v>
      </c>
      <c r="H1400" t="s" s="2">
        <v>19</v>
      </c>
      <c r="I1400" t="s" s="2">
        <v>5519</v>
      </c>
      <c r="J1400" t="s" s="2">
        <v>5520</v>
      </c>
      <c r="K1400" t="s" s="2">
        <v>22</v>
      </c>
      <c r="L1400" t="s" s="2">
        <v>22</v>
      </c>
      <c r="M1400" t="s" s="2">
        <v>22</v>
      </c>
    </row>
    <row r="1401" ht="25.0" customHeight="true">
      <c r="A1401" t="s" s="2">
        <v>13</v>
      </c>
      <c r="B1401" t="s" s="2">
        <f>HYPERLINK("http://ts.21cn.com/tousu/show/id/1372630","我想看一下贷上钱和我的贷款合同")</f>
      </c>
      <c r="C1401" t="s" s="2">
        <v>52</v>
      </c>
      <c r="D1401" t="s" s="2">
        <v>16</v>
      </c>
      <c r="E1401" t="s" s="2">
        <v>17</v>
      </c>
      <c r="F1401" t="s" s="2">
        <f>HYPERLINK("http://ts.21cn.com/tousu/show/id/1372630","http://ts.21cn.com/tousu/show/id/1372630")</f>
      </c>
      <c r="G1401" t="s" s="2">
        <v>17</v>
      </c>
      <c r="H1401" t="s" s="2">
        <v>19</v>
      </c>
      <c r="I1401" t="s" s="2">
        <v>5523</v>
      </c>
      <c r="J1401" t="s" s="2">
        <v>5524</v>
      </c>
      <c r="K1401" t="s" s="2">
        <v>22</v>
      </c>
      <c r="L1401" t="s" s="2">
        <v>22</v>
      </c>
      <c r="M1401" t="s" s="2">
        <v>22</v>
      </c>
    </row>
    <row r="1402" ht="25.0" customHeight="true">
      <c r="A1402" t="s" s="2">
        <v>13</v>
      </c>
      <c r="B1402" t="s" s="2">
        <f>HYPERLINK("http://ts.21cn.com/tousu/show/id/1372629","蜜瓜钱包砍头息")</f>
      </c>
      <c r="C1402" t="s" s="2">
        <v>52</v>
      </c>
      <c r="D1402" t="s" s="2">
        <v>16</v>
      </c>
      <c r="E1402" t="s" s="2">
        <v>17</v>
      </c>
      <c r="F1402" t="s" s="2">
        <f>HYPERLINK("http://ts.21cn.com/tousu/show/id/1372629","http://ts.21cn.com/tousu/show/id/1372629")</f>
      </c>
      <c r="G1402" t="s" s="2">
        <v>17</v>
      </c>
      <c r="H1402" t="s" s="2">
        <v>19</v>
      </c>
      <c r="I1402" t="s" s="2">
        <v>5527</v>
      </c>
      <c r="J1402" t="s" s="2">
        <v>5528</v>
      </c>
      <c r="K1402" t="s" s="2">
        <v>22</v>
      </c>
      <c r="L1402" t="s" s="2">
        <v>22</v>
      </c>
      <c r="M1402" t="s" s="2">
        <v>22</v>
      </c>
    </row>
    <row r="1403" ht="25.0" customHeight="true">
      <c r="A1403" t="s" s="2">
        <v>13</v>
      </c>
      <c r="B1403" t="s" s="2">
        <f>HYPERLINK("http://ts.21cn.com/tousu/show/id/1372628","拍拍贷高利息")</f>
      </c>
      <c r="C1403" t="s" s="2">
        <v>15</v>
      </c>
      <c r="D1403" t="s" s="2">
        <v>16</v>
      </c>
      <c r="E1403" t="s" s="2">
        <v>17</v>
      </c>
      <c r="F1403" t="s" s="2">
        <f>HYPERLINK("http://ts.21cn.com/tousu/show/id/1372628","http://ts.21cn.com/tousu/show/id/1372628")</f>
      </c>
      <c r="G1403" t="s" s="2">
        <v>17</v>
      </c>
      <c r="H1403" t="s" s="2">
        <v>19</v>
      </c>
      <c r="I1403" t="s" s="2">
        <v>5531</v>
      </c>
      <c r="J1403" t="s" s="2">
        <v>5532</v>
      </c>
      <c r="K1403" t="s" s="2">
        <v>22</v>
      </c>
      <c r="L1403" t="s" s="2">
        <v>22</v>
      </c>
      <c r="M1403" t="s" s="2">
        <v>22</v>
      </c>
    </row>
    <row r="1404" ht="25.0" customHeight="true">
      <c r="A1404" t="s" s="2">
        <v>13</v>
      </c>
      <c r="B1404" t="s" s="2">
        <f>HYPERLINK("http://ts.21cn.com/tousu/show/id/1372627","钱站高利贷阴阳合同")</f>
      </c>
      <c r="C1404" t="s" s="2">
        <v>15</v>
      </c>
      <c r="D1404" t="s" s="2">
        <v>16</v>
      </c>
      <c r="E1404" t="s" s="2">
        <v>17</v>
      </c>
      <c r="F1404" t="s" s="2">
        <f>HYPERLINK("http://ts.21cn.com/tousu/show/id/1372627","http://ts.21cn.com/tousu/show/id/1372627")</f>
      </c>
      <c r="G1404" t="s" s="2">
        <v>17</v>
      </c>
      <c r="H1404" t="s" s="2">
        <v>19</v>
      </c>
      <c r="I1404" t="s" s="2">
        <v>5534</v>
      </c>
      <c r="J1404" t="s" s="2">
        <v>5535</v>
      </c>
      <c r="K1404" t="s" s="2">
        <v>22</v>
      </c>
      <c r="L1404" t="s" s="2">
        <v>22</v>
      </c>
      <c r="M1404" t="s" s="2">
        <v>22</v>
      </c>
    </row>
    <row r="1405" ht="25.0" customHeight="true">
      <c r="A1405" t="s" s="2">
        <v>13</v>
      </c>
      <c r="B1405" t="s" s="2">
        <f>HYPERLINK("http://ts.21cn.com/tousu/show/id/1372626","运满满货主可以乱扣定金，客服还只帮货主说话")</f>
      </c>
      <c r="C1405" t="s" s="2">
        <v>15</v>
      </c>
      <c r="D1405" t="s" s="2">
        <v>16</v>
      </c>
      <c r="E1405" t="s" s="2">
        <v>17</v>
      </c>
      <c r="F1405" t="s" s="2">
        <f>HYPERLINK("http://ts.21cn.com/tousu/show/id/1372626","http://ts.21cn.com/tousu/show/id/1372626")</f>
      </c>
      <c r="G1405" t="s" s="2">
        <v>17</v>
      </c>
      <c r="H1405" t="s" s="2">
        <v>19</v>
      </c>
      <c r="I1405" t="s" s="2">
        <v>5538</v>
      </c>
      <c r="J1405" t="s" s="2">
        <v>5539</v>
      </c>
      <c r="K1405" t="s" s="2">
        <v>22</v>
      </c>
      <c r="L1405" t="s" s="2">
        <v>22</v>
      </c>
      <c r="M1405" t="s" s="2">
        <v>22</v>
      </c>
    </row>
    <row r="1406" ht="25.0" customHeight="true">
      <c r="A1406" t="s" s="2">
        <v>13</v>
      </c>
      <c r="B1406" t="s" s="2">
        <f>HYPERLINK("http://ts.21cn.com/tousu/show/id/1372624","新意花高利贷并且恶意逾期打电话骚扰联系人，畅捷支付为其提供支付通道")</f>
      </c>
      <c r="C1406" t="s" s="2">
        <v>15</v>
      </c>
      <c r="D1406" t="s" s="2">
        <v>16</v>
      </c>
      <c r="E1406" t="s" s="2">
        <v>17</v>
      </c>
      <c r="F1406" t="s" s="2">
        <f>HYPERLINK("http://ts.21cn.com/tousu/show/id/1372624","http://ts.21cn.com/tousu/show/id/1372624")</f>
      </c>
      <c r="G1406" t="s" s="2">
        <v>17</v>
      </c>
      <c r="H1406" t="s" s="2">
        <v>19</v>
      </c>
      <c r="I1406" t="s" s="2">
        <v>5542</v>
      </c>
      <c r="J1406" t="s" s="2">
        <v>5543</v>
      </c>
      <c r="K1406" t="s" s="2">
        <v>22</v>
      </c>
      <c r="L1406" t="s" s="2">
        <v>22</v>
      </c>
      <c r="M1406" t="s" s="2">
        <v>22</v>
      </c>
    </row>
    <row r="1407" ht="25.0" customHeight="true">
      <c r="A1407" t="s" s="2">
        <v>13</v>
      </c>
      <c r="B1407" t="s" s="2">
        <f>HYPERLINK("http://ts.21cn.com/tousu/show/id/1372625","威胁，恐吓，拒绝协商！")</f>
      </c>
      <c r="C1407" t="s" s="2">
        <v>15</v>
      </c>
      <c r="D1407" t="s" s="2">
        <v>16</v>
      </c>
      <c r="E1407" t="s" s="2">
        <v>17</v>
      </c>
      <c r="F1407" t="s" s="2">
        <f>HYPERLINK("http://ts.21cn.com/tousu/show/id/1372625","http://ts.21cn.com/tousu/show/id/1372625")</f>
      </c>
      <c r="G1407" t="s" s="2">
        <v>17</v>
      </c>
      <c r="H1407" t="s" s="2">
        <v>19</v>
      </c>
      <c r="I1407" t="s" s="2">
        <v>5546</v>
      </c>
      <c r="J1407" t="s" s="2">
        <v>5547</v>
      </c>
      <c r="K1407" t="s" s="2">
        <v>22</v>
      </c>
      <c r="L1407" t="s" s="2">
        <v>22</v>
      </c>
      <c r="M1407" t="s" s="2">
        <v>22</v>
      </c>
    </row>
    <row r="1408" ht="25.0" customHeight="true">
      <c r="A1408" t="s" s="2">
        <v>13</v>
      </c>
      <c r="B1408" t="s" s="2">
        <f>HYPERLINK("http://ts.21cn.com/tousu/show/id/1372623","在花卡速购借款1000元，1200元，1300元，收取不同的高利息，期限七天，畅捷支付为其提供的放款服务")</f>
      </c>
      <c r="C1408" t="s" s="2">
        <v>52</v>
      </c>
      <c r="D1408" t="s" s="2">
        <v>16</v>
      </c>
      <c r="E1408" t="s" s="2">
        <v>17</v>
      </c>
      <c r="F1408" t="s" s="2">
        <f>HYPERLINK("http://ts.21cn.com/tousu/show/id/1372623","http://ts.21cn.com/tousu/show/id/1372623")</f>
      </c>
      <c r="G1408" t="s" s="2">
        <v>17</v>
      </c>
      <c r="H1408" t="s" s="2">
        <v>19</v>
      </c>
      <c r="I1408" t="s" s="2">
        <v>5550</v>
      </c>
      <c r="J1408" t="s" s="2">
        <v>5551</v>
      </c>
      <c r="K1408" t="s" s="2">
        <v>22</v>
      </c>
      <c r="L1408" t="s" s="2">
        <v>22</v>
      </c>
      <c r="M1408" t="s" s="2">
        <v>22</v>
      </c>
    </row>
    <row r="1409" ht="25.0" customHeight="true">
      <c r="A1409" t="s" s="2">
        <v>13</v>
      </c>
      <c r="B1409" t="s" s="2">
        <f>HYPERLINK("http://ts.21cn.com/tousu/show/id/1372622","个人工商银行账户被其他代理业务资金_中国银联股份有限公司广东分公司专户05转走268.75元")</f>
      </c>
      <c r="C1409" t="s" s="2">
        <v>15</v>
      </c>
      <c r="D1409" t="s" s="2">
        <v>16</v>
      </c>
      <c r="E1409" t="s" s="2">
        <v>17</v>
      </c>
      <c r="F1409" t="s" s="2">
        <f>HYPERLINK("http://ts.21cn.com/tousu/show/id/1372622","http://ts.21cn.com/tousu/show/id/1372622")</f>
      </c>
      <c r="G1409" t="s" s="2">
        <v>17</v>
      </c>
      <c r="H1409" t="s" s="2">
        <v>19</v>
      </c>
      <c r="I1409" t="s" s="2">
        <v>5554</v>
      </c>
      <c r="J1409" t="s" s="2">
        <v>5555</v>
      </c>
      <c r="K1409" t="s" s="2">
        <v>22</v>
      </c>
      <c r="L1409" t="s" s="2">
        <v>22</v>
      </c>
      <c r="M1409" t="s" s="2">
        <v>22</v>
      </c>
    </row>
    <row r="1410" ht="25.0" customHeight="true">
      <c r="A1410" t="s" s="2">
        <v>13</v>
      </c>
      <c r="B1410" t="s" s="2">
        <f>HYPERLINK("http://ts.21cn.com/tousu/show/id/1372621","威胁，骚扰")</f>
      </c>
      <c r="C1410" t="s" s="2">
        <v>15</v>
      </c>
      <c r="D1410" t="s" s="2">
        <v>16</v>
      </c>
      <c r="E1410" t="s" s="2">
        <v>17</v>
      </c>
      <c r="F1410" t="s" s="2">
        <f>HYPERLINK("http://ts.21cn.com/tousu/show/id/1372621","http://ts.21cn.com/tousu/show/id/1372621")</f>
      </c>
      <c r="G1410" t="s" s="2">
        <v>17</v>
      </c>
      <c r="H1410" t="s" s="2">
        <v>19</v>
      </c>
      <c r="I1410" t="s" s="2">
        <v>5558</v>
      </c>
      <c r="J1410" t="s" s="2">
        <v>5559</v>
      </c>
      <c r="K1410" t="s" s="2">
        <v>22</v>
      </c>
      <c r="L1410" t="s" s="2">
        <v>22</v>
      </c>
      <c r="M1410" t="s" s="2">
        <v>22</v>
      </c>
    </row>
    <row r="1411" ht="25.0" customHeight="true">
      <c r="A1411" t="s" s="2">
        <v>13</v>
      </c>
      <c r="B1411" t="s" s="2">
        <f>HYPERLINK("http://ts.21cn.com/tousu/show/id/1372620","请求建行对我的快贷进行分期")</f>
      </c>
      <c r="C1411" t="s" s="2">
        <v>15</v>
      </c>
      <c r="D1411" t="s" s="2">
        <v>16</v>
      </c>
      <c r="E1411" t="s" s="2">
        <v>17</v>
      </c>
      <c r="F1411" t="s" s="2">
        <f>HYPERLINK("http://ts.21cn.com/tousu/show/id/1372620","http://ts.21cn.com/tousu/show/id/1372620")</f>
      </c>
      <c r="G1411" t="s" s="2">
        <v>17</v>
      </c>
      <c r="H1411" t="s" s="2">
        <v>19</v>
      </c>
      <c r="I1411" t="s" s="2">
        <v>5562</v>
      </c>
      <c r="J1411" t="s" s="2">
        <v>5563</v>
      </c>
      <c r="K1411" t="s" s="2">
        <v>22</v>
      </c>
      <c r="L1411" t="s" s="2">
        <v>22</v>
      </c>
      <c r="M1411" t="s" s="2">
        <v>22</v>
      </c>
    </row>
    <row r="1412" ht="25.0" customHeight="true">
      <c r="A1412" t="s" s="2">
        <v>13</v>
      </c>
      <c r="B1412" t="s" s="2">
        <f>HYPERLINK("http://ts.21cn.com/tousu/show/id/1372619","支付宝暴力催收威胁恐吓借款人")</f>
      </c>
      <c r="C1412" t="s" s="2">
        <v>15</v>
      </c>
      <c r="D1412" t="s" s="2">
        <v>16</v>
      </c>
      <c r="E1412" t="s" s="2">
        <v>17</v>
      </c>
      <c r="F1412" t="s" s="2">
        <f>HYPERLINK("http://ts.21cn.com/tousu/show/id/1372619","http://ts.21cn.com/tousu/show/id/1372619")</f>
      </c>
      <c r="G1412" t="s" s="2">
        <v>17</v>
      </c>
      <c r="H1412" t="s" s="2">
        <v>19</v>
      </c>
      <c r="I1412" t="s" s="2">
        <v>5566</v>
      </c>
      <c r="J1412" t="s" s="2">
        <v>5567</v>
      </c>
      <c r="K1412" t="s" s="2">
        <v>22</v>
      </c>
      <c r="L1412" t="s" s="2">
        <v>22</v>
      </c>
      <c r="M1412" t="s" s="2">
        <v>22</v>
      </c>
    </row>
    <row r="1413" ht="25.0" customHeight="true">
      <c r="A1413" t="s" s="2">
        <v>13</v>
      </c>
      <c r="B1413" t="s" s="2">
        <f>HYPERLINK("http://ts.21cn.com/tousu/show/id/1372618","协商解决还款")</f>
      </c>
      <c r="C1413" t="s" s="2">
        <v>15</v>
      </c>
      <c r="D1413" t="s" s="2">
        <v>16</v>
      </c>
      <c r="E1413" t="s" s="2">
        <v>17</v>
      </c>
      <c r="F1413" t="s" s="2">
        <f>HYPERLINK("http://ts.21cn.com/tousu/show/id/1372618","http://ts.21cn.com/tousu/show/id/1372618")</f>
      </c>
      <c r="G1413" t="s" s="2">
        <v>17</v>
      </c>
      <c r="H1413" t="s" s="2">
        <v>19</v>
      </c>
      <c r="I1413" t="s" s="2">
        <v>5570</v>
      </c>
      <c r="J1413" t="s" s="2">
        <v>5571</v>
      </c>
      <c r="K1413" t="s" s="2">
        <v>22</v>
      </c>
      <c r="L1413" t="s" s="2">
        <v>22</v>
      </c>
      <c r="M1413" t="s" s="2">
        <v>22</v>
      </c>
    </row>
    <row r="1414" ht="25.0" customHeight="true">
      <c r="A1414" t="s" s="2">
        <v>13</v>
      </c>
      <c r="B1414" t="s" s="2">
        <f>HYPERLINK("http://ts.21cn.com/tousu/show/id/1372617","《连连支付》《京东支付》为714高炮《先花钱》违规提供支付业务")</f>
      </c>
      <c r="C1414" t="s" s="2">
        <v>15</v>
      </c>
      <c r="D1414" t="s" s="2">
        <v>16</v>
      </c>
      <c r="E1414" t="s" s="2">
        <v>17</v>
      </c>
      <c r="F1414" t="s" s="2">
        <f>HYPERLINK("http://ts.21cn.com/tousu/show/id/1372617","http://ts.21cn.com/tousu/show/id/1372617")</f>
      </c>
      <c r="G1414" t="s" s="2">
        <v>17</v>
      </c>
      <c r="H1414" t="s" s="2">
        <v>19</v>
      </c>
      <c r="I1414" t="s" s="2">
        <v>5574</v>
      </c>
      <c r="J1414" t="s" s="2">
        <v>5575</v>
      </c>
      <c r="K1414" t="s" s="2">
        <v>22</v>
      </c>
      <c r="L1414" t="s" s="2">
        <v>22</v>
      </c>
      <c r="M1414" t="s" s="2">
        <v>22</v>
      </c>
    </row>
    <row r="1415" ht="25.0" customHeight="true">
      <c r="A1415" t="s" s="2">
        <v>13</v>
      </c>
      <c r="B1415" t="s" s="2">
        <f>HYPERLINK("http://ts.21cn.com/tousu/show/id/1372616","淘宝买葡萄苗和枇杷苗店家发了死苗且不补发")</f>
      </c>
      <c r="C1415" t="s" s="2">
        <v>15</v>
      </c>
      <c r="D1415" t="s" s="2">
        <v>16</v>
      </c>
      <c r="E1415" t="s" s="2">
        <v>17</v>
      </c>
      <c r="F1415" t="s" s="2">
        <f>HYPERLINK("http://ts.21cn.com/tousu/show/id/1372616","http://ts.21cn.com/tousu/show/id/1372616")</f>
      </c>
      <c r="G1415" t="s" s="2">
        <v>17</v>
      </c>
      <c r="H1415" t="s" s="2">
        <v>19</v>
      </c>
      <c r="I1415" t="s" s="2">
        <v>5578</v>
      </c>
      <c r="J1415" t="s" s="2">
        <v>5579</v>
      </c>
      <c r="K1415" t="s" s="2">
        <v>22</v>
      </c>
      <c r="L1415" t="s" s="2">
        <v>22</v>
      </c>
      <c r="M1415" t="s" s="2">
        <v>22</v>
      </c>
    </row>
    <row r="1416" ht="25.0" customHeight="true">
      <c r="A1416" t="s" s="2">
        <v>13</v>
      </c>
      <c r="B1416" t="s" s="2">
        <f>HYPERLINK("http://ts.21cn.com/tousu/show/id/1372615","拿钱花呗主动扣款199")</f>
      </c>
      <c r="C1416" t="s" s="2">
        <v>15</v>
      </c>
      <c r="D1416" t="s" s="2">
        <v>16</v>
      </c>
      <c r="E1416" t="s" s="2">
        <v>17</v>
      </c>
      <c r="F1416" t="s" s="2">
        <f>HYPERLINK("http://ts.21cn.com/tousu/show/id/1372615","http://ts.21cn.com/tousu/show/id/1372615")</f>
      </c>
      <c r="G1416" t="s" s="2">
        <v>17</v>
      </c>
      <c r="H1416" t="s" s="2">
        <v>19</v>
      </c>
      <c r="I1416" t="s" s="2">
        <v>5582</v>
      </c>
      <c r="J1416" t="s" s="2">
        <v>5583</v>
      </c>
      <c r="K1416" t="s" s="2">
        <v>22</v>
      </c>
      <c r="L1416" t="s" s="2">
        <v>22</v>
      </c>
      <c r="M1416" t="s" s="2">
        <v>22</v>
      </c>
    </row>
    <row r="1417" ht="25.0" customHeight="true">
      <c r="A1417" t="s" s="2">
        <v>13</v>
      </c>
      <c r="B1417" t="s" s="2">
        <f>HYPERLINK("http://ts.21cn.com/tousu/show/id/1372614","买家给我发付款截图然后让我扫码联系客服发货然后发货买家确认收货了客服说钱24小时到支付宝结果超过了还不到账了")</f>
      </c>
      <c r="C1417" t="s" s="2">
        <v>52</v>
      </c>
      <c r="D1417" t="s" s="2">
        <v>16</v>
      </c>
      <c r="E1417" t="s" s="2">
        <v>17</v>
      </c>
      <c r="F1417" t="s" s="2">
        <f>HYPERLINK("http://ts.21cn.com/tousu/show/id/1372614","http://ts.21cn.com/tousu/show/id/1372614")</f>
      </c>
      <c r="G1417" t="s" s="2">
        <v>17</v>
      </c>
      <c r="H1417" t="s" s="2">
        <v>19</v>
      </c>
      <c r="I1417" t="s" s="2">
        <v>5586</v>
      </c>
      <c r="J1417" t="s" s="2">
        <v>5587</v>
      </c>
      <c r="K1417" t="s" s="2">
        <v>22</v>
      </c>
      <c r="L1417" t="s" s="2">
        <v>22</v>
      </c>
      <c r="M1417" t="s" s="2">
        <v>22</v>
      </c>
    </row>
    <row r="1418" ht="25.0" customHeight="true">
      <c r="A1418" t="s" s="2">
        <v>13</v>
      </c>
      <c r="B1418" t="s" s="2">
        <f>HYPERLINK("http://ts.21cn.com/tousu/show/id/1372613","及贷砍头息")</f>
      </c>
      <c r="C1418" t="s" s="2">
        <v>15</v>
      </c>
      <c r="D1418" t="s" s="2">
        <v>16</v>
      </c>
      <c r="E1418" t="s" s="2">
        <v>17</v>
      </c>
      <c r="F1418" t="s" s="2">
        <f>HYPERLINK("http://ts.21cn.com/tousu/show/id/1372613","http://ts.21cn.com/tousu/show/id/1372613")</f>
      </c>
      <c r="G1418" t="s" s="2">
        <v>17</v>
      </c>
      <c r="H1418" t="s" s="2">
        <v>19</v>
      </c>
      <c r="I1418" t="s" s="2">
        <v>5590</v>
      </c>
      <c r="J1418" t="s" s="2">
        <v>5591</v>
      </c>
      <c r="K1418" t="s" s="2">
        <v>22</v>
      </c>
      <c r="L1418" t="s" s="2">
        <v>22</v>
      </c>
      <c r="M1418" t="s" s="2">
        <v>22</v>
      </c>
    </row>
    <row r="1419" ht="25.0" customHeight="true">
      <c r="A1419" t="s" s="2">
        <v>13</v>
      </c>
      <c r="B1419" t="s" s="2">
        <f>HYPERLINK("http://ts.21cn.com/tousu/show/id/1372611","拼多多平台售后介入客服处理交易态度有问题，不公平，乱处理，偏向消费者，")</f>
      </c>
      <c r="C1419" t="s" s="2">
        <v>15</v>
      </c>
      <c r="D1419" t="s" s="2">
        <v>16</v>
      </c>
      <c r="E1419" t="s" s="2">
        <v>17</v>
      </c>
      <c r="F1419" t="s" s="2">
        <f>HYPERLINK("http://ts.21cn.com/tousu/show/id/1372611","http://ts.21cn.com/tousu/show/id/1372611")</f>
      </c>
      <c r="G1419" t="s" s="2">
        <v>17</v>
      </c>
      <c r="H1419" t="s" s="2">
        <v>19</v>
      </c>
      <c r="I1419" t="s" s="2">
        <v>5594</v>
      </c>
      <c r="J1419" t="s" s="2">
        <v>5595</v>
      </c>
      <c r="K1419" t="s" s="2">
        <v>22</v>
      </c>
      <c r="L1419" t="s" s="2">
        <v>22</v>
      </c>
      <c r="M1419" t="s" s="2">
        <v>22</v>
      </c>
    </row>
    <row r="1420" ht="25.0" customHeight="true">
      <c r="A1420" t="s" s="2">
        <v>13</v>
      </c>
      <c r="B1420" t="s" s="2">
        <f>HYPERLINK("http://ts.21cn.com/tousu/show/id/1372612","工作内容与实际不符")</f>
      </c>
      <c r="C1420" t="s" s="2">
        <v>15</v>
      </c>
      <c r="D1420" t="s" s="2">
        <v>16</v>
      </c>
      <c r="E1420" t="s" s="2">
        <v>17</v>
      </c>
      <c r="F1420" t="s" s="2">
        <f>HYPERLINK("http://ts.21cn.com/tousu/show/id/1372612","http://ts.21cn.com/tousu/show/id/1372612")</f>
      </c>
      <c r="G1420" t="s" s="2">
        <v>17</v>
      </c>
      <c r="H1420" t="s" s="2">
        <v>19</v>
      </c>
      <c r="I1420" t="s" s="2">
        <v>5598</v>
      </c>
      <c r="J1420" t="s" s="2">
        <v>5599</v>
      </c>
      <c r="K1420" t="s" s="2">
        <v>22</v>
      </c>
      <c r="L1420" t="s" s="2">
        <v>22</v>
      </c>
      <c r="M1420" t="s" s="2">
        <v>22</v>
      </c>
    </row>
    <row r="1421" ht="25.0" customHeight="true">
      <c r="A1421" t="s" s="2">
        <v>13</v>
      </c>
      <c r="B1421" t="s" s="2">
        <f>HYPERLINK("http://ts.21cn.com/tousu/show/id/1372610","钱站")</f>
      </c>
      <c r="C1421" t="s" s="2">
        <v>15</v>
      </c>
      <c r="D1421" t="s" s="2">
        <v>16</v>
      </c>
      <c r="E1421" t="s" s="2">
        <v>17</v>
      </c>
      <c r="F1421" t="s" s="2">
        <f>HYPERLINK("http://ts.21cn.com/tousu/show/id/1372610","http://ts.21cn.com/tousu/show/id/1372610")</f>
      </c>
      <c r="G1421" t="s" s="2">
        <v>17</v>
      </c>
      <c r="H1421" t="s" s="2">
        <v>19</v>
      </c>
      <c r="I1421" t="s" s="2">
        <v>5601</v>
      </c>
      <c r="J1421" t="s" s="2">
        <v>5602</v>
      </c>
      <c r="K1421" t="s" s="2">
        <v>22</v>
      </c>
      <c r="L1421" t="s" s="2">
        <v>22</v>
      </c>
      <c r="M1421" t="s" s="2">
        <v>22</v>
      </c>
    </row>
    <row r="1422" ht="25.0" customHeight="true">
      <c r="A1422" t="s" s="2">
        <v>13</v>
      </c>
      <c r="B1422" t="s" s="2">
        <f>HYPERLINK("http://ts.21cn.com/tousu/show/id/1372609","润小贷")</f>
      </c>
      <c r="C1422" t="s" s="2">
        <v>15</v>
      </c>
      <c r="D1422" t="s" s="2">
        <v>16</v>
      </c>
      <c r="E1422" t="s" s="2">
        <v>17</v>
      </c>
      <c r="F1422" t="s" s="2">
        <f>HYPERLINK("http://ts.21cn.com/tousu/show/id/1372609","http://ts.21cn.com/tousu/show/id/1372609")</f>
      </c>
      <c r="G1422" t="s" s="2">
        <v>17</v>
      </c>
      <c r="H1422" t="s" s="2">
        <v>19</v>
      </c>
      <c r="I1422" t="s" s="2">
        <v>5605</v>
      </c>
      <c r="J1422" t="s" s="2">
        <v>5606</v>
      </c>
      <c r="K1422" t="s" s="2">
        <v>22</v>
      </c>
      <c r="L1422" t="s" s="2">
        <v>22</v>
      </c>
      <c r="M1422" t="s" s="2">
        <v>22</v>
      </c>
    </row>
    <row r="1423" ht="25.0" customHeight="true">
      <c r="A1423" t="s" s="2">
        <v>13</v>
      </c>
      <c r="B1423" t="s" s="2">
        <f>HYPERLINK("http://ts.21cn.com/tousu/show/id/1372606","京东活力花暴力催收、恐吓、威胁")</f>
      </c>
      <c r="C1423" t="s" s="2">
        <v>15</v>
      </c>
      <c r="D1423" t="s" s="2">
        <v>16</v>
      </c>
      <c r="E1423" t="s" s="2">
        <v>17</v>
      </c>
      <c r="F1423" t="s" s="2">
        <f>HYPERLINK("http://ts.21cn.com/tousu/show/id/1372606","http://ts.21cn.com/tousu/show/id/1372606")</f>
      </c>
      <c r="G1423" t="s" s="2">
        <v>17</v>
      </c>
      <c r="H1423" t="s" s="2">
        <v>19</v>
      </c>
      <c r="I1423" t="s" s="2">
        <v>5609</v>
      </c>
      <c r="J1423" t="s" s="2">
        <v>5411</v>
      </c>
      <c r="K1423" t="s" s="2">
        <v>22</v>
      </c>
      <c r="L1423" t="s" s="2">
        <v>22</v>
      </c>
      <c r="M1423" t="s" s="2">
        <v>22</v>
      </c>
    </row>
    <row r="1424" ht="25.0" customHeight="true">
      <c r="A1424" t="s" s="2">
        <v>13</v>
      </c>
      <c r="B1424" t="s" s="2">
        <f>HYPERLINK("http://ts.21cn.com/tousu/show/id/1372605","淘宝店铺继承过户多次失败理由让我不知所措")</f>
      </c>
      <c r="C1424" t="s" s="2">
        <v>52</v>
      </c>
      <c r="D1424" t="s" s="2">
        <v>16</v>
      </c>
      <c r="E1424" t="s" s="2">
        <v>17</v>
      </c>
      <c r="F1424" t="s" s="2">
        <f>HYPERLINK("http://ts.21cn.com/tousu/show/id/1372605","http://ts.21cn.com/tousu/show/id/1372605")</f>
      </c>
      <c r="G1424" t="s" s="2">
        <v>17</v>
      </c>
      <c r="H1424" t="s" s="2">
        <v>19</v>
      </c>
      <c r="I1424" t="s" s="2">
        <v>5612</v>
      </c>
      <c r="J1424" t="s" s="2">
        <v>5613</v>
      </c>
      <c r="K1424" t="s" s="2">
        <v>22</v>
      </c>
      <c r="L1424" t="s" s="2">
        <v>22</v>
      </c>
      <c r="M1424" t="s" s="2">
        <v>22</v>
      </c>
    </row>
    <row r="1425" ht="25.0" customHeight="true">
      <c r="A1425" t="s" s="2">
        <v>13</v>
      </c>
      <c r="B1425" t="s" s="2">
        <f>HYPERLINK("http://ts.21cn.com/tousu/show/id/1372604","利息太高")</f>
      </c>
      <c r="C1425" t="s" s="2">
        <v>15</v>
      </c>
      <c r="D1425" t="s" s="2">
        <v>16</v>
      </c>
      <c r="E1425" t="s" s="2">
        <v>17</v>
      </c>
      <c r="F1425" t="s" s="2">
        <f>HYPERLINK("http://ts.21cn.com/tousu/show/id/1372604","http://ts.21cn.com/tousu/show/id/1372604")</f>
      </c>
      <c r="G1425" t="s" s="2">
        <v>17</v>
      </c>
      <c r="H1425" t="s" s="2">
        <v>19</v>
      </c>
      <c r="I1425" t="s" s="2">
        <v>5615</v>
      </c>
      <c r="J1425" t="s" s="2">
        <v>5616</v>
      </c>
      <c r="K1425" t="s" s="2">
        <v>22</v>
      </c>
      <c r="L1425" t="s" s="2">
        <v>22</v>
      </c>
      <c r="M1425" t="s" s="2">
        <v>22</v>
      </c>
    </row>
    <row r="1426" ht="25.0" customHeight="true">
      <c r="A1426" t="s" s="2">
        <v>13</v>
      </c>
      <c r="B1426" t="s" s="2">
        <f>HYPERLINK("http://ts.21cn.com/tousu/show/id/1372603","商家销售辣条属于非法添加")</f>
      </c>
      <c r="C1426" t="s" s="2">
        <v>15</v>
      </c>
      <c r="D1426" t="s" s="2">
        <v>16</v>
      </c>
      <c r="E1426" t="s" s="2">
        <v>17</v>
      </c>
      <c r="F1426" t="s" s="2">
        <f>HYPERLINK("http://ts.21cn.com/tousu/show/id/1372603","http://ts.21cn.com/tousu/show/id/1372603")</f>
      </c>
      <c r="G1426" t="s" s="2">
        <v>17</v>
      </c>
      <c r="H1426" t="s" s="2">
        <v>19</v>
      </c>
      <c r="I1426" t="s" s="2">
        <v>5619</v>
      </c>
      <c r="J1426" t="s" s="2">
        <v>5620</v>
      </c>
      <c r="K1426" t="s" s="2">
        <v>22</v>
      </c>
      <c r="L1426" t="s" s="2">
        <v>22</v>
      </c>
      <c r="M1426" t="s" s="2">
        <v>22</v>
      </c>
    </row>
    <row r="1427" ht="25.0" customHeight="true">
      <c r="A1427" t="s" s="2">
        <v>13</v>
      </c>
      <c r="B1427" t="s" s="2">
        <f>HYPERLINK("http://ts.21cn.com/tousu/show/id/1372602","省呗骚扰亲朋好友")</f>
      </c>
      <c r="C1427" t="s" s="2">
        <v>15</v>
      </c>
      <c r="D1427" t="s" s="2">
        <v>16</v>
      </c>
      <c r="E1427" t="s" s="2">
        <v>17</v>
      </c>
      <c r="F1427" t="s" s="2">
        <f>HYPERLINK("http://ts.21cn.com/tousu/show/id/1372602","http://ts.21cn.com/tousu/show/id/1372602")</f>
      </c>
      <c r="G1427" t="s" s="2">
        <v>17</v>
      </c>
      <c r="H1427" t="s" s="2">
        <v>19</v>
      </c>
      <c r="I1427" t="s" s="2">
        <v>5623</v>
      </c>
      <c r="J1427" t="s" s="2">
        <v>5624</v>
      </c>
      <c r="K1427" t="s" s="2">
        <v>22</v>
      </c>
      <c r="L1427" t="s" s="2">
        <v>22</v>
      </c>
      <c r="M1427" t="s" s="2">
        <v>22</v>
      </c>
    </row>
    <row r="1428" ht="25.0" customHeight="true">
      <c r="A1428" t="s" s="2">
        <v>13</v>
      </c>
      <c r="B1428" t="s" s="2">
        <f>HYPERLINK("http://ts.21cn.com/tousu/show/id/1372601","推迟交房毫无信用")</f>
      </c>
      <c r="C1428" t="s" s="2">
        <v>15</v>
      </c>
      <c r="D1428" t="s" s="2">
        <v>16</v>
      </c>
      <c r="E1428" t="s" s="2">
        <v>17</v>
      </c>
      <c r="F1428" t="s" s="2">
        <f>HYPERLINK("http://ts.21cn.com/tousu/show/id/1372601","http://ts.21cn.com/tousu/show/id/1372601")</f>
      </c>
      <c r="G1428" t="s" s="2">
        <v>17</v>
      </c>
      <c r="H1428" t="s" s="2">
        <v>19</v>
      </c>
      <c r="I1428" t="s" s="2">
        <v>5627</v>
      </c>
      <c r="J1428" t="s" s="2">
        <v>5628</v>
      </c>
      <c r="K1428" t="s" s="2">
        <v>22</v>
      </c>
      <c r="L1428" t="s" s="2">
        <v>22</v>
      </c>
      <c r="M1428" t="s" s="2">
        <v>22</v>
      </c>
    </row>
    <row r="1429" ht="25.0" customHeight="true">
      <c r="A1429" t="s" s="2">
        <v>13</v>
      </c>
      <c r="B1429" t="s" s="2">
        <f>HYPERLINK("http://ts.21cn.com/tousu/show/id/1372598","滴滴出行无故降司机服务分")</f>
      </c>
      <c r="C1429" t="s" s="2">
        <v>52</v>
      </c>
      <c r="D1429" t="s" s="2">
        <v>16</v>
      </c>
      <c r="E1429" t="s" s="2">
        <v>17</v>
      </c>
      <c r="F1429" t="s" s="2">
        <f>HYPERLINK("http://ts.21cn.com/tousu/show/id/1372598","http://ts.21cn.com/tousu/show/id/1372598")</f>
      </c>
      <c r="G1429" t="s" s="2">
        <v>17</v>
      </c>
      <c r="H1429" t="s" s="2">
        <v>19</v>
      </c>
      <c r="I1429" t="s" s="2">
        <v>5631</v>
      </c>
      <c r="J1429" t="s" s="2">
        <v>5632</v>
      </c>
      <c r="K1429" t="s" s="2">
        <v>22</v>
      </c>
      <c r="L1429" t="s" s="2">
        <v>22</v>
      </c>
      <c r="M1429" t="s" s="2">
        <v>22</v>
      </c>
    </row>
    <row r="1430" ht="25.0" customHeight="true">
      <c r="A1430" t="s" s="2">
        <v>13</v>
      </c>
      <c r="B1430" t="s" s="2">
        <f>HYPERLINK("http://ts.21cn.com/tousu/show/id/1372597","马上消费金融，暴力催收，群发短信，恐吓催收")</f>
      </c>
      <c r="C1430" t="s" s="2">
        <v>15</v>
      </c>
      <c r="D1430" t="s" s="2">
        <v>16</v>
      </c>
      <c r="E1430" t="s" s="2">
        <v>17</v>
      </c>
      <c r="F1430" t="s" s="2">
        <f>HYPERLINK("http://ts.21cn.com/tousu/show/id/1372597","http://ts.21cn.com/tousu/show/id/1372597")</f>
      </c>
      <c r="G1430" t="s" s="2">
        <v>17</v>
      </c>
      <c r="H1430" t="s" s="2">
        <v>19</v>
      </c>
      <c r="I1430" t="s" s="2">
        <v>5634</v>
      </c>
      <c r="J1430" t="s" s="2">
        <v>5635</v>
      </c>
      <c r="K1430" t="s" s="2">
        <v>22</v>
      </c>
      <c r="L1430" t="s" s="2">
        <v>22</v>
      </c>
      <c r="M1430" t="s" s="2">
        <v>22</v>
      </c>
    </row>
    <row r="1431" ht="25.0" customHeight="true">
      <c r="A1431" t="s" s="2">
        <v>13</v>
      </c>
      <c r="B1431" t="s" s="2">
        <f>HYPERLINK("http://ts.21cn.com/tousu/show/id/1372596","交通信用卡骚扰联系人")</f>
      </c>
      <c r="C1431" t="s" s="2">
        <v>15</v>
      </c>
      <c r="D1431" t="s" s="2">
        <v>16</v>
      </c>
      <c r="E1431" t="s" s="2">
        <v>17</v>
      </c>
      <c r="F1431" t="s" s="2">
        <f>HYPERLINK("http://ts.21cn.com/tousu/show/id/1372596","http://ts.21cn.com/tousu/show/id/1372596")</f>
      </c>
      <c r="G1431" t="s" s="2">
        <v>17</v>
      </c>
      <c r="H1431" t="s" s="2">
        <v>19</v>
      </c>
      <c r="I1431" t="s" s="2">
        <v>5638</v>
      </c>
      <c r="J1431" t="s" s="2">
        <v>5639</v>
      </c>
      <c r="K1431" t="s" s="2">
        <v>22</v>
      </c>
      <c r="L1431" t="s" s="2">
        <v>22</v>
      </c>
      <c r="M1431" t="s" s="2">
        <v>22</v>
      </c>
    </row>
    <row r="1432" ht="25.0" customHeight="true">
      <c r="A1432" t="s" s="2">
        <v>13</v>
      </c>
      <c r="B1432" t="s" s="2">
        <f>HYPERLINK("http://ts.21cn.com/tousu/show/id/1372595","绿瘦让我们走上了减肥这条不归路")</f>
      </c>
      <c r="C1432" t="s" s="2">
        <v>52</v>
      </c>
      <c r="D1432" t="s" s="2">
        <v>16</v>
      </c>
      <c r="E1432" t="s" s="2">
        <v>17</v>
      </c>
      <c r="F1432" t="s" s="2">
        <f>HYPERLINK("http://ts.21cn.com/tousu/show/id/1372595","http://ts.21cn.com/tousu/show/id/1372595")</f>
      </c>
      <c r="G1432" t="s" s="2">
        <v>17</v>
      </c>
      <c r="H1432" t="s" s="2">
        <v>19</v>
      </c>
      <c r="I1432" t="s" s="2">
        <v>5642</v>
      </c>
      <c r="J1432" t="s" s="2">
        <v>5643</v>
      </c>
      <c r="K1432" t="s" s="2">
        <v>22</v>
      </c>
      <c r="L1432" t="s" s="2">
        <v>22</v>
      </c>
      <c r="M1432" t="s" s="2">
        <v>22</v>
      </c>
    </row>
    <row r="1433" ht="25.0" customHeight="true">
      <c r="A1433" t="s" s="2">
        <v>13</v>
      </c>
      <c r="B1433" t="s" s="2">
        <f>HYPERLINK("http://ts.21cn.com/tousu/show/id/1372593","58好借高利贷45%的年化息费")</f>
      </c>
      <c r="C1433" t="s" s="2">
        <v>15</v>
      </c>
      <c r="D1433" t="s" s="2">
        <v>16</v>
      </c>
      <c r="E1433" t="s" s="2">
        <v>17</v>
      </c>
      <c r="F1433" t="s" s="2">
        <f>HYPERLINK("http://ts.21cn.com/tousu/show/id/1372593","http://ts.21cn.com/tousu/show/id/1372593")</f>
      </c>
      <c r="G1433" t="s" s="2">
        <v>17</v>
      </c>
      <c r="H1433" t="s" s="2">
        <v>19</v>
      </c>
      <c r="I1433" t="s" s="2">
        <v>5646</v>
      </c>
      <c r="J1433" t="s" s="2">
        <v>5647</v>
      </c>
      <c r="K1433" t="s" s="2">
        <v>22</v>
      </c>
      <c r="L1433" t="s" s="2">
        <v>22</v>
      </c>
      <c r="M1433" t="s" s="2">
        <v>22</v>
      </c>
    </row>
    <row r="1434" ht="25.0" customHeight="true">
      <c r="A1434" t="s" s="2">
        <v>13</v>
      </c>
      <c r="B1434" t="s" s="2">
        <f>HYPERLINK("http://ts.21cn.com/tousu/show/id/1372594","超级套路高利贷")</f>
      </c>
      <c r="C1434" t="s" s="2">
        <v>15</v>
      </c>
      <c r="D1434" t="s" s="2">
        <v>16</v>
      </c>
      <c r="E1434" t="s" s="2">
        <v>17</v>
      </c>
      <c r="F1434" t="s" s="2">
        <f>HYPERLINK("http://ts.21cn.com/tousu/show/id/1372594","http://ts.21cn.com/tousu/show/id/1372594")</f>
      </c>
      <c r="G1434" t="s" s="2">
        <v>17</v>
      </c>
      <c r="H1434" t="s" s="2">
        <v>19</v>
      </c>
      <c r="I1434" t="s" s="2">
        <v>5650</v>
      </c>
      <c r="J1434" t="s" s="2">
        <v>5651</v>
      </c>
      <c r="K1434" t="s" s="2">
        <v>22</v>
      </c>
      <c r="L1434" t="s" s="2">
        <v>22</v>
      </c>
      <c r="M1434" t="s" s="2">
        <v>22</v>
      </c>
    </row>
    <row r="1435" ht="25.0" customHeight="true">
      <c r="A1435" t="s" s="2">
        <v>13</v>
      </c>
      <c r="B1435" t="s" s="2">
        <f>HYPERLINK("http://ts.21cn.com/tousu/show/id/1372592","月光侠分期高利贷")</f>
      </c>
      <c r="C1435" t="s" s="2">
        <v>15</v>
      </c>
      <c r="D1435" t="s" s="2">
        <v>16</v>
      </c>
      <c r="E1435" t="s" s="2">
        <v>17</v>
      </c>
      <c r="F1435" t="s" s="2">
        <f>HYPERLINK("http://ts.21cn.com/tousu/show/id/1372592","http://ts.21cn.com/tousu/show/id/1372592")</f>
      </c>
      <c r="G1435" t="s" s="2">
        <v>17</v>
      </c>
      <c r="H1435" t="s" s="2">
        <v>19</v>
      </c>
      <c r="I1435" t="s" s="2">
        <v>5654</v>
      </c>
      <c r="J1435" t="s" s="2">
        <v>5655</v>
      </c>
      <c r="K1435" t="s" s="2">
        <v>22</v>
      </c>
      <c r="L1435" t="s" s="2">
        <v>22</v>
      </c>
      <c r="M1435" t="s" s="2">
        <v>22</v>
      </c>
    </row>
    <row r="1436" ht="25.0" customHeight="true">
      <c r="A1436" t="s" s="2">
        <v>13</v>
      </c>
      <c r="B1436" t="s" s="2">
        <f>HYPERLINK("http://ts.21cn.com/tousu/show/id/1372591","玖富高利贷")</f>
      </c>
      <c r="C1436" t="s" s="2">
        <v>15</v>
      </c>
      <c r="D1436" t="s" s="2">
        <v>16</v>
      </c>
      <c r="E1436" t="s" s="2">
        <v>17</v>
      </c>
      <c r="F1436" t="s" s="2">
        <f>HYPERLINK("http://ts.21cn.com/tousu/show/id/1372591","http://ts.21cn.com/tousu/show/id/1372591")</f>
      </c>
      <c r="G1436" t="s" s="2">
        <v>17</v>
      </c>
      <c r="H1436" t="s" s="2">
        <v>19</v>
      </c>
      <c r="I1436" t="s" s="2">
        <v>5657</v>
      </c>
      <c r="J1436" t="s" s="2">
        <v>5658</v>
      </c>
      <c r="K1436" t="s" s="2">
        <v>22</v>
      </c>
      <c r="L1436" t="s" s="2">
        <v>22</v>
      </c>
      <c r="M1436" t="s" s="2">
        <v>22</v>
      </c>
    </row>
    <row r="1437" ht="25.0" customHeight="true">
      <c r="A1437" t="s" s="2">
        <v>13</v>
      </c>
      <c r="B1437" t="s" s="2">
        <f>HYPERLINK("http://ts.21cn.com/tousu/show/id/1372590","审核")</f>
      </c>
      <c r="C1437" t="s" s="2">
        <v>52</v>
      </c>
      <c r="D1437" t="s" s="2">
        <v>16</v>
      </c>
      <c r="E1437" t="s" s="2">
        <v>17</v>
      </c>
      <c r="F1437" t="s" s="2">
        <f>HYPERLINK("http://ts.21cn.com/tousu/show/id/1372590","http://ts.21cn.com/tousu/show/id/1372590")</f>
      </c>
      <c r="G1437" t="s" s="2">
        <v>17</v>
      </c>
      <c r="H1437" t="s" s="2">
        <v>19</v>
      </c>
      <c r="I1437" t="s" s="2">
        <v>5661</v>
      </c>
      <c r="J1437" t="s" s="2">
        <v>5662</v>
      </c>
      <c r="K1437" t="s" s="2">
        <v>22</v>
      </c>
      <c r="L1437" t="s" s="2">
        <v>22</v>
      </c>
      <c r="M1437" t="s" s="2">
        <v>22</v>
      </c>
    </row>
    <row r="1438" ht="25.0" customHeight="true">
      <c r="A1438" t="s" s="2">
        <v>13</v>
      </c>
      <c r="B1438" t="s" s="2">
        <f>HYPERLINK("http://ts.21cn.com/tousu/show/id/1372589","小象优品，高利贷，暴力催收，没有借款合同")</f>
      </c>
      <c r="C1438" t="s" s="2">
        <v>15</v>
      </c>
      <c r="D1438" t="s" s="2">
        <v>16</v>
      </c>
      <c r="E1438" t="s" s="2">
        <v>17</v>
      </c>
      <c r="F1438" t="s" s="2">
        <f>HYPERLINK("http://ts.21cn.com/tousu/show/id/1372589","http://ts.21cn.com/tousu/show/id/1372589")</f>
      </c>
      <c r="G1438" t="s" s="2">
        <v>17</v>
      </c>
      <c r="H1438" t="s" s="2">
        <v>19</v>
      </c>
      <c r="I1438" t="s" s="2">
        <v>5665</v>
      </c>
      <c r="J1438" t="s" s="2">
        <v>5666</v>
      </c>
      <c r="K1438" t="s" s="2">
        <v>22</v>
      </c>
      <c r="L1438" t="s" s="2">
        <v>22</v>
      </c>
      <c r="M1438" t="s" s="2">
        <v>22</v>
      </c>
    </row>
    <row r="1439" ht="25.0" customHeight="true">
      <c r="A1439" t="s" s="2">
        <v>13</v>
      </c>
      <c r="B1439" t="s" s="2">
        <f>HYPERLINK("http://ts.21cn.com/tousu/show/id/1372588","信而富变相砍头息，高利贷")</f>
      </c>
      <c r="C1439" t="s" s="2">
        <v>15</v>
      </c>
      <c r="D1439" t="s" s="2">
        <v>16</v>
      </c>
      <c r="E1439" t="s" s="2">
        <v>17</v>
      </c>
      <c r="F1439" t="s" s="2">
        <f>HYPERLINK("http://ts.21cn.com/tousu/show/id/1372588","http://ts.21cn.com/tousu/show/id/1372588")</f>
      </c>
      <c r="G1439" t="s" s="2">
        <v>17</v>
      </c>
      <c r="H1439" t="s" s="2">
        <v>19</v>
      </c>
      <c r="I1439" t="s" s="2">
        <v>5669</v>
      </c>
      <c r="J1439" t="s" s="2">
        <v>5670</v>
      </c>
      <c r="K1439" t="s" s="2">
        <v>22</v>
      </c>
      <c r="L1439" t="s" s="2">
        <v>22</v>
      </c>
      <c r="M1439" t="s" s="2">
        <v>22</v>
      </c>
    </row>
    <row r="1440" ht="25.0" customHeight="true">
      <c r="A1440" t="s" s="2">
        <v>13</v>
      </c>
      <c r="B1440" t="s" s="2">
        <f>HYPERLINK("http://ts.21cn.com/tousu/show/id/1372587","招商信用卡")</f>
      </c>
      <c r="C1440" t="s" s="2">
        <v>15</v>
      </c>
      <c r="D1440" t="s" s="2">
        <v>16</v>
      </c>
      <c r="E1440" t="s" s="2">
        <v>17</v>
      </c>
      <c r="F1440" t="s" s="2">
        <f>HYPERLINK("http://ts.21cn.com/tousu/show/id/1372587","http://ts.21cn.com/tousu/show/id/1372587")</f>
      </c>
      <c r="G1440" t="s" s="2">
        <v>17</v>
      </c>
      <c r="H1440" t="s" s="2">
        <v>19</v>
      </c>
      <c r="I1440" t="s" s="2">
        <v>5673</v>
      </c>
      <c r="J1440" t="s" s="2">
        <v>5674</v>
      </c>
      <c r="K1440" t="s" s="2">
        <v>22</v>
      </c>
      <c r="L1440" t="s" s="2">
        <v>22</v>
      </c>
      <c r="M1440" t="s" s="2">
        <v>22</v>
      </c>
    </row>
    <row r="1441" ht="25.0" customHeight="true">
      <c r="A1441" t="s" s="2">
        <v>13</v>
      </c>
      <c r="B1441" t="s" s="2">
        <f>HYPERLINK("http://ts.21cn.com/tousu/show/id/1372586","银行卡号错误打款资金显示冻结，客服拉黑我，每月还款账单还得还。")</f>
      </c>
      <c r="C1441" t="s" s="2">
        <v>15</v>
      </c>
      <c r="D1441" t="s" s="2">
        <v>16</v>
      </c>
      <c r="E1441" t="s" s="2">
        <v>17</v>
      </c>
      <c r="F1441" t="s" s="2">
        <f>HYPERLINK("http://ts.21cn.com/tousu/show/id/1372586","http://ts.21cn.com/tousu/show/id/1372586")</f>
      </c>
      <c r="G1441" t="s" s="2">
        <v>17</v>
      </c>
      <c r="H1441" t="s" s="2">
        <v>19</v>
      </c>
      <c r="I1441" t="s" s="2">
        <v>5677</v>
      </c>
      <c r="J1441" t="s" s="2">
        <v>5678</v>
      </c>
      <c r="K1441" t="s" s="2">
        <v>22</v>
      </c>
      <c r="L1441" t="s" s="2">
        <v>22</v>
      </c>
      <c r="M1441" t="s" s="2">
        <v>22</v>
      </c>
    </row>
    <row r="1442" ht="25.0" customHeight="true">
      <c r="A1442" t="s" s="2">
        <v>13</v>
      </c>
      <c r="B1442" t="s" s="2">
        <f>HYPERLINK("http://ts.21cn.com/tousu/show/id/1372585","有砍头")</f>
      </c>
      <c r="C1442" t="s" s="2">
        <v>52</v>
      </c>
      <c r="D1442" t="s" s="2">
        <v>16</v>
      </c>
      <c r="E1442" t="s" s="2">
        <v>17</v>
      </c>
      <c r="F1442" t="s" s="2">
        <f>HYPERLINK("http://ts.21cn.com/tousu/show/id/1372585","http://ts.21cn.com/tousu/show/id/1372585")</f>
      </c>
      <c r="G1442" t="s" s="2">
        <v>17</v>
      </c>
      <c r="H1442" t="s" s="2">
        <v>19</v>
      </c>
      <c r="I1442" t="s" s="2">
        <v>5681</v>
      </c>
      <c r="J1442" t="s" s="2">
        <v>5682</v>
      </c>
      <c r="K1442" t="s" s="2">
        <v>22</v>
      </c>
      <c r="L1442" t="s" s="2">
        <v>22</v>
      </c>
      <c r="M1442" t="s" s="2">
        <v>22</v>
      </c>
    </row>
    <row r="1443" ht="25.0" customHeight="true">
      <c r="A1443" t="s" s="2">
        <v>13</v>
      </c>
      <c r="B1443" t="s" s="2">
        <f>HYPERLINK("http://ts.21cn.com/tousu/show/id/1372584","捷信曝光个人信息")</f>
      </c>
      <c r="C1443" t="s" s="2">
        <v>15</v>
      </c>
      <c r="D1443" t="s" s="2">
        <v>16</v>
      </c>
      <c r="E1443" t="s" s="2">
        <v>17</v>
      </c>
      <c r="F1443" t="s" s="2">
        <f>HYPERLINK("http://ts.21cn.com/tousu/show/id/1372584","http://ts.21cn.com/tousu/show/id/1372584")</f>
      </c>
      <c r="G1443" t="s" s="2">
        <v>17</v>
      </c>
      <c r="H1443" t="s" s="2">
        <v>19</v>
      </c>
      <c r="I1443" t="s" s="2">
        <v>5685</v>
      </c>
      <c r="J1443" t="s" s="2">
        <v>5686</v>
      </c>
      <c r="K1443" t="s" s="2">
        <v>22</v>
      </c>
      <c r="L1443" t="s" s="2">
        <v>22</v>
      </c>
      <c r="M1443" t="s" s="2">
        <v>22</v>
      </c>
    </row>
    <row r="1444" ht="25.0" customHeight="true">
      <c r="A1444" t="s" s="2">
        <v>13</v>
      </c>
      <c r="B1444" t="s" s="2">
        <f>HYPERLINK("http://ts.21cn.com/tousu/show/id/1372583","拼多多官方无理由取消我的运费险补贴")</f>
      </c>
      <c r="C1444" t="s" s="2">
        <v>15</v>
      </c>
      <c r="D1444" t="s" s="2">
        <v>16</v>
      </c>
      <c r="E1444" t="s" s="2">
        <v>17</v>
      </c>
      <c r="F1444" t="s" s="2">
        <f>HYPERLINK("http://ts.21cn.com/tousu/show/id/1372583","http://ts.21cn.com/tousu/show/id/1372583")</f>
      </c>
      <c r="G1444" t="s" s="2">
        <v>17</v>
      </c>
      <c r="H1444" t="s" s="2">
        <v>19</v>
      </c>
      <c r="I1444" t="s" s="2">
        <v>5689</v>
      </c>
      <c r="J1444" t="s" s="2">
        <v>5690</v>
      </c>
      <c r="K1444" t="s" s="2">
        <v>22</v>
      </c>
      <c r="L1444" t="s" s="2">
        <v>22</v>
      </c>
      <c r="M1444" t="s" s="2">
        <v>22</v>
      </c>
    </row>
    <row r="1445" ht="25.0" customHeight="true">
      <c r="A1445" t="s" s="2">
        <v>13</v>
      </c>
      <c r="B1445" t="s" s="2">
        <f>HYPERLINK("http://ts.21cn.com/tousu/show/id/1372581","爆通讯录，骚扰亲友")</f>
      </c>
      <c r="C1445" t="s" s="2">
        <v>15</v>
      </c>
      <c r="D1445" t="s" s="2">
        <v>16</v>
      </c>
      <c r="E1445" t="s" s="2">
        <v>17</v>
      </c>
      <c r="F1445" t="s" s="2">
        <f>HYPERLINK("http://ts.21cn.com/tousu/show/id/1372581","http://ts.21cn.com/tousu/show/id/1372581")</f>
      </c>
      <c r="G1445" t="s" s="2">
        <v>17</v>
      </c>
      <c r="H1445" t="s" s="2">
        <v>19</v>
      </c>
      <c r="I1445" t="s" s="2">
        <v>5693</v>
      </c>
      <c r="J1445" t="s" s="2">
        <v>5694</v>
      </c>
      <c r="K1445" t="s" s="2">
        <v>22</v>
      </c>
      <c r="L1445" t="s" s="2">
        <v>22</v>
      </c>
      <c r="M1445" t="s" s="2">
        <v>22</v>
      </c>
    </row>
    <row r="1446" ht="25.0" customHeight="true">
      <c r="A1446" t="s" s="2">
        <v>13</v>
      </c>
      <c r="B1446" t="s" s="2">
        <f>HYPERLINK("http://ts.21cn.com/tousu/show/id/1372582","希望能够与浦发银行通过协商偿还信用卡及万用金")</f>
      </c>
      <c r="C1446" t="s" s="2">
        <v>15</v>
      </c>
      <c r="D1446" t="s" s="2">
        <v>16</v>
      </c>
      <c r="E1446" t="s" s="2">
        <v>17</v>
      </c>
      <c r="F1446" t="s" s="2">
        <f>HYPERLINK("http://ts.21cn.com/tousu/show/id/1372582","http://ts.21cn.com/tousu/show/id/1372582")</f>
      </c>
      <c r="G1446" t="s" s="2">
        <v>17</v>
      </c>
      <c r="H1446" t="s" s="2">
        <v>19</v>
      </c>
      <c r="I1446" t="s" s="2">
        <v>5693</v>
      </c>
      <c r="J1446" t="s" s="2">
        <v>5697</v>
      </c>
      <c r="K1446" t="s" s="2">
        <v>22</v>
      </c>
      <c r="L1446" t="s" s="2">
        <v>22</v>
      </c>
      <c r="M1446" t="s" s="2">
        <v>22</v>
      </c>
    </row>
    <row r="1447" ht="25.0" customHeight="true">
      <c r="A1447" t="s" s="2">
        <v>13</v>
      </c>
      <c r="B1447" t="s" s="2">
        <f>HYPERLINK("http://ts.21cn.com/tousu/show/id/1372580","华为售后前后说明不一致，EMS强行要求客户提供身份证拍照（且一再强调是华为公司需要），诉求双方道歉")</f>
      </c>
      <c r="C1447" t="s" s="2">
        <v>15</v>
      </c>
      <c r="D1447" t="s" s="2">
        <v>16</v>
      </c>
      <c r="E1447" t="s" s="2">
        <v>17</v>
      </c>
      <c r="F1447" t="s" s="2">
        <f>HYPERLINK("http://ts.21cn.com/tousu/show/id/1372580","http://ts.21cn.com/tousu/show/id/1372580")</f>
      </c>
      <c r="G1447" t="s" s="2">
        <v>17</v>
      </c>
      <c r="H1447" t="s" s="2">
        <v>19</v>
      </c>
      <c r="I1447" t="s" s="2">
        <v>5700</v>
      </c>
      <c r="J1447" t="s" s="2">
        <v>5701</v>
      </c>
      <c r="K1447" t="s" s="2">
        <v>22</v>
      </c>
      <c r="L1447" t="s" s="2">
        <v>22</v>
      </c>
      <c r="M1447" t="s" s="2">
        <v>22</v>
      </c>
    </row>
    <row r="1448" ht="25.0" customHeight="true">
      <c r="A1448" t="s" s="2">
        <v>13</v>
      </c>
      <c r="B1448" t="s" s="2">
        <f>HYPERLINK("http://ts.21cn.com/tousu/show/id/1372579","交通银行信用卡违约金+罚息高达年费用59%")</f>
      </c>
      <c r="C1448" t="s" s="2">
        <v>15</v>
      </c>
      <c r="D1448" t="s" s="2">
        <v>16</v>
      </c>
      <c r="E1448" t="s" s="2">
        <v>17</v>
      </c>
      <c r="F1448" t="s" s="2">
        <f>HYPERLINK("http://ts.21cn.com/tousu/show/id/1372579","http://ts.21cn.com/tousu/show/id/1372579")</f>
      </c>
      <c r="G1448" t="s" s="2">
        <v>17</v>
      </c>
      <c r="H1448" t="s" s="2">
        <v>19</v>
      </c>
      <c r="I1448" t="s" s="2">
        <v>5704</v>
      </c>
      <c r="J1448" t="s" s="2">
        <v>5705</v>
      </c>
      <c r="K1448" t="s" s="2">
        <v>22</v>
      </c>
      <c r="L1448" t="s" s="2">
        <v>22</v>
      </c>
      <c r="M1448" t="s" s="2">
        <v>22</v>
      </c>
    </row>
    <row r="1449" ht="25.0" customHeight="true">
      <c r="A1449" t="s" s="2">
        <v>13</v>
      </c>
      <c r="B1449" t="s" s="2">
        <f>HYPERLINK("http://ts.21cn.com/tousu/show/id/1372576","随手记app恶意扣款！")</f>
      </c>
      <c r="C1449" t="s" s="2">
        <v>15</v>
      </c>
      <c r="D1449" t="s" s="2">
        <v>16</v>
      </c>
      <c r="E1449" t="s" s="2">
        <v>17</v>
      </c>
      <c r="F1449" t="s" s="2">
        <f>HYPERLINK("http://ts.21cn.com/tousu/show/id/1372576","http://ts.21cn.com/tousu/show/id/1372576")</f>
      </c>
      <c r="G1449" t="s" s="2">
        <v>17</v>
      </c>
      <c r="H1449" t="s" s="2">
        <v>19</v>
      </c>
      <c r="I1449" t="s" s="2">
        <v>5708</v>
      </c>
      <c r="J1449" t="s" s="2">
        <v>5709</v>
      </c>
      <c r="K1449" t="s" s="2">
        <v>22</v>
      </c>
      <c r="L1449" t="s" s="2">
        <v>22</v>
      </c>
      <c r="M1449" t="s" s="2">
        <v>22</v>
      </c>
    </row>
    <row r="1450" ht="25.0" customHeight="true">
      <c r="A1450" t="s" s="2">
        <v>13</v>
      </c>
      <c r="B1450" t="s" s="2">
        <f>HYPERLINK("http://ts.21cn.com/tousu/show/id/1372577","智行火车票改签不退钱")</f>
      </c>
      <c r="C1450" t="s" s="2">
        <v>15</v>
      </c>
      <c r="D1450" t="s" s="2">
        <v>16</v>
      </c>
      <c r="E1450" t="s" s="2">
        <v>17</v>
      </c>
      <c r="F1450" t="s" s="2">
        <f>HYPERLINK("http://ts.21cn.com/tousu/show/id/1372577","http://ts.21cn.com/tousu/show/id/1372577")</f>
      </c>
      <c r="G1450" t="s" s="2">
        <v>17</v>
      </c>
      <c r="H1450" t="s" s="2">
        <v>19</v>
      </c>
      <c r="I1450" t="s" s="2">
        <v>5712</v>
      </c>
      <c r="J1450" t="s" s="2">
        <v>5713</v>
      </c>
      <c r="K1450" t="s" s="2">
        <v>22</v>
      </c>
      <c r="L1450" t="s" s="2">
        <v>22</v>
      </c>
      <c r="M1450" t="s" s="2">
        <v>22</v>
      </c>
    </row>
    <row r="1451" ht="25.0" customHeight="true">
      <c r="A1451" t="s" s="2">
        <v>13</v>
      </c>
      <c r="B1451" t="s" s="2">
        <f>HYPERLINK("http://ts.21cn.com/tousu/show/id/1372575","网贷息费超利率")</f>
      </c>
      <c r="C1451" t="s" s="2">
        <v>52</v>
      </c>
      <c r="D1451" t="s" s="2">
        <v>16</v>
      </c>
      <c r="E1451" t="s" s="2">
        <v>17</v>
      </c>
      <c r="F1451" t="s" s="2">
        <f>HYPERLINK("http://ts.21cn.com/tousu/show/id/1372575","http://ts.21cn.com/tousu/show/id/1372575")</f>
      </c>
      <c r="G1451" t="s" s="2">
        <v>17</v>
      </c>
      <c r="H1451" t="s" s="2">
        <v>19</v>
      </c>
      <c r="I1451" t="s" s="2">
        <v>5716</v>
      </c>
      <c r="J1451" t="s" s="2">
        <v>5717</v>
      </c>
      <c r="K1451" t="s" s="2">
        <v>22</v>
      </c>
      <c r="L1451" t="s" s="2">
        <v>22</v>
      </c>
      <c r="M1451" t="s" s="2">
        <v>22</v>
      </c>
    </row>
    <row r="1452" ht="25.0" customHeight="true">
      <c r="A1452" t="s" s="2">
        <v>13</v>
      </c>
      <c r="B1452" t="s" s="2">
        <f>HYPERLINK("http://ts.21cn.com/tousu/show/id/1372574","京东业务员太过分了")</f>
      </c>
      <c r="C1452" t="s" s="2">
        <v>15</v>
      </c>
      <c r="D1452" t="s" s="2">
        <v>16</v>
      </c>
      <c r="E1452" t="s" s="2">
        <v>17</v>
      </c>
      <c r="F1452" t="s" s="2">
        <f>HYPERLINK("http://ts.21cn.com/tousu/show/id/1372574","http://ts.21cn.com/tousu/show/id/1372574")</f>
      </c>
      <c r="G1452" t="s" s="2">
        <v>17</v>
      </c>
      <c r="H1452" t="s" s="2">
        <v>19</v>
      </c>
      <c r="I1452" t="s" s="2">
        <v>5720</v>
      </c>
      <c r="J1452" t="s" s="2">
        <v>5721</v>
      </c>
      <c r="K1452" t="s" s="2">
        <v>22</v>
      </c>
      <c r="L1452" t="s" s="2">
        <v>22</v>
      </c>
      <c r="M1452" t="s" s="2">
        <v>22</v>
      </c>
    </row>
    <row r="1453" ht="25.0" customHeight="true">
      <c r="A1453" t="s" s="2">
        <v>13</v>
      </c>
      <c r="B1453" t="s" s="2">
        <f>HYPERLINK("http://ts.21cn.com/tousu/show/id/1372571","四方棋牌")</f>
      </c>
      <c r="C1453" t="s" s="2">
        <v>15</v>
      </c>
      <c r="D1453" t="s" s="2">
        <v>16</v>
      </c>
      <c r="E1453" t="s" s="2">
        <v>17</v>
      </c>
      <c r="F1453" t="s" s="2">
        <f>HYPERLINK("http://ts.21cn.com/tousu/show/id/1372571","http://ts.21cn.com/tousu/show/id/1372571")</f>
      </c>
      <c r="G1453" t="s" s="2">
        <v>17</v>
      </c>
      <c r="H1453" t="s" s="2">
        <v>19</v>
      </c>
      <c r="I1453" t="s" s="2">
        <v>5723</v>
      </c>
      <c r="J1453" t="s" s="2">
        <v>5724</v>
      </c>
      <c r="K1453" t="s" s="2">
        <v>22</v>
      </c>
      <c r="L1453" t="s" s="2">
        <v>22</v>
      </c>
      <c r="M1453" t="s" s="2">
        <v>22</v>
      </c>
    </row>
    <row r="1454" ht="25.0" customHeight="true">
      <c r="A1454" t="s" s="2">
        <v>13</v>
      </c>
      <c r="B1454" t="s" s="2">
        <f>HYPERLINK("http://ts.21cn.com/tousu/show/id/1372573","违规为非法商户提供结算")</f>
      </c>
      <c r="C1454" t="s" s="2">
        <v>15</v>
      </c>
      <c r="D1454" t="s" s="2">
        <v>16</v>
      </c>
      <c r="E1454" t="s" s="2">
        <v>17</v>
      </c>
      <c r="F1454" t="s" s="2">
        <f>HYPERLINK("http://ts.21cn.com/tousu/show/id/1372573","http://ts.21cn.com/tousu/show/id/1372573")</f>
      </c>
      <c r="G1454" t="s" s="2">
        <v>17</v>
      </c>
      <c r="H1454" t="s" s="2">
        <v>19</v>
      </c>
      <c r="I1454" t="s" s="2">
        <v>5727</v>
      </c>
      <c r="J1454" t="s" s="2">
        <v>5728</v>
      </c>
      <c r="K1454" t="s" s="2">
        <v>22</v>
      </c>
      <c r="L1454" t="s" s="2">
        <v>22</v>
      </c>
      <c r="M1454" t="s" s="2">
        <v>22</v>
      </c>
    </row>
    <row r="1455" ht="25.0" customHeight="true">
      <c r="A1455" t="s" s="2">
        <v>13</v>
      </c>
      <c r="B1455" t="s" s="2">
        <f>HYPERLINK("http://ts.21cn.com/tousu/show/id/1372572","私自爆我通讯录")</f>
      </c>
      <c r="C1455" t="s" s="2">
        <v>15</v>
      </c>
      <c r="D1455" t="s" s="2">
        <v>16</v>
      </c>
      <c r="E1455" t="s" s="2">
        <v>17</v>
      </c>
      <c r="F1455" t="s" s="2">
        <f>HYPERLINK("http://ts.21cn.com/tousu/show/id/1372572","http://ts.21cn.com/tousu/show/id/1372572")</f>
      </c>
      <c r="G1455" t="s" s="2">
        <v>17</v>
      </c>
      <c r="H1455" t="s" s="2">
        <v>19</v>
      </c>
      <c r="I1455" t="s" s="2">
        <v>5731</v>
      </c>
      <c r="J1455" t="s" s="2">
        <v>5732</v>
      </c>
      <c r="K1455" t="s" s="2">
        <v>22</v>
      </c>
      <c r="L1455" t="s" s="2">
        <v>22</v>
      </c>
      <c r="M1455" t="s" s="2">
        <v>22</v>
      </c>
    </row>
    <row r="1456" ht="25.0" customHeight="true">
      <c r="A1456" t="s" s="2">
        <v>13</v>
      </c>
      <c r="B1456" t="s" s="2">
        <f>HYPERLINK("http://ts.21cn.com/tousu/show/id/1372570","投诉feeluniqe售后同意取消订单后仍旧发货")</f>
      </c>
      <c r="C1456" t="s" s="2">
        <v>15</v>
      </c>
      <c r="D1456" t="s" s="2">
        <v>16</v>
      </c>
      <c r="E1456" t="s" s="2">
        <v>17</v>
      </c>
      <c r="F1456" t="s" s="2">
        <f>HYPERLINK("http://ts.21cn.com/tousu/show/id/1372570","http://ts.21cn.com/tousu/show/id/1372570")</f>
      </c>
      <c r="G1456" t="s" s="2">
        <v>17</v>
      </c>
      <c r="H1456" t="s" s="2">
        <v>19</v>
      </c>
      <c r="I1456" t="s" s="2">
        <v>5735</v>
      </c>
      <c r="J1456" t="s" s="2">
        <v>5736</v>
      </c>
      <c r="K1456" t="s" s="2">
        <v>22</v>
      </c>
      <c r="L1456" t="s" s="2">
        <v>22</v>
      </c>
      <c r="M1456" t="s" s="2">
        <v>22</v>
      </c>
    </row>
    <row r="1457" ht="25.0" customHeight="true">
      <c r="A1457" t="s" s="2">
        <v>13</v>
      </c>
      <c r="B1457" t="s" s="2">
        <f>HYPERLINK("http://ts.21cn.com/tousu/show/id/1372569","高利贷，违法催收，捆绑销售保险，")</f>
      </c>
      <c r="C1457" t="s" s="2">
        <v>15</v>
      </c>
      <c r="D1457" t="s" s="2">
        <v>16</v>
      </c>
      <c r="E1457" t="s" s="2">
        <v>17</v>
      </c>
      <c r="F1457" t="s" s="2">
        <f>HYPERLINK("http://ts.21cn.com/tousu/show/id/1372569","http://ts.21cn.com/tousu/show/id/1372569")</f>
      </c>
      <c r="G1457" t="s" s="2">
        <v>17</v>
      </c>
      <c r="H1457" t="s" s="2">
        <v>19</v>
      </c>
      <c r="I1457" t="s" s="2">
        <v>5739</v>
      </c>
      <c r="J1457" t="s" s="2">
        <v>5740</v>
      </c>
      <c r="K1457" t="s" s="2">
        <v>22</v>
      </c>
      <c r="L1457" t="s" s="2">
        <v>22</v>
      </c>
      <c r="M1457" t="s" s="2">
        <v>22</v>
      </c>
    </row>
    <row r="1458" ht="25.0" customHeight="true">
      <c r="A1458" t="s" s="2">
        <v>13</v>
      </c>
      <c r="B1458" t="s" s="2">
        <f>HYPERLINK("http://ts.21cn.com/tousu/show/id/1372568","立借暴力催收")</f>
      </c>
      <c r="C1458" t="s" s="2">
        <v>15</v>
      </c>
      <c r="D1458" t="s" s="2">
        <v>16</v>
      </c>
      <c r="E1458" t="s" s="2">
        <v>17</v>
      </c>
      <c r="F1458" t="s" s="2">
        <f>HYPERLINK("http://ts.21cn.com/tousu/show/id/1372568","http://ts.21cn.com/tousu/show/id/1372568")</f>
      </c>
      <c r="G1458" t="s" s="2">
        <v>17</v>
      </c>
      <c r="H1458" t="s" s="2">
        <v>19</v>
      </c>
      <c r="I1458" t="s" s="2">
        <v>5743</v>
      </c>
      <c r="J1458" t="s" s="2">
        <v>5744</v>
      </c>
      <c r="K1458" t="s" s="2">
        <v>22</v>
      </c>
      <c r="L1458" t="s" s="2">
        <v>22</v>
      </c>
      <c r="M1458" t="s" s="2">
        <v>22</v>
      </c>
    </row>
    <row r="1459" ht="25.0" customHeight="true">
      <c r="A1459" t="s" s="2">
        <v>13</v>
      </c>
      <c r="B1459" t="s" s="2">
        <f>HYPERLINK("http://ts.21cn.com/tousu/show/id/1372567","房东不愿意退押金")</f>
      </c>
      <c r="C1459" t="s" s="2">
        <v>15</v>
      </c>
      <c r="D1459" t="s" s="2">
        <v>16</v>
      </c>
      <c r="E1459" t="s" s="2">
        <v>17</v>
      </c>
      <c r="F1459" t="s" s="2">
        <f>HYPERLINK("http://ts.21cn.com/tousu/show/id/1372567","http://ts.21cn.com/tousu/show/id/1372567")</f>
      </c>
      <c r="G1459" t="s" s="2">
        <v>17</v>
      </c>
      <c r="H1459" t="s" s="2">
        <v>19</v>
      </c>
      <c r="I1459" t="s" s="2">
        <v>5747</v>
      </c>
      <c r="J1459" t="s" s="2">
        <v>5748</v>
      </c>
      <c r="K1459" t="s" s="2">
        <v>22</v>
      </c>
      <c r="L1459" t="s" s="2">
        <v>22</v>
      </c>
      <c r="M1459" t="s" s="2">
        <v>22</v>
      </c>
    </row>
    <row r="1460" ht="25.0" customHeight="true">
      <c r="A1460" t="s" s="2">
        <v>13</v>
      </c>
      <c r="B1460" t="s" s="2">
        <f>HYPERLINK("http://ts.21cn.com/tousu/show/id/1372566","暴力催收，通讯录电话骚扰")</f>
      </c>
      <c r="C1460" t="s" s="2">
        <v>15</v>
      </c>
      <c r="D1460" t="s" s="2">
        <v>16</v>
      </c>
      <c r="E1460" t="s" s="2">
        <v>17</v>
      </c>
      <c r="F1460" t="s" s="2">
        <f>HYPERLINK("http://ts.21cn.com/tousu/show/id/1372566","http://ts.21cn.com/tousu/show/id/1372566")</f>
      </c>
      <c r="G1460" t="s" s="2">
        <v>17</v>
      </c>
      <c r="H1460" t="s" s="2">
        <v>19</v>
      </c>
      <c r="I1460" t="s" s="2">
        <v>5751</v>
      </c>
      <c r="J1460" t="s" s="2">
        <v>5752</v>
      </c>
      <c r="K1460" t="s" s="2">
        <v>22</v>
      </c>
      <c r="L1460" t="s" s="2">
        <v>22</v>
      </c>
      <c r="M1460" t="s" s="2">
        <v>22</v>
      </c>
    </row>
    <row r="1461" ht="25.0" customHeight="true">
      <c r="A1461" t="s" s="2">
        <v>13</v>
      </c>
      <c r="B1461" t="s" s="2">
        <f>HYPERLINK("http://ts.21cn.com/tousu/show/id/1372565","活力花暴力催收和额外收费加上年利率超过百分之36")</f>
      </c>
      <c r="C1461" t="s" s="2">
        <v>15</v>
      </c>
      <c r="D1461" t="s" s="2">
        <v>16</v>
      </c>
      <c r="E1461" t="s" s="2">
        <v>17</v>
      </c>
      <c r="F1461" t="s" s="2">
        <f>HYPERLINK("http://ts.21cn.com/tousu/show/id/1372565","http://ts.21cn.com/tousu/show/id/1372565")</f>
      </c>
      <c r="G1461" t="s" s="2">
        <v>17</v>
      </c>
      <c r="H1461" t="s" s="2">
        <v>19</v>
      </c>
      <c r="I1461" t="s" s="2">
        <v>5755</v>
      </c>
      <c r="J1461" t="s" s="2">
        <v>5756</v>
      </c>
      <c r="K1461" t="s" s="2">
        <v>22</v>
      </c>
      <c r="L1461" t="s" s="2">
        <v>22</v>
      </c>
      <c r="M1461" t="s" s="2">
        <v>22</v>
      </c>
    </row>
    <row r="1462" ht="25.0" customHeight="true">
      <c r="A1462" t="s" s="2">
        <v>13</v>
      </c>
      <c r="B1462" t="s" s="2">
        <f>HYPERLINK("http://ts.21cn.com/tousu/show/id/1372563","拍拍贷拒绝协商减免")</f>
      </c>
      <c r="C1462" t="s" s="2">
        <v>15</v>
      </c>
      <c r="D1462" t="s" s="2">
        <v>16</v>
      </c>
      <c r="E1462" t="s" s="2">
        <v>17</v>
      </c>
      <c r="F1462" t="s" s="2">
        <f>HYPERLINK("http://ts.21cn.com/tousu/show/id/1372563","http://ts.21cn.com/tousu/show/id/1372563")</f>
      </c>
      <c r="G1462" t="s" s="2">
        <v>17</v>
      </c>
      <c r="H1462" t="s" s="2">
        <v>19</v>
      </c>
      <c r="I1462" t="s" s="2">
        <v>5759</v>
      </c>
      <c r="J1462" t="s" s="2">
        <v>5760</v>
      </c>
      <c r="K1462" t="s" s="2">
        <v>22</v>
      </c>
      <c r="L1462" t="s" s="2">
        <v>22</v>
      </c>
      <c r="M1462" t="s" s="2">
        <v>22</v>
      </c>
    </row>
    <row r="1463" ht="25.0" customHeight="true">
      <c r="A1463" t="s" s="2">
        <v>13</v>
      </c>
      <c r="B1463" t="s" s="2">
        <f>HYPERLINK("http://ts.21cn.com/tousu/show/id/1372562","中金支付乱扣费")</f>
      </c>
      <c r="C1463" t="s" s="2">
        <v>15</v>
      </c>
      <c r="D1463" t="s" s="2">
        <v>16</v>
      </c>
      <c r="E1463" t="s" s="2">
        <v>17</v>
      </c>
      <c r="F1463" t="s" s="2">
        <f>HYPERLINK("http://ts.21cn.com/tousu/show/id/1372562","http://ts.21cn.com/tousu/show/id/1372562")</f>
      </c>
      <c r="G1463" t="s" s="2">
        <v>17</v>
      </c>
      <c r="H1463" t="s" s="2">
        <v>19</v>
      </c>
      <c r="I1463" t="s" s="2">
        <v>5763</v>
      </c>
      <c r="J1463" t="s" s="2">
        <v>5764</v>
      </c>
      <c r="K1463" t="s" s="2">
        <v>22</v>
      </c>
      <c r="L1463" t="s" s="2">
        <v>22</v>
      </c>
      <c r="M1463" t="s" s="2">
        <v>22</v>
      </c>
    </row>
    <row r="1464" ht="25.0" customHeight="true">
      <c r="A1464" t="s" s="2">
        <v>13</v>
      </c>
      <c r="B1464" t="s" s="2">
        <f>HYPERLINK("http://ts.21cn.com/tousu/show/id/1372560","爱又米客服威胁")</f>
      </c>
      <c r="C1464" t="s" s="2">
        <v>15</v>
      </c>
      <c r="D1464" t="s" s="2">
        <v>16</v>
      </c>
      <c r="E1464" t="s" s="2">
        <v>17</v>
      </c>
      <c r="F1464" t="s" s="2">
        <f>HYPERLINK("http://ts.21cn.com/tousu/show/id/1372560","http://ts.21cn.com/tousu/show/id/1372560")</f>
      </c>
      <c r="G1464" t="s" s="2">
        <v>17</v>
      </c>
      <c r="H1464" t="s" s="2">
        <v>19</v>
      </c>
      <c r="I1464" t="s" s="2">
        <v>5767</v>
      </c>
      <c r="J1464" t="s" s="2">
        <v>5768</v>
      </c>
      <c r="K1464" t="s" s="2">
        <v>22</v>
      </c>
      <c r="L1464" t="s" s="2">
        <v>22</v>
      </c>
      <c r="M1464" t="s" s="2">
        <v>22</v>
      </c>
    </row>
    <row r="1465" ht="25.0" customHeight="true">
      <c r="A1465" t="s" s="2">
        <v>13</v>
      </c>
      <c r="B1465" t="s" s="2">
        <f>HYPERLINK("http://ts.21cn.com/tousu/show/id/1372559","贝壳找房，连续多次拨打电话骚扰")</f>
      </c>
      <c r="C1465" t="s" s="2">
        <v>15</v>
      </c>
      <c r="D1465" t="s" s="2">
        <v>16</v>
      </c>
      <c r="E1465" t="s" s="2">
        <v>17</v>
      </c>
      <c r="F1465" t="s" s="2">
        <f>HYPERLINK("http://ts.21cn.com/tousu/show/id/1372559","http://ts.21cn.com/tousu/show/id/1372559")</f>
      </c>
      <c r="G1465" t="s" s="2">
        <v>17</v>
      </c>
      <c r="H1465" t="s" s="2">
        <v>19</v>
      </c>
      <c r="I1465" t="s" s="2">
        <v>5771</v>
      </c>
      <c r="J1465" t="s" s="2">
        <v>5772</v>
      </c>
      <c r="K1465" t="s" s="2">
        <v>22</v>
      </c>
      <c r="L1465" t="s" s="2">
        <v>22</v>
      </c>
      <c r="M1465" t="s" s="2">
        <v>22</v>
      </c>
    </row>
    <row r="1466" ht="25.0" customHeight="true">
      <c r="A1466" t="s" s="2">
        <v>13</v>
      </c>
      <c r="B1466" t="s" s="2">
        <f>HYPERLINK("http://ts.21cn.com/tousu/show/id/1372558","平安套路催收")</f>
      </c>
      <c r="C1466" t="s" s="2">
        <v>52</v>
      </c>
      <c r="D1466" t="s" s="2">
        <v>16</v>
      </c>
      <c r="E1466" t="s" s="2">
        <v>17</v>
      </c>
      <c r="F1466" t="s" s="2">
        <f>HYPERLINK("http://ts.21cn.com/tousu/show/id/1372558","http://ts.21cn.com/tousu/show/id/1372558")</f>
      </c>
      <c r="G1466" t="s" s="2">
        <v>17</v>
      </c>
      <c r="H1466" t="s" s="2">
        <v>19</v>
      </c>
      <c r="I1466" t="s" s="2">
        <v>5775</v>
      </c>
      <c r="J1466" t="s" s="2">
        <v>5776</v>
      </c>
      <c r="K1466" t="s" s="2">
        <v>22</v>
      </c>
      <c r="L1466" t="s" s="2">
        <v>22</v>
      </c>
      <c r="M1466" t="s" s="2">
        <v>22</v>
      </c>
    </row>
    <row r="1467" ht="25.0" customHeight="true">
      <c r="A1467" t="s" s="2">
        <v>13</v>
      </c>
      <c r="B1467" t="s" s="2">
        <f>HYPERLINK("http://ts.21cn.com/tousu/show/id/1372557","免费推销pos机无辜刷我301块")</f>
      </c>
      <c r="C1467" t="s" s="2">
        <v>15</v>
      </c>
      <c r="D1467" t="s" s="2">
        <v>16</v>
      </c>
      <c r="E1467" t="s" s="2">
        <v>17</v>
      </c>
      <c r="F1467" t="s" s="2">
        <f>HYPERLINK("http://ts.21cn.com/tousu/show/id/1372557","http://ts.21cn.com/tousu/show/id/1372557")</f>
      </c>
      <c r="G1467" t="s" s="2">
        <v>17</v>
      </c>
      <c r="H1467" t="s" s="2">
        <v>19</v>
      </c>
      <c r="I1467" t="s" s="2">
        <v>5779</v>
      </c>
      <c r="J1467" t="s" s="2">
        <v>5780</v>
      </c>
      <c r="K1467" t="s" s="2">
        <v>22</v>
      </c>
      <c r="L1467" t="s" s="2">
        <v>22</v>
      </c>
      <c r="M1467" t="s" s="2">
        <v>22</v>
      </c>
    </row>
    <row r="1468" ht="25.0" customHeight="true">
      <c r="A1468" t="s" s="2">
        <v>13</v>
      </c>
      <c r="B1468" t="s" s="2">
        <f>HYPERLINK("http://ts.21cn.com/tousu/show/id/1372556","中国人寿城区银保理财中心")</f>
      </c>
      <c r="C1468" t="s" s="2">
        <v>15</v>
      </c>
      <c r="D1468" t="s" s="2">
        <v>16</v>
      </c>
      <c r="E1468" t="s" s="2">
        <v>17</v>
      </c>
      <c r="F1468" t="s" s="2">
        <f>HYPERLINK("http://ts.21cn.com/tousu/show/id/1372556","http://ts.21cn.com/tousu/show/id/1372556")</f>
      </c>
      <c r="G1468" t="s" s="2">
        <v>17</v>
      </c>
      <c r="H1468" t="s" s="2">
        <v>19</v>
      </c>
      <c r="I1468" t="s" s="2">
        <v>5783</v>
      </c>
      <c r="J1468" t="s" s="2">
        <v>5784</v>
      </c>
      <c r="K1468" t="s" s="2">
        <v>22</v>
      </c>
      <c r="L1468" t="s" s="2">
        <v>22</v>
      </c>
      <c r="M1468" t="s" s="2">
        <v>22</v>
      </c>
    </row>
    <row r="1469" ht="25.0" customHeight="true">
      <c r="A1469" t="s" s="2">
        <v>13</v>
      </c>
      <c r="B1469" t="s" s="2">
        <f>HYPERLINK("http://ts.21cn.com/tousu/show/id/1372554","高利贷，砍头息")</f>
      </c>
      <c r="C1469" t="s" s="2">
        <v>15</v>
      </c>
      <c r="D1469" t="s" s="2">
        <v>16</v>
      </c>
      <c r="E1469" t="s" s="2">
        <v>17</v>
      </c>
      <c r="F1469" t="s" s="2">
        <f>HYPERLINK("http://ts.21cn.com/tousu/show/id/1372554","http://ts.21cn.com/tousu/show/id/1372554")</f>
      </c>
      <c r="G1469" t="s" s="2">
        <v>17</v>
      </c>
      <c r="H1469" t="s" s="2">
        <v>19</v>
      </c>
      <c r="I1469" t="s" s="2">
        <v>5786</v>
      </c>
      <c r="J1469" t="s" s="2">
        <v>5787</v>
      </c>
      <c r="K1469" t="s" s="2">
        <v>22</v>
      </c>
      <c r="L1469" t="s" s="2">
        <v>22</v>
      </c>
      <c r="M1469" t="s" s="2">
        <v>22</v>
      </c>
    </row>
    <row r="1470" ht="25.0" customHeight="true">
      <c r="A1470" t="s" s="2">
        <v>13</v>
      </c>
      <c r="B1470" t="s" s="2">
        <f>HYPERLINK("http://ts.21cn.com/tousu/show/id/1372543","58同城推荐的商家不作为不退款")</f>
      </c>
      <c r="C1470" t="s" s="2">
        <v>15</v>
      </c>
      <c r="D1470" t="s" s="2">
        <v>16</v>
      </c>
      <c r="E1470" t="s" s="2">
        <v>17</v>
      </c>
      <c r="F1470" t="s" s="2">
        <f>HYPERLINK("http://ts.21cn.com/tousu/show/id/1372543","http://ts.21cn.com/tousu/show/id/1372543")</f>
      </c>
      <c r="G1470" t="s" s="2">
        <v>17</v>
      </c>
      <c r="H1470" t="s" s="2">
        <v>19</v>
      </c>
      <c r="I1470" t="s" s="2">
        <v>5790</v>
      </c>
      <c r="J1470" t="s" s="2">
        <v>5791</v>
      </c>
      <c r="K1470" t="s" s="2">
        <v>22</v>
      </c>
      <c r="L1470" t="s" s="2">
        <v>22</v>
      </c>
      <c r="M1470" t="s" s="2">
        <v>22</v>
      </c>
    </row>
    <row r="1471" ht="25.0" customHeight="true">
      <c r="A1471" t="s" s="2">
        <v>13</v>
      </c>
      <c r="B1471" t="s" s="2">
        <f>HYPERLINK("http://ts.21cn.com/tousu/show/id/1372553","健康724和苏州皓羽天下圈钱")</f>
      </c>
      <c r="C1471" t="s" s="2">
        <v>15</v>
      </c>
      <c r="D1471" t="s" s="2">
        <v>16</v>
      </c>
      <c r="E1471" t="s" s="2">
        <v>17</v>
      </c>
      <c r="F1471" t="s" s="2">
        <f>HYPERLINK("http://ts.21cn.com/tousu/show/id/1372553","http://ts.21cn.com/tousu/show/id/1372553")</f>
      </c>
      <c r="G1471" t="s" s="2">
        <v>17</v>
      </c>
      <c r="H1471" t="s" s="2">
        <v>19</v>
      </c>
      <c r="I1471" t="s" s="2">
        <v>5794</v>
      </c>
      <c r="J1471" t="s" s="2">
        <v>5795</v>
      </c>
      <c r="K1471" t="s" s="2">
        <v>22</v>
      </c>
      <c r="L1471" t="s" s="2">
        <v>22</v>
      </c>
      <c r="M1471" t="s" s="2">
        <v>22</v>
      </c>
    </row>
    <row r="1472" ht="25.0" customHeight="true">
      <c r="A1472" t="s" s="2">
        <v>13</v>
      </c>
      <c r="B1472" t="s" s="2">
        <f>HYPERLINK("http://ts.21cn.com/tousu/show/id/1372552","马上金融变相违规收取手续费服务费，app更改用户手机权限，不能截图维权，客服骚扰用户诱导借款，要求退费道歉")</f>
      </c>
      <c r="C1472" t="s" s="2">
        <v>15</v>
      </c>
      <c r="D1472" t="s" s="2">
        <v>16</v>
      </c>
      <c r="E1472" t="s" s="2">
        <v>17</v>
      </c>
      <c r="F1472" t="s" s="2">
        <f>HYPERLINK("http://ts.21cn.com/tousu/show/id/1372552","http://ts.21cn.com/tousu/show/id/1372552")</f>
      </c>
      <c r="G1472" t="s" s="2">
        <v>17</v>
      </c>
      <c r="H1472" t="s" s="2">
        <v>19</v>
      </c>
      <c r="I1472" t="s" s="2">
        <v>5798</v>
      </c>
      <c r="J1472" t="s" s="2">
        <v>5799</v>
      </c>
      <c r="K1472" t="s" s="2">
        <v>22</v>
      </c>
      <c r="L1472" t="s" s="2">
        <v>22</v>
      </c>
      <c r="M1472" t="s" s="2">
        <v>22</v>
      </c>
    </row>
    <row r="1473" ht="25.0" customHeight="true">
      <c r="A1473" t="s" s="2">
        <v>13</v>
      </c>
      <c r="B1473" t="s" s="2">
        <f>HYPERLINK("http://ts.21cn.com/tousu/show/id/1372551","美团点评押金迟迟不退")</f>
      </c>
      <c r="C1473" t="s" s="2">
        <v>15</v>
      </c>
      <c r="D1473" t="s" s="2">
        <v>16</v>
      </c>
      <c r="E1473" t="s" s="2">
        <v>17</v>
      </c>
      <c r="F1473" t="s" s="2">
        <f>HYPERLINK("http://ts.21cn.com/tousu/show/id/1372551","http://ts.21cn.com/tousu/show/id/1372551")</f>
      </c>
      <c r="G1473" t="s" s="2">
        <v>17</v>
      </c>
      <c r="H1473" t="s" s="2">
        <v>19</v>
      </c>
      <c r="I1473" t="s" s="2">
        <v>5802</v>
      </c>
      <c r="J1473" t="s" s="2">
        <v>5803</v>
      </c>
      <c r="K1473" t="s" s="2">
        <v>22</v>
      </c>
      <c r="L1473" t="s" s="2">
        <v>22</v>
      </c>
      <c r="M1473" t="s" s="2">
        <v>22</v>
      </c>
    </row>
    <row r="1474" ht="25.0" customHeight="true">
      <c r="A1474" t="s" s="2">
        <v>13</v>
      </c>
      <c r="B1474" t="s" s="2">
        <f>HYPERLINK("http://ts.21cn.com/tousu/show/id/1372549","招联金融暴力催收")</f>
      </c>
      <c r="C1474" t="s" s="2">
        <v>15</v>
      </c>
      <c r="D1474" t="s" s="2">
        <v>16</v>
      </c>
      <c r="E1474" t="s" s="2">
        <v>17</v>
      </c>
      <c r="F1474" t="s" s="2">
        <f>HYPERLINK("http://ts.21cn.com/tousu/show/id/1372549","http://ts.21cn.com/tousu/show/id/1372549")</f>
      </c>
      <c r="G1474" t="s" s="2">
        <v>17</v>
      </c>
      <c r="H1474" t="s" s="2">
        <v>19</v>
      </c>
      <c r="I1474" t="s" s="2">
        <v>5805</v>
      </c>
      <c r="J1474" t="s" s="2">
        <v>5806</v>
      </c>
      <c r="K1474" t="s" s="2">
        <v>22</v>
      </c>
      <c r="L1474" t="s" s="2">
        <v>22</v>
      </c>
      <c r="M1474" t="s" s="2">
        <v>22</v>
      </c>
    </row>
    <row r="1475" ht="25.0" customHeight="true">
      <c r="A1475" t="s" s="2">
        <v>13</v>
      </c>
      <c r="B1475" t="s" s="2">
        <f>HYPERLINK("http://ts.21cn.com/tousu/show/id/1372548","交通银行无任何提示致使可损失长达三年且客服服务水平基地")</f>
      </c>
      <c r="C1475" t="s" s="2">
        <v>15</v>
      </c>
      <c r="D1475" t="s" s="2">
        <v>16</v>
      </c>
      <c r="E1475" t="s" s="2">
        <v>17</v>
      </c>
      <c r="F1475" t="s" s="2">
        <f>HYPERLINK("http://ts.21cn.com/tousu/show/id/1372548","http://ts.21cn.com/tousu/show/id/1372548")</f>
      </c>
      <c r="G1475" t="s" s="2">
        <v>17</v>
      </c>
      <c r="H1475" t="s" s="2">
        <v>19</v>
      </c>
      <c r="I1475" t="s" s="2">
        <v>5809</v>
      </c>
      <c r="J1475" t="s" s="2">
        <v>5810</v>
      </c>
      <c r="K1475" t="s" s="2">
        <v>22</v>
      </c>
      <c r="L1475" t="s" s="2">
        <v>22</v>
      </c>
      <c r="M1475" t="s" s="2">
        <v>22</v>
      </c>
    </row>
    <row r="1476" ht="25.0" customHeight="true">
      <c r="A1476" t="s" s="2">
        <v>13</v>
      </c>
      <c r="B1476" t="s" s="2">
        <f>HYPERLINK("http://ts.21cn.com/tousu/show/id/1372547","苏打优选过期一天收取20%延期费")</f>
      </c>
      <c r="C1476" t="s" s="2">
        <v>15</v>
      </c>
      <c r="D1476" t="s" s="2">
        <v>16</v>
      </c>
      <c r="E1476" t="s" s="2">
        <v>17</v>
      </c>
      <c r="F1476" t="s" s="2">
        <f>HYPERLINK("http://ts.21cn.com/tousu/show/id/1372547","http://ts.21cn.com/tousu/show/id/1372547")</f>
      </c>
      <c r="G1476" t="s" s="2">
        <v>17</v>
      </c>
      <c r="H1476" t="s" s="2">
        <v>19</v>
      </c>
      <c r="I1476" t="s" s="2">
        <v>5813</v>
      </c>
      <c r="J1476" t="s" s="2">
        <v>5814</v>
      </c>
      <c r="K1476" t="s" s="2">
        <v>22</v>
      </c>
      <c r="L1476" t="s" s="2">
        <v>22</v>
      </c>
      <c r="M1476" t="s" s="2">
        <v>22</v>
      </c>
    </row>
    <row r="1477" ht="25.0" customHeight="true">
      <c r="A1477" t="s" s="2">
        <v>13</v>
      </c>
      <c r="B1477" t="s" s="2">
        <f>HYPERLINK("http://ts.21cn.com/tousu/show/id/1372546","长虹电视强制开机广告无法去除")</f>
      </c>
      <c r="C1477" t="s" s="2">
        <v>52</v>
      </c>
      <c r="D1477" t="s" s="2">
        <v>16</v>
      </c>
      <c r="E1477" t="s" s="2">
        <v>17</v>
      </c>
      <c r="F1477" t="s" s="2">
        <f>HYPERLINK("http://ts.21cn.com/tousu/show/id/1372546","http://ts.21cn.com/tousu/show/id/1372546")</f>
      </c>
      <c r="G1477" t="s" s="2">
        <v>17</v>
      </c>
      <c r="H1477" t="s" s="2">
        <v>19</v>
      </c>
      <c r="I1477" t="s" s="2">
        <v>5817</v>
      </c>
      <c r="J1477" t="s" s="2">
        <v>5818</v>
      </c>
      <c r="K1477" t="s" s="2">
        <v>22</v>
      </c>
      <c r="L1477" t="s" s="2">
        <v>22</v>
      </c>
      <c r="M1477" t="s" s="2">
        <v>22</v>
      </c>
    </row>
    <row r="1478" ht="25.0" customHeight="true">
      <c r="A1478" t="s" s="2">
        <v>13</v>
      </c>
      <c r="B1478" t="s" s="2">
        <f>HYPERLINK("http://ts.21cn.com/tousu/show/id/1372544","投诉瑞银信POS机刷卡不到账")</f>
      </c>
      <c r="C1478" t="s" s="2">
        <v>52</v>
      </c>
      <c r="D1478" t="s" s="2">
        <v>16</v>
      </c>
      <c r="E1478" t="s" s="2">
        <v>17</v>
      </c>
      <c r="F1478" t="s" s="2">
        <f>HYPERLINK("http://ts.21cn.com/tousu/show/id/1372544","http://ts.21cn.com/tousu/show/id/1372544")</f>
      </c>
      <c r="G1478" t="s" s="2">
        <v>17</v>
      </c>
      <c r="H1478" t="s" s="2">
        <v>19</v>
      </c>
      <c r="I1478" t="s" s="2">
        <v>5821</v>
      </c>
      <c r="J1478" t="s" s="2">
        <v>5822</v>
      </c>
      <c r="K1478" t="s" s="2">
        <v>22</v>
      </c>
      <c r="L1478" t="s" s="2">
        <v>22</v>
      </c>
      <c r="M1478" t="s" s="2">
        <v>22</v>
      </c>
    </row>
    <row r="1479" ht="25.0" customHeight="true">
      <c r="A1479" t="s" s="2">
        <v>13</v>
      </c>
      <c r="B1479" t="s" s="2">
        <f>HYPERLINK("http://ts.21cn.com/tousu/show/id/1372542","乐刷清算机构")</f>
      </c>
      <c r="C1479" t="s" s="2">
        <v>52</v>
      </c>
      <c r="D1479" t="s" s="2">
        <v>16</v>
      </c>
      <c r="E1479" t="s" s="2">
        <v>17</v>
      </c>
      <c r="F1479" t="s" s="2">
        <f>HYPERLINK("http://ts.21cn.com/tousu/show/id/1372542","http://ts.21cn.com/tousu/show/id/1372542")</f>
      </c>
      <c r="G1479" t="s" s="2">
        <v>17</v>
      </c>
      <c r="H1479" t="s" s="2">
        <v>19</v>
      </c>
      <c r="I1479" t="s" s="2">
        <v>5825</v>
      </c>
      <c r="J1479" t="s" s="2">
        <v>5826</v>
      </c>
      <c r="K1479" t="s" s="2">
        <v>22</v>
      </c>
      <c r="L1479" t="s" s="2">
        <v>22</v>
      </c>
      <c r="M1479" t="s" s="2">
        <v>22</v>
      </c>
    </row>
    <row r="1480" ht="25.0" customHeight="true">
      <c r="A1480" t="s" s="2">
        <v>13</v>
      </c>
      <c r="B1480" t="s" s="2">
        <f>HYPERLINK("http://ts.21cn.com/tousu/show/id/1372541","冠诚（北京）信息服务有限公司违规收取砍头息")</f>
      </c>
      <c r="C1480" t="s" s="2">
        <v>15</v>
      </c>
      <c r="D1480" t="s" s="2">
        <v>16</v>
      </c>
      <c r="E1480" t="s" s="2">
        <v>17</v>
      </c>
      <c r="F1480" t="s" s="2">
        <f>HYPERLINK("http://ts.21cn.com/tousu/show/id/1372541","http://ts.21cn.com/tousu/show/id/1372541")</f>
      </c>
      <c r="G1480" t="s" s="2">
        <v>17</v>
      </c>
      <c r="H1480" t="s" s="2">
        <v>19</v>
      </c>
      <c r="I1480" t="s" s="2">
        <v>5829</v>
      </c>
      <c r="J1480" t="s" s="2">
        <v>5830</v>
      </c>
      <c r="K1480" t="s" s="2">
        <v>22</v>
      </c>
      <c r="L1480" t="s" s="2">
        <v>22</v>
      </c>
      <c r="M1480" t="s" s="2">
        <v>22</v>
      </c>
    </row>
    <row r="1481" ht="25.0" customHeight="true">
      <c r="A1481" t="s" s="2">
        <v>13</v>
      </c>
      <c r="B1481" t="s" s="2">
        <f>HYPERLINK("http://ts.21cn.com/tousu/show/id/1372540","微贷多米贷暴力催收")</f>
      </c>
      <c r="C1481" t="s" s="2">
        <v>15</v>
      </c>
      <c r="D1481" t="s" s="2">
        <v>16</v>
      </c>
      <c r="E1481" t="s" s="2">
        <v>17</v>
      </c>
      <c r="F1481" t="s" s="2">
        <f>HYPERLINK("http://ts.21cn.com/tousu/show/id/1372540","http://ts.21cn.com/tousu/show/id/1372540")</f>
      </c>
      <c r="G1481" t="s" s="2">
        <v>17</v>
      </c>
      <c r="H1481" t="s" s="2">
        <v>19</v>
      </c>
      <c r="I1481" t="s" s="2">
        <v>5833</v>
      </c>
      <c r="J1481" t="s" s="2">
        <v>5834</v>
      </c>
      <c r="K1481" t="s" s="2">
        <v>22</v>
      </c>
      <c r="L1481" t="s" s="2">
        <v>22</v>
      </c>
      <c r="M1481" t="s" s="2">
        <v>22</v>
      </c>
    </row>
    <row r="1482" ht="25.0" customHeight="true">
      <c r="A1482" t="s" s="2">
        <v>13</v>
      </c>
      <c r="B1482" t="s" s="2">
        <f>HYPERLINK("http://ts.21cn.com/tousu/show/id/1372539","拼趣多拖延不退商家保证金，已失联疑跑路")</f>
      </c>
      <c r="C1482" t="s" s="2">
        <v>15</v>
      </c>
      <c r="D1482" t="s" s="2">
        <v>16</v>
      </c>
      <c r="E1482" t="s" s="2">
        <v>17</v>
      </c>
      <c r="F1482" t="s" s="2">
        <f>HYPERLINK("http://ts.21cn.com/tousu/show/id/1372539","http://ts.21cn.com/tousu/show/id/1372539")</f>
      </c>
      <c r="G1482" t="s" s="2">
        <v>17</v>
      </c>
      <c r="H1482" t="s" s="2">
        <v>19</v>
      </c>
      <c r="I1482" t="s" s="2">
        <v>5837</v>
      </c>
      <c r="J1482" t="s" s="2">
        <v>5838</v>
      </c>
      <c r="K1482" t="s" s="2">
        <v>22</v>
      </c>
      <c r="L1482" t="s" s="2">
        <v>22</v>
      </c>
      <c r="M1482" t="s" s="2">
        <v>22</v>
      </c>
    </row>
    <row r="1483" ht="25.0" customHeight="true">
      <c r="A1483" t="s" s="2">
        <v>13</v>
      </c>
      <c r="B1483" t="s" s="2">
        <f>HYPERLINK("http://ts.21cn.com/tousu/show/id/1372538","转转平台拒收不退款")</f>
      </c>
      <c r="C1483" t="s" s="2">
        <v>15</v>
      </c>
      <c r="D1483" t="s" s="2">
        <v>16</v>
      </c>
      <c r="E1483" t="s" s="2">
        <v>17</v>
      </c>
      <c r="F1483" t="s" s="2">
        <f>HYPERLINK("http://ts.21cn.com/tousu/show/id/1372538","http://ts.21cn.com/tousu/show/id/1372538")</f>
      </c>
      <c r="G1483" t="s" s="2">
        <v>17</v>
      </c>
      <c r="H1483" t="s" s="2">
        <v>19</v>
      </c>
      <c r="I1483" t="s" s="2">
        <v>5841</v>
      </c>
      <c r="J1483" t="s" s="2">
        <v>5842</v>
      </c>
      <c r="K1483" t="s" s="2">
        <v>22</v>
      </c>
      <c r="L1483" t="s" s="2">
        <v>22</v>
      </c>
      <c r="M1483" t="s" s="2">
        <v>22</v>
      </c>
    </row>
    <row r="1484" ht="25.0" customHeight="true">
      <c r="A1484" t="s" s="2">
        <v>13</v>
      </c>
      <c r="B1484" t="s" s="2">
        <f>HYPERLINK("http://ts.21cn.com/tousu/show/id/1372537","小象优品的审核贷款手续费加利息高")</f>
      </c>
      <c r="C1484" t="s" s="2">
        <v>15</v>
      </c>
      <c r="D1484" t="s" s="2">
        <v>16</v>
      </c>
      <c r="E1484" t="s" s="2">
        <v>17</v>
      </c>
      <c r="F1484" t="s" s="2">
        <f>HYPERLINK("http://ts.21cn.com/tousu/show/id/1372537","http://ts.21cn.com/tousu/show/id/1372537")</f>
      </c>
      <c r="G1484" t="s" s="2">
        <v>17</v>
      </c>
      <c r="H1484" t="s" s="2">
        <v>19</v>
      </c>
      <c r="I1484" t="s" s="2">
        <v>5845</v>
      </c>
      <c r="J1484" t="s" s="2">
        <v>5846</v>
      </c>
      <c r="K1484" t="s" s="2">
        <v>22</v>
      </c>
      <c r="L1484" t="s" s="2">
        <v>22</v>
      </c>
      <c r="M1484" t="s" s="2">
        <v>22</v>
      </c>
    </row>
    <row r="1485" ht="25.0" customHeight="true">
      <c r="A1485" t="s" s="2">
        <v>13</v>
      </c>
      <c r="B1485" t="s" s="2">
        <f>HYPERLINK("http://ts.21cn.com/tousu/show/id/1372535","钱站恶意骚扰通讯录")</f>
      </c>
      <c r="C1485" t="s" s="2">
        <v>15</v>
      </c>
      <c r="D1485" t="s" s="2">
        <v>16</v>
      </c>
      <c r="E1485" t="s" s="2">
        <v>17</v>
      </c>
      <c r="F1485" t="s" s="2">
        <f>HYPERLINK("http://ts.21cn.com/tousu/show/id/1372535","http://ts.21cn.com/tousu/show/id/1372535")</f>
      </c>
      <c r="G1485" t="s" s="2">
        <v>17</v>
      </c>
      <c r="H1485" t="s" s="2">
        <v>19</v>
      </c>
      <c r="I1485" t="s" s="2">
        <v>5849</v>
      </c>
      <c r="J1485" t="s" s="2">
        <v>5850</v>
      </c>
      <c r="K1485" t="s" s="2">
        <v>22</v>
      </c>
      <c r="L1485" t="s" s="2">
        <v>22</v>
      </c>
      <c r="M1485" t="s" s="2">
        <v>22</v>
      </c>
    </row>
    <row r="1486" ht="25.0" customHeight="true">
      <c r="A1486" t="s" s="2">
        <v>13</v>
      </c>
      <c r="B1486" t="s" s="2">
        <f>HYPERLINK("http://ts.21cn.com/tousu/show/id/1372536","闪银不给注销账户")</f>
      </c>
      <c r="C1486" t="s" s="2">
        <v>15</v>
      </c>
      <c r="D1486" t="s" s="2">
        <v>16</v>
      </c>
      <c r="E1486" t="s" s="2">
        <v>17</v>
      </c>
      <c r="F1486" t="s" s="2">
        <f>HYPERLINK("http://ts.21cn.com/tousu/show/id/1372536","http://ts.21cn.com/tousu/show/id/1372536")</f>
      </c>
      <c r="G1486" t="s" s="2">
        <v>17</v>
      </c>
      <c r="H1486" t="s" s="2">
        <v>19</v>
      </c>
      <c r="I1486" t="s" s="2">
        <v>5853</v>
      </c>
      <c r="J1486" t="s" s="2">
        <v>5854</v>
      </c>
      <c r="K1486" t="s" s="2">
        <v>22</v>
      </c>
      <c r="L1486" t="s" s="2">
        <v>22</v>
      </c>
      <c r="M1486" t="s" s="2">
        <v>22</v>
      </c>
    </row>
    <row r="1487" ht="25.0" customHeight="true">
      <c r="A1487" t="s" s="2">
        <v>13</v>
      </c>
      <c r="B1487" t="s" s="2">
        <f>HYPERLINK("http://ts.21cn.com/tousu/show/id/1372534","恶意催收电话不停的骚扰")</f>
      </c>
      <c r="C1487" t="s" s="2">
        <v>15</v>
      </c>
      <c r="D1487" t="s" s="2">
        <v>16</v>
      </c>
      <c r="E1487" t="s" s="2">
        <v>17</v>
      </c>
      <c r="F1487" t="s" s="2">
        <f>HYPERLINK("http://ts.21cn.com/tousu/show/id/1372534","http://ts.21cn.com/tousu/show/id/1372534")</f>
      </c>
      <c r="G1487" t="s" s="2">
        <v>17</v>
      </c>
      <c r="H1487" t="s" s="2">
        <v>19</v>
      </c>
      <c r="I1487" t="s" s="2">
        <v>5857</v>
      </c>
      <c r="J1487" t="s" s="2">
        <v>5858</v>
      </c>
      <c r="K1487" t="s" s="2">
        <v>22</v>
      </c>
      <c r="L1487" t="s" s="2">
        <v>22</v>
      </c>
      <c r="M1487" t="s" s="2">
        <v>22</v>
      </c>
    </row>
    <row r="1488" ht="25.0" customHeight="true">
      <c r="A1488" t="s" s="2">
        <v>13</v>
      </c>
      <c r="B1488" t="s" s="2">
        <f>HYPERLINK("http://ts.21cn.com/tousu/show/id/1372533","喜鹊快贷高利贷，超过国家规定")</f>
      </c>
      <c r="C1488" t="s" s="2">
        <v>15</v>
      </c>
      <c r="D1488" t="s" s="2">
        <v>16</v>
      </c>
      <c r="E1488" t="s" s="2">
        <v>17</v>
      </c>
      <c r="F1488" t="s" s="2">
        <f>HYPERLINK("http://ts.21cn.com/tousu/show/id/1372533","http://ts.21cn.com/tousu/show/id/1372533")</f>
      </c>
      <c r="G1488" t="s" s="2">
        <v>17</v>
      </c>
      <c r="H1488" t="s" s="2">
        <v>19</v>
      </c>
      <c r="I1488" t="s" s="2">
        <v>5861</v>
      </c>
      <c r="J1488" t="s" s="2">
        <v>5862</v>
      </c>
      <c r="K1488" t="s" s="2">
        <v>22</v>
      </c>
      <c r="L1488" t="s" s="2">
        <v>22</v>
      </c>
      <c r="M1488" t="s" s="2">
        <v>22</v>
      </c>
    </row>
    <row r="1489" ht="25.0" customHeight="true">
      <c r="A1489" t="s" s="2">
        <v>13</v>
      </c>
      <c r="B1489" t="s" s="2">
        <f>HYPERLINK("http://ts.21cn.com/tousu/show/id/1372532","超高高级贷")</f>
      </c>
      <c r="C1489" t="s" s="2">
        <v>52</v>
      </c>
      <c r="D1489" t="s" s="2">
        <v>16</v>
      </c>
      <c r="E1489" t="s" s="2">
        <v>17</v>
      </c>
      <c r="F1489" t="s" s="2">
        <f>HYPERLINK("http://ts.21cn.com/tousu/show/id/1372532","http://ts.21cn.com/tousu/show/id/1372532")</f>
      </c>
      <c r="G1489" t="s" s="2">
        <v>17</v>
      </c>
      <c r="H1489" t="s" s="2">
        <v>19</v>
      </c>
      <c r="I1489" t="s" s="2">
        <v>5865</v>
      </c>
      <c r="J1489" t="s" s="2">
        <v>5866</v>
      </c>
      <c r="K1489" t="s" s="2">
        <v>22</v>
      </c>
      <c r="L1489" t="s" s="2">
        <v>22</v>
      </c>
      <c r="M1489" t="s" s="2">
        <v>22</v>
      </c>
    </row>
    <row r="1490" ht="25.0" customHeight="true">
      <c r="A1490" t="s" s="2">
        <v>13</v>
      </c>
      <c r="B1490" t="s" s="2">
        <f>HYPERLINK("http://ts.21cn.com/tousu/show/id/1364686","京东白条被盗刷，京东客服说不是盗刷，买有保险不能赔付，叫我联系当地警察处理")</f>
      </c>
      <c r="C1490" t="s" s="2">
        <v>15</v>
      </c>
      <c r="D1490" t="s" s="2">
        <v>16</v>
      </c>
      <c r="E1490" t="s" s="2">
        <v>17</v>
      </c>
      <c r="F1490" t="s" s="2">
        <f>HYPERLINK("http://ts.21cn.com/tousu/show/id/1364686","http://ts.21cn.com/tousu/show/id/1364686")</f>
      </c>
      <c r="G1490" t="s" s="2">
        <v>17</v>
      </c>
      <c r="H1490" t="s" s="2">
        <v>19</v>
      </c>
      <c r="I1490" t="s" s="2">
        <v>5869</v>
      </c>
      <c r="J1490" t="s" s="2">
        <v>5870</v>
      </c>
      <c r="K1490" t="s" s="2">
        <v>22</v>
      </c>
      <c r="L1490" t="s" s="2">
        <v>22</v>
      </c>
      <c r="M1490" t="s" s="2">
        <v>22</v>
      </c>
    </row>
    <row r="1491" ht="25.0" customHeight="true">
      <c r="A1491" t="s" s="2">
        <v>13</v>
      </c>
      <c r="B1491" t="s" s="2">
        <f>HYPERLINK("http://ts.21cn.com/tousu/show/id/1372531","你我贷暴利催收")</f>
      </c>
      <c r="C1491" t="s" s="2">
        <v>15</v>
      </c>
      <c r="D1491" t="s" s="2">
        <v>16</v>
      </c>
      <c r="E1491" t="s" s="2">
        <v>17</v>
      </c>
      <c r="F1491" t="s" s="2">
        <f>HYPERLINK("http://ts.21cn.com/tousu/show/id/1372531","http://ts.21cn.com/tousu/show/id/1372531")</f>
      </c>
      <c r="G1491" t="s" s="2">
        <v>17</v>
      </c>
      <c r="H1491" t="s" s="2">
        <v>19</v>
      </c>
      <c r="I1491" t="s" s="2">
        <v>5873</v>
      </c>
      <c r="J1491" t="s" s="2">
        <v>5874</v>
      </c>
      <c r="K1491" t="s" s="2">
        <v>22</v>
      </c>
      <c r="L1491" t="s" s="2">
        <v>22</v>
      </c>
      <c r="M1491" t="s" s="2">
        <v>22</v>
      </c>
    </row>
    <row r="1492" ht="25.0" customHeight="true">
      <c r="A1492" t="s" s="2">
        <v>13</v>
      </c>
      <c r="B1492" t="s" s="2">
        <f>HYPERLINK("http://ts.21cn.com/tousu/show/id/1372529","暴力催收恐吓骚扰家人朋友")</f>
      </c>
      <c r="C1492" t="s" s="2">
        <v>15</v>
      </c>
      <c r="D1492" t="s" s="2">
        <v>16</v>
      </c>
      <c r="E1492" t="s" s="2">
        <v>17</v>
      </c>
      <c r="F1492" t="s" s="2">
        <f>HYPERLINK("http://ts.21cn.com/tousu/show/id/1372529","http://ts.21cn.com/tousu/show/id/1372529")</f>
      </c>
      <c r="G1492" t="s" s="2">
        <v>17</v>
      </c>
      <c r="H1492" t="s" s="2">
        <v>19</v>
      </c>
      <c r="I1492" t="s" s="2">
        <v>5877</v>
      </c>
      <c r="J1492" t="s" s="2">
        <v>5878</v>
      </c>
      <c r="K1492" t="s" s="2">
        <v>22</v>
      </c>
      <c r="L1492" t="s" s="2">
        <v>22</v>
      </c>
      <c r="M1492" t="s" s="2">
        <v>22</v>
      </c>
    </row>
    <row r="1493" ht="25.0" customHeight="true">
      <c r="A1493" t="s" s="2">
        <v>13</v>
      </c>
      <c r="B1493" t="s" s="2">
        <f>HYPERLINK("http://ts.21cn.com/tousu/show/id/1372528","闪银高额利息，白条买一些垃圾东西")</f>
      </c>
      <c r="C1493" t="s" s="2">
        <v>15</v>
      </c>
      <c r="D1493" t="s" s="2">
        <v>16</v>
      </c>
      <c r="E1493" t="s" s="2">
        <v>17</v>
      </c>
      <c r="F1493" t="s" s="2">
        <f>HYPERLINK("http://ts.21cn.com/tousu/show/id/1372528","http://ts.21cn.com/tousu/show/id/1372528")</f>
      </c>
      <c r="G1493" t="s" s="2">
        <v>17</v>
      </c>
      <c r="H1493" t="s" s="2">
        <v>19</v>
      </c>
      <c r="I1493" t="s" s="2">
        <v>5881</v>
      </c>
      <c r="J1493" t="s" s="2">
        <v>5882</v>
      </c>
      <c r="K1493" t="s" s="2">
        <v>22</v>
      </c>
      <c r="L1493" t="s" s="2">
        <v>22</v>
      </c>
      <c r="M1493" t="s" s="2">
        <v>22</v>
      </c>
    </row>
    <row r="1494" ht="25.0" customHeight="true">
      <c r="A1494" t="s" s="2">
        <v>13</v>
      </c>
      <c r="B1494" t="s" s="2">
        <f>HYPERLINK("http://ts.21cn.com/tousu/show/id/1372527","迟迟不见回复，也不处理")</f>
      </c>
      <c r="C1494" t="s" s="2">
        <v>15</v>
      </c>
      <c r="D1494" t="s" s="2">
        <v>16</v>
      </c>
      <c r="E1494" t="s" s="2">
        <v>17</v>
      </c>
      <c r="F1494" t="s" s="2">
        <f>HYPERLINK("http://ts.21cn.com/tousu/show/id/1372527","http://ts.21cn.com/tousu/show/id/1372527")</f>
      </c>
      <c r="G1494" t="s" s="2">
        <v>17</v>
      </c>
      <c r="H1494" t="s" s="2">
        <v>19</v>
      </c>
      <c r="I1494" t="s" s="2">
        <v>5885</v>
      </c>
      <c r="J1494" t="s" s="2">
        <v>5886</v>
      </c>
      <c r="K1494" t="s" s="2">
        <v>22</v>
      </c>
      <c r="L1494" t="s" s="2">
        <v>22</v>
      </c>
      <c r="M1494" t="s" s="2">
        <v>22</v>
      </c>
    </row>
    <row r="1495" ht="25.0" customHeight="true">
      <c r="A1495" t="s" s="2">
        <v>13</v>
      </c>
      <c r="B1495" t="s" s="2">
        <f>HYPERLINK("http://ts.21cn.com/tousu/show/id/1372526","高利贷协融借（多宝分期）")</f>
      </c>
      <c r="C1495" t="s" s="2">
        <v>15</v>
      </c>
      <c r="D1495" t="s" s="2">
        <v>16</v>
      </c>
      <c r="E1495" t="s" s="2">
        <v>17</v>
      </c>
      <c r="F1495" t="s" s="2">
        <f>HYPERLINK("http://ts.21cn.com/tousu/show/id/1372526","http://ts.21cn.com/tousu/show/id/1372526")</f>
      </c>
      <c r="G1495" t="s" s="2">
        <v>17</v>
      </c>
      <c r="H1495" t="s" s="2">
        <v>19</v>
      </c>
      <c r="I1495" t="s" s="2">
        <v>5889</v>
      </c>
      <c r="J1495" t="s" s="2">
        <v>5890</v>
      </c>
      <c r="K1495" t="s" s="2">
        <v>22</v>
      </c>
      <c r="L1495" t="s" s="2">
        <v>22</v>
      </c>
      <c r="M1495" t="s" s="2">
        <v>22</v>
      </c>
    </row>
    <row r="1496" ht="25.0" customHeight="true">
      <c r="A1496" t="s" s="2">
        <v>13</v>
      </c>
      <c r="B1496" t="s" s="2">
        <f>HYPERLINK("http://ts.21cn.com/tousu/show/id/1372525","现金巴士暴力催收")</f>
      </c>
      <c r="C1496" t="s" s="2">
        <v>15</v>
      </c>
      <c r="D1496" t="s" s="2">
        <v>16</v>
      </c>
      <c r="E1496" t="s" s="2">
        <v>17</v>
      </c>
      <c r="F1496" t="s" s="2">
        <f>HYPERLINK("http://ts.21cn.com/tousu/show/id/1372525","http://ts.21cn.com/tousu/show/id/1372525")</f>
      </c>
      <c r="G1496" t="s" s="2">
        <v>17</v>
      </c>
      <c r="H1496" t="s" s="2">
        <v>19</v>
      </c>
      <c r="I1496" t="s" s="2">
        <v>5893</v>
      </c>
      <c r="J1496" t="s" s="2">
        <v>5894</v>
      </c>
      <c r="K1496" t="s" s="2">
        <v>22</v>
      </c>
      <c r="L1496" t="s" s="2">
        <v>22</v>
      </c>
      <c r="M1496" t="s" s="2">
        <v>22</v>
      </c>
    </row>
    <row r="1497" ht="25.0" customHeight="true">
      <c r="A1497" t="s" s="2">
        <v>13</v>
      </c>
      <c r="B1497" t="s" s="2">
        <f>HYPERLINK("http://ts.21cn.com/tousu/show/id/1372524","充会员下款")</f>
      </c>
      <c r="C1497" t="s" s="2">
        <v>52</v>
      </c>
      <c r="D1497" t="s" s="2">
        <v>16</v>
      </c>
      <c r="E1497" t="s" s="2">
        <v>17</v>
      </c>
      <c r="F1497" t="s" s="2">
        <f>HYPERLINK("http://ts.21cn.com/tousu/show/id/1372524","http://ts.21cn.com/tousu/show/id/1372524")</f>
      </c>
      <c r="G1497" t="s" s="2">
        <v>17</v>
      </c>
      <c r="H1497" t="s" s="2">
        <v>19</v>
      </c>
      <c r="I1497" t="s" s="2">
        <v>5897</v>
      </c>
      <c r="J1497" t="s" s="2">
        <v>5898</v>
      </c>
      <c r="K1497" t="s" s="2">
        <v>22</v>
      </c>
      <c r="L1497" t="s" s="2">
        <v>22</v>
      </c>
      <c r="M1497" t="s" s="2">
        <v>22</v>
      </c>
    </row>
    <row r="1498" ht="25.0" customHeight="true">
      <c r="A1498" t="s" s="2">
        <v>13</v>
      </c>
      <c r="B1498" t="s" s="2">
        <f>HYPERLINK("http://ts.21cn.com/tousu/show/id/1372523","OPPOR9SPLUS大规模无限重启变砖")</f>
      </c>
      <c r="C1498" t="s" s="2">
        <v>52</v>
      </c>
      <c r="D1498" t="s" s="2">
        <v>16</v>
      </c>
      <c r="E1498" t="s" s="2">
        <v>17</v>
      </c>
      <c r="F1498" t="s" s="2">
        <f>HYPERLINK("http://ts.21cn.com/tousu/show/id/1372523","http://ts.21cn.com/tousu/show/id/1372523")</f>
      </c>
      <c r="G1498" t="s" s="2">
        <v>17</v>
      </c>
      <c r="H1498" t="s" s="2">
        <v>19</v>
      </c>
      <c r="I1498" t="s" s="2">
        <v>5901</v>
      </c>
      <c r="J1498" t="s" s="2">
        <v>5902</v>
      </c>
      <c r="K1498" t="s" s="2">
        <v>22</v>
      </c>
      <c r="L1498" t="s" s="2">
        <v>22</v>
      </c>
      <c r="M1498" t="s" s="2">
        <v>22</v>
      </c>
    </row>
    <row r="1499" ht="25.0" customHeight="true">
      <c r="A1499" t="s" s="2">
        <v>13</v>
      </c>
      <c r="B1499" t="s" s="2">
        <f>HYPERLINK("http://ts.21cn.com/tousu/show/id/1372522","捷信金融分期业务跟我的分期实物不一样")</f>
      </c>
      <c r="C1499" t="s" s="2">
        <v>52</v>
      </c>
      <c r="D1499" t="s" s="2">
        <v>16</v>
      </c>
      <c r="E1499" t="s" s="2">
        <v>17</v>
      </c>
      <c r="F1499" t="s" s="2">
        <f>HYPERLINK("http://ts.21cn.com/tousu/show/id/1372522","http://ts.21cn.com/tousu/show/id/1372522")</f>
      </c>
      <c r="G1499" t="s" s="2">
        <v>17</v>
      </c>
      <c r="H1499" t="s" s="2">
        <v>19</v>
      </c>
      <c r="I1499" t="s" s="2">
        <v>5905</v>
      </c>
      <c r="J1499" t="s" s="2">
        <v>5906</v>
      </c>
      <c r="K1499" t="s" s="2">
        <v>22</v>
      </c>
      <c r="L1499" t="s" s="2">
        <v>22</v>
      </c>
      <c r="M1499" t="s" s="2">
        <v>22</v>
      </c>
    </row>
    <row r="1500" ht="25.0" customHeight="true">
      <c r="A1500" t="s" s="2">
        <v>13</v>
      </c>
      <c r="B1500" t="s" s="2">
        <f>HYPERLINK("http://ts.21cn.com/tousu/show/id/1372521","桂林悦程出行卡误导办卡")</f>
      </c>
      <c r="C1500" t="s" s="2">
        <v>15</v>
      </c>
      <c r="D1500" t="s" s="2">
        <v>16</v>
      </c>
      <c r="E1500" t="s" s="2">
        <v>17</v>
      </c>
      <c r="F1500" t="s" s="2">
        <f>HYPERLINK("http://ts.21cn.com/tousu/show/id/1372521","http://ts.21cn.com/tousu/show/id/1372521")</f>
      </c>
      <c r="G1500" t="s" s="2">
        <v>17</v>
      </c>
      <c r="H1500" t="s" s="2">
        <v>19</v>
      </c>
      <c r="I1500" t="s" s="2">
        <v>5905</v>
      </c>
      <c r="J1500" t="s" s="2">
        <v>5909</v>
      </c>
      <c r="K1500" t="s" s="2">
        <v>22</v>
      </c>
      <c r="L1500" t="s" s="2">
        <v>22</v>
      </c>
      <c r="M1500" t="s" s="2">
        <v>22</v>
      </c>
    </row>
    <row r="1501" ht="25.0" customHeight="true">
      <c r="A1501" t="s" s="2">
        <v>13</v>
      </c>
      <c r="B1501" t="s" s="2">
        <f>HYPERLINK("http://ts.21cn.com/tousu/show/id/1372520","小米金融恶意骚扰不认识的紧急联系人")</f>
      </c>
      <c r="C1501" t="s" s="2">
        <v>15</v>
      </c>
      <c r="D1501" t="s" s="2">
        <v>16</v>
      </c>
      <c r="E1501" t="s" s="2">
        <v>17</v>
      </c>
      <c r="F1501" t="s" s="2">
        <f>HYPERLINK("http://ts.21cn.com/tousu/show/id/1372520","http://ts.21cn.com/tousu/show/id/1372520")</f>
      </c>
      <c r="G1501" t="s" s="2">
        <v>17</v>
      </c>
      <c r="H1501" t="s" s="2">
        <v>19</v>
      </c>
      <c r="I1501" t="s" s="2">
        <v>5912</v>
      </c>
      <c r="J1501" t="s" s="2">
        <v>5913</v>
      </c>
      <c r="K1501" t="s" s="2">
        <v>22</v>
      </c>
      <c r="L1501" t="s" s="2">
        <v>22</v>
      </c>
      <c r="M1501" t="s" s="2">
        <v>22</v>
      </c>
    </row>
    <row r="1502" ht="25.0" customHeight="true">
      <c r="A1502" t="s" s="2">
        <v>13</v>
      </c>
      <c r="B1502" t="s" s="2">
        <f>HYPERLINK("http://ts.21cn.com/tousu/show/id/1372518","不见回复，也不见回访")</f>
      </c>
      <c r="C1502" t="s" s="2">
        <v>15</v>
      </c>
      <c r="D1502" t="s" s="2">
        <v>16</v>
      </c>
      <c r="E1502" t="s" s="2">
        <v>17</v>
      </c>
      <c r="F1502" t="s" s="2">
        <f>HYPERLINK("http://ts.21cn.com/tousu/show/id/1372518","http://ts.21cn.com/tousu/show/id/1372518")</f>
      </c>
      <c r="G1502" t="s" s="2">
        <v>17</v>
      </c>
      <c r="H1502" t="s" s="2">
        <v>19</v>
      </c>
      <c r="I1502" t="s" s="2">
        <v>5916</v>
      </c>
      <c r="J1502" t="s" s="2">
        <v>5917</v>
      </c>
      <c r="K1502" t="s" s="2">
        <v>22</v>
      </c>
      <c r="L1502" t="s" s="2">
        <v>22</v>
      </c>
      <c r="M1502" t="s" s="2">
        <v>22</v>
      </c>
    </row>
    <row r="1503" ht="25.0" customHeight="true">
      <c r="A1503" t="s" s="2">
        <v>13</v>
      </c>
      <c r="B1503" t="s" s="2">
        <f>HYPERLINK("http://ts.21cn.com/tousu/show/id/1372519","希望支付宝能改进解除限制的问题")</f>
      </c>
      <c r="C1503" t="s" s="2">
        <v>15</v>
      </c>
      <c r="D1503" t="s" s="2">
        <v>16</v>
      </c>
      <c r="E1503" t="s" s="2">
        <v>17</v>
      </c>
      <c r="F1503" t="s" s="2">
        <f>HYPERLINK("http://ts.21cn.com/tousu/show/id/1372519","http://ts.21cn.com/tousu/show/id/1372519")</f>
      </c>
      <c r="G1503" t="s" s="2">
        <v>17</v>
      </c>
      <c r="H1503" t="s" s="2">
        <v>19</v>
      </c>
      <c r="I1503" t="s" s="2">
        <v>5920</v>
      </c>
      <c r="J1503" t="s" s="2">
        <v>5921</v>
      </c>
      <c r="K1503" t="s" s="2">
        <v>22</v>
      </c>
      <c r="L1503" t="s" s="2">
        <v>22</v>
      </c>
      <c r="M1503" t="s" s="2">
        <v>22</v>
      </c>
    </row>
    <row r="1504" ht="25.0" customHeight="true">
      <c r="A1504" t="s" s="2">
        <v>13</v>
      </c>
      <c r="B1504" t="s" s="2">
        <f>HYPERLINK("http://ts.21cn.com/tousu/show/id/1372517","京东商城提供的手机30天无忧体验退货服务存在虚假宣传，且拒绝执行退货退款")</f>
      </c>
      <c r="C1504" t="s" s="2">
        <v>15</v>
      </c>
      <c r="D1504" t="s" s="2">
        <v>16</v>
      </c>
      <c r="E1504" t="s" s="2">
        <v>17</v>
      </c>
      <c r="F1504" t="s" s="2">
        <f>HYPERLINK("http://ts.21cn.com/tousu/show/id/1372517","http://ts.21cn.com/tousu/show/id/1372517")</f>
      </c>
      <c r="G1504" t="s" s="2">
        <v>17</v>
      </c>
      <c r="H1504" t="s" s="2">
        <v>19</v>
      </c>
      <c r="I1504" t="s" s="2">
        <v>5924</v>
      </c>
      <c r="J1504" t="s" s="2">
        <v>5925</v>
      </c>
      <c r="K1504" t="s" s="2">
        <v>22</v>
      </c>
      <c r="L1504" t="s" s="2">
        <v>22</v>
      </c>
      <c r="M1504" t="s" s="2">
        <v>22</v>
      </c>
    </row>
    <row r="1505" ht="25.0" customHeight="true">
      <c r="A1505" t="s" s="2">
        <v>13</v>
      </c>
      <c r="B1505" t="s" s="2">
        <f>HYPERLINK("http://ts.21cn.com/tousu/show/id/1372516","电话骚扰，辱骂，威胁，")</f>
      </c>
      <c r="C1505" t="s" s="2">
        <v>15</v>
      </c>
      <c r="D1505" t="s" s="2">
        <v>16</v>
      </c>
      <c r="E1505" t="s" s="2">
        <v>17</v>
      </c>
      <c r="F1505" t="s" s="2">
        <f>HYPERLINK("http://ts.21cn.com/tousu/show/id/1372516","http://ts.21cn.com/tousu/show/id/1372516")</f>
      </c>
      <c r="G1505" t="s" s="2">
        <v>17</v>
      </c>
      <c r="H1505" t="s" s="2">
        <v>19</v>
      </c>
      <c r="I1505" t="s" s="2">
        <v>5928</v>
      </c>
      <c r="J1505" t="s" s="2">
        <v>5929</v>
      </c>
      <c r="K1505" t="s" s="2">
        <v>22</v>
      </c>
      <c r="L1505" t="s" s="2">
        <v>22</v>
      </c>
      <c r="M1505" t="s" s="2">
        <v>22</v>
      </c>
    </row>
    <row r="1506" ht="25.0" customHeight="true">
      <c r="A1506" t="s" s="2">
        <v>13</v>
      </c>
      <c r="B1506" t="s" s="2">
        <f>HYPERLINK("http://ts.21cn.com/tousu/show/id/1372515","交通信用卡")</f>
      </c>
      <c r="C1506" t="s" s="2">
        <v>15</v>
      </c>
      <c r="D1506" t="s" s="2">
        <v>16</v>
      </c>
      <c r="E1506" t="s" s="2">
        <v>17</v>
      </c>
      <c r="F1506" t="s" s="2">
        <f>HYPERLINK("http://ts.21cn.com/tousu/show/id/1372515","http://ts.21cn.com/tousu/show/id/1372515")</f>
      </c>
      <c r="G1506" t="s" s="2">
        <v>17</v>
      </c>
      <c r="H1506" t="s" s="2">
        <v>19</v>
      </c>
      <c r="I1506" t="s" s="2">
        <v>5932</v>
      </c>
      <c r="J1506" t="s" s="2">
        <v>5933</v>
      </c>
      <c r="K1506" t="s" s="2">
        <v>22</v>
      </c>
      <c r="L1506" t="s" s="2">
        <v>22</v>
      </c>
      <c r="M1506" t="s" s="2">
        <v>22</v>
      </c>
    </row>
    <row r="1507" ht="25.0" customHeight="true">
      <c r="A1507" t="s" s="2">
        <v>13</v>
      </c>
      <c r="B1507" t="s" s="2">
        <f>HYPERLINK("http://ts.21cn.com/tousu/show/id/1372514","拉卡拉无缘冻结资金180天")</f>
      </c>
      <c r="C1507" t="s" s="2">
        <v>15</v>
      </c>
      <c r="D1507" t="s" s="2">
        <v>16</v>
      </c>
      <c r="E1507" t="s" s="2">
        <v>17</v>
      </c>
      <c r="F1507" t="s" s="2">
        <f>HYPERLINK("http://ts.21cn.com/tousu/show/id/1372514","http://ts.21cn.com/tousu/show/id/1372514")</f>
      </c>
      <c r="G1507" t="s" s="2">
        <v>17</v>
      </c>
      <c r="H1507" t="s" s="2">
        <v>19</v>
      </c>
      <c r="I1507" t="s" s="2">
        <v>5936</v>
      </c>
      <c r="J1507" t="s" s="2">
        <v>5937</v>
      </c>
      <c r="K1507" t="s" s="2">
        <v>22</v>
      </c>
      <c r="L1507" t="s" s="2">
        <v>22</v>
      </c>
      <c r="M1507" t="s" s="2">
        <v>22</v>
      </c>
    </row>
    <row r="1508" ht="25.0" customHeight="true">
      <c r="A1508" t="s" s="2">
        <v>13</v>
      </c>
      <c r="B1508" t="s" s="2">
        <f>HYPERLINK("http://ts.21cn.com/tousu/show/id/1372513","在淘集集的2000元保证金退不了")</f>
      </c>
      <c r="C1508" t="s" s="2">
        <v>15</v>
      </c>
      <c r="D1508" t="s" s="2">
        <v>16</v>
      </c>
      <c r="E1508" t="s" s="2">
        <v>17</v>
      </c>
      <c r="F1508" t="s" s="2">
        <f>HYPERLINK("http://ts.21cn.com/tousu/show/id/1372513","http://ts.21cn.com/tousu/show/id/1372513")</f>
      </c>
      <c r="G1508" t="s" s="2">
        <v>17</v>
      </c>
      <c r="H1508" t="s" s="2">
        <v>19</v>
      </c>
      <c r="I1508" t="s" s="2">
        <v>5940</v>
      </c>
      <c r="J1508" t="s" s="2">
        <v>5941</v>
      </c>
      <c r="K1508" t="s" s="2">
        <v>22</v>
      </c>
      <c r="L1508" t="s" s="2">
        <v>22</v>
      </c>
      <c r="M1508" t="s" s="2">
        <v>22</v>
      </c>
    </row>
    <row r="1509" ht="25.0" customHeight="true">
      <c r="A1509" t="s" s="2">
        <v>13</v>
      </c>
      <c r="B1509" t="s" s="2">
        <f>HYPERLINK("http://ts.21cn.com/tousu/show/id/1372511","闪银app交担保金然后再借款")</f>
      </c>
      <c r="C1509" t="s" s="2">
        <v>15</v>
      </c>
      <c r="D1509" t="s" s="2">
        <v>16</v>
      </c>
      <c r="E1509" t="s" s="2">
        <v>17</v>
      </c>
      <c r="F1509" t="s" s="2">
        <f>HYPERLINK("http://ts.21cn.com/tousu/show/id/1372511","http://ts.21cn.com/tousu/show/id/1372511")</f>
      </c>
      <c r="G1509" t="s" s="2">
        <v>17</v>
      </c>
      <c r="H1509" t="s" s="2">
        <v>19</v>
      </c>
      <c r="I1509" t="s" s="2">
        <v>5944</v>
      </c>
      <c r="J1509" t="s" s="2">
        <v>5945</v>
      </c>
      <c r="K1509" t="s" s="2">
        <v>22</v>
      </c>
      <c r="L1509" t="s" s="2">
        <v>22</v>
      </c>
      <c r="M1509" t="s" s="2">
        <v>22</v>
      </c>
    </row>
    <row r="1510" ht="25.0" customHeight="true">
      <c r="A1510" t="s" s="2">
        <v>13</v>
      </c>
      <c r="B1510" t="s" s="2">
        <f>HYPERLINK("http://ts.21cn.com/tousu/show/id/1372512","国庆组队奖励力为什么不发放")</f>
      </c>
      <c r="C1510" t="s" s="2">
        <v>15</v>
      </c>
      <c r="D1510" t="s" s="2">
        <v>16</v>
      </c>
      <c r="E1510" t="s" s="2">
        <v>17</v>
      </c>
      <c r="F1510" t="s" s="2">
        <f>HYPERLINK("http://ts.21cn.com/tousu/show/id/1372512","http://ts.21cn.com/tousu/show/id/1372512")</f>
      </c>
      <c r="G1510" t="s" s="2">
        <v>17</v>
      </c>
      <c r="H1510" t="s" s="2">
        <v>19</v>
      </c>
      <c r="I1510" t="s" s="2">
        <v>5948</v>
      </c>
      <c r="J1510" t="s" s="2">
        <v>5949</v>
      </c>
      <c r="K1510" t="s" s="2">
        <v>22</v>
      </c>
      <c r="L1510" t="s" s="2">
        <v>22</v>
      </c>
      <c r="M1510" t="s" s="2">
        <v>22</v>
      </c>
    </row>
    <row r="1511" ht="25.0" customHeight="true">
      <c r="A1511" t="s" s="2">
        <v>13</v>
      </c>
      <c r="B1511" t="s" s="2">
        <f>HYPERLINK("http://ts.21cn.com/tousu/show/id/1372509","套路贷")</f>
      </c>
      <c r="C1511" t="s" s="2">
        <v>15</v>
      </c>
      <c r="D1511" t="s" s="2">
        <v>16</v>
      </c>
      <c r="E1511" t="s" s="2">
        <v>17</v>
      </c>
      <c r="F1511" t="s" s="2">
        <f>HYPERLINK("http://ts.21cn.com/tousu/show/id/1372509","http://ts.21cn.com/tousu/show/id/1372509")</f>
      </c>
      <c r="G1511" t="s" s="2">
        <v>17</v>
      </c>
      <c r="H1511" t="s" s="2">
        <v>19</v>
      </c>
      <c r="I1511" t="s" s="2">
        <v>5951</v>
      </c>
      <c r="J1511" t="s" s="2">
        <v>5952</v>
      </c>
      <c r="K1511" t="s" s="2">
        <v>22</v>
      </c>
      <c r="L1511" t="s" s="2">
        <v>22</v>
      </c>
      <c r="M1511" t="s" s="2">
        <v>22</v>
      </c>
    </row>
    <row r="1512" ht="25.0" customHeight="true">
      <c r="A1512" t="s" s="2">
        <v>13</v>
      </c>
      <c r="B1512" t="s" s="2">
        <f>HYPERLINK("http://ts.21cn.com/tousu/show/id/1372508","拍拍贷爆通讯录暴力催收")</f>
      </c>
      <c r="C1512" t="s" s="2">
        <v>15</v>
      </c>
      <c r="D1512" t="s" s="2">
        <v>16</v>
      </c>
      <c r="E1512" t="s" s="2">
        <v>17</v>
      </c>
      <c r="F1512" t="s" s="2">
        <f>HYPERLINK("http://ts.21cn.com/tousu/show/id/1372508","http://ts.21cn.com/tousu/show/id/1372508")</f>
      </c>
      <c r="G1512" t="s" s="2">
        <v>17</v>
      </c>
      <c r="H1512" t="s" s="2">
        <v>19</v>
      </c>
      <c r="I1512" t="s" s="2">
        <v>5955</v>
      </c>
      <c r="J1512" t="s" s="2">
        <v>5956</v>
      </c>
      <c r="K1512" t="s" s="2">
        <v>22</v>
      </c>
      <c r="L1512" t="s" s="2">
        <v>22</v>
      </c>
      <c r="M1512" t="s" s="2">
        <v>22</v>
      </c>
    </row>
    <row r="1513" ht="25.0" customHeight="true">
      <c r="A1513" t="s" s="2">
        <v>13</v>
      </c>
      <c r="B1513" t="s" s="2">
        <f>HYPERLINK("http://ts.21cn.com/tousu/show/id/1372501","京东商户平台")</f>
      </c>
      <c r="C1513" t="s" s="2">
        <v>52</v>
      </c>
      <c r="D1513" t="s" s="2">
        <v>16</v>
      </c>
      <c r="E1513" t="s" s="2">
        <v>17</v>
      </c>
      <c r="F1513" t="s" s="2">
        <f>HYPERLINK("http://ts.21cn.com/tousu/show/id/1372501","http://ts.21cn.com/tousu/show/id/1372501")</f>
      </c>
      <c r="G1513" t="s" s="2">
        <v>17</v>
      </c>
      <c r="H1513" t="s" s="2">
        <v>19</v>
      </c>
      <c r="I1513" t="s" s="2">
        <v>5959</v>
      </c>
      <c r="J1513" t="s" s="2">
        <v>5960</v>
      </c>
      <c r="K1513" t="s" s="2">
        <v>22</v>
      </c>
      <c r="L1513" t="s" s="2">
        <v>22</v>
      </c>
      <c r="M1513" t="s" s="2">
        <v>22</v>
      </c>
    </row>
    <row r="1514" ht="25.0" customHeight="true">
      <c r="A1514" t="s" s="2">
        <v>13</v>
      </c>
      <c r="B1514" t="s" s="2">
        <f>HYPERLINK("http://ts.21cn.com/tousu/show/id/1372506","玖富高利贷")</f>
      </c>
      <c r="C1514" t="s" s="2">
        <v>15</v>
      </c>
      <c r="D1514" t="s" s="2">
        <v>16</v>
      </c>
      <c r="E1514" t="s" s="2">
        <v>17</v>
      </c>
      <c r="F1514" t="s" s="2">
        <f>HYPERLINK("http://ts.21cn.com/tousu/show/id/1372506","http://ts.21cn.com/tousu/show/id/1372506")</f>
      </c>
      <c r="G1514" t="s" s="2">
        <v>17</v>
      </c>
      <c r="H1514" t="s" s="2">
        <v>19</v>
      </c>
      <c r="I1514" t="s" s="2">
        <v>5962</v>
      </c>
      <c r="J1514" t="s" s="2">
        <v>5963</v>
      </c>
      <c r="K1514" t="s" s="2">
        <v>22</v>
      </c>
      <c r="L1514" t="s" s="2">
        <v>22</v>
      </c>
      <c r="M1514" t="s" s="2">
        <v>22</v>
      </c>
    </row>
    <row r="1515" ht="25.0" customHeight="true">
      <c r="A1515" t="s" s="2">
        <v>13</v>
      </c>
      <c r="B1515" t="s" s="2">
        <f>HYPERLINK("http://ts.21cn.com/tousu/show/id/1372505","电话骚扰")</f>
      </c>
      <c r="C1515" t="s" s="2">
        <v>15</v>
      </c>
      <c r="D1515" t="s" s="2">
        <v>16</v>
      </c>
      <c r="E1515" t="s" s="2">
        <v>17</v>
      </c>
      <c r="F1515" t="s" s="2">
        <f>HYPERLINK("http://ts.21cn.com/tousu/show/id/1372505","http://ts.21cn.com/tousu/show/id/1372505")</f>
      </c>
      <c r="G1515" t="s" s="2">
        <v>17</v>
      </c>
      <c r="H1515" t="s" s="2">
        <v>19</v>
      </c>
      <c r="I1515" t="s" s="2">
        <v>5966</v>
      </c>
      <c r="J1515" t="s" s="2">
        <v>5967</v>
      </c>
      <c r="K1515" t="s" s="2">
        <v>22</v>
      </c>
      <c r="L1515" t="s" s="2">
        <v>22</v>
      </c>
      <c r="M1515" t="s" s="2">
        <v>22</v>
      </c>
    </row>
    <row r="1516" ht="25.0" customHeight="true">
      <c r="A1516" t="s" s="2">
        <v>13</v>
      </c>
      <c r="B1516" t="s" s="2">
        <f>HYPERLINK("http://ts.21cn.com/tousu/show/id/1372504","希望有关部门取缔无故扣款平台")</f>
      </c>
      <c r="C1516" t="s" s="2">
        <v>15</v>
      </c>
      <c r="D1516" t="s" s="2">
        <v>16</v>
      </c>
      <c r="E1516" t="s" s="2">
        <v>17</v>
      </c>
      <c r="F1516" t="s" s="2">
        <f>HYPERLINK("http://ts.21cn.com/tousu/show/id/1372504","http://ts.21cn.com/tousu/show/id/1372504")</f>
      </c>
      <c r="G1516" t="s" s="2">
        <v>17</v>
      </c>
      <c r="H1516" t="s" s="2">
        <v>19</v>
      </c>
      <c r="I1516" t="s" s="2">
        <v>5970</v>
      </c>
      <c r="J1516" t="s" s="2">
        <v>5971</v>
      </c>
      <c r="K1516" t="s" s="2">
        <v>22</v>
      </c>
      <c r="L1516" t="s" s="2">
        <v>22</v>
      </c>
      <c r="M1516" t="s" s="2">
        <v>22</v>
      </c>
    </row>
    <row r="1517" ht="25.0" customHeight="true">
      <c r="A1517" t="s" s="2">
        <v>13</v>
      </c>
      <c r="B1517" t="s" s="2">
        <f>HYPERLINK("http://ts.21cn.com/tousu/show/id/1372503","爆通讯录")</f>
      </c>
      <c r="C1517" t="s" s="2">
        <v>15</v>
      </c>
      <c r="D1517" t="s" s="2">
        <v>16</v>
      </c>
      <c r="E1517" t="s" s="2">
        <v>17</v>
      </c>
      <c r="F1517" t="s" s="2">
        <f>HYPERLINK("http://ts.21cn.com/tousu/show/id/1372503","http://ts.21cn.com/tousu/show/id/1372503")</f>
      </c>
      <c r="G1517" t="s" s="2">
        <v>17</v>
      </c>
      <c r="H1517" t="s" s="2">
        <v>19</v>
      </c>
      <c r="I1517" t="s" s="2">
        <v>5973</v>
      </c>
      <c r="J1517" t="s" s="2">
        <v>5974</v>
      </c>
      <c r="K1517" t="s" s="2">
        <v>22</v>
      </c>
      <c r="L1517" t="s" s="2">
        <v>22</v>
      </c>
      <c r="M1517" t="s" s="2">
        <v>22</v>
      </c>
    </row>
    <row r="1518" ht="25.0" customHeight="true">
      <c r="A1518" t="s" s="2">
        <v>13</v>
      </c>
      <c r="B1518" t="s" s="2">
        <f>HYPERLINK("http://ts.21cn.com/tousu/show/id/1372502","投诉宜信公司，砍头息，高利贷，暴力催收，恐吓")</f>
      </c>
      <c r="C1518" t="s" s="2">
        <v>15</v>
      </c>
      <c r="D1518" t="s" s="2">
        <v>16</v>
      </c>
      <c r="E1518" t="s" s="2">
        <v>17</v>
      </c>
      <c r="F1518" t="s" s="2">
        <f>HYPERLINK("http://ts.21cn.com/tousu/show/id/1372502","http://ts.21cn.com/tousu/show/id/1372502")</f>
      </c>
      <c r="G1518" t="s" s="2">
        <v>17</v>
      </c>
      <c r="H1518" t="s" s="2">
        <v>19</v>
      </c>
      <c r="I1518" t="s" s="2">
        <v>5977</v>
      </c>
      <c r="J1518" t="s" s="2">
        <v>5978</v>
      </c>
      <c r="K1518" t="s" s="2">
        <v>22</v>
      </c>
      <c r="L1518" t="s" s="2">
        <v>22</v>
      </c>
      <c r="M1518" t="s" s="2">
        <v>22</v>
      </c>
    </row>
    <row r="1519" ht="25.0" customHeight="true">
      <c r="A1519" t="s" s="2">
        <v>13</v>
      </c>
      <c r="B1519" t="s" s="2">
        <f>HYPERLINK("http://ts.21cn.com/tousu/show/id/1372500","立借高利贷，暴力催收，协商全额还款不同意")</f>
      </c>
      <c r="C1519" t="s" s="2">
        <v>15</v>
      </c>
      <c r="D1519" t="s" s="2">
        <v>16</v>
      </c>
      <c r="E1519" t="s" s="2">
        <v>17</v>
      </c>
      <c r="F1519" t="s" s="2">
        <f>HYPERLINK("http://ts.21cn.com/tousu/show/id/1372500","http://ts.21cn.com/tousu/show/id/1372500")</f>
      </c>
      <c r="G1519" t="s" s="2">
        <v>17</v>
      </c>
      <c r="H1519" t="s" s="2">
        <v>19</v>
      </c>
      <c r="I1519" t="s" s="2">
        <v>5981</v>
      </c>
      <c r="J1519" t="s" s="2">
        <v>5982</v>
      </c>
      <c r="K1519" t="s" s="2">
        <v>22</v>
      </c>
      <c r="L1519" t="s" s="2">
        <v>22</v>
      </c>
      <c r="M1519" t="s" s="2">
        <v>22</v>
      </c>
    </row>
    <row r="1520" ht="25.0" customHeight="true">
      <c r="A1520" t="s" s="2">
        <v>13</v>
      </c>
      <c r="B1520" t="s" s="2">
        <f>HYPERLINK("http://ts.21cn.com/tousu/show/id/1372499","请不要打电话发信息骚扰亲朋好友。")</f>
      </c>
      <c r="C1520" t="s" s="2">
        <v>15</v>
      </c>
      <c r="D1520" t="s" s="2">
        <v>16</v>
      </c>
      <c r="E1520" t="s" s="2">
        <v>17</v>
      </c>
      <c r="F1520" t="s" s="2">
        <f>HYPERLINK("http://ts.21cn.com/tousu/show/id/1372499","http://ts.21cn.com/tousu/show/id/1372499")</f>
      </c>
      <c r="G1520" t="s" s="2">
        <v>17</v>
      </c>
      <c r="H1520" t="s" s="2">
        <v>19</v>
      </c>
      <c r="I1520" t="s" s="2">
        <v>5985</v>
      </c>
      <c r="J1520" t="s" s="2">
        <v>5986</v>
      </c>
      <c r="K1520" t="s" s="2">
        <v>22</v>
      </c>
      <c r="L1520" t="s" s="2">
        <v>22</v>
      </c>
      <c r="M1520" t="s" s="2">
        <v>22</v>
      </c>
    </row>
    <row r="1521" ht="25.0" customHeight="true">
      <c r="A1521" t="s" s="2">
        <v>13</v>
      </c>
      <c r="B1521" t="s" s="2">
        <f>HYPERLINK("http://ts.21cn.com/tousu/show/id/1372498","吃清食会腐臭鸡肉肠拉肚子")</f>
      </c>
      <c r="C1521" t="s" s="2">
        <v>15</v>
      </c>
      <c r="D1521" t="s" s="2">
        <v>16</v>
      </c>
      <c r="E1521" t="s" s="2">
        <v>17</v>
      </c>
      <c r="F1521" t="s" s="2">
        <f>HYPERLINK("http://ts.21cn.com/tousu/show/id/1372498","http://ts.21cn.com/tousu/show/id/1372498")</f>
      </c>
      <c r="G1521" t="s" s="2">
        <v>17</v>
      </c>
      <c r="H1521" t="s" s="2">
        <v>19</v>
      </c>
      <c r="I1521" t="s" s="2">
        <v>5989</v>
      </c>
      <c r="J1521" t="s" s="2">
        <v>5990</v>
      </c>
      <c r="K1521" t="s" s="2">
        <v>22</v>
      </c>
      <c r="L1521" t="s" s="2">
        <v>22</v>
      </c>
      <c r="M1521" t="s" s="2">
        <v>22</v>
      </c>
    </row>
    <row r="1522" ht="25.0" customHeight="true">
      <c r="A1522" t="s" s="2">
        <v>13</v>
      </c>
      <c r="B1522" t="s" s="2">
        <f>HYPERLINK("http://ts.21cn.com/tousu/show/id/1372497","举报数来宝砍头息")</f>
      </c>
      <c r="C1522" t="s" s="2">
        <v>15</v>
      </c>
      <c r="D1522" t="s" s="2">
        <v>16</v>
      </c>
      <c r="E1522" t="s" s="2">
        <v>17</v>
      </c>
      <c r="F1522" t="s" s="2">
        <f>HYPERLINK("http://ts.21cn.com/tousu/show/id/1372497","http://ts.21cn.com/tousu/show/id/1372497")</f>
      </c>
      <c r="G1522" t="s" s="2">
        <v>17</v>
      </c>
      <c r="H1522" t="s" s="2">
        <v>19</v>
      </c>
      <c r="I1522" t="s" s="2">
        <v>5993</v>
      </c>
      <c r="J1522" t="s" s="2">
        <v>5994</v>
      </c>
      <c r="K1522" t="s" s="2">
        <v>22</v>
      </c>
      <c r="L1522" t="s" s="2">
        <v>22</v>
      </c>
      <c r="M1522" t="s" s="2">
        <v>22</v>
      </c>
    </row>
    <row r="1523" ht="25.0" customHeight="true">
      <c r="A1523" t="s" s="2">
        <v>13</v>
      </c>
      <c r="B1523" t="s" s="2">
        <f>HYPERLINK("http://ts.21cn.com/tousu/show/id/1372496","代练商家入驻金")</f>
      </c>
      <c r="C1523" t="s" s="2">
        <v>15</v>
      </c>
      <c r="D1523" t="s" s="2">
        <v>16</v>
      </c>
      <c r="E1523" t="s" s="2">
        <v>17</v>
      </c>
      <c r="F1523" t="s" s="2">
        <f>HYPERLINK("http://ts.21cn.com/tousu/show/id/1372496","http://ts.21cn.com/tousu/show/id/1372496")</f>
      </c>
      <c r="G1523" t="s" s="2">
        <v>17</v>
      </c>
      <c r="H1523" t="s" s="2">
        <v>19</v>
      </c>
      <c r="I1523" t="s" s="2">
        <v>5997</v>
      </c>
      <c r="J1523" t="s" s="2">
        <v>5998</v>
      </c>
      <c r="K1523" t="s" s="2">
        <v>22</v>
      </c>
      <c r="L1523" t="s" s="2">
        <v>22</v>
      </c>
      <c r="M1523" t="s" s="2">
        <v>22</v>
      </c>
    </row>
    <row r="1524" ht="25.0" customHeight="true">
      <c r="A1524" t="s" s="2">
        <v>13</v>
      </c>
      <c r="B1524" t="s" s="2">
        <f>HYPERLINK("http://ts.21cn.com/tousu/show/id/1372495","武汉聚狮霸权欺瞒消费者")</f>
      </c>
      <c r="C1524" t="s" s="2">
        <v>15</v>
      </c>
      <c r="D1524" t="s" s="2">
        <v>16</v>
      </c>
      <c r="E1524" t="s" s="2">
        <v>17</v>
      </c>
      <c r="F1524" t="s" s="2">
        <f>HYPERLINK("http://ts.21cn.com/tousu/show/id/1372495","http://ts.21cn.com/tousu/show/id/1372495")</f>
      </c>
      <c r="G1524" t="s" s="2">
        <v>17</v>
      </c>
      <c r="H1524" t="s" s="2">
        <v>19</v>
      </c>
      <c r="I1524" t="s" s="2">
        <v>6001</v>
      </c>
      <c r="J1524" t="s" s="2">
        <v>6002</v>
      </c>
      <c r="K1524" t="s" s="2">
        <v>22</v>
      </c>
      <c r="L1524" t="s" s="2">
        <v>22</v>
      </c>
      <c r="M1524" t="s" s="2">
        <v>22</v>
      </c>
    </row>
    <row r="1525" ht="25.0" customHeight="true">
      <c r="A1525" t="s" s="2">
        <v>13</v>
      </c>
      <c r="B1525" t="s" s="2">
        <f>HYPERLINK("http://ts.21cn.com/tousu/show/id/1372493","网络赌博提款取不出来")</f>
      </c>
      <c r="C1525" t="s" s="2">
        <v>15</v>
      </c>
      <c r="D1525" t="s" s="2">
        <v>16</v>
      </c>
      <c r="E1525" t="s" s="2">
        <v>17</v>
      </c>
      <c r="F1525" t="s" s="2">
        <f>HYPERLINK("http://ts.21cn.com/tousu/show/id/1372493","http://ts.21cn.com/tousu/show/id/1372493")</f>
      </c>
      <c r="G1525" t="s" s="2">
        <v>17</v>
      </c>
      <c r="H1525" t="s" s="2">
        <v>19</v>
      </c>
      <c r="I1525" t="s" s="2">
        <v>6005</v>
      </c>
      <c r="J1525" t="s" s="2">
        <v>6006</v>
      </c>
      <c r="K1525" t="s" s="2">
        <v>22</v>
      </c>
      <c r="L1525" t="s" s="2">
        <v>22</v>
      </c>
      <c r="M1525" t="s" s="2">
        <v>22</v>
      </c>
    </row>
    <row r="1526" ht="25.0" customHeight="true">
      <c r="A1526" t="s" s="2">
        <v>13</v>
      </c>
      <c r="B1526" t="s" s="2">
        <f>HYPERLINK("http://ts.21cn.com/tousu/show/id/1372494","钱站用网络电话骚扰我朋友")</f>
      </c>
      <c r="C1526" t="s" s="2">
        <v>15</v>
      </c>
      <c r="D1526" t="s" s="2">
        <v>16</v>
      </c>
      <c r="E1526" t="s" s="2">
        <v>17</v>
      </c>
      <c r="F1526" t="s" s="2">
        <f>HYPERLINK("http://ts.21cn.com/tousu/show/id/1372494","http://ts.21cn.com/tousu/show/id/1372494")</f>
      </c>
      <c r="G1526" t="s" s="2">
        <v>17</v>
      </c>
      <c r="H1526" t="s" s="2">
        <v>19</v>
      </c>
      <c r="I1526" t="s" s="2">
        <v>6009</v>
      </c>
      <c r="J1526" t="s" s="2">
        <v>6010</v>
      </c>
      <c r="K1526" t="s" s="2">
        <v>22</v>
      </c>
      <c r="L1526" t="s" s="2">
        <v>22</v>
      </c>
      <c r="M1526" t="s" s="2">
        <v>22</v>
      </c>
    </row>
    <row r="1527" ht="25.0" customHeight="true">
      <c r="A1527" t="s" s="2">
        <v>13</v>
      </c>
      <c r="B1527" t="s" s="2">
        <f>HYPERLINK("http://ts.21cn.com/tousu/show/id/1372492","利息太高")</f>
      </c>
      <c r="C1527" t="s" s="2">
        <v>15</v>
      </c>
      <c r="D1527" t="s" s="2">
        <v>16</v>
      </c>
      <c r="E1527" t="s" s="2">
        <v>17</v>
      </c>
      <c r="F1527" t="s" s="2">
        <f>HYPERLINK("http://ts.21cn.com/tousu/show/id/1372492","http://ts.21cn.com/tousu/show/id/1372492")</f>
      </c>
      <c r="G1527" t="s" s="2">
        <v>17</v>
      </c>
      <c r="H1527" t="s" s="2">
        <v>19</v>
      </c>
      <c r="I1527" t="s" s="2">
        <v>6012</v>
      </c>
      <c r="J1527" t="s" s="2">
        <v>6013</v>
      </c>
      <c r="K1527" t="s" s="2">
        <v>22</v>
      </c>
      <c r="L1527" t="s" s="2">
        <v>22</v>
      </c>
      <c r="M1527" t="s" s="2">
        <v>22</v>
      </c>
    </row>
    <row r="1528" ht="25.0" customHeight="true">
      <c r="A1528" t="s" s="2">
        <v>13</v>
      </c>
      <c r="B1528" t="s" s="2">
        <f>HYPERLINK("http://ts.21cn.com/tousu/show/id/1372491","钱站丧尽天良")</f>
      </c>
      <c r="C1528" t="s" s="2">
        <v>15</v>
      </c>
      <c r="D1528" t="s" s="2">
        <v>16</v>
      </c>
      <c r="E1528" t="s" s="2">
        <v>17</v>
      </c>
      <c r="F1528" t="s" s="2">
        <f>HYPERLINK("http://ts.21cn.com/tousu/show/id/1372491","http://ts.21cn.com/tousu/show/id/1372491")</f>
      </c>
      <c r="G1528" t="s" s="2">
        <v>17</v>
      </c>
      <c r="H1528" t="s" s="2">
        <v>19</v>
      </c>
      <c r="I1528" t="s" s="2">
        <v>6016</v>
      </c>
      <c r="J1528" t="s" s="2">
        <v>6017</v>
      </c>
      <c r="K1528" t="s" s="2">
        <v>22</v>
      </c>
      <c r="L1528" t="s" s="2">
        <v>22</v>
      </c>
      <c r="M1528" t="s" s="2">
        <v>22</v>
      </c>
    </row>
    <row r="1529" ht="25.0" customHeight="true">
      <c r="A1529" t="s" s="2">
        <v>13</v>
      </c>
      <c r="B1529" t="s" s="2">
        <f>HYPERLINK("http://ts.21cn.com/tousu/show/id/1372490","微信转账")</f>
      </c>
      <c r="C1529" t="s" s="2">
        <v>15</v>
      </c>
      <c r="D1529" t="s" s="2">
        <v>16</v>
      </c>
      <c r="E1529" t="s" s="2">
        <v>17</v>
      </c>
      <c r="F1529" t="s" s="2">
        <f>HYPERLINK("http://ts.21cn.com/tousu/show/id/1372490","http://ts.21cn.com/tousu/show/id/1372490")</f>
      </c>
      <c r="G1529" t="s" s="2">
        <v>17</v>
      </c>
      <c r="H1529" t="s" s="2">
        <v>19</v>
      </c>
      <c r="I1529" t="s" s="2">
        <v>6020</v>
      </c>
      <c r="J1529" t="s" s="2">
        <v>6021</v>
      </c>
      <c r="K1529" t="s" s="2">
        <v>22</v>
      </c>
      <c r="L1529" t="s" s="2">
        <v>22</v>
      </c>
      <c r="M1529" t="s" s="2">
        <v>22</v>
      </c>
    </row>
    <row r="1530" ht="25.0" customHeight="true">
      <c r="A1530" t="s" s="2">
        <v>13</v>
      </c>
      <c r="B1530" t="s" s="2">
        <f>HYPERLINK("http://ts.21cn.com/tousu/show/id/1372489","YY驾校退学扣费不合理")</f>
      </c>
      <c r="C1530" t="s" s="2">
        <v>15</v>
      </c>
      <c r="D1530" t="s" s="2">
        <v>16</v>
      </c>
      <c r="E1530" t="s" s="2">
        <v>17</v>
      </c>
      <c r="F1530" t="s" s="2">
        <f>HYPERLINK("http://ts.21cn.com/tousu/show/id/1372489","http://ts.21cn.com/tousu/show/id/1372489")</f>
      </c>
      <c r="G1530" t="s" s="2">
        <v>17</v>
      </c>
      <c r="H1530" t="s" s="2">
        <v>19</v>
      </c>
      <c r="I1530" t="s" s="2">
        <v>6024</v>
      </c>
      <c r="J1530" t="s" s="2">
        <v>6025</v>
      </c>
      <c r="K1530" t="s" s="2">
        <v>22</v>
      </c>
      <c r="L1530" t="s" s="2">
        <v>22</v>
      </c>
      <c r="M1530" t="s" s="2">
        <v>22</v>
      </c>
    </row>
    <row r="1531" ht="25.0" customHeight="true">
      <c r="A1531" t="s" s="2">
        <v>13</v>
      </c>
      <c r="B1531" t="s" s="2">
        <f>HYPERLINK("http://ts.21cn.com/tousu/show/id/1372488","星管家恶意冻结商户资金")</f>
      </c>
      <c r="C1531" t="s" s="2">
        <v>15</v>
      </c>
      <c r="D1531" t="s" s="2">
        <v>16</v>
      </c>
      <c r="E1531" t="s" s="2">
        <v>17</v>
      </c>
      <c r="F1531" t="s" s="2">
        <f>HYPERLINK("http://ts.21cn.com/tousu/show/id/1372488","http://ts.21cn.com/tousu/show/id/1372488")</f>
      </c>
      <c r="G1531" t="s" s="2">
        <v>17</v>
      </c>
      <c r="H1531" t="s" s="2">
        <v>19</v>
      </c>
      <c r="I1531" t="s" s="2">
        <v>6028</v>
      </c>
      <c r="J1531" t="s" s="2">
        <v>6029</v>
      </c>
      <c r="K1531" t="s" s="2">
        <v>22</v>
      </c>
      <c r="L1531" t="s" s="2">
        <v>22</v>
      </c>
      <c r="M1531" t="s" s="2">
        <v>22</v>
      </c>
    </row>
    <row r="1532" ht="25.0" customHeight="true">
      <c r="A1532" t="s" s="2">
        <v>13</v>
      </c>
      <c r="B1532" t="s" s="2">
        <f>HYPERLINK("http://ts.21cn.com/tousu/show/id/1372485","浙江丽水市莲都区工商行政管理局失职渎职玩忽职守")</f>
      </c>
      <c r="C1532" t="s" s="2">
        <v>15</v>
      </c>
      <c r="D1532" t="s" s="2">
        <v>16</v>
      </c>
      <c r="E1532" t="s" s="2">
        <v>17</v>
      </c>
      <c r="F1532" t="s" s="2">
        <f>HYPERLINK("http://ts.21cn.com/tousu/show/id/1372485","http://ts.21cn.com/tousu/show/id/1372485")</f>
      </c>
      <c r="G1532" t="s" s="2">
        <v>17</v>
      </c>
      <c r="H1532" t="s" s="2">
        <v>19</v>
      </c>
      <c r="I1532" t="s" s="2">
        <v>6032</v>
      </c>
      <c r="J1532" t="s" s="2">
        <v>6033</v>
      </c>
      <c r="K1532" t="s" s="2">
        <v>22</v>
      </c>
      <c r="L1532" t="s" s="2">
        <v>22</v>
      </c>
      <c r="M1532" t="s" s="2">
        <v>22</v>
      </c>
    </row>
    <row r="1533" ht="25.0" customHeight="true">
      <c r="A1533" t="s" s="2">
        <v>13</v>
      </c>
      <c r="B1533" t="s" s="2">
        <f>HYPERLINK("http://ts.21cn.com/tousu/show/id/1372487","联动云")</f>
      </c>
      <c r="C1533" t="s" s="2">
        <v>15</v>
      </c>
      <c r="D1533" t="s" s="2">
        <v>16</v>
      </c>
      <c r="E1533" t="s" s="2">
        <v>17</v>
      </c>
      <c r="F1533" t="s" s="2">
        <f>HYPERLINK("http://ts.21cn.com/tousu/show/id/1372487","http://ts.21cn.com/tousu/show/id/1372487")</f>
      </c>
      <c r="G1533" t="s" s="2">
        <v>17</v>
      </c>
      <c r="H1533" t="s" s="2">
        <v>19</v>
      </c>
      <c r="I1533" t="s" s="2">
        <v>6036</v>
      </c>
      <c r="J1533" t="s" s="2">
        <v>6037</v>
      </c>
      <c r="K1533" t="s" s="2">
        <v>22</v>
      </c>
      <c r="L1533" t="s" s="2">
        <v>22</v>
      </c>
      <c r="M1533" t="s" s="2">
        <v>22</v>
      </c>
    </row>
    <row r="1534" ht="25.0" customHeight="true">
      <c r="A1534" t="s" s="2">
        <v>13</v>
      </c>
      <c r="B1534" t="s" s="2">
        <f>HYPERLINK("http://ts.21cn.com/tousu/show/id/1372486","小花钱包暴力催收，威胁")</f>
      </c>
      <c r="C1534" t="s" s="2">
        <v>15</v>
      </c>
      <c r="D1534" t="s" s="2">
        <v>16</v>
      </c>
      <c r="E1534" t="s" s="2">
        <v>17</v>
      </c>
      <c r="F1534" t="s" s="2">
        <f>HYPERLINK("http://ts.21cn.com/tousu/show/id/1372486","http://ts.21cn.com/tousu/show/id/1372486")</f>
      </c>
      <c r="G1534" t="s" s="2">
        <v>17</v>
      </c>
      <c r="H1534" t="s" s="2">
        <v>19</v>
      </c>
      <c r="I1534" t="s" s="2">
        <v>6040</v>
      </c>
      <c r="J1534" t="s" s="2">
        <v>6041</v>
      </c>
      <c r="K1534" t="s" s="2">
        <v>22</v>
      </c>
      <c r="L1534" t="s" s="2">
        <v>22</v>
      </c>
      <c r="M1534" t="s" s="2">
        <v>22</v>
      </c>
    </row>
    <row r="1535" ht="25.0" customHeight="true">
      <c r="A1535" t="s" s="2">
        <v>13</v>
      </c>
      <c r="B1535" t="s" s="2">
        <f>HYPERLINK("http://ts.21cn.com/tousu/show/id/1372484","玖富贷审核成功后，需要先支付工本费，人工费，才可下款")</f>
      </c>
      <c r="C1535" t="s" s="2">
        <v>15</v>
      </c>
      <c r="D1535" t="s" s="2">
        <v>16</v>
      </c>
      <c r="E1535" t="s" s="2">
        <v>17</v>
      </c>
      <c r="F1535" t="s" s="2">
        <f>HYPERLINK("http://ts.21cn.com/tousu/show/id/1372484","http://ts.21cn.com/tousu/show/id/1372484")</f>
      </c>
      <c r="G1535" t="s" s="2">
        <v>17</v>
      </c>
      <c r="H1535" t="s" s="2">
        <v>19</v>
      </c>
      <c r="I1535" t="s" s="2">
        <v>6044</v>
      </c>
      <c r="J1535" t="s" s="2">
        <v>6045</v>
      </c>
      <c r="K1535" t="s" s="2">
        <v>22</v>
      </c>
      <c r="L1535" t="s" s="2">
        <v>22</v>
      </c>
      <c r="M1535" t="s" s="2">
        <v>22</v>
      </c>
    </row>
    <row r="1536" ht="25.0" customHeight="true">
      <c r="A1536" t="s" s="2">
        <v>13</v>
      </c>
      <c r="B1536" t="s" s="2">
        <f>HYPERLINK("http://ts.21cn.com/tousu/show/id/1372483","曝光信用飞信用星球强制购买保险费收取砍头息")</f>
      </c>
      <c r="C1536" t="s" s="2">
        <v>15</v>
      </c>
      <c r="D1536" t="s" s="2">
        <v>16</v>
      </c>
      <c r="E1536" t="s" s="2">
        <v>17</v>
      </c>
      <c r="F1536" t="s" s="2">
        <f>HYPERLINK("http://ts.21cn.com/tousu/show/id/1372483","http://ts.21cn.com/tousu/show/id/1372483")</f>
      </c>
      <c r="G1536" t="s" s="2">
        <v>17</v>
      </c>
      <c r="H1536" t="s" s="2">
        <v>19</v>
      </c>
      <c r="I1536" t="s" s="2">
        <v>6048</v>
      </c>
      <c r="J1536" t="s" s="2">
        <v>6049</v>
      </c>
      <c r="K1536" t="s" s="2">
        <v>22</v>
      </c>
      <c r="L1536" t="s" s="2">
        <v>22</v>
      </c>
      <c r="M1536" t="s" s="2">
        <v>22</v>
      </c>
    </row>
    <row r="1537" ht="25.0" customHeight="true">
      <c r="A1537" t="s" s="2">
        <v>13</v>
      </c>
      <c r="B1537" t="s" s="2">
        <f>HYPERLINK("http://ts.21cn.com/tousu/show/id/1372482","深圳小银奇异高利贷骚扰家里亲戚朋友群发短信")</f>
      </c>
      <c r="C1537" t="s" s="2">
        <v>15</v>
      </c>
      <c r="D1537" t="s" s="2">
        <v>16</v>
      </c>
      <c r="E1537" t="s" s="2">
        <v>17</v>
      </c>
      <c r="F1537" t="s" s="2">
        <f>HYPERLINK("http://ts.21cn.com/tousu/show/id/1372482","http://ts.21cn.com/tousu/show/id/1372482")</f>
      </c>
      <c r="G1537" t="s" s="2">
        <v>17</v>
      </c>
      <c r="H1537" t="s" s="2">
        <v>19</v>
      </c>
      <c r="I1537" t="s" s="2">
        <v>6052</v>
      </c>
      <c r="J1537" t="s" s="2">
        <v>6053</v>
      </c>
      <c r="K1537" t="s" s="2">
        <v>22</v>
      </c>
      <c r="L1537" t="s" s="2">
        <v>22</v>
      </c>
      <c r="M1537" t="s" s="2">
        <v>22</v>
      </c>
    </row>
    <row r="1538" ht="25.0" customHeight="true">
      <c r="A1538" t="s" s="2">
        <v>13</v>
      </c>
      <c r="B1538" t="s" s="2">
        <f>HYPERLINK("http://ts.21cn.com/tousu/show/id/1372481","OYO酒店出问题无法入住不退款")</f>
      </c>
      <c r="C1538" t="s" s="2">
        <v>15</v>
      </c>
      <c r="D1538" t="s" s="2">
        <v>16</v>
      </c>
      <c r="E1538" t="s" s="2">
        <v>17</v>
      </c>
      <c r="F1538" t="s" s="2">
        <f>HYPERLINK("http://ts.21cn.com/tousu/show/id/1372481","http://ts.21cn.com/tousu/show/id/1372481")</f>
      </c>
      <c r="G1538" t="s" s="2">
        <v>17</v>
      </c>
      <c r="H1538" t="s" s="2">
        <v>19</v>
      </c>
      <c r="I1538" t="s" s="2">
        <v>6056</v>
      </c>
      <c r="J1538" t="s" s="2">
        <v>6057</v>
      </c>
      <c r="K1538" t="s" s="2">
        <v>22</v>
      </c>
      <c r="L1538" t="s" s="2">
        <v>22</v>
      </c>
      <c r="M1538" t="s" s="2">
        <v>22</v>
      </c>
    </row>
    <row r="1539" ht="25.0" customHeight="true">
      <c r="A1539" t="s" s="2">
        <v>13</v>
      </c>
      <c r="B1539" t="s" s="2">
        <f>HYPERLINK("http://ts.21cn.com/tousu/show/id/1372480","融360和及贷高利贷")</f>
      </c>
      <c r="C1539" t="s" s="2">
        <v>15</v>
      </c>
      <c r="D1539" t="s" s="2">
        <v>16</v>
      </c>
      <c r="E1539" t="s" s="2">
        <v>17</v>
      </c>
      <c r="F1539" t="s" s="2">
        <f>HYPERLINK("http://ts.21cn.com/tousu/show/id/1372480","http://ts.21cn.com/tousu/show/id/1372480")</f>
      </c>
      <c r="G1539" t="s" s="2">
        <v>17</v>
      </c>
      <c r="H1539" t="s" s="2">
        <v>19</v>
      </c>
      <c r="I1539" t="s" s="2">
        <v>6060</v>
      </c>
      <c r="J1539" t="s" s="2">
        <v>6061</v>
      </c>
      <c r="K1539" t="s" s="2">
        <v>22</v>
      </c>
      <c r="L1539" t="s" s="2">
        <v>22</v>
      </c>
      <c r="M1539" t="s" s="2">
        <v>22</v>
      </c>
    </row>
    <row r="1540" ht="25.0" customHeight="true">
      <c r="A1540" t="s" s="2">
        <v>13</v>
      </c>
      <c r="B1540" t="s" s="2">
        <f>HYPERLINK("http://ts.21cn.com/tousu/show/id/1372479","拒绝高利贷")</f>
      </c>
      <c r="C1540" t="s" s="2">
        <v>15</v>
      </c>
      <c r="D1540" t="s" s="2">
        <v>16</v>
      </c>
      <c r="E1540" t="s" s="2">
        <v>17</v>
      </c>
      <c r="F1540" t="s" s="2">
        <f>HYPERLINK("http://ts.21cn.com/tousu/show/id/1372479","http://ts.21cn.com/tousu/show/id/1372479")</f>
      </c>
      <c r="G1540" t="s" s="2">
        <v>17</v>
      </c>
      <c r="H1540" t="s" s="2">
        <v>19</v>
      </c>
      <c r="I1540" t="s" s="2">
        <v>6064</v>
      </c>
      <c r="J1540" t="s" s="2">
        <v>6065</v>
      </c>
      <c r="K1540" t="s" s="2">
        <v>22</v>
      </c>
      <c r="L1540" t="s" s="2">
        <v>22</v>
      </c>
      <c r="M1540" t="s" s="2">
        <v>22</v>
      </c>
    </row>
    <row r="1541" ht="25.0" customHeight="true">
      <c r="A1541" t="s" s="2">
        <v>13</v>
      </c>
      <c r="B1541" t="s" s="2">
        <f>HYPERLINK("http://ts.21cn.com/tousu/show/id/1372478","平安普惠捆绑销售保险，收取服务费，骚扰联系人")</f>
      </c>
      <c r="C1541" t="s" s="2">
        <v>15</v>
      </c>
      <c r="D1541" t="s" s="2">
        <v>16</v>
      </c>
      <c r="E1541" t="s" s="2">
        <v>17</v>
      </c>
      <c r="F1541" t="s" s="2">
        <f>HYPERLINK("http://ts.21cn.com/tousu/show/id/1372478","http://ts.21cn.com/tousu/show/id/1372478")</f>
      </c>
      <c r="G1541" t="s" s="2">
        <v>17</v>
      </c>
      <c r="H1541" t="s" s="2">
        <v>19</v>
      </c>
      <c r="I1541" t="s" s="2">
        <v>6068</v>
      </c>
      <c r="J1541" t="s" s="2">
        <v>6069</v>
      </c>
      <c r="K1541" t="s" s="2">
        <v>22</v>
      </c>
      <c r="L1541" t="s" s="2">
        <v>22</v>
      </c>
      <c r="M1541" t="s" s="2">
        <v>22</v>
      </c>
    </row>
    <row r="1542" ht="25.0" customHeight="true">
      <c r="A1542" t="s" s="2">
        <v>13</v>
      </c>
      <c r="B1542" t="s" s="2">
        <f>HYPERLINK("http://ts.21cn.com/tousu/show/id/1372477","暴力催收发律师函")</f>
      </c>
      <c r="C1542" t="s" s="2">
        <v>15</v>
      </c>
      <c r="D1542" t="s" s="2">
        <v>16</v>
      </c>
      <c r="E1542" t="s" s="2">
        <v>17</v>
      </c>
      <c r="F1542" t="s" s="2">
        <f>HYPERLINK("http://ts.21cn.com/tousu/show/id/1372477","http://ts.21cn.com/tousu/show/id/1372477")</f>
      </c>
      <c r="G1542" t="s" s="2">
        <v>17</v>
      </c>
      <c r="H1542" t="s" s="2">
        <v>19</v>
      </c>
      <c r="I1542" t="s" s="2">
        <v>6072</v>
      </c>
      <c r="J1542" t="s" s="2">
        <v>6073</v>
      </c>
      <c r="K1542" t="s" s="2">
        <v>22</v>
      </c>
      <c r="L1542" t="s" s="2">
        <v>22</v>
      </c>
      <c r="M1542" t="s" s="2">
        <v>22</v>
      </c>
    </row>
    <row r="1543" ht="25.0" customHeight="true">
      <c r="A1543" t="s" s="2">
        <v>13</v>
      </c>
      <c r="B1543" t="s" s="2">
        <f>HYPERLINK("http://ts.21cn.com/tousu/show/id/1372476","网银在线为赌博输平台收单，请求网银在线为我退款挽回经济损失")</f>
      </c>
      <c r="C1543" t="s" s="2">
        <v>15</v>
      </c>
      <c r="D1543" t="s" s="2">
        <v>16</v>
      </c>
      <c r="E1543" t="s" s="2">
        <v>17</v>
      </c>
      <c r="F1543" t="s" s="2">
        <f>HYPERLINK("http://ts.21cn.com/tousu/show/id/1372476","http://ts.21cn.com/tousu/show/id/1372476")</f>
      </c>
      <c r="G1543" t="s" s="2">
        <v>17</v>
      </c>
      <c r="H1543" t="s" s="2">
        <v>19</v>
      </c>
      <c r="I1543" t="s" s="2">
        <v>6076</v>
      </c>
      <c r="J1543" t="s" s="2">
        <v>6077</v>
      </c>
      <c r="K1543" t="s" s="2">
        <v>22</v>
      </c>
      <c r="L1543" t="s" s="2">
        <v>22</v>
      </c>
      <c r="M1543" t="s" s="2">
        <v>22</v>
      </c>
    </row>
    <row r="1544" ht="25.0" customHeight="true">
      <c r="A1544" t="s" s="2">
        <v>13</v>
      </c>
      <c r="B1544" t="s" s="2">
        <f>HYPERLINK("http://ts.21cn.com/tousu/show/id/1372475","违规为非法商户提供结算")</f>
      </c>
      <c r="C1544" t="s" s="2">
        <v>15</v>
      </c>
      <c r="D1544" t="s" s="2">
        <v>16</v>
      </c>
      <c r="E1544" t="s" s="2">
        <v>17</v>
      </c>
      <c r="F1544" t="s" s="2">
        <f>HYPERLINK("http://ts.21cn.com/tousu/show/id/1372475","http://ts.21cn.com/tousu/show/id/1372475")</f>
      </c>
      <c r="G1544" t="s" s="2">
        <v>17</v>
      </c>
      <c r="H1544" t="s" s="2">
        <v>19</v>
      </c>
      <c r="I1544" t="s" s="2">
        <v>6079</v>
      </c>
      <c r="J1544" t="s" s="2">
        <v>6080</v>
      </c>
      <c r="K1544" t="s" s="2">
        <v>22</v>
      </c>
      <c r="L1544" t="s" s="2">
        <v>22</v>
      </c>
      <c r="M1544" t="s" s="2">
        <v>22</v>
      </c>
    </row>
    <row r="1545" ht="25.0" customHeight="true">
      <c r="A1545" t="s" s="2">
        <v>13</v>
      </c>
      <c r="B1545" t="s" s="2">
        <f>HYPERLINK("http://ts.21cn.com/tousu/show/id/1372474","在交易猫购买的实况足球OPPO账号被恶意找回，客服不解决")</f>
      </c>
      <c r="C1545" t="s" s="2">
        <v>15</v>
      </c>
      <c r="D1545" t="s" s="2">
        <v>16</v>
      </c>
      <c r="E1545" t="s" s="2">
        <v>17</v>
      </c>
      <c r="F1545" t="s" s="2">
        <f>HYPERLINK("http://ts.21cn.com/tousu/show/id/1372474","http://ts.21cn.com/tousu/show/id/1372474")</f>
      </c>
      <c r="G1545" t="s" s="2">
        <v>17</v>
      </c>
      <c r="H1545" t="s" s="2">
        <v>19</v>
      </c>
      <c r="I1545" t="s" s="2">
        <v>6083</v>
      </c>
      <c r="J1545" t="s" s="2">
        <v>6084</v>
      </c>
      <c r="K1545" t="s" s="2">
        <v>22</v>
      </c>
      <c r="L1545" t="s" s="2">
        <v>22</v>
      </c>
      <c r="M1545" t="s" s="2">
        <v>22</v>
      </c>
    </row>
    <row r="1546" ht="25.0" customHeight="true">
      <c r="A1546" t="s" s="2">
        <v>13</v>
      </c>
      <c r="B1546" t="s" s="2">
        <f>HYPERLINK("http://ts.21cn.com/tousu/show/id/1372473","附近约爱支付")</f>
      </c>
      <c r="C1546" t="s" s="2">
        <v>52</v>
      </c>
      <c r="D1546" t="s" s="2">
        <v>16</v>
      </c>
      <c r="E1546" t="s" s="2">
        <v>17</v>
      </c>
      <c r="F1546" t="s" s="2">
        <f>HYPERLINK("http://ts.21cn.com/tousu/show/id/1372473","http://ts.21cn.com/tousu/show/id/1372473")</f>
      </c>
      <c r="G1546" t="s" s="2">
        <v>17</v>
      </c>
      <c r="H1546" t="s" s="2">
        <v>19</v>
      </c>
      <c r="I1546" t="s" s="2">
        <v>6087</v>
      </c>
      <c r="J1546" t="s" s="2">
        <v>6088</v>
      </c>
      <c r="K1546" t="s" s="2">
        <v>22</v>
      </c>
      <c r="L1546" t="s" s="2">
        <v>22</v>
      </c>
      <c r="M1546" t="s" s="2">
        <v>22</v>
      </c>
    </row>
    <row r="1547" ht="25.0" customHeight="true">
      <c r="A1547" t="s" s="2">
        <v>13</v>
      </c>
      <c r="B1547" t="s" s="2">
        <f>HYPERLINK("http://ts.21cn.com/tousu/show/id/1372472","中信银行催收电话轰炸")</f>
      </c>
      <c r="C1547" t="s" s="2">
        <v>52</v>
      </c>
      <c r="D1547" t="s" s="2">
        <v>16</v>
      </c>
      <c r="E1547" t="s" s="2">
        <v>17</v>
      </c>
      <c r="F1547" t="s" s="2">
        <f>HYPERLINK("http://ts.21cn.com/tousu/show/id/1372472","http://ts.21cn.com/tousu/show/id/1372472")</f>
      </c>
      <c r="G1547" t="s" s="2">
        <v>17</v>
      </c>
      <c r="H1547" t="s" s="2">
        <v>19</v>
      </c>
      <c r="I1547" t="s" s="2">
        <v>6091</v>
      </c>
      <c r="J1547" t="s" s="2">
        <v>6092</v>
      </c>
      <c r="K1547" t="s" s="2">
        <v>22</v>
      </c>
      <c r="L1547" t="s" s="2">
        <v>22</v>
      </c>
      <c r="M1547" t="s" s="2">
        <v>22</v>
      </c>
    </row>
    <row r="1548" ht="25.0" customHeight="true">
      <c r="A1548" t="s" s="2">
        <v>13</v>
      </c>
      <c r="B1548" t="s" s="2">
        <f>HYPERLINK("http://ts.21cn.com/tousu/show/id/1372471","骚扰我联系人")</f>
      </c>
      <c r="C1548" t="s" s="2">
        <v>15</v>
      </c>
      <c r="D1548" t="s" s="2">
        <v>16</v>
      </c>
      <c r="E1548" t="s" s="2">
        <v>17</v>
      </c>
      <c r="F1548" t="s" s="2">
        <f>HYPERLINK("http://ts.21cn.com/tousu/show/id/1372471","http://ts.21cn.com/tousu/show/id/1372471")</f>
      </c>
      <c r="G1548" t="s" s="2">
        <v>17</v>
      </c>
      <c r="H1548" t="s" s="2">
        <v>19</v>
      </c>
      <c r="I1548" t="s" s="2">
        <v>6095</v>
      </c>
      <c r="J1548" t="s" s="2">
        <v>6096</v>
      </c>
      <c r="K1548" t="s" s="2">
        <v>22</v>
      </c>
      <c r="L1548" t="s" s="2">
        <v>22</v>
      </c>
      <c r="M1548" t="s" s="2">
        <v>22</v>
      </c>
    </row>
    <row r="1549" ht="25.0" customHeight="true">
      <c r="A1549" t="s" s="2">
        <v>13</v>
      </c>
      <c r="B1549" t="s" s="2">
        <f>HYPERLINK("http://ts.21cn.com/tousu/show/id/1372470","即分期超G会员恐吓威胁")</f>
      </c>
      <c r="C1549" t="s" s="2">
        <v>15</v>
      </c>
      <c r="D1549" t="s" s="2">
        <v>16</v>
      </c>
      <c r="E1549" t="s" s="2">
        <v>17</v>
      </c>
      <c r="F1549" t="s" s="2">
        <f>HYPERLINK("http://ts.21cn.com/tousu/show/id/1372470","http://ts.21cn.com/tousu/show/id/1372470")</f>
      </c>
      <c r="G1549" t="s" s="2">
        <v>17</v>
      </c>
      <c r="H1549" t="s" s="2">
        <v>19</v>
      </c>
      <c r="I1549" t="s" s="2">
        <v>6099</v>
      </c>
      <c r="J1549" t="s" s="2">
        <v>6100</v>
      </c>
      <c r="K1549" t="s" s="2">
        <v>22</v>
      </c>
      <c r="L1549" t="s" s="2">
        <v>22</v>
      </c>
      <c r="M1549" t="s" s="2">
        <v>22</v>
      </c>
    </row>
    <row r="1550" ht="25.0" customHeight="true">
      <c r="A1550" t="s" s="2">
        <v>13</v>
      </c>
      <c r="B1550" t="s" s="2">
        <f>HYPERLINK("http://ts.21cn.com/tousu/show/id/1372469","厚本金融、凤凰智信砍头息，恐吓，威胁")</f>
      </c>
      <c r="C1550" t="s" s="2">
        <v>15</v>
      </c>
      <c r="D1550" t="s" s="2">
        <v>16</v>
      </c>
      <c r="E1550" t="s" s="2">
        <v>17</v>
      </c>
      <c r="F1550" t="s" s="2">
        <f>HYPERLINK("http://ts.21cn.com/tousu/show/id/1372469","http://ts.21cn.com/tousu/show/id/1372469")</f>
      </c>
      <c r="G1550" t="s" s="2">
        <v>17</v>
      </c>
      <c r="H1550" t="s" s="2">
        <v>19</v>
      </c>
      <c r="I1550" t="s" s="2">
        <v>6103</v>
      </c>
      <c r="J1550" t="s" s="2">
        <v>6104</v>
      </c>
      <c r="K1550" t="s" s="2">
        <v>22</v>
      </c>
      <c r="L1550" t="s" s="2">
        <v>22</v>
      </c>
      <c r="M1550" t="s" s="2">
        <v>22</v>
      </c>
    </row>
    <row r="1551" ht="25.0" customHeight="true">
      <c r="A1551" t="s" s="2">
        <v>13</v>
      </c>
      <c r="B1551" t="s" s="2">
        <f>HYPERLINK("http://ts.21cn.com/tousu/show/id/1372468","新橙优品（套路贷、高利贷）")</f>
      </c>
      <c r="C1551" t="s" s="2">
        <v>15</v>
      </c>
      <c r="D1551" t="s" s="2">
        <v>16</v>
      </c>
      <c r="E1551" t="s" s="2">
        <v>17</v>
      </c>
      <c r="F1551" t="s" s="2">
        <f>HYPERLINK("http://ts.21cn.com/tousu/show/id/1372468","http://ts.21cn.com/tousu/show/id/1372468")</f>
      </c>
      <c r="G1551" t="s" s="2">
        <v>17</v>
      </c>
      <c r="H1551" t="s" s="2">
        <v>19</v>
      </c>
      <c r="I1551" t="s" s="2">
        <v>6107</v>
      </c>
      <c r="J1551" t="s" s="2">
        <v>6108</v>
      </c>
      <c r="K1551" t="s" s="2">
        <v>22</v>
      </c>
      <c r="L1551" t="s" s="2">
        <v>22</v>
      </c>
      <c r="M1551" t="s" s="2">
        <v>22</v>
      </c>
    </row>
    <row r="1552" ht="25.0" customHeight="true">
      <c r="A1552" t="s" s="2">
        <v>13</v>
      </c>
      <c r="B1552" t="s" s="2">
        <f>HYPERLINK("http://ts.21cn.com/tousu/show/id/1372466","国美易卡联系不到客服变相收手续费！")</f>
      </c>
      <c r="C1552" t="s" s="2">
        <v>15</v>
      </c>
      <c r="D1552" t="s" s="2">
        <v>16</v>
      </c>
      <c r="E1552" t="s" s="2">
        <v>17</v>
      </c>
      <c r="F1552" t="s" s="2">
        <f>HYPERLINK("http://ts.21cn.com/tousu/show/id/1372466","http://ts.21cn.com/tousu/show/id/1372466")</f>
      </c>
      <c r="G1552" t="s" s="2">
        <v>17</v>
      </c>
      <c r="H1552" t="s" s="2">
        <v>19</v>
      </c>
      <c r="I1552" t="s" s="2">
        <v>6111</v>
      </c>
      <c r="J1552" t="s" s="2">
        <v>6112</v>
      </c>
      <c r="K1552" t="s" s="2">
        <v>22</v>
      </c>
      <c r="L1552" t="s" s="2">
        <v>22</v>
      </c>
      <c r="M1552" t="s" s="2">
        <v>22</v>
      </c>
    </row>
    <row r="1553" ht="25.0" customHeight="true">
      <c r="A1553" t="s" s="2">
        <v>13</v>
      </c>
      <c r="B1553" t="s" s="2">
        <f>HYPERLINK("http://ts.21cn.com/tousu/show/id/1372467","请求延期")</f>
      </c>
      <c r="C1553" t="s" s="2">
        <v>52</v>
      </c>
      <c r="D1553" t="s" s="2">
        <v>16</v>
      </c>
      <c r="E1553" t="s" s="2">
        <v>17</v>
      </c>
      <c r="F1553" t="s" s="2">
        <f>HYPERLINK("http://ts.21cn.com/tousu/show/id/1372467","http://ts.21cn.com/tousu/show/id/1372467")</f>
      </c>
      <c r="G1553" t="s" s="2">
        <v>17</v>
      </c>
      <c r="H1553" t="s" s="2">
        <v>19</v>
      </c>
      <c r="I1553" t="s" s="2">
        <v>6115</v>
      </c>
      <c r="J1553" t="s" s="2">
        <v>6116</v>
      </c>
      <c r="K1553" t="s" s="2">
        <v>22</v>
      </c>
      <c r="L1553" t="s" s="2">
        <v>22</v>
      </c>
      <c r="M1553" t="s" s="2">
        <v>22</v>
      </c>
    </row>
    <row r="1554" ht="25.0" customHeight="true">
      <c r="A1554" t="s" s="2">
        <v>13</v>
      </c>
      <c r="B1554" t="s" s="2">
        <f>HYPERLINK("http://ts.21cn.com/tousu/show/id/1372465","在本人不知情的情况下被恶意扣款")</f>
      </c>
      <c r="C1554" t="s" s="2">
        <v>15</v>
      </c>
      <c r="D1554" t="s" s="2">
        <v>16</v>
      </c>
      <c r="E1554" t="s" s="2">
        <v>17</v>
      </c>
      <c r="F1554" t="s" s="2">
        <f>HYPERLINK("http://ts.21cn.com/tousu/show/id/1372465","http://ts.21cn.com/tousu/show/id/1372465")</f>
      </c>
      <c r="G1554" t="s" s="2">
        <v>17</v>
      </c>
      <c r="H1554" t="s" s="2">
        <v>19</v>
      </c>
      <c r="I1554" t="s" s="2">
        <v>6119</v>
      </c>
      <c r="J1554" t="s" s="2">
        <v>6120</v>
      </c>
      <c r="K1554" t="s" s="2">
        <v>22</v>
      </c>
      <c r="L1554" t="s" s="2">
        <v>22</v>
      </c>
      <c r="M1554" t="s" s="2">
        <v>22</v>
      </c>
    </row>
    <row r="1555" ht="25.0" customHeight="true">
      <c r="A1555" t="s" s="2">
        <v>13</v>
      </c>
      <c r="B1555" t="s" s="2">
        <f>HYPERLINK("http://ts.21cn.com/tousu/show/id/1372464","现金借款天价服务费")</f>
      </c>
      <c r="C1555" t="s" s="2">
        <v>15</v>
      </c>
      <c r="D1555" t="s" s="2">
        <v>16</v>
      </c>
      <c r="E1555" t="s" s="2">
        <v>17</v>
      </c>
      <c r="F1555" t="s" s="2">
        <f>HYPERLINK("http://ts.21cn.com/tousu/show/id/1372464","http://ts.21cn.com/tousu/show/id/1372464")</f>
      </c>
      <c r="G1555" t="s" s="2">
        <v>17</v>
      </c>
      <c r="H1555" t="s" s="2">
        <v>19</v>
      </c>
      <c r="I1555" t="s" s="2">
        <v>6123</v>
      </c>
      <c r="J1555" t="s" s="2">
        <v>6124</v>
      </c>
      <c r="K1555" t="s" s="2">
        <v>22</v>
      </c>
      <c r="L1555" t="s" s="2">
        <v>22</v>
      </c>
      <c r="M1555" t="s" s="2">
        <v>22</v>
      </c>
    </row>
    <row r="1556" ht="25.0" customHeight="true">
      <c r="A1556" t="s" s="2">
        <v>13</v>
      </c>
      <c r="B1556" t="s" s="2">
        <f>HYPERLINK("http://ts.21cn.com/tousu/show/id/1372463","平安普惠贷款隐瞒隐藏并强制收取高额保险费管理费投诉事宜")</f>
      </c>
      <c r="C1556" t="s" s="2">
        <v>15</v>
      </c>
      <c r="D1556" t="s" s="2">
        <v>16</v>
      </c>
      <c r="E1556" t="s" s="2">
        <v>17</v>
      </c>
      <c r="F1556" t="s" s="2">
        <f>HYPERLINK("http://ts.21cn.com/tousu/show/id/1372463","http://ts.21cn.com/tousu/show/id/1372463")</f>
      </c>
      <c r="G1556" t="s" s="2">
        <v>17</v>
      </c>
      <c r="H1556" t="s" s="2">
        <v>19</v>
      </c>
      <c r="I1556" t="s" s="2">
        <v>6126</v>
      </c>
      <c r="J1556" t="s" s="2">
        <v>6127</v>
      </c>
      <c r="K1556" t="s" s="2">
        <v>22</v>
      </c>
      <c r="L1556" t="s" s="2">
        <v>22</v>
      </c>
      <c r="M1556" t="s" s="2">
        <v>22</v>
      </c>
    </row>
    <row r="1557" ht="25.0" customHeight="true">
      <c r="A1557" t="s" s="2">
        <v>13</v>
      </c>
      <c r="B1557" t="s" s="2">
        <f>HYPERLINK("http://ts.21cn.com/tousu/show/id/1372462","你我贷砍头息提前还款都拒绝协商")</f>
      </c>
      <c r="C1557" t="s" s="2">
        <v>15</v>
      </c>
      <c r="D1557" t="s" s="2">
        <v>16</v>
      </c>
      <c r="E1557" t="s" s="2">
        <v>17</v>
      </c>
      <c r="F1557" t="s" s="2">
        <f>HYPERLINK("http://ts.21cn.com/tousu/show/id/1372462","http://ts.21cn.com/tousu/show/id/1372462")</f>
      </c>
      <c r="G1557" t="s" s="2">
        <v>17</v>
      </c>
      <c r="H1557" t="s" s="2">
        <v>19</v>
      </c>
      <c r="I1557" t="s" s="2">
        <v>6130</v>
      </c>
      <c r="J1557" t="s" s="2">
        <v>6131</v>
      </c>
      <c r="K1557" t="s" s="2">
        <v>22</v>
      </c>
      <c r="L1557" t="s" s="2">
        <v>22</v>
      </c>
      <c r="M1557" t="s" s="2">
        <v>22</v>
      </c>
    </row>
    <row r="1558" ht="25.0" customHeight="true">
      <c r="A1558" t="s" s="2">
        <v>13</v>
      </c>
      <c r="B1558" t="s" s="2">
        <f>HYPERLINK("http://ts.21cn.com/tousu/show/id/1366181","支付吧被盗刷,支付宝信息被泄露")</f>
      </c>
      <c r="C1558" t="s" s="2">
        <v>15</v>
      </c>
      <c r="D1558" t="s" s="2">
        <v>16</v>
      </c>
      <c r="E1558" t="s" s="2">
        <v>17</v>
      </c>
      <c r="F1558" t="s" s="2">
        <f>HYPERLINK("http://ts.21cn.com/tousu/show/id/1366181","http://ts.21cn.com/tousu/show/id/1366181")</f>
      </c>
      <c r="G1558" t="s" s="2">
        <v>17</v>
      </c>
      <c r="H1558" t="s" s="2">
        <v>19</v>
      </c>
      <c r="I1558" t="s" s="2">
        <v>6134</v>
      </c>
      <c r="J1558" t="s" s="2">
        <v>6135</v>
      </c>
      <c r="K1558" t="s" s="2">
        <v>22</v>
      </c>
      <c r="L1558" t="s" s="2">
        <v>22</v>
      </c>
      <c r="M1558" t="s" s="2">
        <v>22</v>
      </c>
    </row>
    <row r="1559" ht="25.0" customHeight="true">
      <c r="A1559" t="s" s="2">
        <v>13</v>
      </c>
      <c r="B1559" t="s" s="2">
        <f>HYPERLINK("http://ts.21cn.com/tousu/show/id/1372461","网贷没有逾期。催收")</f>
      </c>
      <c r="C1559" t="s" s="2">
        <v>15</v>
      </c>
      <c r="D1559" t="s" s="2">
        <v>16</v>
      </c>
      <c r="E1559" t="s" s="2">
        <v>17</v>
      </c>
      <c r="F1559" t="s" s="2">
        <f>HYPERLINK("http://ts.21cn.com/tousu/show/id/1372461","http://ts.21cn.com/tousu/show/id/1372461")</f>
      </c>
      <c r="G1559" t="s" s="2">
        <v>17</v>
      </c>
      <c r="H1559" t="s" s="2">
        <v>19</v>
      </c>
      <c r="I1559" t="s" s="2">
        <v>6138</v>
      </c>
      <c r="J1559" t="s" s="2">
        <v>6139</v>
      </c>
      <c r="K1559" t="s" s="2">
        <v>22</v>
      </c>
      <c r="L1559" t="s" s="2">
        <v>22</v>
      </c>
      <c r="M1559" t="s" s="2">
        <v>22</v>
      </c>
    </row>
    <row r="1560" ht="25.0" customHeight="true">
      <c r="A1560" t="s" s="2">
        <v>13</v>
      </c>
      <c r="B1560" t="s" s="2">
        <f>HYPERLINK("http://ts.21cn.com/tousu/show/id/1372460","合同欺诈，私自扣款")</f>
      </c>
      <c r="C1560" t="s" s="2">
        <v>15</v>
      </c>
      <c r="D1560" t="s" s="2">
        <v>16</v>
      </c>
      <c r="E1560" t="s" s="2">
        <v>17</v>
      </c>
      <c r="F1560" t="s" s="2">
        <f>HYPERLINK("http://ts.21cn.com/tousu/show/id/1372460","http://ts.21cn.com/tousu/show/id/1372460")</f>
      </c>
      <c r="G1560" t="s" s="2">
        <v>17</v>
      </c>
      <c r="H1560" t="s" s="2">
        <v>19</v>
      </c>
      <c r="I1560" t="s" s="2">
        <v>6141</v>
      </c>
      <c r="J1560" t="s" s="2">
        <v>6142</v>
      </c>
      <c r="K1560" t="s" s="2">
        <v>22</v>
      </c>
      <c r="L1560" t="s" s="2">
        <v>22</v>
      </c>
      <c r="M1560" t="s" s="2">
        <v>22</v>
      </c>
    </row>
    <row r="1561" ht="25.0" customHeight="true">
      <c r="A1561" t="s" s="2">
        <v>13</v>
      </c>
      <c r="B1561" t="s" s="2">
        <f>HYPERLINK("http://ts.21cn.com/tousu/show/id/1372459","平安i贷还款当日威胁性催款")</f>
      </c>
      <c r="C1561" t="s" s="2">
        <v>52</v>
      </c>
      <c r="D1561" t="s" s="2">
        <v>16</v>
      </c>
      <c r="E1561" t="s" s="2">
        <v>17</v>
      </c>
      <c r="F1561" t="s" s="2">
        <f>HYPERLINK("http://ts.21cn.com/tousu/show/id/1372459","http://ts.21cn.com/tousu/show/id/1372459")</f>
      </c>
      <c r="G1561" t="s" s="2">
        <v>17</v>
      </c>
      <c r="H1561" t="s" s="2">
        <v>19</v>
      </c>
      <c r="I1561" t="s" s="2">
        <v>6145</v>
      </c>
      <c r="J1561" t="s" s="2">
        <v>6146</v>
      </c>
      <c r="K1561" t="s" s="2">
        <v>22</v>
      </c>
      <c r="L1561" t="s" s="2">
        <v>22</v>
      </c>
      <c r="M1561" t="s" s="2">
        <v>22</v>
      </c>
    </row>
    <row r="1562" ht="25.0" customHeight="true">
      <c r="A1562" t="s" s="2">
        <v>13</v>
      </c>
      <c r="B1562" t="s" s="2">
        <f>HYPERLINK("http://ts.21cn.com/tousu/show/id/1372458","我是淘宝卖家，买家定制的产品签收后被要求退货退款，到现在也没有收到退货。")</f>
      </c>
      <c r="C1562" t="s" s="2">
        <v>15</v>
      </c>
      <c r="D1562" t="s" s="2">
        <v>16</v>
      </c>
      <c r="E1562" t="s" s="2">
        <v>17</v>
      </c>
      <c r="F1562" t="s" s="2">
        <f>HYPERLINK("http://ts.21cn.com/tousu/show/id/1372458","http://ts.21cn.com/tousu/show/id/1372458")</f>
      </c>
      <c r="G1562" t="s" s="2">
        <v>17</v>
      </c>
      <c r="H1562" t="s" s="2">
        <v>19</v>
      </c>
      <c r="I1562" t="s" s="2">
        <v>6149</v>
      </c>
      <c r="J1562" t="s" s="2">
        <v>6150</v>
      </c>
      <c r="K1562" t="s" s="2">
        <v>22</v>
      </c>
      <c r="L1562" t="s" s="2">
        <v>22</v>
      </c>
      <c r="M1562" t="s" s="2">
        <v>22</v>
      </c>
    </row>
    <row r="1563" ht="25.0" customHeight="true">
      <c r="A1563" t="s" s="2">
        <v>13</v>
      </c>
      <c r="B1563" t="s" s="2">
        <f>HYPERLINK("http://ts.21cn.com/tousu/show/id/1372457","久富万卡高利贷")</f>
      </c>
      <c r="C1563" t="s" s="2">
        <v>15</v>
      </c>
      <c r="D1563" t="s" s="2">
        <v>16</v>
      </c>
      <c r="E1563" t="s" s="2">
        <v>17</v>
      </c>
      <c r="F1563" t="s" s="2">
        <f>HYPERLINK("http://ts.21cn.com/tousu/show/id/1372457","http://ts.21cn.com/tousu/show/id/1372457")</f>
      </c>
      <c r="G1563" t="s" s="2">
        <v>17</v>
      </c>
      <c r="H1563" t="s" s="2">
        <v>19</v>
      </c>
      <c r="I1563" t="s" s="2">
        <v>6153</v>
      </c>
      <c r="J1563" t="s" s="2">
        <v>6154</v>
      </c>
      <c r="K1563" t="s" s="2">
        <v>22</v>
      </c>
      <c r="L1563" t="s" s="2">
        <v>22</v>
      </c>
      <c r="M1563" t="s" s="2">
        <v>22</v>
      </c>
    </row>
    <row r="1564" ht="25.0" customHeight="true">
      <c r="A1564" t="s" s="2">
        <v>13</v>
      </c>
      <c r="B1564" t="s" s="2">
        <f>HYPERLINK("http://ts.21cn.com/tousu/show/id/1372456","立马进钱呆呆苞还款失败导致逾期")</f>
      </c>
      <c r="C1564" t="s" s="2">
        <v>15</v>
      </c>
      <c r="D1564" t="s" s="2">
        <v>16</v>
      </c>
      <c r="E1564" t="s" s="2">
        <v>17</v>
      </c>
      <c r="F1564" t="s" s="2">
        <f>HYPERLINK("http://ts.21cn.com/tousu/show/id/1372456","http://ts.21cn.com/tousu/show/id/1372456")</f>
      </c>
      <c r="G1564" t="s" s="2">
        <v>17</v>
      </c>
      <c r="H1564" t="s" s="2">
        <v>19</v>
      </c>
      <c r="I1564" t="s" s="2">
        <v>6157</v>
      </c>
      <c r="J1564" t="s" s="2">
        <v>6158</v>
      </c>
      <c r="K1564" t="s" s="2">
        <v>22</v>
      </c>
      <c r="L1564" t="s" s="2">
        <v>22</v>
      </c>
      <c r="M1564" t="s" s="2">
        <v>22</v>
      </c>
    </row>
    <row r="1565" ht="25.0" customHeight="true">
      <c r="A1565" t="s" s="2">
        <v>13</v>
      </c>
      <c r="B1565" t="s" s="2">
        <f>HYPERLINK("http://ts.21cn.com/tousu/show/id/1372455","小米金融委托第三催收、爆通讯录")</f>
      </c>
      <c r="C1565" t="s" s="2">
        <v>15</v>
      </c>
      <c r="D1565" t="s" s="2">
        <v>16</v>
      </c>
      <c r="E1565" t="s" s="2">
        <v>17</v>
      </c>
      <c r="F1565" t="s" s="2">
        <f>HYPERLINK("http://ts.21cn.com/tousu/show/id/1372455","http://ts.21cn.com/tousu/show/id/1372455")</f>
      </c>
      <c r="G1565" t="s" s="2">
        <v>17</v>
      </c>
      <c r="H1565" t="s" s="2">
        <v>19</v>
      </c>
      <c r="I1565" t="s" s="2">
        <v>6161</v>
      </c>
      <c r="J1565" t="s" s="2">
        <v>6162</v>
      </c>
      <c r="K1565" t="s" s="2">
        <v>22</v>
      </c>
      <c r="L1565" t="s" s="2">
        <v>22</v>
      </c>
      <c r="M1565" t="s" s="2">
        <v>22</v>
      </c>
    </row>
    <row r="1566" ht="25.0" customHeight="true">
      <c r="A1566" t="s" s="2">
        <v>13</v>
      </c>
      <c r="B1566" t="s" s="2">
        <f>HYPERLINK("http://ts.21cn.com/tousu/show/id/1372443","被网商贷app收了一千工本费加三千解冻金")</f>
      </c>
      <c r="C1566" t="s" s="2">
        <v>15</v>
      </c>
      <c r="D1566" t="s" s="2">
        <v>16</v>
      </c>
      <c r="E1566" t="s" s="2">
        <v>17</v>
      </c>
      <c r="F1566" t="s" s="2">
        <f>HYPERLINK("http://ts.21cn.com/tousu/show/id/1372443","http://ts.21cn.com/tousu/show/id/1372443")</f>
      </c>
      <c r="G1566" t="s" s="2">
        <v>17</v>
      </c>
      <c r="H1566" t="s" s="2">
        <v>19</v>
      </c>
      <c r="I1566" t="s" s="2">
        <v>6165</v>
      </c>
      <c r="J1566" t="s" s="2">
        <v>6166</v>
      </c>
      <c r="K1566" t="s" s="2">
        <v>22</v>
      </c>
      <c r="L1566" t="s" s="2">
        <v>22</v>
      </c>
      <c r="M1566" t="s" s="2">
        <v>22</v>
      </c>
    </row>
    <row r="1567" ht="25.0" customHeight="true">
      <c r="A1567" t="s" s="2">
        <v>13</v>
      </c>
      <c r="B1567" t="s" s="2">
        <f>HYPERLINK("http://ts.21cn.com/tousu/show/id/1372454","捷信爆通讯录")</f>
      </c>
      <c r="C1567" t="s" s="2">
        <v>15</v>
      </c>
      <c r="D1567" t="s" s="2">
        <v>16</v>
      </c>
      <c r="E1567" t="s" s="2">
        <v>17</v>
      </c>
      <c r="F1567" t="s" s="2">
        <f>HYPERLINK("http://ts.21cn.com/tousu/show/id/1372454","http://ts.21cn.com/tousu/show/id/1372454")</f>
      </c>
      <c r="G1567" t="s" s="2">
        <v>17</v>
      </c>
      <c r="H1567" t="s" s="2">
        <v>19</v>
      </c>
      <c r="I1567" t="s" s="2">
        <v>6168</v>
      </c>
      <c r="J1567" t="s" s="2">
        <v>6169</v>
      </c>
      <c r="K1567" t="s" s="2">
        <v>22</v>
      </c>
      <c r="L1567" t="s" s="2">
        <v>22</v>
      </c>
      <c r="M1567" t="s" s="2">
        <v>22</v>
      </c>
    </row>
    <row r="1568" ht="25.0" customHeight="true">
      <c r="A1568" t="s" s="2">
        <v>13</v>
      </c>
      <c r="B1568" t="s" s="2">
        <f>HYPERLINK("http://ts.21cn.com/tousu/show/id/1372452","闪电借款砍头息，威胁还款")</f>
      </c>
      <c r="C1568" t="s" s="2">
        <v>15</v>
      </c>
      <c r="D1568" t="s" s="2">
        <v>16</v>
      </c>
      <c r="E1568" t="s" s="2">
        <v>17</v>
      </c>
      <c r="F1568" t="s" s="2">
        <f>HYPERLINK("http://ts.21cn.com/tousu/show/id/1372452","http://ts.21cn.com/tousu/show/id/1372452")</f>
      </c>
      <c r="G1568" t="s" s="2">
        <v>17</v>
      </c>
      <c r="H1568" t="s" s="2">
        <v>19</v>
      </c>
      <c r="I1568" t="s" s="2">
        <v>6172</v>
      </c>
      <c r="J1568" t="s" s="2">
        <v>6173</v>
      </c>
      <c r="K1568" t="s" s="2">
        <v>22</v>
      </c>
      <c r="L1568" t="s" s="2">
        <v>22</v>
      </c>
      <c r="M1568" t="s" s="2">
        <v>22</v>
      </c>
    </row>
    <row r="1569" ht="25.0" customHeight="true">
      <c r="A1569" t="s" s="2">
        <v>13</v>
      </c>
      <c r="B1569" t="s" s="2">
        <f>HYPERLINK("http://ts.21cn.com/tousu/show/id/1372451","投诉美团生活费恶意催收")</f>
      </c>
      <c r="C1569" t="s" s="2">
        <v>15</v>
      </c>
      <c r="D1569" t="s" s="2">
        <v>16</v>
      </c>
      <c r="E1569" t="s" s="2">
        <v>17</v>
      </c>
      <c r="F1569" t="s" s="2">
        <f>HYPERLINK("http://ts.21cn.com/tousu/show/id/1372451","http://ts.21cn.com/tousu/show/id/1372451")</f>
      </c>
      <c r="G1569" t="s" s="2">
        <v>17</v>
      </c>
      <c r="H1569" t="s" s="2">
        <v>19</v>
      </c>
      <c r="I1569" t="s" s="2">
        <v>6176</v>
      </c>
      <c r="J1569" t="s" s="2">
        <v>6177</v>
      </c>
      <c r="K1569" t="s" s="2">
        <v>22</v>
      </c>
      <c r="L1569" t="s" s="2">
        <v>22</v>
      </c>
      <c r="M1569" t="s" s="2">
        <v>22</v>
      </c>
    </row>
    <row r="1570" ht="25.0" customHeight="true">
      <c r="A1570" t="s" s="2">
        <v>13</v>
      </c>
      <c r="B1570" t="s" s="2">
        <f>HYPERLINK("http://ts.21cn.com/tousu/show/id/1372450","苏宁任性付威胁、软暴力催收")</f>
      </c>
      <c r="C1570" t="s" s="2">
        <v>15</v>
      </c>
      <c r="D1570" t="s" s="2">
        <v>16</v>
      </c>
      <c r="E1570" t="s" s="2">
        <v>17</v>
      </c>
      <c r="F1570" t="s" s="2">
        <f>HYPERLINK("http://ts.21cn.com/tousu/show/id/1372450","http://ts.21cn.com/tousu/show/id/1372450")</f>
      </c>
      <c r="G1570" t="s" s="2">
        <v>17</v>
      </c>
      <c r="H1570" t="s" s="2">
        <v>19</v>
      </c>
      <c r="I1570" t="s" s="2">
        <v>6180</v>
      </c>
      <c r="J1570" t="s" s="2">
        <v>6181</v>
      </c>
      <c r="K1570" t="s" s="2">
        <v>22</v>
      </c>
      <c r="L1570" t="s" s="2">
        <v>22</v>
      </c>
      <c r="M1570" t="s" s="2">
        <v>22</v>
      </c>
    </row>
    <row r="1571" ht="25.0" customHeight="true">
      <c r="A1571" t="s" s="2">
        <v>13</v>
      </c>
      <c r="B1571" t="s" s="2">
        <f>HYPERLINK("http://ts.21cn.com/tousu/show/id/1372449","刷卡POS机押金不给退")</f>
      </c>
      <c r="C1571" t="s" s="2">
        <v>15</v>
      </c>
      <c r="D1571" t="s" s="2">
        <v>16</v>
      </c>
      <c r="E1571" t="s" s="2">
        <v>17</v>
      </c>
      <c r="F1571" t="s" s="2">
        <f>HYPERLINK("http://ts.21cn.com/tousu/show/id/1372449","http://ts.21cn.com/tousu/show/id/1372449")</f>
      </c>
      <c r="G1571" t="s" s="2">
        <v>17</v>
      </c>
      <c r="H1571" t="s" s="2">
        <v>19</v>
      </c>
      <c r="I1571" t="s" s="2">
        <v>6184</v>
      </c>
      <c r="J1571" t="s" s="2">
        <v>6185</v>
      </c>
      <c r="K1571" t="s" s="2">
        <v>22</v>
      </c>
      <c r="L1571" t="s" s="2">
        <v>22</v>
      </c>
      <c r="M1571" t="s" s="2">
        <v>22</v>
      </c>
    </row>
    <row r="1572" ht="25.0" customHeight="true">
      <c r="A1572" t="s" s="2">
        <v>13</v>
      </c>
      <c r="B1572" t="s" s="2">
        <f>HYPERLINK("http://ts.21cn.com/tousu/show/id/1372448","被诱导刷单兼职到网赌平台损失惨重请求聚投诉帮我挽回血汗钱")</f>
      </c>
      <c r="C1572" t="s" s="2">
        <v>15</v>
      </c>
      <c r="D1572" t="s" s="2">
        <v>16</v>
      </c>
      <c r="E1572" t="s" s="2">
        <v>17</v>
      </c>
      <c r="F1572" t="s" s="2">
        <f>HYPERLINK("http://ts.21cn.com/tousu/show/id/1372448","http://ts.21cn.com/tousu/show/id/1372448")</f>
      </c>
      <c r="G1572" t="s" s="2">
        <v>17</v>
      </c>
      <c r="H1572" t="s" s="2">
        <v>19</v>
      </c>
      <c r="I1572" t="s" s="2">
        <v>6188</v>
      </c>
      <c r="J1572" t="s" s="2">
        <v>6189</v>
      </c>
      <c r="K1572" t="s" s="2">
        <v>22</v>
      </c>
      <c r="L1572" t="s" s="2">
        <v>22</v>
      </c>
      <c r="M1572" t="s" s="2">
        <v>22</v>
      </c>
    </row>
    <row r="1573" ht="25.0" customHeight="true">
      <c r="A1573" t="s" s="2">
        <v>13</v>
      </c>
      <c r="B1573" t="s" s="2">
        <f>HYPERLINK("http://ts.21cn.com/tousu/show/id/1372447","借款成功确不放款")</f>
      </c>
      <c r="C1573" t="s" s="2">
        <v>52</v>
      </c>
      <c r="D1573" t="s" s="2">
        <v>16</v>
      </c>
      <c r="E1573" t="s" s="2">
        <v>17</v>
      </c>
      <c r="F1573" t="s" s="2">
        <f>HYPERLINK("http://ts.21cn.com/tousu/show/id/1372447","http://ts.21cn.com/tousu/show/id/1372447")</f>
      </c>
      <c r="G1573" t="s" s="2">
        <v>17</v>
      </c>
      <c r="H1573" t="s" s="2">
        <v>19</v>
      </c>
      <c r="I1573" t="s" s="2">
        <v>6192</v>
      </c>
      <c r="J1573" t="s" s="2">
        <v>6193</v>
      </c>
      <c r="K1573" t="s" s="2">
        <v>22</v>
      </c>
      <c r="L1573" t="s" s="2">
        <v>22</v>
      </c>
      <c r="M1573" t="s" s="2">
        <v>22</v>
      </c>
    </row>
    <row r="1574" ht="25.0" customHeight="true">
      <c r="A1574" t="s" s="2">
        <v>13</v>
      </c>
      <c r="B1574" t="s" s="2">
        <f>HYPERLINK("http://ts.21cn.com/tousu/show/id/1372446","请求延期")</f>
      </c>
      <c r="C1574" t="s" s="2">
        <v>52</v>
      </c>
      <c r="D1574" t="s" s="2">
        <v>16</v>
      </c>
      <c r="E1574" t="s" s="2">
        <v>17</v>
      </c>
      <c r="F1574" t="s" s="2">
        <f>HYPERLINK("http://ts.21cn.com/tousu/show/id/1372446","http://ts.21cn.com/tousu/show/id/1372446")</f>
      </c>
      <c r="G1574" t="s" s="2">
        <v>17</v>
      </c>
      <c r="H1574" t="s" s="2">
        <v>19</v>
      </c>
      <c r="I1574" t="s" s="2">
        <v>6195</v>
      </c>
      <c r="J1574" t="s" s="2">
        <v>6196</v>
      </c>
      <c r="K1574" t="s" s="2">
        <v>22</v>
      </c>
      <c r="L1574" t="s" s="2">
        <v>22</v>
      </c>
      <c r="M1574" t="s" s="2">
        <v>22</v>
      </c>
    </row>
    <row r="1575" ht="25.0" customHeight="true">
      <c r="A1575" t="s" s="2">
        <v>13</v>
      </c>
      <c r="B1575" t="s" s="2">
        <f>HYPERLINK("http://ts.21cn.com/tousu/show/id/1372445","OPPOR9SPLUS大规模无限重启变砖")</f>
      </c>
      <c r="C1575" t="s" s="2">
        <v>15</v>
      </c>
      <c r="D1575" t="s" s="2">
        <v>16</v>
      </c>
      <c r="E1575" t="s" s="2">
        <v>17</v>
      </c>
      <c r="F1575" t="s" s="2">
        <f>HYPERLINK("http://ts.21cn.com/tousu/show/id/1372445","http://ts.21cn.com/tousu/show/id/1372445")</f>
      </c>
      <c r="G1575" t="s" s="2">
        <v>17</v>
      </c>
      <c r="H1575" t="s" s="2">
        <v>19</v>
      </c>
      <c r="I1575" t="s" s="2">
        <v>6198</v>
      </c>
      <c r="J1575" t="s" s="2">
        <v>6199</v>
      </c>
      <c r="K1575" t="s" s="2">
        <v>22</v>
      </c>
      <c r="L1575" t="s" s="2">
        <v>22</v>
      </c>
      <c r="M1575" t="s" s="2">
        <v>22</v>
      </c>
    </row>
    <row r="1576" ht="25.0" customHeight="true">
      <c r="A1576" t="s" s="2">
        <v>13</v>
      </c>
      <c r="B1576" t="s" s="2">
        <f>HYPERLINK("http://ts.21cn.com/tousu/show/id/1372444","恶意扣话费")</f>
      </c>
      <c r="C1576" t="s" s="2">
        <v>15</v>
      </c>
      <c r="D1576" t="s" s="2">
        <v>16</v>
      </c>
      <c r="E1576" t="s" s="2">
        <v>17</v>
      </c>
      <c r="F1576" t="s" s="2">
        <f>HYPERLINK("http://ts.21cn.com/tousu/show/id/1372444","http://ts.21cn.com/tousu/show/id/1372444")</f>
      </c>
      <c r="G1576" t="s" s="2">
        <v>17</v>
      </c>
      <c r="H1576" t="s" s="2">
        <v>19</v>
      </c>
      <c r="I1576" t="s" s="2">
        <v>6202</v>
      </c>
      <c r="J1576" t="s" s="2">
        <v>6203</v>
      </c>
      <c r="K1576" t="s" s="2">
        <v>22</v>
      </c>
      <c r="L1576" t="s" s="2">
        <v>22</v>
      </c>
      <c r="M1576" t="s" s="2">
        <v>22</v>
      </c>
    </row>
    <row r="1577" ht="25.0" customHeight="true">
      <c r="A1577" t="s" s="2">
        <v>13</v>
      </c>
      <c r="B1577" t="s" s="2">
        <f>HYPERLINK("http://ts.21cn.com/tousu/show/id/1371670","求放过")</f>
      </c>
      <c r="C1577" t="s" s="2">
        <v>52</v>
      </c>
      <c r="D1577" t="s" s="2">
        <v>16</v>
      </c>
      <c r="E1577" t="s" s="2">
        <v>17</v>
      </c>
      <c r="F1577" t="s" s="2">
        <f>HYPERLINK("http://ts.21cn.com/tousu/show/id/1371670","http://ts.21cn.com/tousu/show/id/1371670")</f>
      </c>
      <c r="G1577" t="s" s="2">
        <v>17</v>
      </c>
      <c r="H1577" t="s" s="2">
        <v>19</v>
      </c>
      <c r="I1577" t="s" s="2">
        <v>6206</v>
      </c>
      <c r="J1577" t="s" s="2">
        <v>6207</v>
      </c>
      <c r="K1577" t="s" s="2">
        <v>22</v>
      </c>
      <c r="L1577" t="s" s="2">
        <v>22</v>
      </c>
      <c r="M1577" t="s" s="2">
        <v>22</v>
      </c>
    </row>
    <row r="1578" ht="25.0" customHeight="true">
      <c r="A1578" t="s" s="2">
        <v>13</v>
      </c>
      <c r="B1578" t="s" s="2">
        <f>HYPERLINK("http://ts.21cn.com/tousu/show/id/1372442","投诉兴业银行")</f>
      </c>
      <c r="C1578" t="s" s="2">
        <v>15</v>
      </c>
      <c r="D1578" t="s" s="2">
        <v>16</v>
      </c>
      <c r="E1578" t="s" s="2">
        <v>17</v>
      </c>
      <c r="F1578" t="s" s="2">
        <f>HYPERLINK("http://ts.21cn.com/tousu/show/id/1372442","http://ts.21cn.com/tousu/show/id/1372442")</f>
      </c>
      <c r="G1578" t="s" s="2">
        <v>17</v>
      </c>
      <c r="H1578" t="s" s="2">
        <v>19</v>
      </c>
      <c r="I1578" t="s" s="2">
        <v>6210</v>
      </c>
      <c r="J1578" t="s" s="2">
        <v>6211</v>
      </c>
      <c r="K1578" t="s" s="2">
        <v>22</v>
      </c>
      <c r="L1578" t="s" s="2">
        <v>22</v>
      </c>
      <c r="M1578" t="s" s="2">
        <v>22</v>
      </c>
    </row>
    <row r="1579" ht="25.0" customHeight="true">
      <c r="A1579" t="s" s="2">
        <v>13</v>
      </c>
      <c r="B1579" t="s" s="2">
        <f>HYPERLINK("http://ts.21cn.com/tousu/show/id/1372432","苹果官方旗舰店买的苹果11不见了")</f>
      </c>
      <c r="C1579" t="s" s="2">
        <v>15</v>
      </c>
      <c r="D1579" t="s" s="2">
        <v>16</v>
      </c>
      <c r="E1579" t="s" s="2">
        <v>17</v>
      </c>
      <c r="F1579" t="s" s="2">
        <f>HYPERLINK("http://ts.21cn.com/tousu/show/id/1372432","http://ts.21cn.com/tousu/show/id/1372432")</f>
      </c>
      <c r="G1579" t="s" s="2">
        <v>17</v>
      </c>
      <c r="H1579" t="s" s="2">
        <v>19</v>
      </c>
      <c r="I1579" t="s" s="2">
        <v>6214</v>
      </c>
      <c r="J1579" t="s" s="2">
        <v>6215</v>
      </c>
      <c r="K1579" t="s" s="2">
        <v>22</v>
      </c>
      <c r="L1579" t="s" s="2">
        <v>22</v>
      </c>
      <c r="M1579" t="s" s="2">
        <v>22</v>
      </c>
    </row>
    <row r="1580" ht="25.0" customHeight="true">
      <c r="A1580" t="s" s="2">
        <v>13</v>
      </c>
      <c r="B1580" t="s" s="2">
        <f>HYPERLINK("http://ts.21cn.com/tousu/show/id/1372441","没有借款，电话催收在他们平台借款")</f>
      </c>
      <c r="C1580" t="s" s="2">
        <v>15</v>
      </c>
      <c r="D1580" t="s" s="2">
        <v>16</v>
      </c>
      <c r="E1580" t="s" s="2">
        <v>17</v>
      </c>
      <c r="F1580" t="s" s="2">
        <f>HYPERLINK("http://ts.21cn.com/tousu/show/id/1372441","http://ts.21cn.com/tousu/show/id/1372441")</f>
      </c>
      <c r="G1580" t="s" s="2">
        <v>17</v>
      </c>
      <c r="H1580" t="s" s="2">
        <v>19</v>
      </c>
      <c r="I1580" t="s" s="2">
        <v>6218</v>
      </c>
      <c r="J1580" t="s" s="2">
        <v>6219</v>
      </c>
      <c r="K1580" t="s" s="2">
        <v>22</v>
      </c>
      <c r="L1580" t="s" s="2">
        <v>22</v>
      </c>
      <c r="M1580" t="s" s="2">
        <v>22</v>
      </c>
    </row>
    <row r="1581" ht="25.0" customHeight="true">
      <c r="A1581" t="s" s="2">
        <v>13</v>
      </c>
      <c r="B1581" t="s" s="2">
        <f>HYPERLINK("http://ts.21cn.com/tousu/show/id/1372440","京东客服骂人，京东不给退货符合三包")</f>
      </c>
      <c r="C1581" t="s" s="2">
        <v>15</v>
      </c>
      <c r="D1581" t="s" s="2">
        <v>16</v>
      </c>
      <c r="E1581" t="s" s="2">
        <v>17</v>
      </c>
      <c r="F1581" t="s" s="2">
        <f>HYPERLINK("http://ts.21cn.com/tousu/show/id/1372440","http://ts.21cn.com/tousu/show/id/1372440")</f>
      </c>
      <c r="G1581" t="s" s="2">
        <v>17</v>
      </c>
      <c r="H1581" t="s" s="2">
        <v>19</v>
      </c>
      <c r="I1581" t="s" s="2">
        <v>6222</v>
      </c>
      <c r="J1581" t="s" s="2">
        <v>6223</v>
      </c>
      <c r="K1581" t="s" s="2">
        <v>22</v>
      </c>
      <c r="L1581" t="s" s="2">
        <v>22</v>
      </c>
      <c r="M1581" t="s" s="2">
        <v>22</v>
      </c>
    </row>
    <row r="1582" ht="25.0" customHeight="true">
      <c r="A1582" t="s" s="2">
        <v>13</v>
      </c>
      <c r="B1582" t="s" s="2">
        <f>HYPERLINK("http://ts.21cn.com/tousu/show/id/1372439","手机借钱多宝分期")</f>
      </c>
      <c r="C1582" t="s" s="2">
        <v>15</v>
      </c>
      <c r="D1582" t="s" s="2">
        <v>16</v>
      </c>
      <c r="E1582" t="s" s="2">
        <v>17</v>
      </c>
      <c r="F1582" t="s" s="2">
        <f>HYPERLINK("http://ts.21cn.com/tousu/show/id/1372439","http://ts.21cn.com/tousu/show/id/1372439")</f>
      </c>
      <c r="G1582" t="s" s="2">
        <v>17</v>
      </c>
      <c r="H1582" t="s" s="2">
        <v>19</v>
      </c>
      <c r="I1582" t="s" s="2">
        <v>6226</v>
      </c>
      <c r="J1582" t="s" s="2">
        <v>6227</v>
      </c>
      <c r="K1582" t="s" s="2">
        <v>22</v>
      </c>
      <c r="L1582" t="s" s="2">
        <v>22</v>
      </c>
      <c r="M1582" t="s" s="2">
        <v>22</v>
      </c>
    </row>
    <row r="1583" ht="25.0" customHeight="true">
      <c r="A1583" t="s" s="2">
        <v>13</v>
      </c>
      <c r="B1583" t="s" s="2">
        <f>HYPERLINK("http://ts.21cn.com/tousu/show/id/1372438","微信转了几次账就封了")</f>
      </c>
      <c r="C1583" t="s" s="2">
        <v>52</v>
      </c>
      <c r="D1583" t="s" s="2">
        <v>16</v>
      </c>
      <c r="E1583" t="s" s="2">
        <v>17</v>
      </c>
      <c r="F1583" t="s" s="2">
        <f>HYPERLINK("http://ts.21cn.com/tousu/show/id/1372438","http://ts.21cn.com/tousu/show/id/1372438")</f>
      </c>
      <c r="G1583" t="s" s="2">
        <v>17</v>
      </c>
      <c r="H1583" t="s" s="2">
        <v>19</v>
      </c>
      <c r="I1583" t="s" s="2">
        <v>6230</v>
      </c>
      <c r="J1583" t="s" s="2">
        <v>6231</v>
      </c>
      <c r="K1583" t="s" s="2">
        <v>22</v>
      </c>
      <c r="L1583" t="s" s="2">
        <v>22</v>
      </c>
      <c r="M1583" t="s" s="2">
        <v>22</v>
      </c>
    </row>
    <row r="1584" ht="25.0" customHeight="true">
      <c r="A1584" t="s" s="2">
        <v>13</v>
      </c>
      <c r="B1584" t="s" s="2">
        <f>HYPERLINK("http://ts.21cn.com/tousu/show/id/1372436","搜款网收货后不处理退款，原因是档口不给退现，但是货物并没有下架")</f>
      </c>
      <c r="C1584" t="s" s="2">
        <v>52</v>
      </c>
      <c r="D1584" t="s" s="2">
        <v>16</v>
      </c>
      <c r="E1584" t="s" s="2">
        <v>17</v>
      </c>
      <c r="F1584" t="s" s="2">
        <f>HYPERLINK("http://ts.21cn.com/tousu/show/id/1372436","http://ts.21cn.com/tousu/show/id/1372436")</f>
      </c>
      <c r="G1584" t="s" s="2">
        <v>17</v>
      </c>
      <c r="H1584" t="s" s="2">
        <v>19</v>
      </c>
      <c r="I1584" t="s" s="2">
        <v>6234</v>
      </c>
      <c r="J1584" t="s" s="2">
        <v>6235</v>
      </c>
      <c r="K1584" t="s" s="2">
        <v>22</v>
      </c>
      <c r="L1584" t="s" s="2">
        <v>22</v>
      </c>
      <c r="M1584" t="s" s="2">
        <v>22</v>
      </c>
    </row>
    <row r="1585" ht="25.0" customHeight="true">
      <c r="A1585" t="s" s="2">
        <v>13</v>
      </c>
      <c r="B1585" t="s" s="2">
        <f>HYPERLINK("http://ts.21cn.com/tousu/show/id/1372435","造艺科技扣款，请退款")</f>
      </c>
      <c r="C1585" t="s" s="2">
        <v>52</v>
      </c>
      <c r="D1585" t="s" s="2">
        <v>16</v>
      </c>
      <c r="E1585" t="s" s="2">
        <v>17</v>
      </c>
      <c r="F1585" t="s" s="2">
        <f>HYPERLINK("http://ts.21cn.com/tousu/show/id/1372435","http://ts.21cn.com/tousu/show/id/1372435")</f>
      </c>
      <c r="G1585" t="s" s="2">
        <v>17</v>
      </c>
      <c r="H1585" t="s" s="2">
        <v>19</v>
      </c>
      <c r="I1585" t="s" s="2">
        <v>6238</v>
      </c>
      <c r="J1585" t="s" s="2">
        <v>6239</v>
      </c>
      <c r="K1585" t="s" s="2">
        <v>22</v>
      </c>
      <c r="L1585" t="s" s="2">
        <v>22</v>
      </c>
      <c r="M1585" t="s" s="2">
        <v>22</v>
      </c>
    </row>
    <row r="1586" ht="25.0" customHeight="true">
      <c r="A1586" t="s" s="2">
        <v>13</v>
      </c>
      <c r="B1586" t="s" s="2">
        <f>HYPERLINK("http://ts.21cn.com/tousu/show/id/1372434","短信轰炸通讯录")</f>
      </c>
      <c r="C1586" t="s" s="2">
        <v>52</v>
      </c>
      <c r="D1586" t="s" s="2">
        <v>16</v>
      </c>
      <c r="E1586" t="s" s="2">
        <v>17</v>
      </c>
      <c r="F1586" t="s" s="2">
        <f>HYPERLINK("http://ts.21cn.com/tousu/show/id/1372434","http://ts.21cn.com/tousu/show/id/1372434")</f>
      </c>
      <c r="G1586" t="s" s="2">
        <v>17</v>
      </c>
      <c r="H1586" t="s" s="2">
        <v>19</v>
      </c>
      <c r="I1586" t="s" s="2">
        <v>6242</v>
      </c>
      <c r="J1586" t="s" s="2">
        <v>6243</v>
      </c>
      <c r="K1586" t="s" s="2">
        <v>22</v>
      </c>
      <c r="L1586" t="s" s="2">
        <v>22</v>
      </c>
      <c r="M1586" t="s" s="2">
        <v>22</v>
      </c>
    </row>
    <row r="1587" ht="25.0" customHeight="true">
      <c r="A1587" t="s" s="2">
        <v>13</v>
      </c>
      <c r="B1587" t="s" s="2">
        <f>HYPERLINK("http://ts.21cn.com/tousu/show/id/1372433","要求中信银行赔偿")</f>
      </c>
      <c r="C1587" t="s" s="2">
        <v>15</v>
      </c>
      <c r="D1587" t="s" s="2">
        <v>16</v>
      </c>
      <c r="E1587" t="s" s="2">
        <v>17</v>
      </c>
      <c r="F1587" t="s" s="2">
        <f>HYPERLINK("http://ts.21cn.com/tousu/show/id/1372433","http://ts.21cn.com/tousu/show/id/1372433")</f>
      </c>
      <c r="G1587" t="s" s="2">
        <v>17</v>
      </c>
      <c r="H1587" t="s" s="2">
        <v>19</v>
      </c>
      <c r="I1587" t="s" s="2">
        <v>6246</v>
      </c>
      <c r="J1587" t="s" s="2">
        <v>6247</v>
      </c>
      <c r="K1587" t="s" s="2">
        <v>22</v>
      </c>
      <c r="L1587" t="s" s="2">
        <v>22</v>
      </c>
      <c r="M1587" t="s" s="2">
        <v>22</v>
      </c>
    </row>
    <row r="1588" ht="25.0" customHeight="true">
      <c r="A1588" t="s" s="2">
        <v>13</v>
      </c>
      <c r="B1588" t="s" s="2">
        <f>HYPERLINK("http://ts.21cn.com/tousu/show/id/1372431","相关部门监督")</f>
      </c>
      <c r="C1588" t="s" s="2">
        <v>15</v>
      </c>
      <c r="D1588" t="s" s="2">
        <v>16</v>
      </c>
      <c r="E1588" t="s" s="2">
        <v>17</v>
      </c>
      <c r="F1588" t="s" s="2">
        <f>HYPERLINK("http://ts.21cn.com/tousu/show/id/1372431","http://ts.21cn.com/tousu/show/id/1372431")</f>
      </c>
      <c r="G1588" t="s" s="2">
        <v>17</v>
      </c>
      <c r="H1588" t="s" s="2">
        <v>19</v>
      </c>
      <c r="I1588" t="s" s="2">
        <v>6250</v>
      </c>
      <c r="J1588" t="s" s="2">
        <v>6251</v>
      </c>
      <c r="K1588" t="s" s="2">
        <v>22</v>
      </c>
      <c r="L1588" t="s" s="2">
        <v>22</v>
      </c>
      <c r="M1588" t="s" s="2">
        <v>22</v>
      </c>
    </row>
    <row r="1589" ht="25.0" customHeight="true">
      <c r="A1589" t="s" s="2">
        <v>13</v>
      </c>
      <c r="B1589" t="s" s="2">
        <f>HYPERLINK("http://ts.21cn.com/tousu/show/id/1372430","还钱了分期乐还暴力催收")</f>
      </c>
      <c r="C1589" t="s" s="2">
        <v>15</v>
      </c>
      <c r="D1589" t="s" s="2">
        <v>16</v>
      </c>
      <c r="E1589" t="s" s="2">
        <v>17</v>
      </c>
      <c r="F1589" t="s" s="2">
        <f>HYPERLINK("http://ts.21cn.com/tousu/show/id/1372430","http://ts.21cn.com/tousu/show/id/1372430")</f>
      </c>
      <c r="G1589" t="s" s="2">
        <v>17</v>
      </c>
      <c r="H1589" t="s" s="2">
        <v>19</v>
      </c>
      <c r="I1589" t="s" s="2">
        <v>6254</v>
      </c>
      <c r="J1589" t="s" s="2">
        <v>6255</v>
      </c>
      <c r="K1589" t="s" s="2">
        <v>22</v>
      </c>
      <c r="L1589" t="s" s="2">
        <v>22</v>
      </c>
      <c r="M1589" t="s" s="2">
        <v>22</v>
      </c>
    </row>
    <row r="1590" ht="25.0" customHeight="true">
      <c r="A1590" t="s" s="2">
        <v>13</v>
      </c>
      <c r="B1590" t="s" s="2">
        <f>HYPERLINK("http://ts.21cn.com/tousu/show/id/1372429","山西省农业银行五台县支行五台山分理处无故拖延不解决贷款遗留问题")</f>
      </c>
      <c r="C1590" t="s" s="2">
        <v>15</v>
      </c>
      <c r="D1590" t="s" s="2">
        <v>16</v>
      </c>
      <c r="E1590" t="s" s="2">
        <v>17</v>
      </c>
      <c r="F1590" t="s" s="2">
        <f>HYPERLINK("http://ts.21cn.com/tousu/show/id/1372429","http://ts.21cn.com/tousu/show/id/1372429")</f>
      </c>
      <c r="G1590" t="s" s="2">
        <v>17</v>
      </c>
      <c r="H1590" t="s" s="2">
        <v>19</v>
      </c>
      <c r="I1590" t="s" s="2">
        <v>6258</v>
      </c>
      <c r="J1590" t="s" s="2">
        <v>6259</v>
      </c>
      <c r="K1590" t="s" s="2">
        <v>22</v>
      </c>
      <c r="L1590" t="s" s="2">
        <v>22</v>
      </c>
      <c r="M1590" t="s" s="2">
        <v>22</v>
      </c>
    </row>
    <row r="1591" ht="25.0" customHeight="true">
      <c r="A1591" t="s" s="2">
        <v>13</v>
      </c>
      <c r="B1591" t="s" s="2">
        <f>HYPERLINK("http://ts.21cn.com/tousu/show/id/1372428","乱收费，收费不合理")</f>
      </c>
      <c r="C1591" t="s" s="2">
        <v>15</v>
      </c>
      <c r="D1591" t="s" s="2">
        <v>16</v>
      </c>
      <c r="E1591" t="s" s="2">
        <v>17</v>
      </c>
      <c r="F1591" t="s" s="2">
        <f>HYPERLINK("http://ts.21cn.com/tousu/show/id/1372428","http://ts.21cn.com/tousu/show/id/1372428")</f>
      </c>
      <c r="G1591" t="s" s="2">
        <v>17</v>
      </c>
      <c r="H1591" t="s" s="2">
        <v>19</v>
      </c>
      <c r="I1591" t="s" s="2">
        <v>6262</v>
      </c>
      <c r="J1591" t="s" s="2">
        <v>6263</v>
      </c>
      <c r="K1591" t="s" s="2">
        <v>22</v>
      </c>
      <c r="L1591" t="s" s="2">
        <v>22</v>
      </c>
      <c r="M1591" t="s" s="2">
        <v>22</v>
      </c>
    </row>
    <row r="1592" ht="25.0" customHeight="true">
      <c r="A1592" t="s" s="2">
        <v>13</v>
      </c>
      <c r="B1592" t="s" s="2">
        <f>HYPERLINK("http://ts.21cn.com/tousu/show/id/1372427","高利息，还收取很高的保费，问题就不解决，每天骚扰，客服也找不到")</f>
      </c>
      <c r="C1592" t="s" s="2">
        <v>15</v>
      </c>
      <c r="D1592" t="s" s="2">
        <v>16</v>
      </c>
      <c r="E1592" t="s" s="2">
        <v>17</v>
      </c>
      <c r="F1592" t="s" s="2">
        <f>HYPERLINK("http://ts.21cn.com/tousu/show/id/1372427","http://ts.21cn.com/tousu/show/id/1372427")</f>
      </c>
      <c r="G1592" t="s" s="2">
        <v>17</v>
      </c>
      <c r="H1592" t="s" s="2">
        <v>19</v>
      </c>
      <c r="I1592" t="s" s="2">
        <v>6266</v>
      </c>
      <c r="J1592" t="s" s="2">
        <v>6267</v>
      </c>
      <c r="K1592" t="s" s="2">
        <v>22</v>
      </c>
      <c r="L1592" t="s" s="2">
        <v>22</v>
      </c>
      <c r="M1592" t="s" s="2">
        <v>22</v>
      </c>
    </row>
    <row r="1593" ht="25.0" customHeight="true">
      <c r="A1593" t="s" s="2">
        <v>13</v>
      </c>
      <c r="B1593" t="s" s="2">
        <f>HYPERLINK("http://ts.21cn.com/tousu/show/id/1372426","京东白条已经还完，老是骚扰")</f>
      </c>
      <c r="C1593" t="s" s="2">
        <v>15</v>
      </c>
      <c r="D1593" t="s" s="2">
        <v>16</v>
      </c>
      <c r="E1593" t="s" s="2">
        <v>17</v>
      </c>
      <c r="F1593" t="s" s="2">
        <f>HYPERLINK("http://ts.21cn.com/tousu/show/id/1372426","http://ts.21cn.com/tousu/show/id/1372426")</f>
      </c>
      <c r="G1593" t="s" s="2">
        <v>17</v>
      </c>
      <c r="H1593" t="s" s="2">
        <v>19</v>
      </c>
      <c r="I1593" t="s" s="2">
        <v>6270</v>
      </c>
      <c r="J1593" t="s" s="2">
        <v>6271</v>
      </c>
      <c r="K1593" t="s" s="2">
        <v>22</v>
      </c>
      <c r="L1593" t="s" s="2">
        <v>22</v>
      </c>
      <c r="M1593" t="s" s="2">
        <v>22</v>
      </c>
    </row>
    <row r="1594" ht="25.0" customHeight="true">
      <c r="A1594" t="s" s="2">
        <v>13</v>
      </c>
      <c r="B1594" t="s" s="2">
        <f>HYPERLINK("http://ts.21cn.com/tousu/show/id/1372413","美利车贷高额利息")</f>
      </c>
      <c r="C1594" t="s" s="2">
        <v>15</v>
      </c>
      <c r="D1594" t="s" s="2">
        <v>16</v>
      </c>
      <c r="E1594" t="s" s="2">
        <v>17</v>
      </c>
      <c r="F1594" t="s" s="2">
        <f>HYPERLINK("http://ts.21cn.com/tousu/show/id/1372413","http://ts.21cn.com/tousu/show/id/1372413")</f>
      </c>
      <c r="G1594" t="s" s="2">
        <v>17</v>
      </c>
      <c r="H1594" t="s" s="2">
        <v>19</v>
      </c>
      <c r="I1594" t="s" s="2">
        <v>6274</v>
      </c>
      <c r="J1594" t="s" s="2">
        <v>6275</v>
      </c>
      <c r="K1594" t="s" s="2">
        <v>22</v>
      </c>
      <c r="L1594" t="s" s="2">
        <v>22</v>
      </c>
      <c r="M1594" t="s" s="2">
        <v>22</v>
      </c>
    </row>
    <row r="1595" ht="25.0" customHeight="true">
      <c r="A1595" t="s" s="2">
        <v>13</v>
      </c>
      <c r="B1595" t="s" s="2">
        <f>HYPERLINK("http://ts.21cn.com/tousu/show/id/1372425","要求销账")</f>
      </c>
      <c r="C1595" t="s" s="2">
        <v>52</v>
      </c>
      <c r="D1595" t="s" s="2">
        <v>16</v>
      </c>
      <c r="E1595" t="s" s="2">
        <v>17</v>
      </c>
      <c r="F1595" t="s" s="2">
        <f>HYPERLINK("http://ts.21cn.com/tousu/show/id/1372425","http://ts.21cn.com/tousu/show/id/1372425")</f>
      </c>
      <c r="G1595" t="s" s="2">
        <v>17</v>
      </c>
      <c r="H1595" t="s" s="2">
        <v>19</v>
      </c>
      <c r="I1595" t="s" s="2">
        <v>6278</v>
      </c>
      <c r="J1595" t="s" s="2">
        <v>6279</v>
      </c>
      <c r="K1595" t="s" s="2">
        <v>22</v>
      </c>
      <c r="L1595" t="s" s="2">
        <v>22</v>
      </c>
      <c r="M1595" t="s" s="2">
        <v>22</v>
      </c>
    </row>
    <row r="1596" ht="25.0" customHeight="true">
      <c r="A1596" t="s" s="2">
        <v>13</v>
      </c>
      <c r="B1596" t="s" s="2">
        <f>HYPERLINK("http://ts.21cn.com/tousu/show/id/1372424","退房房租迟迟不退，电话不接")</f>
      </c>
      <c r="C1596" t="s" s="2">
        <v>15</v>
      </c>
      <c r="D1596" t="s" s="2">
        <v>16</v>
      </c>
      <c r="E1596" t="s" s="2">
        <v>17</v>
      </c>
      <c r="F1596" t="s" s="2">
        <f>HYPERLINK("http://ts.21cn.com/tousu/show/id/1372424","http://ts.21cn.com/tousu/show/id/1372424")</f>
      </c>
      <c r="G1596" t="s" s="2">
        <v>17</v>
      </c>
      <c r="H1596" t="s" s="2">
        <v>19</v>
      </c>
      <c r="I1596" t="s" s="2">
        <v>6282</v>
      </c>
      <c r="J1596" t="s" s="2">
        <v>6283</v>
      </c>
      <c r="K1596" t="s" s="2">
        <v>22</v>
      </c>
      <c r="L1596" t="s" s="2">
        <v>22</v>
      </c>
      <c r="M1596" t="s" s="2">
        <v>22</v>
      </c>
    </row>
    <row r="1597" ht="25.0" customHeight="true">
      <c r="A1597" t="s" s="2">
        <v>13</v>
      </c>
      <c r="B1597" t="s" s="2">
        <f>HYPERLINK("http://ts.21cn.com/tousu/show/id/1372423","爱又米催收被投诉，疯狂电话轰炸")</f>
      </c>
      <c r="C1597" t="s" s="2">
        <v>15</v>
      </c>
      <c r="D1597" t="s" s="2">
        <v>16</v>
      </c>
      <c r="E1597" t="s" s="2">
        <v>17</v>
      </c>
      <c r="F1597" t="s" s="2">
        <f>HYPERLINK("http://ts.21cn.com/tousu/show/id/1372423","http://ts.21cn.com/tousu/show/id/1372423")</f>
      </c>
      <c r="G1597" t="s" s="2">
        <v>17</v>
      </c>
      <c r="H1597" t="s" s="2">
        <v>19</v>
      </c>
      <c r="I1597" t="s" s="2">
        <v>6286</v>
      </c>
      <c r="J1597" t="s" s="2">
        <v>6287</v>
      </c>
      <c r="K1597" t="s" s="2">
        <v>22</v>
      </c>
      <c r="L1597" t="s" s="2">
        <v>22</v>
      </c>
      <c r="M1597" t="s" s="2">
        <v>22</v>
      </c>
    </row>
    <row r="1598" ht="25.0" customHeight="true">
      <c r="A1598" t="s" s="2">
        <v>13</v>
      </c>
      <c r="B1598" t="s" s="2">
        <f>HYPERLINK("http://ts.21cn.com/tousu/show/id/1372422","拍拍贷骚扰家人亲友")</f>
      </c>
      <c r="C1598" t="s" s="2">
        <v>15</v>
      </c>
      <c r="D1598" t="s" s="2">
        <v>16</v>
      </c>
      <c r="E1598" t="s" s="2">
        <v>17</v>
      </c>
      <c r="F1598" t="s" s="2">
        <f>HYPERLINK("http://ts.21cn.com/tousu/show/id/1372422","http://ts.21cn.com/tousu/show/id/1372422")</f>
      </c>
      <c r="G1598" t="s" s="2">
        <v>17</v>
      </c>
      <c r="H1598" t="s" s="2">
        <v>19</v>
      </c>
      <c r="I1598" t="s" s="2">
        <v>6290</v>
      </c>
      <c r="J1598" t="s" s="2">
        <v>6291</v>
      </c>
      <c r="K1598" t="s" s="2">
        <v>22</v>
      </c>
      <c r="L1598" t="s" s="2">
        <v>22</v>
      </c>
      <c r="M1598" t="s" s="2">
        <v>22</v>
      </c>
    </row>
    <row r="1599" ht="25.0" customHeight="true">
      <c r="A1599" t="s" s="2">
        <v>13</v>
      </c>
      <c r="B1599" t="s" s="2">
        <f>HYPERLINK("http://ts.21cn.com/tousu/show/id/1372421","京东外包催收骚扰恐吓")</f>
      </c>
      <c r="C1599" t="s" s="2">
        <v>15</v>
      </c>
      <c r="D1599" t="s" s="2">
        <v>16</v>
      </c>
      <c r="E1599" t="s" s="2">
        <v>17</v>
      </c>
      <c r="F1599" t="s" s="2">
        <f>HYPERLINK("http://ts.21cn.com/tousu/show/id/1372421","http://ts.21cn.com/tousu/show/id/1372421")</f>
      </c>
      <c r="G1599" t="s" s="2">
        <v>17</v>
      </c>
      <c r="H1599" t="s" s="2">
        <v>19</v>
      </c>
      <c r="I1599" t="s" s="2">
        <v>6294</v>
      </c>
      <c r="J1599" t="s" s="2">
        <v>6295</v>
      </c>
      <c r="K1599" t="s" s="2">
        <v>22</v>
      </c>
      <c r="L1599" t="s" s="2">
        <v>22</v>
      </c>
      <c r="M1599" t="s" s="2">
        <v>22</v>
      </c>
    </row>
    <row r="1600" ht="25.0" customHeight="true">
      <c r="A1600" t="s" s="2">
        <v>13</v>
      </c>
      <c r="B1600" t="s" s="2">
        <f>HYPERLINK("http://ts.21cn.com/tousu/show/id/1372420","无故扣款")</f>
      </c>
      <c r="C1600" t="s" s="2">
        <v>15</v>
      </c>
      <c r="D1600" t="s" s="2">
        <v>16</v>
      </c>
      <c r="E1600" t="s" s="2">
        <v>17</v>
      </c>
      <c r="F1600" t="s" s="2">
        <f>HYPERLINK("http://ts.21cn.com/tousu/show/id/1372420","http://ts.21cn.com/tousu/show/id/1372420")</f>
      </c>
      <c r="G1600" t="s" s="2">
        <v>17</v>
      </c>
      <c r="H1600" t="s" s="2">
        <v>19</v>
      </c>
      <c r="I1600" t="s" s="2">
        <v>6297</v>
      </c>
      <c r="J1600" t="s" s="2">
        <v>6298</v>
      </c>
      <c r="K1600" t="s" s="2">
        <v>22</v>
      </c>
      <c r="L1600" t="s" s="2">
        <v>22</v>
      </c>
      <c r="M1600" t="s" s="2">
        <v>22</v>
      </c>
    </row>
    <row r="1601" ht="25.0" customHeight="true">
      <c r="A1601" t="s" s="2">
        <v>13</v>
      </c>
      <c r="B1601" t="s" s="2">
        <f>HYPERLINK("http://ts.21cn.com/tousu/show/id/1372419","捷信公司提前还款需要三个月的申请时间")</f>
      </c>
      <c r="C1601" t="s" s="2">
        <v>15</v>
      </c>
      <c r="D1601" t="s" s="2">
        <v>16</v>
      </c>
      <c r="E1601" t="s" s="2">
        <v>17</v>
      </c>
      <c r="F1601" t="s" s="2">
        <f>HYPERLINK("http://ts.21cn.com/tousu/show/id/1372419","http://ts.21cn.com/tousu/show/id/1372419")</f>
      </c>
      <c r="G1601" t="s" s="2">
        <v>17</v>
      </c>
      <c r="H1601" t="s" s="2">
        <v>19</v>
      </c>
      <c r="I1601" t="s" s="2">
        <v>6301</v>
      </c>
      <c r="J1601" t="s" s="2">
        <v>6302</v>
      </c>
      <c r="K1601" t="s" s="2">
        <v>22</v>
      </c>
      <c r="L1601" t="s" s="2">
        <v>22</v>
      </c>
      <c r="M1601" t="s" s="2">
        <v>22</v>
      </c>
    </row>
    <row r="1602" ht="25.0" customHeight="true">
      <c r="A1602" t="s" s="2">
        <v>13</v>
      </c>
      <c r="B1602" t="s" s="2">
        <f>HYPERLINK("http://ts.21cn.com/tousu/show/id/1372418","高利贷，暴利催款，曝光通讯录，砍头息，电话威胁")</f>
      </c>
      <c r="C1602" t="s" s="2">
        <v>15</v>
      </c>
      <c r="D1602" t="s" s="2">
        <v>16</v>
      </c>
      <c r="E1602" t="s" s="2">
        <v>17</v>
      </c>
      <c r="F1602" t="s" s="2">
        <f>HYPERLINK("http://ts.21cn.com/tousu/show/id/1372418","http://ts.21cn.com/tousu/show/id/1372418")</f>
      </c>
      <c r="G1602" t="s" s="2">
        <v>17</v>
      </c>
      <c r="H1602" t="s" s="2">
        <v>19</v>
      </c>
      <c r="I1602" t="s" s="2">
        <v>6305</v>
      </c>
      <c r="J1602" t="s" s="2">
        <v>6306</v>
      </c>
      <c r="K1602" t="s" s="2">
        <v>22</v>
      </c>
      <c r="L1602" t="s" s="2">
        <v>22</v>
      </c>
      <c r="M1602" t="s" s="2">
        <v>22</v>
      </c>
    </row>
    <row r="1603" ht="25.0" customHeight="true">
      <c r="A1603" t="s" s="2">
        <v>13</v>
      </c>
      <c r="B1603" t="s" s="2">
        <f>HYPERLINK("http://ts.21cn.com/tousu/show/id/1372417","闪电借款高额砍头息")</f>
      </c>
      <c r="C1603" t="s" s="2">
        <v>15</v>
      </c>
      <c r="D1603" t="s" s="2">
        <v>16</v>
      </c>
      <c r="E1603" t="s" s="2">
        <v>17</v>
      </c>
      <c r="F1603" t="s" s="2">
        <f>HYPERLINK("http://ts.21cn.com/tousu/show/id/1372417","http://ts.21cn.com/tousu/show/id/1372417")</f>
      </c>
      <c r="G1603" t="s" s="2">
        <v>17</v>
      </c>
      <c r="H1603" t="s" s="2">
        <v>19</v>
      </c>
      <c r="I1603" t="s" s="2">
        <v>6309</v>
      </c>
      <c r="J1603" t="s" s="2">
        <v>6310</v>
      </c>
      <c r="K1603" t="s" s="2">
        <v>22</v>
      </c>
      <c r="L1603" t="s" s="2">
        <v>22</v>
      </c>
      <c r="M1603" t="s" s="2">
        <v>22</v>
      </c>
    </row>
    <row r="1604" ht="25.0" customHeight="true">
      <c r="A1604" t="s" s="2">
        <v>13</v>
      </c>
      <c r="B1604" t="s" s="2">
        <f>HYPERLINK("http://ts.21cn.com/tousu/show/id/1372415","钱站高利贷")</f>
      </c>
      <c r="C1604" t="s" s="2">
        <v>15</v>
      </c>
      <c r="D1604" t="s" s="2">
        <v>16</v>
      </c>
      <c r="E1604" t="s" s="2">
        <v>17</v>
      </c>
      <c r="F1604" t="s" s="2">
        <f>HYPERLINK("http://ts.21cn.com/tousu/show/id/1372415","http://ts.21cn.com/tousu/show/id/1372415")</f>
      </c>
      <c r="G1604" t="s" s="2">
        <v>17</v>
      </c>
      <c r="H1604" t="s" s="2">
        <v>19</v>
      </c>
      <c r="I1604" t="s" s="2">
        <v>6312</v>
      </c>
      <c r="J1604" t="s" s="2">
        <v>6313</v>
      </c>
      <c r="K1604" t="s" s="2">
        <v>22</v>
      </c>
      <c r="L1604" t="s" s="2">
        <v>22</v>
      </c>
      <c r="M1604" t="s" s="2">
        <v>22</v>
      </c>
    </row>
    <row r="1605" ht="25.0" customHeight="true">
      <c r="A1605" t="s" s="2">
        <v>13</v>
      </c>
      <c r="B1605" t="s" s="2">
        <f>HYPERLINK("http://ts.21cn.com/tousu/show/id/1372414","云闪付中国银联纵容网路赌博为网络赌博提供充值服务")</f>
      </c>
      <c r="C1605" t="s" s="2">
        <v>15</v>
      </c>
      <c r="D1605" t="s" s="2">
        <v>16</v>
      </c>
      <c r="E1605" t="s" s="2">
        <v>17</v>
      </c>
      <c r="F1605" t="s" s="2">
        <f>HYPERLINK("http://ts.21cn.com/tousu/show/id/1372414","http://ts.21cn.com/tousu/show/id/1372414")</f>
      </c>
      <c r="G1605" t="s" s="2">
        <v>17</v>
      </c>
      <c r="H1605" t="s" s="2">
        <v>19</v>
      </c>
      <c r="I1605" t="s" s="2">
        <v>6315</v>
      </c>
      <c r="J1605" t="s" s="2">
        <v>6316</v>
      </c>
      <c r="K1605" t="s" s="2">
        <v>22</v>
      </c>
      <c r="L1605" t="s" s="2">
        <v>22</v>
      </c>
      <c r="M1605" t="s" s="2">
        <v>22</v>
      </c>
    </row>
    <row r="1606" ht="25.0" customHeight="true">
      <c r="A1606" t="s" s="2">
        <v>13</v>
      </c>
      <c r="B1606" t="s" s="2">
        <f>HYPERLINK("http://ts.21cn.com/tousu/show/id/1372412","融360平台上及贷高利贷")</f>
      </c>
      <c r="C1606" t="s" s="2">
        <v>15</v>
      </c>
      <c r="D1606" t="s" s="2">
        <v>16</v>
      </c>
      <c r="E1606" t="s" s="2">
        <v>17</v>
      </c>
      <c r="F1606" t="s" s="2">
        <f>HYPERLINK("http://ts.21cn.com/tousu/show/id/1372412","http://ts.21cn.com/tousu/show/id/1372412")</f>
      </c>
      <c r="G1606" t="s" s="2">
        <v>17</v>
      </c>
      <c r="H1606" t="s" s="2">
        <v>19</v>
      </c>
      <c r="I1606" t="s" s="2">
        <v>6319</v>
      </c>
      <c r="J1606" t="s" s="2">
        <v>6320</v>
      </c>
      <c r="K1606" t="s" s="2">
        <v>22</v>
      </c>
      <c r="L1606" t="s" s="2">
        <v>22</v>
      </c>
      <c r="M1606" t="s" s="2">
        <v>22</v>
      </c>
    </row>
    <row r="1607" ht="25.0" customHeight="true">
      <c r="A1607" t="s" s="2">
        <v>13</v>
      </c>
      <c r="B1607" t="s" s="2">
        <f>HYPERLINK("http://ts.21cn.com/tousu/show/id/1372411","高利贷")</f>
      </c>
      <c r="C1607" t="s" s="2">
        <v>15</v>
      </c>
      <c r="D1607" t="s" s="2">
        <v>16</v>
      </c>
      <c r="E1607" t="s" s="2">
        <v>17</v>
      </c>
      <c r="F1607" t="s" s="2">
        <f>HYPERLINK("http://ts.21cn.com/tousu/show/id/1372411","http://ts.21cn.com/tousu/show/id/1372411")</f>
      </c>
      <c r="G1607" t="s" s="2">
        <v>17</v>
      </c>
      <c r="H1607" t="s" s="2">
        <v>19</v>
      </c>
      <c r="I1607" t="s" s="2">
        <v>6322</v>
      </c>
      <c r="J1607" t="s" s="2">
        <v>6323</v>
      </c>
      <c r="K1607" t="s" s="2">
        <v>22</v>
      </c>
      <c r="L1607" t="s" s="2">
        <v>22</v>
      </c>
      <c r="M1607" t="s" s="2">
        <v>22</v>
      </c>
    </row>
    <row r="1608" ht="25.0" customHeight="true">
      <c r="A1608" t="s" s="2">
        <v>13</v>
      </c>
      <c r="B1608" t="s" s="2">
        <f>HYPERLINK("http://ts.21cn.com/tousu/show/id/1372410","招商银行催收骚扰")</f>
      </c>
      <c r="C1608" t="s" s="2">
        <v>15</v>
      </c>
      <c r="D1608" t="s" s="2">
        <v>16</v>
      </c>
      <c r="E1608" t="s" s="2">
        <v>17</v>
      </c>
      <c r="F1608" t="s" s="2">
        <f>HYPERLINK("http://ts.21cn.com/tousu/show/id/1372410","http://ts.21cn.com/tousu/show/id/1372410")</f>
      </c>
      <c r="G1608" t="s" s="2">
        <v>17</v>
      </c>
      <c r="H1608" t="s" s="2">
        <v>19</v>
      </c>
      <c r="I1608" t="s" s="2">
        <v>6326</v>
      </c>
      <c r="J1608" t="s" s="2">
        <v>6327</v>
      </c>
      <c r="K1608" t="s" s="2">
        <v>22</v>
      </c>
      <c r="L1608" t="s" s="2">
        <v>22</v>
      </c>
      <c r="M1608" t="s" s="2">
        <v>22</v>
      </c>
    </row>
    <row r="1609" ht="25.0" customHeight="true">
      <c r="A1609" t="s" s="2">
        <v>13</v>
      </c>
      <c r="B1609" t="s" s="2">
        <f>HYPERLINK("http://ts.21cn.com/tousu/show/id/1372409","诱导充值入会员")</f>
      </c>
      <c r="C1609" t="s" s="2">
        <v>15</v>
      </c>
      <c r="D1609" t="s" s="2">
        <v>16</v>
      </c>
      <c r="E1609" t="s" s="2">
        <v>17</v>
      </c>
      <c r="F1609" t="s" s="2">
        <f>HYPERLINK("http://ts.21cn.com/tousu/show/id/1372409","http://ts.21cn.com/tousu/show/id/1372409")</f>
      </c>
      <c r="G1609" t="s" s="2">
        <v>17</v>
      </c>
      <c r="H1609" t="s" s="2">
        <v>19</v>
      </c>
      <c r="I1609" t="s" s="2">
        <v>6330</v>
      </c>
      <c r="J1609" t="s" s="2">
        <v>6331</v>
      </c>
      <c r="K1609" t="s" s="2">
        <v>22</v>
      </c>
      <c r="L1609" t="s" s="2">
        <v>22</v>
      </c>
      <c r="M1609" t="s" s="2">
        <v>22</v>
      </c>
    </row>
    <row r="1610" ht="25.0" customHeight="true">
      <c r="A1610" t="s" s="2">
        <v>13</v>
      </c>
      <c r="B1610" t="s" s="2">
        <f>HYPERLINK("http://ts.21cn.com/tousu/show/id/1372408","360借条爆力骚扰家人")</f>
      </c>
      <c r="C1610" t="s" s="2">
        <v>52</v>
      </c>
      <c r="D1610" t="s" s="2">
        <v>16</v>
      </c>
      <c r="E1610" t="s" s="2">
        <v>17</v>
      </c>
      <c r="F1610" t="s" s="2">
        <f>HYPERLINK("http://ts.21cn.com/tousu/show/id/1372408","http://ts.21cn.com/tousu/show/id/1372408")</f>
      </c>
      <c r="G1610" t="s" s="2">
        <v>17</v>
      </c>
      <c r="H1610" t="s" s="2">
        <v>19</v>
      </c>
      <c r="I1610" t="s" s="2">
        <v>6334</v>
      </c>
      <c r="J1610" t="s" s="2">
        <v>6335</v>
      </c>
      <c r="K1610" t="s" s="2">
        <v>22</v>
      </c>
      <c r="L1610" t="s" s="2">
        <v>22</v>
      </c>
      <c r="M1610" t="s" s="2">
        <v>22</v>
      </c>
    </row>
    <row r="1611" ht="25.0" customHeight="true">
      <c r="A1611" t="s" s="2">
        <v>13</v>
      </c>
      <c r="B1611" t="s" s="2">
        <f>HYPERLINK("http://ts.21cn.com/tousu/show/id/1372407","达飞云贷垃圾高利贷")</f>
      </c>
      <c r="C1611" t="s" s="2">
        <v>15</v>
      </c>
      <c r="D1611" t="s" s="2">
        <v>16</v>
      </c>
      <c r="E1611" t="s" s="2">
        <v>17</v>
      </c>
      <c r="F1611" t="s" s="2">
        <f>HYPERLINK("http://ts.21cn.com/tousu/show/id/1372407","http://ts.21cn.com/tousu/show/id/1372407")</f>
      </c>
      <c r="G1611" t="s" s="2">
        <v>17</v>
      </c>
      <c r="H1611" t="s" s="2">
        <v>19</v>
      </c>
      <c r="I1611" t="s" s="2">
        <v>6338</v>
      </c>
      <c r="J1611" t="s" s="2">
        <v>6339</v>
      </c>
      <c r="K1611" t="s" s="2">
        <v>22</v>
      </c>
      <c r="L1611" t="s" s="2">
        <v>22</v>
      </c>
      <c r="M1611" t="s" s="2">
        <v>22</v>
      </c>
    </row>
    <row r="1612" ht="25.0" customHeight="true">
      <c r="A1612" t="s" s="2">
        <v>13</v>
      </c>
      <c r="B1612" t="s" s="2">
        <f>HYPERLINK("http://ts.21cn.com/tousu/show/id/1372406","诱导报名，拖延退款")</f>
      </c>
      <c r="C1612" t="s" s="2">
        <v>15</v>
      </c>
      <c r="D1612" t="s" s="2">
        <v>16</v>
      </c>
      <c r="E1612" t="s" s="2">
        <v>17</v>
      </c>
      <c r="F1612" t="s" s="2">
        <f>HYPERLINK("http://ts.21cn.com/tousu/show/id/1372406","http://ts.21cn.com/tousu/show/id/1372406")</f>
      </c>
      <c r="G1612" t="s" s="2">
        <v>17</v>
      </c>
      <c r="H1612" t="s" s="2">
        <v>19</v>
      </c>
      <c r="I1612" t="s" s="2">
        <v>6342</v>
      </c>
      <c r="J1612" t="s" s="2">
        <v>6343</v>
      </c>
      <c r="K1612" t="s" s="2">
        <v>22</v>
      </c>
      <c r="L1612" t="s" s="2">
        <v>22</v>
      </c>
      <c r="M1612" t="s" s="2">
        <v>22</v>
      </c>
    </row>
    <row r="1613" ht="25.0" customHeight="true">
      <c r="A1613" t="s" s="2">
        <v>13</v>
      </c>
      <c r="B1613" t="s" s="2">
        <f>HYPERLINK("http://ts.21cn.com/tousu/show/id/1372405","现金巴士爆通讯录")</f>
      </c>
      <c r="C1613" t="s" s="2">
        <v>15</v>
      </c>
      <c r="D1613" t="s" s="2">
        <v>16</v>
      </c>
      <c r="E1613" t="s" s="2">
        <v>17</v>
      </c>
      <c r="F1613" t="s" s="2">
        <f>HYPERLINK("http://ts.21cn.com/tousu/show/id/1372405","http://ts.21cn.com/tousu/show/id/1372405")</f>
      </c>
      <c r="G1613" t="s" s="2">
        <v>17</v>
      </c>
      <c r="H1613" t="s" s="2">
        <v>19</v>
      </c>
      <c r="I1613" t="s" s="2">
        <v>6346</v>
      </c>
      <c r="J1613" t="s" s="2">
        <v>6347</v>
      </c>
      <c r="K1613" t="s" s="2">
        <v>22</v>
      </c>
      <c r="L1613" t="s" s="2">
        <v>22</v>
      </c>
      <c r="M1613" t="s" s="2">
        <v>22</v>
      </c>
    </row>
    <row r="1614" ht="25.0" customHeight="true">
      <c r="A1614" t="s" s="2">
        <v>13</v>
      </c>
      <c r="B1614" t="s" s="2">
        <f>HYPERLINK("http://ts.21cn.com/tousu/show/id/1372404","拍拍贷恶意催收，诽谤，辱骂")</f>
      </c>
      <c r="C1614" t="s" s="2">
        <v>15</v>
      </c>
      <c r="D1614" t="s" s="2">
        <v>16</v>
      </c>
      <c r="E1614" t="s" s="2">
        <v>17</v>
      </c>
      <c r="F1614" t="s" s="2">
        <f>HYPERLINK("http://ts.21cn.com/tousu/show/id/1372404","http://ts.21cn.com/tousu/show/id/1372404")</f>
      </c>
      <c r="G1614" t="s" s="2">
        <v>17</v>
      </c>
      <c r="H1614" t="s" s="2">
        <v>19</v>
      </c>
      <c r="I1614" t="s" s="2">
        <v>6350</v>
      </c>
      <c r="J1614" t="s" s="2">
        <v>6351</v>
      </c>
      <c r="K1614" t="s" s="2">
        <v>22</v>
      </c>
      <c r="L1614" t="s" s="2">
        <v>22</v>
      </c>
      <c r="M1614" t="s" s="2">
        <v>22</v>
      </c>
    </row>
    <row r="1615" ht="25.0" customHeight="true">
      <c r="A1615" t="s" s="2">
        <v>13</v>
      </c>
      <c r="B1615" t="s" s="2">
        <f>HYPERLINK("http://ts.21cn.com/tousu/show/id/1372403","微博借款恶意催收")</f>
      </c>
      <c r="C1615" t="s" s="2">
        <v>15</v>
      </c>
      <c r="D1615" t="s" s="2">
        <v>16</v>
      </c>
      <c r="E1615" t="s" s="2">
        <v>17</v>
      </c>
      <c r="F1615" t="s" s="2">
        <f>HYPERLINK("http://ts.21cn.com/tousu/show/id/1372403","http://ts.21cn.com/tousu/show/id/1372403")</f>
      </c>
      <c r="G1615" t="s" s="2">
        <v>17</v>
      </c>
      <c r="H1615" t="s" s="2">
        <v>19</v>
      </c>
      <c r="I1615" t="s" s="2">
        <v>6354</v>
      </c>
      <c r="J1615" t="s" s="2">
        <v>6355</v>
      </c>
      <c r="K1615" t="s" s="2">
        <v>22</v>
      </c>
      <c r="L1615" t="s" s="2">
        <v>22</v>
      </c>
      <c r="M1615" t="s" s="2">
        <v>22</v>
      </c>
    </row>
    <row r="1616" ht="25.0" customHeight="true">
      <c r="A1616" t="s" s="2">
        <v>13</v>
      </c>
      <c r="B1616" t="s" s="2">
        <f>HYPERLINK("http://ts.21cn.com/tousu/show/id/1372402","小米金融非法读取并骚扰手机通讯录联系人")</f>
      </c>
      <c r="C1616" t="s" s="2">
        <v>15</v>
      </c>
      <c r="D1616" t="s" s="2">
        <v>16</v>
      </c>
      <c r="E1616" t="s" s="2">
        <v>17</v>
      </c>
      <c r="F1616" t="s" s="2">
        <f>HYPERLINK("http://ts.21cn.com/tousu/show/id/1372402","http://ts.21cn.com/tousu/show/id/1372402")</f>
      </c>
      <c r="G1616" t="s" s="2">
        <v>17</v>
      </c>
      <c r="H1616" t="s" s="2">
        <v>19</v>
      </c>
      <c r="I1616" t="s" s="2">
        <v>6358</v>
      </c>
      <c r="J1616" t="s" s="2">
        <v>6359</v>
      </c>
      <c r="K1616" t="s" s="2">
        <v>22</v>
      </c>
      <c r="L1616" t="s" s="2">
        <v>22</v>
      </c>
      <c r="M1616" t="s" s="2">
        <v>22</v>
      </c>
    </row>
    <row r="1617" ht="25.0" customHeight="true">
      <c r="A1617" t="s" s="2">
        <v>13</v>
      </c>
      <c r="B1617" t="s" s="2">
        <f>HYPERLINK("http://ts.21cn.com/tousu/show/id/1372401","支付宝来分期负面记录")</f>
      </c>
      <c r="C1617" t="s" s="2">
        <v>15</v>
      </c>
      <c r="D1617" t="s" s="2">
        <v>16</v>
      </c>
      <c r="E1617" t="s" s="2">
        <v>17</v>
      </c>
      <c r="F1617" t="s" s="2">
        <f>HYPERLINK("http://ts.21cn.com/tousu/show/id/1372401","http://ts.21cn.com/tousu/show/id/1372401")</f>
      </c>
      <c r="G1617" t="s" s="2">
        <v>17</v>
      </c>
      <c r="H1617" t="s" s="2">
        <v>19</v>
      </c>
      <c r="I1617" t="s" s="2">
        <v>6362</v>
      </c>
      <c r="J1617" t="s" s="2">
        <v>6363</v>
      </c>
      <c r="K1617" t="s" s="2">
        <v>22</v>
      </c>
      <c r="L1617" t="s" s="2">
        <v>22</v>
      </c>
      <c r="M1617" t="s" s="2">
        <v>22</v>
      </c>
    </row>
    <row r="1618" ht="25.0" customHeight="true">
      <c r="A1618" t="s" s="2">
        <v>13</v>
      </c>
      <c r="B1618" t="s" s="2">
        <f>HYPERLINK("http://ts.21cn.com/tousu/show/id/1372400","光大信用卡一次性收手续费")</f>
      </c>
      <c r="C1618" t="s" s="2">
        <v>15</v>
      </c>
      <c r="D1618" t="s" s="2">
        <v>16</v>
      </c>
      <c r="E1618" t="s" s="2">
        <v>17</v>
      </c>
      <c r="F1618" t="s" s="2">
        <f>HYPERLINK("http://ts.21cn.com/tousu/show/id/1372400","http://ts.21cn.com/tousu/show/id/1372400")</f>
      </c>
      <c r="G1618" t="s" s="2">
        <v>17</v>
      </c>
      <c r="H1618" t="s" s="2">
        <v>19</v>
      </c>
      <c r="I1618" t="s" s="2">
        <v>6366</v>
      </c>
      <c r="J1618" t="s" s="2">
        <v>6367</v>
      </c>
      <c r="K1618" t="s" s="2">
        <v>22</v>
      </c>
      <c r="L1618" t="s" s="2">
        <v>22</v>
      </c>
      <c r="M1618" t="s" s="2">
        <v>22</v>
      </c>
    </row>
    <row r="1619" ht="25.0" customHeight="true">
      <c r="A1619" t="s" s="2">
        <v>13</v>
      </c>
      <c r="B1619" t="s" s="2">
        <f>HYPERLINK("http://ts.21cn.com/tousu/show/id/1372397","客服不处理")</f>
      </c>
      <c r="C1619" t="s" s="2">
        <v>15</v>
      </c>
      <c r="D1619" t="s" s="2">
        <v>16</v>
      </c>
      <c r="E1619" t="s" s="2">
        <v>17</v>
      </c>
      <c r="F1619" t="s" s="2">
        <f>HYPERLINK("http://ts.21cn.com/tousu/show/id/1372397","http://ts.21cn.com/tousu/show/id/1372397")</f>
      </c>
      <c r="G1619" t="s" s="2">
        <v>17</v>
      </c>
      <c r="H1619" t="s" s="2">
        <v>19</v>
      </c>
      <c r="I1619" t="s" s="2">
        <v>6370</v>
      </c>
      <c r="J1619" t="s" s="2">
        <v>6371</v>
      </c>
      <c r="K1619" t="s" s="2">
        <v>22</v>
      </c>
      <c r="L1619" t="s" s="2">
        <v>22</v>
      </c>
      <c r="M1619" t="s" s="2">
        <v>22</v>
      </c>
    </row>
    <row r="1620" ht="25.0" customHeight="true">
      <c r="A1620" t="s" s="2">
        <v>13</v>
      </c>
      <c r="B1620" t="s" s="2">
        <f>HYPERLINK("http://ts.21cn.com/tousu/show/id/1372396","暴力催收")</f>
      </c>
      <c r="C1620" t="s" s="2">
        <v>15</v>
      </c>
      <c r="D1620" t="s" s="2">
        <v>16</v>
      </c>
      <c r="E1620" t="s" s="2">
        <v>17</v>
      </c>
      <c r="F1620" t="s" s="2">
        <f>HYPERLINK("http://ts.21cn.com/tousu/show/id/1372396","http://ts.21cn.com/tousu/show/id/1372396")</f>
      </c>
      <c r="G1620" t="s" s="2">
        <v>17</v>
      </c>
      <c r="H1620" t="s" s="2">
        <v>19</v>
      </c>
      <c r="I1620" t="s" s="2">
        <v>6373</v>
      </c>
      <c r="J1620" t="s" s="2">
        <v>6374</v>
      </c>
      <c r="K1620" t="s" s="2">
        <v>22</v>
      </c>
      <c r="L1620" t="s" s="2">
        <v>22</v>
      </c>
      <c r="M1620" t="s" s="2">
        <v>22</v>
      </c>
    </row>
    <row r="1621" ht="25.0" customHeight="true">
      <c r="A1621" t="s" s="2">
        <v>13</v>
      </c>
      <c r="B1621" t="s" s="2">
        <f>HYPERLINK("http://ts.21cn.com/tousu/show/id/1372395","未经同意被扣款，要求退款")</f>
      </c>
      <c r="C1621" t="s" s="2">
        <v>52</v>
      </c>
      <c r="D1621" t="s" s="2">
        <v>16</v>
      </c>
      <c r="E1621" t="s" s="2">
        <v>17</v>
      </c>
      <c r="F1621" t="s" s="2">
        <f>HYPERLINK("http://ts.21cn.com/tousu/show/id/1372395","http://ts.21cn.com/tousu/show/id/1372395")</f>
      </c>
      <c r="G1621" t="s" s="2">
        <v>17</v>
      </c>
      <c r="H1621" t="s" s="2">
        <v>19</v>
      </c>
      <c r="I1621" t="s" s="2">
        <v>6377</v>
      </c>
      <c r="J1621" t="s" s="2">
        <v>6378</v>
      </c>
      <c r="K1621" t="s" s="2">
        <v>22</v>
      </c>
      <c r="L1621" t="s" s="2">
        <v>22</v>
      </c>
      <c r="M1621" t="s" s="2">
        <v>22</v>
      </c>
    </row>
    <row r="1622" ht="25.0" customHeight="true">
      <c r="A1622" t="s" s="2">
        <v>13</v>
      </c>
      <c r="B1622" t="s" s="2">
        <f>HYPERLINK("http://ts.21cn.com/tousu/show/id/1372392","暴力催收，骚扰亲戚朋友")</f>
      </c>
      <c r="C1622" t="s" s="2">
        <v>15</v>
      </c>
      <c r="D1622" t="s" s="2">
        <v>16</v>
      </c>
      <c r="E1622" t="s" s="2">
        <v>17</v>
      </c>
      <c r="F1622" t="s" s="2">
        <f>HYPERLINK("http://ts.21cn.com/tousu/show/id/1372392","http://ts.21cn.com/tousu/show/id/1372392")</f>
      </c>
      <c r="G1622" t="s" s="2">
        <v>17</v>
      </c>
      <c r="H1622" t="s" s="2">
        <v>19</v>
      </c>
      <c r="I1622" t="s" s="2">
        <v>6381</v>
      </c>
      <c r="J1622" t="s" s="2">
        <v>6382</v>
      </c>
      <c r="K1622" t="s" s="2">
        <v>22</v>
      </c>
      <c r="L1622" t="s" s="2">
        <v>22</v>
      </c>
      <c r="M1622" t="s" s="2">
        <v>22</v>
      </c>
    </row>
    <row r="1623" ht="25.0" customHeight="true">
      <c r="A1623" t="s" s="2">
        <v>13</v>
      </c>
      <c r="B1623" t="s" s="2">
        <f>HYPERLINK("http://ts.21cn.com/tousu/show/id/1372393","拼多多活动提示微信助力随机金额红包，所有金额都是0.01元")</f>
      </c>
      <c r="C1623" t="s" s="2">
        <v>15</v>
      </c>
      <c r="D1623" t="s" s="2">
        <v>16</v>
      </c>
      <c r="E1623" t="s" s="2">
        <v>17</v>
      </c>
      <c r="F1623" t="s" s="2">
        <f>HYPERLINK("http://ts.21cn.com/tousu/show/id/1372393","http://ts.21cn.com/tousu/show/id/1372393")</f>
      </c>
      <c r="G1623" t="s" s="2">
        <v>17</v>
      </c>
      <c r="H1623" t="s" s="2">
        <v>19</v>
      </c>
      <c r="I1623" t="s" s="2">
        <v>6385</v>
      </c>
      <c r="J1623" t="s" s="2">
        <v>6386</v>
      </c>
      <c r="K1623" t="s" s="2">
        <v>22</v>
      </c>
      <c r="L1623" t="s" s="2">
        <v>22</v>
      </c>
      <c r="M1623" t="s" s="2">
        <v>22</v>
      </c>
    </row>
    <row r="1624" ht="25.0" customHeight="true">
      <c r="A1624" t="s" s="2">
        <v>13</v>
      </c>
      <c r="B1624" t="s" s="2">
        <f>HYPERLINK("http://ts.21cn.com/tousu/show/id/1372391","拍拍贷爆我通讯录，毁我名誉")</f>
      </c>
      <c r="C1624" t="s" s="2">
        <v>15</v>
      </c>
      <c r="D1624" t="s" s="2">
        <v>16</v>
      </c>
      <c r="E1624" t="s" s="2">
        <v>17</v>
      </c>
      <c r="F1624" t="s" s="2">
        <f>HYPERLINK("http://ts.21cn.com/tousu/show/id/1372391","http://ts.21cn.com/tousu/show/id/1372391")</f>
      </c>
      <c r="G1624" t="s" s="2">
        <v>17</v>
      </c>
      <c r="H1624" t="s" s="2">
        <v>19</v>
      </c>
      <c r="I1624" t="s" s="2">
        <v>6389</v>
      </c>
      <c r="J1624" t="s" s="2">
        <v>6390</v>
      </c>
      <c r="K1624" t="s" s="2">
        <v>22</v>
      </c>
      <c r="L1624" t="s" s="2">
        <v>22</v>
      </c>
      <c r="M1624" t="s" s="2">
        <v>22</v>
      </c>
    </row>
    <row r="1625" ht="25.0" customHeight="true">
      <c r="A1625" t="s" s="2">
        <v>13</v>
      </c>
      <c r="B1625" t="s" s="2">
        <f>HYPERLINK("http://ts.21cn.com/tousu/show/id/1372390","拼多多平台为网络赌博提供充值服务要求退款")</f>
      </c>
      <c r="C1625" t="s" s="2">
        <v>15</v>
      </c>
      <c r="D1625" t="s" s="2">
        <v>16</v>
      </c>
      <c r="E1625" t="s" s="2">
        <v>17</v>
      </c>
      <c r="F1625" t="s" s="2">
        <f>HYPERLINK("http://ts.21cn.com/tousu/show/id/1372390","http://ts.21cn.com/tousu/show/id/1372390")</f>
      </c>
      <c r="G1625" t="s" s="2">
        <v>17</v>
      </c>
      <c r="H1625" t="s" s="2">
        <v>19</v>
      </c>
      <c r="I1625" t="s" s="2">
        <v>6393</v>
      </c>
      <c r="J1625" t="s" s="2">
        <v>6394</v>
      </c>
      <c r="K1625" t="s" s="2">
        <v>22</v>
      </c>
      <c r="L1625" t="s" s="2">
        <v>22</v>
      </c>
      <c r="M1625" t="s" s="2">
        <v>22</v>
      </c>
    </row>
    <row r="1626" ht="25.0" customHeight="true">
      <c r="A1626" t="s" s="2">
        <v>13</v>
      </c>
      <c r="B1626" t="s" s="2">
        <f>HYPERLINK("http://ts.21cn.com/tousu/show/id/1372389","玖富万卡取消贷款申请，不退工本费和交的其他费用")</f>
      </c>
      <c r="C1626" t="s" s="2">
        <v>15</v>
      </c>
      <c r="D1626" t="s" s="2">
        <v>16</v>
      </c>
      <c r="E1626" t="s" s="2">
        <v>17</v>
      </c>
      <c r="F1626" t="s" s="2">
        <f>HYPERLINK("http://ts.21cn.com/tousu/show/id/1372389","http://ts.21cn.com/tousu/show/id/1372389")</f>
      </c>
      <c r="G1626" t="s" s="2">
        <v>17</v>
      </c>
      <c r="H1626" t="s" s="2">
        <v>19</v>
      </c>
      <c r="I1626" t="s" s="2">
        <v>6397</v>
      </c>
      <c r="J1626" t="s" s="2">
        <v>6398</v>
      </c>
      <c r="K1626" t="s" s="2">
        <v>22</v>
      </c>
      <c r="L1626" t="s" s="2">
        <v>22</v>
      </c>
      <c r="M1626" t="s" s="2">
        <v>22</v>
      </c>
    </row>
    <row r="1627" ht="25.0" customHeight="true">
      <c r="A1627" t="s" s="2">
        <v>13</v>
      </c>
      <c r="B1627" t="s" s="2">
        <f>HYPERLINK("http://ts.21cn.com/tousu/show/id/1372388","高炮高利贷，收取高额利息")</f>
      </c>
      <c r="C1627" t="s" s="2">
        <v>15</v>
      </c>
      <c r="D1627" t="s" s="2">
        <v>16</v>
      </c>
      <c r="E1627" t="s" s="2">
        <v>17</v>
      </c>
      <c r="F1627" t="s" s="2">
        <f>HYPERLINK("http://ts.21cn.com/tousu/show/id/1372388","http://ts.21cn.com/tousu/show/id/1372388")</f>
      </c>
      <c r="G1627" t="s" s="2">
        <v>17</v>
      </c>
      <c r="H1627" t="s" s="2">
        <v>19</v>
      </c>
      <c r="I1627" t="s" s="2">
        <v>6401</v>
      </c>
      <c r="J1627" t="s" s="2">
        <v>6402</v>
      </c>
      <c r="K1627" t="s" s="2">
        <v>22</v>
      </c>
      <c r="L1627" t="s" s="2">
        <v>22</v>
      </c>
      <c r="M1627" t="s" s="2">
        <v>22</v>
      </c>
    </row>
    <row r="1628" ht="25.0" customHeight="true">
      <c r="A1628" t="s" s="2">
        <v>13</v>
      </c>
      <c r="B1628" t="s" s="2">
        <f>HYPERLINK("http://ts.21cn.com/tousu/show/id/1372387","暴力催收、高利贷、骚扰、盗取用户信息、客服不处理/处理不当")</f>
      </c>
      <c r="C1628" t="s" s="2">
        <v>15</v>
      </c>
      <c r="D1628" t="s" s="2">
        <v>16</v>
      </c>
      <c r="E1628" t="s" s="2">
        <v>17</v>
      </c>
      <c r="F1628" t="s" s="2">
        <f>HYPERLINK("http://ts.21cn.com/tousu/show/id/1372387","http://ts.21cn.com/tousu/show/id/1372387")</f>
      </c>
      <c r="G1628" t="s" s="2">
        <v>17</v>
      </c>
      <c r="H1628" t="s" s="2">
        <v>19</v>
      </c>
      <c r="I1628" t="s" s="2">
        <v>6405</v>
      </c>
      <c r="J1628" t="s" s="2">
        <v>6406</v>
      </c>
      <c r="K1628" t="s" s="2">
        <v>22</v>
      </c>
      <c r="L1628" t="s" s="2">
        <v>22</v>
      </c>
      <c r="M1628" t="s" s="2">
        <v>22</v>
      </c>
    </row>
    <row r="1629" ht="25.0" customHeight="true">
      <c r="A1629" t="s" s="2">
        <v>13</v>
      </c>
      <c r="B1629" t="s" s="2">
        <f>HYPERLINK("http://ts.21cn.com/tousu/show/id/1372386","高利贷高利息，逾期一天利息就100块钱，还打电话带有威胁性")</f>
      </c>
      <c r="C1629" t="s" s="2">
        <v>15</v>
      </c>
      <c r="D1629" t="s" s="2">
        <v>16</v>
      </c>
      <c r="E1629" t="s" s="2">
        <v>17</v>
      </c>
      <c r="F1629" t="s" s="2">
        <f>HYPERLINK("http://ts.21cn.com/tousu/show/id/1372386","http://ts.21cn.com/tousu/show/id/1372386")</f>
      </c>
      <c r="G1629" t="s" s="2">
        <v>17</v>
      </c>
      <c r="H1629" t="s" s="2">
        <v>19</v>
      </c>
      <c r="I1629" t="s" s="2">
        <v>6409</v>
      </c>
      <c r="J1629" t="s" s="2">
        <v>6410</v>
      </c>
      <c r="K1629" t="s" s="2">
        <v>22</v>
      </c>
      <c r="L1629" t="s" s="2">
        <v>22</v>
      </c>
      <c r="M1629" t="s" s="2">
        <v>22</v>
      </c>
    </row>
    <row r="1630" ht="25.0" customHeight="true">
      <c r="A1630" t="s" s="2">
        <v>13</v>
      </c>
      <c r="B1630" t="s" s="2">
        <f>HYPERLINK("http://ts.21cn.com/tousu/show/id/1372385","上海拍拍贷冒充公检法发送文件给客户第三方")</f>
      </c>
      <c r="C1630" t="s" s="2">
        <v>15</v>
      </c>
      <c r="D1630" t="s" s="2">
        <v>16</v>
      </c>
      <c r="E1630" t="s" s="2">
        <v>17</v>
      </c>
      <c r="F1630" t="s" s="2">
        <f>HYPERLINK("http://ts.21cn.com/tousu/show/id/1372385","http://ts.21cn.com/tousu/show/id/1372385")</f>
      </c>
      <c r="G1630" t="s" s="2">
        <v>17</v>
      </c>
      <c r="H1630" t="s" s="2">
        <v>19</v>
      </c>
      <c r="I1630" t="s" s="2">
        <v>6409</v>
      </c>
      <c r="J1630" t="s" s="2">
        <v>6413</v>
      </c>
      <c r="K1630" t="s" s="2">
        <v>22</v>
      </c>
      <c r="L1630" t="s" s="2">
        <v>22</v>
      </c>
      <c r="M1630" t="s" s="2">
        <v>22</v>
      </c>
    </row>
    <row r="1631" ht="25.0" customHeight="true">
      <c r="A1631" t="s" s="2">
        <v>13</v>
      </c>
      <c r="B1631" t="s" s="2">
        <f>HYPERLINK("http://ts.21cn.com/tousu/show/id/1372383","微信转账，不明收款方为36****************2、36****************9，后转账卡被其盗刷。")</f>
      </c>
      <c r="C1631" t="s" s="2">
        <v>15</v>
      </c>
      <c r="D1631" t="s" s="2">
        <v>16</v>
      </c>
      <c r="E1631" t="s" s="2">
        <v>17</v>
      </c>
      <c r="F1631" t="s" s="2">
        <f>HYPERLINK("http://ts.21cn.com/tousu/show/id/1372383","http://ts.21cn.com/tousu/show/id/1372383")</f>
      </c>
      <c r="G1631" t="s" s="2">
        <v>17</v>
      </c>
      <c r="H1631" t="s" s="2">
        <v>19</v>
      </c>
      <c r="I1631" t="s" s="2">
        <v>6416</v>
      </c>
      <c r="J1631" t="s" s="2">
        <v>6417</v>
      </c>
      <c r="K1631" t="s" s="2">
        <v>22</v>
      </c>
      <c r="L1631" t="s" s="2">
        <v>22</v>
      </c>
      <c r="M1631" t="s" s="2">
        <v>22</v>
      </c>
    </row>
    <row r="1632" ht="25.0" customHeight="true">
      <c r="A1632" t="s" s="2">
        <v>13</v>
      </c>
      <c r="B1632" t="s" s="2">
        <f>HYPERLINK("http://ts.21cn.com/tousu/show/id/1372382","360借条高利贷")</f>
      </c>
      <c r="C1632" t="s" s="2">
        <v>15</v>
      </c>
      <c r="D1632" t="s" s="2">
        <v>16</v>
      </c>
      <c r="E1632" t="s" s="2">
        <v>17</v>
      </c>
      <c r="F1632" t="s" s="2">
        <f>HYPERLINK("http://ts.21cn.com/tousu/show/id/1372382","http://ts.21cn.com/tousu/show/id/1372382")</f>
      </c>
      <c r="G1632" t="s" s="2">
        <v>17</v>
      </c>
      <c r="H1632" t="s" s="2">
        <v>19</v>
      </c>
      <c r="I1632" t="s" s="2">
        <v>6420</v>
      </c>
      <c r="J1632" t="s" s="2">
        <v>6421</v>
      </c>
      <c r="K1632" t="s" s="2">
        <v>22</v>
      </c>
      <c r="L1632" t="s" s="2">
        <v>22</v>
      </c>
      <c r="M1632" t="s" s="2">
        <v>22</v>
      </c>
    </row>
    <row r="1633" ht="25.0" customHeight="true">
      <c r="A1633" t="s" s="2">
        <v>13</v>
      </c>
      <c r="B1633" t="s" s="2">
        <f>HYPERLINK("http://ts.21cn.com/tousu/show/id/1372373","圆通快递不解决售后")</f>
      </c>
      <c r="C1633" t="s" s="2">
        <v>52</v>
      </c>
      <c r="D1633" t="s" s="2">
        <v>16</v>
      </c>
      <c r="E1633" t="s" s="2">
        <v>17</v>
      </c>
      <c r="F1633" t="s" s="2">
        <f>HYPERLINK("http://ts.21cn.com/tousu/show/id/1372373","http://ts.21cn.com/tousu/show/id/1372373")</f>
      </c>
      <c r="G1633" t="s" s="2">
        <v>17</v>
      </c>
      <c r="H1633" t="s" s="2">
        <v>19</v>
      </c>
      <c r="I1633" t="s" s="2">
        <v>6424</v>
      </c>
      <c r="J1633" t="s" s="2">
        <v>6425</v>
      </c>
      <c r="K1633" t="s" s="2">
        <v>22</v>
      </c>
      <c r="L1633" t="s" s="2">
        <v>22</v>
      </c>
      <c r="M1633" t="s" s="2">
        <v>22</v>
      </c>
    </row>
    <row r="1634" ht="25.0" customHeight="true">
      <c r="A1634" t="s" s="2">
        <v>13</v>
      </c>
      <c r="B1634" t="s" s="2">
        <f>HYPERLINK("http://ts.21cn.com/tousu/show/id/1372378","钱站高利贷阴阳合同")</f>
      </c>
      <c r="C1634" t="s" s="2">
        <v>15</v>
      </c>
      <c r="D1634" t="s" s="2">
        <v>16</v>
      </c>
      <c r="E1634" t="s" s="2">
        <v>17</v>
      </c>
      <c r="F1634" t="s" s="2">
        <f>HYPERLINK("http://ts.21cn.com/tousu/show/id/1372378","http://ts.21cn.com/tousu/show/id/1372378")</f>
      </c>
      <c r="G1634" t="s" s="2">
        <v>17</v>
      </c>
      <c r="H1634" t="s" s="2">
        <v>19</v>
      </c>
      <c r="I1634" t="s" s="2">
        <v>6427</v>
      </c>
      <c r="J1634" t="s" s="2">
        <v>6428</v>
      </c>
      <c r="K1634" t="s" s="2">
        <v>22</v>
      </c>
      <c r="L1634" t="s" s="2">
        <v>22</v>
      </c>
      <c r="M1634" t="s" s="2">
        <v>22</v>
      </c>
    </row>
    <row r="1635" ht="25.0" customHeight="true">
      <c r="A1635" t="s" s="2">
        <v>13</v>
      </c>
      <c r="B1635" t="s" s="2">
        <f>HYPERLINK("http://ts.21cn.com/tousu/show/id/1372381","百事普惠恶意扣款")</f>
      </c>
      <c r="C1635" t="s" s="2">
        <v>15</v>
      </c>
      <c r="D1635" t="s" s="2">
        <v>16</v>
      </c>
      <c r="E1635" t="s" s="2">
        <v>17</v>
      </c>
      <c r="F1635" t="s" s="2">
        <f>HYPERLINK("http://ts.21cn.com/tousu/show/id/1372381","http://ts.21cn.com/tousu/show/id/1372381")</f>
      </c>
      <c r="G1635" t="s" s="2">
        <v>17</v>
      </c>
      <c r="H1635" t="s" s="2">
        <v>19</v>
      </c>
      <c r="I1635" t="s" s="2">
        <v>6431</v>
      </c>
      <c r="J1635" t="s" s="2">
        <v>6432</v>
      </c>
      <c r="K1635" t="s" s="2">
        <v>22</v>
      </c>
      <c r="L1635" t="s" s="2">
        <v>22</v>
      </c>
      <c r="M1635" t="s" s="2">
        <v>22</v>
      </c>
    </row>
    <row r="1636" ht="25.0" customHeight="true">
      <c r="A1636" t="s" s="2">
        <v>13</v>
      </c>
      <c r="B1636" t="s" s="2">
        <f>HYPERLINK("http://ts.21cn.com/tousu/show/id/1372380","遭到银行恐吓催收")</f>
      </c>
      <c r="C1636" t="s" s="2">
        <v>15</v>
      </c>
      <c r="D1636" t="s" s="2">
        <v>16</v>
      </c>
      <c r="E1636" t="s" s="2">
        <v>17</v>
      </c>
      <c r="F1636" t="s" s="2">
        <f>HYPERLINK("http://ts.21cn.com/tousu/show/id/1372380","http://ts.21cn.com/tousu/show/id/1372380")</f>
      </c>
      <c r="G1636" t="s" s="2">
        <v>17</v>
      </c>
      <c r="H1636" t="s" s="2">
        <v>19</v>
      </c>
      <c r="I1636" t="s" s="2">
        <v>6435</v>
      </c>
      <c r="J1636" t="s" s="2">
        <v>6436</v>
      </c>
      <c r="K1636" t="s" s="2">
        <v>22</v>
      </c>
      <c r="L1636" t="s" s="2">
        <v>22</v>
      </c>
      <c r="M1636" t="s" s="2">
        <v>22</v>
      </c>
    </row>
    <row r="1637" ht="25.0" customHeight="true">
      <c r="A1637" t="s" s="2">
        <v>13</v>
      </c>
      <c r="B1637" t="s" s="2">
        <f>HYPERLINK("http://ts.21cn.com/tousu/show/id/1372379","光大银行股用催款员催款")</f>
      </c>
      <c r="C1637" t="s" s="2">
        <v>15</v>
      </c>
      <c r="D1637" t="s" s="2">
        <v>16</v>
      </c>
      <c r="E1637" t="s" s="2">
        <v>17</v>
      </c>
      <c r="F1637" t="s" s="2">
        <f>HYPERLINK("http://ts.21cn.com/tousu/show/id/1372379","http://ts.21cn.com/tousu/show/id/1372379")</f>
      </c>
      <c r="G1637" t="s" s="2">
        <v>17</v>
      </c>
      <c r="H1637" t="s" s="2">
        <v>19</v>
      </c>
      <c r="I1637" t="s" s="2">
        <v>6439</v>
      </c>
      <c r="J1637" t="s" s="2">
        <v>6440</v>
      </c>
      <c r="K1637" t="s" s="2">
        <v>22</v>
      </c>
      <c r="L1637" t="s" s="2">
        <v>22</v>
      </c>
      <c r="M1637" t="s" s="2">
        <v>22</v>
      </c>
    </row>
    <row r="1638" ht="25.0" customHeight="true">
      <c r="A1638" t="s" s="2">
        <v>13</v>
      </c>
      <c r="B1638" t="s" s="2">
        <f>HYPERLINK("http://ts.21cn.com/tousu/show/id/1372377","招商信用卡违约金和利息")</f>
      </c>
      <c r="C1638" t="s" s="2">
        <v>15</v>
      </c>
      <c r="D1638" t="s" s="2">
        <v>16</v>
      </c>
      <c r="E1638" t="s" s="2">
        <v>17</v>
      </c>
      <c r="F1638" t="s" s="2">
        <f>HYPERLINK("http://ts.21cn.com/tousu/show/id/1372377","http://ts.21cn.com/tousu/show/id/1372377")</f>
      </c>
      <c r="G1638" t="s" s="2">
        <v>17</v>
      </c>
      <c r="H1638" t="s" s="2">
        <v>19</v>
      </c>
      <c r="I1638" t="s" s="2">
        <v>6443</v>
      </c>
      <c r="J1638" t="s" s="2">
        <v>6444</v>
      </c>
      <c r="K1638" t="s" s="2">
        <v>22</v>
      </c>
      <c r="L1638" t="s" s="2">
        <v>22</v>
      </c>
      <c r="M1638" t="s" s="2">
        <v>22</v>
      </c>
    </row>
    <row r="1639" ht="25.0" customHeight="true">
      <c r="A1639" t="s" s="2">
        <v>13</v>
      </c>
      <c r="B1639" t="s" s="2">
        <f>HYPERLINK("http://ts.21cn.com/tousu/show/id/1372376","假冒伪劣产品")</f>
      </c>
      <c r="C1639" t="s" s="2">
        <v>15</v>
      </c>
      <c r="D1639" t="s" s="2">
        <v>16</v>
      </c>
      <c r="E1639" t="s" s="2">
        <v>17</v>
      </c>
      <c r="F1639" t="s" s="2">
        <f>HYPERLINK("http://ts.21cn.com/tousu/show/id/1372376","http://ts.21cn.com/tousu/show/id/1372376")</f>
      </c>
      <c r="G1639" t="s" s="2">
        <v>17</v>
      </c>
      <c r="H1639" t="s" s="2">
        <v>19</v>
      </c>
      <c r="I1639" t="s" s="2">
        <v>6447</v>
      </c>
      <c r="J1639" t="s" s="2">
        <v>6448</v>
      </c>
      <c r="K1639" t="s" s="2">
        <v>22</v>
      </c>
      <c r="L1639" t="s" s="2">
        <v>22</v>
      </c>
      <c r="M1639" t="s" s="2">
        <v>22</v>
      </c>
    </row>
    <row r="1640" ht="25.0" customHeight="true">
      <c r="A1640" t="s" s="2">
        <v>13</v>
      </c>
      <c r="B1640" t="s" s="2">
        <f>HYPERLINK("http://ts.21cn.com/tousu/show/id/1372374","超过国家规定利息收费")</f>
      </c>
      <c r="C1640" t="s" s="2">
        <v>52</v>
      </c>
      <c r="D1640" t="s" s="2">
        <v>16</v>
      </c>
      <c r="E1640" t="s" s="2">
        <v>17</v>
      </c>
      <c r="F1640" t="s" s="2">
        <f>HYPERLINK("http://ts.21cn.com/tousu/show/id/1372374","http://ts.21cn.com/tousu/show/id/1372374")</f>
      </c>
      <c r="G1640" t="s" s="2">
        <v>17</v>
      </c>
      <c r="H1640" t="s" s="2">
        <v>19</v>
      </c>
      <c r="I1640" t="s" s="2">
        <v>6451</v>
      </c>
      <c r="J1640" t="s" s="2">
        <v>6452</v>
      </c>
      <c r="K1640" t="s" s="2">
        <v>22</v>
      </c>
      <c r="L1640" t="s" s="2">
        <v>22</v>
      </c>
      <c r="M1640" t="s" s="2">
        <v>22</v>
      </c>
    </row>
    <row r="1641" ht="25.0" customHeight="true">
      <c r="A1641" t="s" s="2">
        <v>13</v>
      </c>
      <c r="B1641" t="s" s="2">
        <f>HYPERLINK("http://ts.21cn.com/tousu/show/id/1372372","未经本人同意私自扣款审核费")</f>
      </c>
      <c r="C1641" t="s" s="2">
        <v>15</v>
      </c>
      <c r="D1641" t="s" s="2">
        <v>16</v>
      </c>
      <c r="E1641" t="s" s="2">
        <v>17</v>
      </c>
      <c r="F1641" t="s" s="2">
        <f>HYPERLINK("http://ts.21cn.com/tousu/show/id/1372372","http://ts.21cn.com/tousu/show/id/1372372")</f>
      </c>
      <c r="G1641" t="s" s="2">
        <v>17</v>
      </c>
      <c r="H1641" t="s" s="2">
        <v>19</v>
      </c>
      <c r="I1641" t="s" s="2">
        <v>6455</v>
      </c>
      <c r="J1641" t="s" s="2">
        <v>6456</v>
      </c>
      <c r="K1641" t="s" s="2">
        <v>22</v>
      </c>
      <c r="L1641" t="s" s="2">
        <v>22</v>
      </c>
      <c r="M1641" t="s" s="2">
        <v>22</v>
      </c>
    </row>
    <row r="1642" ht="25.0" customHeight="true">
      <c r="A1642" t="s" s="2">
        <v>13</v>
      </c>
      <c r="B1642" t="s" s="2">
        <f>HYPERLINK("http://ts.21cn.com/tousu/show/id/1372370","中信银行恶意催收，爆通讯录")</f>
      </c>
      <c r="C1642" t="s" s="2">
        <v>15</v>
      </c>
      <c r="D1642" t="s" s="2">
        <v>16</v>
      </c>
      <c r="E1642" t="s" s="2">
        <v>17</v>
      </c>
      <c r="F1642" t="s" s="2">
        <f>HYPERLINK("http://ts.21cn.com/tousu/show/id/1372370","http://ts.21cn.com/tousu/show/id/1372370")</f>
      </c>
      <c r="G1642" t="s" s="2">
        <v>17</v>
      </c>
      <c r="H1642" t="s" s="2">
        <v>19</v>
      </c>
      <c r="I1642" t="s" s="2">
        <v>6459</v>
      </c>
      <c r="J1642" t="s" s="2">
        <v>6460</v>
      </c>
      <c r="K1642" t="s" s="2">
        <v>22</v>
      </c>
      <c r="L1642" t="s" s="2">
        <v>22</v>
      </c>
      <c r="M1642" t="s" s="2">
        <v>22</v>
      </c>
    </row>
    <row r="1643" ht="25.0" customHeight="true">
      <c r="A1643" t="s" s="2">
        <v>13</v>
      </c>
      <c r="B1643" t="s" s="2">
        <f>HYPERLINK("http://ts.21cn.com/tousu/show/id/1372369","在未确认借款时直接进入放款")</f>
      </c>
      <c r="C1643" t="s" s="2">
        <v>52</v>
      </c>
      <c r="D1643" t="s" s="2">
        <v>16</v>
      </c>
      <c r="E1643" t="s" s="2">
        <v>17</v>
      </c>
      <c r="F1643" t="s" s="2">
        <f>HYPERLINK("http://ts.21cn.com/tousu/show/id/1372369","http://ts.21cn.com/tousu/show/id/1372369")</f>
      </c>
      <c r="G1643" t="s" s="2">
        <v>17</v>
      </c>
      <c r="H1643" t="s" s="2">
        <v>19</v>
      </c>
      <c r="I1643" t="s" s="2">
        <v>6463</v>
      </c>
      <c r="J1643" t="s" s="2">
        <v>6464</v>
      </c>
      <c r="K1643" t="s" s="2">
        <v>22</v>
      </c>
      <c r="L1643" t="s" s="2">
        <v>22</v>
      </c>
      <c r="M1643" t="s" s="2">
        <v>22</v>
      </c>
    </row>
    <row r="1644" ht="25.0" customHeight="true">
      <c r="A1644" t="s" s="2">
        <v>13</v>
      </c>
      <c r="B1644" t="s" s="2">
        <f>HYPERLINK("http://ts.21cn.com/tousu/show/id/1372368","马上金融暴力催收")</f>
      </c>
      <c r="C1644" t="s" s="2">
        <v>15</v>
      </c>
      <c r="D1644" t="s" s="2">
        <v>16</v>
      </c>
      <c r="E1644" t="s" s="2">
        <v>17</v>
      </c>
      <c r="F1644" t="s" s="2">
        <f>HYPERLINK("http://ts.21cn.com/tousu/show/id/1372368","http://ts.21cn.com/tousu/show/id/1372368")</f>
      </c>
      <c r="G1644" t="s" s="2">
        <v>17</v>
      </c>
      <c r="H1644" t="s" s="2">
        <v>19</v>
      </c>
      <c r="I1644" t="s" s="2">
        <v>6467</v>
      </c>
      <c r="J1644" t="s" s="2">
        <v>6468</v>
      </c>
      <c r="K1644" t="s" s="2">
        <v>22</v>
      </c>
      <c r="L1644" t="s" s="2">
        <v>22</v>
      </c>
      <c r="M1644" t="s" s="2">
        <v>22</v>
      </c>
    </row>
    <row r="1645" ht="25.0" customHeight="true">
      <c r="A1645" t="s" s="2">
        <v>13</v>
      </c>
      <c r="B1645" t="s" s="2">
        <f>HYPERLINK("http://ts.21cn.com/tousu/show/id/1372322","天猫商家蟹卡不发货")</f>
      </c>
      <c r="C1645" t="s" s="2">
        <v>15</v>
      </c>
      <c r="D1645" t="s" s="2">
        <v>16</v>
      </c>
      <c r="E1645" t="s" s="2">
        <v>17</v>
      </c>
      <c r="F1645" t="s" s="2">
        <f>HYPERLINK("http://ts.21cn.com/tousu/show/id/1372322","http://ts.21cn.com/tousu/show/id/1372322")</f>
      </c>
      <c r="G1645" t="s" s="2">
        <v>17</v>
      </c>
      <c r="H1645" t="s" s="2">
        <v>19</v>
      </c>
      <c r="I1645" t="s" s="2">
        <v>6471</v>
      </c>
      <c r="J1645" t="s" s="2">
        <v>6472</v>
      </c>
      <c r="K1645" t="s" s="2">
        <v>22</v>
      </c>
      <c r="L1645" t="s" s="2">
        <v>22</v>
      </c>
      <c r="M1645" t="s" s="2">
        <v>22</v>
      </c>
    </row>
    <row r="1646" ht="25.0" customHeight="true">
      <c r="A1646" t="s" s="2">
        <v>13</v>
      </c>
      <c r="B1646" t="s" s="2">
        <f>HYPERLINK("http://ts.21cn.com/tousu/show/id/1372367","恶意骚扰，停止骚扰")</f>
      </c>
      <c r="C1646" t="s" s="2">
        <v>15</v>
      </c>
      <c r="D1646" t="s" s="2">
        <v>16</v>
      </c>
      <c r="E1646" t="s" s="2">
        <v>17</v>
      </c>
      <c r="F1646" t="s" s="2">
        <f>HYPERLINK("http://ts.21cn.com/tousu/show/id/1372367","http://ts.21cn.com/tousu/show/id/1372367")</f>
      </c>
      <c r="G1646" t="s" s="2">
        <v>17</v>
      </c>
      <c r="H1646" t="s" s="2">
        <v>19</v>
      </c>
      <c r="I1646" t="s" s="2">
        <v>6475</v>
      </c>
      <c r="J1646" t="s" s="2">
        <v>6476</v>
      </c>
      <c r="K1646" t="s" s="2">
        <v>22</v>
      </c>
      <c r="L1646" t="s" s="2">
        <v>22</v>
      </c>
      <c r="M1646" t="s" s="2">
        <v>22</v>
      </c>
    </row>
    <row r="1647" ht="25.0" customHeight="true">
      <c r="A1647" t="s" s="2">
        <v>13</v>
      </c>
      <c r="B1647" t="s" s="2">
        <f>HYPERLINK("http://ts.21cn.com/tousu/show/id/1372366","360借条，骚扰我通讯录好友")</f>
      </c>
      <c r="C1647" t="s" s="2">
        <v>15</v>
      </c>
      <c r="D1647" t="s" s="2">
        <v>16</v>
      </c>
      <c r="E1647" t="s" s="2">
        <v>17</v>
      </c>
      <c r="F1647" t="s" s="2">
        <f>HYPERLINK("http://ts.21cn.com/tousu/show/id/1372366","http://ts.21cn.com/tousu/show/id/1372366")</f>
      </c>
      <c r="G1647" t="s" s="2">
        <v>17</v>
      </c>
      <c r="H1647" t="s" s="2">
        <v>19</v>
      </c>
      <c r="I1647" t="s" s="2">
        <v>6479</v>
      </c>
      <c r="J1647" t="s" s="2">
        <v>6480</v>
      </c>
      <c r="K1647" t="s" s="2">
        <v>22</v>
      </c>
      <c r="L1647" t="s" s="2">
        <v>22</v>
      </c>
      <c r="M1647" t="s" s="2">
        <v>22</v>
      </c>
    </row>
    <row r="1648" ht="25.0" customHeight="true">
      <c r="A1648" t="s" s="2">
        <v>13</v>
      </c>
      <c r="B1648" t="s" s="2">
        <f>HYPERLINK("http://ts.21cn.com/tousu/show/id/1372365","投诉豹子贷无故扣款")</f>
      </c>
      <c r="C1648" t="s" s="2">
        <v>52</v>
      </c>
      <c r="D1648" t="s" s="2">
        <v>16</v>
      </c>
      <c r="E1648" t="s" s="2">
        <v>17</v>
      </c>
      <c r="F1648" t="s" s="2">
        <f>HYPERLINK("http://ts.21cn.com/tousu/show/id/1372365","http://ts.21cn.com/tousu/show/id/1372365")</f>
      </c>
      <c r="G1648" t="s" s="2">
        <v>17</v>
      </c>
      <c r="H1648" t="s" s="2">
        <v>19</v>
      </c>
      <c r="I1648" t="s" s="2">
        <v>6483</v>
      </c>
      <c r="J1648" t="s" s="2">
        <v>6484</v>
      </c>
      <c r="K1648" t="s" s="2">
        <v>22</v>
      </c>
      <c r="L1648" t="s" s="2">
        <v>22</v>
      </c>
      <c r="M1648" t="s" s="2">
        <v>22</v>
      </c>
    </row>
    <row r="1649" ht="25.0" customHeight="true">
      <c r="A1649" t="s" s="2">
        <v>13</v>
      </c>
      <c r="B1649" t="s" s="2">
        <f>HYPERLINK("http://ts.21cn.com/tousu/show/id/1372364","樱桃小借自己问题还款逾期收取高额逾期费")</f>
      </c>
      <c r="C1649" t="s" s="2">
        <v>15</v>
      </c>
      <c r="D1649" t="s" s="2">
        <v>16</v>
      </c>
      <c r="E1649" t="s" s="2">
        <v>17</v>
      </c>
      <c r="F1649" t="s" s="2">
        <f>HYPERLINK("http://ts.21cn.com/tousu/show/id/1372364","http://ts.21cn.com/tousu/show/id/1372364")</f>
      </c>
      <c r="G1649" t="s" s="2">
        <v>17</v>
      </c>
      <c r="H1649" t="s" s="2">
        <v>19</v>
      </c>
      <c r="I1649" t="s" s="2">
        <v>6487</v>
      </c>
      <c r="J1649" t="s" s="2">
        <v>6488</v>
      </c>
      <c r="K1649" t="s" s="2">
        <v>22</v>
      </c>
      <c r="L1649" t="s" s="2">
        <v>22</v>
      </c>
      <c r="M1649" t="s" s="2">
        <v>22</v>
      </c>
    </row>
    <row r="1650" ht="25.0" customHeight="true">
      <c r="A1650" t="s" s="2">
        <v>13</v>
      </c>
      <c r="B1650" t="s" s="2">
        <f>HYPERLINK("http://ts.21cn.com/tousu/show/id/1372363","联通公司收取个人身份证复印件未协助进行业务处理")</f>
      </c>
      <c r="C1650" t="s" s="2">
        <v>15</v>
      </c>
      <c r="D1650" t="s" s="2">
        <v>16</v>
      </c>
      <c r="E1650" t="s" s="2">
        <v>17</v>
      </c>
      <c r="F1650" t="s" s="2">
        <f>HYPERLINK("http://ts.21cn.com/tousu/show/id/1372363","http://ts.21cn.com/tousu/show/id/1372363")</f>
      </c>
      <c r="G1650" t="s" s="2">
        <v>17</v>
      </c>
      <c r="H1650" t="s" s="2">
        <v>19</v>
      </c>
      <c r="I1650" t="s" s="2">
        <v>6491</v>
      </c>
      <c r="J1650" t="s" s="2">
        <v>6492</v>
      </c>
      <c r="K1650" t="s" s="2">
        <v>22</v>
      </c>
      <c r="L1650" t="s" s="2">
        <v>22</v>
      </c>
      <c r="M1650" t="s" s="2">
        <v>22</v>
      </c>
    </row>
    <row r="1651" ht="25.0" customHeight="true">
      <c r="A1651" t="s" s="2">
        <v>13</v>
      </c>
      <c r="B1651" t="s" s="2">
        <f>HYPERLINK("http://ts.21cn.com/tousu/show/id/1372362","贵州省遵义市湘江投资不交房也不退钱")</f>
      </c>
      <c r="C1651" t="s" s="2">
        <v>15</v>
      </c>
      <c r="D1651" t="s" s="2">
        <v>16</v>
      </c>
      <c r="E1651" t="s" s="2">
        <v>17</v>
      </c>
      <c r="F1651" t="s" s="2">
        <f>HYPERLINK("http://ts.21cn.com/tousu/show/id/1372362","http://ts.21cn.com/tousu/show/id/1372362")</f>
      </c>
      <c r="G1651" t="s" s="2">
        <v>17</v>
      </c>
      <c r="H1651" t="s" s="2">
        <v>19</v>
      </c>
      <c r="I1651" t="s" s="2">
        <v>6495</v>
      </c>
      <c r="J1651" t="s" s="2">
        <v>6496</v>
      </c>
      <c r="K1651" t="s" s="2">
        <v>22</v>
      </c>
      <c r="L1651" t="s" s="2">
        <v>22</v>
      </c>
      <c r="M1651" t="s" s="2">
        <v>22</v>
      </c>
    </row>
    <row r="1652" ht="25.0" customHeight="true">
      <c r="A1652" t="s" s="2">
        <v>13</v>
      </c>
      <c r="B1652" t="s" s="2">
        <f>HYPERLINK("http://ts.21cn.com/tousu/show/id/1372361","普惠快信贷款年利率百分之60")</f>
      </c>
      <c r="C1652" t="s" s="2">
        <v>15</v>
      </c>
      <c r="D1652" t="s" s="2">
        <v>16</v>
      </c>
      <c r="E1652" t="s" s="2">
        <v>17</v>
      </c>
      <c r="F1652" t="s" s="2">
        <f>HYPERLINK("http://ts.21cn.com/tousu/show/id/1372361","http://ts.21cn.com/tousu/show/id/1372361")</f>
      </c>
      <c r="G1652" t="s" s="2">
        <v>17</v>
      </c>
      <c r="H1652" t="s" s="2">
        <v>19</v>
      </c>
      <c r="I1652" t="s" s="2">
        <v>6499</v>
      </c>
      <c r="J1652" t="s" s="2">
        <v>6500</v>
      </c>
      <c r="K1652" t="s" s="2">
        <v>22</v>
      </c>
      <c r="L1652" t="s" s="2">
        <v>22</v>
      </c>
      <c r="M1652" t="s" s="2">
        <v>22</v>
      </c>
    </row>
    <row r="1653" ht="25.0" customHeight="true">
      <c r="A1653" t="s" s="2">
        <v>13</v>
      </c>
      <c r="B1653" t="s" s="2">
        <f>HYPERLINK("http://ts.21cn.com/tousu/show/id/1371301","渤海银行天津成都分行违规结算")</f>
      </c>
      <c r="C1653" t="s" s="2">
        <v>15</v>
      </c>
      <c r="D1653" t="s" s="2">
        <v>16</v>
      </c>
      <c r="E1653" t="s" s="2">
        <v>17</v>
      </c>
      <c r="F1653" t="s" s="2">
        <f>HYPERLINK("http://ts.21cn.com/tousu/show/id/1371301","http://ts.21cn.com/tousu/show/id/1371301")</f>
      </c>
      <c r="G1653" t="s" s="2">
        <v>17</v>
      </c>
      <c r="H1653" t="s" s="2">
        <v>19</v>
      </c>
      <c r="I1653" t="s" s="2">
        <v>6503</v>
      </c>
      <c r="J1653" t="s" s="2">
        <v>6504</v>
      </c>
      <c r="K1653" t="s" s="2">
        <v>22</v>
      </c>
      <c r="L1653" t="s" s="2">
        <v>22</v>
      </c>
      <c r="M1653" t="s" s="2">
        <v>22</v>
      </c>
    </row>
    <row r="1654" ht="25.0" customHeight="true">
      <c r="A1654" t="s" s="2">
        <v>13</v>
      </c>
      <c r="B1654" t="s" s="2">
        <f>HYPERLINK("http://ts.21cn.com/tousu/show/id/1372360","快递丢失")</f>
      </c>
      <c r="C1654" t="s" s="2">
        <v>15</v>
      </c>
      <c r="D1654" t="s" s="2">
        <v>16</v>
      </c>
      <c r="E1654" t="s" s="2">
        <v>17</v>
      </c>
      <c r="F1654" t="s" s="2">
        <f>HYPERLINK("http://ts.21cn.com/tousu/show/id/1372360","http://ts.21cn.com/tousu/show/id/1372360")</f>
      </c>
      <c r="G1654" t="s" s="2">
        <v>17</v>
      </c>
      <c r="H1654" t="s" s="2">
        <v>19</v>
      </c>
      <c r="I1654" t="s" s="2">
        <v>6507</v>
      </c>
      <c r="J1654" t="s" s="2">
        <v>6508</v>
      </c>
      <c r="K1654" t="s" s="2">
        <v>22</v>
      </c>
      <c r="L1654" t="s" s="2">
        <v>22</v>
      </c>
      <c r="M1654" t="s" s="2">
        <v>22</v>
      </c>
    </row>
    <row r="1655" ht="25.0" customHeight="true">
      <c r="A1655" t="s" s="2">
        <v>13</v>
      </c>
      <c r="B1655" t="s" s="2">
        <f>HYPERLINK("http://ts.21cn.com/tousu/show/id/1372357","贷上钱高利贷恶心恐吓催收")</f>
      </c>
      <c r="C1655" t="s" s="2">
        <v>15</v>
      </c>
      <c r="D1655" t="s" s="2">
        <v>16</v>
      </c>
      <c r="E1655" t="s" s="2">
        <v>17</v>
      </c>
      <c r="F1655" t="s" s="2">
        <f>HYPERLINK("http://ts.21cn.com/tousu/show/id/1372357","http://ts.21cn.com/tousu/show/id/1372357")</f>
      </c>
      <c r="G1655" t="s" s="2">
        <v>17</v>
      </c>
      <c r="H1655" t="s" s="2">
        <v>19</v>
      </c>
      <c r="I1655" t="s" s="2">
        <v>6511</v>
      </c>
      <c r="J1655" t="s" s="2">
        <v>6512</v>
      </c>
      <c r="K1655" t="s" s="2">
        <v>22</v>
      </c>
      <c r="L1655" t="s" s="2">
        <v>22</v>
      </c>
      <c r="M1655" t="s" s="2">
        <v>22</v>
      </c>
    </row>
    <row r="1656" ht="25.0" customHeight="true">
      <c r="A1656" t="s" s="2">
        <v>13</v>
      </c>
      <c r="B1656" t="s" s="2">
        <f>HYPERLINK("http://ts.21cn.com/tousu/show/id/1372359","协商违约金建设银行客服一直打太极不处理问题")</f>
      </c>
      <c r="C1656" t="s" s="2">
        <v>15</v>
      </c>
      <c r="D1656" t="s" s="2">
        <v>16</v>
      </c>
      <c r="E1656" t="s" s="2">
        <v>17</v>
      </c>
      <c r="F1656" t="s" s="2">
        <f>HYPERLINK("http://ts.21cn.com/tousu/show/id/1372359","http://ts.21cn.com/tousu/show/id/1372359")</f>
      </c>
      <c r="G1656" t="s" s="2">
        <v>17</v>
      </c>
      <c r="H1656" t="s" s="2">
        <v>19</v>
      </c>
      <c r="I1656" t="s" s="2">
        <v>6515</v>
      </c>
      <c r="J1656" t="s" s="2">
        <v>6516</v>
      </c>
      <c r="K1656" t="s" s="2">
        <v>22</v>
      </c>
      <c r="L1656" t="s" s="2">
        <v>22</v>
      </c>
      <c r="M1656" t="s" s="2">
        <v>22</v>
      </c>
    </row>
    <row r="1657" ht="25.0" customHeight="true">
      <c r="A1657" t="s" s="2">
        <v>13</v>
      </c>
      <c r="B1657" t="s" s="2">
        <f>HYPERLINK("http://ts.21cn.com/tousu/show/id/1368590","宝付支付资金提取")</f>
      </c>
      <c r="C1657" t="s" s="2">
        <v>15</v>
      </c>
      <c r="D1657" t="s" s="2">
        <v>16</v>
      </c>
      <c r="E1657" t="s" s="2">
        <v>17</v>
      </c>
      <c r="F1657" t="s" s="2">
        <f>HYPERLINK("http://ts.21cn.com/tousu/show/id/1368590","http://ts.21cn.com/tousu/show/id/1368590")</f>
      </c>
      <c r="G1657" t="s" s="2">
        <v>17</v>
      </c>
      <c r="H1657" t="s" s="2">
        <v>19</v>
      </c>
      <c r="I1657" t="s" s="2">
        <v>6519</v>
      </c>
      <c r="J1657" t="s" s="2">
        <v>6520</v>
      </c>
      <c r="K1657" t="s" s="2">
        <v>22</v>
      </c>
      <c r="L1657" t="s" s="2">
        <v>22</v>
      </c>
      <c r="M1657" t="s" s="2">
        <v>22</v>
      </c>
    </row>
    <row r="1658" ht="25.0" customHeight="true">
      <c r="A1658" t="s" s="2">
        <v>13</v>
      </c>
      <c r="B1658" t="s" s="2">
        <f>HYPERLINK("http://ts.21cn.com/tousu/show/id/1372356","还款失败")</f>
      </c>
      <c r="C1658" t="s" s="2">
        <v>15</v>
      </c>
      <c r="D1658" t="s" s="2">
        <v>16</v>
      </c>
      <c r="E1658" t="s" s="2">
        <v>17</v>
      </c>
      <c r="F1658" t="s" s="2">
        <f>HYPERLINK("http://ts.21cn.com/tousu/show/id/1372356","http://ts.21cn.com/tousu/show/id/1372356")</f>
      </c>
      <c r="G1658" t="s" s="2">
        <v>17</v>
      </c>
      <c r="H1658" t="s" s="2">
        <v>19</v>
      </c>
      <c r="I1658" t="s" s="2">
        <v>6523</v>
      </c>
      <c r="J1658" t="s" s="2">
        <v>6524</v>
      </c>
      <c r="K1658" t="s" s="2">
        <v>22</v>
      </c>
      <c r="L1658" t="s" s="2">
        <v>22</v>
      </c>
      <c r="M1658" t="s" s="2">
        <v>22</v>
      </c>
    </row>
    <row r="1659" ht="25.0" customHeight="true">
      <c r="A1659" t="s" s="2">
        <v>13</v>
      </c>
      <c r="B1659" t="s" s="2">
        <f>HYPERLINK("http://ts.21cn.com/tousu/show/id/1372355","期待合伙人爆通讯录，高利贷")</f>
      </c>
      <c r="C1659" t="s" s="2">
        <v>15</v>
      </c>
      <c r="D1659" t="s" s="2">
        <v>16</v>
      </c>
      <c r="E1659" t="s" s="2">
        <v>17</v>
      </c>
      <c r="F1659" t="s" s="2">
        <f>HYPERLINK("http://ts.21cn.com/tousu/show/id/1372355","http://ts.21cn.com/tousu/show/id/1372355")</f>
      </c>
      <c r="G1659" t="s" s="2">
        <v>17</v>
      </c>
      <c r="H1659" t="s" s="2">
        <v>19</v>
      </c>
      <c r="I1659" t="s" s="2">
        <v>6527</v>
      </c>
      <c r="J1659" t="s" s="2">
        <v>6528</v>
      </c>
      <c r="K1659" t="s" s="2">
        <v>22</v>
      </c>
      <c r="L1659" t="s" s="2">
        <v>22</v>
      </c>
      <c r="M1659" t="s" s="2">
        <v>22</v>
      </c>
    </row>
    <row r="1660" ht="25.0" customHeight="true">
      <c r="A1660" t="s" s="2">
        <v>13</v>
      </c>
      <c r="B1660" t="s" s="2">
        <f>HYPERLINK("http://ts.21cn.com/tousu/show/id/1372354","百合网广州珠江新城高德置地店金诺公司霸王条款，主体变更世纪佳缘不同意直接取消资料不退款")</f>
      </c>
      <c r="C1660" t="s" s="2">
        <v>15</v>
      </c>
      <c r="D1660" t="s" s="2">
        <v>16</v>
      </c>
      <c r="E1660" t="s" s="2">
        <v>17</v>
      </c>
      <c r="F1660" t="s" s="2">
        <f>HYPERLINK("http://ts.21cn.com/tousu/show/id/1372354","http://ts.21cn.com/tousu/show/id/1372354")</f>
      </c>
      <c r="G1660" t="s" s="2">
        <v>17</v>
      </c>
      <c r="H1660" t="s" s="2">
        <v>19</v>
      </c>
      <c r="I1660" t="s" s="2">
        <v>6531</v>
      </c>
      <c r="J1660" t="s" s="2">
        <v>6532</v>
      </c>
      <c r="K1660" t="s" s="2">
        <v>22</v>
      </c>
      <c r="L1660" t="s" s="2">
        <v>22</v>
      </c>
      <c r="M1660" t="s" s="2">
        <v>22</v>
      </c>
    </row>
    <row r="1661" ht="25.0" customHeight="true">
      <c r="A1661" t="s" s="2">
        <v>13</v>
      </c>
      <c r="B1661" t="s" s="2">
        <f>HYPERLINK("http://ts.21cn.com/tousu/show/id/1372353","取款失败")</f>
      </c>
      <c r="C1661" t="s" s="2">
        <v>52</v>
      </c>
      <c r="D1661" t="s" s="2">
        <v>16</v>
      </c>
      <c r="E1661" t="s" s="2">
        <v>17</v>
      </c>
      <c r="F1661" t="s" s="2">
        <f>HYPERLINK("http://ts.21cn.com/tousu/show/id/1372353","http://ts.21cn.com/tousu/show/id/1372353")</f>
      </c>
      <c r="G1661" t="s" s="2">
        <v>17</v>
      </c>
      <c r="H1661" t="s" s="2">
        <v>19</v>
      </c>
      <c r="I1661" t="s" s="2">
        <v>6535</v>
      </c>
      <c r="J1661" t="s" s="2">
        <v>6536</v>
      </c>
      <c r="K1661" t="s" s="2">
        <v>22</v>
      </c>
      <c r="L1661" t="s" s="2">
        <v>22</v>
      </c>
      <c r="M1661" t="s" s="2">
        <v>22</v>
      </c>
    </row>
    <row r="1662" ht="25.0" customHeight="true">
      <c r="A1662" t="s" s="2">
        <v>13</v>
      </c>
      <c r="B1662" t="s" s="2">
        <f>HYPERLINK("http://ts.21cn.com/tousu/show/id/1372351","贷上钱暴力催收，高利贷")</f>
      </c>
      <c r="C1662" t="s" s="2">
        <v>15</v>
      </c>
      <c r="D1662" t="s" s="2">
        <v>16</v>
      </c>
      <c r="E1662" t="s" s="2">
        <v>17</v>
      </c>
      <c r="F1662" t="s" s="2">
        <f>HYPERLINK("http://ts.21cn.com/tousu/show/id/1372351","http://ts.21cn.com/tousu/show/id/1372351")</f>
      </c>
      <c r="G1662" t="s" s="2">
        <v>17</v>
      </c>
      <c r="H1662" t="s" s="2">
        <v>19</v>
      </c>
      <c r="I1662" t="s" s="2">
        <v>6539</v>
      </c>
      <c r="J1662" t="s" s="2">
        <v>6540</v>
      </c>
      <c r="K1662" t="s" s="2">
        <v>22</v>
      </c>
      <c r="L1662" t="s" s="2">
        <v>22</v>
      </c>
      <c r="M1662" t="s" s="2">
        <v>22</v>
      </c>
    </row>
    <row r="1663" ht="25.0" customHeight="true">
      <c r="A1663" t="s" s="2">
        <v>13</v>
      </c>
      <c r="B1663" t="s" s="2">
        <f>HYPERLINK("http://ts.21cn.com/tousu/show/id/1372350","微信支付转钱被永久冻结，钱取不出来了")</f>
      </c>
      <c r="C1663" t="s" s="2">
        <v>52</v>
      </c>
      <c r="D1663" t="s" s="2">
        <v>16</v>
      </c>
      <c r="E1663" t="s" s="2">
        <v>17</v>
      </c>
      <c r="F1663" t="s" s="2">
        <f>HYPERLINK("http://ts.21cn.com/tousu/show/id/1372350","http://ts.21cn.com/tousu/show/id/1372350")</f>
      </c>
      <c r="G1663" t="s" s="2">
        <v>17</v>
      </c>
      <c r="H1663" t="s" s="2">
        <v>19</v>
      </c>
      <c r="I1663" t="s" s="2">
        <v>6543</v>
      </c>
      <c r="J1663" t="s" s="2">
        <v>6544</v>
      </c>
      <c r="K1663" t="s" s="2">
        <v>22</v>
      </c>
      <c r="L1663" t="s" s="2">
        <v>22</v>
      </c>
      <c r="M1663" t="s" s="2">
        <v>22</v>
      </c>
    </row>
    <row r="1664" ht="25.0" customHeight="true">
      <c r="A1664" t="s" s="2">
        <v>13</v>
      </c>
      <c r="B1664" t="s" s="2">
        <f>HYPERLINK("http://ts.21cn.com/tousu/show/id/1372349","高利贷，暴利催款，曝光通讯录，砍头息，发短信向恶骂我，以我的身份给家人和朋友")</f>
      </c>
      <c r="C1664" t="s" s="2">
        <v>15</v>
      </c>
      <c r="D1664" t="s" s="2">
        <v>16</v>
      </c>
      <c r="E1664" t="s" s="2">
        <v>17</v>
      </c>
      <c r="F1664" t="s" s="2">
        <f>HYPERLINK("http://ts.21cn.com/tousu/show/id/1372349","http://ts.21cn.com/tousu/show/id/1372349")</f>
      </c>
      <c r="G1664" t="s" s="2">
        <v>17</v>
      </c>
      <c r="H1664" t="s" s="2">
        <v>19</v>
      </c>
      <c r="I1664" t="s" s="2">
        <v>6547</v>
      </c>
      <c r="J1664" t="s" s="2">
        <v>6306</v>
      </c>
      <c r="K1664" t="s" s="2">
        <v>22</v>
      </c>
      <c r="L1664" t="s" s="2">
        <v>22</v>
      </c>
      <c r="M1664" t="s" s="2">
        <v>22</v>
      </c>
    </row>
    <row r="1665" ht="25.0" customHeight="true">
      <c r="A1665" t="s" s="2">
        <v>13</v>
      </c>
      <c r="B1665" t="s" s="2">
        <f>HYPERLINK("http://ts.21cn.com/tousu/show/id/1372347","叉叉ipa精灵不退款,退款难")</f>
      </c>
      <c r="C1665" t="s" s="2">
        <v>15</v>
      </c>
      <c r="D1665" t="s" s="2">
        <v>16</v>
      </c>
      <c r="E1665" t="s" s="2">
        <v>17</v>
      </c>
      <c r="F1665" t="s" s="2">
        <f>HYPERLINK("http://ts.21cn.com/tousu/show/id/1372347","http://ts.21cn.com/tousu/show/id/1372347")</f>
      </c>
      <c r="G1665" t="s" s="2">
        <v>17</v>
      </c>
      <c r="H1665" t="s" s="2">
        <v>19</v>
      </c>
      <c r="I1665" t="s" s="2">
        <v>6550</v>
      </c>
      <c r="J1665" t="s" s="2">
        <v>6551</v>
      </c>
      <c r="K1665" t="s" s="2">
        <v>22</v>
      </c>
      <c r="L1665" t="s" s="2">
        <v>22</v>
      </c>
      <c r="M1665" t="s" s="2">
        <v>22</v>
      </c>
    </row>
    <row r="1666" ht="25.0" customHeight="true">
      <c r="A1666" t="s" s="2">
        <v>13</v>
      </c>
      <c r="B1666" t="s" s="2">
        <f>HYPERLINK("http://ts.21cn.com/tousu/show/id/1372346","小赢卡贷爆通讯录，威胁恐吓")</f>
      </c>
      <c r="C1666" t="s" s="2">
        <v>15</v>
      </c>
      <c r="D1666" t="s" s="2">
        <v>16</v>
      </c>
      <c r="E1666" t="s" s="2">
        <v>17</v>
      </c>
      <c r="F1666" t="s" s="2">
        <f>HYPERLINK("http://ts.21cn.com/tousu/show/id/1372346","http://ts.21cn.com/tousu/show/id/1372346")</f>
      </c>
      <c r="G1666" t="s" s="2">
        <v>17</v>
      </c>
      <c r="H1666" t="s" s="2">
        <v>19</v>
      </c>
      <c r="I1666" t="s" s="2">
        <v>6554</v>
      </c>
      <c r="J1666" t="s" s="2">
        <v>6555</v>
      </c>
      <c r="K1666" t="s" s="2">
        <v>22</v>
      </c>
      <c r="L1666" t="s" s="2">
        <v>22</v>
      </c>
      <c r="M1666" t="s" s="2">
        <v>22</v>
      </c>
    </row>
    <row r="1667" ht="25.0" customHeight="true">
      <c r="A1667" t="s" s="2">
        <v>13</v>
      </c>
      <c r="B1667" t="s" s="2">
        <f>HYPERLINK("http://ts.21cn.com/tousu/show/id/1372348","平安银行冒充法院的")</f>
      </c>
      <c r="C1667" t="s" s="2">
        <v>15</v>
      </c>
      <c r="D1667" t="s" s="2">
        <v>16</v>
      </c>
      <c r="E1667" t="s" s="2">
        <v>17</v>
      </c>
      <c r="F1667" t="s" s="2">
        <f>HYPERLINK("http://ts.21cn.com/tousu/show/id/1372348","http://ts.21cn.com/tousu/show/id/1372348")</f>
      </c>
      <c r="G1667" t="s" s="2">
        <v>17</v>
      </c>
      <c r="H1667" t="s" s="2">
        <v>19</v>
      </c>
      <c r="I1667" t="s" s="2">
        <v>6558</v>
      </c>
      <c r="J1667" t="s" s="2">
        <v>6559</v>
      </c>
      <c r="K1667" t="s" s="2">
        <v>22</v>
      </c>
      <c r="L1667" t="s" s="2">
        <v>22</v>
      </c>
      <c r="M1667" t="s" s="2">
        <v>22</v>
      </c>
    </row>
    <row r="1668" ht="25.0" customHeight="true">
      <c r="A1668" t="s" s="2">
        <v>13</v>
      </c>
      <c r="B1668" t="s" s="2">
        <f>HYPERLINK("http://ts.21cn.com/tousu/show/id/1372345","乐伽公寓涉嫌欺诈")</f>
      </c>
      <c r="C1668" t="s" s="2">
        <v>15</v>
      </c>
      <c r="D1668" t="s" s="2">
        <v>16</v>
      </c>
      <c r="E1668" t="s" s="2">
        <v>17</v>
      </c>
      <c r="F1668" t="s" s="2">
        <f>HYPERLINK("http://ts.21cn.com/tousu/show/id/1372345","http://ts.21cn.com/tousu/show/id/1372345")</f>
      </c>
      <c r="G1668" t="s" s="2">
        <v>17</v>
      </c>
      <c r="H1668" t="s" s="2">
        <v>19</v>
      </c>
      <c r="I1668" t="s" s="2">
        <v>6562</v>
      </c>
      <c r="J1668" t="s" s="2">
        <v>6563</v>
      </c>
      <c r="K1668" t="s" s="2">
        <v>22</v>
      </c>
      <c r="L1668" t="s" s="2">
        <v>22</v>
      </c>
      <c r="M1668" t="s" s="2">
        <v>22</v>
      </c>
    </row>
    <row r="1669" ht="25.0" customHeight="true">
      <c r="A1669" t="s" s="2">
        <v>13</v>
      </c>
      <c r="B1669" t="s" s="2">
        <f>HYPERLINK("http://ts.21cn.com/tousu/show/id/1372344","小象优品恶意骚扰通讯录联系人态度恶劣")</f>
      </c>
      <c r="C1669" t="s" s="2">
        <v>15</v>
      </c>
      <c r="D1669" t="s" s="2">
        <v>16</v>
      </c>
      <c r="E1669" t="s" s="2">
        <v>17</v>
      </c>
      <c r="F1669" t="s" s="2">
        <f>HYPERLINK("http://ts.21cn.com/tousu/show/id/1372344","http://ts.21cn.com/tousu/show/id/1372344")</f>
      </c>
      <c r="G1669" t="s" s="2">
        <v>17</v>
      </c>
      <c r="H1669" t="s" s="2">
        <v>19</v>
      </c>
      <c r="I1669" t="s" s="2">
        <v>6566</v>
      </c>
      <c r="J1669" t="s" s="2">
        <v>6567</v>
      </c>
      <c r="K1669" t="s" s="2">
        <v>22</v>
      </c>
      <c r="L1669" t="s" s="2">
        <v>22</v>
      </c>
      <c r="M1669" t="s" s="2">
        <v>22</v>
      </c>
    </row>
    <row r="1670" ht="25.0" customHeight="true">
      <c r="A1670" t="s" s="2">
        <v>13</v>
      </c>
      <c r="B1670" t="s" s="2">
        <f>HYPERLINK("http://ts.21cn.com/tousu/show/id/1372342","莫名其妙易宝扣费")</f>
      </c>
      <c r="C1670" t="s" s="2">
        <v>15</v>
      </c>
      <c r="D1670" t="s" s="2">
        <v>16</v>
      </c>
      <c r="E1670" t="s" s="2">
        <v>17</v>
      </c>
      <c r="F1670" t="s" s="2">
        <f>HYPERLINK("http://ts.21cn.com/tousu/show/id/1372342","http://ts.21cn.com/tousu/show/id/1372342")</f>
      </c>
      <c r="G1670" t="s" s="2">
        <v>17</v>
      </c>
      <c r="H1670" t="s" s="2">
        <v>19</v>
      </c>
      <c r="I1670" t="s" s="2">
        <v>6570</v>
      </c>
      <c r="J1670" t="s" s="2">
        <v>6571</v>
      </c>
      <c r="K1670" t="s" s="2">
        <v>22</v>
      </c>
      <c r="L1670" t="s" s="2">
        <v>22</v>
      </c>
      <c r="M1670" t="s" s="2">
        <v>22</v>
      </c>
    </row>
    <row r="1671" ht="25.0" customHeight="true">
      <c r="A1671" t="s" s="2">
        <v>13</v>
      </c>
      <c r="B1671" t="s" s="2">
        <f>HYPERLINK("http://ts.21cn.com/tousu/show/id/1372341","拖欠尾款不支付")</f>
      </c>
      <c r="C1671" t="s" s="2">
        <v>15</v>
      </c>
      <c r="D1671" t="s" s="2">
        <v>16</v>
      </c>
      <c r="E1671" t="s" s="2">
        <v>17</v>
      </c>
      <c r="F1671" t="s" s="2">
        <f>HYPERLINK("http://ts.21cn.com/tousu/show/id/1372341","http://ts.21cn.com/tousu/show/id/1372341")</f>
      </c>
      <c r="G1671" t="s" s="2">
        <v>17</v>
      </c>
      <c r="H1671" t="s" s="2">
        <v>19</v>
      </c>
      <c r="I1671" t="s" s="2">
        <v>6574</v>
      </c>
      <c r="J1671" t="s" s="2">
        <v>6575</v>
      </c>
      <c r="K1671" t="s" s="2">
        <v>22</v>
      </c>
      <c r="L1671" t="s" s="2">
        <v>22</v>
      </c>
      <c r="M1671" t="s" s="2">
        <v>22</v>
      </c>
    </row>
    <row r="1672" ht="25.0" customHeight="true">
      <c r="A1672" t="s" s="2">
        <v>13</v>
      </c>
      <c r="B1672" t="s" s="2">
        <f>HYPERLINK("http://ts.21cn.com/tousu/show/id/1372340","友信普惠阴阳合同砍头息高利贷坑人不解决问题")</f>
      </c>
      <c r="C1672" t="s" s="2">
        <v>15</v>
      </c>
      <c r="D1672" t="s" s="2">
        <v>16</v>
      </c>
      <c r="E1672" t="s" s="2">
        <v>17</v>
      </c>
      <c r="F1672" t="s" s="2">
        <f>HYPERLINK("http://ts.21cn.com/tousu/show/id/1372340","http://ts.21cn.com/tousu/show/id/1372340")</f>
      </c>
      <c r="G1672" t="s" s="2">
        <v>17</v>
      </c>
      <c r="H1672" t="s" s="2">
        <v>19</v>
      </c>
      <c r="I1672" t="s" s="2">
        <v>6578</v>
      </c>
      <c r="J1672" t="s" s="2">
        <v>6579</v>
      </c>
      <c r="K1672" t="s" s="2">
        <v>22</v>
      </c>
      <c r="L1672" t="s" s="2">
        <v>22</v>
      </c>
      <c r="M1672" t="s" s="2">
        <v>22</v>
      </c>
    </row>
    <row r="1673" ht="25.0" customHeight="true">
      <c r="A1673" t="s" s="2">
        <v>13</v>
      </c>
      <c r="B1673" t="s" s="2">
        <f>HYPERLINK("http://ts.21cn.com/tousu/show/id/1372338","马上消费金融")</f>
      </c>
      <c r="C1673" t="s" s="2">
        <v>15</v>
      </c>
      <c r="D1673" t="s" s="2">
        <v>16</v>
      </c>
      <c r="E1673" t="s" s="2">
        <v>17</v>
      </c>
      <c r="F1673" t="s" s="2">
        <f>HYPERLINK("http://ts.21cn.com/tousu/show/id/1372338","http://ts.21cn.com/tousu/show/id/1372338")</f>
      </c>
      <c r="G1673" t="s" s="2">
        <v>17</v>
      </c>
      <c r="H1673" t="s" s="2">
        <v>19</v>
      </c>
      <c r="I1673" t="s" s="2">
        <v>6582</v>
      </c>
      <c r="J1673" t="s" s="2">
        <v>6583</v>
      </c>
      <c r="K1673" t="s" s="2">
        <v>22</v>
      </c>
      <c r="L1673" t="s" s="2">
        <v>22</v>
      </c>
      <c r="M1673" t="s" s="2">
        <v>22</v>
      </c>
    </row>
    <row r="1674" ht="25.0" customHeight="true">
      <c r="A1674" t="s" s="2">
        <v>13</v>
      </c>
      <c r="B1674" t="s" s="2">
        <f>HYPERLINK("http://ts.21cn.com/tousu/show/id/1372337","威胁恐吓，制造虚假信息")</f>
      </c>
      <c r="C1674" t="s" s="2">
        <v>15</v>
      </c>
      <c r="D1674" t="s" s="2">
        <v>16</v>
      </c>
      <c r="E1674" t="s" s="2">
        <v>17</v>
      </c>
      <c r="F1674" t="s" s="2">
        <f>HYPERLINK("http://ts.21cn.com/tousu/show/id/1372337","http://ts.21cn.com/tousu/show/id/1372337")</f>
      </c>
      <c r="G1674" t="s" s="2">
        <v>17</v>
      </c>
      <c r="H1674" t="s" s="2">
        <v>19</v>
      </c>
      <c r="I1674" t="s" s="2">
        <v>6586</v>
      </c>
      <c r="J1674" t="s" s="2">
        <v>6587</v>
      </c>
      <c r="K1674" t="s" s="2">
        <v>22</v>
      </c>
      <c r="L1674" t="s" s="2">
        <v>22</v>
      </c>
      <c r="M1674" t="s" s="2">
        <v>22</v>
      </c>
    </row>
    <row r="1675" ht="25.0" customHeight="true">
      <c r="A1675" t="s" s="2">
        <v>13</v>
      </c>
      <c r="B1675" t="s" s="2">
        <f>HYPERLINK("http://ts.21cn.com/tousu/show/id/1372336","平安普惠捆绑销售保险，收取服务费，骚扰联系人")</f>
      </c>
      <c r="C1675" t="s" s="2">
        <v>15</v>
      </c>
      <c r="D1675" t="s" s="2">
        <v>16</v>
      </c>
      <c r="E1675" t="s" s="2">
        <v>17</v>
      </c>
      <c r="F1675" t="s" s="2">
        <f>HYPERLINK("http://ts.21cn.com/tousu/show/id/1372336","http://ts.21cn.com/tousu/show/id/1372336")</f>
      </c>
      <c r="G1675" t="s" s="2">
        <v>17</v>
      </c>
      <c r="H1675" t="s" s="2">
        <v>19</v>
      </c>
      <c r="I1675" t="s" s="2">
        <v>6589</v>
      </c>
      <c r="J1675" t="s" s="2">
        <v>6590</v>
      </c>
      <c r="K1675" t="s" s="2">
        <v>22</v>
      </c>
      <c r="L1675" t="s" s="2">
        <v>22</v>
      </c>
      <c r="M1675" t="s" s="2">
        <v>22</v>
      </c>
    </row>
    <row r="1676" ht="25.0" customHeight="true">
      <c r="A1676" t="s" s="2">
        <v>13</v>
      </c>
      <c r="B1676" t="s" s="2">
        <f>HYPERLINK("http://ts.21cn.com/tousu/show/id/1372335","贷上钱以购买商城高额虚拟权益产品名义收取高额砍头息")</f>
      </c>
      <c r="C1676" t="s" s="2">
        <v>15</v>
      </c>
      <c r="D1676" t="s" s="2">
        <v>16</v>
      </c>
      <c r="E1676" t="s" s="2">
        <v>17</v>
      </c>
      <c r="F1676" t="s" s="2">
        <f>HYPERLINK("http://ts.21cn.com/tousu/show/id/1372335","http://ts.21cn.com/tousu/show/id/1372335")</f>
      </c>
      <c r="G1676" t="s" s="2">
        <v>17</v>
      </c>
      <c r="H1676" t="s" s="2">
        <v>19</v>
      </c>
      <c r="I1676" t="s" s="2">
        <v>6593</v>
      </c>
      <c r="J1676" t="s" s="2">
        <v>6594</v>
      </c>
      <c r="K1676" t="s" s="2">
        <v>22</v>
      </c>
      <c r="L1676" t="s" s="2">
        <v>22</v>
      </c>
      <c r="M1676" t="s" s="2">
        <v>22</v>
      </c>
    </row>
    <row r="1677" ht="25.0" customHeight="true">
      <c r="A1677" t="s" s="2">
        <v>13</v>
      </c>
      <c r="B1677" t="s" s="2">
        <f>HYPERLINK("http://ts.21cn.com/tousu/show/id/1372334","京东金融暴力催收")</f>
      </c>
      <c r="C1677" t="s" s="2">
        <v>15</v>
      </c>
      <c r="D1677" t="s" s="2">
        <v>16</v>
      </c>
      <c r="E1677" t="s" s="2">
        <v>17</v>
      </c>
      <c r="F1677" t="s" s="2">
        <f>HYPERLINK("http://ts.21cn.com/tousu/show/id/1372334","http://ts.21cn.com/tousu/show/id/1372334")</f>
      </c>
      <c r="G1677" t="s" s="2">
        <v>17</v>
      </c>
      <c r="H1677" t="s" s="2">
        <v>19</v>
      </c>
      <c r="I1677" t="s" s="2">
        <v>6597</v>
      </c>
      <c r="J1677" t="s" s="2">
        <v>6598</v>
      </c>
      <c r="K1677" t="s" s="2">
        <v>22</v>
      </c>
      <c r="L1677" t="s" s="2">
        <v>22</v>
      </c>
      <c r="M1677" t="s" s="2">
        <v>22</v>
      </c>
    </row>
    <row r="1678" ht="25.0" customHeight="true">
      <c r="A1678" t="s" s="2">
        <v>13</v>
      </c>
      <c r="B1678" t="s" s="2">
        <f>HYPERLINK("http://ts.21cn.com/tousu/show/id/1372333","受害者")</f>
      </c>
      <c r="C1678" t="s" s="2">
        <v>15</v>
      </c>
      <c r="D1678" t="s" s="2">
        <v>16</v>
      </c>
      <c r="E1678" t="s" s="2">
        <v>17</v>
      </c>
      <c r="F1678" t="s" s="2">
        <f>HYPERLINK("http://ts.21cn.com/tousu/show/id/1372333","http://ts.21cn.com/tousu/show/id/1372333")</f>
      </c>
      <c r="G1678" t="s" s="2">
        <v>17</v>
      </c>
      <c r="H1678" t="s" s="2">
        <v>19</v>
      </c>
      <c r="I1678" t="s" s="2">
        <v>6601</v>
      </c>
      <c r="J1678" t="s" s="2">
        <v>6602</v>
      </c>
      <c r="K1678" t="s" s="2">
        <v>22</v>
      </c>
      <c r="L1678" t="s" s="2">
        <v>22</v>
      </c>
      <c r="M1678" t="s" s="2">
        <v>22</v>
      </c>
    </row>
    <row r="1679" ht="25.0" customHeight="true">
      <c r="A1679" t="s" s="2">
        <v>13</v>
      </c>
      <c r="B1679" t="s" s="2">
        <f>HYPERLINK("http://ts.21cn.com/tousu/show/id/1372332","捷信对我进行暴力催收")</f>
      </c>
      <c r="C1679" t="s" s="2">
        <v>15</v>
      </c>
      <c r="D1679" t="s" s="2">
        <v>16</v>
      </c>
      <c r="E1679" t="s" s="2">
        <v>17</v>
      </c>
      <c r="F1679" t="s" s="2">
        <f>HYPERLINK("http://ts.21cn.com/tousu/show/id/1372332","http://ts.21cn.com/tousu/show/id/1372332")</f>
      </c>
      <c r="G1679" t="s" s="2">
        <v>17</v>
      </c>
      <c r="H1679" t="s" s="2">
        <v>19</v>
      </c>
      <c r="I1679" t="s" s="2">
        <v>6605</v>
      </c>
      <c r="J1679" t="s" s="2">
        <v>6606</v>
      </c>
      <c r="K1679" t="s" s="2">
        <v>22</v>
      </c>
      <c r="L1679" t="s" s="2">
        <v>22</v>
      </c>
      <c r="M1679" t="s" s="2">
        <v>22</v>
      </c>
    </row>
    <row r="1680" ht="25.0" customHeight="true">
      <c r="A1680" t="s" s="2">
        <v>13</v>
      </c>
      <c r="B1680" t="s" s="2">
        <f>HYPERLINK("http://ts.21cn.com/tousu/show/id/1372325","恶意催收骚扰")</f>
      </c>
      <c r="C1680" t="s" s="2">
        <v>15</v>
      </c>
      <c r="D1680" t="s" s="2">
        <v>16</v>
      </c>
      <c r="E1680" t="s" s="2">
        <v>17</v>
      </c>
      <c r="F1680" t="s" s="2">
        <f>HYPERLINK("http://ts.21cn.com/tousu/show/id/1372325","http://ts.21cn.com/tousu/show/id/1372325")</f>
      </c>
      <c r="G1680" t="s" s="2">
        <v>17</v>
      </c>
      <c r="H1680" t="s" s="2">
        <v>19</v>
      </c>
      <c r="I1680" t="s" s="2">
        <v>6609</v>
      </c>
      <c r="J1680" t="s" s="2">
        <v>6610</v>
      </c>
      <c r="K1680" t="s" s="2">
        <v>22</v>
      </c>
      <c r="L1680" t="s" s="2">
        <v>22</v>
      </c>
      <c r="M1680" t="s" s="2">
        <v>22</v>
      </c>
    </row>
    <row r="1681" ht="25.0" customHeight="true">
      <c r="A1681" t="s" s="2">
        <v>13</v>
      </c>
      <c r="B1681" t="s" s="2">
        <f>HYPERLINK("http://ts.21cn.com/tousu/show/id/1372330","苏宁金融暴力催收")</f>
      </c>
      <c r="C1681" t="s" s="2">
        <v>15</v>
      </c>
      <c r="D1681" t="s" s="2">
        <v>16</v>
      </c>
      <c r="E1681" t="s" s="2">
        <v>17</v>
      </c>
      <c r="F1681" t="s" s="2">
        <f>HYPERLINK("http://ts.21cn.com/tousu/show/id/1372330","http://ts.21cn.com/tousu/show/id/1372330")</f>
      </c>
      <c r="G1681" t="s" s="2">
        <v>17</v>
      </c>
      <c r="H1681" t="s" s="2">
        <v>19</v>
      </c>
      <c r="I1681" t="s" s="2">
        <v>6613</v>
      </c>
      <c r="J1681" t="s" s="2">
        <v>6614</v>
      </c>
      <c r="K1681" t="s" s="2">
        <v>22</v>
      </c>
      <c r="L1681" t="s" s="2">
        <v>22</v>
      </c>
      <c r="M1681" t="s" s="2">
        <v>22</v>
      </c>
    </row>
    <row r="1682" ht="25.0" customHeight="true">
      <c r="A1682" t="s" s="2">
        <v>13</v>
      </c>
      <c r="B1682" t="s" s="2">
        <f>HYPERLINK("http://ts.21cn.com/tousu/show/id/1372329","聚福钱包未经许可私自扣款")</f>
      </c>
      <c r="C1682" t="s" s="2">
        <v>15</v>
      </c>
      <c r="D1682" t="s" s="2">
        <v>16</v>
      </c>
      <c r="E1682" t="s" s="2">
        <v>17</v>
      </c>
      <c r="F1682" t="s" s="2">
        <f>HYPERLINK("http://ts.21cn.com/tousu/show/id/1372329","http://ts.21cn.com/tousu/show/id/1372329")</f>
      </c>
      <c r="G1682" t="s" s="2">
        <v>17</v>
      </c>
      <c r="H1682" t="s" s="2">
        <v>19</v>
      </c>
      <c r="I1682" t="s" s="2">
        <v>6616</v>
      </c>
      <c r="J1682" t="s" s="2">
        <v>6617</v>
      </c>
      <c r="K1682" t="s" s="2">
        <v>22</v>
      </c>
      <c r="L1682" t="s" s="2">
        <v>22</v>
      </c>
      <c r="M1682" t="s" s="2">
        <v>22</v>
      </c>
    </row>
    <row r="1683" ht="25.0" customHeight="true">
      <c r="A1683" t="s" s="2">
        <v>13</v>
      </c>
      <c r="B1683" t="s" s="2">
        <f>HYPERLINK("http://ts.21cn.com/tousu/show/id/1372328","立借平台钱置宝还不了款导致逾期")</f>
      </c>
      <c r="C1683" t="s" s="2">
        <v>15</v>
      </c>
      <c r="D1683" t="s" s="2">
        <v>16</v>
      </c>
      <c r="E1683" t="s" s="2">
        <v>17</v>
      </c>
      <c r="F1683" t="s" s="2">
        <f>HYPERLINK("http://ts.21cn.com/tousu/show/id/1372328","http://ts.21cn.com/tousu/show/id/1372328")</f>
      </c>
      <c r="G1683" t="s" s="2">
        <v>17</v>
      </c>
      <c r="H1683" t="s" s="2">
        <v>19</v>
      </c>
      <c r="I1683" t="s" s="2">
        <v>6620</v>
      </c>
      <c r="J1683" t="s" s="2">
        <v>6621</v>
      </c>
      <c r="K1683" t="s" s="2">
        <v>22</v>
      </c>
      <c r="L1683" t="s" s="2">
        <v>22</v>
      </c>
      <c r="M1683" t="s" s="2">
        <v>22</v>
      </c>
    </row>
    <row r="1684" ht="25.0" customHeight="true">
      <c r="A1684" t="s" s="2">
        <v>13</v>
      </c>
      <c r="B1684" t="s" s="2">
        <f>HYPERLINK("http://ts.21cn.com/tousu/show/id/1372326","威胁催款，利息太高，服务态度差")</f>
      </c>
      <c r="C1684" t="s" s="2">
        <v>15</v>
      </c>
      <c r="D1684" t="s" s="2">
        <v>16</v>
      </c>
      <c r="E1684" t="s" s="2">
        <v>17</v>
      </c>
      <c r="F1684" t="s" s="2">
        <f>HYPERLINK("http://ts.21cn.com/tousu/show/id/1372326","http://ts.21cn.com/tousu/show/id/1372326")</f>
      </c>
      <c r="G1684" t="s" s="2">
        <v>17</v>
      </c>
      <c r="H1684" t="s" s="2">
        <v>19</v>
      </c>
      <c r="I1684" t="s" s="2">
        <v>6624</v>
      </c>
      <c r="J1684" t="s" s="2">
        <v>6625</v>
      </c>
      <c r="K1684" t="s" s="2">
        <v>22</v>
      </c>
      <c r="L1684" t="s" s="2">
        <v>22</v>
      </c>
      <c r="M1684" t="s" s="2">
        <v>22</v>
      </c>
    </row>
    <row r="1685" ht="25.0" customHeight="true">
      <c r="A1685" t="s" s="2">
        <v>13</v>
      </c>
      <c r="B1685" t="s" s="2">
        <f>HYPERLINK("http://ts.21cn.com/tousu/show/id/1372324","平安普惠贷款隐瞒隐藏并强制收取高额保险费管理费投诉事宜")</f>
      </c>
      <c r="C1685" t="s" s="2">
        <v>15</v>
      </c>
      <c r="D1685" t="s" s="2">
        <v>16</v>
      </c>
      <c r="E1685" t="s" s="2">
        <v>17</v>
      </c>
      <c r="F1685" t="s" s="2">
        <f>HYPERLINK("http://ts.21cn.com/tousu/show/id/1372324","http://ts.21cn.com/tousu/show/id/1372324")</f>
      </c>
      <c r="G1685" t="s" s="2">
        <v>17</v>
      </c>
      <c r="H1685" t="s" s="2">
        <v>19</v>
      </c>
      <c r="I1685" t="s" s="2">
        <v>6627</v>
      </c>
      <c r="J1685" t="s" s="2">
        <v>6628</v>
      </c>
      <c r="K1685" t="s" s="2">
        <v>22</v>
      </c>
      <c r="L1685" t="s" s="2">
        <v>22</v>
      </c>
      <c r="M1685" t="s" s="2">
        <v>22</v>
      </c>
    </row>
    <row r="1686" ht="25.0" customHeight="true">
      <c r="A1686" t="s" s="2">
        <v>13</v>
      </c>
      <c r="B1686" t="s" s="2">
        <f>HYPERLINK("http://ts.21cn.com/tousu/show/id/1372323","米条联盟违规放高利贷套路贷")</f>
      </c>
      <c r="C1686" t="s" s="2">
        <v>15</v>
      </c>
      <c r="D1686" t="s" s="2">
        <v>16</v>
      </c>
      <c r="E1686" t="s" s="2">
        <v>17</v>
      </c>
      <c r="F1686" t="s" s="2">
        <f>HYPERLINK("http://ts.21cn.com/tousu/show/id/1372323","http://ts.21cn.com/tousu/show/id/1372323")</f>
      </c>
      <c r="G1686" t="s" s="2">
        <v>17</v>
      </c>
      <c r="H1686" t="s" s="2">
        <v>19</v>
      </c>
      <c r="I1686" t="s" s="2">
        <v>6631</v>
      </c>
      <c r="J1686" t="s" s="2">
        <v>6632</v>
      </c>
      <c r="K1686" t="s" s="2">
        <v>22</v>
      </c>
      <c r="L1686" t="s" s="2">
        <v>22</v>
      </c>
      <c r="M1686" t="s" s="2">
        <v>22</v>
      </c>
    </row>
    <row r="1687" ht="25.0" customHeight="true">
      <c r="A1687" t="s" s="2">
        <v>13</v>
      </c>
      <c r="B1687" t="s" s="2">
        <f>HYPERLINK("http://ts.21cn.com/tousu/show/id/1372202","高利贷")</f>
      </c>
      <c r="C1687" t="s" s="2">
        <v>15</v>
      </c>
      <c r="D1687" t="s" s="2">
        <v>16</v>
      </c>
      <c r="E1687" t="s" s="2">
        <v>17</v>
      </c>
      <c r="F1687" t="s" s="2">
        <f>HYPERLINK("http://ts.21cn.com/tousu/show/id/1372202","http://ts.21cn.com/tousu/show/id/1372202")</f>
      </c>
      <c r="G1687" t="s" s="2">
        <v>17</v>
      </c>
      <c r="H1687" t="s" s="2">
        <v>19</v>
      </c>
      <c r="I1687" t="s" s="2">
        <v>6634</v>
      </c>
      <c r="J1687" t="s" s="2">
        <v>6635</v>
      </c>
      <c r="K1687" t="s" s="2">
        <v>22</v>
      </c>
      <c r="L1687" t="s" s="2">
        <v>22</v>
      </c>
      <c r="M1687" t="s" s="2">
        <v>22</v>
      </c>
    </row>
    <row r="1688" ht="25.0" customHeight="true">
      <c r="A1688" t="s" s="2">
        <v>13</v>
      </c>
      <c r="B1688" t="s" s="2">
        <f>HYPERLINK("http://ts.21cn.com/tousu/show/id/1372321","立即贷无卡自助消费")</f>
      </c>
      <c r="C1688" t="s" s="2">
        <v>15</v>
      </c>
      <c r="D1688" t="s" s="2">
        <v>16</v>
      </c>
      <c r="E1688" t="s" s="2">
        <v>17</v>
      </c>
      <c r="F1688" t="s" s="2">
        <f>HYPERLINK("http://ts.21cn.com/tousu/show/id/1372321","http://ts.21cn.com/tousu/show/id/1372321")</f>
      </c>
      <c r="G1688" t="s" s="2">
        <v>17</v>
      </c>
      <c r="H1688" t="s" s="2">
        <v>19</v>
      </c>
      <c r="I1688" t="s" s="2">
        <v>6638</v>
      </c>
      <c r="J1688" t="s" s="2">
        <v>6639</v>
      </c>
      <c r="K1688" t="s" s="2">
        <v>22</v>
      </c>
      <c r="L1688" t="s" s="2">
        <v>22</v>
      </c>
      <c r="M1688" t="s" s="2">
        <v>22</v>
      </c>
    </row>
    <row r="1689" ht="25.0" customHeight="true">
      <c r="A1689" t="s" s="2">
        <v>13</v>
      </c>
      <c r="B1689" t="s" s="2">
        <f>HYPERLINK("http://ts.21cn.com/tousu/show/id/1372320","安逸花恶意骚扰")</f>
      </c>
      <c r="C1689" t="s" s="2">
        <v>15</v>
      </c>
      <c r="D1689" t="s" s="2">
        <v>16</v>
      </c>
      <c r="E1689" t="s" s="2">
        <v>17</v>
      </c>
      <c r="F1689" t="s" s="2">
        <f>HYPERLINK("http://ts.21cn.com/tousu/show/id/1372320","http://ts.21cn.com/tousu/show/id/1372320")</f>
      </c>
      <c r="G1689" t="s" s="2">
        <v>17</v>
      </c>
      <c r="H1689" t="s" s="2">
        <v>19</v>
      </c>
      <c r="I1689" t="s" s="2">
        <v>6642</v>
      </c>
      <c r="J1689" t="s" s="2">
        <v>6643</v>
      </c>
      <c r="K1689" t="s" s="2">
        <v>22</v>
      </c>
      <c r="L1689" t="s" s="2">
        <v>22</v>
      </c>
      <c r="M1689" t="s" s="2">
        <v>22</v>
      </c>
    </row>
    <row r="1690" ht="25.0" customHeight="true">
      <c r="A1690" t="s" s="2">
        <v>13</v>
      </c>
      <c r="B1690" t="s" s="2">
        <f>HYPERLINK("http://ts.21cn.com/tousu/show/id/1372319","国美易卡")</f>
      </c>
      <c r="C1690" t="s" s="2">
        <v>15</v>
      </c>
      <c r="D1690" t="s" s="2">
        <v>16</v>
      </c>
      <c r="E1690" t="s" s="2">
        <v>17</v>
      </c>
      <c r="F1690" t="s" s="2">
        <f>HYPERLINK("http://ts.21cn.com/tousu/show/id/1372319","http://ts.21cn.com/tousu/show/id/1372319")</f>
      </c>
      <c r="G1690" t="s" s="2">
        <v>17</v>
      </c>
      <c r="H1690" t="s" s="2">
        <v>19</v>
      </c>
      <c r="I1690" t="s" s="2">
        <v>6646</v>
      </c>
      <c r="J1690" t="s" s="2">
        <v>6647</v>
      </c>
      <c r="K1690" t="s" s="2">
        <v>22</v>
      </c>
      <c r="L1690" t="s" s="2">
        <v>22</v>
      </c>
      <c r="M1690" t="s" s="2">
        <v>22</v>
      </c>
    </row>
    <row r="1691" ht="25.0" customHeight="true">
      <c r="A1691" t="s" s="2">
        <v>13</v>
      </c>
      <c r="B1691" t="s" s="2">
        <f>HYPERLINK("http://ts.21cn.com/tousu/show/id/1372318","小通商城无故连续扣两笔款")</f>
      </c>
      <c r="C1691" t="s" s="2">
        <v>52</v>
      </c>
      <c r="D1691" t="s" s="2">
        <v>16</v>
      </c>
      <c r="E1691" t="s" s="2">
        <v>17</v>
      </c>
      <c r="F1691" t="s" s="2">
        <f>HYPERLINK("http://ts.21cn.com/tousu/show/id/1372318","http://ts.21cn.com/tousu/show/id/1372318")</f>
      </c>
      <c r="G1691" t="s" s="2">
        <v>17</v>
      </c>
      <c r="H1691" t="s" s="2">
        <v>19</v>
      </c>
      <c r="I1691" t="s" s="2">
        <v>6650</v>
      </c>
      <c r="J1691" t="s" s="2">
        <v>6651</v>
      </c>
      <c r="K1691" t="s" s="2">
        <v>22</v>
      </c>
      <c r="L1691" t="s" s="2">
        <v>22</v>
      </c>
      <c r="M1691" t="s" s="2">
        <v>22</v>
      </c>
    </row>
    <row r="1692" ht="25.0" customHeight="true">
      <c r="A1692" t="s" s="2">
        <v>13</v>
      </c>
      <c r="B1692" t="s" s="2">
        <f>HYPERLINK("http://ts.21cn.com/tousu/show/id/1372226","时光分期高利贷暴力催收")</f>
      </c>
      <c r="C1692" t="s" s="2">
        <v>15</v>
      </c>
      <c r="D1692" t="s" s="2">
        <v>16</v>
      </c>
      <c r="E1692" t="s" s="2">
        <v>17</v>
      </c>
      <c r="F1692" t="s" s="2">
        <f>HYPERLINK("http://ts.21cn.com/tousu/show/id/1372226","http://ts.21cn.com/tousu/show/id/1372226")</f>
      </c>
      <c r="G1692" t="s" s="2">
        <v>17</v>
      </c>
      <c r="H1692" t="s" s="2">
        <v>19</v>
      </c>
      <c r="I1692" t="s" s="2">
        <v>6654</v>
      </c>
      <c r="J1692" t="s" s="2">
        <v>6655</v>
      </c>
      <c r="K1692" t="s" s="2">
        <v>22</v>
      </c>
      <c r="L1692" t="s" s="2">
        <v>22</v>
      </c>
      <c r="M1692" t="s" s="2">
        <v>22</v>
      </c>
    </row>
    <row r="1693" ht="25.0" customHeight="true">
      <c r="A1693" t="s" s="2">
        <v>13</v>
      </c>
      <c r="B1693" t="s" s="2">
        <f>HYPERLINK("http://ts.21cn.com/tousu/show/id/1372317","不要让第三方催收烦我")</f>
      </c>
      <c r="C1693" t="s" s="2">
        <v>15</v>
      </c>
      <c r="D1693" t="s" s="2">
        <v>16</v>
      </c>
      <c r="E1693" t="s" s="2">
        <v>17</v>
      </c>
      <c r="F1693" t="s" s="2">
        <f>HYPERLINK("http://ts.21cn.com/tousu/show/id/1372317","http://ts.21cn.com/tousu/show/id/1372317")</f>
      </c>
      <c r="G1693" t="s" s="2">
        <v>17</v>
      </c>
      <c r="H1693" t="s" s="2">
        <v>19</v>
      </c>
      <c r="I1693" t="s" s="2">
        <v>6658</v>
      </c>
      <c r="J1693" t="s" s="2">
        <v>6659</v>
      </c>
      <c r="K1693" t="s" s="2">
        <v>22</v>
      </c>
      <c r="L1693" t="s" s="2">
        <v>22</v>
      </c>
      <c r="M1693" t="s" s="2">
        <v>22</v>
      </c>
    </row>
    <row r="1694" ht="25.0" customHeight="true">
      <c r="A1694" t="s" s="2">
        <v>13</v>
      </c>
      <c r="B1694" t="s" s="2">
        <f>HYPERLINK("http://ts.21cn.com/tousu/show/id/1372315","暴力催收")</f>
      </c>
      <c r="C1694" t="s" s="2">
        <v>15</v>
      </c>
      <c r="D1694" t="s" s="2">
        <v>16</v>
      </c>
      <c r="E1694" t="s" s="2">
        <v>17</v>
      </c>
      <c r="F1694" t="s" s="2">
        <f>HYPERLINK("http://ts.21cn.com/tousu/show/id/1372315","http://ts.21cn.com/tousu/show/id/1372315")</f>
      </c>
      <c r="G1694" t="s" s="2">
        <v>17</v>
      </c>
      <c r="H1694" t="s" s="2">
        <v>19</v>
      </c>
      <c r="I1694" t="s" s="2">
        <v>6661</v>
      </c>
      <c r="J1694" t="s" s="2">
        <v>6662</v>
      </c>
      <c r="K1694" t="s" s="2">
        <v>22</v>
      </c>
      <c r="L1694" t="s" s="2">
        <v>22</v>
      </c>
      <c r="M1694" t="s" s="2">
        <v>22</v>
      </c>
    </row>
    <row r="1695" ht="25.0" customHeight="true">
      <c r="A1695" t="s" s="2">
        <v>13</v>
      </c>
      <c r="B1695" t="s" s="2">
        <f>HYPERLINK("http://ts.21cn.com/tousu/show/id/1372316","聚福钱包未经许可私自扣款")</f>
      </c>
      <c r="C1695" t="s" s="2">
        <v>15</v>
      </c>
      <c r="D1695" t="s" s="2">
        <v>16</v>
      </c>
      <c r="E1695" t="s" s="2">
        <v>17</v>
      </c>
      <c r="F1695" t="s" s="2">
        <f>HYPERLINK("http://ts.21cn.com/tousu/show/id/1372316","http://ts.21cn.com/tousu/show/id/1372316")</f>
      </c>
      <c r="G1695" t="s" s="2">
        <v>17</v>
      </c>
      <c r="H1695" t="s" s="2">
        <v>19</v>
      </c>
      <c r="I1695" t="s" s="2">
        <v>6664</v>
      </c>
      <c r="J1695" t="s" s="2">
        <v>6665</v>
      </c>
      <c r="K1695" t="s" s="2">
        <v>22</v>
      </c>
      <c r="L1695" t="s" s="2">
        <v>22</v>
      </c>
      <c r="M1695" t="s" s="2">
        <v>22</v>
      </c>
    </row>
    <row r="1696" ht="25.0" customHeight="true">
      <c r="A1696" t="s" s="2">
        <v>13</v>
      </c>
      <c r="B1696" t="s" s="2">
        <f>HYPERLINK("http://ts.21cn.com/tousu/show/id/1372314","分期乐暴力催收")</f>
      </c>
      <c r="C1696" t="s" s="2">
        <v>15</v>
      </c>
      <c r="D1696" t="s" s="2">
        <v>16</v>
      </c>
      <c r="E1696" t="s" s="2">
        <v>17</v>
      </c>
      <c r="F1696" t="s" s="2">
        <f>HYPERLINK("http://ts.21cn.com/tousu/show/id/1372314","http://ts.21cn.com/tousu/show/id/1372314")</f>
      </c>
      <c r="G1696" t="s" s="2">
        <v>17</v>
      </c>
      <c r="H1696" t="s" s="2">
        <v>19</v>
      </c>
      <c r="I1696" t="s" s="2">
        <v>6667</v>
      </c>
      <c r="J1696" t="s" s="2">
        <v>6668</v>
      </c>
      <c r="K1696" t="s" s="2">
        <v>22</v>
      </c>
      <c r="L1696" t="s" s="2">
        <v>22</v>
      </c>
      <c r="M1696" t="s" s="2">
        <v>22</v>
      </c>
    </row>
    <row r="1697" ht="25.0" customHeight="true">
      <c r="A1697" t="s" s="2">
        <v>13</v>
      </c>
      <c r="B1697" t="s" s="2">
        <f>HYPERLINK("http://ts.21cn.com/tousu/show/id/1372313","投诉滴滴平台乱判责乱扣费")</f>
      </c>
      <c r="C1697" t="s" s="2">
        <v>15</v>
      </c>
      <c r="D1697" t="s" s="2">
        <v>16</v>
      </c>
      <c r="E1697" t="s" s="2">
        <v>17</v>
      </c>
      <c r="F1697" t="s" s="2">
        <f>HYPERLINK("http://ts.21cn.com/tousu/show/id/1372313","http://ts.21cn.com/tousu/show/id/1372313")</f>
      </c>
      <c r="G1697" t="s" s="2">
        <v>17</v>
      </c>
      <c r="H1697" t="s" s="2">
        <v>19</v>
      </c>
      <c r="I1697" t="s" s="2">
        <v>6671</v>
      </c>
      <c r="J1697" t="s" s="2">
        <v>6672</v>
      </c>
      <c r="K1697" t="s" s="2">
        <v>22</v>
      </c>
      <c r="L1697" t="s" s="2">
        <v>22</v>
      </c>
      <c r="M1697" t="s" s="2">
        <v>22</v>
      </c>
    </row>
    <row r="1698" ht="25.0" customHeight="true">
      <c r="A1698" t="s" s="2">
        <v>13</v>
      </c>
      <c r="B1698" t="s" s="2">
        <f>HYPERLINK("http://ts.21cn.com/tousu/show/id/1372312","上海漫道公司乱扣款")</f>
      </c>
      <c r="C1698" t="s" s="2">
        <v>15</v>
      </c>
      <c r="D1698" t="s" s="2">
        <v>16</v>
      </c>
      <c r="E1698" t="s" s="2">
        <v>17</v>
      </c>
      <c r="F1698" t="s" s="2">
        <f>HYPERLINK("http://ts.21cn.com/tousu/show/id/1372312","http://ts.21cn.com/tousu/show/id/1372312")</f>
      </c>
      <c r="G1698" t="s" s="2">
        <v>17</v>
      </c>
      <c r="H1698" t="s" s="2">
        <v>19</v>
      </c>
      <c r="I1698" t="s" s="2">
        <v>6675</v>
      </c>
      <c r="J1698" t="s" s="2">
        <v>6676</v>
      </c>
      <c r="K1698" t="s" s="2">
        <v>22</v>
      </c>
      <c r="L1698" t="s" s="2">
        <v>22</v>
      </c>
      <c r="M1698" t="s" s="2">
        <v>22</v>
      </c>
    </row>
    <row r="1699" ht="25.0" customHeight="true">
      <c r="A1699" t="s" s="2">
        <v>13</v>
      </c>
      <c r="B1699" t="s" s="2">
        <f>HYPERLINK("http://ts.21cn.com/tousu/show/id/1372311","信用钱包超利贷")</f>
      </c>
      <c r="C1699" t="s" s="2">
        <v>52</v>
      </c>
      <c r="D1699" t="s" s="2">
        <v>16</v>
      </c>
      <c r="E1699" t="s" s="2">
        <v>17</v>
      </c>
      <c r="F1699" t="s" s="2">
        <f>HYPERLINK("http://ts.21cn.com/tousu/show/id/1372311","http://ts.21cn.com/tousu/show/id/1372311")</f>
      </c>
      <c r="G1699" t="s" s="2">
        <v>17</v>
      </c>
      <c r="H1699" t="s" s="2">
        <v>19</v>
      </c>
      <c r="I1699" t="s" s="2">
        <v>6679</v>
      </c>
      <c r="J1699" t="s" s="2">
        <v>6680</v>
      </c>
      <c r="K1699" t="s" s="2">
        <v>22</v>
      </c>
      <c r="L1699" t="s" s="2">
        <v>22</v>
      </c>
      <c r="M1699" t="s" s="2">
        <v>22</v>
      </c>
    </row>
    <row r="1700" ht="25.0" customHeight="true">
      <c r="A1700" t="s" s="2">
        <v>13</v>
      </c>
      <c r="B1700" t="s" s="2">
        <f>HYPERLINK("http://ts.21cn.com/tousu/show/id/1372310","你我贷高利贷暴力催收")</f>
      </c>
      <c r="C1700" t="s" s="2">
        <v>15</v>
      </c>
      <c r="D1700" t="s" s="2">
        <v>16</v>
      </c>
      <c r="E1700" t="s" s="2">
        <v>17</v>
      </c>
      <c r="F1700" t="s" s="2">
        <f>HYPERLINK("http://ts.21cn.com/tousu/show/id/1372310","http://ts.21cn.com/tousu/show/id/1372310")</f>
      </c>
      <c r="G1700" t="s" s="2">
        <v>17</v>
      </c>
      <c r="H1700" t="s" s="2">
        <v>19</v>
      </c>
      <c r="I1700" t="s" s="2">
        <v>6683</v>
      </c>
      <c r="J1700" t="s" s="2">
        <v>6684</v>
      </c>
      <c r="K1700" t="s" s="2">
        <v>22</v>
      </c>
      <c r="L1700" t="s" s="2">
        <v>22</v>
      </c>
      <c r="M1700" t="s" s="2">
        <v>22</v>
      </c>
    </row>
    <row r="1701" ht="25.0" customHeight="true">
      <c r="A1701" t="s" s="2">
        <v>13</v>
      </c>
      <c r="B1701" t="s" s="2">
        <f>HYPERLINK("http://ts.21cn.com/tousu/show/id/1372309","闪电借款用黑卡套路贷，高额滞纳金")</f>
      </c>
      <c r="C1701" t="s" s="2">
        <v>15</v>
      </c>
      <c r="D1701" t="s" s="2">
        <v>16</v>
      </c>
      <c r="E1701" t="s" s="2">
        <v>17</v>
      </c>
      <c r="F1701" t="s" s="2">
        <f>HYPERLINK("http://ts.21cn.com/tousu/show/id/1372309","http://ts.21cn.com/tousu/show/id/1372309")</f>
      </c>
      <c r="G1701" t="s" s="2">
        <v>17</v>
      </c>
      <c r="H1701" t="s" s="2">
        <v>19</v>
      </c>
      <c r="I1701" t="s" s="2">
        <v>6687</v>
      </c>
      <c r="J1701" t="s" s="2">
        <v>6688</v>
      </c>
      <c r="K1701" t="s" s="2">
        <v>22</v>
      </c>
      <c r="L1701" t="s" s="2">
        <v>22</v>
      </c>
      <c r="M1701" t="s" s="2">
        <v>22</v>
      </c>
    </row>
    <row r="1702" ht="25.0" customHeight="true">
      <c r="A1702" t="s" s="2">
        <v>13</v>
      </c>
      <c r="B1702" t="s" s="2">
        <f>HYPERLINK("http://ts.21cn.com/tousu/show/id/1372307","你我金融高利贷暴力催收")</f>
      </c>
      <c r="C1702" t="s" s="2">
        <v>15</v>
      </c>
      <c r="D1702" t="s" s="2">
        <v>16</v>
      </c>
      <c r="E1702" t="s" s="2">
        <v>17</v>
      </c>
      <c r="F1702" t="s" s="2">
        <f>HYPERLINK("http://ts.21cn.com/tousu/show/id/1372307","http://ts.21cn.com/tousu/show/id/1372307")</f>
      </c>
      <c r="G1702" t="s" s="2">
        <v>17</v>
      </c>
      <c r="H1702" t="s" s="2">
        <v>19</v>
      </c>
      <c r="I1702" t="s" s="2">
        <v>6691</v>
      </c>
      <c r="J1702" t="s" s="2">
        <v>6692</v>
      </c>
      <c r="K1702" t="s" s="2">
        <v>22</v>
      </c>
      <c r="L1702" t="s" s="2">
        <v>22</v>
      </c>
      <c r="M1702" t="s" s="2">
        <v>22</v>
      </c>
    </row>
    <row r="1703" ht="25.0" customHeight="true">
      <c r="A1703" t="s" s="2">
        <v>13</v>
      </c>
      <c r="B1703" t="s" s="2">
        <f>HYPERLINK("http://ts.21cn.com/tousu/show/id/1372308","马上金融群发恐吓联系人，爆通讯录")</f>
      </c>
      <c r="C1703" t="s" s="2">
        <v>15</v>
      </c>
      <c r="D1703" t="s" s="2">
        <v>16</v>
      </c>
      <c r="E1703" t="s" s="2">
        <v>17</v>
      </c>
      <c r="F1703" t="s" s="2">
        <f>HYPERLINK("http://ts.21cn.com/tousu/show/id/1372308","http://ts.21cn.com/tousu/show/id/1372308")</f>
      </c>
      <c r="G1703" t="s" s="2">
        <v>17</v>
      </c>
      <c r="H1703" t="s" s="2">
        <v>19</v>
      </c>
      <c r="I1703" t="s" s="2">
        <v>6695</v>
      </c>
      <c r="J1703" t="s" s="2">
        <v>6696</v>
      </c>
      <c r="K1703" t="s" s="2">
        <v>22</v>
      </c>
      <c r="L1703" t="s" s="2">
        <v>22</v>
      </c>
      <c r="M1703" t="s" s="2">
        <v>22</v>
      </c>
    </row>
    <row r="1704" ht="25.0" customHeight="true">
      <c r="A1704" t="s" s="2">
        <v>13</v>
      </c>
      <c r="B1704" t="s" s="2">
        <f>HYPERLINK("http://ts.21cn.com/tousu/show/id/1372305","恶意催收")</f>
      </c>
      <c r="C1704" t="s" s="2">
        <v>15</v>
      </c>
      <c r="D1704" t="s" s="2">
        <v>16</v>
      </c>
      <c r="E1704" t="s" s="2">
        <v>17</v>
      </c>
      <c r="F1704" t="s" s="2">
        <f>HYPERLINK("http://ts.21cn.com/tousu/show/id/1372305","http://ts.21cn.com/tousu/show/id/1372305")</f>
      </c>
      <c r="G1704" t="s" s="2">
        <v>17</v>
      </c>
      <c r="H1704" t="s" s="2">
        <v>19</v>
      </c>
      <c r="I1704" t="s" s="2">
        <v>6699</v>
      </c>
      <c r="J1704" t="s" s="2">
        <v>6700</v>
      </c>
      <c r="K1704" t="s" s="2">
        <v>22</v>
      </c>
      <c r="L1704" t="s" s="2">
        <v>22</v>
      </c>
      <c r="M1704" t="s" s="2">
        <v>22</v>
      </c>
    </row>
    <row r="1705" ht="25.0" customHeight="true">
      <c r="A1705" t="s" s="2">
        <v>13</v>
      </c>
      <c r="B1705" t="s" s="2">
        <f>HYPERLINK("http://ts.21cn.com/tousu/show/id/1372306","乐王扣款2004元")</f>
      </c>
      <c r="C1705" t="s" s="2">
        <v>52</v>
      </c>
      <c r="D1705" t="s" s="2">
        <v>16</v>
      </c>
      <c r="E1705" t="s" s="2">
        <v>17</v>
      </c>
      <c r="F1705" t="s" s="2">
        <f>HYPERLINK("http://ts.21cn.com/tousu/show/id/1372306","http://ts.21cn.com/tousu/show/id/1372306")</f>
      </c>
      <c r="G1705" t="s" s="2">
        <v>17</v>
      </c>
      <c r="H1705" t="s" s="2">
        <v>19</v>
      </c>
      <c r="I1705" t="s" s="2">
        <v>6703</v>
      </c>
      <c r="J1705" t="s" s="2">
        <v>6704</v>
      </c>
      <c r="K1705" t="s" s="2">
        <v>22</v>
      </c>
      <c r="L1705" t="s" s="2">
        <v>22</v>
      </c>
      <c r="M1705" t="s" s="2">
        <v>22</v>
      </c>
    </row>
    <row r="1706" ht="25.0" customHeight="true">
      <c r="A1706" t="s" s="2">
        <v>13</v>
      </c>
      <c r="B1706" t="s" s="2">
        <f>HYPERLINK("http://ts.21cn.com/tousu/show/id/1372304","平安普惠i贷冒充公检法进行催收，以扰乱本人正常的工作生活")</f>
      </c>
      <c r="C1706" t="s" s="2">
        <v>15</v>
      </c>
      <c r="D1706" t="s" s="2">
        <v>16</v>
      </c>
      <c r="E1706" t="s" s="2">
        <v>17</v>
      </c>
      <c r="F1706" t="s" s="2">
        <f>HYPERLINK("http://ts.21cn.com/tousu/show/id/1372304","http://ts.21cn.com/tousu/show/id/1372304")</f>
      </c>
      <c r="G1706" t="s" s="2">
        <v>17</v>
      </c>
      <c r="H1706" t="s" s="2">
        <v>19</v>
      </c>
      <c r="I1706" t="s" s="2">
        <v>6707</v>
      </c>
      <c r="J1706" t="s" s="2">
        <v>6708</v>
      </c>
      <c r="K1706" t="s" s="2">
        <v>22</v>
      </c>
      <c r="L1706" t="s" s="2">
        <v>22</v>
      </c>
      <c r="M1706" t="s" s="2">
        <v>22</v>
      </c>
    </row>
    <row r="1707" ht="25.0" customHeight="true">
      <c r="A1707" t="s" s="2">
        <v>13</v>
      </c>
      <c r="B1707" t="s" s="2">
        <f>HYPERLINK("http://ts.21cn.com/tousu/show/id/1372303","你我贷砍头息，高利贷")</f>
      </c>
      <c r="C1707" t="s" s="2">
        <v>15</v>
      </c>
      <c r="D1707" t="s" s="2">
        <v>16</v>
      </c>
      <c r="E1707" t="s" s="2">
        <v>17</v>
      </c>
      <c r="F1707" t="s" s="2">
        <f>HYPERLINK("http://ts.21cn.com/tousu/show/id/1372303","http://ts.21cn.com/tousu/show/id/1372303")</f>
      </c>
      <c r="G1707" t="s" s="2">
        <v>17</v>
      </c>
      <c r="H1707" t="s" s="2">
        <v>19</v>
      </c>
      <c r="I1707" t="s" s="2">
        <v>6711</v>
      </c>
      <c r="J1707" t="s" s="2">
        <v>6712</v>
      </c>
      <c r="K1707" t="s" s="2">
        <v>22</v>
      </c>
      <c r="L1707" t="s" s="2">
        <v>22</v>
      </c>
      <c r="M1707" t="s" s="2">
        <v>22</v>
      </c>
    </row>
    <row r="1708" ht="25.0" customHeight="true">
      <c r="A1708" t="s" s="2">
        <v>13</v>
      </c>
      <c r="B1708" t="s" s="2">
        <f>HYPERLINK("http://ts.21cn.com/tousu/show/id/1372267","高利贷、阴阳合同")</f>
      </c>
      <c r="C1708" t="s" s="2">
        <v>15</v>
      </c>
      <c r="D1708" t="s" s="2">
        <v>16</v>
      </c>
      <c r="E1708" t="s" s="2">
        <v>17</v>
      </c>
      <c r="F1708" t="s" s="2">
        <f>HYPERLINK("http://ts.21cn.com/tousu/show/id/1372267","http://ts.21cn.com/tousu/show/id/1372267")</f>
      </c>
      <c r="G1708" t="s" s="2">
        <v>17</v>
      </c>
      <c r="H1708" t="s" s="2">
        <v>19</v>
      </c>
      <c r="I1708" t="s" s="2">
        <v>6715</v>
      </c>
      <c r="J1708" t="s" s="2">
        <v>6716</v>
      </c>
      <c r="K1708" t="s" s="2">
        <v>22</v>
      </c>
      <c r="L1708" t="s" s="2">
        <v>22</v>
      </c>
      <c r="M1708" t="s" s="2">
        <v>22</v>
      </c>
    </row>
    <row r="1709" ht="25.0" customHeight="true">
      <c r="A1709" t="s" s="2">
        <v>13</v>
      </c>
      <c r="B1709" t="s" s="2">
        <f>HYPERLINK("http://ts.21cn.com/tousu/show/id/1372301","微信支付冻结投诉")</f>
      </c>
      <c r="C1709" t="s" s="2">
        <v>15</v>
      </c>
      <c r="D1709" t="s" s="2">
        <v>16</v>
      </c>
      <c r="E1709" t="s" s="2">
        <v>17</v>
      </c>
      <c r="F1709" t="s" s="2">
        <f>HYPERLINK("http://ts.21cn.com/tousu/show/id/1372301","http://ts.21cn.com/tousu/show/id/1372301")</f>
      </c>
      <c r="G1709" t="s" s="2">
        <v>17</v>
      </c>
      <c r="H1709" t="s" s="2">
        <v>19</v>
      </c>
      <c r="I1709" t="s" s="2">
        <v>6718</v>
      </c>
      <c r="J1709" t="s" s="2">
        <v>6719</v>
      </c>
      <c r="K1709" t="s" s="2">
        <v>22</v>
      </c>
      <c r="L1709" t="s" s="2">
        <v>22</v>
      </c>
      <c r="M1709" t="s" s="2">
        <v>22</v>
      </c>
    </row>
    <row r="1710" ht="25.0" customHeight="true">
      <c r="A1710" t="s" s="2">
        <v>13</v>
      </c>
      <c r="B1710" t="s" s="2">
        <f>HYPERLINK("http://ts.21cn.com/tousu/show/id/1372300","收取高额利息，冒充公检法，还款不协商")</f>
      </c>
      <c r="C1710" t="s" s="2">
        <v>15</v>
      </c>
      <c r="D1710" t="s" s="2">
        <v>16</v>
      </c>
      <c r="E1710" t="s" s="2">
        <v>17</v>
      </c>
      <c r="F1710" t="s" s="2">
        <f>HYPERLINK("http://ts.21cn.com/tousu/show/id/1372300","http://ts.21cn.com/tousu/show/id/1372300")</f>
      </c>
      <c r="G1710" t="s" s="2">
        <v>17</v>
      </c>
      <c r="H1710" t="s" s="2">
        <v>19</v>
      </c>
      <c r="I1710" t="s" s="2">
        <v>6722</v>
      </c>
      <c r="J1710" t="s" s="2">
        <v>6723</v>
      </c>
      <c r="K1710" t="s" s="2">
        <v>22</v>
      </c>
      <c r="L1710" t="s" s="2">
        <v>22</v>
      </c>
      <c r="M1710" t="s" s="2">
        <v>22</v>
      </c>
    </row>
    <row r="1711" ht="25.0" customHeight="true">
      <c r="A1711" t="s" s="2">
        <v>13</v>
      </c>
      <c r="B1711" t="s" s="2">
        <f>HYPERLINK("http://ts.21cn.com/tousu/show/id/1372283","套路贷款高利贷")</f>
      </c>
      <c r="C1711" t="s" s="2">
        <v>15</v>
      </c>
      <c r="D1711" t="s" s="2">
        <v>16</v>
      </c>
      <c r="E1711" t="s" s="2">
        <v>17</v>
      </c>
      <c r="F1711" t="s" s="2">
        <f>HYPERLINK("http://ts.21cn.com/tousu/show/id/1372283","http://ts.21cn.com/tousu/show/id/1372283")</f>
      </c>
      <c r="G1711" t="s" s="2">
        <v>17</v>
      </c>
      <c r="H1711" t="s" s="2">
        <v>19</v>
      </c>
      <c r="I1711" t="s" s="2">
        <v>6722</v>
      </c>
      <c r="J1711" t="s" s="2">
        <v>6726</v>
      </c>
      <c r="K1711" t="s" s="2">
        <v>22</v>
      </c>
      <c r="L1711" t="s" s="2">
        <v>22</v>
      </c>
      <c r="M1711" t="s" s="2">
        <v>22</v>
      </c>
    </row>
    <row r="1712" ht="25.0" customHeight="true">
      <c r="A1712" t="s" s="2">
        <v>13</v>
      </c>
      <c r="B1712" t="s" s="2">
        <f>HYPERLINK("http://ts.21cn.com/tousu/show/id/1372297","钱包易贷")</f>
      </c>
      <c r="C1712" t="s" s="2">
        <v>15</v>
      </c>
      <c r="D1712" t="s" s="2">
        <v>16</v>
      </c>
      <c r="E1712" t="s" s="2">
        <v>17</v>
      </c>
      <c r="F1712" t="s" s="2">
        <f>HYPERLINK("http://ts.21cn.com/tousu/show/id/1372297","http://ts.21cn.com/tousu/show/id/1372297")</f>
      </c>
      <c r="G1712" t="s" s="2">
        <v>17</v>
      </c>
      <c r="H1712" t="s" s="2">
        <v>19</v>
      </c>
      <c r="I1712" t="s" s="2">
        <v>6729</v>
      </c>
      <c r="J1712" t="s" s="2">
        <v>6730</v>
      </c>
      <c r="K1712" t="s" s="2">
        <v>22</v>
      </c>
      <c r="L1712" t="s" s="2">
        <v>22</v>
      </c>
      <c r="M1712" t="s" s="2">
        <v>22</v>
      </c>
    </row>
    <row r="1713" ht="25.0" customHeight="true">
      <c r="A1713" t="s" s="2">
        <v>13</v>
      </c>
      <c r="B1713" t="s" s="2">
        <f>HYPERLINK("http://ts.21cn.com/tousu/show/id/1372299","兴业消费金融")</f>
      </c>
      <c r="C1713" t="s" s="2">
        <v>15</v>
      </c>
      <c r="D1713" t="s" s="2">
        <v>16</v>
      </c>
      <c r="E1713" t="s" s="2">
        <v>17</v>
      </c>
      <c r="F1713" t="s" s="2">
        <f>HYPERLINK("http://ts.21cn.com/tousu/show/id/1372299","http://ts.21cn.com/tousu/show/id/1372299")</f>
      </c>
      <c r="G1713" t="s" s="2">
        <v>17</v>
      </c>
      <c r="H1713" t="s" s="2">
        <v>19</v>
      </c>
      <c r="I1713" t="s" s="2">
        <v>6733</v>
      </c>
      <c r="J1713" t="s" s="2">
        <v>6734</v>
      </c>
      <c r="K1713" t="s" s="2">
        <v>22</v>
      </c>
      <c r="L1713" t="s" s="2">
        <v>22</v>
      </c>
      <c r="M1713" t="s" s="2">
        <v>22</v>
      </c>
    </row>
    <row r="1714" ht="25.0" customHeight="true">
      <c r="A1714" t="s" s="2">
        <v>13</v>
      </c>
      <c r="B1714" t="s" s="2">
        <f>HYPERLINK("http://ts.21cn.com/tousu/show/id/1340329","TT语音欢游涉黄给未成年非法赌博")</f>
      </c>
      <c r="C1714" t="s" s="2">
        <v>15</v>
      </c>
      <c r="D1714" t="s" s="2">
        <v>16</v>
      </c>
      <c r="E1714" t="s" s="2">
        <v>17</v>
      </c>
      <c r="F1714" t="s" s="2">
        <f>HYPERLINK("http://ts.21cn.com/tousu/show/id/1340329","http://ts.21cn.com/tousu/show/id/1340329")</f>
      </c>
      <c r="G1714" t="s" s="2">
        <v>17</v>
      </c>
      <c r="H1714" t="s" s="2">
        <v>19</v>
      </c>
      <c r="I1714" t="s" s="2">
        <v>6737</v>
      </c>
      <c r="J1714" t="s" s="2">
        <v>6738</v>
      </c>
      <c r="K1714" t="s" s="2">
        <v>22</v>
      </c>
      <c r="L1714" t="s" s="2">
        <v>22</v>
      </c>
      <c r="M1714" t="s" s="2">
        <v>22</v>
      </c>
    </row>
    <row r="1715" ht="25.0" customHeight="true">
      <c r="A1715" t="s" s="2">
        <v>13</v>
      </c>
      <c r="B1715" t="s" s="2">
        <f>HYPERLINK("http://ts.21cn.com/tousu/show/id/1371934","遭到信用卡暴力催收")</f>
      </c>
      <c r="C1715" t="s" s="2">
        <v>15</v>
      </c>
      <c r="D1715" t="s" s="2">
        <v>16</v>
      </c>
      <c r="E1715" t="s" s="2">
        <v>17</v>
      </c>
      <c r="F1715" t="s" s="2">
        <f>HYPERLINK("http://ts.21cn.com/tousu/show/id/1371934","http://ts.21cn.com/tousu/show/id/1371934")</f>
      </c>
      <c r="G1715" t="s" s="2">
        <v>17</v>
      </c>
      <c r="H1715" t="s" s="2">
        <v>19</v>
      </c>
      <c r="I1715" t="s" s="2">
        <v>6741</v>
      </c>
      <c r="J1715" t="s" s="2">
        <v>6742</v>
      </c>
      <c r="K1715" t="s" s="2">
        <v>22</v>
      </c>
      <c r="L1715" t="s" s="2">
        <v>22</v>
      </c>
      <c r="M1715" t="s" s="2">
        <v>22</v>
      </c>
    </row>
    <row r="1716" ht="25.0" customHeight="true">
      <c r="A1716" t="s" s="2">
        <v>13</v>
      </c>
      <c r="B1716" t="s" s="2">
        <f>HYPERLINK("http://ts.21cn.com/tousu/show/id/1372296","上海曾左电子科技拖欠推广费不予返还")</f>
      </c>
      <c r="C1716" t="s" s="2">
        <v>15</v>
      </c>
      <c r="D1716" t="s" s="2">
        <v>16</v>
      </c>
      <c r="E1716" t="s" s="2">
        <v>17</v>
      </c>
      <c r="F1716" t="s" s="2">
        <f>HYPERLINK("http://ts.21cn.com/tousu/show/id/1372296","http://ts.21cn.com/tousu/show/id/1372296")</f>
      </c>
      <c r="G1716" t="s" s="2">
        <v>17</v>
      </c>
      <c r="H1716" t="s" s="2">
        <v>19</v>
      </c>
      <c r="I1716" t="s" s="2">
        <v>6745</v>
      </c>
      <c r="J1716" t="s" s="2">
        <v>6746</v>
      </c>
      <c r="K1716" t="s" s="2">
        <v>22</v>
      </c>
      <c r="L1716" t="s" s="2">
        <v>22</v>
      </c>
      <c r="M1716" t="s" s="2">
        <v>22</v>
      </c>
    </row>
    <row r="1717" ht="25.0" customHeight="true">
      <c r="A1717" t="s" s="2">
        <v>13</v>
      </c>
      <c r="B1717" t="s" s="2">
        <f>HYPERLINK("http://ts.21cn.com/tousu/show/id/1372295","安逸花年化率严重超标")</f>
      </c>
      <c r="C1717" t="s" s="2">
        <v>15</v>
      </c>
      <c r="D1717" t="s" s="2">
        <v>16</v>
      </c>
      <c r="E1717" t="s" s="2">
        <v>17</v>
      </c>
      <c r="F1717" t="s" s="2">
        <f>HYPERLINK("http://ts.21cn.com/tousu/show/id/1372295","http://ts.21cn.com/tousu/show/id/1372295")</f>
      </c>
      <c r="G1717" t="s" s="2">
        <v>17</v>
      </c>
      <c r="H1717" t="s" s="2">
        <v>19</v>
      </c>
      <c r="I1717" t="s" s="2">
        <v>6749</v>
      </c>
      <c r="J1717" t="s" s="2">
        <v>6750</v>
      </c>
      <c r="K1717" t="s" s="2">
        <v>22</v>
      </c>
      <c r="L1717" t="s" s="2">
        <v>22</v>
      </c>
      <c r="M1717" t="s" s="2">
        <v>22</v>
      </c>
    </row>
    <row r="1718" ht="25.0" customHeight="true">
      <c r="A1718" t="s" s="2">
        <v>13</v>
      </c>
      <c r="B1718" t="s" s="2">
        <f>HYPERLINK("http://ts.21cn.com/tousu/show/id/1372294","借款2000到账1500还款2060高利贷")</f>
      </c>
      <c r="C1718" t="s" s="2">
        <v>15</v>
      </c>
      <c r="D1718" t="s" s="2">
        <v>16</v>
      </c>
      <c r="E1718" t="s" s="2">
        <v>17</v>
      </c>
      <c r="F1718" t="s" s="2">
        <f>HYPERLINK("http://ts.21cn.com/tousu/show/id/1372294","http://ts.21cn.com/tousu/show/id/1372294")</f>
      </c>
      <c r="G1718" t="s" s="2">
        <v>17</v>
      </c>
      <c r="H1718" t="s" s="2">
        <v>19</v>
      </c>
      <c r="I1718" t="s" s="2">
        <v>6753</v>
      </c>
      <c r="J1718" t="s" s="2">
        <v>6754</v>
      </c>
      <c r="K1718" t="s" s="2">
        <v>22</v>
      </c>
      <c r="L1718" t="s" s="2">
        <v>22</v>
      </c>
      <c r="M1718" t="s" s="2">
        <v>22</v>
      </c>
    </row>
    <row r="1719" ht="25.0" customHeight="true">
      <c r="A1719" t="s" s="2">
        <v>13</v>
      </c>
      <c r="B1719" t="s" s="2">
        <f>HYPERLINK("http://ts.21cn.com/tousu/show/id/1372292","光大银行上门催收")</f>
      </c>
      <c r="C1719" t="s" s="2">
        <v>15</v>
      </c>
      <c r="D1719" t="s" s="2">
        <v>16</v>
      </c>
      <c r="E1719" t="s" s="2">
        <v>17</v>
      </c>
      <c r="F1719" t="s" s="2">
        <f>HYPERLINK("http://ts.21cn.com/tousu/show/id/1372292","http://ts.21cn.com/tousu/show/id/1372292")</f>
      </c>
      <c r="G1719" t="s" s="2">
        <v>17</v>
      </c>
      <c r="H1719" t="s" s="2">
        <v>19</v>
      </c>
      <c r="I1719" t="s" s="2">
        <v>6757</v>
      </c>
      <c r="J1719" t="s" s="2">
        <v>6758</v>
      </c>
      <c r="K1719" t="s" s="2">
        <v>22</v>
      </c>
      <c r="L1719" t="s" s="2">
        <v>22</v>
      </c>
      <c r="M1719" t="s" s="2">
        <v>22</v>
      </c>
    </row>
    <row r="1720" ht="25.0" customHeight="true">
      <c r="A1720" t="s" s="2">
        <v>13</v>
      </c>
      <c r="B1720" t="s" s="2">
        <f>HYPERLINK("http://ts.21cn.com/tousu/show/id/1372293","申请退全款")</f>
      </c>
      <c r="C1720" t="s" s="2">
        <v>15</v>
      </c>
      <c r="D1720" t="s" s="2">
        <v>16</v>
      </c>
      <c r="E1720" t="s" s="2">
        <v>17</v>
      </c>
      <c r="F1720" t="s" s="2">
        <f>HYPERLINK("http://ts.21cn.com/tousu/show/id/1372293","http://ts.21cn.com/tousu/show/id/1372293")</f>
      </c>
      <c r="G1720" t="s" s="2">
        <v>17</v>
      </c>
      <c r="H1720" t="s" s="2">
        <v>19</v>
      </c>
      <c r="I1720" t="s" s="2">
        <v>6761</v>
      </c>
      <c r="J1720" t="s" s="2">
        <v>6762</v>
      </c>
      <c r="K1720" t="s" s="2">
        <v>22</v>
      </c>
      <c r="L1720" t="s" s="2">
        <v>22</v>
      </c>
      <c r="M1720" t="s" s="2">
        <v>22</v>
      </c>
    </row>
    <row r="1721" ht="25.0" customHeight="true">
      <c r="A1721" t="s" s="2">
        <v>13</v>
      </c>
      <c r="B1721" t="s" s="2">
        <f>HYPERLINK("http://ts.21cn.com/tousu/show/id/1372290","及贷盗取用户资料对用户以及联系人进行骚扰已经违法")</f>
      </c>
      <c r="C1721" t="s" s="2">
        <v>15</v>
      </c>
      <c r="D1721" t="s" s="2">
        <v>16</v>
      </c>
      <c r="E1721" t="s" s="2">
        <v>17</v>
      </c>
      <c r="F1721" t="s" s="2">
        <f>HYPERLINK("http://ts.21cn.com/tousu/show/id/1372290","http://ts.21cn.com/tousu/show/id/1372290")</f>
      </c>
      <c r="G1721" t="s" s="2">
        <v>17</v>
      </c>
      <c r="H1721" t="s" s="2">
        <v>19</v>
      </c>
      <c r="I1721" t="s" s="2">
        <v>6765</v>
      </c>
      <c r="J1721" t="s" s="2">
        <v>6766</v>
      </c>
      <c r="K1721" t="s" s="2">
        <v>22</v>
      </c>
      <c r="L1721" t="s" s="2">
        <v>22</v>
      </c>
      <c r="M1721" t="s" s="2">
        <v>22</v>
      </c>
    </row>
    <row r="1722" ht="25.0" customHeight="true">
      <c r="A1722" t="s" s="2">
        <v>13</v>
      </c>
      <c r="B1722" t="s" s="2">
        <f>HYPERLINK("http://ts.21cn.com/tousu/show/id/1372289","平安普惠暴力催收")</f>
      </c>
      <c r="C1722" t="s" s="2">
        <v>15</v>
      </c>
      <c r="D1722" t="s" s="2">
        <v>16</v>
      </c>
      <c r="E1722" t="s" s="2">
        <v>17</v>
      </c>
      <c r="F1722" t="s" s="2">
        <f>HYPERLINK("http://ts.21cn.com/tousu/show/id/1372289","http://ts.21cn.com/tousu/show/id/1372289")</f>
      </c>
      <c r="G1722" t="s" s="2">
        <v>17</v>
      </c>
      <c r="H1722" t="s" s="2">
        <v>19</v>
      </c>
      <c r="I1722" t="s" s="2">
        <v>6768</v>
      </c>
      <c r="J1722" t="s" s="2">
        <v>6769</v>
      </c>
      <c r="K1722" t="s" s="2">
        <v>22</v>
      </c>
      <c r="L1722" t="s" s="2">
        <v>22</v>
      </c>
      <c r="M1722" t="s" s="2">
        <v>22</v>
      </c>
    </row>
    <row r="1723" ht="25.0" customHeight="true">
      <c r="A1723" t="s" s="2">
        <v>13</v>
      </c>
      <c r="B1723" t="s" s="2">
        <f>HYPERLINK("http://ts.21cn.com/tousu/show/id/1372288","信用管家里的石头管家，高利贷")</f>
      </c>
      <c r="C1723" t="s" s="2">
        <v>15</v>
      </c>
      <c r="D1723" t="s" s="2">
        <v>16</v>
      </c>
      <c r="E1723" t="s" s="2">
        <v>17</v>
      </c>
      <c r="F1723" t="s" s="2">
        <f>HYPERLINK("http://ts.21cn.com/tousu/show/id/1372288","http://ts.21cn.com/tousu/show/id/1372288")</f>
      </c>
      <c r="G1723" t="s" s="2">
        <v>17</v>
      </c>
      <c r="H1723" t="s" s="2">
        <v>19</v>
      </c>
      <c r="I1723" t="s" s="2">
        <v>6772</v>
      </c>
      <c r="J1723" t="s" s="2">
        <v>6773</v>
      </c>
      <c r="K1723" t="s" s="2">
        <v>22</v>
      </c>
      <c r="L1723" t="s" s="2">
        <v>22</v>
      </c>
      <c r="M1723" t="s" s="2">
        <v>22</v>
      </c>
    </row>
    <row r="1724" ht="25.0" customHeight="true">
      <c r="A1724" t="s" s="2">
        <v>13</v>
      </c>
      <c r="B1724" t="s" s="2">
        <f>HYPERLINK("http://ts.21cn.com/tousu/show/id/1372287","贷上钱暴力催收骚扰我家人及朋友")</f>
      </c>
      <c r="C1724" t="s" s="2">
        <v>15</v>
      </c>
      <c r="D1724" t="s" s="2">
        <v>16</v>
      </c>
      <c r="E1724" t="s" s="2">
        <v>17</v>
      </c>
      <c r="F1724" t="s" s="2">
        <f>HYPERLINK("http://ts.21cn.com/tousu/show/id/1372287","http://ts.21cn.com/tousu/show/id/1372287")</f>
      </c>
      <c r="G1724" t="s" s="2">
        <v>17</v>
      </c>
      <c r="H1724" t="s" s="2">
        <v>19</v>
      </c>
      <c r="I1724" t="s" s="2">
        <v>6776</v>
      </c>
      <c r="J1724" t="s" s="2">
        <v>6777</v>
      </c>
      <c r="K1724" t="s" s="2">
        <v>22</v>
      </c>
      <c r="L1724" t="s" s="2">
        <v>22</v>
      </c>
      <c r="M1724" t="s" s="2">
        <v>22</v>
      </c>
    </row>
    <row r="1725" ht="25.0" customHeight="true">
      <c r="A1725" t="s" s="2">
        <v>13</v>
      </c>
      <c r="B1725" t="s" s="2">
        <f>HYPERLINK("http://ts.21cn.com/tousu/show/id/1372285","随手记雇佣黑社会暴力催收")</f>
      </c>
      <c r="C1725" t="s" s="2">
        <v>15</v>
      </c>
      <c r="D1725" t="s" s="2">
        <v>16</v>
      </c>
      <c r="E1725" t="s" s="2">
        <v>17</v>
      </c>
      <c r="F1725" t="s" s="2">
        <f>HYPERLINK("http://ts.21cn.com/tousu/show/id/1372285","http://ts.21cn.com/tousu/show/id/1372285")</f>
      </c>
      <c r="G1725" t="s" s="2">
        <v>17</v>
      </c>
      <c r="H1725" t="s" s="2">
        <v>19</v>
      </c>
      <c r="I1725" t="s" s="2">
        <v>6780</v>
      </c>
      <c r="J1725" t="s" s="2">
        <v>6781</v>
      </c>
      <c r="K1725" t="s" s="2">
        <v>22</v>
      </c>
      <c r="L1725" t="s" s="2">
        <v>22</v>
      </c>
      <c r="M1725" t="s" s="2">
        <v>22</v>
      </c>
    </row>
    <row r="1726" ht="25.0" customHeight="true">
      <c r="A1726" t="s" s="2">
        <v>13</v>
      </c>
      <c r="B1726" t="s" s="2">
        <f>HYPERLINK("http://ts.21cn.com/tousu/show/id/1372281","开店宝支付乱跳商户乱加收费率")</f>
      </c>
      <c r="C1726" t="s" s="2">
        <v>15</v>
      </c>
      <c r="D1726" t="s" s="2">
        <v>16</v>
      </c>
      <c r="E1726" t="s" s="2">
        <v>17</v>
      </c>
      <c r="F1726" t="s" s="2">
        <f>HYPERLINK("http://ts.21cn.com/tousu/show/id/1372281","http://ts.21cn.com/tousu/show/id/1372281")</f>
      </c>
      <c r="G1726" t="s" s="2">
        <v>17</v>
      </c>
      <c r="H1726" t="s" s="2">
        <v>19</v>
      </c>
      <c r="I1726" t="s" s="2">
        <v>6784</v>
      </c>
      <c r="J1726" t="s" s="2">
        <v>6785</v>
      </c>
      <c r="K1726" t="s" s="2">
        <v>22</v>
      </c>
      <c r="L1726" t="s" s="2">
        <v>22</v>
      </c>
      <c r="M1726" t="s" s="2">
        <v>22</v>
      </c>
    </row>
    <row r="1727" ht="25.0" customHeight="true">
      <c r="A1727" t="s" s="2">
        <v>13</v>
      </c>
      <c r="B1727" t="s" s="2">
        <f>HYPERLINK("http://ts.21cn.com/tousu/show/id/1372284","暴力催收威胁")</f>
      </c>
      <c r="C1727" t="s" s="2">
        <v>15</v>
      </c>
      <c r="D1727" t="s" s="2">
        <v>16</v>
      </c>
      <c r="E1727" t="s" s="2">
        <v>17</v>
      </c>
      <c r="F1727" t="s" s="2">
        <f>HYPERLINK("http://ts.21cn.com/tousu/show/id/1372284","http://ts.21cn.com/tousu/show/id/1372284")</f>
      </c>
      <c r="G1727" t="s" s="2">
        <v>17</v>
      </c>
      <c r="H1727" t="s" s="2">
        <v>19</v>
      </c>
      <c r="I1727" t="s" s="2">
        <v>6787</v>
      </c>
      <c r="J1727" t="s" s="2">
        <v>6788</v>
      </c>
      <c r="K1727" t="s" s="2">
        <v>22</v>
      </c>
      <c r="L1727" t="s" s="2">
        <v>22</v>
      </c>
      <c r="M1727" t="s" s="2">
        <v>22</v>
      </c>
    </row>
    <row r="1728" ht="25.0" customHeight="true">
      <c r="A1728" t="s" s="2">
        <v>13</v>
      </c>
      <c r="B1728" t="s" s="2">
        <f>HYPERLINK("http://ts.21cn.com/tousu/show/id/1372248","江苏百瑞赢虚假宣传，不诚信，要求退款")</f>
      </c>
      <c r="C1728" t="s" s="2">
        <v>15</v>
      </c>
      <c r="D1728" t="s" s="2">
        <v>16</v>
      </c>
      <c r="E1728" t="s" s="2">
        <v>17</v>
      </c>
      <c r="F1728" t="s" s="2">
        <f>HYPERLINK("http://ts.21cn.com/tousu/show/id/1372248","http://ts.21cn.com/tousu/show/id/1372248")</f>
      </c>
      <c r="G1728" t="s" s="2">
        <v>17</v>
      </c>
      <c r="H1728" t="s" s="2">
        <v>19</v>
      </c>
      <c r="I1728" t="s" s="2">
        <v>6791</v>
      </c>
      <c r="J1728" t="s" s="2">
        <v>6792</v>
      </c>
      <c r="K1728" t="s" s="2">
        <v>22</v>
      </c>
      <c r="L1728" t="s" s="2">
        <v>22</v>
      </c>
      <c r="M1728" t="s" s="2">
        <v>22</v>
      </c>
    </row>
    <row r="1729" ht="25.0" customHeight="true">
      <c r="A1729" t="s" s="2">
        <v>13</v>
      </c>
      <c r="B1729" t="s" s="2">
        <f>HYPERLINK("http://ts.21cn.com/tousu/show/id/1372282","投诉宜人财富恶意冻结资金")</f>
      </c>
      <c r="C1729" t="s" s="2">
        <v>15</v>
      </c>
      <c r="D1729" t="s" s="2">
        <v>16</v>
      </c>
      <c r="E1729" t="s" s="2">
        <v>17</v>
      </c>
      <c r="F1729" t="s" s="2">
        <f>HYPERLINK("http://ts.21cn.com/tousu/show/id/1372282","http://ts.21cn.com/tousu/show/id/1372282")</f>
      </c>
      <c r="G1729" t="s" s="2">
        <v>17</v>
      </c>
      <c r="H1729" t="s" s="2">
        <v>19</v>
      </c>
      <c r="I1729" t="s" s="2">
        <v>6795</v>
      </c>
      <c r="J1729" t="s" s="2">
        <v>6796</v>
      </c>
      <c r="K1729" t="s" s="2">
        <v>22</v>
      </c>
      <c r="L1729" t="s" s="2">
        <v>22</v>
      </c>
      <c r="M1729" t="s" s="2">
        <v>22</v>
      </c>
    </row>
    <row r="1730" ht="25.0" customHeight="true">
      <c r="A1730" t="s" s="2">
        <v>13</v>
      </c>
      <c r="B1730" t="s" s="2">
        <f>HYPERLINK("http://ts.21cn.com/tousu/show/id/1372239","高利贷头息")</f>
      </c>
      <c r="C1730" t="s" s="2">
        <v>15</v>
      </c>
      <c r="D1730" t="s" s="2">
        <v>16</v>
      </c>
      <c r="E1730" t="s" s="2">
        <v>17</v>
      </c>
      <c r="F1730" t="s" s="2">
        <f>HYPERLINK("http://ts.21cn.com/tousu/show/id/1372239","http://ts.21cn.com/tousu/show/id/1372239")</f>
      </c>
      <c r="G1730" t="s" s="2">
        <v>17</v>
      </c>
      <c r="H1730" t="s" s="2">
        <v>19</v>
      </c>
      <c r="I1730" t="s" s="2">
        <v>6799</v>
      </c>
      <c r="J1730" t="s" s="2">
        <v>6800</v>
      </c>
      <c r="K1730" t="s" s="2">
        <v>22</v>
      </c>
      <c r="L1730" t="s" s="2">
        <v>22</v>
      </c>
      <c r="M1730" t="s" s="2">
        <v>22</v>
      </c>
    </row>
    <row r="1731" ht="25.0" customHeight="true">
      <c r="A1731" t="s" s="2">
        <v>13</v>
      </c>
      <c r="B1731" t="s" s="2">
        <f>HYPERLINK("http://ts.21cn.com/tousu/show/id/1372280","注册天天金钱，投诉星赫梁山信息科技有限公司恶意扣借记卡里面288元钱")</f>
      </c>
      <c r="C1731" t="s" s="2">
        <v>15</v>
      </c>
      <c r="D1731" t="s" s="2">
        <v>16</v>
      </c>
      <c r="E1731" t="s" s="2">
        <v>17</v>
      </c>
      <c r="F1731" t="s" s="2">
        <f>HYPERLINK("http://ts.21cn.com/tousu/show/id/1372280","http://ts.21cn.com/tousu/show/id/1372280")</f>
      </c>
      <c r="G1731" t="s" s="2">
        <v>17</v>
      </c>
      <c r="H1731" t="s" s="2">
        <v>19</v>
      </c>
      <c r="I1731" t="s" s="2">
        <v>6803</v>
      </c>
      <c r="J1731" t="s" s="2">
        <v>6804</v>
      </c>
      <c r="K1731" t="s" s="2">
        <v>22</v>
      </c>
      <c r="L1731" t="s" s="2">
        <v>22</v>
      </c>
      <c r="M1731" t="s" s="2">
        <v>22</v>
      </c>
    </row>
    <row r="1732" ht="25.0" customHeight="true">
      <c r="A1732" t="s" s="2">
        <v>13</v>
      </c>
      <c r="B1732" t="s" s="2">
        <f>HYPERLINK("http://ts.21cn.com/tousu/show/id/1372279","现今巴士APP下载不了导致逾期")</f>
      </c>
      <c r="C1732" t="s" s="2">
        <v>52</v>
      </c>
      <c r="D1732" t="s" s="2">
        <v>16</v>
      </c>
      <c r="E1732" t="s" s="2">
        <v>17</v>
      </c>
      <c r="F1732" t="s" s="2">
        <f>HYPERLINK("http://ts.21cn.com/tousu/show/id/1372279","http://ts.21cn.com/tousu/show/id/1372279")</f>
      </c>
      <c r="G1732" t="s" s="2">
        <v>17</v>
      </c>
      <c r="H1732" t="s" s="2">
        <v>19</v>
      </c>
      <c r="I1732" t="s" s="2">
        <v>6807</v>
      </c>
      <c r="J1732" t="s" s="2">
        <v>6808</v>
      </c>
      <c r="K1732" t="s" s="2">
        <v>22</v>
      </c>
      <c r="L1732" t="s" s="2">
        <v>22</v>
      </c>
      <c r="M1732" t="s" s="2">
        <v>22</v>
      </c>
    </row>
    <row r="1733" ht="25.0" customHeight="true">
      <c r="A1733" t="s" s="2">
        <v>13</v>
      </c>
      <c r="B1733" t="s" s="2">
        <f>HYPERLINK("http://ts.21cn.com/tousu/show/id/1372278","易宝支付融360714非法高利贷帮凶")</f>
      </c>
      <c r="C1733" t="s" s="2">
        <v>15</v>
      </c>
      <c r="D1733" t="s" s="2">
        <v>16</v>
      </c>
      <c r="E1733" t="s" s="2">
        <v>17</v>
      </c>
      <c r="F1733" t="s" s="2">
        <f>HYPERLINK("http://ts.21cn.com/tousu/show/id/1372278","http://ts.21cn.com/tousu/show/id/1372278")</f>
      </c>
      <c r="G1733" t="s" s="2">
        <v>17</v>
      </c>
      <c r="H1733" t="s" s="2">
        <v>19</v>
      </c>
      <c r="I1733" t="s" s="2">
        <v>6811</v>
      </c>
      <c r="J1733" t="s" s="2">
        <v>6812</v>
      </c>
      <c r="K1733" t="s" s="2">
        <v>22</v>
      </c>
      <c r="L1733" t="s" s="2">
        <v>22</v>
      </c>
      <c r="M1733" t="s" s="2">
        <v>22</v>
      </c>
    </row>
    <row r="1734" ht="25.0" customHeight="true">
      <c r="A1734" t="s" s="2">
        <v>13</v>
      </c>
      <c r="B1734" t="s" s="2">
        <f>HYPERLINK("http://ts.21cn.com/tousu/show/id/1372276","贷上钱不给注销账号")</f>
      </c>
      <c r="C1734" t="s" s="2">
        <v>15</v>
      </c>
      <c r="D1734" t="s" s="2">
        <v>16</v>
      </c>
      <c r="E1734" t="s" s="2">
        <v>17</v>
      </c>
      <c r="F1734" t="s" s="2">
        <f>HYPERLINK("http://ts.21cn.com/tousu/show/id/1372276","http://ts.21cn.com/tousu/show/id/1372276")</f>
      </c>
      <c r="G1734" t="s" s="2">
        <v>17</v>
      </c>
      <c r="H1734" t="s" s="2">
        <v>19</v>
      </c>
      <c r="I1734" t="s" s="2">
        <v>6815</v>
      </c>
      <c r="J1734" t="s" s="2">
        <v>6816</v>
      </c>
      <c r="K1734" t="s" s="2">
        <v>22</v>
      </c>
      <c r="L1734" t="s" s="2">
        <v>22</v>
      </c>
      <c r="M1734" t="s" s="2">
        <v>22</v>
      </c>
    </row>
    <row r="1735" ht="25.0" customHeight="true">
      <c r="A1735" t="s" s="2">
        <v>13</v>
      </c>
      <c r="B1735" t="s" s="2">
        <f>HYPERLINK("http://ts.21cn.com/tousu/show/id/1372275","无良淘宝平台乱封账号权利")</f>
      </c>
      <c r="C1735" t="s" s="2">
        <v>15</v>
      </c>
      <c r="D1735" t="s" s="2">
        <v>16</v>
      </c>
      <c r="E1735" t="s" s="2">
        <v>17</v>
      </c>
      <c r="F1735" t="s" s="2">
        <f>HYPERLINK("http://ts.21cn.com/tousu/show/id/1372275","http://ts.21cn.com/tousu/show/id/1372275")</f>
      </c>
      <c r="G1735" t="s" s="2">
        <v>17</v>
      </c>
      <c r="H1735" t="s" s="2">
        <v>19</v>
      </c>
      <c r="I1735" t="s" s="2">
        <v>6819</v>
      </c>
      <c r="J1735" t="s" s="2">
        <v>6820</v>
      </c>
      <c r="K1735" t="s" s="2">
        <v>22</v>
      </c>
      <c r="L1735" t="s" s="2">
        <v>22</v>
      </c>
      <c r="M1735" t="s" s="2">
        <v>22</v>
      </c>
    </row>
    <row r="1736" ht="25.0" customHeight="true">
      <c r="A1736" t="s" s="2">
        <v>13</v>
      </c>
      <c r="B1736" t="s" s="2">
        <f>HYPERLINK("http://ts.21cn.com/tousu/show/id/1372277","360暴力催收")</f>
      </c>
      <c r="C1736" t="s" s="2">
        <v>15</v>
      </c>
      <c r="D1736" t="s" s="2">
        <v>16</v>
      </c>
      <c r="E1736" t="s" s="2">
        <v>17</v>
      </c>
      <c r="F1736" t="s" s="2">
        <f>HYPERLINK("http://ts.21cn.com/tousu/show/id/1372277","http://ts.21cn.com/tousu/show/id/1372277")</f>
      </c>
      <c r="G1736" t="s" s="2">
        <v>17</v>
      </c>
      <c r="H1736" t="s" s="2">
        <v>19</v>
      </c>
      <c r="I1736" t="s" s="2">
        <v>6823</v>
      </c>
      <c r="J1736" t="s" s="2">
        <v>6824</v>
      </c>
      <c r="K1736" t="s" s="2">
        <v>22</v>
      </c>
      <c r="L1736" t="s" s="2">
        <v>22</v>
      </c>
      <c r="M1736" t="s" s="2">
        <v>22</v>
      </c>
    </row>
    <row r="1737" ht="25.0" customHeight="true">
      <c r="A1737" t="s" s="2">
        <v>13</v>
      </c>
      <c r="B1737" t="s" s="2">
        <f>HYPERLINK("http://ts.21cn.com/tousu/show/id/1372274","高利贷威胁恐吓")</f>
      </c>
      <c r="C1737" t="s" s="2">
        <v>15</v>
      </c>
      <c r="D1737" t="s" s="2">
        <v>16</v>
      </c>
      <c r="E1737" t="s" s="2">
        <v>17</v>
      </c>
      <c r="F1737" t="s" s="2">
        <f>HYPERLINK("http://ts.21cn.com/tousu/show/id/1372274","http://ts.21cn.com/tousu/show/id/1372274")</f>
      </c>
      <c r="G1737" t="s" s="2">
        <v>17</v>
      </c>
      <c r="H1737" t="s" s="2">
        <v>19</v>
      </c>
      <c r="I1737" t="s" s="2">
        <v>6827</v>
      </c>
      <c r="J1737" t="s" s="2">
        <v>6828</v>
      </c>
      <c r="K1737" t="s" s="2">
        <v>22</v>
      </c>
      <c r="L1737" t="s" s="2">
        <v>22</v>
      </c>
      <c r="M1737" t="s" s="2">
        <v>22</v>
      </c>
    </row>
    <row r="1738" ht="25.0" customHeight="true">
      <c r="A1738" t="s" s="2">
        <v>13</v>
      </c>
      <c r="B1738" t="s" s="2">
        <f>HYPERLINK("http://ts.21cn.com/tousu/show/id/1372272","微粒贷")</f>
      </c>
      <c r="C1738" t="s" s="2">
        <v>15</v>
      </c>
      <c r="D1738" t="s" s="2">
        <v>16</v>
      </c>
      <c r="E1738" t="s" s="2">
        <v>17</v>
      </c>
      <c r="F1738" t="s" s="2">
        <f>HYPERLINK("http://ts.21cn.com/tousu/show/id/1372272","http://ts.21cn.com/tousu/show/id/1372272")</f>
      </c>
      <c r="G1738" t="s" s="2">
        <v>17</v>
      </c>
      <c r="H1738" t="s" s="2">
        <v>19</v>
      </c>
      <c r="I1738" t="s" s="2">
        <v>6831</v>
      </c>
      <c r="J1738" t="s" s="2">
        <v>6832</v>
      </c>
      <c r="K1738" t="s" s="2">
        <v>22</v>
      </c>
      <c r="L1738" t="s" s="2">
        <v>22</v>
      </c>
      <c r="M1738" t="s" s="2">
        <v>22</v>
      </c>
    </row>
    <row r="1739" ht="25.0" customHeight="true">
      <c r="A1739" t="s" s="2">
        <v>13</v>
      </c>
      <c r="B1739" t="s" s="2">
        <f>HYPERLINK("http://ts.21cn.com/tousu/show/id/1372271","产品质量问题，天猫不退款")</f>
      </c>
      <c r="C1739" t="s" s="2">
        <v>15</v>
      </c>
      <c r="D1739" t="s" s="2">
        <v>16</v>
      </c>
      <c r="E1739" t="s" s="2">
        <v>17</v>
      </c>
      <c r="F1739" t="s" s="2">
        <f>HYPERLINK("http://ts.21cn.com/tousu/show/id/1372271","http://ts.21cn.com/tousu/show/id/1372271")</f>
      </c>
      <c r="G1739" t="s" s="2">
        <v>17</v>
      </c>
      <c r="H1739" t="s" s="2">
        <v>19</v>
      </c>
      <c r="I1739" t="s" s="2">
        <v>6835</v>
      </c>
      <c r="J1739" t="s" s="2">
        <v>6836</v>
      </c>
      <c r="K1739" t="s" s="2">
        <v>22</v>
      </c>
      <c r="L1739" t="s" s="2">
        <v>22</v>
      </c>
      <c r="M1739" t="s" s="2">
        <v>22</v>
      </c>
    </row>
    <row r="1740" ht="25.0" customHeight="true">
      <c r="A1740" t="s" s="2">
        <v>13</v>
      </c>
      <c r="B1740" t="s" s="2">
        <f>HYPERLINK("http://ts.21cn.com/tousu/show/id/1372269","平安普惠贷款隐瞒隐藏并强制收取高额保险费管理费投诉事宜")</f>
      </c>
      <c r="C1740" t="s" s="2">
        <v>15</v>
      </c>
      <c r="D1740" t="s" s="2">
        <v>16</v>
      </c>
      <c r="E1740" t="s" s="2">
        <v>17</v>
      </c>
      <c r="F1740" t="s" s="2">
        <f>HYPERLINK("http://ts.21cn.com/tousu/show/id/1372269","http://ts.21cn.com/tousu/show/id/1372269")</f>
      </c>
      <c r="G1740" t="s" s="2">
        <v>17</v>
      </c>
      <c r="H1740" t="s" s="2">
        <v>19</v>
      </c>
      <c r="I1740" t="s" s="2">
        <v>6838</v>
      </c>
      <c r="J1740" t="s" s="2">
        <v>6839</v>
      </c>
      <c r="K1740" t="s" s="2">
        <v>22</v>
      </c>
      <c r="L1740" t="s" s="2">
        <v>22</v>
      </c>
      <c r="M1740" t="s" s="2">
        <v>22</v>
      </c>
    </row>
    <row r="1741" ht="25.0" customHeight="true">
      <c r="A1741" t="s" s="2">
        <v>13</v>
      </c>
      <c r="B1741" t="s" s="2">
        <f>HYPERLINK("http://ts.21cn.com/tousu/show/id/1372266","停止业务员骚扰我")</f>
      </c>
      <c r="C1741" t="s" s="2">
        <v>15</v>
      </c>
      <c r="D1741" t="s" s="2">
        <v>16</v>
      </c>
      <c r="E1741" t="s" s="2">
        <v>17</v>
      </c>
      <c r="F1741" t="s" s="2">
        <f>HYPERLINK("http://ts.21cn.com/tousu/show/id/1372266","http://ts.21cn.com/tousu/show/id/1372266")</f>
      </c>
      <c r="G1741" t="s" s="2">
        <v>17</v>
      </c>
      <c r="H1741" t="s" s="2">
        <v>19</v>
      </c>
      <c r="I1741" t="s" s="2">
        <v>6842</v>
      </c>
      <c r="J1741" t="s" s="2">
        <v>6843</v>
      </c>
      <c r="K1741" t="s" s="2">
        <v>22</v>
      </c>
      <c r="L1741" t="s" s="2">
        <v>22</v>
      </c>
      <c r="M1741" t="s" s="2">
        <v>22</v>
      </c>
    </row>
    <row r="1742" ht="25.0" customHeight="true">
      <c r="A1742" t="s" s="2">
        <v>13</v>
      </c>
      <c r="B1742" t="s" s="2">
        <f>HYPERLINK("http://ts.21cn.com/tousu/show/id/1372268","盗刷我钱！！太可怕了")</f>
      </c>
      <c r="C1742" t="s" s="2">
        <v>15</v>
      </c>
      <c r="D1742" t="s" s="2">
        <v>16</v>
      </c>
      <c r="E1742" t="s" s="2">
        <v>17</v>
      </c>
      <c r="F1742" t="s" s="2">
        <f>HYPERLINK("http://ts.21cn.com/tousu/show/id/1372268","http://ts.21cn.com/tousu/show/id/1372268")</f>
      </c>
      <c r="G1742" t="s" s="2">
        <v>17</v>
      </c>
      <c r="H1742" t="s" s="2">
        <v>19</v>
      </c>
      <c r="I1742" t="s" s="2">
        <v>6846</v>
      </c>
      <c r="J1742" t="s" s="2">
        <v>6847</v>
      </c>
      <c r="K1742" t="s" s="2">
        <v>22</v>
      </c>
      <c r="L1742" t="s" s="2">
        <v>22</v>
      </c>
      <c r="M1742" t="s" s="2">
        <v>22</v>
      </c>
    </row>
    <row r="1743" ht="25.0" customHeight="true">
      <c r="A1743" t="s" s="2">
        <v>13</v>
      </c>
      <c r="B1743" t="s" s="2">
        <f>HYPERLINK("http://ts.21cn.com/tousu/show/id/1372264","“立刻出行”共享汽车平台押金退还问题")</f>
      </c>
      <c r="C1743" t="s" s="2">
        <v>52</v>
      </c>
      <c r="D1743" t="s" s="2">
        <v>16</v>
      </c>
      <c r="E1743" t="s" s="2">
        <v>17</v>
      </c>
      <c r="F1743" t="s" s="2">
        <f>HYPERLINK("http://ts.21cn.com/tousu/show/id/1372264","http://ts.21cn.com/tousu/show/id/1372264")</f>
      </c>
      <c r="G1743" t="s" s="2">
        <v>17</v>
      </c>
      <c r="H1743" t="s" s="2">
        <v>19</v>
      </c>
      <c r="I1743" t="s" s="2">
        <v>6850</v>
      </c>
      <c r="J1743" t="s" s="2">
        <v>6851</v>
      </c>
      <c r="K1743" t="s" s="2">
        <v>22</v>
      </c>
      <c r="L1743" t="s" s="2">
        <v>22</v>
      </c>
      <c r="M1743" t="s" s="2">
        <v>22</v>
      </c>
    </row>
    <row r="1744" ht="25.0" customHeight="true">
      <c r="A1744" t="s" s="2">
        <v>13</v>
      </c>
      <c r="B1744" t="s" s="2">
        <f>HYPERLINK("http://ts.21cn.com/tousu/show/id/1372265","友信威逼催收")</f>
      </c>
      <c r="C1744" t="s" s="2">
        <v>15</v>
      </c>
      <c r="D1744" t="s" s="2">
        <v>16</v>
      </c>
      <c r="E1744" t="s" s="2">
        <v>17</v>
      </c>
      <c r="F1744" t="s" s="2">
        <f>HYPERLINK("http://ts.21cn.com/tousu/show/id/1372265","http://ts.21cn.com/tousu/show/id/1372265")</f>
      </c>
      <c r="G1744" t="s" s="2">
        <v>17</v>
      </c>
      <c r="H1744" t="s" s="2">
        <v>19</v>
      </c>
      <c r="I1744" t="s" s="2">
        <v>6854</v>
      </c>
      <c r="J1744" t="s" s="2">
        <v>6855</v>
      </c>
      <c r="K1744" t="s" s="2">
        <v>22</v>
      </c>
      <c r="L1744" t="s" s="2">
        <v>22</v>
      </c>
      <c r="M1744" t="s" s="2">
        <v>22</v>
      </c>
    </row>
    <row r="1745" ht="25.0" customHeight="true">
      <c r="A1745" t="s" s="2">
        <v>13</v>
      </c>
      <c r="B1745" t="s" s="2">
        <f>HYPERLINK("http://ts.21cn.com/tousu/show/id/1372263","随意扣款")</f>
      </c>
      <c r="C1745" t="s" s="2">
        <v>15</v>
      </c>
      <c r="D1745" t="s" s="2">
        <v>16</v>
      </c>
      <c r="E1745" t="s" s="2">
        <v>17</v>
      </c>
      <c r="F1745" t="s" s="2">
        <f>HYPERLINK("http://ts.21cn.com/tousu/show/id/1372263","http://ts.21cn.com/tousu/show/id/1372263")</f>
      </c>
      <c r="G1745" t="s" s="2">
        <v>17</v>
      </c>
      <c r="H1745" t="s" s="2">
        <v>19</v>
      </c>
      <c r="I1745" t="s" s="2">
        <v>6858</v>
      </c>
      <c r="J1745" t="s" s="2">
        <v>6859</v>
      </c>
      <c r="K1745" t="s" s="2">
        <v>22</v>
      </c>
      <c r="L1745" t="s" s="2">
        <v>22</v>
      </c>
      <c r="M1745" t="s" s="2">
        <v>22</v>
      </c>
    </row>
    <row r="1746" ht="25.0" customHeight="true">
      <c r="A1746" t="s" s="2">
        <v>13</v>
      </c>
      <c r="B1746" t="s" s="2">
        <f>HYPERLINK("http://ts.21cn.com/tousu/show/id/1372243","名校贷涉嫌违法违规，一起来起诉。")</f>
      </c>
      <c r="C1746" t="s" s="2">
        <v>15</v>
      </c>
      <c r="D1746" t="s" s="2">
        <v>16</v>
      </c>
      <c r="E1746" t="s" s="2">
        <v>17</v>
      </c>
      <c r="F1746" t="s" s="2">
        <f>HYPERLINK("http://ts.21cn.com/tousu/show/id/1372243","http://ts.21cn.com/tousu/show/id/1372243")</f>
      </c>
      <c r="G1746" t="s" s="2">
        <v>17</v>
      </c>
      <c r="H1746" t="s" s="2">
        <v>19</v>
      </c>
      <c r="I1746" t="s" s="2">
        <v>6862</v>
      </c>
      <c r="J1746" t="s" s="2">
        <v>6863</v>
      </c>
      <c r="K1746" t="s" s="2">
        <v>22</v>
      </c>
      <c r="L1746" t="s" s="2">
        <v>22</v>
      </c>
      <c r="M1746" t="s" s="2">
        <v>22</v>
      </c>
    </row>
    <row r="1747" ht="25.0" customHeight="true">
      <c r="A1747" t="s" s="2">
        <v>13</v>
      </c>
      <c r="B1747" t="s" s="2">
        <f>HYPERLINK("http://ts.21cn.com/tousu/show/id/1372262","你我贷暴力催收")</f>
      </c>
      <c r="C1747" t="s" s="2">
        <v>15</v>
      </c>
      <c r="D1747" t="s" s="2">
        <v>16</v>
      </c>
      <c r="E1747" t="s" s="2">
        <v>17</v>
      </c>
      <c r="F1747" t="s" s="2">
        <f>HYPERLINK("http://ts.21cn.com/tousu/show/id/1372262","http://ts.21cn.com/tousu/show/id/1372262")</f>
      </c>
      <c r="G1747" t="s" s="2">
        <v>17</v>
      </c>
      <c r="H1747" t="s" s="2">
        <v>19</v>
      </c>
      <c r="I1747" t="s" s="2">
        <v>6865</v>
      </c>
      <c r="J1747" t="s" s="2">
        <v>6866</v>
      </c>
      <c r="K1747" t="s" s="2">
        <v>22</v>
      </c>
      <c r="L1747" t="s" s="2">
        <v>22</v>
      </c>
      <c r="M1747" t="s" s="2">
        <v>22</v>
      </c>
    </row>
    <row r="1748" ht="25.0" customHeight="true">
      <c r="A1748" t="s" s="2">
        <v>13</v>
      </c>
      <c r="B1748" t="s" s="2">
        <f>HYPERLINK("http://ts.21cn.com/tousu/show/id/1372261","电话频繁催收")</f>
      </c>
      <c r="C1748" t="s" s="2">
        <v>15</v>
      </c>
      <c r="D1748" t="s" s="2">
        <v>16</v>
      </c>
      <c r="E1748" t="s" s="2">
        <v>17</v>
      </c>
      <c r="F1748" t="s" s="2">
        <f>HYPERLINK("http://ts.21cn.com/tousu/show/id/1372261","http://ts.21cn.com/tousu/show/id/1372261")</f>
      </c>
      <c r="G1748" t="s" s="2">
        <v>17</v>
      </c>
      <c r="H1748" t="s" s="2">
        <v>19</v>
      </c>
      <c r="I1748" t="s" s="2">
        <v>6869</v>
      </c>
      <c r="J1748" t="s" s="2">
        <v>6870</v>
      </c>
      <c r="K1748" t="s" s="2">
        <v>22</v>
      </c>
      <c r="L1748" t="s" s="2">
        <v>22</v>
      </c>
      <c r="M1748" t="s" s="2">
        <v>22</v>
      </c>
    </row>
    <row r="1749" ht="25.0" customHeight="true">
      <c r="A1749" t="s" s="2">
        <v>13</v>
      </c>
      <c r="B1749" t="s" s="2">
        <f>HYPERLINK("http://ts.21cn.com/tousu/show/id/1372258","爆通讯录非法获取个人信息")</f>
      </c>
      <c r="C1749" t="s" s="2">
        <v>15</v>
      </c>
      <c r="D1749" t="s" s="2">
        <v>16</v>
      </c>
      <c r="E1749" t="s" s="2">
        <v>17</v>
      </c>
      <c r="F1749" t="s" s="2">
        <f>HYPERLINK("http://ts.21cn.com/tousu/show/id/1372258","http://ts.21cn.com/tousu/show/id/1372258")</f>
      </c>
      <c r="G1749" t="s" s="2">
        <v>17</v>
      </c>
      <c r="H1749" t="s" s="2">
        <v>19</v>
      </c>
      <c r="I1749" t="s" s="2">
        <v>6873</v>
      </c>
      <c r="J1749" t="s" s="2">
        <v>6874</v>
      </c>
      <c r="K1749" t="s" s="2">
        <v>22</v>
      </c>
      <c r="L1749" t="s" s="2">
        <v>22</v>
      </c>
      <c r="M1749" t="s" s="2">
        <v>22</v>
      </c>
    </row>
    <row r="1750" ht="25.0" customHeight="true">
      <c r="A1750" t="s" s="2">
        <v>13</v>
      </c>
      <c r="B1750" t="s" s="2">
        <f>HYPERLINK("http://ts.21cn.com/tousu/show/id/1372257","京东金融第三方催收就是垃圾")</f>
      </c>
      <c r="C1750" t="s" s="2">
        <v>15</v>
      </c>
      <c r="D1750" t="s" s="2">
        <v>16</v>
      </c>
      <c r="E1750" t="s" s="2">
        <v>17</v>
      </c>
      <c r="F1750" t="s" s="2">
        <f>HYPERLINK("http://ts.21cn.com/tousu/show/id/1372257","http://ts.21cn.com/tousu/show/id/1372257")</f>
      </c>
      <c r="G1750" t="s" s="2">
        <v>17</v>
      </c>
      <c r="H1750" t="s" s="2">
        <v>19</v>
      </c>
      <c r="I1750" t="s" s="2">
        <v>6873</v>
      </c>
      <c r="J1750" t="s" s="2">
        <v>6877</v>
      </c>
      <c r="K1750" t="s" s="2">
        <v>22</v>
      </c>
      <c r="L1750" t="s" s="2">
        <v>22</v>
      </c>
      <c r="M1750" t="s" s="2">
        <v>22</v>
      </c>
    </row>
    <row r="1751" ht="25.0" customHeight="true">
      <c r="A1751" t="s" s="2">
        <v>13</v>
      </c>
      <c r="B1751" t="s" s="2">
        <f>HYPERLINK("http://ts.21cn.com/tousu/show/id/1372260","交通银行信用卡违约金罚息")</f>
      </c>
      <c r="C1751" t="s" s="2">
        <v>15</v>
      </c>
      <c r="D1751" t="s" s="2">
        <v>16</v>
      </c>
      <c r="E1751" t="s" s="2">
        <v>17</v>
      </c>
      <c r="F1751" t="s" s="2">
        <f>HYPERLINK("http://ts.21cn.com/tousu/show/id/1372260","http://ts.21cn.com/tousu/show/id/1372260")</f>
      </c>
      <c r="G1751" t="s" s="2">
        <v>17</v>
      </c>
      <c r="H1751" t="s" s="2">
        <v>19</v>
      </c>
      <c r="I1751" t="s" s="2">
        <v>6880</v>
      </c>
      <c r="J1751" t="s" s="2">
        <v>6881</v>
      </c>
      <c r="K1751" t="s" s="2">
        <v>22</v>
      </c>
      <c r="L1751" t="s" s="2">
        <v>22</v>
      </c>
      <c r="M1751" t="s" s="2">
        <v>22</v>
      </c>
    </row>
    <row r="1752" ht="25.0" customHeight="true">
      <c r="A1752" t="s" s="2">
        <v>13</v>
      </c>
      <c r="B1752" t="s" s="2">
        <f>HYPERLINK("http://ts.21cn.com/tousu/show/id/1372256","平安银行暴力催收")</f>
      </c>
      <c r="C1752" t="s" s="2">
        <v>15</v>
      </c>
      <c r="D1752" t="s" s="2">
        <v>16</v>
      </c>
      <c r="E1752" t="s" s="2">
        <v>17</v>
      </c>
      <c r="F1752" t="s" s="2">
        <f>HYPERLINK("http://ts.21cn.com/tousu/show/id/1372256","http://ts.21cn.com/tousu/show/id/1372256")</f>
      </c>
      <c r="G1752" t="s" s="2">
        <v>17</v>
      </c>
      <c r="H1752" t="s" s="2">
        <v>19</v>
      </c>
      <c r="I1752" t="s" s="2">
        <v>6884</v>
      </c>
      <c r="J1752" t="s" s="2">
        <v>6885</v>
      </c>
      <c r="K1752" t="s" s="2">
        <v>22</v>
      </c>
      <c r="L1752" t="s" s="2">
        <v>22</v>
      </c>
      <c r="M1752" t="s" s="2">
        <v>22</v>
      </c>
    </row>
    <row r="1753" ht="25.0" customHeight="true">
      <c r="A1753" t="s" s="2">
        <v>13</v>
      </c>
      <c r="B1753" t="s" s="2">
        <f>HYPERLINK("http://ts.21cn.com/tousu/show/id/1372259","即有分期无视投诉的问题，又开始威胁")</f>
      </c>
      <c r="C1753" t="s" s="2">
        <v>15</v>
      </c>
      <c r="D1753" t="s" s="2">
        <v>16</v>
      </c>
      <c r="E1753" t="s" s="2">
        <v>17</v>
      </c>
      <c r="F1753" t="s" s="2">
        <f>HYPERLINK("http://ts.21cn.com/tousu/show/id/1372259","http://ts.21cn.com/tousu/show/id/1372259")</f>
      </c>
      <c r="G1753" t="s" s="2">
        <v>17</v>
      </c>
      <c r="H1753" t="s" s="2">
        <v>19</v>
      </c>
      <c r="I1753" t="s" s="2">
        <v>6888</v>
      </c>
      <c r="J1753" t="s" s="2">
        <v>6889</v>
      </c>
      <c r="K1753" t="s" s="2">
        <v>22</v>
      </c>
      <c r="L1753" t="s" s="2">
        <v>22</v>
      </c>
      <c r="M1753" t="s" s="2">
        <v>22</v>
      </c>
    </row>
    <row r="1754" ht="25.0" customHeight="true">
      <c r="A1754" t="s" s="2">
        <v>13</v>
      </c>
      <c r="B1754" t="s" s="2">
        <f>HYPERLINK("http://ts.21cn.com/tousu/show/id/1372255","拍拍贷暴力催收，冒充最高人民法院工作人员骚扰我家人。")</f>
      </c>
      <c r="C1754" t="s" s="2">
        <v>15</v>
      </c>
      <c r="D1754" t="s" s="2">
        <v>16</v>
      </c>
      <c r="E1754" t="s" s="2">
        <v>17</v>
      </c>
      <c r="F1754" t="s" s="2">
        <f>HYPERLINK("http://ts.21cn.com/tousu/show/id/1372255","http://ts.21cn.com/tousu/show/id/1372255")</f>
      </c>
      <c r="G1754" t="s" s="2">
        <v>17</v>
      </c>
      <c r="H1754" t="s" s="2">
        <v>19</v>
      </c>
      <c r="I1754" t="s" s="2">
        <v>6892</v>
      </c>
      <c r="J1754" t="s" s="2">
        <v>6893</v>
      </c>
      <c r="K1754" t="s" s="2">
        <v>22</v>
      </c>
      <c r="L1754" t="s" s="2">
        <v>22</v>
      </c>
      <c r="M1754" t="s" s="2">
        <v>22</v>
      </c>
    </row>
    <row r="1755" ht="25.0" customHeight="true">
      <c r="A1755" t="s" s="2">
        <v>13</v>
      </c>
      <c r="B1755" t="s" s="2">
        <f>HYPERLINK("http://ts.21cn.com/tousu/show/id/1372252","来分期态度恶劣，还款当日多次骚扰电话")</f>
      </c>
      <c r="C1755" t="s" s="2">
        <v>15</v>
      </c>
      <c r="D1755" t="s" s="2">
        <v>16</v>
      </c>
      <c r="E1755" t="s" s="2">
        <v>17</v>
      </c>
      <c r="F1755" t="s" s="2">
        <f>HYPERLINK("http://ts.21cn.com/tousu/show/id/1372252","http://ts.21cn.com/tousu/show/id/1372252")</f>
      </c>
      <c r="G1755" t="s" s="2">
        <v>17</v>
      </c>
      <c r="H1755" t="s" s="2">
        <v>19</v>
      </c>
      <c r="I1755" t="s" s="2">
        <v>6896</v>
      </c>
      <c r="J1755" t="s" s="2">
        <v>6897</v>
      </c>
      <c r="K1755" t="s" s="2">
        <v>22</v>
      </c>
      <c r="L1755" t="s" s="2">
        <v>22</v>
      </c>
      <c r="M1755" t="s" s="2">
        <v>22</v>
      </c>
    </row>
    <row r="1756" ht="25.0" customHeight="true">
      <c r="A1756" t="s" s="2">
        <v>13</v>
      </c>
      <c r="B1756" t="s" s="2">
        <f>HYPERLINK("http://ts.21cn.com/tousu/show/id/1372254","套路贷不下款就要钱，取消都不行")</f>
      </c>
      <c r="C1756" t="s" s="2">
        <v>15</v>
      </c>
      <c r="D1756" t="s" s="2">
        <v>16</v>
      </c>
      <c r="E1756" t="s" s="2">
        <v>17</v>
      </c>
      <c r="F1756" t="s" s="2">
        <f>HYPERLINK("http://ts.21cn.com/tousu/show/id/1372254","http://ts.21cn.com/tousu/show/id/1372254")</f>
      </c>
      <c r="G1756" t="s" s="2">
        <v>17</v>
      </c>
      <c r="H1756" t="s" s="2">
        <v>19</v>
      </c>
      <c r="I1756" t="s" s="2">
        <v>6900</v>
      </c>
      <c r="J1756" t="s" s="2">
        <v>6901</v>
      </c>
      <c r="K1756" t="s" s="2">
        <v>22</v>
      </c>
      <c r="L1756" t="s" s="2">
        <v>22</v>
      </c>
      <c r="M1756" t="s" s="2">
        <v>22</v>
      </c>
    </row>
    <row r="1757" ht="25.0" customHeight="true">
      <c r="A1757" t="s" s="2">
        <v>13</v>
      </c>
      <c r="B1757" t="s" s="2">
        <f>HYPERLINK("http://ts.21cn.com/tousu/show/id/1372253","招联金融收取解冻费用为啥需要提供资金进行证明")</f>
      </c>
      <c r="C1757" t="s" s="2">
        <v>15</v>
      </c>
      <c r="D1757" t="s" s="2">
        <v>16</v>
      </c>
      <c r="E1757" t="s" s="2">
        <v>17</v>
      </c>
      <c r="F1757" t="s" s="2">
        <f>HYPERLINK("http://ts.21cn.com/tousu/show/id/1372253","http://ts.21cn.com/tousu/show/id/1372253")</f>
      </c>
      <c r="G1757" t="s" s="2">
        <v>17</v>
      </c>
      <c r="H1757" t="s" s="2">
        <v>19</v>
      </c>
      <c r="I1757" t="s" s="2">
        <v>6904</v>
      </c>
      <c r="J1757" t="s" s="2">
        <v>6905</v>
      </c>
      <c r="K1757" t="s" s="2">
        <v>22</v>
      </c>
      <c r="L1757" t="s" s="2">
        <v>22</v>
      </c>
      <c r="M1757" t="s" s="2">
        <v>22</v>
      </c>
    </row>
    <row r="1758" ht="25.0" customHeight="true">
      <c r="A1758" t="s" s="2">
        <v>13</v>
      </c>
      <c r="B1758" t="s" s="2">
        <f>HYPERLINK("http://ts.21cn.com/tousu/show/id/1372251","拍拍贷高利贷暴力催收辱骂威胁恐吓")</f>
      </c>
      <c r="C1758" t="s" s="2">
        <v>15</v>
      </c>
      <c r="D1758" t="s" s="2">
        <v>16</v>
      </c>
      <c r="E1758" t="s" s="2">
        <v>17</v>
      </c>
      <c r="F1758" t="s" s="2">
        <f>HYPERLINK("http://ts.21cn.com/tousu/show/id/1372251","http://ts.21cn.com/tousu/show/id/1372251")</f>
      </c>
      <c r="G1758" t="s" s="2">
        <v>17</v>
      </c>
      <c r="H1758" t="s" s="2">
        <v>19</v>
      </c>
      <c r="I1758" t="s" s="2">
        <v>6908</v>
      </c>
      <c r="J1758" t="s" s="2">
        <v>6909</v>
      </c>
      <c r="K1758" t="s" s="2">
        <v>22</v>
      </c>
      <c r="L1758" t="s" s="2">
        <v>22</v>
      </c>
      <c r="M1758" t="s" s="2">
        <v>22</v>
      </c>
    </row>
    <row r="1759" ht="25.0" customHeight="true">
      <c r="A1759" t="s" s="2">
        <v>13</v>
      </c>
      <c r="B1759" t="s" s="2">
        <f>HYPERLINK("http://ts.21cn.com/tousu/show/id/1372250","速金服高额砍头息")</f>
      </c>
      <c r="C1759" t="s" s="2">
        <v>52</v>
      </c>
      <c r="D1759" t="s" s="2">
        <v>16</v>
      </c>
      <c r="E1759" t="s" s="2">
        <v>17</v>
      </c>
      <c r="F1759" t="s" s="2">
        <f>HYPERLINK("http://ts.21cn.com/tousu/show/id/1372250","http://ts.21cn.com/tousu/show/id/1372250")</f>
      </c>
      <c r="G1759" t="s" s="2">
        <v>17</v>
      </c>
      <c r="H1759" t="s" s="2">
        <v>19</v>
      </c>
      <c r="I1759" t="s" s="2">
        <v>6912</v>
      </c>
      <c r="J1759" t="s" s="2">
        <v>6913</v>
      </c>
      <c r="K1759" t="s" s="2">
        <v>22</v>
      </c>
      <c r="L1759" t="s" s="2">
        <v>22</v>
      </c>
      <c r="M1759" t="s" s="2">
        <v>22</v>
      </c>
    </row>
    <row r="1760" ht="25.0" customHeight="true">
      <c r="A1760" t="s" s="2">
        <v>13</v>
      </c>
      <c r="B1760" t="s" s="2">
        <f>HYPERLINK("http://ts.21cn.com/tousu/show/id/1372249","京东退店不退保证金")</f>
      </c>
      <c r="C1760" t="s" s="2">
        <v>15</v>
      </c>
      <c r="D1760" t="s" s="2">
        <v>16</v>
      </c>
      <c r="E1760" t="s" s="2">
        <v>17</v>
      </c>
      <c r="F1760" t="s" s="2">
        <f>HYPERLINK("http://ts.21cn.com/tousu/show/id/1372249","http://ts.21cn.com/tousu/show/id/1372249")</f>
      </c>
      <c r="G1760" t="s" s="2">
        <v>17</v>
      </c>
      <c r="H1760" t="s" s="2">
        <v>19</v>
      </c>
      <c r="I1760" t="s" s="2">
        <v>6916</v>
      </c>
      <c r="J1760" t="s" s="2">
        <v>6917</v>
      </c>
      <c r="K1760" t="s" s="2">
        <v>22</v>
      </c>
      <c r="L1760" t="s" s="2">
        <v>22</v>
      </c>
      <c r="M1760" t="s" s="2">
        <v>22</v>
      </c>
    </row>
    <row r="1761" ht="25.0" customHeight="true">
      <c r="A1761" t="s" s="2">
        <v>13</v>
      </c>
      <c r="B1761" t="s" s="2">
        <f>HYPERLINK("http://ts.21cn.com/tousu/show/id/1372247","钱站高利贷")</f>
      </c>
      <c r="C1761" t="s" s="2">
        <v>15</v>
      </c>
      <c r="D1761" t="s" s="2">
        <v>16</v>
      </c>
      <c r="E1761" t="s" s="2">
        <v>17</v>
      </c>
      <c r="F1761" t="s" s="2">
        <f>HYPERLINK("http://ts.21cn.com/tousu/show/id/1372247","http://ts.21cn.com/tousu/show/id/1372247")</f>
      </c>
      <c r="G1761" t="s" s="2">
        <v>17</v>
      </c>
      <c r="H1761" t="s" s="2">
        <v>19</v>
      </c>
      <c r="I1761" t="s" s="2">
        <v>6919</v>
      </c>
      <c r="J1761" t="s" s="2">
        <v>6920</v>
      </c>
      <c r="K1761" t="s" s="2">
        <v>22</v>
      </c>
      <c r="L1761" t="s" s="2">
        <v>22</v>
      </c>
      <c r="M1761" t="s" s="2">
        <v>22</v>
      </c>
    </row>
    <row r="1762" ht="25.0" customHeight="true">
      <c r="A1762" t="s" s="2">
        <v>13</v>
      </c>
      <c r="B1762" t="s" s="2">
        <f>HYPERLINK("http://ts.21cn.com/tousu/show/id/1372246","融360旗下平台及贷威胁恐吓暴力催收")</f>
      </c>
      <c r="C1762" t="s" s="2">
        <v>15</v>
      </c>
      <c r="D1762" t="s" s="2">
        <v>16</v>
      </c>
      <c r="E1762" t="s" s="2">
        <v>17</v>
      </c>
      <c r="F1762" t="s" s="2">
        <f>HYPERLINK("http://ts.21cn.com/tousu/show/id/1372246","http://ts.21cn.com/tousu/show/id/1372246")</f>
      </c>
      <c r="G1762" t="s" s="2">
        <v>17</v>
      </c>
      <c r="H1762" t="s" s="2">
        <v>19</v>
      </c>
      <c r="I1762" t="s" s="2">
        <v>6923</v>
      </c>
      <c r="J1762" t="s" s="2">
        <v>6924</v>
      </c>
      <c r="K1762" t="s" s="2">
        <v>22</v>
      </c>
      <c r="L1762" t="s" s="2">
        <v>22</v>
      </c>
      <c r="M1762" t="s" s="2">
        <v>22</v>
      </c>
    </row>
    <row r="1763" ht="25.0" customHeight="true">
      <c r="A1763" t="s" s="2">
        <v>13</v>
      </c>
      <c r="B1763" t="s" s="2">
        <f>HYPERLINK("http://ts.21cn.com/tousu/show/id/1372245","嗨钱，光华普惠恶意骚扰")</f>
      </c>
      <c r="C1763" t="s" s="2">
        <v>15</v>
      </c>
      <c r="D1763" t="s" s="2">
        <v>16</v>
      </c>
      <c r="E1763" t="s" s="2">
        <v>17</v>
      </c>
      <c r="F1763" t="s" s="2">
        <f>HYPERLINK("http://ts.21cn.com/tousu/show/id/1372245","http://ts.21cn.com/tousu/show/id/1372245")</f>
      </c>
      <c r="G1763" t="s" s="2">
        <v>17</v>
      </c>
      <c r="H1763" t="s" s="2">
        <v>19</v>
      </c>
      <c r="I1763" t="s" s="2">
        <v>6927</v>
      </c>
      <c r="J1763" t="s" s="2">
        <v>6928</v>
      </c>
      <c r="K1763" t="s" s="2">
        <v>22</v>
      </c>
      <c r="L1763" t="s" s="2">
        <v>22</v>
      </c>
      <c r="M1763" t="s" s="2">
        <v>22</v>
      </c>
    </row>
    <row r="1764" ht="25.0" customHeight="true">
      <c r="A1764" t="s" s="2">
        <v>13</v>
      </c>
      <c r="B1764" t="s" s="2">
        <f>HYPERLINK("http://ts.21cn.com/tousu/show/id/1372237","来客优平台没有借款，有人电话催还")</f>
      </c>
      <c r="C1764" t="s" s="2">
        <v>52</v>
      </c>
      <c r="D1764" t="s" s="2">
        <v>16</v>
      </c>
      <c r="E1764" t="s" s="2">
        <v>17</v>
      </c>
      <c r="F1764" t="s" s="2">
        <f>HYPERLINK("http://ts.21cn.com/tousu/show/id/1372237","http://ts.21cn.com/tousu/show/id/1372237")</f>
      </c>
      <c r="G1764" t="s" s="2">
        <v>17</v>
      </c>
      <c r="H1764" t="s" s="2">
        <v>19</v>
      </c>
      <c r="I1764" t="s" s="2">
        <v>6931</v>
      </c>
      <c r="J1764" t="s" s="2">
        <v>6932</v>
      </c>
      <c r="K1764" t="s" s="2">
        <v>22</v>
      </c>
      <c r="L1764" t="s" s="2">
        <v>22</v>
      </c>
      <c r="M1764" t="s" s="2">
        <v>22</v>
      </c>
    </row>
    <row r="1765" ht="25.0" customHeight="true">
      <c r="A1765" t="s" s="2">
        <v>13</v>
      </c>
      <c r="B1765" t="s" s="2">
        <f>HYPERLINK("http://ts.21cn.com/tousu/show/id/1372232","平安普惠贷款隐瞒隐藏并强制收取高额保险费管理费投诉事宜")</f>
      </c>
      <c r="C1765" t="s" s="2">
        <v>15</v>
      </c>
      <c r="D1765" t="s" s="2">
        <v>16</v>
      </c>
      <c r="E1765" t="s" s="2">
        <v>17</v>
      </c>
      <c r="F1765" t="s" s="2">
        <f>HYPERLINK("http://ts.21cn.com/tousu/show/id/1372232","http://ts.21cn.com/tousu/show/id/1372232")</f>
      </c>
      <c r="G1765" t="s" s="2">
        <v>17</v>
      </c>
      <c r="H1765" t="s" s="2">
        <v>19</v>
      </c>
      <c r="I1765" t="s" s="2">
        <v>6934</v>
      </c>
      <c r="J1765" t="s" s="2">
        <v>6935</v>
      </c>
      <c r="K1765" t="s" s="2">
        <v>22</v>
      </c>
      <c r="L1765" t="s" s="2">
        <v>22</v>
      </c>
      <c r="M1765" t="s" s="2">
        <v>22</v>
      </c>
    </row>
    <row r="1766" ht="25.0" customHeight="true">
      <c r="A1766" t="s" s="2">
        <v>13</v>
      </c>
      <c r="B1766" t="s" s="2">
        <f>HYPERLINK("http://ts.21cn.com/tousu/show/id/1372244","催收")</f>
      </c>
      <c r="C1766" t="s" s="2">
        <v>52</v>
      </c>
      <c r="D1766" t="s" s="2">
        <v>16</v>
      </c>
      <c r="E1766" t="s" s="2">
        <v>17</v>
      </c>
      <c r="F1766" t="s" s="2">
        <f>HYPERLINK("http://ts.21cn.com/tousu/show/id/1372244","http://ts.21cn.com/tousu/show/id/1372244")</f>
      </c>
      <c r="G1766" t="s" s="2">
        <v>17</v>
      </c>
      <c r="H1766" t="s" s="2">
        <v>19</v>
      </c>
      <c r="I1766" t="s" s="2">
        <v>6938</v>
      </c>
      <c r="J1766" t="s" s="2">
        <v>6939</v>
      </c>
      <c r="K1766" t="s" s="2">
        <v>22</v>
      </c>
      <c r="L1766" t="s" s="2">
        <v>22</v>
      </c>
      <c r="M1766" t="s" s="2">
        <v>22</v>
      </c>
    </row>
    <row r="1767" ht="25.0" customHeight="true">
      <c r="A1767" t="s" s="2">
        <v>13</v>
      </c>
      <c r="B1767" t="s" s="2">
        <f>HYPERLINK("http://ts.21cn.com/tousu/show/id/1372242","捷信金融公司变相高利贷")</f>
      </c>
      <c r="C1767" t="s" s="2">
        <v>15</v>
      </c>
      <c r="D1767" t="s" s="2">
        <v>16</v>
      </c>
      <c r="E1767" t="s" s="2">
        <v>17</v>
      </c>
      <c r="F1767" t="s" s="2">
        <f>HYPERLINK("http://ts.21cn.com/tousu/show/id/1372242","http://ts.21cn.com/tousu/show/id/1372242")</f>
      </c>
      <c r="G1767" t="s" s="2">
        <v>17</v>
      </c>
      <c r="H1767" t="s" s="2">
        <v>19</v>
      </c>
      <c r="I1767" t="s" s="2">
        <v>6942</v>
      </c>
      <c r="J1767" t="s" s="2">
        <v>6943</v>
      </c>
      <c r="K1767" t="s" s="2">
        <v>22</v>
      </c>
      <c r="L1767" t="s" s="2">
        <v>22</v>
      </c>
      <c r="M1767" t="s" s="2">
        <v>22</v>
      </c>
    </row>
    <row r="1768" ht="25.0" customHeight="true">
      <c r="A1768" t="s" s="2">
        <v>13</v>
      </c>
      <c r="B1768" t="s" s="2">
        <f>HYPERLINK("http://ts.21cn.com/tousu/show/id/1372238","钱橙无忧随意扣费")</f>
      </c>
      <c r="C1768" t="s" s="2">
        <v>52</v>
      </c>
      <c r="D1768" t="s" s="2">
        <v>16</v>
      </c>
      <c r="E1768" t="s" s="2">
        <v>17</v>
      </c>
      <c r="F1768" t="s" s="2">
        <f>HYPERLINK("http://ts.21cn.com/tousu/show/id/1372238","http://ts.21cn.com/tousu/show/id/1372238")</f>
      </c>
      <c r="G1768" t="s" s="2">
        <v>17</v>
      </c>
      <c r="H1768" t="s" s="2">
        <v>19</v>
      </c>
      <c r="I1768" t="s" s="2">
        <v>6945</v>
      </c>
      <c r="J1768" t="s" s="2">
        <v>6946</v>
      </c>
      <c r="K1768" t="s" s="2">
        <v>22</v>
      </c>
      <c r="L1768" t="s" s="2">
        <v>22</v>
      </c>
      <c r="M1768" t="s" s="2">
        <v>22</v>
      </c>
    </row>
    <row r="1769" ht="25.0" customHeight="true">
      <c r="A1769" t="s" s="2">
        <v>13</v>
      </c>
      <c r="B1769" t="s" s="2">
        <f>HYPERLINK("http://ts.21cn.com/tousu/show/id/1372235","希望现金巴士能减免一些逾期费用")</f>
      </c>
      <c r="C1769" t="s" s="2">
        <v>15</v>
      </c>
      <c r="D1769" t="s" s="2">
        <v>16</v>
      </c>
      <c r="E1769" t="s" s="2">
        <v>17</v>
      </c>
      <c r="F1769" t="s" s="2">
        <f>HYPERLINK("http://ts.21cn.com/tousu/show/id/1372235","http://ts.21cn.com/tousu/show/id/1372235")</f>
      </c>
      <c r="G1769" t="s" s="2">
        <v>17</v>
      </c>
      <c r="H1769" t="s" s="2">
        <v>19</v>
      </c>
      <c r="I1769" t="s" s="2">
        <v>6949</v>
      </c>
      <c r="J1769" t="s" s="2">
        <v>6950</v>
      </c>
      <c r="K1769" t="s" s="2">
        <v>22</v>
      </c>
      <c r="L1769" t="s" s="2">
        <v>22</v>
      </c>
      <c r="M1769" t="s" s="2">
        <v>22</v>
      </c>
    </row>
    <row r="1770" ht="25.0" customHeight="true">
      <c r="A1770" t="s" s="2">
        <v>13</v>
      </c>
      <c r="B1770" t="s" s="2">
        <f>HYPERLINK("http://ts.21cn.com/tousu/show/id/1372234","贷款利息超高，已保险的名字乱收费")</f>
      </c>
      <c r="C1770" t="s" s="2">
        <v>15</v>
      </c>
      <c r="D1770" t="s" s="2">
        <v>16</v>
      </c>
      <c r="E1770" t="s" s="2">
        <v>17</v>
      </c>
      <c r="F1770" t="s" s="2">
        <f>HYPERLINK("http://ts.21cn.com/tousu/show/id/1372234","http://ts.21cn.com/tousu/show/id/1372234")</f>
      </c>
      <c r="G1770" t="s" s="2">
        <v>17</v>
      </c>
      <c r="H1770" t="s" s="2">
        <v>19</v>
      </c>
      <c r="I1770" t="s" s="2">
        <v>6953</v>
      </c>
      <c r="J1770" t="s" s="2">
        <v>6954</v>
      </c>
      <c r="K1770" t="s" s="2">
        <v>22</v>
      </c>
      <c r="L1770" t="s" s="2">
        <v>22</v>
      </c>
      <c r="M1770" t="s" s="2">
        <v>22</v>
      </c>
    </row>
    <row r="1771" ht="25.0" customHeight="true">
      <c r="A1771" t="s" s="2">
        <v>13</v>
      </c>
      <c r="B1771" t="s" s="2">
        <f>HYPERLINK("http://ts.21cn.com/tousu/show/id/1372233","投诉滴滴打车平台严重违规损害个人权益")</f>
      </c>
      <c r="C1771" t="s" s="2">
        <v>15</v>
      </c>
      <c r="D1771" t="s" s="2">
        <v>16</v>
      </c>
      <c r="E1771" t="s" s="2">
        <v>17</v>
      </c>
      <c r="F1771" t="s" s="2">
        <f>HYPERLINK("http://ts.21cn.com/tousu/show/id/1372233","http://ts.21cn.com/tousu/show/id/1372233")</f>
      </c>
      <c r="G1771" t="s" s="2">
        <v>17</v>
      </c>
      <c r="H1771" t="s" s="2">
        <v>19</v>
      </c>
      <c r="I1771" t="s" s="2">
        <v>6957</v>
      </c>
      <c r="J1771" t="s" s="2">
        <v>6958</v>
      </c>
      <c r="K1771" t="s" s="2">
        <v>22</v>
      </c>
      <c r="L1771" t="s" s="2">
        <v>22</v>
      </c>
      <c r="M1771" t="s" s="2">
        <v>22</v>
      </c>
    </row>
    <row r="1772" ht="25.0" customHeight="true">
      <c r="A1772" t="s" s="2">
        <v>13</v>
      </c>
      <c r="B1772" t="s" s="2">
        <f>HYPERLINK("http://ts.21cn.com/tousu/show/id/1372231","匠寓隐瞒费用，态度恶劣")</f>
      </c>
      <c r="C1772" t="s" s="2">
        <v>15</v>
      </c>
      <c r="D1772" t="s" s="2">
        <v>16</v>
      </c>
      <c r="E1772" t="s" s="2">
        <v>17</v>
      </c>
      <c r="F1772" t="s" s="2">
        <f>HYPERLINK("http://ts.21cn.com/tousu/show/id/1372231","http://ts.21cn.com/tousu/show/id/1372231")</f>
      </c>
      <c r="G1772" t="s" s="2">
        <v>17</v>
      </c>
      <c r="H1772" t="s" s="2">
        <v>19</v>
      </c>
      <c r="I1772" t="s" s="2">
        <v>6961</v>
      </c>
      <c r="J1772" t="s" s="2">
        <v>6962</v>
      </c>
      <c r="K1772" t="s" s="2">
        <v>22</v>
      </c>
      <c r="L1772" t="s" s="2">
        <v>22</v>
      </c>
      <c r="M1772" t="s" s="2">
        <v>22</v>
      </c>
    </row>
    <row r="1773" ht="25.0" customHeight="true">
      <c r="A1773" t="s" s="2">
        <v>13</v>
      </c>
      <c r="B1773" t="s" s="2">
        <f>HYPERLINK("http://ts.21cn.com/tousu/show/id/1372230","亿联银行菜鸟有钱金鸡下蛋玩躲猫猫")</f>
      </c>
      <c r="C1773" t="s" s="2">
        <v>15</v>
      </c>
      <c r="D1773" t="s" s="2">
        <v>16</v>
      </c>
      <c r="E1773" t="s" s="2">
        <v>17</v>
      </c>
      <c r="F1773" t="s" s="2">
        <f>HYPERLINK("http://ts.21cn.com/tousu/show/id/1372230","http://ts.21cn.com/tousu/show/id/1372230")</f>
      </c>
      <c r="G1773" t="s" s="2">
        <v>17</v>
      </c>
      <c r="H1773" t="s" s="2">
        <v>19</v>
      </c>
      <c r="I1773" t="s" s="2">
        <v>6965</v>
      </c>
      <c r="J1773" t="s" s="2">
        <v>6966</v>
      </c>
      <c r="K1773" t="s" s="2">
        <v>22</v>
      </c>
      <c r="L1773" t="s" s="2">
        <v>22</v>
      </c>
      <c r="M1773" t="s" s="2">
        <v>22</v>
      </c>
    </row>
    <row r="1774" ht="25.0" customHeight="true">
      <c r="A1774" t="s" s="2">
        <v>13</v>
      </c>
      <c r="B1774" t="s" s="2">
        <f>HYPERLINK("http://ts.21cn.com/tousu/show/id/1372229","my钱包逾期暴力催收")</f>
      </c>
      <c r="C1774" t="s" s="2">
        <v>15</v>
      </c>
      <c r="D1774" t="s" s="2">
        <v>16</v>
      </c>
      <c r="E1774" t="s" s="2">
        <v>17</v>
      </c>
      <c r="F1774" t="s" s="2">
        <f>HYPERLINK("http://ts.21cn.com/tousu/show/id/1372229","http://ts.21cn.com/tousu/show/id/1372229")</f>
      </c>
      <c r="G1774" t="s" s="2">
        <v>17</v>
      </c>
      <c r="H1774" t="s" s="2">
        <v>19</v>
      </c>
      <c r="I1774" t="s" s="2">
        <v>6969</v>
      </c>
      <c r="J1774" t="s" s="2">
        <v>6970</v>
      </c>
      <c r="K1774" t="s" s="2">
        <v>22</v>
      </c>
      <c r="L1774" t="s" s="2">
        <v>22</v>
      </c>
      <c r="M1774" t="s" s="2">
        <v>22</v>
      </c>
    </row>
    <row r="1775" ht="25.0" customHeight="true">
      <c r="A1775" t="s" s="2">
        <v>13</v>
      </c>
      <c r="B1775" t="s" s="2">
        <f>HYPERLINK("http://ts.21cn.com/tousu/show/id/1372227","邮政快递员态度恶劣")</f>
      </c>
      <c r="C1775" t="s" s="2">
        <v>15</v>
      </c>
      <c r="D1775" t="s" s="2">
        <v>16</v>
      </c>
      <c r="E1775" t="s" s="2">
        <v>17</v>
      </c>
      <c r="F1775" t="s" s="2">
        <f>HYPERLINK("http://ts.21cn.com/tousu/show/id/1372227","http://ts.21cn.com/tousu/show/id/1372227")</f>
      </c>
      <c r="G1775" t="s" s="2">
        <v>17</v>
      </c>
      <c r="H1775" t="s" s="2">
        <v>19</v>
      </c>
      <c r="I1775" t="s" s="2">
        <v>6973</v>
      </c>
      <c r="J1775" t="s" s="2">
        <v>6974</v>
      </c>
      <c r="K1775" t="s" s="2">
        <v>22</v>
      </c>
      <c r="L1775" t="s" s="2">
        <v>22</v>
      </c>
      <c r="M1775" t="s" s="2">
        <v>22</v>
      </c>
    </row>
    <row r="1776" ht="25.0" customHeight="true">
      <c r="A1776" t="s" s="2">
        <v>13</v>
      </c>
      <c r="B1776" t="s" s="2">
        <f>HYPERLINK("http://ts.21cn.com/tousu/show/id/1372223","小米金融恶意骚扰并群发短信")</f>
      </c>
      <c r="C1776" t="s" s="2">
        <v>15</v>
      </c>
      <c r="D1776" t="s" s="2">
        <v>16</v>
      </c>
      <c r="E1776" t="s" s="2">
        <v>17</v>
      </c>
      <c r="F1776" t="s" s="2">
        <f>HYPERLINK("http://ts.21cn.com/tousu/show/id/1372223","http://ts.21cn.com/tousu/show/id/1372223")</f>
      </c>
      <c r="G1776" t="s" s="2">
        <v>17</v>
      </c>
      <c r="H1776" t="s" s="2">
        <v>19</v>
      </c>
      <c r="I1776" t="s" s="2">
        <v>6977</v>
      </c>
      <c r="J1776" t="s" s="2">
        <v>6978</v>
      </c>
      <c r="K1776" t="s" s="2">
        <v>22</v>
      </c>
      <c r="L1776" t="s" s="2">
        <v>22</v>
      </c>
      <c r="M1776" t="s" s="2">
        <v>22</v>
      </c>
    </row>
    <row r="1777" ht="25.0" customHeight="true">
      <c r="A1777" t="s" s="2">
        <v>13</v>
      </c>
      <c r="B1777" t="s" s="2">
        <f>HYPERLINK("http://ts.21cn.com/tousu/show/id/1372224","减免利息")</f>
      </c>
      <c r="C1777" t="s" s="2">
        <v>52</v>
      </c>
      <c r="D1777" t="s" s="2">
        <v>16</v>
      </c>
      <c r="E1777" t="s" s="2">
        <v>17</v>
      </c>
      <c r="F1777" t="s" s="2">
        <f>HYPERLINK("http://ts.21cn.com/tousu/show/id/1372224","http://ts.21cn.com/tousu/show/id/1372224")</f>
      </c>
      <c r="G1777" t="s" s="2">
        <v>17</v>
      </c>
      <c r="H1777" t="s" s="2">
        <v>19</v>
      </c>
      <c r="I1777" t="s" s="2">
        <v>6977</v>
      </c>
      <c r="J1777" t="s" s="2">
        <v>6981</v>
      </c>
      <c r="K1777" t="s" s="2">
        <v>22</v>
      </c>
      <c r="L1777" t="s" s="2">
        <v>22</v>
      </c>
      <c r="M1777" t="s" s="2">
        <v>22</v>
      </c>
    </row>
    <row r="1778" ht="25.0" customHeight="true">
      <c r="A1778" t="s" s="2">
        <v>13</v>
      </c>
      <c r="B1778" t="s" s="2">
        <f>HYPERLINK("http://ts.21cn.com/tousu/show/id/1372225","高额逾期费，砍头息")</f>
      </c>
      <c r="C1778" t="s" s="2">
        <v>52</v>
      </c>
      <c r="D1778" t="s" s="2">
        <v>16</v>
      </c>
      <c r="E1778" t="s" s="2">
        <v>17</v>
      </c>
      <c r="F1778" t="s" s="2">
        <f>HYPERLINK("http://ts.21cn.com/tousu/show/id/1372225","http://ts.21cn.com/tousu/show/id/1372225")</f>
      </c>
      <c r="G1778" t="s" s="2">
        <v>17</v>
      </c>
      <c r="H1778" t="s" s="2">
        <v>19</v>
      </c>
      <c r="I1778" t="s" s="2">
        <v>6984</v>
      </c>
      <c r="J1778" t="s" s="2">
        <v>6985</v>
      </c>
      <c r="K1778" t="s" s="2">
        <v>22</v>
      </c>
      <c r="L1778" t="s" s="2">
        <v>22</v>
      </c>
      <c r="M1778" t="s" s="2">
        <v>22</v>
      </c>
    </row>
    <row r="1779" ht="25.0" customHeight="true">
      <c r="A1779" t="s" s="2">
        <v>13</v>
      </c>
      <c r="B1779" t="s" s="2">
        <f>HYPERLINK("http://ts.21cn.com/tousu/show/id/1372222","高利贷网贷")</f>
      </c>
      <c r="C1779" t="s" s="2">
        <v>15</v>
      </c>
      <c r="D1779" t="s" s="2">
        <v>16</v>
      </c>
      <c r="E1779" t="s" s="2">
        <v>17</v>
      </c>
      <c r="F1779" t="s" s="2">
        <f>HYPERLINK("http://ts.21cn.com/tousu/show/id/1372222","http://ts.21cn.com/tousu/show/id/1372222")</f>
      </c>
      <c r="G1779" t="s" s="2">
        <v>17</v>
      </c>
      <c r="H1779" t="s" s="2">
        <v>19</v>
      </c>
      <c r="I1779" t="s" s="2">
        <v>6988</v>
      </c>
      <c r="J1779" t="s" s="2">
        <v>6989</v>
      </c>
      <c r="K1779" t="s" s="2">
        <v>22</v>
      </c>
      <c r="L1779" t="s" s="2">
        <v>22</v>
      </c>
      <c r="M1779" t="s" s="2">
        <v>22</v>
      </c>
    </row>
    <row r="1780" ht="25.0" customHeight="true">
      <c r="A1780" t="s" s="2">
        <v>13</v>
      </c>
      <c r="B1780" t="s" s="2">
        <f>HYPERLINK("http://ts.21cn.com/tousu/show/id/1372221","招联金融暴力催收，并且言语辱骂")</f>
      </c>
      <c r="C1780" t="s" s="2">
        <v>15</v>
      </c>
      <c r="D1780" t="s" s="2">
        <v>16</v>
      </c>
      <c r="E1780" t="s" s="2">
        <v>17</v>
      </c>
      <c r="F1780" t="s" s="2">
        <f>HYPERLINK("http://ts.21cn.com/tousu/show/id/1372221","http://ts.21cn.com/tousu/show/id/1372221")</f>
      </c>
      <c r="G1780" t="s" s="2">
        <v>17</v>
      </c>
      <c r="H1780" t="s" s="2">
        <v>19</v>
      </c>
      <c r="I1780" t="s" s="2">
        <v>6992</v>
      </c>
      <c r="J1780" t="s" s="2">
        <v>6993</v>
      </c>
      <c r="K1780" t="s" s="2">
        <v>22</v>
      </c>
      <c r="L1780" t="s" s="2">
        <v>22</v>
      </c>
      <c r="M1780" t="s" s="2">
        <v>22</v>
      </c>
    </row>
    <row r="1781" ht="25.0" customHeight="true">
      <c r="A1781" t="s" s="2">
        <v>13</v>
      </c>
      <c r="B1781" t="s" s="2">
        <f>HYPERLINK("http://ts.21cn.com/tousu/show/id/1372187","健康管理师#佰汇教育#伪造卫健委授权招生")</f>
      </c>
      <c r="C1781" t="s" s="2">
        <v>15</v>
      </c>
      <c r="D1781" t="s" s="2">
        <v>16</v>
      </c>
      <c r="E1781" t="s" s="2">
        <v>17</v>
      </c>
      <c r="F1781" t="s" s="2">
        <f>HYPERLINK("http://ts.21cn.com/tousu/show/id/1372187","http://ts.21cn.com/tousu/show/id/1372187")</f>
      </c>
      <c r="G1781" t="s" s="2">
        <v>17</v>
      </c>
      <c r="H1781" t="s" s="2">
        <v>19</v>
      </c>
      <c r="I1781" t="s" s="2">
        <v>6996</v>
      </c>
      <c r="J1781" t="s" s="2">
        <v>6997</v>
      </c>
      <c r="K1781" t="s" s="2">
        <v>22</v>
      </c>
      <c r="L1781" t="s" s="2">
        <v>22</v>
      </c>
      <c r="M1781" t="s" s="2">
        <v>22</v>
      </c>
    </row>
    <row r="1782" ht="25.0" customHeight="true">
      <c r="A1782" t="s" s="2">
        <v>13</v>
      </c>
      <c r="B1782" t="s" s="2">
        <f>HYPERLINK("http://ts.21cn.com/tousu/show/id/1372220","微信支付侵占个人钱款")</f>
      </c>
      <c r="C1782" t="s" s="2">
        <v>15</v>
      </c>
      <c r="D1782" t="s" s="2">
        <v>16</v>
      </c>
      <c r="E1782" t="s" s="2">
        <v>17</v>
      </c>
      <c r="F1782" t="s" s="2">
        <f>HYPERLINK("http://ts.21cn.com/tousu/show/id/1372220","http://ts.21cn.com/tousu/show/id/1372220")</f>
      </c>
      <c r="G1782" t="s" s="2">
        <v>17</v>
      </c>
      <c r="H1782" t="s" s="2">
        <v>19</v>
      </c>
      <c r="I1782" t="s" s="2">
        <v>7000</v>
      </c>
      <c r="J1782" t="s" s="2">
        <v>6719</v>
      </c>
      <c r="K1782" t="s" s="2">
        <v>22</v>
      </c>
      <c r="L1782" t="s" s="2">
        <v>22</v>
      </c>
      <c r="M1782" t="s" s="2">
        <v>22</v>
      </c>
    </row>
    <row r="1783" ht="25.0" customHeight="true">
      <c r="A1783" t="s" s="2">
        <v>13</v>
      </c>
      <c r="B1783" t="s" s="2">
        <f>HYPERLINK("http://ts.21cn.com/tousu/show/id/1372218","湘江投资公司卖房建好房子不交房")</f>
      </c>
      <c r="C1783" t="s" s="2">
        <v>15</v>
      </c>
      <c r="D1783" t="s" s="2">
        <v>16</v>
      </c>
      <c r="E1783" t="s" s="2">
        <v>17</v>
      </c>
      <c r="F1783" t="s" s="2">
        <f>HYPERLINK("http://ts.21cn.com/tousu/show/id/1372218","http://ts.21cn.com/tousu/show/id/1372218")</f>
      </c>
      <c r="G1783" t="s" s="2">
        <v>17</v>
      </c>
      <c r="H1783" t="s" s="2">
        <v>19</v>
      </c>
      <c r="I1783" t="s" s="2">
        <v>7003</v>
      </c>
      <c r="J1783" t="s" s="2">
        <v>7004</v>
      </c>
      <c r="K1783" t="s" s="2">
        <v>22</v>
      </c>
      <c r="L1783" t="s" s="2">
        <v>22</v>
      </c>
      <c r="M1783" t="s" s="2">
        <v>22</v>
      </c>
    </row>
    <row r="1784" ht="25.0" customHeight="true">
      <c r="A1784" t="s" s="2">
        <v>13</v>
      </c>
      <c r="B1784" t="s" s="2">
        <f>HYPERLINK("http://ts.21cn.com/tousu/show/id/1372219","没有在安享花贷款，催收打我电话")</f>
      </c>
      <c r="C1784" t="s" s="2">
        <v>15</v>
      </c>
      <c r="D1784" t="s" s="2">
        <v>16</v>
      </c>
      <c r="E1784" t="s" s="2">
        <v>17</v>
      </c>
      <c r="F1784" t="s" s="2">
        <f>HYPERLINK("http://ts.21cn.com/tousu/show/id/1372219","http://ts.21cn.com/tousu/show/id/1372219")</f>
      </c>
      <c r="G1784" t="s" s="2">
        <v>17</v>
      </c>
      <c r="H1784" t="s" s="2">
        <v>19</v>
      </c>
      <c r="I1784" t="s" s="2">
        <v>7007</v>
      </c>
      <c r="J1784" t="s" s="2">
        <v>7008</v>
      </c>
      <c r="K1784" t="s" s="2">
        <v>22</v>
      </c>
      <c r="L1784" t="s" s="2">
        <v>22</v>
      </c>
      <c r="M1784" t="s" s="2">
        <v>22</v>
      </c>
    </row>
    <row r="1785" ht="25.0" customHeight="true">
      <c r="A1785" t="s" s="2">
        <v>13</v>
      </c>
      <c r="B1785" t="s" s="2">
        <f>HYPERLINK("http://ts.21cn.com/tousu/show/id/1372217","趣用app借贷利率过高，年化率高达35.85%")</f>
      </c>
      <c r="C1785" t="s" s="2">
        <v>15</v>
      </c>
      <c r="D1785" t="s" s="2">
        <v>16</v>
      </c>
      <c r="E1785" t="s" s="2">
        <v>17</v>
      </c>
      <c r="F1785" t="s" s="2">
        <f>HYPERLINK("http://ts.21cn.com/tousu/show/id/1372217","http://ts.21cn.com/tousu/show/id/1372217")</f>
      </c>
      <c r="G1785" t="s" s="2">
        <v>17</v>
      </c>
      <c r="H1785" t="s" s="2">
        <v>19</v>
      </c>
      <c r="I1785" t="s" s="2">
        <v>7011</v>
      </c>
      <c r="J1785" t="s" s="2">
        <v>7012</v>
      </c>
      <c r="K1785" t="s" s="2">
        <v>22</v>
      </c>
      <c r="L1785" t="s" s="2">
        <v>22</v>
      </c>
      <c r="M1785" t="s" s="2">
        <v>22</v>
      </c>
    </row>
    <row r="1786" ht="25.0" customHeight="true">
      <c r="A1786" t="s" s="2">
        <v>13</v>
      </c>
      <c r="B1786" t="s" s="2">
        <f>HYPERLINK("http://ts.21cn.com/tousu/show/id/1372216","来分期恶意催收")</f>
      </c>
      <c r="C1786" t="s" s="2">
        <v>15</v>
      </c>
      <c r="D1786" t="s" s="2">
        <v>16</v>
      </c>
      <c r="E1786" t="s" s="2">
        <v>17</v>
      </c>
      <c r="F1786" t="s" s="2">
        <f>HYPERLINK("http://ts.21cn.com/tousu/show/id/1372216","http://ts.21cn.com/tousu/show/id/1372216")</f>
      </c>
      <c r="G1786" t="s" s="2">
        <v>17</v>
      </c>
      <c r="H1786" t="s" s="2">
        <v>19</v>
      </c>
      <c r="I1786" t="s" s="2">
        <v>7015</v>
      </c>
      <c r="J1786" t="s" s="2">
        <v>7016</v>
      </c>
      <c r="K1786" t="s" s="2">
        <v>22</v>
      </c>
      <c r="L1786" t="s" s="2">
        <v>22</v>
      </c>
      <c r="M1786" t="s" s="2">
        <v>22</v>
      </c>
    </row>
    <row r="1787" ht="25.0" customHeight="true">
      <c r="A1787" t="s" s="2">
        <v>13</v>
      </c>
      <c r="B1787" t="s" s="2">
        <f>HYPERLINK("http://ts.21cn.com/tousu/show/id/1372213","恶意催收")</f>
      </c>
      <c r="C1787" t="s" s="2">
        <v>15</v>
      </c>
      <c r="D1787" t="s" s="2">
        <v>16</v>
      </c>
      <c r="E1787" t="s" s="2">
        <v>17</v>
      </c>
      <c r="F1787" t="s" s="2">
        <f>HYPERLINK("http://ts.21cn.com/tousu/show/id/1372213","http://ts.21cn.com/tousu/show/id/1372213")</f>
      </c>
      <c r="G1787" t="s" s="2">
        <v>17</v>
      </c>
      <c r="H1787" t="s" s="2">
        <v>19</v>
      </c>
      <c r="I1787" t="s" s="2">
        <v>7018</v>
      </c>
      <c r="J1787" t="s" s="2">
        <v>7019</v>
      </c>
      <c r="K1787" t="s" s="2">
        <v>22</v>
      </c>
      <c r="L1787" t="s" s="2">
        <v>22</v>
      </c>
      <c r="M1787" t="s" s="2">
        <v>22</v>
      </c>
    </row>
    <row r="1788" ht="25.0" customHeight="true">
      <c r="A1788" t="s" s="2">
        <v>13</v>
      </c>
      <c r="B1788" t="s" s="2">
        <f>HYPERLINK("http://ts.21cn.com/tousu/show/id/1372214","信用卡暴力催收")</f>
      </c>
      <c r="C1788" t="s" s="2">
        <v>15</v>
      </c>
      <c r="D1788" t="s" s="2">
        <v>16</v>
      </c>
      <c r="E1788" t="s" s="2">
        <v>17</v>
      </c>
      <c r="F1788" t="s" s="2">
        <f>HYPERLINK("http://ts.21cn.com/tousu/show/id/1372214","http://ts.21cn.com/tousu/show/id/1372214")</f>
      </c>
      <c r="G1788" t="s" s="2">
        <v>17</v>
      </c>
      <c r="H1788" t="s" s="2">
        <v>19</v>
      </c>
      <c r="I1788" t="s" s="2">
        <v>7022</v>
      </c>
      <c r="J1788" t="s" s="2">
        <v>7023</v>
      </c>
      <c r="K1788" t="s" s="2">
        <v>22</v>
      </c>
      <c r="L1788" t="s" s="2">
        <v>22</v>
      </c>
      <c r="M1788" t="s" s="2">
        <v>22</v>
      </c>
    </row>
    <row r="1789" ht="25.0" customHeight="true">
      <c r="A1789" t="s" s="2">
        <v>13</v>
      </c>
      <c r="B1789" t="s" s="2">
        <f>HYPERLINK("http://ts.21cn.com/tousu/show/id/1372212","交通银行对非欠款人进行骚扰及名誉诋毁")</f>
      </c>
      <c r="C1789" t="s" s="2">
        <v>15</v>
      </c>
      <c r="D1789" t="s" s="2">
        <v>16</v>
      </c>
      <c r="E1789" t="s" s="2">
        <v>17</v>
      </c>
      <c r="F1789" t="s" s="2">
        <f>HYPERLINK("http://ts.21cn.com/tousu/show/id/1372212","http://ts.21cn.com/tousu/show/id/1372212")</f>
      </c>
      <c r="G1789" t="s" s="2">
        <v>17</v>
      </c>
      <c r="H1789" t="s" s="2">
        <v>19</v>
      </c>
      <c r="I1789" t="s" s="2">
        <v>7026</v>
      </c>
      <c r="J1789" t="s" s="2">
        <v>7027</v>
      </c>
      <c r="K1789" t="s" s="2">
        <v>22</v>
      </c>
      <c r="L1789" t="s" s="2">
        <v>22</v>
      </c>
      <c r="M1789" t="s" s="2">
        <v>22</v>
      </c>
    </row>
    <row r="1790" ht="25.0" customHeight="true">
      <c r="A1790" t="s" s="2">
        <v>13</v>
      </c>
      <c r="B1790" t="s" s="2">
        <f>HYPERLINK("http://ts.21cn.com/tousu/show/id/1372211","没经同意扣费")</f>
      </c>
      <c r="C1790" t="s" s="2">
        <v>15</v>
      </c>
      <c r="D1790" t="s" s="2">
        <v>16</v>
      </c>
      <c r="E1790" t="s" s="2">
        <v>17</v>
      </c>
      <c r="F1790" t="s" s="2">
        <f>HYPERLINK("http://ts.21cn.com/tousu/show/id/1372211","http://ts.21cn.com/tousu/show/id/1372211")</f>
      </c>
      <c r="G1790" t="s" s="2">
        <v>17</v>
      </c>
      <c r="H1790" t="s" s="2">
        <v>19</v>
      </c>
      <c r="I1790" t="s" s="2">
        <v>7030</v>
      </c>
      <c r="J1790" t="s" s="2">
        <v>7031</v>
      </c>
      <c r="K1790" t="s" s="2">
        <v>22</v>
      </c>
      <c r="L1790" t="s" s="2">
        <v>22</v>
      </c>
      <c r="M1790" t="s" s="2">
        <v>22</v>
      </c>
    </row>
    <row r="1791" ht="25.0" customHeight="true">
      <c r="A1791" t="s" s="2">
        <v>13</v>
      </c>
      <c r="B1791" t="s" s="2">
        <f>HYPERLINK("http://ts.21cn.com/tousu/show/id/1372210","退款，退款，退款，短信功能无法正常使用")</f>
      </c>
      <c r="C1791" t="s" s="2">
        <v>15</v>
      </c>
      <c r="D1791" t="s" s="2">
        <v>16</v>
      </c>
      <c r="E1791" t="s" s="2">
        <v>17</v>
      </c>
      <c r="F1791" t="s" s="2">
        <f>HYPERLINK("http://ts.21cn.com/tousu/show/id/1372210","http://ts.21cn.com/tousu/show/id/1372210")</f>
      </c>
      <c r="G1791" t="s" s="2">
        <v>17</v>
      </c>
      <c r="H1791" t="s" s="2">
        <v>19</v>
      </c>
      <c r="I1791" t="s" s="2">
        <v>7034</v>
      </c>
      <c r="J1791" t="s" s="2">
        <v>7035</v>
      </c>
      <c r="K1791" t="s" s="2">
        <v>22</v>
      </c>
      <c r="L1791" t="s" s="2">
        <v>22</v>
      </c>
      <c r="M1791" t="s" s="2">
        <v>22</v>
      </c>
    </row>
    <row r="1792" ht="25.0" customHeight="true">
      <c r="A1792" t="s" s="2">
        <v>13</v>
      </c>
      <c r="B1792" t="s" s="2">
        <f>HYPERLINK("http://ts.21cn.com/tousu/show/id/1372184","易程天下销售贵宾卡，未向消费者如实讲清贵宾卡使用规则")</f>
      </c>
      <c r="C1792" t="s" s="2">
        <v>15</v>
      </c>
      <c r="D1792" t="s" s="2">
        <v>16</v>
      </c>
      <c r="E1792" t="s" s="2">
        <v>17</v>
      </c>
      <c r="F1792" t="s" s="2">
        <f>HYPERLINK("http://ts.21cn.com/tousu/show/id/1372184","http://ts.21cn.com/tousu/show/id/1372184")</f>
      </c>
      <c r="G1792" t="s" s="2">
        <v>17</v>
      </c>
      <c r="H1792" t="s" s="2">
        <v>19</v>
      </c>
      <c r="I1792" t="s" s="2">
        <v>7038</v>
      </c>
      <c r="J1792" t="s" s="2">
        <v>7039</v>
      </c>
      <c r="K1792" t="s" s="2">
        <v>22</v>
      </c>
      <c r="L1792" t="s" s="2">
        <v>22</v>
      </c>
      <c r="M1792" t="s" s="2">
        <v>22</v>
      </c>
    </row>
    <row r="1793" ht="25.0" customHeight="true">
      <c r="A1793" t="s" s="2">
        <v>13</v>
      </c>
      <c r="B1793" t="s" s="2">
        <f>HYPERLINK("http://ts.21cn.com/tousu/show/id/1372209","苏宁任性付暴力催收")</f>
      </c>
      <c r="C1793" t="s" s="2">
        <v>15</v>
      </c>
      <c r="D1793" t="s" s="2">
        <v>16</v>
      </c>
      <c r="E1793" t="s" s="2">
        <v>17</v>
      </c>
      <c r="F1793" t="s" s="2">
        <f>HYPERLINK("http://ts.21cn.com/tousu/show/id/1372209","http://ts.21cn.com/tousu/show/id/1372209")</f>
      </c>
      <c r="G1793" t="s" s="2">
        <v>17</v>
      </c>
      <c r="H1793" t="s" s="2">
        <v>19</v>
      </c>
      <c r="I1793" t="s" s="2">
        <v>7042</v>
      </c>
      <c r="J1793" t="s" s="2">
        <v>7043</v>
      </c>
      <c r="K1793" t="s" s="2">
        <v>22</v>
      </c>
      <c r="L1793" t="s" s="2">
        <v>22</v>
      </c>
      <c r="M1793" t="s" s="2">
        <v>22</v>
      </c>
    </row>
    <row r="1794" ht="25.0" customHeight="true">
      <c r="A1794" t="s" s="2">
        <v>13</v>
      </c>
      <c r="B1794" t="s" s="2">
        <f>HYPERLINK("http://ts.21cn.com/tousu/show/id/1372207","京东退店不退保证金")</f>
      </c>
      <c r="C1794" t="s" s="2">
        <v>15</v>
      </c>
      <c r="D1794" t="s" s="2">
        <v>16</v>
      </c>
      <c r="E1794" t="s" s="2">
        <v>17</v>
      </c>
      <c r="F1794" t="s" s="2">
        <f>HYPERLINK("http://ts.21cn.com/tousu/show/id/1372207","http://ts.21cn.com/tousu/show/id/1372207")</f>
      </c>
      <c r="G1794" t="s" s="2">
        <v>17</v>
      </c>
      <c r="H1794" t="s" s="2">
        <v>19</v>
      </c>
      <c r="I1794" t="s" s="2">
        <v>7045</v>
      </c>
      <c r="J1794" t="s" s="2">
        <v>7046</v>
      </c>
      <c r="K1794" t="s" s="2">
        <v>22</v>
      </c>
      <c r="L1794" t="s" s="2">
        <v>22</v>
      </c>
      <c r="M1794" t="s" s="2">
        <v>22</v>
      </c>
    </row>
    <row r="1795" ht="25.0" customHeight="true">
      <c r="A1795" t="s" s="2">
        <v>13</v>
      </c>
      <c r="B1795" t="s" s="2">
        <f>HYPERLINK("http://ts.21cn.com/tousu/show/id/1372206","要求提前结清贷款")</f>
      </c>
      <c r="C1795" t="s" s="2">
        <v>52</v>
      </c>
      <c r="D1795" t="s" s="2">
        <v>16</v>
      </c>
      <c r="E1795" t="s" s="2">
        <v>17</v>
      </c>
      <c r="F1795" t="s" s="2">
        <f>HYPERLINK("http://ts.21cn.com/tousu/show/id/1372206","http://ts.21cn.com/tousu/show/id/1372206")</f>
      </c>
      <c r="G1795" t="s" s="2">
        <v>17</v>
      </c>
      <c r="H1795" t="s" s="2">
        <v>19</v>
      </c>
      <c r="I1795" t="s" s="2">
        <v>7049</v>
      </c>
      <c r="J1795" t="s" s="2">
        <v>7050</v>
      </c>
      <c r="K1795" t="s" s="2">
        <v>22</v>
      </c>
      <c r="L1795" t="s" s="2">
        <v>22</v>
      </c>
      <c r="M1795" t="s" s="2">
        <v>22</v>
      </c>
    </row>
    <row r="1796" ht="25.0" customHeight="true">
      <c r="A1796" t="s" s="2">
        <v>13</v>
      </c>
      <c r="B1796" t="s" s="2">
        <f>HYPERLINK("http://ts.21cn.com/tousu/show/id/1372205","中腾信暴力催收，威胁上门，骚扰家人及朋友")</f>
      </c>
      <c r="C1796" t="s" s="2">
        <v>15</v>
      </c>
      <c r="D1796" t="s" s="2">
        <v>16</v>
      </c>
      <c r="E1796" t="s" s="2">
        <v>17</v>
      </c>
      <c r="F1796" t="s" s="2">
        <f>HYPERLINK("http://ts.21cn.com/tousu/show/id/1372205","http://ts.21cn.com/tousu/show/id/1372205")</f>
      </c>
      <c r="G1796" t="s" s="2">
        <v>17</v>
      </c>
      <c r="H1796" t="s" s="2">
        <v>19</v>
      </c>
      <c r="I1796" t="s" s="2">
        <v>7053</v>
      </c>
      <c r="J1796" t="s" s="2">
        <v>7054</v>
      </c>
      <c r="K1796" t="s" s="2">
        <v>22</v>
      </c>
      <c r="L1796" t="s" s="2">
        <v>22</v>
      </c>
      <c r="M1796" t="s" s="2">
        <v>22</v>
      </c>
    </row>
    <row r="1797" ht="25.0" customHeight="true">
      <c r="A1797" t="s" s="2">
        <v>13</v>
      </c>
      <c r="B1797" t="s" s="2">
        <f>HYPERLINK("http://ts.21cn.com/tousu/show/id/1372208","快贷宝里面的樱桃贷")</f>
      </c>
      <c r="C1797" t="s" s="2">
        <v>15</v>
      </c>
      <c r="D1797" t="s" s="2">
        <v>16</v>
      </c>
      <c r="E1797" t="s" s="2">
        <v>17</v>
      </c>
      <c r="F1797" t="s" s="2">
        <f>HYPERLINK("http://ts.21cn.com/tousu/show/id/1372208","http://ts.21cn.com/tousu/show/id/1372208")</f>
      </c>
      <c r="G1797" t="s" s="2">
        <v>17</v>
      </c>
      <c r="H1797" t="s" s="2">
        <v>19</v>
      </c>
      <c r="I1797" t="s" s="2">
        <v>7057</v>
      </c>
      <c r="J1797" t="s" s="2">
        <v>7058</v>
      </c>
      <c r="K1797" t="s" s="2">
        <v>22</v>
      </c>
      <c r="L1797" t="s" s="2">
        <v>22</v>
      </c>
      <c r="M1797" t="s" s="2">
        <v>22</v>
      </c>
    </row>
    <row r="1798" ht="25.0" customHeight="true">
      <c r="A1798" t="s" s="2">
        <v>13</v>
      </c>
      <c r="B1798" t="s" s="2">
        <f>HYPERLINK("http://ts.21cn.com/tousu/show/id/1372204","玖富万卡变相收取费用，高利贷，阴阳合同。")</f>
      </c>
      <c r="C1798" t="s" s="2">
        <v>15</v>
      </c>
      <c r="D1798" t="s" s="2">
        <v>16</v>
      </c>
      <c r="E1798" t="s" s="2">
        <v>17</v>
      </c>
      <c r="F1798" t="s" s="2">
        <f>HYPERLINK("http://ts.21cn.com/tousu/show/id/1372204","http://ts.21cn.com/tousu/show/id/1372204")</f>
      </c>
      <c r="G1798" t="s" s="2">
        <v>17</v>
      </c>
      <c r="H1798" t="s" s="2">
        <v>19</v>
      </c>
      <c r="I1798" t="s" s="2">
        <v>7061</v>
      </c>
      <c r="J1798" t="s" s="2">
        <v>7062</v>
      </c>
      <c r="K1798" t="s" s="2">
        <v>22</v>
      </c>
      <c r="L1798" t="s" s="2">
        <v>22</v>
      </c>
      <c r="M1798" t="s" s="2">
        <v>22</v>
      </c>
    </row>
    <row r="1799" ht="25.0" customHeight="true">
      <c r="A1799" t="s" s="2">
        <v>13</v>
      </c>
      <c r="B1799" t="s" s="2">
        <f>HYPERLINK("http://ts.21cn.com/tousu/show/id/1372203","禁止提现")</f>
      </c>
      <c r="C1799" t="s" s="2">
        <v>15</v>
      </c>
      <c r="D1799" t="s" s="2">
        <v>16</v>
      </c>
      <c r="E1799" t="s" s="2">
        <v>17</v>
      </c>
      <c r="F1799" t="s" s="2">
        <f>HYPERLINK("http://ts.21cn.com/tousu/show/id/1372203","http://ts.21cn.com/tousu/show/id/1372203")</f>
      </c>
      <c r="G1799" t="s" s="2">
        <v>17</v>
      </c>
      <c r="H1799" t="s" s="2">
        <v>19</v>
      </c>
      <c r="I1799" t="s" s="2">
        <v>7065</v>
      </c>
      <c r="J1799" t="s" s="2">
        <v>7066</v>
      </c>
      <c r="K1799" t="s" s="2">
        <v>22</v>
      </c>
      <c r="L1799" t="s" s="2">
        <v>22</v>
      </c>
      <c r="M1799" t="s" s="2">
        <v>22</v>
      </c>
    </row>
    <row r="1800" ht="25.0" customHeight="true">
      <c r="A1800" t="s" s="2">
        <v>13</v>
      </c>
      <c r="B1800" t="s" s="2">
        <f>HYPERLINK("http://ts.21cn.com/tousu/show/id/1372185","工行卡16日下午无缘无故被扣200，每笔100，并且是快捷支付除了支付宝其他已注销的情况下")</f>
      </c>
      <c r="C1800" t="s" s="2">
        <v>15</v>
      </c>
      <c r="D1800" t="s" s="2">
        <v>16</v>
      </c>
      <c r="E1800" t="s" s="2">
        <v>17</v>
      </c>
      <c r="F1800" t="s" s="2">
        <f>HYPERLINK("http://ts.21cn.com/tousu/show/id/1372185","http://ts.21cn.com/tousu/show/id/1372185")</f>
      </c>
      <c r="G1800" t="s" s="2">
        <v>17</v>
      </c>
      <c r="H1800" t="s" s="2">
        <v>19</v>
      </c>
      <c r="I1800" t="s" s="2">
        <v>7069</v>
      </c>
      <c r="J1800" t="s" s="2">
        <v>7070</v>
      </c>
      <c r="K1800" t="s" s="2">
        <v>22</v>
      </c>
      <c r="L1800" t="s" s="2">
        <v>22</v>
      </c>
      <c r="M1800" t="s" s="2">
        <v>22</v>
      </c>
    </row>
    <row r="1801" ht="25.0" customHeight="true">
      <c r="A1801" t="s" s="2">
        <v>13</v>
      </c>
      <c r="B1801" t="s" s="2">
        <f>HYPERLINK("http://ts.21cn.com/tousu/show/id/1372201","无缘无故被扣钱也不通知")</f>
      </c>
      <c r="C1801" t="s" s="2">
        <v>15</v>
      </c>
      <c r="D1801" t="s" s="2">
        <v>16</v>
      </c>
      <c r="E1801" t="s" s="2">
        <v>17</v>
      </c>
      <c r="F1801" t="s" s="2">
        <f>HYPERLINK("http://ts.21cn.com/tousu/show/id/1372201","http://ts.21cn.com/tousu/show/id/1372201")</f>
      </c>
      <c r="G1801" t="s" s="2">
        <v>17</v>
      </c>
      <c r="H1801" t="s" s="2">
        <v>19</v>
      </c>
      <c r="I1801" t="s" s="2">
        <v>7073</v>
      </c>
      <c r="J1801" t="s" s="2">
        <v>7074</v>
      </c>
      <c r="K1801" t="s" s="2">
        <v>22</v>
      </c>
      <c r="L1801" t="s" s="2">
        <v>22</v>
      </c>
      <c r="M1801" t="s" s="2">
        <v>22</v>
      </c>
    </row>
    <row r="1802" ht="25.0" customHeight="true">
      <c r="A1802" t="s" s="2">
        <v>13</v>
      </c>
      <c r="B1802" t="s" s="2">
        <f>HYPERLINK("http://ts.21cn.com/tousu/show/id/1372200","闪银无任何短信还款提示导致逾期，要求免除逾期费")</f>
      </c>
      <c r="C1802" t="s" s="2">
        <v>15</v>
      </c>
      <c r="D1802" t="s" s="2">
        <v>16</v>
      </c>
      <c r="E1802" t="s" s="2">
        <v>17</v>
      </c>
      <c r="F1802" t="s" s="2">
        <f>HYPERLINK("http://ts.21cn.com/tousu/show/id/1372200","http://ts.21cn.com/tousu/show/id/1372200")</f>
      </c>
      <c r="G1802" t="s" s="2">
        <v>17</v>
      </c>
      <c r="H1802" t="s" s="2">
        <v>19</v>
      </c>
      <c r="I1802" t="s" s="2">
        <v>7077</v>
      </c>
      <c r="J1802" t="s" s="2">
        <v>7078</v>
      </c>
      <c r="K1802" t="s" s="2">
        <v>22</v>
      </c>
      <c r="L1802" t="s" s="2">
        <v>22</v>
      </c>
      <c r="M1802" t="s" s="2">
        <v>22</v>
      </c>
    </row>
    <row r="1803" ht="25.0" customHeight="true">
      <c r="A1803" t="s" s="2">
        <v>13</v>
      </c>
      <c r="B1803" t="s" s="2">
        <f>HYPERLINK("http://ts.21cn.com/tousu/show/id/1372199","找靓机上买手机，才二十多天就坏了，还说我私拆过")</f>
      </c>
      <c r="C1803" t="s" s="2">
        <v>15</v>
      </c>
      <c r="D1803" t="s" s="2">
        <v>16</v>
      </c>
      <c r="E1803" t="s" s="2">
        <v>17</v>
      </c>
      <c r="F1803" t="s" s="2">
        <f>HYPERLINK("http://ts.21cn.com/tousu/show/id/1372199","http://ts.21cn.com/tousu/show/id/1372199")</f>
      </c>
      <c r="G1803" t="s" s="2">
        <v>17</v>
      </c>
      <c r="H1803" t="s" s="2">
        <v>19</v>
      </c>
      <c r="I1803" t="s" s="2">
        <v>7081</v>
      </c>
      <c r="J1803" t="s" s="2">
        <v>7082</v>
      </c>
      <c r="K1803" t="s" s="2">
        <v>22</v>
      </c>
      <c r="L1803" t="s" s="2">
        <v>22</v>
      </c>
      <c r="M1803" t="s" s="2">
        <v>22</v>
      </c>
    </row>
    <row r="1804" ht="25.0" customHeight="true">
      <c r="A1804" t="s" s="2">
        <v>13</v>
      </c>
      <c r="B1804" t="s" s="2">
        <f>HYPERLINK("http://ts.21cn.com/tousu/show/id/1372198","建设银行工作人员同意协商还款却委托律师起诉")</f>
      </c>
      <c r="C1804" t="s" s="2">
        <v>15</v>
      </c>
      <c r="D1804" t="s" s="2">
        <v>16</v>
      </c>
      <c r="E1804" t="s" s="2">
        <v>17</v>
      </c>
      <c r="F1804" t="s" s="2">
        <f>HYPERLINK("http://ts.21cn.com/tousu/show/id/1372198","http://ts.21cn.com/tousu/show/id/1372198")</f>
      </c>
      <c r="G1804" t="s" s="2">
        <v>17</v>
      </c>
      <c r="H1804" t="s" s="2">
        <v>19</v>
      </c>
      <c r="I1804" t="s" s="2">
        <v>7085</v>
      </c>
      <c r="J1804" t="s" s="2">
        <v>7086</v>
      </c>
      <c r="K1804" t="s" s="2">
        <v>22</v>
      </c>
      <c r="L1804" t="s" s="2">
        <v>22</v>
      </c>
      <c r="M1804" t="s" s="2">
        <v>22</v>
      </c>
    </row>
    <row r="1805" ht="25.0" customHeight="true">
      <c r="A1805" t="s" s="2">
        <v>13</v>
      </c>
      <c r="B1805" t="s" s="2">
        <f>HYPERLINK("http://ts.21cn.com/tousu/show/id/1372197","小赢卡贷合同标注不明")</f>
      </c>
      <c r="C1805" t="s" s="2">
        <v>15</v>
      </c>
      <c r="D1805" t="s" s="2">
        <v>16</v>
      </c>
      <c r="E1805" t="s" s="2">
        <v>17</v>
      </c>
      <c r="F1805" t="s" s="2">
        <f>HYPERLINK("http://ts.21cn.com/tousu/show/id/1372197","http://ts.21cn.com/tousu/show/id/1372197")</f>
      </c>
      <c r="G1805" t="s" s="2">
        <v>17</v>
      </c>
      <c r="H1805" t="s" s="2">
        <v>19</v>
      </c>
      <c r="I1805" t="s" s="2">
        <v>7089</v>
      </c>
      <c r="J1805" t="s" s="2">
        <v>7090</v>
      </c>
      <c r="K1805" t="s" s="2">
        <v>22</v>
      </c>
      <c r="L1805" t="s" s="2">
        <v>22</v>
      </c>
      <c r="M1805" t="s" s="2">
        <v>22</v>
      </c>
    </row>
    <row r="1806" ht="25.0" customHeight="true">
      <c r="A1806" t="s" s="2">
        <v>13</v>
      </c>
      <c r="B1806" t="s" s="2">
        <f>HYPERLINK("http://ts.21cn.com/tousu/show/id/1372196","威胁恐吓，")</f>
      </c>
      <c r="C1806" t="s" s="2">
        <v>15</v>
      </c>
      <c r="D1806" t="s" s="2">
        <v>16</v>
      </c>
      <c r="E1806" t="s" s="2">
        <v>17</v>
      </c>
      <c r="F1806" t="s" s="2">
        <f>HYPERLINK("http://ts.21cn.com/tousu/show/id/1372196","http://ts.21cn.com/tousu/show/id/1372196")</f>
      </c>
      <c r="G1806" t="s" s="2">
        <v>17</v>
      </c>
      <c r="H1806" t="s" s="2">
        <v>19</v>
      </c>
      <c r="I1806" t="s" s="2">
        <v>7093</v>
      </c>
      <c r="J1806" t="s" s="2">
        <v>7094</v>
      </c>
      <c r="K1806" t="s" s="2">
        <v>22</v>
      </c>
      <c r="L1806" t="s" s="2">
        <v>22</v>
      </c>
      <c r="M1806" t="s" s="2">
        <v>22</v>
      </c>
    </row>
    <row r="1807" ht="25.0" customHeight="true">
      <c r="A1807" t="s" s="2">
        <v>13</v>
      </c>
      <c r="B1807" t="s" s="2">
        <f>HYPERLINK("http://ts.21cn.com/tousu/show/id/1372193","高利贷威胁我")</f>
      </c>
      <c r="C1807" t="s" s="2">
        <v>15</v>
      </c>
      <c r="D1807" t="s" s="2">
        <v>16</v>
      </c>
      <c r="E1807" t="s" s="2">
        <v>17</v>
      </c>
      <c r="F1807" t="s" s="2">
        <f>HYPERLINK("http://ts.21cn.com/tousu/show/id/1372193","http://ts.21cn.com/tousu/show/id/1372193")</f>
      </c>
      <c r="G1807" t="s" s="2">
        <v>17</v>
      </c>
      <c r="H1807" t="s" s="2">
        <v>19</v>
      </c>
      <c r="I1807" t="s" s="2">
        <v>7097</v>
      </c>
      <c r="J1807" t="s" s="2">
        <v>7098</v>
      </c>
      <c r="K1807" t="s" s="2">
        <v>22</v>
      </c>
      <c r="L1807" t="s" s="2">
        <v>22</v>
      </c>
      <c r="M1807" t="s" s="2">
        <v>22</v>
      </c>
    </row>
    <row r="1808" ht="25.0" customHeight="true">
      <c r="A1808" t="s" s="2">
        <v>13</v>
      </c>
      <c r="B1808" t="s" s="2">
        <f>HYPERLINK("http://ts.21cn.com/tousu/show/id/1372192","美团钱袋子乱扣钱")</f>
      </c>
      <c r="C1808" t="s" s="2">
        <v>15</v>
      </c>
      <c r="D1808" t="s" s="2">
        <v>16</v>
      </c>
      <c r="E1808" t="s" s="2">
        <v>17</v>
      </c>
      <c r="F1808" t="s" s="2">
        <f>HYPERLINK("http://ts.21cn.com/tousu/show/id/1372192","http://ts.21cn.com/tousu/show/id/1372192")</f>
      </c>
      <c r="G1808" t="s" s="2">
        <v>17</v>
      </c>
      <c r="H1808" t="s" s="2">
        <v>19</v>
      </c>
      <c r="I1808" t="s" s="2">
        <v>7101</v>
      </c>
      <c r="J1808" t="s" s="2">
        <v>7102</v>
      </c>
      <c r="K1808" t="s" s="2">
        <v>22</v>
      </c>
      <c r="L1808" t="s" s="2">
        <v>22</v>
      </c>
      <c r="M1808" t="s" s="2">
        <v>22</v>
      </c>
    </row>
    <row r="1809" ht="25.0" customHeight="true">
      <c r="A1809" t="s" s="2">
        <v>13</v>
      </c>
      <c r="B1809" t="s" s="2">
        <f>HYPERLINK("http://ts.21cn.com/tousu/show/id/1372194","讯联智付中兴付违规给套路贷砍头息app提供支付渠道造成本人巨额损失并郁郁寡欢")</f>
      </c>
      <c r="C1809" t="s" s="2">
        <v>15</v>
      </c>
      <c r="D1809" t="s" s="2">
        <v>16</v>
      </c>
      <c r="E1809" t="s" s="2">
        <v>17</v>
      </c>
      <c r="F1809" t="s" s="2">
        <f>HYPERLINK("http://ts.21cn.com/tousu/show/id/1372194","http://ts.21cn.com/tousu/show/id/1372194")</f>
      </c>
      <c r="G1809" t="s" s="2">
        <v>17</v>
      </c>
      <c r="H1809" t="s" s="2">
        <v>19</v>
      </c>
      <c r="I1809" t="s" s="2">
        <v>7105</v>
      </c>
      <c r="J1809" t="s" s="2">
        <v>7106</v>
      </c>
      <c r="K1809" t="s" s="2">
        <v>22</v>
      </c>
      <c r="L1809" t="s" s="2">
        <v>22</v>
      </c>
      <c r="M1809" t="s" s="2">
        <v>22</v>
      </c>
    </row>
    <row r="1810" ht="25.0" customHeight="true">
      <c r="A1810" t="s" s="2">
        <v>13</v>
      </c>
      <c r="B1810" t="s" s="2">
        <f>HYPERLINK("http://ts.21cn.com/tousu/show/id/1372191","退罚息")</f>
      </c>
      <c r="C1810" t="s" s="2">
        <v>15</v>
      </c>
      <c r="D1810" t="s" s="2">
        <v>16</v>
      </c>
      <c r="E1810" t="s" s="2">
        <v>17</v>
      </c>
      <c r="F1810" t="s" s="2">
        <f>HYPERLINK("http://ts.21cn.com/tousu/show/id/1372191","http://ts.21cn.com/tousu/show/id/1372191")</f>
      </c>
      <c r="G1810" t="s" s="2">
        <v>17</v>
      </c>
      <c r="H1810" t="s" s="2">
        <v>19</v>
      </c>
      <c r="I1810" t="s" s="2">
        <v>7109</v>
      </c>
      <c r="J1810" t="s" s="2">
        <v>7110</v>
      </c>
      <c r="K1810" t="s" s="2">
        <v>22</v>
      </c>
      <c r="L1810" t="s" s="2">
        <v>22</v>
      </c>
      <c r="M1810" t="s" s="2">
        <v>22</v>
      </c>
    </row>
    <row r="1811" ht="25.0" customHeight="true">
      <c r="A1811" t="s" s="2">
        <v>13</v>
      </c>
      <c r="B1811" t="s" s="2">
        <f>HYPERLINK("http://ts.21cn.com/tousu/show/id/1372182","比特矿场还我血汗钱")</f>
      </c>
      <c r="C1811" t="s" s="2">
        <v>15</v>
      </c>
      <c r="D1811" t="s" s="2">
        <v>16</v>
      </c>
      <c r="E1811" t="s" s="2">
        <v>17</v>
      </c>
      <c r="F1811" t="s" s="2">
        <f>HYPERLINK("http://ts.21cn.com/tousu/show/id/1372182","http://ts.21cn.com/tousu/show/id/1372182")</f>
      </c>
      <c r="G1811" t="s" s="2">
        <v>17</v>
      </c>
      <c r="H1811" t="s" s="2">
        <v>19</v>
      </c>
      <c r="I1811" t="s" s="2">
        <v>7113</v>
      </c>
      <c r="J1811" t="s" s="2">
        <v>7114</v>
      </c>
      <c r="K1811" t="s" s="2">
        <v>22</v>
      </c>
      <c r="L1811" t="s" s="2">
        <v>22</v>
      </c>
      <c r="M1811" t="s" s="2">
        <v>22</v>
      </c>
    </row>
    <row r="1812" ht="25.0" customHeight="true">
      <c r="A1812" t="s" s="2">
        <v>13</v>
      </c>
      <c r="B1812" t="s" s="2">
        <f>HYPERLINK("http://ts.21cn.com/tousu/show/id/1372190","利息高的吓人，我借款33000利息要我还24723.6.还扣了我手续费4800")</f>
      </c>
      <c r="C1812" t="s" s="2">
        <v>52</v>
      </c>
      <c r="D1812" t="s" s="2">
        <v>16</v>
      </c>
      <c r="E1812" t="s" s="2">
        <v>17</v>
      </c>
      <c r="F1812" t="s" s="2">
        <f>HYPERLINK("http://ts.21cn.com/tousu/show/id/1372190","http://ts.21cn.com/tousu/show/id/1372190")</f>
      </c>
      <c r="G1812" t="s" s="2">
        <v>17</v>
      </c>
      <c r="H1812" t="s" s="2">
        <v>19</v>
      </c>
      <c r="I1812" t="s" s="2">
        <v>7117</v>
      </c>
      <c r="J1812" t="s" s="2">
        <v>7118</v>
      </c>
      <c r="K1812" t="s" s="2">
        <v>22</v>
      </c>
      <c r="L1812" t="s" s="2">
        <v>22</v>
      </c>
      <c r="M1812" t="s" s="2">
        <v>22</v>
      </c>
    </row>
    <row r="1813" ht="25.0" customHeight="true">
      <c r="A1813" t="s" s="2">
        <v>13</v>
      </c>
      <c r="B1813" t="s" s="2">
        <f>HYPERLINK("http://ts.21cn.com/tousu/show/id/1372189","每日优鲜虚假宣传，误导诱导用户")</f>
      </c>
      <c r="C1813" t="s" s="2">
        <v>15</v>
      </c>
      <c r="D1813" t="s" s="2">
        <v>16</v>
      </c>
      <c r="E1813" t="s" s="2">
        <v>17</v>
      </c>
      <c r="F1813" t="s" s="2">
        <f>HYPERLINK("http://ts.21cn.com/tousu/show/id/1372189","http://ts.21cn.com/tousu/show/id/1372189")</f>
      </c>
      <c r="G1813" t="s" s="2">
        <v>17</v>
      </c>
      <c r="H1813" t="s" s="2">
        <v>19</v>
      </c>
      <c r="I1813" t="s" s="2">
        <v>7121</v>
      </c>
      <c r="J1813" t="s" s="2">
        <v>7122</v>
      </c>
      <c r="K1813" t="s" s="2">
        <v>22</v>
      </c>
      <c r="L1813" t="s" s="2">
        <v>22</v>
      </c>
      <c r="M1813" t="s" s="2">
        <v>22</v>
      </c>
    </row>
    <row r="1814" ht="25.0" customHeight="true">
      <c r="A1814" t="s" s="2">
        <v>13</v>
      </c>
      <c r="B1814" t="s" s="2">
        <f>HYPERLINK("http://ts.21cn.com/tousu/show/id/1372188","左右钱包高利贷，暴力催收")</f>
      </c>
      <c r="C1814" t="s" s="2">
        <v>15</v>
      </c>
      <c r="D1814" t="s" s="2">
        <v>16</v>
      </c>
      <c r="E1814" t="s" s="2">
        <v>17</v>
      </c>
      <c r="F1814" t="s" s="2">
        <f>HYPERLINK("http://ts.21cn.com/tousu/show/id/1372188","http://ts.21cn.com/tousu/show/id/1372188")</f>
      </c>
      <c r="G1814" t="s" s="2">
        <v>17</v>
      </c>
      <c r="H1814" t="s" s="2">
        <v>19</v>
      </c>
      <c r="I1814" t="s" s="2">
        <v>7125</v>
      </c>
      <c r="J1814" t="s" s="2">
        <v>7126</v>
      </c>
      <c r="K1814" t="s" s="2">
        <v>22</v>
      </c>
      <c r="L1814" t="s" s="2">
        <v>22</v>
      </c>
      <c r="M1814" t="s" s="2">
        <v>22</v>
      </c>
    </row>
    <row r="1815" ht="25.0" customHeight="true">
      <c r="A1815" t="s" s="2">
        <v>13</v>
      </c>
      <c r="B1815" t="s" s="2">
        <f>HYPERLINK("http://ts.21cn.com/tousu/show/id/1372186","贷款7万合同却是10万多")</f>
      </c>
      <c r="C1815" t="s" s="2">
        <v>52</v>
      </c>
      <c r="D1815" t="s" s="2">
        <v>16</v>
      </c>
      <c r="E1815" t="s" s="2">
        <v>17</v>
      </c>
      <c r="F1815" t="s" s="2">
        <f>HYPERLINK("http://ts.21cn.com/tousu/show/id/1372186","http://ts.21cn.com/tousu/show/id/1372186")</f>
      </c>
      <c r="G1815" t="s" s="2">
        <v>17</v>
      </c>
      <c r="H1815" t="s" s="2">
        <v>19</v>
      </c>
      <c r="I1815" t="s" s="2">
        <v>7129</v>
      </c>
      <c r="J1815" t="s" s="2">
        <v>7130</v>
      </c>
      <c r="K1815" t="s" s="2">
        <v>22</v>
      </c>
      <c r="L1815" t="s" s="2">
        <v>22</v>
      </c>
      <c r="M1815" t="s" s="2">
        <v>22</v>
      </c>
    </row>
    <row r="1816" ht="25.0" customHeight="true">
      <c r="A1816" t="s" s="2">
        <v>13</v>
      </c>
      <c r="B1816" t="s" s="2">
        <f>HYPERLINK("http://ts.21cn.com/tousu/show/id/1372183","支付宝支付成功的后发现支付错误联系不上对方，款要求追回")</f>
      </c>
      <c r="C1816" t="s" s="2">
        <v>52</v>
      </c>
      <c r="D1816" t="s" s="2">
        <v>16</v>
      </c>
      <c r="E1816" t="s" s="2">
        <v>17</v>
      </c>
      <c r="F1816" t="s" s="2">
        <f>HYPERLINK("http://ts.21cn.com/tousu/show/id/1372183","http://ts.21cn.com/tousu/show/id/1372183")</f>
      </c>
      <c r="G1816" t="s" s="2">
        <v>17</v>
      </c>
      <c r="H1816" t="s" s="2">
        <v>19</v>
      </c>
      <c r="I1816" t="s" s="2">
        <v>7133</v>
      </c>
      <c r="J1816" t="s" s="2">
        <v>7134</v>
      </c>
      <c r="K1816" t="s" s="2">
        <v>22</v>
      </c>
      <c r="L1816" t="s" s="2">
        <v>22</v>
      </c>
      <c r="M1816" t="s" s="2">
        <v>22</v>
      </c>
    </row>
    <row r="1817" ht="25.0" customHeight="true">
      <c r="A1817" t="s" s="2">
        <v>13</v>
      </c>
      <c r="B1817" t="s" s="2">
        <f>HYPERLINK("http://ts.21cn.com/tousu/show/id/1372181","经常收到捷信的推销广告。请终止")</f>
      </c>
      <c r="C1817" t="s" s="2">
        <v>15</v>
      </c>
      <c r="D1817" t="s" s="2">
        <v>16</v>
      </c>
      <c r="E1817" t="s" s="2">
        <v>17</v>
      </c>
      <c r="F1817" t="s" s="2">
        <f>HYPERLINK("http://ts.21cn.com/tousu/show/id/1372181","http://ts.21cn.com/tousu/show/id/1372181")</f>
      </c>
      <c r="G1817" t="s" s="2">
        <v>17</v>
      </c>
      <c r="H1817" t="s" s="2">
        <v>19</v>
      </c>
      <c r="I1817" t="s" s="2">
        <v>7137</v>
      </c>
      <c r="J1817" t="s" s="2">
        <v>7138</v>
      </c>
      <c r="K1817" t="s" s="2">
        <v>22</v>
      </c>
      <c r="L1817" t="s" s="2">
        <v>22</v>
      </c>
      <c r="M1817" t="s" s="2">
        <v>22</v>
      </c>
    </row>
    <row r="1818" ht="25.0" customHeight="true">
      <c r="A1818" t="s" s="2">
        <v>13</v>
      </c>
      <c r="B1818" t="s" s="2">
        <f>HYPERLINK("http://ts.21cn.com/tousu/show/id/1372180","你我贷威胁上门")</f>
      </c>
      <c r="C1818" t="s" s="2">
        <v>15</v>
      </c>
      <c r="D1818" t="s" s="2">
        <v>16</v>
      </c>
      <c r="E1818" t="s" s="2">
        <v>17</v>
      </c>
      <c r="F1818" t="s" s="2">
        <f>HYPERLINK("http://ts.21cn.com/tousu/show/id/1372180","http://ts.21cn.com/tousu/show/id/1372180")</f>
      </c>
      <c r="G1818" t="s" s="2">
        <v>17</v>
      </c>
      <c r="H1818" t="s" s="2">
        <v>19</v>
      </c>
      <c r="I1818" t="s" s="2">
        <v>7141</v>
      </c>
      <c r="J1818" t="s" s="2">
        <v>7142</v>
      </c>
      <c r="K1818" t="s" s="2">
        <v>22</v>
      </c>
      <c r="L1818" t="s" s="2">
        <v>22</v>
      </c>
      <c r="M1818" t="s" s="2">
        <v>22</v>
      </c>
    </row>
    <row r="1819" ht="25.0" customHeight="true">
      <c r="A1819" t="s" s="2">
        <v>13</v>
      </c>
      <c r="B1819" t="s" s="2">
        <f>HYPERLINK("http://ts.21cn.com/tousu/show/id/1372179","人人贷砍头息非法融资")</f>
      </c>
      <c r="C1819" t="s" s="2">
        <v>15</v>
      </c>
      <c r="D1819" t="s" s="2">
        <v>16</v>
      </c>
      <c r="E1819" t="s" s="2">
        <v>17</v>
      </c>
      <c r="F1819" t="s" s="2">
        <f>HYPERLINK("http://ts.21cn.com/tousu/show/id/1372179","http://ts.21cn.com/tousu/show/id/1372179")</f>
      </c>
      <c r="G1819" t="s" s="2">
        <v>17</v>
      </c>
      <c r="H1819" t="s" s="2">
        <v>19</v>
      </c>
      <c r="I1819" t="s" s="2">
        <v>7145</v>
      </c>
      <c r="J1819" t="s" s="2">
        <v>7146</v>
      </c>
      <c r="K1819" t="s" s="2">
        <v>22</v>
      </c>
      <c r="L1819" t="s" s="2">
        <v>22</v>
      </c>
      <c r="M1819" t="s" s="2">
        <v>22</v>
      </c>
    </row>
    <row r="1820" ht="25.0" customHeight="true">
      <c r="A1820" t="s" s="2">
        <v>13</v>
      </c>
      <c r="B1820" t="s" s="2">
        <f>HYPERLINK("http://ts.21cn.com/tousu/show/id/1372177","小花钱包暴力催收，客服协商无效")</f>
      </c>
      <c r="C1820" t="s" s="2">
        <v>15</v>
      </c>
      <c r="D1820" t="s" s="2">
        <v>16</v>
      </c>
      <c r="E1820" t="s" s="2">
        <v>17</v>
      </c>
      <c r="F1820" t="s" s="2">
        <f>HYPERLINK("http://ts.21cn.com/tousu/show/id/1372177","http://ts.21cn.com/tousu/show/id/1372177")</f>
      </c>
      <c r="G1820" t="s" s="2">
        <v>17</v>
      </c>
      <c r="H1820" t="s" s="2">
        <v>19</v>
      </c>
      <c r="I1820" t="s" s="2">
        <v>7149</v>
      </c>
      <c r="J1820" t="s" s="2">
        <v>7150</v>
      </c>
      <c r="K1820" t="s" s="2">
        <v>22</v>
      </c>
      <c r="L1820" t="s" s="2">
        <v>22</v>
      </c>
      <c r="M1820" t="s" s="2">
        <v>22</v>
      </c>
    </row>
    <row r="1821" ht="25.0" customHeight="true">
      <c r="A1821" t="s" s="2">
        <v>13</v>
      </c>
      <c r="B1821" t="s" s="2">
        <f>HYPERLINK("http://ts.21cn.com/tousu/show/id/1372178","淘宝限制下单永久")</f>
      </c>
      <c r="C1821" t="s" s="2">
        <v>15</v>
      </c>
      <c r="D1821" t="s" s="2">
        <v>16</v>
      </c>
      <c r="E1821" t="s" s="2">
        <v>17</v>
      </c>
      <c r="F1821" t="s" s="2">
        <f>HYPERLINK("http://ts.21cn.com/tousu/show/id/1372178","http://ts.21cn.com/tousu/show/id/1372178")</f>
      </c>
      <c r="G1821" t="s" s="2">
        <v>17</v>
      </c>
      <c r="H1821" t="s" s="2">
        <v>19</v>
      </c>
      <c r="I1821" t="s" s="2">
        <v>7153</v>
      </c>
      <c r="J1821" t="s" s="2">
        <v>7154</v>
      </c>
      <c r="K1821" t="s" s="2">
        <v>22</v>
      </c>
      <c r="L1821" t="s" s="2">
        <v>22</v>
      </c>
      <c r="M1821" t="s" s="2">
        <v>22</v>
      </c>
    </row>
    <row r="1822" ht="25.0" customHeight="true">
      <c r="A1822" t="s" s="2">
        <v>13</v>
      </c>
      <c r="B1822" t="s" s="2">
        <f>HYPERLINK("http://ts.21cn.com/tousu/show/id/1372175","无服务私自扣款")</f>
      </c>
      <c r="C1822" t="s" s="2">
        <v>15</v>
      </c>
      <c r="D1822" t="s" s="2">
        <v>16</v>
      </c>
      <c r="E1822" t="s" s="2">
        <v>17</v>
      </c>
      <c r="F1822" t="s" s="2">
        <f>HYPERLINK("http://ts.21cn.com/tousu/show/id/1372175","http://ts.21cn.com/tousu/show/id/1372175")</f>
      </c>
      <c r="G1822" t="s" s="2">
        <v>17</v>
      </c>
      <c r="H1822" t="s" s="2">
        <v>19</v>
      </c>
      <c r="I1822" t="s" s="2">
        <v>7157</v>
      </c>
      <c r="J1822" t="s" s="2">
        <v>7158</v>
      </c>
      <c r="K1822" t="s" s="2">
        <v>22</v>
      </c>
      <c r="L1822" t="s" s="2">
        <v>22</v>
      </c>
      <c r="M1822" t="s" s="2">
        <v>22</v>
      </c>
    </row>
    <row r="1823" ht="25.0" customHeight="true">
      <c r="A1823" t="s" s="2">
        <v>13</v>
      </c>
      <c r="B1823" t="s" s="2">
        <f>HYPERLINK("http://ts.21cn.com/tousu/show/id/1372174","高利贷")</f>
      </c>
      <c r="C1823" t="s" s="2">
        <v>15</v>
      </c>
      <c r="D1823" t="s" s="2">
        <v>16</v>
      </c>
      <c r="E1823" t="s" s="2">
        <v>17</v>
      </c>
      <c r="F1823" t="s" s="2">
        <f>HYPERLINK("http://ts.21cn.com/tousu/show/id/1372174","http://ts.21cn.com/tousu/show/id/1372174")</f>
      </c>
      <c r="G1823" t="s" s="2">
        <v>17</v>
      </c>
      <c r="H1823" t="s" s="2">
        <v>19</v>
      </c>
      <c r="I1823" t="s" s="2">
        <v>7160</v>
      </c>
      <c r="J1823" t="s" s="2">
        <v>7161</v>
      </c>
      <c r="K1823" t="s" s="2">
        <v>22</v>
      </c>
      <c r="L1823" t="s" s="2">
        <v>22</v>
      </c>
      <c r="M1823" t="s" s="2">
        <v>22</v>
      </c>
    </row>
    <row r="1824" ht="25.0" customHeight="true">
      <c r="A1824" t="s" s="2">
        <v>13</v>
      </c>
      <c r="B1824" t="s" s="2">
        <f>HYPERLINK("http://ts.21cn.com/tousu/show/id/1372173","银行卡无故被美团特约扣款")</f>
      </c>
      <c r="C1824" t="s" s="2">
        <v>15</v>
      </c>
      <c r="D1824" t="s" s="2">
        <v>16</v>
      </c>
      <c r="E1824" t="s" s="2">
        <v>17</v>
      </c>
      <c r="F1824" t="s" s="2">
        <f>HYPERLINK("http://ts.21cn.com/tousu/show/id/1372173","http://ts.21cn.com/tousu/show/id/1372173")</f>
      </c>
      <c r="G1824" t="s" s="2">
        <v>17</v>
      </c>
      <c r="H1824" t="s" s="2">
        <v>19</v>
      </c>
      <c r="I1824" t="s" s="2">
        <v>7164</v>
      </c>
      <c r="J1824" t="s" s="2">
        <v>7165</v>
      </c>
      <c r="K1824" t="s" s="2">
        <v>22</v>
      </c>
      <c r="L1824" t="s" s="2">
        <v>22</v>
      </c>
      <c r="M1824" t="s" s="2">
        <v>22</v>
      </c>
    </row>
    <row r="1825" ht="25.0" customHeight="true">
      <c r="A1825" t="s" s="2">
        <v>13</v>
      </c>
      <c r="B1825" t="s" s="2">
        <f>HYPERLINK("http://ts.21cn.com/tousu/show/id/1372172","51金钱贷（盈火科技）非法放高利贷，暴力催收，威胁，恐吓，暴通讯录")</f>
      </c>
      <c r="C1825" t="s" s="2">
        <v>15</v>
      </c>
      <c r="D1825" t="s" s="2">
        <v>16</v>
      </c>
      <c r="E1825" t="s" s="2">
        <v>17</v>
      </c>
      <c r="F1825" t="s" s="2">
        <f>HYPERLINK("http://ts.21cn.com/tousu/show/id/1372172","http://ts.21cn.com/tousu/show/id/1372172")</f>
      </c>
      <c r="G1825" t="s" s="2">
        <v>17</v>
      </c>
      <c r="H1825" t="s" s="2">
        <v>19</v>
      </c>
      <c r="I1825" t="s" s="2">
        <v>7168</v>
      </c>
      <c r="J1825" t="s" s="2">
        <v>7169</v>
      </c>
      <c r="K1825" t="s" s="2">
        <v>22</v>
      </c>
      <c r="L1825" t="s" s="2">
        <v>22</v>
      </c>
      <c r="M1825" t="s" s="2">
        <v>22</v>
      </c>
    </row>
    <row r="1826" ht="25.0" customHeight="true">
      <c r="A1826" t="s" s="2">
        <v>13</v>
      </c>
      <c r="B1826" t="s" s="2">
        <f>HYPERLINK("http://ts.21cn.com/tousu/show/id/1372168","上海你我贷暴力催收，已无欠款")</f>
      </c>
      <c r="C1826" t="s" s="2">
        <v>15</v>
      </c>
      <c r="D1826" t="s" s="2">
        <v>16</v>
      </c>
      <c r="E1826" t="s" s="2">
        <v>17</v>
      </c>
      <c r="F1826" t="s" s="2">
        <f>HYPERLINK("http://ts.21cn.com/tousu/show/id/1372168","http://ts.21cn.com/tousu/show/id/1372168")</f>
      </c>
      <c r="G1826" t="s" s="2">
        <v>17</v>
      </c>
      <c r="H1826" t="s" s="2">
        <v>19</v>
      </c>
      <c r="I1826" t="s" s="2">
        <v>7172</v>
      </c>
      <c r="J1826" t="s" s="2">
        <v>7173</v>
      </c>
      <c r="K1826" t="s" s="2">
        <v>22</v>
      </c>
      <c r="L1826" t="s" s="2">
        <v>22</v>
      </c>
      <c r="M1826" t="s" s="2">
        <v>22</v>
      </c>
    </row>
    <row r="1827" ht="25.0" customHeight="true">
      <c r="A1827" t="s" s="2">
        <v>13</v>
      </c>
      <c r="B1827" t="s" s="2">
        <f>HYPERLINK("http://ts.21cn.com/tousu/show/id/1372167","网贷")</f>
      </c>
      <c r="C1827" t="s" s="2">
        <v>15</v>
      </c>
      <c r="D1827" t="s" s="2">
        <v>16</v>
      </c>
      <c r="E1827" t="s" s="2">
        <v>17</v>
      </c>
      <c r="F1827" t="s" s="2">
        <f>HYPERLINK("http://ts.21cn.com/tousu/show/id/1372167","http://ts.21cn.com/tousu/show/id/1372167")</f>
      </c>
      <c r="G1827" t="s" s="2">
        <v>17</v>
      </c>
      <c r="H1827" t="s" s="2">
        <v>19</v>
      </c>
      <c r="I1827" t="s" s="2">
        <v>7176</v>
      </c>
      <c r="J1827" t="s" s="2">
        <v>7177</v>
      </c>
      <c r="K1827" t="s" s="2">
        <v>22</v>
      </c>
      <c r="L1827" t="s" s="2">
        <v>22</v>
      </c>
      <c r="M1827" t="s" s="2">
        <v>22</v>
      </c>
    </row>
    <row r="1828" ht="25.0" customHeight="true">
      <c r="A1828" t="s" s="2">
        <v>13</v>
      </c>
      <c r="B1828" t="s" s="2">
        <f>HYPERLINK("http://ts.21cn.com/tousu/show/id/1372170","京东活力花催收人员威胁恐吓辱骂暴力催收！")</f>
      </c>
      <c r="C1828" t="s" s="2">
        <v>15</v>
      </c>
      <c r="D1828" t="s" s="2">
        <v>16</v>
      </c>
      <c r="E1828" t="s" s="2">
        <v>17</v>
      </c>
      <c r="F1828" t="s" s="2">
        <f>HYPERLINK("http://ts.21cn.com/tousu/show/id/1372170","http://ts.21cn.com/tousu/show/id/1372170")</f>
      </c>
      <c r="G1828" t="s" s="2">
        <v>17</v>
      </c>
      <c r="H1828" t="s" s="2">
        <v>19</v>
      </c>
      <c r="I1828" t="s" s="2">
        <v>7180</v>
      </c>
      <c r="J1828" t="s" s="2">
        <v>7181</v>
      </c>
      <c r="K1828" t="s" s="2">
        <v>22</v>
      </c>
      <c r="L1828" t="s" s="2">
        <v>22</v>
      </c>
      <c r="M1828" t="s" s="2">
        <v>22</v>
      </c>
    </row>
    <row r="1829" ht="25.0" customHeight="true">
      <c r="A1829" t="s" s="2">
        <v>13</v>
      </c>
      <c r="B1829" t="s" s="2">
        <f>HYPERLINK("http://ts.21cn.com/tousu/show/id/1372169","小花钱包高利贷")</f>
      </c>
      <c r="C1829" t="s" s="2">
        <v>15</v>
      </c>
      <c r="D1829" t="s" s="2">
        <v>16</v>
      </c>
      <c r="E1829" t="s" s="2">
        <v>17</v>
      </c>
      <c r="F1829" t="s" s="2">
        <f>HYPERLINK("http://ts.21cn.com/tousu/show/id/1372169","http://ts.21cn.com/tousu/show/id/1372169")</f>
      </c>
      <c r="G1829" t="s" s="2">
        <v>17</v>
      </c>
      <c r="H1829" t="s" s="2">
        <v>19</v>
      </c>
      <c r="I1829" t="s" s="2">
        <v>7184</v>
      </c>
      <c r="J1829" t="s" s="2">
        <v>7185</v>
      </c>
      <c r="K1829" t="s" s="2">
        <v>22</v>
      </c>
      <c r="L1829" t="s" s="2">
        <v>22</v>
      </c>
      <c r="M1829" t="s" s="2">
        <v>22</v>
      </c>
    </row>
    <row r="1830" ht="25.0" customHeight="true">
      <c r="A1830" t="s" s="2">
        <v>13</v>
      </c>
      <c r="B1830" t="s" s="2">
        <f>HYPERLINK("http://ts.21cn.com/tousu/show/id/1372166","闪银暴力催收")</f>
      </c>
      <c r="C1830" t="s" s="2">
        <v>15</v>
      </c>
      <c r="D1830" t="s" s="2">
        <v>16</v>
      </c>
      <c r="E1830" t="s" s="2">
        <v>17</v>
      </c>
      <c r="F1830" t="s" s="2">
        <f>HYPERLINK("http://ts.21cn.com/tousu/show/id/1372166","http://ts.21cn.com/tousu/show/id/1372166")</f>
      </c>
      <c r="G1830" t="s" s="2">
        <v>17</v>
      </c>
      <c r="H1830" t="s" s="2">
        <v>19</v>
      </c>
      <c r="I1830" t="s" s="2">
        <v>7188</v>
      </c>
      <c r="J1830" t="s" s="2">
        <v>7189</v>
      </c>
      <c r="K1830" t="s" s="2">
        <v>22</v>
      </c>
      <c r="L1830" t="s" s="2">
        <v>22</v>
      </c>
      <c r="M1830" t="s" s="2">
        <v>22</v>
      </c>
    </row>
    <row r="1831" ht="25.0" customHeight="true">
      <c r="A1831" t="s" s="2">
        <v>13</v>
      </c>
      <c r="B1831" t="s" s="2">
        <f>HYPERLINK("http://ts.21cn.com/tousu/show/id/1372165","平安银行无故拒发货")</f>
      </c>
      <c r="C1831" t="s" s="2">
        <v>15</v>
      </c>
      <c r="D1831" t="s" s="2">
        <v>16</v>
      </c>
      <c r="E1831" t="s" s="2">
        <v>17</v>
      </c>
      <c r="F1831" t="s" s="2">
        <f>HYPERLINK("http://ts.21cn.com/tousu/show/id/1372165","http://ts.21cn.com/tousu/show/id/1372165")</f>
      </c>
      <c r="G1831" t="s" s="2">
        <v>17</v>
      </c>
      <c r="H1831" t="s" s="2">
        <v>19</v>
      </c>
      <c r="I1831" t="s" s="2">
        <v>7192</v>
      </c>
      <c r="J1831" t="s" s="2">
        <v>7193</v>
      </c>
      <c r="K1831" t="s" s="2">
        <v>22</v>
      </c>
      <c r="L1831" t="s" s="2">
        <v>22</v>
      </c>
      <c r="M1831" t="s" s="2">
        <v>22</v>
      </c>
    </row>
    <row r="1832" ht="25.0" customHeight="true">
      <c r="A1832" t="s" s="2">
        <v>13</v>
      </c>
      <c r="B1832" t="s" s="2">
        <f>HYPERLINK("http://ts.21cn.com/tousu/show/id/1372164","骚扰我和我的家人朋友")</f>
      </c>
      <c r="C1832" t="s" s="2">
        <v>15</v>
      </c>
      <c r="D1832" t="s" s="2">
        <v>16</v>
      </c>
      <c r="E1832" t="s" s="2">
        <v>17</v>
      </c>
      <c r="F1832" t="s" s="2">
        <f>HYPERLINK("http://ts.21cn.com/tousu/show/id/1372164","http://ts.21cn.com/tousu/show/id/1372164")</f>
      </c>
      <c r="G1832" t="s" s="2">
        <v>17</v>
      </c>
      <c r="H1832" t="s" s="2">
        <v>19</v>
      </c>
      <c r="I1832" t="s" s="2">
        <v>7196</v>
      </c>
      <c r="J1832" t="s" s="2">
        <v>7197</v>
      </c>
      <c r="K1832" t="s" s="2">
        <v>22</v>
      </c>
      <c r="L1832" t="s" s="2">
        <v>22</v>
      </c>
      <c r="M1832" t="s" s="2">
        <v>22</v>
      </c>
    </row>
    <row r="1833" ht="25.0" customHeight="true">
      <c r="A1833" t="s" s="2">
        <v>13</v>
      </c>
      <c r="B1833" t="s" s="2">
        <f>HYPERLINK("http://ts.21cn.com/tousu/show/id/1372163","支付宝借呗恶意催收")</f>
      </c>
      <c r="C1833" t="s" s="2">
        <v>15</v>
      </c>
      <c r="D1833" t="s" s="2">
        <v>16</v>
      </c>
      <c r="E1833" t="s" s="2">
        <v>17</v>
      </c>
      <c r="F1833" t="s" s="2">
        <f>HYPERLINK("http://ts.21cn.com/tousu/show/id/1372163","http://ts.21cn.com/tousu/show/id/1372163")</f>
      </c>
      <c r="G1833" t="s" s="2">
        <v>17</v>
      </c>
      <c r="H1833" t="s" s="2">
        <v>19</v>
      </c>
      <c r="I1833" t="s" s="2">
        <v>7200</v>
      </c>
      <c r="J1833" t="s" s="2">
        <v>7201</v>
      </c>
      <c r="K1833" t="s" s="2">
        <v>22</v>
      </c>
      <c r="L1833" t="s" s="2">
        <v>22</v>
      </c>
      <c r="M1833" t="s" s="2">
        <v>22</v>
      </c>
    </row>
    <row r="1834" ht="25.0" customHeight="true">
      <c r="A1834" t="s" s="2">
        <v>13</v>
      </c>
      <c r="B1834" t="s" s="2">
        <f>HYPERLINK("http://ts.21cn.com/tousu/show/id/1372162","快钱支付帮违规套路贷砍头息平台违规收费")</f>
      </c>
      <c r="C1834" t="s" s="2">
        <v>15</v>
      </c>
      <c r="D1834" t="s" s="2">
        <v>16</v>
      </c>
      <c r="E1834" t="s" s="2">
        <v>17</v>
      </c>
      <c r="F1834" t="s" s="2">
        <f>HYPERLINK("http://ts.21cn.com/tousu/show/id/1372162","http://ts.21cn.com/tousu/show/id/1372162")</f>
      </c>
      <c r="G1834" t="s" s="2">
        <v>17</v>
      </c>
      <c r="H1834" t="s" s="2">
        <v>19</v>
      </c>
      <c r="I1834" t="s" s="2">
        <v>7204</v>
      </c>
      <c r="J1834" t="s" s="2">
        <v>7205</v>
      </c>
      <c r="K1834" t="s" s="2">
        <v>22</v>
      </c>
      <c r="L1834" t="s" s="2">
        <v>22</v>
      </c>
      <c r="M1834" t="s" s="2">
        <v>22</v>
      </c>
    </row>
    <row r="1835" ht="25.0" customHeight="true">
      <c r="A1835" t="s" s="2">
        <v>13</v>
      </c>
      <c r="B1835" t="s" s="2">
        <f>HYPERLINK("http://ts.21cn.com/tousu/show/id/1372161","平安银行暴力催收")</f>
      </c>
      <c r="C1835" t="s" s="2">
        <v>15</v>
      </c>
      <c r="D1835" t="s" s="2">
        <v>16</v>
      </c>
      <c r="E1835" t="s" s="2">
        <v>17</v>
      </c>
      <c r="F1835" t="s" s="2">
        <f>HYPERLINK("http://ts.21cn.com/tousu/show/id/1372161","http://ts.21cn.com/tousu/show/id/1372161")</f>
      </c>
      <c r="G1835" t="s" s="2">
        <v>17</v>
      </c>
      <c r="H1835" t="s" s="2">
        <v>19</v>
      </c>
      <c r="I1835" t="s" s="2">
        <v>7207</v>
      </c>
      <c r="J1835" t="s" s="2">
        <v>7208</v>
      </c>
      <c r="K1835" t="s" s="2">
        <v>22</v>
      </c>
      <c r="L1835" t="s" s="2">
        <v>22</v>
      </c>
      <c r="M1835" t="s" s="2">
        <v>22</v>
      </c>
    </row>
    <row r="1836" ht="25.0" customHeight="true">
      <c r="A1836" t="s" s="2">
        <v>13</v>
      </c>
      <c r="B1836" t="s" s="2">
        <f>HYPERLINK("http://ts.21cn.com/tousu/show/id/1372160","及贷高额利息")</f>
      </c>
      <c r="C1836" t="s" s="2">
        <v>15</v>
      </c>
      <c r="D1836" t="s" s="2">
        <v>16</v>
      </c>
      <c r="E1836" t="s" s="2">
        <v>17</v>
      </c>
      <c r="F1836" t="s" s="2">
        <f>HYPERLINK("http://ts.21cn.com/tousu/show/id/1372160","http://ts.21cn.com/tousu/show/id/1372160")</f>
      </c>
      <c r="G1836" t="s" s="2">
        <v>17</v>
      </c>
      <c r="H1836" t="s" s="2">
        <v>19</v>
      </c>
      <c r="I1836" t="s" s="2">
        <v>7211</v>
      </c>
      <c r="J1836" t="s" s="2">
        <v>7212</v>
      </c>
      <c r="K1836" t="s" s="2">
        <v>22</v>
      </c>
      <c r="L1836" t="s" s="2">
        <v>22</v>
      </c>
      <c r="M1836" t="s" s="2">
        <v>22</v>
      </c>
    </row>
    <row r="1837" ht="25.0" customHeight="true">
      <c r="A1837" t="s" s="2">
        <v>13</v>
      </c>
      <c r="B1837" t="s" s="2">
        <f>HYPERLINK("http://ts.21cn.com/tousu/show/id/1372158","京东退店不退保证金")</f>
      </c>
      <c r="C1837" t="s" s="2">
        <v>15</v>
      </c>
      <c r="D1837" t="s" s="2">
        <v>16</v>
      </c>
      <c r="E1837" t="s" s="2">
        <v>17</v>
      </c>
      <c r="F1837" t="s" s="2">
        <f>HYPERLINK("http://ts.21cn.com/tousu/show/id/1372158","http://ts.21cn.com/tousu/show/id/1372158")</f>
      </c>
      <c r="G1837" t="s" s="2">
        <v>17</v>
      </c>
      <c r="H1837" t="s" s="2">
        <v>19</v>
      </c>
      <c r="I1837" t="s" s="2">
        <v>7214</v>
      </c>
      <c r="J1837" t="s" s="2">
        <v>7215</v>
      </c>
      <c r="K1837" t="s" s="2">
        <v>22</v>
      </c>
      <c r="L1837" t="s" s="2">
        <v>22</v>
      </c>
      <c r="M1837" t="s" s="2">
        <v>22</v>
      </c>
    </row>
    <row r="1838" ht="25.0" customHeight="true">
      <c r="A1838" t="s" s="2">
        <v>13</v>
      </c>
      <c r="B1838" t="s" s="2">
        <f>HYPERLINK("http://ts.21cn.com/tousu/show/id/1372159","暴力催收")</f>
      </c>
      <c r="C1838" t="s" s="2">
        <v>15</v>
      </c>
      <c r="D1838" t="s" s="2">
        <v>16</v>
      </c>
      <c r="E1838" t="s" s="2">
        <v>17</v>
      </c>
      <c r="F1838" t="s" s="2">
        <f>HYPERLINK("http://ts.21cn.com/tousu/show/id/1372159","http://ts.21cn.com/tousu/show/id/1372159")</f>
      </c>
      <c r="G1838" t="s" s="2">
        <v>17</v>
      </c>
      <c r="H1838" t="s" s="2">
        <v>19</v>
      </c>
      <c r="I1838" t="s" s="2">
        <v>7217</v>
      </c>
      <c r="J1838" t="s" s="2">
        <v>7218</v>
      </c>
      <c r="K1838" t="s" s="2">
        <v>22</v>
      </c>
      <c r="L1838" t="s" s="2">
        <v>22</v>
      </c>
      <c r="M1838" t="s" s="2">
        <v>22</v>
      </c>
    </row>
    <row r="1839" ht="25.0" customHeight="true">
      <c r="A1839" t="s" s="2">
        <v>13</v>
      </c>
      <c r="B1839" t="s" s="2">
        <f>HYPERLINK("http://ts.21cn.com/tousu/show/id/1372157","恶劣涨幅")</f>
      </c>
      <c r="C1839" t="s" s="2">
        <v>15</v>
      </c>
      <c r="D1839" t="s" s="2">
        <v>16</v>
      </c>
      <c r="E1839" t="s" s="2">
        <v>17</v>
      </c>
      <c r="F1839" t="s" s="2">
        <f>HYPERLINK("http://ts.21cn.com/tousu/show/id/1372157","http://ts.21cn.com/tousu/show/id/1372157")</f>
      </c>
      <c r="G1839" t="s" s="2">
        <v>17</v>
      </c>
      <c r="H1839" t="s" s="2">
        <v>19</v>
      </c>
      <c r="I1839" t="s" s="2">
        <v>7221</v>
      </c>
      <c r="J1839" t="s" s="2">
        <v>7222</v>
      </c>
      <c r="K1839" t="s" s="2">
        <v>22</v>
      </c>
      <c r="L1839" t="s" s="2">
        <v>22</v>
      </c>
      <c r="M1839" t="s" s="2">
        <v>22</v>
      </c>
    </row>
    <row r="1840" ht="25.0" customHeight="true">
      <c r="A1840" t="s" s="2">
        <v>13</v>
      </c>
      <c r="B1840" t="s" s="2">
        <f>HYPERLINK("http://ts.21cn.com/tousu/show/id/1372156","松紧贷套路贷涉黑团伙暴力催收")</f>
      </c>
      <c r="C1840" t="s" s="2">
        <v>15</v>
      </c>
      <c r="D1840" t="s" s="2">
        <v>16</v>
      </c>
      <c r="E1840" t="s" s="2">
        <v>17</v>
      </c>
      <c r="F1840" t="s" s="2">
        <f>HYPERLINK("http://ts.21cn.com/tousu/show/id/1372156","http://ts.21cn.com/tousu/show/id/1372156")</f>
      </c>
      <c r="G1840" t="s" s="2">
        <v>17</v>
      </c>
      <c r="H1840" t="s" s="2">
        <v>19</v>
      </c>
      <c r="I1840" t="s" s="2">
        <v>7225</v>
      </c>
      <c r="J1840" t="s" s="2">
        <v>7226</v>
      </c>
      <c r="K1840" t="s" s="2">
        <v>22</v>
      </c>
      <c r="L1840" t="s" s="2">
        <v>22</v>
      </c>
      <c r="M1840" t="s" s="2">
        <v>22</v>
      </c>
    </row>
    <row r="1841" ht="25.0" customHeight="true">
      <c r="A1841" t="s" s="2">
        <v>13</v>
      </c>
      <c r="B1841" t="s" s="2">
        <f>HYPERLINK("http://ts.21cn.com/tousu/show/id/1372155","嗨钱网正常还款海尔金融乱上我征信报告")</f>
      </c>
      <c r="C1841" t="s" s="2">
        <v>52</v>
      </c>
      <c r="D1841" t="s" s="2">
        <v>16</v>
      </c>
      <c r="E1841" t="s" s="2">
        <v>17</v>
      </c>
      <c r="F1841" t="s" s="2">
        <f>HYPERLINK("http://ts.21cn.com/tousu/show/id/1372155","http://ts.21cn.com/tousu/show/id/1372155")</f>
      </c>
      <c r="G1841" t="s" s="2">
        <v>17</v>
      </c>
      <c r="H1841" t="s" s="2">
        <v>19</v>
      </c>
      <c r="I1841" t="s" s="2">
        <v>7229</v>
      </c>
      <c r="J1841" t="s" s="2">
        <v>7230</v>
      </c>
      <c r="K1841" t="s" s="2">
        <v>22</v>
      </c>
      <c r="L1841" t="s" s="2">
        <v>22</v>
      </c>
      <c r="M1841" t="s" s="2">
        <v>22</v>
      </c>
    </row>
    <row r="1842" ht="25.0" customHeight="true">
      <c r="A1842" t="s" s="2">
        <v>13</v>
      </c>
      <c r="B1842" t="s" s="2">
        <f>HYPERLINK("http://ts.21cn.com/tousu/show/id/1372154","尚诚消费金融爆单位电话")</f>
      </c>
      <c r="C1842" t="s" s="2">
        <v>15</v>
      </c>
      <c r="D1842" t="s" s="2">
        <v>16</v>
      </c>
      <c r="E1842" t="s" s="2">
        <v>17</v>
      </c>
      <c r="F1842" t="s" s="2">
        <f>HYPERLINK("http://ts.21cn.com/tousu/show/id/1372154","http://ts.21cn.com/tousu/show/id/1372154")</f>
      </c>
      <c r="G1842" t="s" s="2">
        <v>17</v>
      </c>
      <c r="H1842" t="s" s="2">
        <v>19</v>
      </c>
      <c r="I1842" t="s" s="2">
        <v>7233</v>
      </c>
      <c r="J1842" t="s" s="2">
        <v>7234</v>
      </c>
      <c r="K1842" t="s" s="2">
        <v>22</v>
      </c>
      <c r="L1842" t="s" s="2">
        <v>22</v>
      </c>
      <c r="M1842" t="s" s="2">
        <v>22</v>
      </c>
    </row>
    <row r="1843" ht="25.0" customHeight="true">
      <c r="A1843" t="s" s="2">
        <v>13</v>
      </c>
      <c r="B1843" t="s" s="2">
        <f>HYPERLINK("http://ts.21cn.com/tousu/show/id/1372153","今日头条商家保证金不退还")</f>
      </c>
      <c r="C1843" t="s" s="2">
        <v>15</v>
      </c>
      <c r="D1843" t="s" s="2">
        <v>16</v>
      </c>
      <c r="E1843" t="s" s="2">
        <v>17</v>
      </c>
      <c r="F1843" t="s" s="2">
        <f>HYPERLINK("http://ts.21cn.com/tousu/show/id/1372153","http://ts.21cn.com/tousu/show/id/1372153")</f>
      </c>
      <c r="G1843" t="s" s="2">
        <v>17</v>
      </c>
      <c r="H1843" t="s" s="2">
        <v>19</v>
      </c>
      <c r="I1843" t="s" s="2">
        <v>7237</v>
      </c>
      <c r="J1843" t="s" s="2">
        <v>7238</v>
      </c>
      <c r="K1843" t="s" s="2">
        <v>22</v>
      </c>
      <c r="L1843" t="s" s="2">
        <v>22</v>
      </c>
      <c r="M1843" t="s" s="2">
        <v>22</v>
      </c>
    </row>
    <row r="1844" ht="25.0" customHeight="true">
      <c r="A1844" t="s" s="2">
        <v>13</v>
      </c>
      <c r="B1844" t="s" s="2">
        <f>HYPERLINK("http://ts.21cn.com/tousu/show/id/1372151","裕格调网络做单不给钱")</f>
      </c>
      <c r="C1844" t="s" s="2">
        <v>15</v>
      </c>
      <c r="D1844" t="s" s="2">
        <v>16</v>
      </c>
      <c r="E1844" t="s" s="2">
        <v>17</v>
      </c>
      <c r="F1844" t="s" s="2">
        <f>HYPERLINK("http://ts.21cn.com/tousu/show/id/1372151","http://ts.21cn.com/tousu/show/id/1372151")</f>
      </c>
      <c r="G1844" t="s" s="2">
        <v>17</v>
      </c>
      <c r="H1844" t="s" s="2">
        <v>19</v>
      </c>
      <c r="I1844" t="s" s="2">
        <v>7241</v>
      </c>
      <c r="J1844" t="s" s="2">
        <v>7242</v>
      </c>
      <c r="K1844" t="s" s="2">
        <v>22</v>
      </c>
      <c r="L1844" t="s" s="2">
        <v>22</v>
      </c>
      <c r="M1844" t="s" s="2">
        <v>22</v>
      </c>
    </row>
    <row r="1845" ht="25.0" customHeight="true">
      <c r="A1845" t="s" s="2">
        <v>13</v>
      </c>
      <c r="B1845" t="s" s="2">
        <f>HYPERLINK("http://ts.21cn.com/tousu/show/id/1372150","上海银行勾结还呗收取高利息")</f>
      </c>
      <c r="C1845" t="s" s="2">
        <v>15</v>
      </c>
      <c r="D1845" t="s" s="2">
        <v>16</v>
      </c>
      <c r="E1845" t="s" s="2">
        <v>17</v>
      </c>
      <c r="F1845" t="s" s="2">
        <f>HYPERLINK("http://ts.21cn.com/tousu/show/id/1372150","http://ts.21cn.com/tousu/show/id/1372150")</f>
      </c>
      <c r="G1845" t="s" s="2">
        <v>17</v>
      </c>
      <c r="H1845" t="s" s="2">
        <v>19</v>
      </c>
      <c r="I1845" t="s" s="2">
        <v>7245</v>
      </c>
      <c r="J1845" t="s" s="2">
        <v>7246</v>
      </c>
      <c r="K1845" t="s" s="2">
        <v>22</v>
      </c>
      <c r="L1845" t="s" s="2">
        <v>22</v>
      </c>
      <c r="M1845" t="s" s="2">
        <v>22</v>
      </c>
    </row>
    <row r="1846" ht="25.0" customHeight="true">
      <c r="A1846" t="s" s="2">
        <v>13</v>
      </c>
      <c r="B1846" t="s" s="2">
        <f>HYPERLINK("http://ts.21cn.com/tousu/show/id/1372149","微信支付冻结资金12200元不给提现")</f>
      </c>
      <c r="C1846" t="s" s="2">
        <v>15</v>
      </c>
      <c r="D1846" t="s" s="2">
        <v>16</v>
      </c>
      <c r="E1846" t="s" s="2">
        <v>17</v>
      </c>
      <c r="F1846" t="s" s="2">
        <f>HYPERLINK("http://ts.21cn.com/tousu/show/id/1372149","http://ts.21cn.com/tousu/show/id/1372149")</f>
      </c>
      <c r="G1846" t="s" s="2">
        <v>17</v>
      </c>
      <c r="H1846" t="s" s="2">
        <v>19</v>
      </c>
      <c r="I1846" t="s" s="2">
        <v>7249</v>
      </c>
      <c r="J1846" t="s" s="2">
        <v>7250</v>
      </c>
      <c r="K1846" t="s" s="2">
        <v>22</v>
      </c>
      <c r="L1846" t="s" s="2">
        <v>22</v>
      </c>
      <c r="M1846" t="s" s="2">
        <v>22</v>
      </c>
    </row>
    <row r="1847" ht="25.0" customHeight="true">
      <c r="A1847" t="s" s="2">
        <v>13</v>
      </c>
      <c r="B1847" t="s" s="2">
        <f>HYPERLINK("http://ts.21cn.com/tousu/show/id/1372147","恐吓暴力催收骚扰")</f>
      </c>
      <c r="C1847" t="s" s="2">
        <v>15</v>
      </c>
      <c r="D1847" t="s" s="2">
        <v>16</v>
      </c>
      <c r="E1847" t="s" s="2">
        <v>17</v>
      </c>
      <c r="F1847" t="s" s="2">
        <f>HYPERLINK("http://ts.21cn.com/tousu/show/id/1372147","http://ts.21cn.com/tousu/show/id/1372147")</f>
      </c>
      <c r="G1847" t="s" s="2">
        <v>17</v>
      </c>
      <c r="H1847" t="s" s="2">
        <v>19</v>
      </c>
      <c r="I1847" t="s" s="2">
        <v>7253</v>
      </c>
      <c r="J1847" t="s" s="2">
        <v>7254</v>
      </c>
      <c r="K1847" t="s" s="2">
        <v>22</v>
      </c>
      <c r="L1847" t="s" s="2">
        <v>22</v>
      </c>
      <c r="M1847" t="s" s="2">
        <v>22</v>
      </c>
    </row>
    <row r="1848" ht="25.0" customHeight="true">
      <c r="A1848" t="s" s="2">
        <v>13</v>
      </c>
      <c r="B1848" t="s" s="2">
        <f>HYPERLINK("http://ts.21cn.com/tousu/show/id/1372148","收取高额利息")</f>
      </c>
      <c r="C1848" t="s" s="2">
        <v>15</v>
      </c>
      <c r="D1848" t="s" s="2">
        <v>16</v>
      </c>
      <c r="E1848" t="s" s="2">
        <v>17</v>
      </c>
      <c r="F1848" t="s" s="2">
        <f>HYPERLINK("http://ts.21cn.com/tousu/show/id/1372148","http://ts.21cn.com/tousu/show/id/1372148")</f>
      </c>
      <c r="G1848" t="s" s="2">
        <v>17</v>
      </c>
      <c r="H1848" t="s" s="2">
        <v>19</v>
      </c>
      <c r="I1848" t="s" s="2">
        <v>7256</v>
      </c>
      <c r="J1848" t="s" s="2">
        <v>7257</v>
      </c>
      <c r="K1848" t="s" s="2">
        <v>22</v>
      </c>
      <c r="L1848" t="s" s="2">
        <v>22</v>
      </c>
      <c r="M1848" t="s" s="2">
        <v>22</v>
      </c>
    </row>
    <row r="1849" ht="25.0" customHeight="true">
      <c r="A1849" t="s" s="2">
        <v>13</v>
      </c>
      <c r="B1849" t="s" s="2">
        <f>HYPERLINK("http://ts.21cn.com/tousu/show/id/1372144","宜人贷暴力催收，恐吓")</f>
      </c>
      <c r="C1849" t="s" s="2">
        <v>15</v>
      </c>
      <c r="D1849" t="s" s="2">
        <v>16</v>
      </c>
      <c r="E1849" t="s" s="2">
        <v>17</v>
      </c>
      <c r="F1849" t="s" s="2">
        <f>HYPERLINK("http://ts.21cn.com/tousu/show/id/1372144","http://ts.21cn.com/tousu/show/id/1372144")</f>
      </c>
      <c r="G1849" t="s" s="2">
        <v>17</v>
      </c>
      <c r="H1849" t="s" s="2">
        <v>19</v>
      </c>
      <c r="I1849" t="s" s="2">
        <v>7260</v>
      </c>
      <c r="J1849" t="s" s="2">
        <v>7261</v>
      </c>
      <c r="K1849" t="s" s="2">
        <v>22</v>
      </c>
      <c r="L1849" t="s" s="2">
        <v>22</v>
      </c>
      <c r="M1849" t="s" s="2">
        <v>22</v>
      </c>
    </row>
    <row r="1850" ht="25.0" customHeight="true">
      <c r="A1850" t="s" s="2">
        <v>13</v>
      </c>
      <c r="B1850" t="s" s="2">
        <f>HYPERLINK("http://ts.21cn.com/tousu/show/id/1372152","月光侠分期，高利贷，爱钱进作为中间方助纣为虐。")</f>
      </c>
      <c r="C1850" t="s" s="2">
        <v>15</v>
      </c>
      <c r="D1850" t="s" s="2">
        <v>16</v>
      </c>
      <c r="E1850" t="s" s="2">
        <v>17</v>
      </c>
      <c r="F1850" t="s" s="2">
        <f>HYPERLINK("http://ts.21cn.com/tousu/show/id/1372152","http://ts.21cn.com/tousu/show/id/1372152")</f>
      </c>
      <c r="G1850" t="s" s="2">
        <v>17</v>
      </c>
      <c r="H1850" t="s" s="2">
        <v>19</v>
      </c>
      <c r="I1850" t="s" s="2">
        <v>7264</v>
      </c>
      <c r="J1850" t="s" s="2">
        <v>7265</v>
      </c>
      <c r="K1850" t="s" s="2">
        <v>22</v>
      </c>
      <c r="L1850" t="s" s="2">
        <v>22</v>
      </c>
      <c r="M1850" t="s" s="2">
        <v>22</v>
      </c>
    </row>
    <row r="1851" ht="25.0" customHeight="true">
      <c r="A1851" t="s" s="2">
        <v>13</v>
      </c>
      <c r="B1851" t="s" s="2">
        <f>HYPERLINK("http://ts.21cn.com/tousu/show/id/1372146","民航通黑金卡虚假引入消费")</f>
      </c>
      <c r="C1851" t="s" s="2">
        <v>15</v>
      </c>
      <c r="D1851" t="s" s="2">
        <v>16</v>
      </c>
      <c r="E1851" t="s" s="2">
        <v>17</v>
      </c>
      <c r="F1851" t="s" s="2">
        <f>HYPERLINK("http://ts.21cn.com/tousu/show/id/1372146","http://ts.21cn.com/tousu/show/id/1372146")</f>
      </c>
      <c r="G1851" t="s" s="2">
        <v>17</v>
      </c>
      <c r="H1851" t="s" s="2">
        <v>19</v>
      </c>
      <c r="I1851" t="s" s="2">
        <v>7268</v>
      </c>
      <c r="J1851" t="s" s="2">
        <v>7269</v>
      </c>
      <c r="K1851" t="s" s="2">
        <v>22</v>
      </c>
      <c r="L1851" t="s" s="2">
        <v>22</v>
      </c>
      <c r="M1851" t="s" s="2">
        <v>22</v>
      </c>
    </row>
    <row r="1852" ht="25.0" customHeight="true">
      <c r="A1852" t="s" s="2">
        <v>13</v>
      </c>
      <c r="B1852" t="s" s="2">
        <f>HYPERLINK("http://ts.21cn.com/tousu/show/id/1372145","请求申请延期还款")</f>
      </c>
      <c r="C1852" t="s" s="2">
        <v>15</v>
      </c>
      <c r="D1852" t="s" s="2">
        <v>16</v>
      </c>
      <c r="E1852" t="s" s="2">
        <v>17</v>
      </c>
      <c r="F1852" t="s" s="2">
        <f>HYPERLINK("http://ts.21cn.com/tousu/show/id/1372145","http://ts.21cn.com/tousu/show/id/1372145")</f>
      </c>
      <c r="G1852" t="s" s="2">
        <v>17</v>
      </c>
      <c r="H1852" t="s" s="2">
        <v>19</v>
      </c>
      <c r="I1852" t="s" s="2">
        <v>7272</v>
      </c>
      <c r="J1852" t="s" s="2">
        <v>7273</v>
      </c>
      <c r="K1852" t="s" s="2">
        <v>22</v>
      </c>
      <c r="L1852" t="s" s="2">
        <v>22</v>
      </c>
      <c r="M1852" t="s" s="2">
        <v>22</v>
      </c>
    </row>
    <row r="1853" ht="25.0" customHeight="true">
      <c r="A1853" t="s" s="2">
        <v>13</v>
      </c>
      <c r="B1853" t="s" s="2">
        <f>HYPERLINK("http://ts.21cn.com/tousu/show/id/1372143","立借钱置宝高利贷")</f>
      </c>
      <c r="C1853" t="s" s="2">
        <v>15</v>
      </c>
      <c r="D1853" t="s" s="2">
        <v>16</v>
      </c>
      <c r="E1853" t="s" s="2">
        <v>17</v>
      </c>
      <c r="F1853" t="s" s="2">
        <f>HYPERLINK("http://ts.21cn.com/tousu/show/id/1372143","http://ts.21cn.com/tousu/show/id/1372143")</f>
      </c>
      <c r="G1853" t="s" s="2">
        <v>17</v>
      </c>
      <c r="H1853" t="s" s="2">
        <v>19</v>
      </c>
      <c r="I1853" t="s" s="2">
        <v>7276</v>
      </c>
      <c r="J1853" t="s" s="2">
        <v>7277</v>
      </c>
      <c r="K1853" t="s" s="2">
        <v>22</v>
      </c>
      <c r="L1853" t="s" s="2">
        <v>22</v>
      </c>
      <c r="M1853" t="s" s="2">
        <v>22</v>
      </c>
    </row>
    <row r="1854" ht="25.0" customHeight="true">
      <c r="A1854" t="s" s="2">
        <v>13</v>
      </c>
      <c r="B1854" t="s" s="2">
        <f>HYPERLINK("http://ts.21cn.com/tousu/show/id/1372141","变相高利贷，严重影响我的生活")</f>
      </c>
      <c r="C1854" t="s" s="2">
        <v>15</v>
      </c>
      <c r="D1854" t="s" s="2">
        <v>16</v>
      </c>
      <c r="E1854" t="s" s="2">
        <v>17</v>
      </c>
      <c r="F1854" t="s" s="2">
        <f>HYPERLINK("http://ts.21cn.com/tousu/show/id/1372141","http://ts.21cn.com/tousu/show/id/1372141")</f>
      </c>
      <c r="G1854" t="s" s="2">
        <v>17</v>
      </c>
      <c r="H1854" t="s" s="2">
        <v>19</v>
      </c>
      <c r="I1854" t="s" s="2">
        <v>7280</v>
      </c>
      <c r="J1854" t="s" s="2">
        <v>7281</v>
      </c>
      <c r="K1854" t="s" s="2">
        <v>22</v>
      </c>
      <c r="L1854" t="s" s="2">
        <v>22</v>
      </c>
      <c r="M1854" t="s" s="2">
        <v>22</v>
      </c>
    </row>
    <row r="1855" ht="25.0" customHeight="true">
      <c r="A1855" t="s" s="2">
        <v>13</v>
      </c>
      <c r="B1855" t="s" s="2">
        <f>HYPERLINK("http://ts.21cn.com/tousu/show/id/1372142","正大财富暴力催收")</f>
      </c>
      <c r="C1855" t="s" s="2">
        <v>15</v>
      </c>
      <c r="D1855" t="s" s="2">
        <v>16</v>
      </c>
      <c r="E1855" t="s" s="2">
        <v>17</v>
      </c>
      <c r="F1855" t="s" s="2">
        <f>HYPERLINK("http://ts.21cn.com/tousu/show/id/1372142","http://ts.21cn.com/tousu/show/id/1372142")</f>
      </c>
      <c r="G1855" t="s" s="2">
        <v>17</v>
      </c>
      <c r="H1855" t="s" s="2">
        <v>19</v>
      </c>
      <c r="I1855" t="s" s="2">
        <v>7284</v>
      </c>
      <c r="J1855" t="s" s="2">
        <v>7285</v>
      </c>
      <c r="K1855" t="s" s="2">
        <v>22</v>
      </c>
      <c r="L1855" t="s" s="2">
        <v>22</v>
      </c>
      <c r="M1855" t="s" s="2">
        <v>22</v>
      </c>
    </row>
    <row r="1856" ht="25.0" customHeight="true">
      <c r="A1856" t="s" s="2">
        <v>13</v>
      </c>
      <c r="B1856" t="s" s="2">
        <f>HYPERLINK("http://ts.21cn.com/tousu/show/id/1372139","交通信用卡中心恐吓骚扰")</f>
      </c>
      <c r="C1856" t="s" s="2">
        <v>15</v>
      </c>
      <c r="D1856" t="s" s="2">
        <v>16</v>
      </c>
      <c r="E1856" t="s" s="2">
        <v>17</v>
      </c>
      <c r="F1856" t="s" s="2">
        <f>HYPERLINK("http://ts.21cn.com/tousu/show/id/1372139","http://ts.21cn.com/tousu/show/id/1372139")</f>
      </c>
      <c r="G1856" t="s" s="2">
        <v>17</v>
      </c>
      <c r="H1856" t="s" s="2">
        <v>19</v>
      </c>
      <c r="I1856" t="s" s="2">
        <v>7288</v>
      </c>
      <c r="J1856" t="s" s="2">
        <v>7289</v>
      </c>
      <c r="K1856" t="s" s="2">
        <v>22</v>
      </c>
      <c r="L1856" t="s" s="2">
        <v>22</v>
      </c>
      <c r="M1856" t="s" s="2">
        <v>22</v>
      </c>
    </row>
    <row r="1857" ht="25.0" customHeight="true">
      <c r="A1857" t="s" s="2">
        <v>13</v>
      </c>
      <c r="B1857" t="s" s="2">
        <f>HYPERLINK("http://ts.21cn.com/tousu/show/id/1372138","友信信贷在未逾期的时间内对借款人进行暴力催收")</f>
      </c>
      <c r="C1857" t="s" s="2">
        <v>15</v>
      </c>
      <c r="D1857" t="s" s="2">
        <v>16</v>
      </c>
      <c r="E1857" t="s" s="2">
        <v>17</v>
      </c>
      <c r="F1857" t="s" s="2">
        <f>HYPERLINK("http://ts.21cn.com/tousu/show/id/1372138","http://ts.21cn.com/tousu/show/id/1372138")</f>
      </c>
      <c r="G1857" t="s" s="2">
        <v>17</v>
      </c>
      <c r="H1857" t="s" s="2">
        <v>19</v>
      </c>
      <c r="I1857" t="s" s="2">
        <v>7292</v>
      </c>
      <c r="J1857" t="s" s="2">
        <v>7293</v>
      </c>
      <c r="K1857" t="s" s="2">
        <v>22</v>
      </c>
      <c r="L1857" t="s" s="2">
        <v>22</v>
      </c>
      <c r="M1857" t="s" s="2">
        <v>22</v>
      </c>
    </row>
    <row r="1858" ht="25.0" customHeight="true">
      <c r="A1858" t="s" s="2">
        <v>13</v>
      </c>
      <c r="B1858" t="s" s="2">
        <f>HYPERLINK("http://ts.21cn.com/tousu/show/id/1372137","银行与佰仟公司合伙放高利贷")</f>
      </c>
      <c r="C1858" t="s" s="2">
        <v>15</v>
      </c>
      <c r="D1858" t="s" s="2">
        <v>16</v>
      </c>
      <c r="E1858" t="s" s="2">
        <v>17</v>
      </c>
      <c r="F1858" t="s" s="2">
        <f>HYPERLINK("http://ts.21cn.com/tousu/show/id/1372137","http://ts.21cn.com/tousu/show/id/1372137")</f>
      </c>
      <c r="G1858" t="s" s="2">
        <v>17</v>
      </c>
      <c r="H1858" t="s" s="2">
        <v>19</v>
      </c>
      <c r="I1858" t="s" s="2">
        <v>7296</v>
      </c>
      <c r="J1858" t="s" s="2">
        <v>2108</v>
      </c>
      <c r="K1858" t="s" s="2">
        <v>22</v>
      </c>
      <c r="L1858" t="s" s="2">
        <v>22</v>
      </c>
      <c r="M1858" t="s" s="2">
        <v>22</v>
      </c>
    </row>
    <row r="1859" ht="25.0" customHeight="true">
      <c r="A1859" t="s" s="2">
        <v>13</v>
      </c>
      <c r="B1859" t="s" s="2">
        <f>HYPERLINK("http://ts.21cn.com/tousu/show/id/1372136","微粒贷催收")</f>
      </c>
      <c r="C1859" t="s" s="2">
        <v>15</v>
      </c>
      <c r="D1859" t="s" s="2">
        <v>16</v>
      </c>
      <c r="E1859" t="s" s="2">
        <v>17</v>
      </c>
      <c r="F1859" t="s" s="2">
        <f>HYPERLINK("http://ts.21cn.com/tousu/show/id/1372136","http://ts.21cn.com/tousu/show/id/1372136")</f>
      </c>
      <c r="G1859" t="s" s="2">
        <v>17</v>
      </c>
      <c r="H1859" t="s" s="2">
        <v>19</v>
      </c>
      <c r="I1859" t="s" s="2">
        <v>7299</v>
      </c>
      <c r="J1859" t="s" s="2">
        <v>7300</v>
      </c>
      <c r="K1859" t="s" s="2">
        <v>22</v>
      </c>
      <c r="L1859" t="s" s="2">
        <v>22</v>
      </c>
      <c r="M1859" t="s" s="2">
        <v>22</v>
      </c>
    </row>
    <row r="1860" ht="25.0" customHeight="true">
      <c r="A1860" t="s" s="2">
        <v>13</v>
      </c>
      <c r="B1860" t="s" s="2">
        <f>HYPERLINK("http://ts.21cn.com/tousu/show/id/1372135","维信卡卡贷不讲诚信")</f>
      </c>
      <c r="C1860" t="s" s="2">
        <v>15</v>
      </c>
      <c r="D1860" t="s" s="2">
        <v>16</v>
      </c>
      <c r="E1860" t="s" s="2">
        <v>17</v>
      </c>
      <c r="F1860" t="s" s="2">
        <f>HYPERLINK("http://ts.21cn.com/tousu/show/id/1372135","http://ts.21cn.com/tousu/show/id/1372135")</f>
      </c>
      <c r="G1860" t="s" s="2">
        <v>17</v>
      </c>
      <c r="H1860" t="s" s="2">
        <v>19</v>
      </c>
      <c r="I1860" t="s" s="2">
        <v>7303</v>
      </c>
      <c r="J1860" t="s" s="2">
        <v>7304</v>
      </c>
      <c r="K1860" t="s" s="2">
        <v>22</v>
      </c>
      <c r="L1860" t="s" s="2">
        <v>22</v>
      </c>
      <c r="M1860" t="s" s="2">
        <v>22</v>
      </c>
    </row>
    <row r="1861" ht="25.0" customHeight="true">
      <c r="A1861" t="s" s="2">
        <v>13</v>
      </c>
      <c r="B1861" t="s" s="2">
        <f>HYPERLINK("http://ts.21cn.com/tousu/show/id/1372134","京东白天委托第三方暴力催收，对我及我的家人电话轮番轰炸，态度恶劣")</f>
      </c>
      <c r="C1861" t="s" s="2">
        <v>15</v>
      </c>
      <c r="D1861" t="s" s="2">
        <v>16</v>
      </c>
      <c r="E1861" t="s" s="2">
        <v>17</v>
      </c>
      <c r="F1861" t="s" s="2">
        <f>HYPERLINK("http://ts.21cn.com/tousu/show/id/1372134","http://ts.21cn.com/tousu/show/id/1372134")</f>
      </c>
      <c r="G1861" t="s" s="2">
        <v>17</v>
      </c>
      <c r="H1861" t="s" s="2">
        <v>19</v>
      </c>
      <c r="I1861" t="s" s="2">
        <v>7307</v>
      </c>
      <c r="J1861" t="s" s="2">
        <v>7308</v>
      </c>
      <c r="K1861" t="s" s="2">
        <v>22</v>
      </c>
      <c r="L1861" t="s" s="2">
        <v>22</v>
      </c>
      <c r="M1861" t="s" s="2">
        <v>22</v>
      </c>
    </row>
    <row r="1862" ht="25.0" customHeight="true">
      <c r="A1862" t="s" s="2">
        <v>13</v>
      </c>
      <c r="B1862" t="s" s="2">
        <f>HYPERLINK("http://ts.21cn.com/tousu/show/id/1372133","大家看看不要脸的宝付支付")</f>
      </c>
      <c r="C1862" t="s" s="2">
        <v>15</v>
      </c>
      <c r="D1862" t="s" s="2">
        <v>16</v>
      </c>
      <c r="E1862" t="s" s="2">
        <v>17</v>
      </c>
      <c r="F1862" t="s" s="2">
        <f>HYPERLINK("http://ts.21cn.com/tousu/show/id/1372133","http://ts.21cn.com/tousu/show/id/1372133")</f>
      </c>
      <c r="G1862" t="s" s="2">
        <v>17</v>
      </c>
      <c r="H1862" t="s" s="2">
        <v>19</v>
      </c>
      <c r="I1862" t="s" s="2">
        <v>7311</v>
      </c>
      <c r="J1862" t="s" s="2">
        <v>7312</v>
      </c>
      <c r="K1862" t="s" s="2">
        <v>22</v>
      </c>
      <c r="L1862" t="s" s="2">
        <v>22</v>
      </c>
      <c r="M1862" t="s" s="2">
        <v>22</v>
      </c>
    </row>
    <row r="1863" ht="25.0" customHeight="true">
      <c r="A1863" t="s" s="2">
        <v>13</v>
      </c>
      <c r="B1863" t="s" s="2">
        <f>HYPERLINK("http://ts.21cn.com/tousu/show/id/1372132","买买钱包")</f>
      </c>
      <c r="C1863" t="s" s="2">
        <v>15</v>
      </c>
      <c r="D1863" t="s" s="2">
        <v>16</v>
      </c>
      <c r="E1863" t="s" s="2">
        <v>17</v>
      </c>
      <c r="F1863" t="s" s="2">
        <f>HYPERLINK("http://ts.21cn.com/tousu/show/id/1372132","http://ts.21cn.com/tousu/show/id/1372132")</f>
      </c>
      <c r="G1863" t="s" s="2">
        <v>17</v>
      </c>
      <c r="H1863" t="s" s="2">
        <v>19</v>
      </c>
      <c r="I1863" t="s" s="2">
        <v>7315</v>
      </c>
      <c r="J1863" t="s" s="2">
        <v>7316</v>
      </c>
      <c r="K1863" t="s" s="2">
        <v>22</v>
      </c>
      <c r="L1863" t="s" s="2">
        <v>22</v>
      </c>
      <c r="M1863" t="s" s="2">
        <v>22</v>
      </c>
    </row>
    <row r="1864" ht="25.0" customHeight="true">
      <c r="A1864" t="s" s="2">
        <v>13</v>
      </c>
      <c r="B1864" t="s" s="2">
        <f>HYPERLINK("http://ts.21cn.com/tousu/show/id/1372131","到期无法还款")</f>
      </c>
      <c r="C1864" t="s" s="2">
        <v>52</v>
      </c>
      <c r="D1864" t="s" s="2">
        <v>16</v>
      </c>
      <c r="E1864" t="s" s="2">
        <v>17</v>
      </c>
      <c r="F1864" t="s" s="2">
        <f>HYPERLINK("http://ts.21cn.com/tousu/show/id/1372131","http://ts.21cn.com/tousu/show/id/1372131")</f>
      </c>
      <c r="G1864" t="s" s="2">
        <v>17</v>
      </c>
      <c r="H1864" t="s" s="2">
        <v>19</v>
      </c>
      <c r="I1864" t="s" s="2">
        <v>7319</v>
      </c>
      <c r="J1864" t="s" s="2">
        <v>7320</v>
      </c>
      <c r="K1864" t="s" s="2">
        <v>22</v>
      </c>
      <c r="L1864" t="s" s="2">
        <v>22</v>
      </c>
      <c r="M1864" t="s" s="2">
        <v>22</v>
      </c>
    </row>
    <row r="1865" ht="25.0" customHeight="true">
      <c r="A1865" t="s" s="2">
        <v>13</v>
      </c>
      <c r="B1865" t="s" s="2">
        <f>HYPERLINK("http://ts.21cn.com/tousu/show/id/1372130","小花钱包恶意操作")</f>
      </c>
      <c r="C1865" t="s" s="2">
        <v>15</v>
      </c>
      <c r="D1865" t="s" s="2">
        <v>16</v>
      </c>
      <c r="E1865" t="s" s="2">
        <v>17</v>
      </c>
      <c r="F1865" t="s" s="2">
        <f>HYPERLINK("http://ts.21cn.com/tousu/show/id/1372130","http://ts.21cn.com/tousu/show/id/1372130")</f>
      </c>
      <c r="G1865" t="s" s="2">
        <v>17</v>
      </c>
      <c r="H1865" t="s" s="2">
        <v>19</v>
      </c>
      <c r="I1865" t="s" s="2">
        <v>7323</v>
      </c>
      <c r="J1865" t="s" s="2">
        <v>7324</v>
      </c>
      <c r="K1865" t="s" s="2">
        <v>22</v>
      </c>
      <c r="L1865" t="s" s="2">
        <v>22</v>
      </c>
      <c r="M1865" t="s" s="2">
        <v>22</v>
      </c>
    </row>
    <row r="1866" ht="25.0" customHeight="true">
      <c r="A1866" t="s" s="2">
        <v>13</v>
      </c>
      <c r="B1866" t="s" s="2">
        <f>HYPERLINK("http://ts.21cn.com/tousu/show/id/1372128","利息超过国家规定，还群发消息")</f>
      </c>
      <c r="C1866" t="s" s="2">
        <v>15</v>
      </c>
      <c r="D1866" t="s" s="2">
        <v>16</v>
      </c>
      <c r="E1866" t="s" s="2">
        <v>17</v>
      </c>
      <c r="F1866" t="s" s="2">
        <f>HYPERLINK("http://ts.21cn.com/tousu/show/id/1372128","http://ts.21cn.com/tousu/show/id/1372128")</f>
      </c>
      <c r="G1866" t="s" s="2">
        <v>17</v>
      </c>
      <c r="H1866" t="s" s="2">
        <v>19</v>
      </c>
      <c r="I1866" t="s" s="2">
        <v>7327</v>
      </c>
      <c r="J1866" t="s" s="2">
        <v>7328</v>
      </c>
      <c r="K1866" t="s" s="2">
        <v>22</v>
      </c>
      <c r="L1866" t="s" s="2">
        <v>22</v>
      </c>
      <c r="M1866" t="s" s="2">
        <v>22</v>
      </c>
    </row>
    <row r="1867" ht="25.0" customHeight="true">
      <c r="A1867" t="s" s="2">
        <v>13</v>
      </c>
      <c r="B1867" t="s" s="2">
        <f>HYPERLINK("http://ts.21cn.com/tousu/show/id/1372127","名校贷咨询费不退还")</f>
      </c>
      <c r="C1867" t="s" s="2">
        <v>15</v>
      </c>
      <c r="D1867" t="s" s="2">
        <v>16</v>
      </c>
      <c r="E1867" t="s" s="2">
        <v>17</v>
      </c>
      <c r="F1867" t="s" s="2">
        <f>HYPERLINK("http://ts.21cn.com/tousu/show/id/1372127","http://ts.21cn.com/tousu/show/id/1372127")</f>
      </c>
      <c r="G1867" t="s" s="2">
        <v>17</v>
      </c>
      <c r="H1867" t="s" s="2">
        <v>19</v>
      </c>
      <c r="I1867" t="s" s="2">
        <v>7331</v>
      </c>
      <c r="J1867" t="s" s="2">
        <v>7332</v>
      </c>
      <c r="K1867" t="s" s="2">
        <v>22</v>
      </c>
      <c r="L1867" t="s" s="2">
        <v>22</v>
      </c>
      <c r="M1867" t="s" s="2">
        <v>22</v>
      </c>
    </row>
    <row r="1868" ht="25.0" customHeight="true">
      <c r="A1868" t="s" s="2">
        <v>13</v>
      </c>
      <c r="B1868" t="s" s="2">
        <f>HYPERLINK("http://ts.21cn.com/tousu/show/id/1370230","浦发银行万用金")</f>
      </c>
      <c r="C1868" t="s" s="2">
        <v>15</v>
      </c>
      <c r="D1868" t="s" s="2">
        <v>16</v>
      </c>
      <c r="E1868" t="s" s="2">
        <v>17</v>
      </c>
      <c r="F1868" t="s" s="2">
        <f>HYPERLINK("http://ts.21cn.com/tousu/show/id/1370230","http://ts.21cn.com/tousu/show/id/1370230")</f>
      </c>
      <c r="G1868" t="s" s="2">
        <v>17</v>
      </c>
      <c r="H1868" t="s" s="2">
        <v>19</v>
      </c>
      <c r="I1868" t="s" s="2">
        <v>7335</v>
      </c>
      <c r="J1868" t="s" s="2">
        <v>7336</v>
      </c>
      <c r="K1868" t="s" s="2">
        <v>22</v>
      </c>
      <c r="L1868" t="s" s="2">
        <v>22</v>
      </c>
      <c r="M1868" t="s" s="2">
        <v>22</v>
      </c>
    </row>
    <row r="1869" ht="25.0" customHeight="true">
      <c r="A1869" t="s" s="2">
        <v>13</v>
      </c>
      <c r="B1869" t="s" s="2">
        <f>HYPERLINK("http://ts.21cn.com/tousu/show/id/1372129","利息太高")</f>
      </c>
      <c r="C1869" t="s" s="2">
        <v>15</v>
      </c>
      <c r="D1869" t="s" s="2">
        <v>16</v>
      </c>
      <c r="E1869" t="s" s="2">
        <v>17</v>
      </c>
      <c r="F1869" t="s" s="2">
        <f>HYPERLINK("http://ts.21cn.com/tousu/show/id/1372129","http://ts.21cn.com/tousu/show/id/1372129")</f>
      </c>
      <c r="G1869" t="s" s="2">
        <v>17</v>
      </c>
      <c r="H1869" t="s" s="2">
        <v>19</v>
      </c>
      <c r="I1869" t="s" s="2">
        <v>7338</v>
      </c>
      <c r="J1869" t="s" s="2">
        <v>7339</v>
      </c>
      <c r="K1869" t="s" s="2">
        <v>22</v>
      </c>
      <c r="L1869" t="s" s="2">
        <v>22</v>
      </c>
      <c r="M1869" t="s" s="2">
        <v>22</v>
      </c>
    </row>
    <row r="1870" ht="25.0" customHeight="true">
      <c r="A1870" t="s" s="2">
        <v>13</v>
      </c>
      <c r="B1870" t="s" s="2">
        <f>HYPERLINK("http://ts.21cn.com/tousu/show/id/1372126","闪银客服不理人")</f>
      </c>
      <c r="C1870" t="s" s="2">
        <v>15</v>
      </c>
      <c r="D1870" t="s" s="2">
        <v>16</v>
      </c>
      <c r="E1870" t="s" s="2">
        <v>17</v>
      </c>
      <c r="F1870" t="s" s="2">
        <f>HYPERLINK("http://ts.21cn.com/tousu/show/id/1372126","http://ts.21cn.com/tousu/show/id/1372126")</f>
      </c>
      <c r="G1870" t="s" s="2">
        <v>17</v>
      </c>
      <c r="H1870" t="s" s="2">
        <v>19</v>
      </c>
      <c r="I1870" t="s" s="2">
        <v>7342</v>
      </c>
      <c r="J1870" t="s" s="2">
        <v>7343</v>
      </c>
      <c r="K1870" t="s" s="2">
        <v>22</v>
      </c>
      <c r="L1870" t="s" s="2">
        <v>22</v>
      </c>
      <c r="M1870" t="s" s="2">
        <v>22</v>
      </c>
    </row>
    <row r="1871" ht="25.0" customHeight="true">
      <c r="A1871" t="s" s="2">
        <v>13</v>
      </c>
      <c r="B1871" t="s" s="2">
        <f>HYPERLINK("http://ts.21cn.com/tousu/show/id/1372125","投诉月光侠分期阴阳合同，高额砍头息")</f>
      </c>
      <c r="C1871" t="s" s="2">
        <v>15</v>
      </c>
      <c r="D1871" t="s" s="2">
        <v>16</v>
      </c>
      <c r="E1871" t="s" s="2">
        <v>17</v>
      </c>
      <c r="F1871" t="s" s="2">
        <f>HYPERLINK("http://ts.21cn.com/tousu/show/id/1372125","http://ts.21cn.com/tousu/show/id/1372125")</f>
      </c>
      <c r="G1871" t="s" s="2">
        <v>17</v>
      </c>
      <c r="H1871" t="s" s="2">
        <v>19</v>
      </c>
      <c r="I1871" t="s" s="2">
        <v>7346</v>
      </c>
      <c r="J1871" t="s" s="2">
        <v>7347</v>
      </c>
      <c r="K1871" t="s" s="2">
        <v>22</v>
      </c>
      <c r="L1871" t="s" s="2">
        <v>22</v>
      </c>
      <c r="M1871" t="s" s="2">
        <v>22</v>
      </c>
    </row>
    <row r="1872" ht="25.0" customHeight="true">
      <c r="A1872" t="s" s="2">
        <v>13</v>
      </c>
      <c r="B1872" t="s" s="2">
        <f>HYPERLINK("http://ts.21cn.com/tousu/show/id/1372122","钱站高利贷，收取高额管理费")</f>
      </c>
      <c r="C1872" t="s" s="2">
        <v>15</v>
      </c>
      <c r="D1872" t="s" s="2">
        <v>16</v>
      </c>
      <c r="E1872" t="s" s="2">
        <v>17</v>
      </c>
      <c r="F1872" t="s" s="2">
        <f>HYPERLINK("http://ts.21cn.com/tousu/show/id/1372122","http://ts.21cn.com/tousu/show/id/1372122")</f>
      </c>
      <c r="G1872" t="s" s="2">
        <v>17</v>
      </c>
      <c r="H1872" t="s" s="2">
        <v>19</v>
      </c>
      <c r="I1872" t="s" s="2">
        <v>7350</v>
      </c>
      <c r="J1872" t="s" s="2">
        <v>7351</v>
      </c>
      <c r="K1872" t="s" s="2">
        <v>22</v>
      </c>
      <c r="L1872" t="s" s="2">
        <v>22</v>
      </c>
      <c r="M1872" t="s" s="2">
        <v>22</v>
      </c>
    </row>
    <row r="1873" ht="25.0" customHeight="true">
      <c r="A1873" t="s" s="2">
        <v>13</v>
      </c>
      <c r="B1873" t="s" s="2">
        <f>HYPERLINK("http://ts.21cn.com/tousu/show/id/1372123","钱站暴力催收")</f>
      </c>
      <c r="C1873" t="s" s="2">
        <v>15</v>
      </c>
      <c r="D1873" t="s" s="2">
        <v>16</v>
      </c>
      <c r="E1873" t="s" s="2">
        <v>17</v>
      </c>
      <c r="F1873" t="s" s="2">
        <f>HYPERLINK("http://ts.21cn.com/tousu/show/id/1372123","http://ts.21cn.com/tousu/show/id/1372123")</f>
      </c>
      <c r="G1873" t="s" s="2">
        <v>17</v>
      </c>
      <c r="H1873" t="s" s="2">
        <v>19</v>
      </c>
      <c r="I1873" t="s" s="2">
        <v>7354</v>
      </c>
      <c r="J1873" t="s" s="2">
        <v>7355</v>
      </c>
      <c r="K1873" t="s" s="2">
        <v>22</v>
      </c>
      <c r="L1873" t="s" s="2">
        <v>22</v>
      </c>
      <c r="M1873" t="s" s="2">
        <v>22</v>
      </c>
    </row>
    <row r="1874" ht="25.0" customHeight="true">
      <c r="A1874" t="s" s="2">
        <v>13</v>
      </c>
      <c r="B1874" t="s" s="2">
        <f>HYPERLINK("http://ts.21cn.com/tousu/show/id/1372124","暴力催收，骚扰通讯录")</f>
      </c>
      <c r="C1874" t="s" s="2">
        <v>15</v>
      </c>
      <c r="D1874" t="s" s="2">
        <v>16</v>
      </c>
      <c r="E1874" t="s" s="2">
        <v>17</v>
      </c>
      <c r="F1874" t="s" s="2">
        <f>HYPERLINK("http://ts.21cn.com/tousu/show/id/1372124","http://ts.21cn.com/tousu/show/id/1372124")</f>
      </c>
      <c r="G1874" t="s" s="2">
        <v>17</v>
      </c>
      <c r="H1874" t="s" s="2">
        <v>19</v>
      </c>
      <c r="I1874" t="s" s="2">
        <v>7358</v>
      </c>
      <c r="J1874" t="s" s="2">
        <v>7359</v>
      </c>
      <c r="K1874" t="s" s="2">
        <v>22</v>
      </c>
      <c r="L1874" t="s" s="2">
        <v>22</v>
      </c>
      <c r="M1874" t="s" s="2">
        <v>22</v>
      </c>
    </row>
    <row r="1875" ht="25.0" customHeight="true">
      <c r="A1875" t="s" s="2">
        <v>13</v>
      </c>
      <c r="B1875" t="s" s="2">
        <f>HYPERLINK("http://ts.21cn.com/tousu/show/id/1372121","小花钱包用短信呼不停骚扰")</f>
      </c>
      <c r="C1875" t="s" s="2">
        <v>15</v>
      </c>
      <c r="D1875" t="s" s="2">
        <v>16</v>
      </c>
      <c r="E1875" t="s" s="2">
        <v>17</v>
      </c>
      <c r="F1875" t="s" s="2">
        <f>HYPERLINK("http://ts.21cn.com/tousu/show/id/1372121","http://ts.21cn.com/tousu/show/id/1372121")</f>
      </c>
      <c r="G1875" t="s" s="2">
        <v>17</v>
      </c>
      <c r="H1875" t="s" s="2">
        <v>19</v>
      </c>
      <c r="I1875" t="s" s="2">
        <v>7362</v>
      </c>
      <c r="J1875" t="s" s="2">
        <v>7363</v>
      </c>
      <c r="K1875" t="s" s="2">
        <v>22</v>
      </c>
      <c r="L1875" t="s" s="2">
        <v>22</v>
      </c>
      <c r="M1875" t="s" s="2">
        <v>22</v>
      </c>
    </row>
    <row r="1876" ht="25.0" customHeight="true">
      <c r="A1876" t="s" s="2">
        <v>13</v>
      </c>
      <c r="B1876" t="s" s="2">
        <f>HYPERLINK("http://ts.21cn.com/tousu/show/id/1372120","骚扰")</f>
      </c>
      <c r="C1876" t="s" s="2">
        <v>15</v>
      </c>
      <c r="D1876" t="s" s="2">
        <v>16</v>
      </c>
      <c r="E1876" t="s" s="2">
        <v>17</v>
      </c>
      <c r="F1876" t="s" s="2">
        <f>HYPERLINK("http://ts.21cn.com/tousu/show/id/1372120","http://ts.21cn.com/tousu/show/id/1372120")</f>
      </c>
      <c r="G1876" t="s" s="2">
        <v>17</v>
      </c>
      <c r="H1876" t="s" s="2">
        <v>19</v>
      </c>
      <c r="I1876" t="s" s="2">
        <v>7365</v>
      </c>
      <c r="J1876" t="s" s="2">
        <v>7366</v>
      </c>
      <c r="K1876" t="s" s="2">
        <v>22</v>
      </c>
      <c r="L1876" t="s" s="2">
        <v>22</v>
      </c>
      <c r="M1876" t="s" s="2">
        <v>22</v>
      </c>
    </row>
    <row r="1877" ht="25.0" customHeight="true">
      <c r="A1877" t="s" s="2">
        <v>13</v>
      </c>
      <c r="B1877" t="s" s="2">
        <f>HYPERLINK("http://ts.21cn.com/tousu/show/id/1372119","微贷多米贷砍头息")</f>
      </c>
      <c r="C1877" t="s" s="2">
        <v>52</v>
      </c>
      <c r="D1877" t="s" s="2">
        <v>16</v>
      </c>
      <c r="E1877" t="s" s="2">
        <v>17</v>
      </c>
      <c r="F1877" t="s" s="2">
        <f>HYPERLINK("http://ts.21cn.com/tousu/show/id/1372119","http://ts.21cn.com/tousu/show/id/1372119")</f>
      </c>
      <c r="G1877" t="s" s="2">
        <v>17</v>
      </c>
      <c r="H1877" t="s" s="2">
        <v>19</v>
      </c>
      <c r="I1877" t="s" s="2">
        <v>7369</v>
      </c>
      <c r="J1877" t="s" s="2">
        <v>7370</v>
      </c>
      <c r="K1877" t="s" s="2">
        <v>22</v>
      </c>
      <c r="L1877" t="s" s="2">
        <v>22</v>
      </c>
      <c r="M1877" t="s" s="2">
        <v>22</v>
      </c>
    </row>
    <row r="1878" ht="25.0" customHeight="true">
      <c r="A1878" t="s" s="2">
        <v>13</v>
      </c>
      <c r="B1878" t="s" s="2">
        <f>HYPERLINK("http://ts.21cn.com/tousu/show/id/1372106","中信银行侮辱，恐吓")</f>
      </c>
      <c r="C1878" t="s" s="2">
        <v>15</v>
      </c>
      <c r="D1878" t="s" s="2">
        <v>16</v>
      </c>
      <c r="E1878" t="s" s="2">
        <v>17</v>
      </c>
      <c r="F1878" t="s" s="2">
        <f>HYPERLINK("http://ts.21cn.com/tousu/show/id/1372106","http://ts.21cn.com/tousu/show/id/1372106")</f>
      </c>
      <c r="G1878" t="s" s="2">
        <v>17</v>
      </c>
      <c r="H1878" t="s" s="2">
        <v>19</v>
      </c>
      <c r="I1878" t="s" s="2">
        <v>7373</v>
      </c>
      <c r="J1878" t="s" s="2">
        <v>7374</v>
      </c>
      <c r="K1878" t="s" s="2">
        <v>22</v>
      </c>
      <c r="L1878" t="s" s="2">
        <v>22</v>
      </c>
      <c r="M1878" t="s" s="2">
        <v>22</v>
      </c>
    </row>
    <row r="1879" ht="25.0" customHeight="true">
      <c r="A1879" t="s" s="2">
        <v>13</v>
      </c>
      <c r="B1879" t="s" s="2">
        <f>HYPERLINK("http://ts.21cn.com/tousu/show/id/1372118","微博借钱暴力催收")</f>
      </c>
      <c r="C1879" t="s" s="2">
        <v>15</v>
      </c>
      <c r="D1879" t="s" s="2">
        <v>16</v>
      </c>
      <c r="E1879" t="s" s="2">
        <v>17</v>
      </c>
      <c r="F1879" t="s" s="2">
        <f>HYPERLINK("http://ts.21cn.com/tousu/show/id/1372118","http://ts.21cn.com/tousu/show/id/1372118")</f>
      </c>
      <c r="G1879" t="s" s="2">
        <v>17</v>
      </c>
      <c r="H1879" t="s" s="2">
        <v>19</v>
      </c>
      <c r="I1879" t="s" s="2">
        <v>7377</v>
      </c>
      <c r="J1879" t="s" s="2">
        <v>7378</v>
      </c>
      <c r="K1879" t="s" s="2">
        <v>22</v>
      </c>
      <c r="L1879" t="s" s="2">
        <v>22</v>
      </c>
      <c r="M1879" t="s" s="2">
        <v>22</v>
      </c>
    </row>
    <row r="1880" ht="25.0" customHeight="true">
      <c r="A1880" t="s" s="2">
        <v>13</v>
      </c>
      <c r="B1880" t="s" s="2">
        <f>HYPERLINK("http://ts.21cn.com/tousu/show/id/1372117","联通乱扣费")</f>
      </c>
      <c r="C1880" t="s" s="2">
        <v>15</v>
      </c>
      <c r="D1880" t="s" s="2">
        <v>16</v>
      </c>
      <c r="E1880" t="s" s="2">
        <v>17</v>
      </c>
      <c r="F1880" t="s" s="2">
        <f>HYPERLINK("http://ts.21cn.com/tousu/show/id/1372117","http://ts.21cn.com/tousu/show/id/1372117")</f>
      </c>
      <c r="G1880" t="s" s="2">
        <v>17</v>
      </c>
      <c r="H1880" t="s" s="2">
        <v>19</v>
      </c>
      <c r="I1880" t="s" s="2">
        <v>7381</v>
      </c>
      <c r="J1880" t="s" s="2">
        <v>7382</v>
      </c>
      <c r="K1880" t="s" s="2">
        <v>22</v>
      </c>
      <c r="L1880" t="s" s="2">
        <v>22</v>
      </c>
      <c r="M1880" t="s" s="2">
        <v>22</v>
      </c>
    </row>
    <row r="1881" ht="25.0" customHeight="true">
      <c r="A1881" t="s" s="2">
        <v>13</v>
      </c>
      <c r="B1881" t="s" s="2">
        <f>HYPERLINK("http://ts.21cn.com/tousu/show/id/1372115","手游塞尔之光欺骗消费者")</f>
      </c>
      <c r="C1881" t="s" s="2">
        <v>15</v>
      </c>
      <c r="D1881" t="s" s="2">
        <v>16</v>
      </c>
      <c r="E1881" t="s" s="2">
        <v>17</v>
      </c>
      <c r="F1881" t="s" s="2">
        <f>HYPERLINK("http://ts.21cn.com/tousu/show/id/1372115","http://ts.21cn.com/tousu/show/id/1372115")</f>
      </c>
      <c r="G1881" t="s" s="2">
        <v>17</v>
      </c>
      <c r="H1881" t="s" s="2">
        <v>19</v>
      </c>
      <c r="I1881" t="s" s="2">
        <v>7385</v>
      </c>
      <c r="J1881" t="s" s="2">
        <v>7386</v>
      </c>
      <c r="K1881" t="s" s="2">
        <v>22</v>
      </c>
      <c r="L1881" t="s" s="2">
        <v>22</v>
      </c>
      <c r="M1881" t="s" s="2">
        <v>22</v>
      </c>
    </row>
    <row r="1882" ht="25.0" customHeight="true">
      <c r="A1882" t="s" s="2">
        <v>13</v>
      </c>
      <c r="B1882" t="s" s="2">
        <f>HYPERLINK("http://ts.21cn.com/tousu/show/id/1372116","豆豆钱扣去保险费而且利率远超国家法定利率")</f>
      </c>
      <c r="C1882" t="s" s="2">
        <v>15</v>
      </c>
      <c r="D1882" t="s" s="2">
        <v>16</v>
      </c>
      <c r="E1882" t="s" s="2">
        <v>17</v>
      </c>
      <c r="F1882" t="s" s="2">
        <f>HYPERLINK("http://ts.21cn.com/tousu/show/id/1372116","http://ts.21cn.com/tousu/show/id/1372116")</f>
      </c>
      <c r="G1882" t="s" s="2">
        <v>17</v>
      </c>
      <c r="H1882" t="s" s="2">
        <v>19</v>
      </c>
      <c r="I1882" t="s" s="2">
        <v>7389</v>
      </c>
      <c r="J1882" t="s" s="2">
        <v>7390</v>
      </c>
      <c r="K1882" t="s" s="2">
        <v>22</v>
      </c>
      <c r="L1882" t="s" s="2">
        <v>22</v>
      </c>
      <c r="M1882" t="s" s="2">
        <v>22</v>
      </c>
    </row>
    <row r="1883" ht="25.0" customHeight="true">
      <c r="A1883" t="s" s="2">
        <v>13</v>
      </c>
      <c r="B1883" t="s" s="2">
        <f>HYPERLINK("http://ts.21cn.com/tousu/show/id/1372113","合利宝为多家套路贷平台提供高利贷支付渠道造成本人家庭支离破碎")</f>
      </c>
      <c r="C1883" t="s" s="2">
        <v>15</v>
      </c>
      <c r="D1883" t="s" s="2">
        <v>16</v>
      </c>
      <c r="E1883" t="s" s="2">
        <v>17</v>
      </c>
      <c r="F1883" t="s" s="2">
        <f>HYPERLINK("http://ts.21cn.com/tousu/show/id/1372113","http://ts.21cn.com/tousu/show/id/1372113")</f>
      </c>
      <c r="G1883" t="s" s="2">
        <v>17</v>
      </c>
      <c r="H1883" t="s" s="2">
        <v>19</v>
      </c>
      <c r="I1883" t="s" s="2">
        <v>7393</v>
      </c>
      <c r="J1883" t="s" s="2">
        <v>7394</v>
      </c>
      <c r="K1883" t="s" s="2">
        <v>22</v>
      </c>
      <c r="L1883" t="s" s="2">
        <v>22</v>
      </c>
      <c r="M1883" t="s" s="2">
        <v>22</v>
      </c>
    </row>
    <row r="1884" ht="25.0" customHeight="true">
      <c r="A1884" t="s" s="2">
        <v>13</v>
      </c>
      <c r="B1884" t="s" s="2">
        <f>HYPERLINK("http://ts.21cn.com/tousu/show/id/1372114","360借条盗取用户信息，爆我通讯录")</f>
      </c>
      <c r="C1884" t="s" s="2">
        <v>15</v>
      </c>
      <c r="D1884" t="s" s="2">
        <v>16</v>
      </c>
      <c r="E1884" t="s" s="2">
        <v>17</v>
      </c>
      <c r="F1884" t="s" s="2">
        <f>HYPERLINK("http://ts.21cn.com/tousu/show/id/1372114","http://ts.21cn.com/tousu/show/id/1372114")</f>
      </c>
      <c r="G1884" t="s" s="2">
        <v>17</v>
      </c>
      <c r="H1884" t="s" s="2">
        <v>19</v>
      </c>
      <c r="I1884" t="s" s="2">
        <v>7397</v>
      </c>
      <c r="J1884" t="s" s="2">
        <v>7398</v>
      </c>
      <c r="K1884" t="s" s="2">
        <v>22</v>
      </c>
      <c r="L1884" t="s" s="2">
        <v>22</v>
      </c>
      <c r="M1884" t="s" s="2">
        <v>22</v>
      </c>
    </row>
    <row r="1885" ht="25.0" customHeight="true">
      <c r="A1885" t="s" s="2">
        <v>13</v>
      </c>
      <c r="B1885" t="s" s="2">
        <f>HYPERLINK("http://ts.21cn.com/tousu/show/id/1372112","闪电借款变像收取利息")</f>
      </c>
      <c r="C1885" t="s" s="2">
        <v>52</v>
      </c>
      <c r="D1885" t="s" s="2">
        <v>16</v>
      </c>
      <c r="E1885" t="s" s="2">
        <v>17</v>
      </c>
      <c r="F1885" t="s" s="2">
        <f>HYPERLINK("http://ts.21cn.com/tousu/show/id/1372112","http://ts.21cn.com/tousu/show/id/1372112")</f>
      </c>
      <c r="G1885" t="s" s="2">
        <v>17</v>
      </c>
      <c r="H1885" t="s" s="2">
        <v>19</v>
      </c>
      <c r="I1885" t="s" s="2">
        <v>7401</v>
      </c>
      <c r="J1885" t="s" s="2">
        <v>7402</v>
      </c>
      <c r="K1885" t="s" s="2">
        <v>22</v>
      </c>
      <c r="L1885" t="s" s="2">
        <v>22</v>
      </c>
      <c r="M1885" t="s" s="2">
        <v>22</v>
      </c>
    </row>
    <row r="1886" ht="25.0" customHeight="true">
      <c r="A1886" t="s" s="2">
        <v>13</v>
      </c>
      <c r="B1886" t="s" s="2">
        <f>HYPERLINK("http://ts.21cn.com/tousu/show/id/1372111","交易猫卖号被买家恶意仲裁")</f>
      </c>
      <c r="C1886" t="s" s="2">
        <v>15</v>
      </c>
      <c r="D1886" t="s" s="2">
        <v>16</v>
      </c>
      <c r="E1886" t="s" s="2">
        <v>17</v>
      </c>
      <c r="F1886" t="s" s="2">
        <f>HYPERLINK("http://ts.21cn.com/tousu/show/id/1372111","http://ts.21cn.com/tousu/show/id/1372111")</f>
      </c>
      <c r="G1886" t="s" s="2">
        <v>17</v>
      </c>
      <c r="H1886" t="s" s="2">
        <v>19</v>
      </c>
      <c r="I1886" t="s" s="2">
        <v>7405</v>
      </c>
      <c r="J1886" t="s" s="2">
        <v>7406</v>
      </c>
      <c r="K1886" t="s" s="2">
        <v>22</v>
      </c>
      <c r="L1886" t="s" s="2">
        <v>22</v>
      </c>
      <c r="M1886" t="s" s="2">
        <v>22</v>
      </c>
    </row>
    <row r="1887" ht="25.0" customHeight="true">
      <c r="A1887" t="s" s="2">
        <v>13</v>
      </c>
      <c r="B1887" t="s" s="2">
        <f>HYPERLINK("http://ts.21cn.com/tousu/show/id/1372109","苏宁金融暴力催收，")</f>
      </c>
      <c r="C1887" t="s" s="2">
        <v>15</v>
      </c>
      <c r="D1887" t="s" s="2">
        <v>16</v>
      </c>
      <c r="E1887" t="s" s="2">
        <v>17</v>
      </c>
      <c r="F1887" t="s" s="2">
        <f>HYPERLINK("http://ts.21cn.com/tousu/show/id/1372109","http://ts.21cn.com/tousu/show/id/1372109")</f>
      </c>
      <c r="G1887" t="s" s="2">
        <v>17</v>
      </c>
      <c r="H1887" t="s" s="2">
        <v>19</v>
      </c>
      <c r="I1887" t="s" s="2">
        <v>7409</v>
      </c>
      <c r="J1887" t="s" s="2">
        <v>7410</v>
      </c>
      <c r="K1887" t="s" s="2">
        <v>22</v>
      </c>
      <c r="L1887" t="s" s="2">
        <v>22</v>
      </c>
      <c r="M1887" t="s" s="2">
        <v>22</v>
      </c>
    </row>
    <row r="1888" ht="25.0" customHeight="true">
      <c r="A1888" t="s" s="2">
        <v>13</v>
      </c>
      <c r="B1888" t="s" s="2">
        <f>HYPERLINK("http://ts.21cn.com/tousu/show/id/1372110","服务员未提醒有代金券")</f>
      </c>
      <c r="C1888" t="s" s="2">
        <v>52</v>
      </c>
      <c r="D1888" t="s" s="2">
        <v>16</v>
      </c>
      <c r="E1888" t="s" s="2">
        <v>17</v>
      </c>
      <c r="F1888" t="s" s="2">
        <f>HYPERLINK("http://ts.21cn.com/tousu/show/id/1372110","http://ts.21cn.com/tousu/show/id/1372110")</f>
      </c>
      <c r="G1888" t="s" s="2">
        <v>17</v>
      </c>
      <c r="H1888" t="s" s="2">
        <v>19</v>
      </c>
      <c r="I1888" t="s" s="2">
        <v>7413</v>
      </c>
      <c r="J1888" t="s" s="2">
        <v>7414</v>
      </c>
      <c r="K1888" t="s" s="2">
        <v>22</v>
      </c>
      <c r="L1888" t="s" s="2">
        <v>22</v>
      </c>
      <c r="M1888" t="s" s="2">
        <v>22</v>
      </c>
    </row>
    <row r="1889" ht="25.0" customHeight="true">
      <c r="A1889" t="s" s="2">
        <v>13</v>
      </c>
      <c r="B1889" t="s" s="2">
        <f>HYPERLINK("http://ts.21cn.com/tousu/show/id/1372108","电信合同到期不通知注销并一直扣费")</f>
      </c>
      <c r="C1889" t="s" s="2">
        <v>15</v>
      </c>
      <c r="D1889" t="s" s="2">
        <v>16</v>
      </c>
      <c r="E1889" t="s" s="2">
        <v>17</v>
      </c>
      <c r="F1889" t="s" s="2">
        <f>HYPERLINK("http://ts.21cn.com/tousu/show/id/1372108","http://ts.21cn.com/tousu/show/id/1372108")</f>
      </c>
      <c r="G1889" t="s" s="2">
        <v>17</v>
      </c>
      <c r="H1889" t="s" s="2">
        <v>19</v>
      </c>
      <c r="I1889" t="s" s="2">
        <v>7417</v>
      </c>
      <c r="J1889" t="s" s="2">
        <v>7418</v>
      </c>
      <c r="K1889" t="s" s="2">
        <v>22</v>
      </c>
      <c r="L1889" t="s" s="2">
        <v>22</v>
      </c>
      <c r="M1889" t="s" s="2">
        <v>22</v>
      </c>
    </row>
    <row r="1890" ht="25.0" customHeight="true">
      <c r="A1890" t="s" s="2">
        <v>13</v>
      </c>
      <c r="B1890" t="s" s="2">
        <f>HYPERLINK("http://ts.21cn.com/tousu/show/id/1372107","佰仟金融冒充公检法")</f>
      </c>
      <c r="C1890" t="s" s="2">
        <v>15</v>
      </c>
      <c r="D1890" t="s" s="2">
        <v>16</v>
      </c>
      <c r="E1890" t="s" s="2">
        <v>17</v>
      </c>
      <c r="F1890" t="s" s="2">
        <f>HYPERLINK("http://ts.21cn.com/tousu/show/id/1372107","http://ts.21cn.com/tousu/show/id/1372107")</f>
      </c>
      <c r="G1890" t="s" s="2">
        <v>17</v>
      </c>
      <c r="H1890" t="s" s="2">
        <v>19</v>
      </c>
      <c r="I1890" t="s" s="2">
        <v>7421</v>
      </c>
      <c r="J1890" t="s" s="2">
        <v>7422</v>
      </c>
      <c r="K1890" t="s" s="2">
        <v>22</v>
      </c>
      <c r="L1890" t="s" s="2">
        <v>22</v>
      </c>
      <c r="M1890" t="s" s="2">
        <v>22</v>
      </c>
    </row>
    <row r="1891" ht="25.0" customHeight="true">
      <c r="A1891" t="s" s="2">
        <v>13</v>
      </c>
      <c r="B1891" t="s" s="2">
        <f>HYPERLINK("http://ts.21cn.com/tousu/show/id/1372105","东亚银行不当催收，第三方催收")</f>
      </c>
      <c r="C1891" t="s" s="2">
        <v>15</v>
      </c>
      <c r="D1891" t="s" s="2">
        <v>16</v>
      </c>
      <c r="E1891" t="s" s="2">
        <v>17</v>
      </c>
      <c r="F1891" t="s" s="2">
        <f>HYPERLINK("http://ts.21cn.com/tousu/show/id/1372105","http://ts.21cn.com/tousu/show/id/1372105")</f>
      </c>
      <c r="G1891" t="s" s="2">
        <v>17</v>
      </c>
      <c r="H1891" t="s" s="2">
        <v>19</v>
      </c>
      <c r="I1891" t="s" s="2">
        <v>7425</v>
      </c>
      <c r="J1891" t="s" s="2">
        <v>7426</v>
      </c>
      <c r="K1891" t="s" s="2">
        <v>22</v>
      </c>
      <c r="L1891" t="s" s="2">
        <v>22</v>
      </c>
      <c r="M1891" t="s" s="2">
        <v>22</v>
      </c>
    </row>
    <row r="1892" ht="25.0" customHeight="true">
      <c r="A1892" t="s" s="2">
        <v>13</v>
      </c>
      <c r="B1892" t="s" s="2">
        <f>HYPERLINK("http://ts.21cn.com/tousu/show/id/1372104","盗取通许录泄露公民个人隐私")</f>
      </c>
      <c r="C1892" t="s" s="2">
        <v>15</v>
      </c>
      <c r="D1892" t="s" s="2">
        <v>16</v>
      </c>
      <c r="E1892" t="s" s="2">
        <v>17</v>
      </c>
      <c r="F1892" t="s" s="2">
        <f>HYPERLINK("http://ts.21cn.com/tousu/show/id/1372104","http://ts.21cn.com/tousu/show/id/1372104")</f>
      </c>
      <c r="G1892" t="s" s="2">
        <v>17</v>
      </c>
      <c r="H1892" t="s" s="2">
        <v>19</v>
      </c>
      <c r="I1892" t="s" s="2">
        <v>7429</v>
      </c>
      <c r="J1892" t="s" s="2">
        <v>7430</v>
      </c>
      <c r="K1892" t="s" s="2">
        <v>22</v>
      </c>
      <c r="L1892" t="s" s="2">
        <v>22</v>
      </c>
      <c r="M1892" t="s" s="2">
        <v>22</v>
      </c>
    </row>
    <row r="1893" ht="25.0" customHeight="true">
      <c r="A1893" t="s" s="2">
        <v>13</v>
      </c>
      <c r="B1893" t="s" s="2">
        <f>HYPERLINK("http://ts.21cn.com/tousu/show/id/1372102","月光侠高利贷暴力催收")</f>
      </c>
      <c r="C1893" t="s" s="2">
        <v>15</v>
      </c>
      <c r="D1893" t="s" s="2">
        <v>16</v>
      </c>
      <c r="E1893" t="s" s="2">
        <v>17</v>
      </c>
      <c r="F1893" t="s" s="2">
        <f>HYPERLINK("http://ts.21cn.com/tousu/show/id/1372102","http://ts.21cn.com/tousu/show/id/1372102")</f>
      </c>
      <c r="G1893" t="s" s="2">
        <v>17</v>
      </c>
      <c r="H1893" t="s" s="2">
        <v>19</v>
      </c>
      <c r="I1893" t="s" s="2">
        <v>7433</v>
      </c>
      <c r="J1893" t="s" s="2">
        <v>7434</v>
      </c>
      <c r="K1893" t="s" s="2">
        <v>22</v>
      </c>
      <c r="L1893" t="s" s="2">
        <v>22</v>
      </c>
      <c r="M1893" t="s" s="2">
        <v>22</v>
      </c>
    </row>
    <row r="1894" ht="25.0" customHeight="true">
      <c r="A1894" t="s" s="2">
        <v>13</v>
      </c>
      <c r="B1894" t="s" s="2">
        <f>HYPERLINK("http://ts.21cn.com/tousu/show/id/1372103","捷信对债务人三方联系人进行催收，已经严重影响三方联系人的工作和生活")</f>
      </c>
      <c r="C1894" t="s" s="2">
        <v>15</v>
      </c>
      <c r="D1894" t="s" s="2">
        <v>16</v>
      </c>
      <c r="E1894" t="s" s="2">
        <v>17</v>
      </c>
      <c r="F1894" t="s" s="2">
        <f>HYPERLINK("http://ts.21cn.com/tousu/show/id/1372103","http://ts.21cn.com/tousu/show/id/1372103")</f>
      </c>
      <c r="G1894" t="s" s="2">
        <v>17</v>
      </c>
      <c r="H1894" t="s" s="2">
        <v>19</v>
      </c>
      <c r="I1894" t="s" s="2">
        <v>7437</v>
      </c>
      <c r="J1894" t="s" s="2">
        <v>7438</v>
      </c>
      <c r="K1894" t="s" s="2">
        <v>22</v>
      </c>
      <c r="L1894" t="s" s="2">
        <v>22</v>
      </c>
      <c r="M1894" t="s" s="2">
        <v>22</v>
      </c>
    </row>
    <row r="1895" ht="25.0" customHeight="true">
      <c r="A1895" t="s" s="2">
        <v>13</v>
      </c>
      <c r="B1895" t="s" s="2">
        <f>HYPERLINK("http://ts.21cn.com/tousu/show/id/1372101","现金巴士变相砍头息，套路贷收取高额逾期费，大家一起举报报警。")</f>
      </c>
      <c r="C1895" t="s" s="2">
        <v>15</v>
      </c>
      <c r="D1895" t="s" s="2">
        <v>16</v>
      </c>
      <c r="E1895" t="s" s="2">
        <v>17</v>
      </c>
      <c r="F1895" t="s" s="2">
        <f>HYPERLINK("http://ts.21cn.com/tousu/show/id/1372101","http://ts.21cn.com/tousu/show/id/1372101")</f>
      </c>
      <c r="G1895" t="s" s="2">
        <v>17</v>
      </c>
      <c r="H1895" t="s" s="2">
        <v>19</v>
      </c>
      <c r="I1895" t="s" s="2">
        <v>7441</v>
      </c>
      <c r="J1895" t="s" s="2">
        <v>7442</v>
      </c>
      <c r="K1895" t="s" s="2">
        <v>22</v>
      </c>
      <c r="L1895" t="s" s="2">
        <v>22</v>
      </c>
      <c r="M1895" t="s" s="2">
        <v>22</v>
      </c>
    </row>
    <row r="1896" ht="25.0" customHeight="true">
      <c r="A1896" t="s" s="2">
        <v>13</v>
      </c>
      <c r="B1896" t="s" s="2">
        <f>HYPERLINK("http://ts.21cn.com/tousu/show/id/1372100","平安普惠i贷")</f>
      </c>
      <c r="C1896" t="s" s="2">
        <v>15</v>
      </c>
      <c r="D1896" t="s" s="2">
        <v>16</v>
      </c>
      <c r="E1896" t="s" s="2">
        <v>17</v>
      </c>
      <c r="F1896" t="s" s="2">
        <f>HYPERLINK("http://ts.21cn.com/tousu/show/id/1372100","http://ts.21cn.com/tousu/show/id/1372100")</f>
      </c>
      <c r="G1896" t="s" s="2">
        <v>17</v>
      </c>
      <c r="H1896" t="s" s="2">
        <v>19</v>
      </c>
      <c r="I1896" t="s" s="2">
        <v>7445</v>
      </c>
      <c r="J1896" t="s" s="2">
        <v>7446</v>
      </c>
      <c r="K1896" t="s" s="2">
        <v>22</v>
      </c>
      <c r="L1896" t="s" s="2">
        <v>22</v>
      </c>
      <c r="M1896" t="s" s="2">
        <v>22</v>
      </c>
    </row>
    <row r="1897" ht="25.0" customHeight="true">
      <c r="A1897" t="s" s="2">
        <v>13</v>
      </c>
      <c r="B1897" t="s" s="2">
        <f>HYPERLINK("http://ts.21cn.com/tousu/show/id/1372099","兴业消费金融")</f>
      </c>
      <c r="C1897" t="s" s="2">
        <v>52</v>
      </c>
      <c r="D1897" t="s" s="2">
        <v>16</v>
      </c>
      <c r="E1897" t="s" s="2">
        <v>17</v>
      </c>
      <c r="F1897" t="s" s="2">
        <f>HYPERLINK("http://ts.21cn.com/tousu/show/id/1372099","http://ts.21cn.com/tousu/show/id/1372099")</f>
      </c>
      <c r="G1897" t="s" s="2">
        <v>17</v>
      </c>
      <c r="H1897" t="s" s="2">
        <v>19</v>
      </c>
      <c r="I1897" t="s" s="2">
        <v>7448</v>
      </c>
      <c r="J1897" t="s" s="2">
        <v>7449</v>
      </c>
      <c r="K1897" t="s" s="2">
        <v>22</v>
      </c>
      <c r="L1897" t="s" s="2">
        <v>22</v>
      </c>
      <c r="M1897" t="s" s="2">
        <v>22</v>
      </c>
    </row>
    <row r="1898" ht="25.0" customHeight="true">
      <c r="A1898" t="s" s="2">
        <v>13</v>
      </c>
      <c r="B1898" t="s" s="2">
        <f>HYPERLINK("http://ts.21cn.com/tousu/show/id/1372098","没经过同意就扣钱")</f>
      </c>
      <c r="C1898" t="s" s="2">
        <v>52</v>
      </c>
      <c r="D1898" t="s" s="2">
        <v>16</v>
      </c>
      <c r="E1898" t="s" s="2">
        <v>17</v>
      </c>
      <c r="F1898" t="s" s="2">
        <f>HYPERLINK("http://ts.21cn.com/tousu/show/id/1372098","http://ts.21cn.com/tousu/show/id/1372098")</f>
      </c>
      <c r="G1898" t="s" s="2">
        <v>17</v>
      </c>
      <c r="H1898" t="s" s="2">
        <v>19</v>
      </c>
      <c r="I1898" t="s" s="2">
        <v>7452</v>
      </c>
      <c r="J1898" t="s" s="2">
        <v>7453</v>
      </c>
      <c r="K1898" t="s" s="2">
        <v>22</v>
      </c>
      <c r="L1898" t="s" s="2">
        <v>22</v>
      </c>
      <c r="M1898" t="s" s="2">
        <v>22</v>
      </c>
    </row>
    <row r="1899" ht="25.0" customHeight="true">
      <c r="A1899" t="s" s="2">
        <v>13</v>
      </c>
      <c r="B1899" t="s" s="2">
        <f>HYPERLINK("http://ts.21cn.com/tousu/show/id/1372097","平安银行信用卡暴力催收，恶意诽谤，威胁上门")</f>
      </c>
      <c r="C1899" t="s" s="2">
        <v>15</v>
      </c>
      <c r="D1899" t="s" s="2">
        <v>16</v>
      </c>
      <c r="E1899" t="s" s="2">
        <v>17</v>
      </c>
      <c r="F1899" t="s" s="2">
        <f>HYPERLINK("http://ts.21cn.com/tousu/show/id/1372097","http://ts.21cn.com/tousu/show/id/1372097")</f>
      </c>
      <c r="G1899" t="s" s="2">
        <v>17</v>
      </c>
      <c r="H1899" t="s" s="2">
        <v>19</v>
      </c>
      <c r="I1899" t="s" s="2">
        <v>7456</v>
      </c>
      <c r="J1899" t="s" s="2">
        <v>7457</v>
      </c>
      <c r="K1899" t="s" s="2">
        <v>22</v>
      </c>
      <c r="L1899" t="s" s="2">
        <v>22</v>
      </c>
      <c r="M1899" t="s" s="2">
        <v>22</v>
      </c>
    </row>
    <row r="1900" ht="25.0" customHeight="true">
      <c r="A1900" t="s" s="2">
        <v>13</v>
      </c>
      <c r="B1900" t="s" s="2">
        <f>HYPERLINK("http://ts.21cn.com/tousu/show/id/1372096","高利息")</f>
      </c>
      <c r="C1900" t="s" s="2">
        <v>52</v>
      </c>
      <c r="D1900" t="s" s="2">
        <v>16</v>
      </c>
      <c r="E1900" t="s" s="2">
        <v>17</v>
      </c>
      <c r="F1900" t="s" s="2">
        <f>HYPERLINK("http://ts.21cn.com/tousu/show/id/1372096","http://ts.21cn.com/tousu/show/id/1372096")</f>
      </c>
      <c r="G1900" t="s" s="2">
        <v>17</v>
      </c>
      <c r="H1900" t="s" s="2">
        <v>19</v>
      </c>
      <c r="I1900" t="s" s="2">
        <v>7459</v>
      </c>
      <c r="J1900" t="s" s="2">
        <v>7460</v>
      </c>
      <c r="K1900" t="s" s="2">
        <v>22</v>
      </c>
      <c r="L1900" t="s" s="2">
        <v>22</v>
      </c>
      <c r="M1900" t="s" s="2">
        <v>22</v>
      </c>
    </row>
    <row r="1901" ht="25.0" customHeight="true">
      <c r="A1901" t="s" s="2">
        <v>13</v>
      </c>
      <c r="B1901" t="s" s="2">
        <f>HYPERLINK("http://ts.21cn.com/tousu/show/id/1372095","宜人贷群发短信，泄露隐私")</f>
      </c>
      <c r="C1901" t="s" s="2">
        <v>15</v>
      </c>
      <c r="D1901" t="s" s="2">
        <v>16</v>
      </c>
      <c r="E1901" t="s" s="2">
        <v>17</v>
      </c>
      <c r="F1901" t="s" s="2">
        <f>HYPERLINK("http://ts.21cn.com/tousu/show/id/1372095","http://ts.21cn.com/tousu/show/id/1372095")</f>
      </c>
      <c r="G1901" t="s" s="2">
        <v>17</v>
      </c>
      <c r="H1901" t="s" s="2">
        <v>19</v>
      </c>
      <c r="I1901" t="s" s="2">
        <v>7463</v>
      </c>
      <c r="J1901" t="s" s="2">
        <v>7464</v>
      </c>
      <c r="K1901" t="s" s="2">
        <v>22</v>
      </c>
      <c r="L1901" t="s" s="2">
        <v>22</v>
      </c>
      <c r="M1901" t="s" s="2">
        <v>22</v>
      </c>
    </row>
    <row r="1902" ht="25.0" customHeight="true">
      <c r="A1902" t="s" s="2">
        <v>13</v>
      </c>
      <c r="B1902" t="s" s="2">
        <f>HYPERLINK("http://ts.21cn.com/tousu/show/id/1372094","希望千锋培训可以帮我办理退费")</f>
      </c>
      <c r="C1902" t="s" s="2">
        <v>15</v>
      </c>
      <c r="D1902" t="s" s="2">
        <v>16</v>
      </c>
      <c r="E1902" t="s" s="2">
        <v>17</v>
      </c>
      <c r="F1902" t="s" s="2">
        <f>HYPERLINK("http://ts.21cn.com/tousu/show/id/1372094","http://ts.21cn.com/tousu/show/id/1372094")</f>
      </c>
      <c r="G1902" t="s" s="2">
        <v>17</v>
      </c>
      <c r="H1902" t="s" s="2">
        <v>19</v>
      </c>
      <c r="I1902" t="s" s="2">
        <v>7467</v>
      </c>
      <c r="J1902" t="s" s="2">
        <v>7468</v>
      </c>
      <c r="K1902" t="s" s="2">
        <v>22</v>
      </c>
      <c r="L1902" t="s" s="2">
        <v>22</v>
      </c>
      <c r="M1902" t="s" s="2">
        <v>22</v>
      </c>
    </row>
    <row r="1903" ht="25.0" customHeight="true">
      <c r="A1903" t="s" s="2">
        <v>13</v>
      </c>
      <c r="B1903" t="s" s="2">
        <f>HYPERLINK("http://ts.21cn.com/tousu/show/id/1372092","富友支付为违法套路贷提供支付渠道")</f>
      </c>
      <c r="C1903" t="s" s="2">
        <v>15</v>
      </c>
      <c r="D1903" t="s" s="2">
        <v>16</v>
      </c>
      <c r="E1903" t="s" s="2">
        <v>17</v>
      </c>
      <c r="F1903" t="s" s="2">
        <f>HYPERLINK("http://ts.21cn.com/tousu/show/id/1372092","http://ts.21cn.com/tousu/show/id/1372092")</f>
      </c>
      <c r="G1903" t="s" s="2">
        <v>17</v>
      </c>
      <c r="H1903" t="s" s="2">
        <v>19</v>
      </c>
      <c r="I1903" t="s" s="2">
        <v>7471</v>
      </c>
      <c r="J1903" t="s" s="2">
        <v>7472</v>
      </c>
      <c r="K1903" t="s" s="2">
        <v>22</v>
      </c>
      <c r="L1903" t="s" s="2">
        <v>22</v>
      </c>
      <c r="M1903" t="s" s="2">
        <v>22</v>
      </c>
    </row>
    <row r="1904" ht="25.0" customHeight="true">
      <c r="A1904" t="s" s="2">
        <v>13</v>
      </c>
      <c r="B1904" t="s" s="2">
        <f>HYPERLINK("http://ts.21cn.com/tousu/show/id/1372093","大家看看不要脸的富友支付")</f>
      </c>
      <c r="C1904" t="s" s="2">
        <v>15</v>
      </c>
      <c r="D1904" t="s" s="2">
        <v>16</v>
      </c>
      <c r="E1904" t="s" s="2">
        <v>17</v>
      </c>
      <c r="F1904" t="s" s="2">
        <f>HYPERLINK("http://ts.21cn.com/tousu/show/id/1372093","http://ts.21cn.com/tousu/show/id/1372093")</f>
      </c>
      <c r="G1904" t="s" s="2">
        <v>17</v>
      </c>
      <c r="H1904" t="s" s="2">
        <v>19</v>
      </c>
      <c r="I1904" t="s" s="2">
        <v>7475</v>
      </c>
      <c r="J1904" t="s" s="2">
        <v>7476</v>
      </c>
      <c r="K1904" t="s" s="2">
        <v>22</v>
      </c>
      <c r="L1904" t="s" s="2">
        <v>22</v>
      </c>
      <c r="M1904" t="s" s="2">
        <v>22</v>
      </c>
    </row>
    <row r="1905" ht="25.0" customHeight="true">
      <c r="A1905" t="s" s="2">
        <v>13</v>
      </c>
      <c r="B1905" t="s" s="2">
        <f>HYPERLINK("http://ts.21cn.com/tousu/show/id/1372091","去哪儿网拒不提供机票行程单")</f>
      </c>
      <c r="C1905" t="s" s="2">
        <v>52</v>
      </c>
      <c r="D1905" t="s" s="2">
        <v>16</v>
      </c>
      <c r="E1905" t="s" s="2">
        <v>17</v>
      </c>
      <c r="F1905" t="s" s="2">
        <f>HYPERLINK("http://ts.21cn.com/tousu/show/id/1372091","http://ts.21cn.com/tousu/show/id/1372091")</f>
      </c>
      <c r="G1905" t="s" s="2">
        <v>17</v>
      </c>
      <c r="H1905" t="s" s="2">
        <v>19</v>
      </c>
      <c r="I1905" t="s" s="2">
        <v>7479</v>
      </c>
      <c r="J1905" t="s" s="2">
        <v>7480</v>
      </c>
      <c r="K1905" t="s" s="2">
        <v>22</v>
      </c>
      <c r="L1905" t="s" s="2">
        <v>22</v>
      </c>
      <c r="M1905" t="s" s="2">
        <v>22</v>
      </c>
    </row>
    <row r="1906" ht="25.0" customHeight="true">
      <c r="A1906" t="s" s="2">
        <v>13</v>
      </c>
      <c r="B1906" t="s" s="2">
        <f>HYPERLINK("http://ts.21cn.com/tousu/show/id/1372090","收取砍头息。不支持结清")</f>
      </c>
      <c r="C1906" t="s" s="2">
        <v>15</v>
      </c>
      <c r="D1906" t="s" s="2">
        <v>16</v>
      </c>
      <c r="E1906" t="s" s="2">
        <v>17</v>
      </c>
      <c r="F1906" t="s" s="2">
        <f>HYPERLINK("http://ts.21cn.com/tousu/show/id/1372090","http://ts.21cn.com/tousu/show/id/1372090")</f>
      </c>
      <c r="G1906" t="s" s="2">
        <v>17</v>
      </c>
      <c r="H1906" t="s" s="2">
        <v>19</v>
      </c>
      <c r="I1906" t="s" s="2">
        <v>7483</v>
      </c>
      <c r="J1906" t="s" s="2">
        <v>7484</v>
      </c>
      <c r="K1906" t="s" s="2">
        <v>22</v>
      </c>
      <c r="L1906" t="s" s="2">
        <v>22</v>
      </c>
      <c r="M1906" t="s" s="2">
        <v>22</v>
      </c>
    </row>
    <row r="1907" ht="25.0" customHeight="true">
      <c r="A1907" t="s" s="2">
        <v>13</v>
      </c>
      <c r="B1907" t="s" s="2">
        <f>HYPERLINK("http://ts.21cn.com/tousu/show/id/1372089","恶意骚扰")</f>
      </c>
      <c r="C1907" t="s" s="2">
        <v>15</v>
      </c>
      <c r="D1907" t="s" s="2">
        <v>16</v>
      </c>
      <c r="E1907" t="s" s="2">
        <v>17</v>
      </c>
      <c r="F1907" t="s" s="2">
        <f>HYPERLINK("http://ts.21cn.com/tousu/show/id/1372089","http://ts.21cn.com/tousu/show/id/1372089")</f>
      </c>
      <c r="G1907" t="s" s="2">
        <v>17</v>
      </c>
      <c r="H1907" t="s" s="2">
        <v>19</v>
      </c>
      <c r="I1907" t="s" s="2">
        <v>7486</v>
      </c>
      <c r="J1907" t="s" s="2">
        <v>7487</v>
      </c>
      <c r="K1907" t="s" s="2">
        <v>22</v>
      </c>
      <c r="L1907" t="s" s="2">
        <v>22</v>
      </c>
      <c r="M1907" t="s" s="2">
        <v>22</v>
      </c>
    </row>
    <row r="1908" ht="25.0" customHeight="true">
      <c r="A1908" t="s" s="2">
        <v>13</v>
      </c>
      <c r="B1908" t="s" s="2">
        <f>HYPERLINK("http://ts.21cn.com/tousu/show/id/1372088","my钱包网贷平台高利贷，高额砍头息，暴利催收")</f>
      </c>
      <c r="C1908" t="s" s="2">
        <v>15</v>
      </c>
      <c r="D1908" t="s" s="2">
        <v>16</v>
      </c>
      <c r="E1908" t="s" s="2">
        <v>17</v>
      </c>
      <c r="F1908" t="s" s="2">
        <f>HYPERLINK("http://ts.21cn.com/tousu/show/id/1372088","http://ts.21cn.com/tousu/show/id/1372088")</f>
      </c>
      <c r="G1908" t="s" s="2">
        <v>17</v>
      </c>
      <c r="H1908" t="s" s="2">
        <v>19</v>
      </c>
      <c r="I1908" t="s" s="2">
        <v>7490</v>
      </c>
      <c r="J1908" t="s" s="2">
        <v>6970</v>
      </c>
      <c r="K1908" t="s" s="2">
        <v>22</v>
      </c>
      <c r="L1908" t="s" s="2">
        <v>22</v>
      </c>
      <c r="M1908" t="s" s="2">
        <v>22</v>
      </c>
    </row>
    <row r="1909" ht="25.0" customHeight="true">
      <c r="A1909" t="s" s="2">
        <v>13</v>
      </c>
      <c r="B1909" t="s" s="2">
        <f>HYPERLINK("http://ts.21cn.com/tousu/show/id/1372087","爱奇艺优智借暴力催收")</f>
      </c>
      <c r="C1909" t="s" s="2">
        <v>15</v>
      </c>
      <c r="D1909" t="s" s="2">
        <v>16</v>
      </c>
      <c r="E1909" t="s" s="2">
        <v>17</v>
      </c>
      <c r="F1909" t="s" s="2">
        <f>HYPERLINK("http://ts.21cn.com/tousu/show/id/1372087","http://ts.21cn.com/tousu/show/id/1372087")</f>
      </c>
      <c r="G1909" t="s" s="2">
        <v>17</v>
      </c>
      <c r="H1909" t="s" s="2">
        <v>19</v>
      </c>
      <c r="I1909" t="s" s="2">
        <v>7493</v>
      </c>
      <c r="J1909" t="s" s="2">
        <v>7494</v>
      </c>
      <c r="K1909" t="s" s="2">
        <v>22</v>
      </c>
      <c r="L1909" t="s" s="2">
        <v>22</v>
      </c>
      <c r="M1909" t="s" s="2">
        <v>22</v>
      </c>
    </row>
    <row r="1910" ht="25.0" customHeight="true">
      <c r="A1910" t="s" s="2">
        <v>13</v>
      </c>
      <c r="B1910" t="s" s="2">
        <f>HYPERLINK("http://ts.21cn.com/tousu/show/id/1372086","恶意捆绑保险")</f>
      </c>
      <c r="C1910" t="s" s="2">
        <v>15</v>
      </c>
      <c r="D1910" t="s" s="2">
        <v>16</v>
      </c>
      <c r="E1910" t="s" s="2">
        <v>17</v>
      </c>
      <c r="F1910" t="s" s="2">
        <f>HYPERLINK("http://ts.21cn.com/tousu/show/id/1372086","http://ts.21cn.com/tousu/show/id/1372086")</f>
      </c>
      <c r="G1910" t="s" s="2">
        <v>17</v>
      </c>
      <c r="H1910" t="s" s="2">
        <v>19</v>
      </c>
      <c r="I1910" t="s" s="2">
        <v>7497</v>
      </c>
      <c r="J1910" t="s" s="2">
        <v>7498</v>
      </c>
      <c r="K1910" t="s" s="2">
        <v>22</v>
      </c>
      <c r="L1910" t="s" s="2">
        <v>22</v>
      </c>
      <c r="M1910" t="s" s="2">
        <v>22</v>
      </c>
    </row>
    <row r="1911" ht="25.0" customHeight="true">
      <c r="A1911" t="s" s="2">
        <v>13</v>
      </c>
      <c r="B1911" t="s" s="2">
        <f>HYPERLINK("http://ts.21cn.com/tousu/show/id/1372085","信而富答应退款现在却不退")</f>
      </c>
      <c r="C1911" t="s" s="2">
        <v>15</v>
      </c>
      <c r="D1911" t="s" s="2">
        <v>16</v>
      </c>
      <c r="E1911" t="s" s="2">
        <v>17</v>
      </c>
      <c r="F1911" t="s" s="2">
        <f>HYPERLINK("http://ts.21cn.com/tousu/show/id/1372085","http://ts.21cn.com/tousu/show/id/1372085")</f>
      </c>
      <c r="G1911" t="s" s="2">
        <v>17</v>
      </c>
      <c r="H1911" t="s" s="2">
        <v>19</v>
      </c>
      <c r="I1911" t="s" s="2">
        <v>7501</v>
      </c>
      <c r="J1911" t="s" s="2">
        <v>7502</v>
      </c>
      <c r="K1911" t="s" s="2">
        <v>22</v>
      </c>
      <c r="L1911" t="s" s="2">
        <v>22</v>
      </c>
      <c r="M1911" t="s" s="2">
        <v>22</v>
      </c>
    </row>
    <row r="1912" ht="25.0" customHeight="true">
      <c r="A1912" t="s" s="2">
        <v>13</v>
      </c>
      <c r="B1912" t="s" s="2">
        <f>HYPERLINK("http://ts.21cn.com/tousu/show/id/1372084","建设银行信用卡恐吓，暴力，")</f>
      </c>
      <c r="C1912" t="s" s="2">
        <v>15</v>
      </c>
      <c r="D1912" t="s" s="2">
        <v>16</v>
      </c>
      <c r="E1912" t="s" s="2">
        <v>17</v>
      </c>
      <c r="F1912" t="s" s="2">
        <f>HYPERLINK("http://ts.21cn.com/tousu/show/id/1372084","http://ts.21cn.com/tousu/show/id/1372084")</f>
      </c>
      <c r="G1912" t="s" s="2">
        <v>17</v>
      </c>
      <c r="H1912" t="s" s="2">
        <v>19</v>
      </c>
      <c r="I1912" t="s" s="2">
        <v>7505</v>
      </c>
      <c r="J1912" t="s" s="2">
        <v>7506</v>
      </c>
      <c r="K1912" t="s" s="2">
        <v>22</v>
      </c>
      <c r="L1912" t="s" s="2">
        <v>22</v>
      </c>
      <c r="M1912" t="s" s="2">
        <v>22</v>
      </c>
    </row>
    <row r="1913" ht="25.0" customHeight="true">
      <c r="A1913" t="s" s="2">
        <v>13</v>
      </c>
      <c r="B1913" t="s" s="2">
        <f>HYPERLINK("http://ts.21cn.com/tousu/show/id/1372083","捷信金融严重骚扰")</f>
      </c>
      <c r="C1913" t="s" s="2">
        <v>15</v>
      </c>
      <c r="D1913" t="s" s="2">
        <v>16</v>
      </c>
      <c r="E1913" t="s" s="2">
        <v>17</v>
      </c>
      <c r="F1913" t="s" s="2">
        <f>HYPERLINK("http://ts.21cn.com/tousu/show/id/1372083","http://ts.21cn.com/tousu/show/id/1372083")</f>
      </c>
      <c r="G1913" t="s" s="2">
        <v>17</v>
      </c>
      <c r="H1913" t="s" s="2">
        <v>19</v>
      </c>
      <c r="I1913" t="s" s="2">
        <v>7509</v>
      </c>
      <c r="J1913" t="s" s="2">
        <v>7510</v>
      </c>
      <c r="K1913" t="s" s="2">
        <v>22</v>
      </c>
      <c r="L1913" t="s" s="2">
        <v>22</v>
      </c>
      <c r="M1913" t="s" s="2">
        <v>22</v>
      </c>
    </row>
    <row r="1914" ht="25.0" customHeight="true">
      <c r="A1914" t="s" s="2">
        <v>13</v>
      </c>
      <c r="B1914" t="s" s="2">
        <f>HYPERLINK("http://ts.21cn.com/tousu/show/id/1372082","你我贷归还砍头息暴力催收")</f>
      </c>
      <c r="C1914" t="s" s="2">
        <v>15</v>
      </c>
      <c r="D1914" t="s" s="2">
        <v>16</v>
      </c>
      <c r="E1914" t="s" s="2">
        <v>17</v>
      </c>
      <c r="F1914" t="s" s="2">
        <f>HYPERLINK("http://ts.21cn.com/tousu/show/id/1372082","http://ts.21cn.com/tousu/show/id/1372082")</f>
      </c>
      <c r="G1914" t="s" s="2">
        <v>17</v>
      </c>
      <c r="H1914" t="s" s="2">
        <v>19</v>
      </c>
      <c r="I1914" t="s" s="2">
        <v>7513</v>
      </c>
      <c r="J1914" t="s" s="2">
        <v>7514</v>
      </c>
      <c r="K1914" t="s" s="2">
        <v>22</v>
      </c>
      <c r="L1914" t="s" s="2">
        <v>22</v>
      </c>
      <c r="M1914" t="s" s="2">
        <v>22</v>
      </c>
    </row>
    <row r="1915" ht="25.0" customHeight="true">
      <c r="A1915" t="s" s="2">
        <v>13</v>
      </c>
      <c r="B1915" t="s" s="2">
        <f>HYPERLINK("http://ts.21cn.com/tousu/show/id/1372081","非法扣去报费")</f>
      </c>
      <c r="C1915" t="s" s="2">
        <v>15</v>
      </c>
      <c r="D1915" t="s" s="2">
        <v>16</v>
      </c>
      <c r="E1915" t="s" s="2">
        <v>17</v>
      </c>
      <c r="F1915" t="s" s="2">
        <f>HYPERLINK("http://ts.21cn.com/tousu/show/id/1372081","http://ts.21cn.com/tousu/show/id/1372081")</f>
      </c>
      <c r="G1915" t="s" s="2">
        <v>17</v>
      </c>
      <c r="H1915" t="s" s="2">
        <v>19</v>
      </c>
      <c r="I1915" t="s" s="2">
        <v>7517</v>
      </c>
      <c r="J1915" t="s" s="2">
        <v>7518</v>
      </c>
      <c r="K1915" t="s" s="2">
        <v>22</v>
      </c>
      <c r="L1915" t="s" s="2">
        <v>22</v>
      </c>
      <c r="M1915" t="s" s="2">
        <v>22</v>
      </c>
    </row>
    <row r="1916" ht="25.0" customHeight="true">
      <c r="A1916" t="s" s="2">
        <v>13</v>
      </c>
      <c r="B1916" t="s" s="2">
        <f>HYPERLINK("http://ts.21cn.com/tousu/show/id/1372080","微信支付冻结个人资产")</f>
      </c>
      <c r="C1916" t="s" s="2">
        <v>15</v>
      </c>
      <c r="D1916" t="s" s="2">
        <v>16</v>
      </c>
      <c r="E1916" t="s" s="2">
        <v>17</v>
      </c>
      <c r="F1916" t="s" s="2">
        <f>HYPERLINK("http://ts.21cn.com/tousu/show/id/1372080","http://ts.21cn.com/tousu/show/id/1372080")</f>
      </c>
      <c r="G1916" t="s" s="2">
        <v>17</v>
      </c>
      <c r="H1916" t="s" s="2">
        <v>19</v>
      </c>
      <c r="I1916" t="s" s="2">
        <v>7521</v>
      </c>
      <c r="J1916" t="s" s="2">
        <v>7522</v>
      </c>
      <c r="K1916" t="s" s="2">
        <v>22</v>
      </c>
      <c r="L1916" t="s" s="2">
        <v>22</v>
      </c>
      <c r="M1916" t="s" s="2">
        <v>22</v>
      </c>
    </row>
    <row r="1917" ht="25.0" customHeight="true">
      <c r="A1917" t="s" s="2">
        <v>13</v>
      </c>
      <c r="B1917" t="s" s="2">
        <f>HYPERLINK("http://ts.21cn.com/tousu/show/id/1372078","高利贷，暴利催款，曝光通讯录，砍头息，电话威胁，发短信向恶骂我，以我的身份给家人和朋友，不提供合同")</f>
      </c>
      <c r="C1917" t="s" s="2">
        <v>15</v>
      </c>
      <c r="D1917" t="s" s="2">
        <v>16</v>
      </c>
      <c r="E1917" t="s" s="2">
        <v>17</v>
      </c>
      <c r="F1917" t="s" s="2">
        <f>HYPERLINK("http://ts.21cn.com/tousu/show/id/1372078","http://ts.21cn.com/tousu/show/id/1372078")</f>
      </c>
      <c r="G1917" t="s" s="2">
        <v>17</v>
      </c>
      <c r="H1917" t="s" s="2">
        <v>19</v>
      </c>
      <c r="I1917" t="s" s="2">
        <v>7525</v>
      </c>
      <c r="J1917" t="s" s="2">
        <v>7526</v>
      </c>
      <c r="K1917" t="s" s="2">
        <v>22</v>
      </c>
      <c r="L1917" t="s" s="2">
        <v>22</v>
      </c>
      <c r="M1917" t="s" s="2">
        <v>22</v>
      </c>
    </row>
    <row r="1918" ht="25.0" customHeight="true">
      <c r="A1918" t="s" s="2">
        <v>13</v>
      </c>
      <c r="B1918" t="s" s="2">
        <f>HYPERLINK("http://ts.21cn.com/tousu/show/id/1372079","网络套路贷款")</f>
      </c>
      <c r="C1918" t="s" s="2">
        <v>15</v>
      </c>
      <c r="D1918" t="s" s="2">
        <v>16</v>
      </c>
      <c r="E1918" t="s" s="2">
        <v>17</v>
      </c>
      <c r="F1918" t="s" s="2">
        <f>HYPERLINK("http://ts.21cn.com/tousu/show/id/1372079","http://ts.21cn.com/tousu/show/id/1372079")</f>
      </c>
      <c r="G1918" t="s" s="2">
        <v>17</v>
      </c>
      <c r="H1918" t="s" s="2">
        <v>19</v>
      </c>
      <c r="I1918" t="s" s="2">
        <v>7529</v>
      </c>
      <c r="J1918" t="s" s="2">
        <v>7530</v>
      </c>
      <c r="K1918" t="s" s="2">
        <v>22</v>
      </c>
      <c r="L1918" t="s" s="2">
        <v>22</v>
      </c>
      <c r="M1918" t="s" s="2">
        <v>22</v>
      </c>
    </row>
    <row r="1919" ht="25.0" customHeight="true">
      <c r="A1919" t="s" s="2">
        <v>13</v>
      </c>
      <c r="B1919" t="s" s="2">
        <f>HYPERLINK("http://ts.21cn.com/tousu/show/id/1372077","聚福钱包未经许可私自扣款")</f>
      </c>
      <c r="C1919" t="s" s="2">
        <v>15</v>
      </c>
      <c r="D1919" t="s" s="2">
        <v>16</v>
      </c>
      <c r="E1919" t="s" s="2">
        <v>17</v>
      </c>
      <c r="F1919" t="s" s="2">
        <f>HYPERLINK("http://ts.21cn.com/tousu/show/id/1372077","http://ts.21cn.com/tousu/show/id/1372077")</f>
      </c>
      <c r="G1919" t="s" s="2">
        <v>17</v>
      </c>
      <c r="H1919" t="s" s="2">
        <v>19</v>
      </c>
      <c r="I1919" t="s" s="2">
        <v>7532</v>
      </c>
      <c r="J1919" t="s" s="2">
        <v>7533</v>
      </c>
      <c r="K1919" t="s" s="2">
        <v>22</v>
      </c>
      <c r="L1919" t="s" s="2">
        <v>22</v>
      </c>
      <c r="M1919" t="s" s="2">
        <v>22</v>
      </c>
    </row>
    <row r="1920" ht="25.0" customHeight="true">
      <c r="A1920" t="s" s="2">
        <v>13</v>
      </c>
      <c r="B1920" t="s" s="2">
        <f>HYPERLINK("http://ts.21cn.com/tousu/show/id/1372076","支付宝不愿意协商还款，第三方催收态度很恶劣，威胁恐吓并且侮辱人。")</f>
      </c>
      <c r="C1920" t="s" s="2">
        <v>15</v>
      </c>
      <c r="D1920" t="s" s="2">
        <v>16</v>
      </c>
      <c r="E1920" t="s" s="2">
        <v>17</v>
      </c>
      <c r="F1920" t="s" s="2">
        <f>HYPERLINK("http://ts.21cn.com/tousu/show/id/1372076","http://ts.21cn.com/tousu/show/id/1372076")</f>
      </c>
      <c r="G1920" t="s" s="2">
        <v>17</v>
      </c>
      <c r="H1920" t="s" s="2">
        <v>19</v>
      </c>
      <c r="I1920" t="s" s="2">
        <v>7536</v>
      </c>
      <c r="J1920" t="s" s="2">
        <v>7537</v>
      </c>
      <c r="K1920" t="s" s="2">
        <v>22</v>
      </c>
      <c r="L1920" t="s" s="2">
        <v>22</v>
      </c>
      <c r="M1920" t="s" s="2">
        <v>22</v>
      </c>
    </row>
    <row r="1921" ht="25.0" customHeight="true">
      <c r="A1921" t="s" s="2">
        <v>13</v>
      </c>
      <c r="B1921" t="s" s="2">
        <f>HYPERLINK("http://ts.21cn.com/tousu/show/id/1372074","慧金宝敏付科技违规为赌博行业提供支付渠道")</f>
      </c>
      <c r="C1921" t="s" s="2">
        <v>15</v>
      </c>
      <c r="D1921" t="s" s="2">
        <v>16</v>
      </c>
      <c r="E1921" t="s" s="2">
        <v>17</v>
      </c>
      <c r="F1921" t="s" s="2">
        <f>HYPERLINK("http://ts.21cn.com/tousu/show/id/1372074","http://ts.21cn.com/tousu/show/id/1372074")</f>
      </c>
      <c r="G1921" t="s" s="2">
        <v>17</v>
      </c>
      <c r="H1921" t="s" s="2">
        <v>19</v>
      </c>
      <c r="I1921" t="s" s="2">
        <v>7540</v>
      </c>
      <c r="J1921" t="s" s="2">
        <v>7541</v>
      </c>
      <c r="K1921" t="s" s="2">
        <v>22</v>
      </c>
      <c r="L1921" t="s" s="2">
        <v>22</v>
      </c>
      <c r="M1921" t="s" s="2">
        <v>22</v>
      </c>
    </row>
    <row r="1922" ht="25.0" customHeight="true">
      <c r="A1922" t="s" s="2">
        <v>13</v>
      </c>
      <c r="B1922" t="s" s="2">
        <f>HYPERLINK("http://ts.21cn.com/tousu/show/id/1372075","超级高利贷！1750元到账1130元")</f>
      </c>
      <c r="C1922" t="s" s="2">
        <v>15</v>
      </c>
      <c r="D1922" t="s" s="2">
        <v>16</v>
      </c>
      <c r="E1922" t="s" s="2">
        <v>17</v>
      </c>
      <c r="F1922" t="s" s="2">
        <f>HYPERLINK("http://ts.21cn.com/tousu/show/id/1372075","http://ts.21cn.com/tousu/show/id/1372075")</f>
      </c>
      <c r="G1922" t="s" s="2">
        <v>17</v>
      </c>
      <c r="H1922" t="s" s="2">
        <v>19</v>
      </c>
      <c r="I1922" t="s" s="2">
        <v>7544</v>
      </c>
      <c r="J1922" t="s" s="2">
        <v>7545</v>
      </c>
      <c r="K1922" t="s" s="2">
        <v>22</v>
      </c>
      <c r="L1922" t="s" s="2">
        <v>22</v>
      </c>
      <c r="M1922" t="s" s="2">
        <v>22</v>
      </c>
    </row>
    <row r="1923" ht="25.0" customHeight="true">
      <c r="A1923" t="s" s="2">
        <v>13</v>
      </c>
      <c r="B1923" t="s" s="2">
        <f>HYPERLINK("http://ts.21cn.com/tousu/show/id/1372073","没有任何验证码就可以扣我银行卡的钱？")</f>
      </c>
      <c r="C1923" t="s" s="2">
        <v>15</v>
      </c>
      <c r="D1923" t="s" s="2">
        <v>16</v>
      </c>
      <c r="E1923" t="s" s="2">
        <v>17</v>
      </c>
      <c r="F1923" t="s" s="2">
        <f>HYPERLINK("http://ts.21cn.com/tousu/show/id/1372073","http://ts.21cn.com/tousu/show/id/1372073")</f>
      </c>
      <c r="G1923" t="s" s="2">
        <v>17</v>
      </c>
      <c r="H1923" t="s" s="2">
        <v>19</v>
      </c>
      <c r="I1923" t="s" s="2">
        <v>7548</v>
      </c>
      <c r="J1923" t="s" s="2">
        <v>7549</v>
      </c>
      <c r="K1923" t="s" s="2">
        <v>22</v>
      </c>
      <c r="L1923" t="s" s="2">
        <v>22</v>
      </c>
      <c r="M1923" t="s" s="2">
        <v>22</v>
      </c>
    </row>
    <row r="1924" ht="25.0" customHeight="true">
      <c r="A1924" t="s" s="2">
        <v>13</v>
      </c>
      <c r="B1924" t="s" s="2">
        <f>HYPERLINK("http://ts.21cn.com/tousu/show/id/1372072","关于中国银行减免违约金不给减免")</f>
      </c>
      <c r="C1924" t="s" s="2">
        <v>15</v>
      </c>
      <c r="D1924" t="s" s="2">
        <v>16</v>
      </c>
      <c r="E1924" t="s" s="2">
        <v>17</v>
      </c>
      <c r="F1924" t="s" s="2">
        <f>HYPERLINK("http://ts.21cn.com/tousu/show/id/1372072","http://ts.21cn.com/tousu/show/id/1372072")</f>
      </c>
      <c r="G1924" t="s" s="2">
        <v>17</v>
      </c>
      <c r="H1924" t="s" s="2">
        <v>19</v>
      </c>
      <c r="I1924" t="s" s="2">
        <v>7552</v>
      </c>
      <c r="J1924" t="s" s="2">
        <v>7553</v>
      </c>
      <c r="K1924" t="s" s="2">
        <v>22</v>
      </c>
      <c r="L1924" t="s" s="2">
        <v>22</v>
      </c>
      <c r="M1924" t="s" s="2">
        <v>22</v>
      </c>
    </row>
    <row r="1925" ht="25.0" customHeight="true">
      <c r="A1925" t="s" s="2">
        <v>13</v>
      </c>
      <c r="B1925" t="s" s="2">
        <f>HYPERLINK("http://ts.21cn.com/tousu/show/id/1372071","超高利息催收")</f>
      </c>
      <c r="C1925" t="s" s="2">
        <v>15</v>
      </c>
      <c r="D1925" t="s" s="2">
        <v>16</v>
      </c>
      <c r="E1925" t="s" s="2">
        <v>17</v>
      </c>
      <c r="F1925" t="s" s="2">
        <f>HYPERLINK("http://ts.21cn.com/tousu/show/id/1372071","http://ts.21cn.com/tousu/show/id/1372071")</f>
      </c>
      <c r="G1925" t="s" s="2">
        <v>17</v>
      </c>
      <c r="H1925" t="s" s="2">
        <v>19</v>
      </c>
      <c r="I1925" t="s" s="2">
        <v>7552</v>
      </c>
      <c r="J1925" t="s" s="2">
        <v>7556</v>
      </c>
      <c r="K1925" t="s" s="2">
        <v>22</v>
      </c>
      <c r="L1925" t="s" s="2">
        <v>22</v>
      </c>
      <c r="M1925" t="s" s="2">
        <v>22</v>
      </c>
    </row>
    <row r="1926" ht="25.0" customHeight="true">
      <c r="A1926" t="s" s="2">
        <v>13</v>
      </c>
      <c r="B1926" t="s" s="2">
        <f>HYPERLINK("http://ts.21cn.com/tousu/show/id/1372069","京东霸王条款，天价罚款，小卖家无力承担，弱势群体，就只能听天由命吗？")</f>
      </c>
      <c r="C1926" t="s" s="2">
        <v>15</v>
      </c>
      <c r="D1926" t="s" s="2">
        <v>16</v>
      </c>
      <c r="E1926" t="s" s="2">
        <v>17</v>
      </c>
      <c r="F1926" t="s" s="2">
        <f>HYPERLINK("http://ts.21cn.com/tousu/show/id/1372069","http://ts.21cn.com/tousu/show/id/1372069")</f>
      </c>
      <c r="G1926" t="s" s="2">
        <v>17</v>
      </c>
      <c r="H1926" t="s" s="2">
        <v>19</v>
      </c>
      <c r="I1926" t="s" s="2">
        <v>7559</v>
      </c>
      <c r="J1926" t="s" s="2">
        <v>7560</v>
      </c>
      <c r="K1926" t="s" s="2">
        <v>22</v>
      </c>
      <c r="L1926" t="s" s="2">
        <v>22</v>
      </c>
      <c r="M1926" t="s" s="2">
        <v>22</v>
      </c>
    </row>
    <row r="1927" ht="25.0" customHeight="true">
      <c r="A1927" t="s" s="2">
        <v>13</v>
      </c>
      <c r="B1927" t="s" s="2">
        <f>HYPERLINK("http://ts.21cn.com/tousu/show/id/1372068","中银消费金融")</f>
      </c>
      <c r="C1927" t="s" s="2">
        <v>15</v>
      </c>
      <c r="D1927" t="s" s="2">
        <v>16</v>
      </c>
      <c r="E1927" t="s" s="2">
        <v>17</v>
      </c>
      <c r="F1927" t="s" s="2">
        <f>HYPERLINK("http://ts.21cn.com/tousu/show/id/1372068","http://ts.21cn.com/tousu/show/id/1372068")</f>
      </c>
      <c r="G1927" t="s" s="2">
        <v>17</v>
      </c>
      <c r="H1927" t="s" s="2">
        <v>19</v>
      </c>
      <c r="I1927" t="s" s="2">
        <v>7563</v>
      </c>
      <c r="J1927" t="s" s="2">
        <v>7564</v>
      </c>
      <c r="K1927" t="s" s="2">
        <v>22</v>
      </c>
      <c r="L1927" t="s" s="2">
        <v>22</v>
      </c>
      <c r="M1927" t="s" s="2">
        <v>22</v>
      </c>
    </row>
    <row r="1928" ht="25.0" customHeight="true">
      <c r="A1928" t="s" s="2">
        <v>13</v>
      </c>
      <c r="B1928" t="s" s="2">
        <f>HYPERLINK("http://ts.21cn.com/tousu/show/id/1372067","点融高利贷以及非法催收")</f>
      </c>
      <c r="C1928" t="s" s="2">
        <v>15</v>
      </c>
      <c r="D1928" t="s" s="2">
        <v>16</v>
      </c>
      <c r="E1928" t="s" s="2">
        <v>17</v>
      </c>
      <c r="F1928" t="s" s="2">
        <f>HYPERLINK("http://ts.21cn.com/tousu/show/id/1372067","http://ts.21cn.com/tousu/show/id/1372067")</f>
      </c>
      <c r="G1928" t="s" s="2">
        <v>17</v>
      </c>
      <c r="H1928" t="s" s="2">
        <v>19</v>
      </c>
      <c r="I1928" t="s" s="2">
        <v>7567</v>
      </c>
      <c r="J1928" t="s" s="2">
        <v>7568</v>
      </c>
      <c r="K1928" t="s" s="2">
        <v>22</v>
      </c>
      <c r="L1928" t="s" s="2">
        <v>22</v>
      </c>
      <c r="M1928" t="s" s="2">
        <v>22</v>
      </c>
    </row>
    <row r="1929" ht="25.0" customHeight="true">
      <c r="A1929" t="s" s="2">
        <v>13</v>
      </c>
      <c r="B1929" t="s" s="2">
        <f>HYPERLINK("http://ts.21cn.com/tousu/show/id/1372066","套路贷，无故冻结额度，迫使逾期")</f>
      </c>
      <c r="C1929" t="s" s="2">
        <v>15</v>
      </c>
      <c r="D1929" t="s" s="2">
        <v>16</v>
      </c>
      <c r="E1929" t="s" s="2">
        <v>17</v>
      </c>
      <c r="F1929" t="s" s="2">
        <f>HYPERLINK("http://ts.21cn.com/tousu/show/id/1372066","http://ts.21cn.com/tousu/show/id/1372066")</f>
      </c>
      <c r="G1929" t="s" s="2">
        <v>17</v>
      </c>
      <c r="H1929" t="s" s="2">
        <v>19</v>
      </c>
      <c r="I1929" t="s" s="2">
        <v>7571</v>
      </c>
      <c r="J1929" t="s" s="2">
        <v>7572</v>
      </c>
      <c r="K1929" t="s" s="2">
        <v>22</v>
      </c>
      <c r="L1929" t="s" s="2">
        <v>22</v>
      </c>
      <c r="M1929" t="s" s="2">
        <v>22</v>
      </c>
    </row>
    <row r="1930" ht="25.0" customHeight="true">
      <c r="A1930" t="s" s="2">
        <v>13</v>
      </c>
      <c r="B1930" t="s" s="2">
        <f>HYPERLINK("http://ts.21cn.com/tousu/show/id/1372065","网贷恐吓威胁年迈的父亲")</f>
      </c>
      <c r="C1930" t="s" s="2">
        <v>15</v>
      </c>
      <c r="D1930" t="s" s="2">
        <v>16</v>
      </c>
      <c r="E1930" t="s" s="2">
        <v>17</v>
      </c>
      <c r="F1930" t="s" s="2">
        <f>HYPERLINK("http://ts.21cn.com/tousu/show/id/1372065","http://ts.21cn.com/tousu/show/id/1372065")</f>
      </c>
      <c r="G1930" t="s" s="2">
        <v>17</v>
      </c>
      <c r="H1930" t="s" s="2">
        <v>19</v>
      </c>
      <c r="I1930" t="s" s="2">
        <v>7575</v>
      </c>
      <c r="J1930" t="s" s="2">
        <v>7576</v>
      </c>
      <c r="K1930" t="s" s="2">
        <v>22</v>
      </c>
      <c r="L1930" t="s" s="2">
        <v>22</v>
      </c>
      <c r="M1930" t="s" s="2">
        <v>22</v>
      </c>
    </row>
    <row r="1931" ht="25.0" customHeight="true">
      <c r="A1931" t="s" s="2">
        <v>13</v>
      </c>
      <c r="B1931" t="s" s="2">
        <f>HYPERLINK("http://ts.21cn.com/tousu/show/id/1372064","微信收了一次款，微信支付就被永久冻结，里面的钱取不出来")</f>
      </c>
      <c r="C1931" t="s" s="2">
        <v>52</v>
      </c>
      <c r="D1931" t="s" s="2">
        <v>16</v>
      </c>
      <c r="E1931" t="s" s="2">
        <v>17</v>
      </c>
      <c r="F1931" t="s" s="2">
        <f>HYPERLINK("http://ts.21cn.com/tousu/show/id/1372064","http://ts.21cn.com/tousu/show/id/1372064")</f>
      </c>
      <c r="G1931" t="s" s="2">
        <v>17</v>
      </c>
      <c r="H1931" t="s" s="2">
        <v>19</v>
      </c>
      <c r="I1931" t="s" s="2">
        <v>7579</v>
      </c>
      <c r="J1931" t="s" s="2">
        <v>7580</v>
      </c>
      <c r="K1931" t="s" s="2">
        <v>22</v>
      </c>
      <c r="L1931" t="s" s="2">
        <v>22</v>
      </c>
      <c r="M1931" t="s" s="2">
        <v>22</v>
      </c>
    </row>
    <row r="1932" ht="25.0" customHeight="true">
      <c r="A1932" t="s" s="2">
        <v>13</v>
      </c>
      <c r="B1932" t="s" s="2">
        <f>HYPERLINK("http://ts.21cn.com/tousu/show/id/1372063","畅捷支付为高利贷平台违规扣款")</f>
      </c>
      <c r="C1932" t="s" s="2">
        <v>15</v>
      </c>
      <c r="D1932" t="s" s="2">
        <v>16</v>
      </c>
      <c r="E1932" t="s" s="2">
        <v>17</v>
      </c>
      <c r="F1932" t="s" s="2">
        <f>HYPERLINK("http://ts.21cn.com/tousu/show/id/1372063","http://ts.21cn.com/tousu/show/id/1372063")</f>
      </c>
      <c r="G1932" t="s" s="2">
        <v>17</v>
      </c>
      <c r="H1932" t="s" s="2">
        <v>19</v>
      </c>
      <c r="I1932" t="s" s="2">
        <v>7583</v>
      </c>
      <c r="J1932" t="s" s="2">
        <v>7584</v>
      </c>
      <c r="K1932" t="s" s="2">
        <v>22</v>
      </c>
      <c r="L1932" t="s" s="2">
        <v>22</v>
      </c>
      <c r="M1932" t="s" s="2">
        <v>22</v>
      </c>
    </row>
    <row r="1933" ht="25.0" customHeight="true">
      <c r="A1933" t="s" s="2">
        <v>13</v>
      </c>
      <c r="B1933" t="s" s="2">
        <f>HYPERLINK("http://ts.21cn.com/tousu/show/id/1372062","盗刷银行卡")</f>
      </c>
      <c r="C1933" t="s" s="2">
        <v>15</v>
      </c>
      <c r="D1933" t="s" s="2">
        <v>16</v>
      </c>
      <c r="E1933" t="s" s="2">
        <v>17</v>
      </c>
      <c r="F1933" t="s" s="2">
        <f>HYPERLINK("http://ts.21cn.com/tousu/show/id/1372062","http://ts.21cn.com/tousu/show/id/1372062")</f>
      </c>
      <c r="G1933" t="s" s="2">
        <v>17</v>
      </c>
      <c r="H1933" t="s" s="2">
        <v>19</v>
      </c>
      <c r="I1933" t="s" s="2">
        <v>7587</v>
      </c>
      <c r="J1933" t="s" s="2">
        <v>7588</v>
      </c>
      <c r="K1933" t="s" s="2">
        <v>22</v>
      </c>
      <c r="L1933" t="s" s="2">
        <v>22</v>
      </c>
      <c r="M1933" t="s" s="2">
        <v>22</v>
      </c>
    </row>
    <row r="1934" ht="25.0" customHeight="true">
      <c r="A1934" t="s" s="2">
        <v>13</v>
      </c>
      <c r="B1934" t="s" s="2">
        <f>HYPERLINK("http://ts.21cn.com/tousu/show/id/1372040","点融网诱导贷款暴力催收")</f>
      </c>
      <c r="C1934" t="s" s="2">
        <v>15</v>
      </c>
      <c r="D1934" t="s" s="2">
        <v>16</v>
      </c>
      <c r="E1934" t="s" s="2">
        <v>17</v>
      </c>
      <c r="F1934" t="s" s="2">
        <f>HYPERLINK("http://ts.21cn.com/tousu/show/id/1372040","http://ts.21cn.com/tousu/show/id/1372040")</f>
      </c>
      <c r="G1934" t="s" s="2">
        <v>17</v>
      </c>
      <c r="H1934" t="s" s="2">
        <v>19</v>
      </c>
      <c r="I1934" t="s" s="2">
        <v>7591</v>
      </c>
      <c r="J1934" t="s" s="2">
        <v>7592</v>
      </c>
      <c r="K1934" t="s" s="2">
        <v>22</v>
      </c>
      <c r="L1934" t="s" s="2">
        <v>22</v>
      </c>
      <c r="M1934" t="s" s="2">
        <v>22</v>
      </c>
    </row>
    <row r="1935" ht="25.0" customHeight="true">
      <c r="A1935" t="s" s="2">
        <v>13</v>
      </c>
      <c r="B1935" t="s" s="2">
        <f>HYPERLINK("http://ts.21cn.com/tousu/show/id/1372060","套路贷")</f>
      </c>
      <c r="C1935" t="s" s="2">
        <v>15</v>
      </c>
      <c r="D1935" t="s" s="2">
        <v>16</v>
      </c>
      <c r="E1935" t="s" s="2">
        <v>17</v>
      </c>
      <c r="F1935" t="s" s="2">
        <f>HYPERLINK("http://ts.21cn.com/tousu/show/id/1372060","http://ts.21cn.com/tousu/show/id/1372060")</f>
      </c>
      <c r="G1935" t="s" s="2">
        <v>17</v>
      </c>
      <c r="H1935" t="s" s="2">
        <v>19</v>
      </c>
      <c r="I1935" t="s" s="2">
        <v>7591</v>
      </c>
      <c r="J1935" t="s" s="2">
        <v>7594</v>
      </c>
      <c r="K1935" t="s" s="2">
        <v>22</v>
      </c>
      <c r="L1935" t="s" s="2">
        <v>22</v>
      </c>
      <c r="M1935" t="s" s="2">
        <v>22</v>
      </c>
    </row>
    <row r="1936" ht="25.0" customHeight="true">
      <c r="A1936" t="s" s="2">
        <v>13</v>
      </c>
      <c r="B1936" t="s" s="2">
        <f>HYPERLINK("http://ts.21cn.com/tousu/show/id/1372058","不知情的情况下，乱扣款")</f>
      </c>
      <c r="C1936" t="s" s="2">
        <v>15</v>
      </c>
      <c r="D1936" t="s" s="2">
        <v>16</v>
      </c>
      <c r="E1936" t="s" s="2">
        <v>17</v>
      </c>
      <c r="F1936" t="s" s="2">
        <f>HYPERLINK("http://ts.21cn.com/tousu/show/id/1372058","http://ts.21cn.com/tousu/show/id/1372058")</f>
      </c>
      <c r="G1936" t="s" s="2">
        <v>17</v>
      </c>
      <c r="H1936" t="s" s="2">
        <v>19</v>
      </c>
      <c r="I1936" t="s" s="2">
        <v>7597</v>
      </c>
      <c r="J1936" t="s" s="2">
        <v>7598</v>
      </c>
      <c r="K1936" t="s" s="2">
        <v>22</v>
      </c>
      <c r="L1936" t="s" s="2">
        <v>22</v>
      </c>
      <c r="M1936" t="s" s="2">
        <v>22</v>
      </c>
    </row>
    <row r="1937" ht="25.0" customHeight="true">
      <c r="A1937" t="s" s="2">
        <v>13</v>
      </c>
      <c r="B1937" t="s" s="2">
        <f>HYPERLINK("http://ts.21cn.com/tousu/show/id/1372059","钱站高利贷阴阳合同")</f>
      </c>
      <c r="C1937" t="s" s="2">
        <v>15</v>
      </c>
      <c r="D1937" t="s" s="2">
        <v>16</v>
      </c>
      <c r="E1937" t="s" s="2">
        <v>17</v>
      </c>
      <c r="F1937" t="s" s="2">
        <f>HYPERLINK("http://ts.21cn.com/tousu/show/id/1372059","http://ts.21cn.com/tousu/show/id/1372059")</f>
      </c>
      <c r="G1937" t="s" s="2">
        <v>17</v>
      </c>
      <c r="H1937" t="s" s="2">
        <v>19</v>
      </c>
      <c r="I1937" t="s" s="2">
        <v>7600</v>
      </c>
      <c r="J1937" t="s" s="2">
        <v>7601</v>
      </c>
      <c r="K1937" t="s" s="2">
        <v>22</v>
      </c>
      <c r="L1937" t="s" s="2">
        <v>22</v>
      </c>
      <c r="M1937" t="s" s="2">
        <v>22</v>
      </c>
    </row>
    <row r="1938" ht="25.0" customHeight="true">
      <c r="A1938" t="s" s="2">
        <v>13</v>
      </c>
      <c r="B1938" t="s" s="2">
        <f>HYPERLINK("http://ts.21cn.com/tousu/show/id/1372057","小象优品暴力催收，发短信给我手机里面所有电话号码，威胁恐吓，才逾期三天，答应今天之内处理，还这样")</f>
      </c>
      <c r="C1938" t="s" s="2">
        <v>15</v>
      </c>
      <c r="D1938" t="s" s="2">
        <v>16</v>
      </c>
      <c r="E1938" t="s" s="2">
        <v>17</v>
      </c>
      <c r="F1938" t="s" s="2">
        <f>HYPERLINK("http://ts.21cn.com/tousu/show/id/1372057","http://ts.21cn.com/tousu/show/id/1372057")</f>
      </c>
      <c r="G1938" t="s" s="2">
        <v>17</v>
      </c>
      <c r="H1938" t="s" s="2">
        <v>19</v>
      </c>
      <c r="I1938" t="s" s="2">
        <v>7604</v>
      </c>
      <c r="J1938" t="s" s="2">
        <v>7605</v>
      </c>
      <c r="K1938" t="s" s="2">
        <v>22</v>
      </c>
      <c r="L1938" t="s" s="2">
        <v>22</v>
      </c>
      <c r="M1938" t="s" s="2">
        <v>22</v>
      </c>
    </row>
    <row r="1939" ht="25.0" customHeight="true">
      <c r="A1939" t="s" s="2">
        <v>13</v>
      </c>
      <c r="B1939" t="s" s="2">
        <f>HYPERLINK("http://ts.21cn.com/tousu/show/id/1372055","淘宝卖家承诺兑现")</f>
      </c>
      <c r="C1939" t="s" s="2">
        <v>15</v>
      </c>
      <c r="D1939" t="s" s="2">
        <v>16</v>
      </c>
      <c r="E1939" t="s" s="2">
        <v>17</v>
      </c>
      <c r="F1939" t="s" s="2">
        <f>HYPERLINK("http://ts.21cn.com/tousu/show/id/1372055","http://ts.21cn.com/tousu/show/id/1372055")</f>
      </c>
      <c r="G1939" t="s" s="2">
        <v>17</v>
      </c>
      <c r="H1939" t="s" s="2">
        <v>19</v>
      </c>
      <c r="I1939" t="s" s="2">
        <v>7608</v>
      </c>
      <c r="J1939" t="s" s="2">
        <v>7609</v>
      </c>
      <c r="K1939" t="s" s="2">
        <v>22</v>
      </c>
      <c r="L1939" t="s" s="2">
        <v>22</v>
      </c>
      <c r="M1939" t="s" s="2">
        <v>22</v>
      </c>
    </row>
    <row r="1940" ht="25.0" customHeight="true">
      <c r="A1940" t="s" s="2">
        <v>13</v>
      </c>
      <c r="B1940" t="s" s="2">
        <f>HYPERLINK("http://ts.21cn.com/tousu/show/id/1372056","闪掌柜催收威胁暴力")</f>
      </c>
      <c r="C1940" t="s" s="2">
        <v>15</v>
      </c>
      <c r="D1940" t="s" s="2">
        <v>16</v>
      </c>
      <c r="E1940" t="s" s="2">
        <v>17</v>
      </c>
      <c r="F1940" t="s" s="2">
        <f>HYPERLINK("http://ts.21cn.com/tousu/show/id/1372056","http://ts.21cn.com/tousu/show/id/1372056")</f>
      </c>
      <c r="G1940" t="s" s="2">
        <v>17</v>
      </c>
      <c r="H1940" t="s" s="2">
        <v>19</v>
      </c>
      <c r="I1940" t="s" s="2">
        <v>7612</v>
      </c>
      <c r="J1940" t="s" s="2">
        <v>7613</v>
      </c>
      <c r="K1940" t="s" s="2">
        <v>22</v>
      </c>
      <c r="L1940" t="s" s="2">
        <v>22</v>
      </c>
      <c r="M1940" t="s" s="2">
        <v>22</v>
      </c>
    </row>
    <row r="1941" ht="25.0" customHeight="true">
      <c r="A1941" t="s" s="2">
        <v>13</v>
      </c>
      <c r="B1941" t="s" s="2">
        <f>HYPERLINK("http://ts.21cn.com/tousu/show/id/1372054","玖富万卡非法收取服务费，利息高的吓人")</f>
      </c>
      <c r="C1941" t="s" s="2">
        <v>15</v>
      </c>
      <c r="D1941" t="s" s="2">
        <v>16</v>
      </c>
      <c r="E1941" t="s" s="2">
        <v>17</v>
      </c>
      <c r="F1941" t="s" s="2">
        <f>HYPERLINK("http://ts.21cn.com/tousu/show/id/1372054","http://ts.21cn.com/tousu/show/id/1372054")</f>
      </c>
      <c r="G1941" t="s" s="2">
        <v>17</v>
      </c>
      <c r="H1941" t="s" s="2">
        <v>19</v>
      </c>
      <c r="I1941" t="s" s="2">
        <v>7616</v>
      </c>
      <c r="J1941" t="s" s="2">
        <v>7617</v>
      </c>
      <c r="K1941" t="s" s="2">
        <v>22</v>
      </c>
      <c r="L1941" t="s" s="2">
        <v>22</v>
      </c>
      <c r="M1941" t="s" s="2">
        <v>22</v>
      </c>
    </row>
    <row r="1942" ht="25.0" customHeight="true">
      <c r="A1942" t="s" s="2">
        <v>13</v>
      </c>
      <c r="B1942" t="s" s="2">
        <f>HYPERLINK("http://ts.21cn.com/tousu/show/id/1372053","投诉同程国际机票违规降舱出票，存在差价问题，要求“退一赔三”")</f>
      </c>
      <c r="C1942" t="s" s="2">
        <v>15</v>
      </c>
      <c r="D1942" t="s" s="2">
        <v>16</v>
      </c>
      <c r="E1942" t="s" s="2">
        <v>17</v>
      </c>
      <c r="F1942" t="s" s="2">
        <f>HYPERLINK("http://ts.21cn.com/tousu/show/id/1372053","http://ts.21cn.com/tousu/show/id/1372053")</f>
      </c>
      <c r="G1942" t="s" s="2">
        <v>17</v>
      </c>
      <c r="H1942" t="s" s="2">
        <v>19</v>
      </c>
      <c r="I1942" t="s" s="2">
        <v>7620</v>
      </c>
      <c r="J1942" t="s" s="2">
        <v>7621</v>
      </c>
      <c r="K1942" t="s" s="2">
        <v>22</v>
      </c>
      <c r="L1942" t="s" s="2">
        <v>22</v>
      </c>
      <c r="M1942" t="s" s="2">
        <v>22</v>
      </c>
    </row>
    <row r="1943" ht="25.0" customHeight="true">
      <c r="A1943" t="s" s="2">
        <v>13</v>
      </c>
      <c r="B1943" t="s" s="2">
        <f>HYPERLINK("http://ts.21cn.com/tousu/show/id/1372052","宝付支付为高利贷砍头息714平台违规提支付渠道，对本人造成极大精神伤害")</f>
      </c>
      <c r="C1943" t="s" s="2">
        <v>15</v>
      </c>
      <c r="D1943" t="s" s="2">
        <v>16</v>
      </c>
      <c r="E1943" t="s" s="2">
        <v>17</v>
      </c>
      <c r="F1943" t="s" s="2">
        <f>HYPERLINK("http://ts.21cn.com/tousu/show/id/1372052","http://ts.21cn.com/tousu/show/id/1372052")</f>
      </c>
      <c r="G1943" t="s" s="2">
        <v>17</v>
      </c>
      <c r="H1943" t="s" s="2">
        <v>19</v>
      </c>
      <c r="I1943" t="s" s="2">
        <v>7624</v>
      </c>
      <c r="J1943" t="s" s="2">
        <v>7625</v>
      </c>
      <c r="K1943" t="s" s="2">
        <v>22</v>
      </c>
      <c r="L1943" t="s" s="2">
        <v>22</v>
      </c>
      <c r="M1943" t="s" s="2">
        <v>22</v>
      </c>
    </row>
    <row r="1944" ht="25.0" customHeight="true">
      <c r="A1944" t="s" s="2">
        <v>13</v>
      </c>
      <c r="B1944" t="s" s="2">
        <f>HYPERLINK("http://ts.21cn.com/tousu/show/id/1372051","你我贷暴力催收高利贷")</f>
      </c>
      <c r="C1944" t="s" s="2">
        <v>15</v>
      </c>
      <c r="D1944" t="s" s="2">
        <v>16</v>
      </c>
      <c r="E1944" t="s" s="2">
        <v>17</v>
      </c>
      <c r="F1944" t="s" s="2">
        <f>HYPERLINK("http://ts.21cn.com/tousu/show/id/1372051","http://ts.21cn.com/tousu/show/id/1372051")</f>
      </c>
      <c r="G1944" t="s" s="2">
        <v>17</v>
      </c>
      <c r="H1944" t="s" s="2">
        <v>19</v>
      </c>
      <c r="I1944" t="s" s="2">
        <v>7628</v>
      </c>
      <c r="J1944" t="s" s="2">
        <v>7629</v>
      </c>
      <c r="K1944" t="s" s="2">
        <v>22</v>
      </c>
      <c r="L1944" t="s" s="2">
        <v>22</v>
      </c>
      <c r="M1944" t="s" s="2">
        <v>22</v>
      </c>
    </row>
    <row r="1945" ht="25.0" customHeight="true">
      <c r="A1945" t="s" s="2">
        <v>13</v>
      </c>
      <c r="B1945" t="s" s="2">
        <f>HYPERLINK("http://ts.21cn.com/tousu/show/id/1372031","今借到打完借条不放款")</f>
      </c>
      <c r="C1945" t="s" s="2">
        <v>52</v>
      </c>
      <c r="D1945" t="s" s="2">
        <v>16</v>
      </c>
      <c r="E1945" t="s" s="2">
        <v>17</v>
      </c>
      <c r="F1945" t="s" s="2">
        <f>HYPERLINK("http://ts.21cn.com/tousu/show/id/1372031","http://ts.21cn.com/tousu/show/id/1372031")</f>
      </c>
      <c r="G1945" t="s" s="2">
        <v>17</v>
      </c>
      <c r="H1945" t="s" s="2">
        <v>19</v>
      </c>
      <c r="I1945" t="s" s="2">
        <v>7632</v>
      </c>
      <c r="J1945" t="s" s="2">
        <v>7633</v>
      </c>
      <c r="K1945" t="s" s="2">
        <v>22</v>
      </c>
      <c r="L1945" t="s" s="2">
        <v>22</v>
      </c>
      <c r="M1945" t="s" s="2">
        <v>22</v>
      </c>
    </row>
    <row r="1946" ht="25.0" customHeight="true">
      <c r="A1946" t="s" s="2">
        <v>13</v>
      </c>
      <c r="B1946" t="s" s="2">
        <f>HYPERLINK("http://ts.21cn.com/tousu/show/id/1372049","广州银行")</f>
      </c>
      <c r="C1946" t="s" s="2">
        <v>15</v>
      </c>
      <c r="D1946" t="s" s="2">
        <v>16</v>
      </c>
      <c r="E1946" t="s" s="2">
        <v>17</v>
      </c>
      <c r="F1946" t="s" s="2">
        <f>HYPERLINK("http://ts.21cn.com/tousu/show/id/1372049","http://ts.21cn.com/tousu/show/id/1372049")</f>
      </c>
      <c r="G1946" t="s" s="2">
        <v>17</v>
      </c>
      <c r="H1946" t="s" s="2">
        <v>19</v>
      </c>
      <c r="I1946" t="s" s="2">
        <v>7636</v>
      </c>
      <c r="J1946" t="s" s="2">
        <v>7637</v>
      </c>
      <c r="K1946" t="s" s="2">
        <v>22</v>
      </c>
      <c r="L1946" t="s" s="2">
        <v>22</v>
      </c>
      <c r="M1946" t="s" s="2">
        <v>22</v>
      </c>
    </row>
    <row r="1947" ht="25.0" customHeight="true">
      <c r="A1947" t="s" s="2">
        <v>13</v>
      </c>
      <c r="B1947" t="s" s="2">
        <f>HYPERLINK("http://ts.21cn.com/tousu/show/id/1372048","随手记福袋借款1万到账8000，要还12000，比国家规定的年息高出太多了")</f>
      </c>
      <c r="C1947" t="s" s="2">
        <v>15</v>
      </c>
      <c r="D1947" t="s" s="2">
        <v>16</v>
      </c>
      <c r="E1947" t="s" s="2">
        <v>17</v>
      </c>
      <c r="F1947" t="s" s="2">
        <f>HYPERLINK("http://ts.21cn.com/tousu/show/id/1372048","http://ts.21cn.com/tousu/show/id/1372048")</f>
      </c>
      <c r="G1947" t="s" s="2">
        <v>17</v>
      </c>
      <c r="H1947" t="s" s="2">
        <v>19</v>
      </c>
      <c r="I1947" t="s" s="2">
        <v>7640</v>
      </c>
      <c r="J1947" t="s" s="2">
        <v>7641</v>
      </c>
      <c r="K1947" t="s" s="2">
        <v>22</v>
      </c>
      <c r="L1947" t="s" s="2">
        <v>22</v>
      </c>
      <c r="M1947" t="s" s="2">
        <v>22</v>
      </c>
    </row>
    <row r="1948" ht="25.0" customHeight="true">
      <c r="A1948" t="s" s="2">
        <v>13</v>
      </c>
      <c r="B1948" t="s" s="2">
        <f>HYPERLINK("http://ts.21cn.com/tousu/show/id/1372047","蚂蚁金融威胁我说要给当地派出所打电话上门催收")</f>
      </c>
      <c r="C1948" t="s" s="2">
        <v>15</v>
      </c>
      <c r="D1948" t="s" s="2">
        <v>16</v>
      </c>
      <c r="E1948" t="s" s="2">
        <v>17</v>
      </c>
      <c r="F1948" t="s" s="2">
        <f>HYPERLINK("http://ts.21cn.com/tousu/show/id/1372047","http://ts.21cn.com/tousu/show/id/1372047")</f>
      </c>
      <c r="G1948" t="s" s="2">
        <v>17</v>
      </c>
      <c r="H1948" t="s" s="2">
        <v>19</v>
      </c>
      <c r="I1948" t="s" s="2">
        <v>7644</v>
      </c>
      <c r="J1948" t="s" s="2">
        <v>7645</v>
      </c>
      <c r="K1948" t="s" s="2">
        <v>22</v>
      </c>
      <c r="L1948" t="s" s="2">
        <v>22</v>
      </c>
      <c r="M1948" t="s" s="2">
        <v>22</v>
      </c>
    </row>
    <row r="1949" ht="25.0" customHeight="true">
      <c r="A1949" t="s" s="2">
        <v>13</v>
      </c>
      <c r="B1949" t="s" s="2">
        <f>HYPERLINK("http://ts.21cn.com/tousu/show/id/1372030","条款混淆视听，霸王条款")</f>
      </c>
      <c r="C1949" t="s" s="2">
        <v>15</v>
      </c>
      <c r="D1949" t="s" s="2">
        <v>16</v>
      </c>
      <c r="E1949" t="s" s="2">
        <v>17</v>
      </c>
      <c r="F1949" t="s" s="2">
        <f>HYPERLINK("http://ts.21cn.com/tousu/show/id/1372030","http://ts.21cn.com/tousu/show/id/1372030")</f>
      </c>
      <c r="G1949" t="s" s="2">
        <v>17</v>
      </c>
      <c r="H1949" t="s" s="2">
        <v>19</v>
      </c>
      <c r="I1949" t="s" s="2">
        <v>7648</v>
      </c>
      <c r="J1949" t="s" s="2">
        <v>7649</v>
      </c>
      <c r="K1949" t="s" s="2">
        <v>22</v>
      </c>
      <c r="L1949" t="s" s="2">
        <v>22</v>
      </c>
      <c r="M1949" t="s" s="2">
        <v>22</v>
      </c>
    </row>
    <row r="1950" ht="25.0" customHeight="true">
      <c r="A1950" t="s" s="2">
        <v>13</v>
      </c>
      <c r="B1950" t="s" s="2">
        <f>HYPERLINK("http://ts.21cn.com/tousu/show/id/1372046","兴业银行减免违约金不给减免")</f>
      </c>
      <c r="C1950" t="s" s="2">
        <v>15</v>
      </c>
      <c r="D1950" t="s" s="2">
        <v>16</v>
      </c>
      <c r="E1950" t="s" s="2">
        <v>17</v>
      </c>
      <c r="F1950" t="s" s="2">
        <f>HYPERLINK("http://ts.21cn.com/tousu/show/id/1372046","http://ts.21cn.com/tousu/show/id/1372046")</f>
      </c>
      <c r="G1950" t="s" s="2">
        <v>17</v>
      </c>
      <c r="H1950" t="s" s="2">
        <v>19</v>
      </c>
      <c r="I1950" t="s" s="2">
        <v>7652</v>
      </c>
      <c r="J1950" t="s" s="2">
        <v>7653</v>
      </c>
      <c r="K1950" t="s" s="2">
        <v>22</v>
      </c>
      <c r="L1950" t="s" s="2">
        <v>22</v>
      </c>
      <c r="M1950" t="s" s="2">
        <v>22</v>
      </c>
    </row>
    <row r="1951" ht="25.0" customHeight="true">
      <c r="A1951" t="s" s="2">
        <v>13</v>
      </c>
      <c r="B1951" t="s" s="2">
        <f>HYPERLINK("http://ts.21cn.com/tousu/show/id/1372045","我要投诉区花分期手机贷。")</f>
      </c>
      <c r="C1951" t="s" s="2">
        <v>15</v>
      </c>
      <c r="D1951" t="s" s="2">
        <v>16</v>
      </c>
      <c r="E1951" t="s" s="2">
        <v>17</v>
      </c>
      <c r="F1951" t="s" s="2">
        <f>HYPERLINK("http://ts.21cn.com/tousu/show/id/1372045","http://ts.21cn.com/tousu/show/id/1372045")</f>
      </c>
      <c r="G1951" t="s" s="2">
        <v>17</v>
      </c>
      <c r="H1951" t="s" s="2">
        <v>19</v>
      </c>
      <c r="I1951" t="s" s="2">
        <v>7656</v>
      </c>
      <c r="J1951" t="s" s="2">
        <v>7657</v>
      </c>
      <c r="K1951" t="s" s="2">
        <v>22</v>
      </c>
      <c r="L1951" t="s" s="2">
        <v>22</v>
      </c>
      <c r="M1951" t="s" s="2">
        <v>22</v>
      </c>
    </row>
    <row r="1952" ht="25.0" customHeight="true">
      <c r="A1952" t="s" s="2">
        <v>13</v>
      </c>
      <c r="B1952" t="s" s="2">
        <f>HYPERLINK("http://ts.21cn.com/tousu/show/id/1372044","投诉贷上钱恶意催收")</f>
      </c>
      <c r="C1952" t="s" s="2">
        <v>15</v>
      </c>
      <c r="D1952" t="s" s="2">
        <v>16</v>
      </c>
      <c r="E1952" t="s" s="2">
        <v>17</v>
      </c>
      <c r="F1952" t="s" s="2">
        <f>HYPERLINK("http://ts.21cn.com/tousu/show/id/1372044","http://ts.21cn.com/tousu/show/id/1372044")</f>
      </c>
      <c r="G1952" t="s" s="2">
        <v>17</v>
      </c>
      <c r="H1952" t="s" s="2">
        <v>19</v>
      </c>
      <c r="I1952" t="s" s="2">
        <v>7660</v>
      </c>
      <c r="J1952" t="s" s="2">
        <v>7661</v>
      </c>
      <c r="K1952" t="s" s="2">
        <v>22</v>
      </c>
      <c r="L1952" t="s" s="2">
        <v>22</v>
      </c>
      <c r="M1952" t="s" s="2">
        <v>22</v>
      </c>
    </row>
    <row r="1953" ht="25.0" customHeight="true">
      <c r="A1953" t="s" s="2">
        <v>13</v>
      </c>
      <c r="B1953" t="s" s="2">
        <f>HYPERLINK("http://ts.21cn.com/tousu/show/id/1372043","融360一刻分期及代涉嫌高利贷暴力催收")</f>
      </c>
      <c r="C1953" t="s" s="2">
        <v>15</v>
      </c>
      <c r="D1953" t="s" s="2">
        <v>16</v>
      </c>
      <c r="E1953" t="s" s="2">
        <v>17</v>
      </c>
      <c r="F1953" t="s" s="2">
        <f>HYPERLINK("http://ts.21cn.com/tousu/show/id/1372043","http://ts.21cn.com/tousu/show/id/1372043")</f>
      </c>
      <c r="G1953" t="s" s="2">
        <v>17</v>
      </c>
      <c r="H1953" t="s" s="2">
        <v>19</v>
      </c>
      <c r="I1953" t="s" s="2">
        <v>7664</v>
      </c>
      <c r="J1953" t="s" s="2">
        <v>7665</v>
      </c>
      <c r="K1953" t="s" s="2">
        <v>22</v>
      </c>
      <c r="L1953" t="s" s="2">
        <v>22</v>
      </c>
      <c r="M1953" t="s" s="2">
        <v>22</v>
      </c>
    </row>
    <row r="1954" ht="25.0" customHeight="true">
      <c r="A1954" t="s" s="2">
        <v>13</v>
      </c>
      <c r="B1954" t="s" s="2">
        <f>HYPERLINK("http://ts.21cn.com/tousu/show/id/1372042","随意扣款")</f>
      </c>
      <c r="C1954" t="s" s="2">
        <v>15</v>
      </c>
      <c r="D1954" t="s" s="2">
        <v>16</v>
      </c>
      <c r="E1954" t="s" s="2">
        <v>17</v>
      </c>
      <c r="F1954" t="s" s="2">
        <f>HYPERLINK("http://ts.21cn.com/tousu/show/id/1372042","http://ts.21cn.com/tousu/show/id/1372042")</f>
      </c>
      <c r="G1954" t="s" s="2">
        <v>17</v>
      </c>
      <c r="H1954" t="s" s="2">
        <v>19</v>
      </c>
      <c r="I1954" t="s" s="2">
        <v>7667</v>
      </c>
      <c r="J1954" t="s" s="2">
        <v>7668</v>
      </c>
      <c r="K1954" t="s" s="2">
        <v>22</v>
      </c>
      <c r="L1954" t="s" s="2">
        <v>22</v>
      </c>
      <c r="M1954" t="s" s="2">
        <v>22</v>
      </c>
    </row>
    <row r="1955" ht="25.0" customHeight="true">
      <c r="A1955" t="s" s="2">
        <v>13</v>
      </c>
      <c r="B1955" t="s" s="2">
        <f>HYPERLINK("http://ts.21cn.com/tousu/show/id/1372041","招联暴力催收")</f>
      </c>
      <c r="C1955" t="s" s="2">
        <v>15</v>
      </c>
      <c r="D1955" t="s" s="2">
        <v>16</v>
      </c>
      <c r="E1955" t="s" s="2">
        <v>17</v>
      </c>
      <c r="F1955" t="s" s="2">
        <f>HYPERLINK("http://ts.21cn.com/tousu/show/id/1372041","http://ts.21cn.com/tousu/show/id/1372041")</f>
      </c>
      <c r="G1955" t="s" s="2">
        <v>17</v>
      </c>
      <c r="H1955" t="s" s="2">
        <v>19</v>
      </c>
      <c r="I1955" t="s" s="2">
        <v>7671</v>
      </c>
      <c r="J1955" t="s" s="2">
        <v>7672</v>
      </c>
      <c r="K1955" t="s" s="2">
        <v>22</v>
      </c>
      <c r="L1955" t="s" s="2">
        <v>22</v>
      </c>
      <c r="M1955" t="s" s="2">
        <v>22</v>
      </c>
    </row>
    <row r="1956" ht="25.0" customHeight="true">
      <c r="A1956" t="s" s="2">
        <v>13</v>
      </c>
      <c r="B1956" t="s" s="2">
        <f>HYPERLINK("http://ts.21cn.com/tousu/show/id/1372039","信用管家薪意贷")</f>
      </c>
      <c r="C1956" t="s" s="2">
        <v>15</v>
      </c>
      <c r="D1956" t="s" s="2">
        <v>16</v>
      </c>
      <c r="E1956" t="s" s="2">
        <v>17</v>
      </c>
      <c r="F1956" t="s" s="2">
        <f>HYPERLINK("http://ts.21cn.com/tousu/show/id/1372039","http://ts.21cn.com/tousu/show/id/1372039")</f>
      </c>
      <c r="G1956" t="s" s="2">
        <v>17</v>
      </c>
      <c r="H1956" t="s" s="2">
        <v>19</v>
      </c>
      <c r="I1956" t="s" s="2">
        <v>7675</v>
      </c>
      <c r="J1956" t="s" s="2">
        <v>7676</v>
      </c>
      <c r="K1956" t="s" s="2">
        <v>22</v>
      </c>
      <c r="L1956" t="s" s="2">
        <v>22</v>
      </c>
      <c r="M1956" t="s" s="2">
        <v>22</v>
      </c>
    </row>
    <row r="1957" ht="25.0" customHeight="true">
      <c r="A1957" t="s" s="2">
        <v>13</v>
      </c>
      <c r="B1957" t="s" s="2">
        <f>HYPERLINK("http://ts.21cn.com/tousu/show/id/1372037","现金巴士砍头息")</f>
      </c>
      <c r="C1957" t="s" s="2">
        <v>15</v>
      </c>
      <c r="D1957" t="s" s="2">
        <v>16</v>
      </c>
      <c r="E1957" t="s" s="2">
        <v>17</v>
      </c>
      <c r="F1957" t="s" s="2">
        <f>HYPERLINK("http://ts.21cn.com/tousu/show/id/1372037","http://ts.21cn.com/tousu/show/id/1372037")</f>
      </c>
      <c r="G1957" t="s" s="2">
        <v>17</v>
      </c>
      <c r="H1957" t="s" s="2">
        <v>19</v>
      </c>
      <c r="I1957" t="s" s="2">
        <v>7679</v>
      </c>
      <c r="J1957" t="s" s="2">
        <v>7680</v>
      </c>
      <c r="K1957" t="s" s="2">
        <v>22</v>
      </c>
      <c r="L1957" t="s" s="2">
        <v>22</v>
      </c>
      <c r="M1957" t="s" s="2">
        <v>22</v>
      </c>
    </row>
    <row r="1958" ht="25.0" customHeight="true">
      <c r="A1958" t="s" s="2">
        <v>13</v>
      </c>
      <c r="B1958" t="s" s="2">
        <f>HYPERLINK("http://ts.21cn.com/tousu/show/id/1372036","手机换号后滴滴账号已知密码无法找回")</f>
      </c>
      <c r="C1958" t="s" s="2">
        <v>15</v>
      </c>
      <c r="D1958" t="s" s="2">
        <v>16</v>
      </c>
      <c r="E1958" t="s" s="2">
        <v>17</v>
      </c>
      <c r="F1958" t="s" s="2">
        <f>HYPERLINK("http://ts.21cn.com/tousu/show/id/1372036","http://ts.21cn.com/tousu/show/id/1372036")</f>
      </c>
      <c r="G1958" t="s" s="2">
        <v>17</v>
      </c>
      <c r="H1958" t="s" s="2">
        <v>19</v>
      </c>
      <c r="I1958" t="s" s="2">
        <v>7683</v>
      </c>
      <c r="J1958" t="s" s="2">
        <v>7684</v>
      </c>
      <c r="K1958" t="s" s="2">
        <v>22</v>
      </c>
      <c r="L1958" t="s" s="2">
        <v>22</v>
      </c>
      <c r="M1958" t="s" s="2">
        <v>22</v>
      </c>
    </row>
    <row r="1959" ht="25.0" customHeight="true">
      <c r="A1959" t="s" s="2">
        <v>13</v>
      </c>
      <c r="B1959" t="s" s="2">
        <f>HYPERLINK("http://ts.21cn.com/tousu/show/id/1372035","好易借套路贷违规收取砍头息")</f>
      </c>
      <c r="C1959" t="s" s="2">
        <v>15</v>
      </c>
      <c r="D1959" t="s" s="2">
        <v>16</v>
      </c>
      <c r="E1959" t="s" s="2">
        <v>17</v>
      </c>
      <c r="F1959" t="s" s="2">
        <f>HYPERLINK("http://ts.21cn.com/tousu/show/id/1372035","http://ts.21cn.com/tousu/show/id/1372035")</f>
      </c>
      <c r="G1959" t="s" s="2">
        <v>17</v>
      </c>
      <c r="H1959" t="s" s="2">
        <v>19</v>
      </c>
      <c r="I1959" t="s" s="2">
        <v>7687</v>
      </c>
      <c r="J1959" t="s" s="2">
        <v>7688</v>
      </c>
      <c r="K1959" t="s" s="2">
        <v>22</v>
      </c>
      <c r="L1959" t="s" s="2">
        <v>22</v>
      </c>
      <c r="M1959" t="s" s="2">
        <v>22</v>
      </c>
    </row>
    <row r="1960" ht="25.0" customHeight="true">
      <c r="A1960" t="s" s="2">
        <v>13</v>
      </c>
      <c r="B1960" t="s" s="2">
        <f>HYPERLINK("http://ts.21cn.com/tousu/show/id/1372034","亨元金融嗨钱网没把钱给海尔消费金融")</f>
      </c>
      <c r="C1960" t="s" s="2">
        <v>15</v>
      </c>
      <c r="D1960" t="s" s="2">
        <v>16</v>
      </c>
      <c r="E1960" t="s" s="2">
        <v>17</v>
      </c>
      <c r="F1960" t="s" s="2">
        <f>HYPERLINK("http://ts.21cn.com/tousu/show/id/1372034","http://ts.21cn.com/tousu/show/id/1372034")</f>
      </c>
      <c r="G1960" t="s" s="2">
        <v>17</v>
      </c>
      <c r="H1960" t="s" s="2">
        <v>19</v>
      </c>
      <c r="I1960" t="s" s="2">
        <v>7691</v>
      </c>
      <c r="J1960" t="s" s="2">
        <v>7692</v>
      </c>
      <c r="K1960" t="s" s="2">
        <v>22</v>
      </c>
      <c r="L1960" t="s" s="2">
        <v>22</v>
      </c>
      <c r="M1960" t="s" s="2">
        <v>22</v>
      </c>
    </row>
    <row r="1961" ht="25.0" customHeight="true">
      <c r="A1961" t="s" s="2">
        <v>13</v>
      </c>
      <c r="B1961" t="s" s="2">
        <f>HYPERLINK("http://ts.21cn.com/tousu/show/id/1371929","玖富万卡合同账单与实际还款账单不符")</f>
      </c>
      <c r="C1961" t="s" s="2">
        <v>15</v>
      </c>
      <c r="D1961" t="s" s="2">
        <v>16</v>
      </c>
      <c r="E1961" t="s" s="2">
        <v>17</v>
      </c>
      <c r="F1961" t="s" s="2">
        <f>HYPERLINK("http://ts.21cn.com/tousu/show/id/1371929","http://ts.21cn.com/tousu/show/id/1371929")</f>
      </c>
      <c r="G1961" t="s" s="2">
        <v>17</v>
      </c>
      <c r="H1961" t="s" s="2">
        <v>19</v>
      </c>
      <c r="I1961" t="s" s="2">
        <v>7695</v>
      </c>
      <c r="J1961" t="s" s="2">
        <v>7696</v>
      </c>
      <c r="K1961" t="s" s="2">
        <v>22</v>
      </c>
      <c r="L1961" t="s" s="2">
        <v>22</v>
      </c>
      <c r="M1961" t="s" s="2">
        <v>22</v>
      </c>
    </row>
    <row r="1962" ht="25.0" customHeight="true">
      <c r="A1962" t="s" s="2">
        <v>13</v>
      </c>
      <c r="B1962" t="s" s="2">
        <f>HYPERLINK("http://ts.21cn.com/tousu/show/id/1372033","微博借钱，利率游走在法律边缘")</f>
      </c>
      <c r="C1962" t="s" s="2">
        <v>52</v>
      </c>
      <c r="D1962" t="s" s="2">
        <v>16</v>
      </c>
      <c r="E1962" t="s" s="2">
        <v>17</v>
      </c>
      <c r="F1962" t="s" s="2">
        <f>HYPERLINK("http://ts.21cn.com/tousu/show/id/1372033","http://ts.21cn.com/tousu/show/id/1372033")</f>
      </c>
      <c r="G1962" t="s" s="2">
        <v>17</v>
      </c>
      <c r="H1962" t="s" s="2">
        <v>19</v>
      </c>
      <c r="I1962" t="s" s="2">
        <v>7699</v>
      </c>
      <c r="J1962" t="s" s="2">
        <v>7700</v>
      </c>
      <c r="K1962" t="s" s="2">
        <v>22</v>
      </c>
      <c r="L1962" t="s" s="2">
        <v>22</v>
      </c>
      <c r="M1962" t="s" s="2">
        <v>22</v>
      </c>
    </row>
    <row r="1963" ht="25.0" customHeight="true">
      <c r="A1963" t="s" s="2">
        <v>13</v>
      </c>
      <c r="B1963" t="s" s="2">
        <f>HYPERLINK("http://ts.21cn.com/tousu/show/id/1372032","名校贷咨询费不退还")</f>
      </c>
      <c r="C1963" t="s" s="2">
        <v>15</v>
      </c>
      <c r="D1963" t="s" s="2">
        <v>16</v>
      </c>
      <c r="E1963" t="s" s="2">
        <v>17</v>
      </c>
      <c r="F1963" t="s" s="2">
        <f>HYPERLINK("http://ts.21cn.com/tousu/show/id/1372032","http://ts.21cn.com/tousu/show/id/1372032")</f>
      </c>
      <c r="G1963" t="s" s="2">
        <v>17</v>
      </c>
      <c r="H1963" t="s" s="2">
        <v>19</v>
      </c>
      <c r="I1963" t="s" s="2">
        <v>7702</v>
      </c>
      <c r="J1963" t="s" s="2">
        <v>7703</v>
      </c>
      <c r="K1963" t="s" s="2">
        <v>22</v>
      </c>
      <c r="L1963" t="s" s="2">
        <v>22</v>
      </c>
      <c r="M1963" t="s" s="2">
        <v>22</v>
      </c>
    </row>
    <row r="1964" ht="25.0" customHeight="true">
      <c r="A1964" t="s" s="2">
        <v>13</v>
      </c>
      <c r="B1964" t="s" s="2">
        <f>HYPERLINK("http://ts.21cn.com/tousu/show/id/1372029","恶意捆绑搭售保险")</f>
      </c>
      <c r="C1964" t="s" s="2">
        <v>15</v>
      </c>
      <c r="D1964" t="s" s="2">
        <v>16</v>
      </c>
      <c r="E1964" t="s" s="2">
        <v>17</v>
      </c>
      <c r="F1964" t="s" s="2">
        <f>HYPERLINK("http://ts.21cn.com/tousu/show/id/1372029","http://ts.21cn.com/tousu/show/id/1372029")</f>
      </c>
      <c r="G1964" t="s" s="2">
        <v>17</v>
      </c>
      <c r="H1964" t="s" s="2">
        <v>19</v>
      </c>
      <c r="I1964" t="s" s="2">
        <v>7706</v>
      </c>
      <c r="J1964" t="s" s="2">
        <v>7707</v>
      </c>
      <c r="K1964" t="s" s="2">
        <v>22</v>
      </c>
      <c r="L1964" t="s" s="2">
        <v>22</v>
      </c>
      <c r="M1964" t="s" s="2">
        <v>22</v>
      </c>
    </row>
    <row r="1965" ht="25.0" customHeight="true">
      <c r="A1965" t="s" s="2">
        <v>13</v>
      </c>
      <c r="B1965" t="s" s="2">
        <f>HYPERLINK("http://ts.21cn.com/tousu/show/id/1347044","招联好期贷，麻烦联系我")</f>
      </c>
      <c r="C1965" t="s" s="2">
        <v>15</v>
      </c>
      <c r="D1965" t="s" s="2">
        <v>16</v>
      </c>
      <c r="E1965" t="s" s="2">
        <v>17</v>
      </c>
      <c r="F1965" t="s" s="2">
        <f>HYPERLINK("http://ts.21cn.com/tousu/show/id/1347044","http://ts.21cn.com/tousu/show/id/1347044")</f>
      </c>
      <c r="G1965" t="s" s="2">
        <v>17</v>
      </c>
      <c r="H1965" t="s" s="2">
        <v>19</v>
      </c>
      <c r="I1965" t="s" s="2">
        <v>7710</v>
      </c>
      <c r="J1965" t="s" s="2">
        <v>7711</v>
      </c>
      <c r="K1965" t="s" s="2">
        <v>22</v>
      </c>
      <c r="L1965" t="s" s="2">
        <v>22</v>
      </c>
      <c r="M1965" t="s" s="2">
        <v>22</v>
      </c>
    </row>
    <row r="1966" ht="25.0" customHeight="true">
      <c r="A1966" t="s" s="2">
        <v>13</v>
      </c>
      <c r="B1966" t="s" s="2">
        <f>HYPERLINK("http://ts.21cn.com/tousu/show/id/1372028","深圳市恒富创融科技有限公司乱扣款")</f>
      </c>
      <c r="C1966" t="s" s="2">
        <v>15</v>
      </c>
      <c r="D1966" t="s" s="2">
        <v>16</v>
      </c>
      <c r="E1966" t="s" s="2">
        <v>17</v>
      </c>
      <c r="F1966" t="s" s="2">
        <f>HYPERLINK("http://ts.21cn.com/tousu/show/id/1372028","http://ts.21cn.com/tousu/show/id/1372028")</f>
      </c>
      <c r="G1966" t="s" s="2">
        <v>17</v>
      </c>
      <c r="H1966" t="s" s="2">
        <v>19</v>
      </c>
      <c r="I1966" t="s" s="2">
        <v>7714</v>
      </c>
      <c r="J1966" t="s" s="2">
        <v>7715</v>
      </c>
      <c r="K1966" t="s" s="2">
        <v>22</v>
      </c>
      <c r="L1966" t="s" s="2">
        <v>22</v>
      </c>
      <c r="M1966" t="s" s="2">
        <v>22</v>
      </c>
    </row>
    <row r="1967" ht="25.0" customHeight="true">
      <c r="A1967" t="s" s="2">
        <v>13</v>
      </c>
      <c r="B1967" t="s" s="2">
        <f>HYPERLINK("http://ts.21cn.com/tousu/show/id/1372027","立借借款借一万要还16800，提前还款还要15000，利息太高没法活了")</f>
      </c>
      <c r="C1967" t="s" s="2">
        <v>15</v>
      </c>
      <c r="D1967" t="s" s="2">
        <v>16</v>
      </c>
      <c r="E1967" t="s" s="2">
        <v>17</v>
      </c>
      <c r="F1967" t="s" s="2">
        <f>HYPERLINK("http://ts.21cn.com/tousu/show/id/1372027","http://ts.21cn.com/tousu/show/id/1372027")</f>
      </c>
      <c r="G1967" t="s" s="2">
        <v>17</v>
      </c>
      <c r="H1967" t="s" s="2">
        <v>19</v>
      </c>
      <c r="I1967" t="s" s="2">
        <v>7718</v>
      </c>
      <c r="J1967" t="s" s="2">
        <v>7719</v>
      </c>
      <c r="K1967" t="s" s="2">
        <v>22</v>
      </c>
      <c r="L1967" t="s" s="2">
        <v>22</v>
      </c>
      <c r="M1967" t="s" s="2">
        <v>22</v>
      </c>
    </row>
    <row r="1968" ht="25.0" customHeight="true">
      <c r="A1968" t="s" s="2">
        <v>13</v>
      </c>
      <c r="B1968" t="s" s="2">
        <f>HYPERLINK("http://ts.21cn.com/tousu/show/id/1372026","逾期一次不退我咨询费")</f>
      </c>
      <c r="C1968" t="s" s="2">
        <v>52</v>
      </c>
      <c r="D1968" t="s" s="2">
        <v>16</v>
      </c>
      <c r="E1968" t="s" s="2">
        <v>17</v>
      </c>
      <c r="F1968" t="s" s="2">
        <f>HYPERLINK("http://ts.21cn.com/tousu/show/id/1372026","http://ts.21cn.com/tousu/show/id/1372026")</f>
      </c>
      <c r="G1968" t="s" s="2">
        <v>17</v>
      </c>
      <c r="H1968" t="s" s="2">
        <v>19</v>
      </c>
      <c r="I1968" t="s" s="2">
        <v>7722</v>
      </c>
      <c r="J1968" t="s" s="2">
        <v>7723</v>
      </c>
      <c r="K1968" t="s" s="2">
        <v>22</v>
      </c>
      <c r="L1968" t="s" s="2">
        <v>22</v>
      </c>
      <c r="M1968" t="s" s="2">
        <v>22</v>
      </c>
    </row>
    <row r="1969" ht="25.0" customHeight="true">
      <c r="A1969" t="s" s="2">
        <v>13</v>
      </c>
      <c r="B1969" t="s" s="2">
        <f>HYPERLINK("http://ts.21cn.com/tousu/show/id/1372025","平安普惠催收威胁要轰炸我电话和我联系人")</f>
      </c>
      <c r="C1969" t="s" s="2">
        <v>15</v>
      </c>
      <c r="D1969" t="s" s="2">
        <v>16</v>
      </c>
      <c r="E1969" t="s" s="2">
        <v>17</v>
      </c>
      <c r="F1969" t="s" s="2">
        <f>HYPERLINK("http://ts.21cn.com/tousu/show/id/1372025","http://ts.21cn.com/tousu/show/id/1372025")</f>
      </c>
      <c r="G1969" t="s" s="2">
        <v>17</v>
      </c>
      <c r="H1969" t="s" s="2">
        <v>19</v>
      </c>
      <c r="I1969" t="s" s="2">
        <v>7726</v>
      </c>
      <c r="J1969" t="s" s="2">
        <v>7727</v>
      </c>
      <c r="K1969" t="s" s="2">
        <v>22</v>
      </c>
      <c r="L1969" t="s" s="2">
        <v>22</v>
      </c>
      <c r="M1969" t="s" s="2">
        <v>22</v>
      </c>
    </row>
    <row r="1970" ht="25.0" customHeight="true">
      <c r="A1970" t="s" s="2">
        <v>13</v>
      </c>
      <c r="B1970" t="s" s="2">
        <f>HYPERLINK("http://ts.21cn.com/tousu/show/id/1372023","钱橙无忧网贷app在我不知情情况下扣款")</f>
      </c>
      <c r="C1970" t="s" s="2">
        <v>15</v>
      </c>
      <c r="D1970" t="s" s="2">
        <v>16</v>
      </c>
      <c r="E1970" t="s" s="2">
        <v>17</v>
      </c>
      <c r="F1970" t="s" s="2">
        <f>HYPERLINK("http://ts.21cn.com/tousu/show/id/1372023","http://ts.21cn.com/tousu/show/id/1372023")</f>
      </c>
      <c r="G1970" t="s" s="2">
        <v>17</v>
      </c>
      <c r="H1970" t="s" s="2">
        <v>19</v>
      </c>
      <c r="I1970" t="s" s="2">
        <v>7730</v>
      </c>
      <c r="J1970" t="s" s="2">
        <v>7731</v>
      </c>
      <c r="K1970" t="s" s="2">
        <v>22</v>
      </c>
      <c r="L1970" t="s" s="2">
        <v>22</v>
      </c>
      <c r="M1970" t="s" s="2">
        <v>22</v>
      </c>
    </row>
    <row r="1971" ht="25.0" customHeight="true">
      <c r="A1971" t="s" s="2">
        <v>13</v>
      </c>
      <c r="B1971" t="s" s="2">
        <f>HYPERLINK("http://ts.21cn.com/tousu/show/id/1372022","系统不扣款，导致逾期")</f>
      </c>
      <c r="C1971" t="s" s="2">
        <v>52</v>
      </c>
      <c r="D1971" t="s" s="2">
        <v>16</v>
      </c>
      <c r="E1971" t="s" s="2">
        <v>17</v>
      </c>
      <c r="F1971" t="s" s="2">
        <f>HYPERLINK("http://ts.21cn.com/tousu/show/id/1372022","http://ts.21cn.com/tousu/show/id/1372022")</f>
      </c>
      <c r="G1971" t="s" s="2">
        <v>17</v>
      </c>
      <c r="H1971" t="s" s="2">
        <v>19</v>
      </c>
      <c r="I1971" t="s" s="2">
        <v>7734</v>
      </c>
      <c r="J1971" t="s" s="2">
        <v>7735</v>
      </c>
      <c r="K1971" t="s" s="2">
        <v>22</v>
      </c>
      <c r="L1971" t="s" s="2">
        <v>22</v>
      </c>
      <c r="M1971" t="s" s="2">
        <v>22</v>
      </c>
    </row>
    <row r="1972" ht="25.0" customHeight="true">
      <c r="A1972" t="s" s="2">
        <v>13</v>
      </c>
      <c r="B1972" t="s" s="2">
        <f>HYPERLINK("http://ts.21cn.com/tousu/show/id/1372021","钱站高利贷")</f>
      </c>
      <c r="C1972" t="s" s="2">
        <v>15</v>
      </c>
      <c r="D1972" t="s" s="2">
        <v>16</v>
      </c>
      <c r="E1972" t="s" s="2">
        <v>17</v>
      </c>
      <c r="F1972" t="s" s="2">
        <f>HYPERLINK("http://ts.21cn.com/tousu/show/id/1372021","http://ts.21cn.com/tousu/show/id/1372021")</f>
      </c>
      <c r="G1972" t="s" s="2">
        <v>17</v>
      </c>
      <c r="H1972" t="s" s="2">
        <v>19</v>
      </c>
      <c r="I1972" t="s" s="2">
        <v>7737</v>
      </c>
      <c r="J1972" t="s" s="2">
        <v>7738</v>
      </c>
      <c r="K1972" t="s" s="2">
        <v>22</v>
      </c>
      <c r="L1972" t="s" s="2">
        <v>22</v>
      </c>
      <c r="M1972" t="s" s="2">
        <v>22</v>
      </c>
    </row>
    <row r="1973" ht="25.0" customHeight="true">
      <c r="A1973" t="s" s="2">
        <v>13</v>
      </c>
      <c r="B1973" t="s" s="2">
        <f>HYPERLINK("http://ts.21cn.com/tousu/show/id/1372020","与点筹网签订的合作协议协议标明款项周结但是八月份发的货款项一直拖点筹网也没有合理的解释")</f>
      </c>
      <c r="C1973" t="s" s="2">
        <v>52</v>
      </c>
      <c r="D1973" t="s" s="2">
        <v>16</v>
      </c>
      <c r="E1973" t="s" s="2">
        <v>17</v>
      </c>
      <c r="F1973" t="s" s="2">
        <f>HYPERLINK("http://ts.21cn.com/tousu/show/id/1372020","http://ts.21cn.com/tousu/show/id/1372020")</f>
      </c>
      <c r="G1973" t="s" s="2">
        <v>17</v>
      </c>
      <c r="H1973" t="s" s="2">
        <v>19</v>
      </c>
      <c r="I1973" t="s" s="2">
        <v>7741</v>
      </c>
      <c r="J1973" t="s" s="2">
        <v>7742</v>
      </c>
      <c r="K1973" t="s" s="2">
        <v>22</v>
      </c>
      <c r="L1973" t="s" s="2">
        <v>22</v>
      </c>
      <c r="M1973" t="s" s="2">
        <v>22</v>
      </c>
    </row>
    <row r="1974" ht="25.0" customHeight="true">
      <c r="A1974" t="s" s="2">
        <v>13</v>
      </c>
      <c r="B1974" t="s" s="2">
        <f>HYPERLINK("http://ts.21cn.com/tousu/show/id/1372019","时光分期暴力催收，恐吓，骚扰家人，同事，朋友，盗取通讯录骚扰。")</f>
      </c>
      <c r="C1974" t="s" s="2">
        <v>15</v>
      </c>
      <c r="D1974" t="s" s="2">
        <v>16</v>
      </c>
      <c r="E1974" t="s" s="2">
        <v>17</v>
      </c>
      <c r="F1974" t="s" s="2">
        <f>HYPERLINK("http://ts.21cn.com/tousu/show/id/1372019","http://ts.21cn.com/tousu/show/id/1372019")</f>
      </c>
      <c r="G1974" t="s" s="2">
        <v>17</v>
      </c>
      <c r="H1974" t="s" s="2">
        <v>19</v>
      </c>
      <c r="I1974" t="s" s="2">
        <v>7745</v>
      </c>
      <c r="J1974" t="s" s="2">
        <v>7746</v>
      </c>
      <c r="K1974" t="s" s="2">
        <v>22</v>
      </c>
      <c r="L1974" t="s" s="2">
        <v>22</v>
      </c>
      <c r="M1974" t="s" s="2">
        <v>22</v>
      </c>
    </row>
    <row r="1975" ht="25.0" customHeight="true">
      <c r="A1975" t="s" s="2">
        <v>13</v>
      </c>
      <c r="B1975" t="s" s="2">
        <f>HYPERLINK("http://ts.21cn.com/tousu/show/id/1372018","还款本金")</f>
      </c>
      <c r="C1975" t="s" s="2">
        <v>15</v>
      </c>
      <c r="D1975" t="s" s="2">
        <v>16</v>
      </c>
      <c r="E1975" t="s" s="2">
        <v>17</v>
      </c>
      <c r="F1975" t="s" s="2">
        <f>HYPERLINK("http://ts.21cn.com/tousu/show/id/1372018","http://ts.21cn.com/tousu/show/id/1372018")</f>
      </c>
      <c r="G1975" t="s" s="2">
        <v>17</v>
      </c>
      <c r="H1975" t="s" s="2">
        <v>19</v>
      </c>
      <c r="I1975" t="s" s="2">
        <v>7749</v>
      </c>
      <c r="J1975" t="s" s="2">
        <v>7750</v>
      </c>
      <c r="K1975" t="s" s="2">
        <v>22</v>
      </c>
      <c r="L1975" t="s" s="2">
        <v>22</v>
      </c>
      <c r="M1975" t="s" s="2">
        <v>22</v>
      </c>
    </row>
    <row r="1976" ht="25.0" customHeight="true">
      <c r="A1976" t="s" s="2">
        <v>13</v>
      </c>
      <c r="B1976" t="s" s="2">
        <f>HYPERLINK("http://ts.21cn.com/tousu/show/id/1372017","招联金融广告骚扰")</f>
      </c>
      <c r="C1976" t="s" s="2">
        <v>15</v>
      </c>
      <c r="D1976" t="s" s="2">
        <v>16</v>
      </c>
      <c r="E1976" t="s" s="2">
        <v>17</v>
      </c>
      <c r="F1976" t="s" s="2">
        <f>HYPERLINK("http://ts.21cn.com/tousu/show/id/1372017","http://ts.21cn.com/tousu/show/id/1372017")</f>
      </c>
      <c r="G1976" t="s" s="2">
        <v>17</v>
      </c>
      <c r="H1976" t="s" s="2">
        <v>19</v>
      </c>
      <c r="I1976" t="s" s="2">
        <v>7753</v>
      </c>
      <c r="J1976" t="s" s="2">
        <v>7754</v>
      </c>
      <c r="K1976" t="s" s="2">
        <v>22</v>
      </c>
      <c r="L1976" t="s" s="2">
        <v>22</v>
      </c>
      <c r="M1976" t="s" s="2">
        <v>22</v>
      </c>
    </row>
    <row r="1977" ht="25.0" customHeight="true">
      <c r="A1977" t="s" s="2">
        <v>13</v>
      </c>
      <c r="B1977" t="s" s="2">
        <f>HYPERLINK("http://ts.21cn.com/tousu/show/id/1372012","达飞云套路贷")</f>
      </c>
      <c r="C1977" t="s" s="2">
        <v>15</v>
      </c>
      <c r="D1977" t="s" s="2">
        <v>16</v>
      </c>
      <c r="E1977" t="s" s="2">
        <v>17</v>
      </c>
      <c r="F1977" t="s" s="2">
        <f>HYPERLINK("http://ts.21cn.com/tousu/show/id/1372012","http://ts.21cn.com/tousu/show/id/1372012")</f>
      </c>
      <c r="G1977" t="s" s="2">
        <v>17</v>
      </c>
      <c r="H1977" t="s" s="2">
        <v>19</v>
      </c>
      <c r="I1977" t="s" s="2">
        <v>7757</v>
      </c>
      <c r="J1977" t="s" s="2">
        <v>7758</v>
      </c>
      <c r="K1977" t="s" s="2">
        <v>22</v>
      </c>
      <c r="L1977" t="s" s="2">
        <v>22</v>
      </c>
      <c r="M1977" t="s" s="2">
        <v>22</v>
      </c>
    </row>
    <row r="1978" ht="25.0" customHeight="true">
      <c r="A1978" t="s" s="2">
        <v>13</v>
      </c>
      <c r="B1978" t="s" s="2">
        <f>HYPERLINK("http://ts.21cn.com/tousu/show/id/1372013","关于建设银行违约金撤销问题")</f>
      </c>
      <c r="C1978" t="s" s="2">
        <v>15</v>
      </c>
      <c r="D1978" t="s" s="2">
        <v>16</v>
      </c>
      <c r="E1978" t="s" s="2">
        <v>17</v>
      </c>
      <c r="F1978" t="s" s="2">
        <f>HYPERLINK("http://ts.21cn.com/tousu/show/id/1372013","http://ts.21cn.com/tousu/show/id/1372013")</f>
      </c>
      <c r="G1978" t="s" s="2">
        <v>17</v>
      </c>
      <c r="H1978" t="s" s="2">
        <v>19</v>
      </c>
      <c r="I1978" t="s" s="2">
        <v>7761</v>
      </c>
      <c r="J1978" t="s" s="2">
        <v>7762</v>
      </c>
      <c r="K1978" t="s" s="2">
        <v>22</v>
      </c>
      <c r="L1978" t="s" s="2">
        <v>22</v>
      </c>
      <c r="M1978" t="s" s="2">
        <v>22</v>
      </c>
    </row>
    <row r="1979" ht="25.0" customHeight="true">
      <c r="A1979" t="s" s="2">
        <v>13</v>
      </c>
      <c r="B1979" t="s" s="2">
        <f>HYPERLINK("http://ts.21cn.com/tousu/show/id/1372011","征信出现代偿记录")</f>
      </c>
      <c r="C1979" t="s" s="2">
        <v>52</v>
      </c>
      <c r="D1979" t="s" s="2">
        <v>16</v>
      </c>
      <c r="E1979" t="s" s="2">
        <v>17</v>
      </c>
      <c r="F1979" t="s" s="2">
        <f>HYPERLINK("http://ts.21cn.com/tousu/show/id/1372011","http://ts.21cn.com/tousu/show/id/1372011")</f>
      </c>
      <c r="G1979" t="s" s="2">
        <v>17</v>
      </c>
      <c r="H1979" t="s" s="2">
        <v>19</v>
      </c>
      <c r="I1979" t="s" s="2">
        <v>7765</v>
      </c>
      <c r="J1979" t="s" s="2">
        <v>7766</v>
      </c>
      <c r="K1979" t="s" s="2">
        <v>22</v>
      </c>
      <c r="L1979" t="s" s="2">
        <v>22</v>
      </c>
      <c r="M1979" t="s" s="2">
        <v>22</v>
      </c>
    </row>
    <row r="1980" ht="25.0" customHeight="true">
      <c r="A1980" t="s" s="2">
        <v>13</v>
      </c>
      <c r="B1980" t="s" s="2">
        <f>HYPERLINK("http://ts.21cn.com/tousu/show/id/1372010","骚扰")</f>
      </c>
      <c r="C1980" t="s" s="2">
        <v>15</v>
      </c>
      <c r="D1980" t="s" s="2">
        <v>16</v>
      </c>
      <c r="E1980" t="s" s="2">
        <v>17</v>
      </c>
      <c r="F1980" t="s" s="2">
        <f>HYPERLINK("http://ts.21cn.com/tousu/show/id/1372010","http://ts.21cn.com/tousu/show/id/1372010")</f>
      </c>
      <c r="G1980" t="s" s="2">
        <v>17</v>
      </c>
      <c r="H1980" t="s" s="2">
        <v>19</v>
      </c>
      <c r="I1980" t="s" s="2">
        <v>7768</v>
      </c>
      <c r="J1980" t="s" s="2">
        <v>7769</v>
      </c>
      <c r="K1980" t="s" s="2">
        <v>22</v>
      </c>
      <c r="L1980" t="s" s="2">
        <v>22</v>
      </c>
      <c r="M1980" t="s" s="2">
        <v>22</v>
      </c>
    </row>
    <row r="1981" ht="25.0" customHeight="true">
      <c r="A1981" t="s" s="2">
        <v>13</v>
      </c>
      <c r="B1981" t="s" s="2">
        <f>HYPERLINK("http://ts.21cn.com/tousu/show/id/1372009","闪银变相砍头息")</f>
      </c>
      <c r="C1981" t="s" s="2">
        <v>15</v>
      </c>
      <c r="D1981" t="s" s="2">
        <v>16</v>
      </c>
      <c r="E1981" t="s" s="2">
        <v>17</v>
      </c>
      <c r="F1981" t="s" s="2">
        <f>HYPERLINK("http://ts.21cn.com/tousu/show/id/1372009","http://ts.21cn.com/tousu/show/id/1372009")</f>
      </c>
      <c r="G1981" t="s" s="2">
        <v>17</v>
      </c>
      <c r="H1981" t="s" s="2">
        <v>19</v>
      </c>
      <c r="I1981" t="s" s="2">
        <v>7772</v>
      </c>
      <c r="J1981" t="s" s="2">
        <v>7773</v>
      </c>
      <c r="K1981" t="s" s="2">
        <v>22</v>
      </c>
      <c r="L1981" t="s" s="2">
        <v>22</v>
      </c>
      <c r="M1981" t="s" s="2">
        <v>22</v>
      </c>
    </row>
    <row r="1982" ht="25.0" customHeight="true">
      <c r="A1982" t="s" s="2">
        <v>13</v>
      </c>
      <c r="B1982" t="s" s="2">
        <f>HYPERLINK("http://ts.21cn.com/tousu/show/id/1371978","恶意收取费用并且跑路，请立即退还我全部款项")</f>
      </c>
      <c r="C1982" t="s" s="2">
        <v>15</v>
      </c>
      <c r="D1982" t="s" s="2">
        <v>16</v>
      </c>
      <c r="E1982" t="s" s="2">
        <v>17</v>
      </c>
      <c r="F1982" t="s" s="2">
        <f>HYPERLINK("http://ts.21cn.com/tousu/show/id/1371978","http://ts.21cn.com/tousu/show/id/1371978")</f>
      </c>
      <c r="G1982" t="s" s="2">
        <v>17</v>
      </c>
      <c r="H1982" t="s" s="2">
        <v>19</v>
      </c>
      <c r="I1982" t="s" s="2">
        <v>7776</v>
      </c>
      <c r="J1982" t="s" s="2">
        <v>7777</v>
      </c>
      <c r="K1982" t="s" s="2">
        <v>22</v>
      </c>
      <c r="L1982" t="s" s="2">
        <v>22</v>
      </c>
      <c r="M1982" t="s" s="2">
        <v>22</v>
      </c>
    </row>
    <row r="1983" ht="25.0" customHeight="true">
      <c r="A1983" t="s" s="2">
        <v>13</v>
      </c>
      <c r="B1983" t="s" s="2">
        <f>HYPERLINK("http://ts.21cn.com/tousu/show/id/1372008","翼支付捆绑保费保费远超利息")</f>
      </c>
      <c r="C1983" t="s" s="2">
        <v>15</v>
      </c>
      <c r="D1983" t="s" s="2">
        <v>16</v>
      </c>
      <c r="E1983" t="s" s="2">
        <v>17</v>
      </c>
      <c r="F1983" t="s" s="2">
        <f>HYPERLINK("http://ts.21cn.com/tousu/show/id/1372008","http://ts.21cn.com/tousu/show/id/1372008")</f>
      </c>
      <c r="G1983" t="s" s="2">
        <v>17</v>
      </c>
      <c r="H1983" t="s" s="2">
        <v>19</v>
      </c>
      <c r="I1983" t="s" s="2">
        <v>7780</v>
      </c>
      <c r="J1983" t="s" s="2">
        <v>7781</v>
      </c>
      <c r="K1983" t="s" s="2">
        <v>22</v>
      </c>
      <c r="L1983" t="s" s="2">
        <v>22</v>
      </c>
      <c r="M1983" t="s" s="2">
        <v>22</v>
      </c>
    </row>
    <row r="1984" ht="25.0" customHeight="true">
      <c r="A1984" t="s" s="2">
        <v>13</v>
      </c>
      <c r="B1984" t="s" s="2">
        <f>HYPERLINK("http://ts.21cn.com/tousu/show/id/1372007","浦发信用卡中心")</f>
      </c>
      <c r="C1984" t="s" s="2">
        <v>15</v>
      </c>
      <c r="D1984" t="s" s="2">
        <v>16</v>
      </c>
      <c r="E1984" t="s" s="2">
        <v>17</v>
      </c>
      <c r="F1984" t="s" s="2">
        <f>HYPERLINK("http://ts.21cn.com/tousu/show/id/1372007","http://ts.21cn.com/tousu/show/id/1372007")</f>
      </c>
      <c r="G1984" t="s" s="2">
        <v>17</v>
      </c>
      <c r="H1984" t="s" s="2">
        <v>19</v>
      </c>
      <c r="I1984" t="s" s="2">
        <v>7783</v>
      </c>
      <c r="J1984" t="s" s="2">
        <v>7784</v>
      </c>
      <c r="K1984" t="s" s="2">
        <v>22</v>
      </c>
      <c r="L1984" t="s" s="2">
        <v>22</v>
      </c>
      <c r="M1984" t="s" s="2">
        <v>22</v>
      </c>
    </row>
    <row r="1985" ht="25.0" customHeight="true">
      <c r="A1985" t="s" s="2">
        <v>13</v>
      </c>
      <c r="B1985" t="s" s="2">
        <f>HYPERLINK("http://ts.21cn.com/tousu/show/id/1372006","拇指下款在不知情的情况下扣我卡里的钱")</f>
      </c>
      <c r="C1985" t="s" s="2">
        <v>15</v>
      </c>
      <c r="D1985" t="s" s="2">
        <v>16</v>
      </c>
      <c r="E1985" t="s" s="2">
        <v>17</v>
      </c>
      <c r="F1985" t="s" s="2">
        <f>HYPERLINK("http://ts.21cn.com/tousu/show/id/1372006","http://ts.21cn.com/tousu/show/id/1372006")</f>
      </c>
      <c r="G1985" t="s" s="2">
        <v>17</v>
      </c>
      <c r="H1985" t="s" s="2">
        <v>19</v>
      </c>
      <c r="I1985" t="s" s="2">
        <v>7787</v>
      </c>
      <c r="J1985" t="s" s="2">
        <v>7788</v>
      </c>
      <c r="K1985" t="s" s="2">
        <v>22</v>
      </c>
      <c r="L1985" t="s" s="2">
        <v>22</v>
      </c>
      <c r="M1985" t="s" s="2">
        <v>22</v>
      </c>
    </row>
    <row r="1986" ht="25.0" customHeight="true">
      <c r="A1986" t="s" s="2">
        <v>13</v>
      </c>
      <c r="B1986" t="s" s="2">
        <f>HYPERLINK("http://ts.21cn.com/tousu/show/id/1372005","骚扰到我的朋友家人了")</f>
      </c>
      <c r="C1986" t="s" s="2">
        <v>15</v>
      </c>
      <c r="D1986" t="s" s="2">
        <v>16</v>
      </c>
      <c r="E1986" t="s" s="2">
        <v>17</v>
      </c>
      <c r="F1986" t="s" s="2">
        <f>HYPERLINK("http://ts.21cn.com/tousu/show/id/1372005","http://ts.21cn.com/tousu/show/id/1372005")</f>
      </c>
      <c r="G1986" t="s" s="2">
        <v>17</v>
      </c>
      <c r="H1986" t="s" s="2">
        <v>19</v>
      </c>
      <c r="I1986" t="s" s="2">
        <v>7791</v>
      </c>
      <c r="J1986" t="s" s="2">
        <v>7792</v>
      </c>
      <c r="K1986" t="s" s="2">
        <v>22</v>
      </c>
      <c r="L1986" t="s" s="2">
        <v>22</v>
      </c>
      <c r="M1986" t="s" s="2">
        <v>22</v>
      </c>
    </row>
    <row r="1987" ht="25.0" customHeight="true">
      <c r="A1987" t="s" s="2">
        <v>13</v>
      </c>
      <c r="B1987" t="s" s="2">
        <f>HYPERLINK("http://ts.21cn.com/tousu/show/id/1372004","捷信消费金融高利贷")</f>
      </c>
      <c r="C1987" t="s" s="2">
        <v>15</v>
      </c>
      <c r="D1987" t="s" s="2">
        <v>16</v>
      </c>
      <c r="E1987" t="s" s="2">
        <v>17</v>
      </c>
      <c r="F1987" t="s" s="2">
        <f>HYPERLINK("http://ts.21cn.com/tousu/show/id/1372004","http://ts.21cn.com/tousu/show/id/1372004")</f>
      </c>
      <c r="G1987" t="s" s="2">
        <v>17</v>
      </c>
      <c r="H1987" t="s" s="2">
        <v>19</v>
      </c>
      <c r="I1987" t="s" s="2">
        <v>7795</v>
      </c>
      <c r="J1987" t="s" s="2">
        <v>7796</v>
      </c>
      <c r="K1987" t="s" s="2">
        <v>22</v>
      </c>
      <c r="L1987" t="s" s="2">
        <v>22</v>
      </c>
      <c r="M1987" t="s" s="2">
        <v>22</v>
      </c>
    </row>
    <row r="1988" ht="25.0" customHeight="true">
      <c r="A1988" t="s" s="2">
        <v>13</v>
      </c>
      <c r="B1988" t="s" s="2">
        <f>HYPERLINK("http://ts.21cn.com/tousu/show/id/1372003","你我贷，拍拍贷，洋钱罐，钱伴，信用钱包，亨分期恶意催收，爆通讯录")</f>
      </c>
      <c r="C1988" t="s" s="2">
        <v>15</v>
      </c>
      <c r="D1988" t="s" s="2">
        <v>16</v>
      </c>
      <c r="E1988" t="s" s="2">
        <v>17</v>
      </c>
      <c r="F1988" t="s" s="2">
        <f>HYPERLINK("http://ts.21cn.com/tousu/show/id/1372003","http://ts.21cn.com/tousu/show/id/1372003")</f>
      </c>
      <c r="G1988" t="s" s="2">
        <v>17</v>
      </c>
      <c r="H1988" t="s" s="2">
        <v>19</v>
      </c>
      <c r="I1988" t="s" s="2">
        <v>7799</v>
      </c>
      <c r="J1988" t="s" s="2">
        <v>7800</v>
      </c>
      <c r="K1988" t="s" s="2">
        <v>22</v>
      </c>
      <c r="L1988" t="s" s="2">
        <v>22</v>
      </c>
      <c r="M1988" t="s" s="2">
        <v>22</v>
      </c>
    </row>
    <row r="1989" ht="25.0" customHeight="true">
      <c r="A1989" t="s" s="2">
        <v>13</v>
      </c>
      <c r="B1989" t="s" s="2">
        <f>HYPERLINK("http://ts.21cn.com/tousu/show/id/1372002","小花钱包")</f>
      </c>
      <c r="C1989" t="s" s="2">
        <v>15</v>
      </c>
      <c r="D1989" t="s" s="2">
        <v>16</v>
      </c>
      <c r="E1989" t="s" s="2">
        <v>17</v>
      </c>
      <c r="F1989" t="s" s="2">
        <f>HYPERLINK("http://ts.21cn.com/tousu/show/id/1372002","http://ts.21cn.com/tousu/show/id/1372002")</f>
      </c>
      <c r="G1989" t="s" s="2">
        <v>17</v>
      </c>
      <c r="H1989" t="s" s="2">
        <v>19</v>
      </c>
      <c r="I1989" t="s" s="2">
        <v>7803</v>
      </c>
      <c r="J1989" t="s" s="2">
        <v>7804</v>
      </c>
      <c r="K1989" t="s" s="2">
        <v>22</v>
      </c>
      <c r="L1989" t="s" s="2">
        <v>22</v>
      </c>
      <c r="M1989" t="s" s="2">
        <v>22</v>
      </c>
    </row>
    <row r="1990" ht="25.0" customHeight="true">
      <c r="A1990" t="s" s="2">
        <v>13</v>
      </c>
      <c r="B1990" t="s" s="2">
        <f>HYPERLINK("http://ts.21cn.com/tousu/show/id/1372001","佰仟金融旗下买买乐购暴力催收")</f>
      </c>
      <c r="C1990" t="s" s="2">
        <v>15</v>
      </c>
      <c r="D1990" t="s" s="2">
        <v>16</v>
      </c>
      <c r="E1990" t="s" s="2">
        <v>17</v>
      </c>
      <c r="F1990" t="s" s="2">
        <f>HYPERLINK("http://ts.21cn.com/tousu/show/id/1372001","http://ts.21cn.com/tousu/show/id/1372001")</f>
      </c>
      <c r="G1990" t="s" s="2">
        <v>17</v>
      </c>
      <c r="H1990" t="s" s="2">
        <v>19</v>
      </c>
      <c r="I1990" t="s" s="2">
        <v>7807</v>
      </c>
      <c r="J1990" t="s" s="2">
        <v>7808</v>
      </c>
      <c r="K1990" t="s" s="2">
        <v>22</v>
      </c>
      <c r="L1990" t="s" s="2">
        <v>22</v>
      </c>
      <c r="M1990" t="s" s="2">
        <v>22</v>
      </c>
    </row>
    <row r="1991" ht="25.0" customHeight="true">
      <c r="A1991" t="s" s="2">
        <v>13</v>
      </c>
      <c r="B1991" t="s" s="2">
        <f>HYPERLINK("http://ts.21cn.com/tousu/show/id/1372000","给了手续费不下款")</f>
      </c>
      <c r="C1991" t="s" s="2">
        <v>15</v>
      </c>
      <c r="D1991" t="s" s="2">
        <v>16</v>
      </c>
      <c r="E1991" t="s" s="2">
        <v>17</v>
      </c>
      <c r="F1991" t="s" s="2">
        <f>HYPERLINK("http://ts.21cn.com/tousu/show/id/1372000","http://ts.21cn.com/tousu/show/id/1372000")</f>
      </c>
      <c r="G1991" t="s" s="2">
        <v>17</v>
      </c>
      <c r="H1991" t="s" s="2">
        <v>19</v>
      </c>
      <c r="I1991" t="s" s="2">
        <v>7811</v>
      </c>
      <c r="J1991" t="s" s="2">
        <v>7812</v>
      </c>
      <c r="K1991" t="s" s="2">
        <v>22</v>
      </c>
      <c r="L1991" t="s" s="2">
        <v>22</v>
      </c>
      <c r="M1991" t="s" s="2">
        <v>22</v>
      </c>
    </row>
    <row r="1992" ht="25.0" customHeight="true">
      <c r="A1992" t="s" s="2">
        <v>13</v>
      </c>
      <c r="B1992" t="s" s="2">
        <f>HYPERLINK("http://ts.21cn.com/tousu/show/id/1371998","百事普惠恶意扣款")</f>
      </c>
      <c r="C1992" t="s" s="2">
        <v>15</v>
      </c>
      <c r="D1992" t="s" s="2">
        <v>16</v>
      </c>
      <c r="E1992" t="s" s="2">
        <v>17</v>
      </c>
      <c r="F1992" t="s" s="2">
        <f>HYPERLINK("http://ts.21cn.com/tousu/show/id/1371998","http://ts.21cn.com/tousu/show/id/1371998")</f>
      </c>
      <c r="G1992" t="s" s="2">
        <v>17</v>
      </c>
      <c r="H1992" t="s" s="2">
        <v>19</v>
      </c>
      <c r="I1992" t="s" s="2">
        <v>7814</v>
      </c>
      <c r="J1992" t="s" s="2">
        <v>7815</v>
      </c>
      <c r="K1992" t="s" s="2">
        <v>22</v>
      </c>
      <c r="L1992" t="s" s="2">
        <v>22</v>
      </c>
      <c r="M1992" t="s" s="2">
        <v>22</v>
      </c>
    </row>
    <row r="1993" ht="25.0" customHeight="true">
      <c r="A1993" t="s" s="2">
        <v>13</v>
      </c>
      <c r="B1993" t="s" s="2">
        <f>HYPERLINK("http://ts.21cn.com/tousu/show/id/1371999","有用分期高利贷")</f>
      </c>
      <c r="C1993" t="s" s="2">
        <v>15</v>
      </c>
      <c r="D1993" t="s" s="2">
        <v>16</v>
      </c>
      <c r="E1993" t="s" s="2">
        <v>17</v>
      </c>
      <c r="F1993" t="s" s="2">
        <f>HYPERLINK("http://ts.21cn.com/tousu/show/id/1371999","http://ts.21cn.com/tousu/show/id/1371999")</f>
      </c>
      <c r="G1993" t="s" s="2">
        <v>17</v>
      </c>
      <c r="H1993" t="s" s="2">
        <v>19</v>
      </c>
      <c r="I1993" t="s" s="2">
        <v>7818</v>
      </c>
      <c r="J1993" t="s" s="2">
        <v>7819</v>
      </c>
      <c r="K1993" t="s" s="2">
        <v>22</v>
      </c>
      <c r="L1993" t="s" s="2">
        <v>22</v>
      </c>
      <c r="M1993" t="s" s="2">
        <v>22</v>
      </c>
    </row>
    <row r="1994" ht="25.0" customHeight="true">
      <c r="A1994" t="s" s="2">
        <v>13</v>
      </c>
      <c r="B1994" t="s" s="2">
        <f>HYPERLINK("http://ts.21cn.com/tousu/show/id/1371997","自主扣款")</f>
      </c>
      <c r="C1994" t="s" s="2">
        <v>15</v>
      </c>
      <c r="D1994" t="s" s="2">
        <v>16</v>
      </c>
      <c r="E1994" t="s" s="2">
        <v>17</v>
      </c>
      <c r="F1994" t="s" s="2">
        <f>HYPERLINK("http://ts.21cn.com/tousu/show/id/1371997","http://ts.21cn.com/tousu/show/id/1371997")</f>
      </c>
      <c r="G1994" t="s" s="2">
        <v>17</v>
      </c>
      <c r="H1994" t="s" s="2">
        <v>19</v>
      </c>
      <c r="I1994" t="s" s="2">
        <v>7822</v>
      </c>
      <c r="J1994" t="s" s="2">
        <v>7823</v>
      </c>
      <c r="K1994" t="s" s="2">
        <v>22</v>
      </c>
      <c r="L1994" t="s" s="2">
        <v>22</v>
      </c>
      <c r="M1994" t="s" s="2">
        <v>22</v>
      </c>
    </row>
    <row r="1995" ht="25.0" customHeight="true">
      <c r="A1995" t="s" s="2">
        <v>13</v>
      </c>
      <c r="B1995" t="s" s="2">
        <f>HYPERLINK("http://ts.21cn.com/tousu/show/id/1371996","闪电借款恶意性骚扰")</f>
      </c>
      <c r="C1995" t="s" s="2">
        <v>15</v>
      </c>
      <c r="D1995" t="s" s="2">
        <v>16</v>
      </c>
      <c r="E1995" t="s" s="2">
        <v>17</v>
      </c>
      <c r="F1995" t="s" s="2">
        <f>HYPERLINK("http://ts.21cn.com/tousu/show/id/1371996","http://ts.21cn.com/tousu/show/id/1371996")</f>
      </c>
      <c r="G1995" t="s" s="2">
        <v>17</v>
      </c>
      <c r="H1995" t="s" s="2">
        <v>19</v>
      </c>
      <c r="I1995" t="s" s="2">
        <v>7826</v>
      </c>
      <c r="J1995" t="s" s="2">
        <v>7827</v>
      </c>
      <c r="K1995" t="s" s="2">
        <v>22</v>
      </c>
      <c r="L1995" t="s" s="2">
        <v>22</v>
      </c>
      <c r="M1995" t="s" s="2">
        <v>22</v>
      </c>
    </row>
    <row r="1996" ht="25.0" customHeight="true">
      <c r="A1996" t="s" s="2">
        <v>13</v>
      </c>
      <c r="B1996" t="s" s="2">
        <f>HYPERLINK("http://ts.21cn.com/tousu/show/id/1371995","拉牛瑞贷高利贷，暴力催收")</f>
      </c>
      <c r="C1996" t="s" s="2">
        <v>15</v>
      </c>
      <c r="D1996" t="s" s="2">
        <v>16</v>
      </c>
      <c r="E1996" t="s" s="2">
        <v>17</v>
      </c>
      <c r="F1996" t="s" s="2">
        <f>HYPERLINK("http://ts.21cn.com/tousu/show/id/1371995","http://ts.21cn.com/tousu/show/id/1371995")</f>
      </c>
      <c r="G1996" t="s" s="2">
        <v>17</v>
      </c>
      <c r="H1996" t="s" s="2">
        <v>19</v>
      </c>
      <c r="I1996" t="s" s="2">
        <v>7830</v>
      </c>
      <c r="J1996" t="s" s="2">
        <v>7831</v>
      </c>
      <c r="K1996" t="s" s="2">
        <v>22</v>
      </c>
      <c r="L1996" t="s" s="2">
        <v>22</v>
      </c>
      <c r="M1996" t="s" s="2">
        <v>22</v>
      </c>
    </row>
    <row r="1997" ht="25.0" customHeight="true">
      <c r="A1997" t="s" s="2">
        <v>13</v>
      </c>
      <c r="B1997" t="s" s="2">
        <f>HYPERLINK("http://ts.21cn.com/tousu/show/id/1371994","账号用不了")</f>
      </c>
      <c r="C1997" t="s" s="2">
        <v>52</v>
      </c>
      <c r="D1997" t="s" s="2">
        <v>16</v>
      </c>
      <c r="E1997" t="s" s="2">
        <v>17</v>
      </c>
      <c r="F1997" t="s" s="2">
        <f>HYPERLINK("http://ts.21cn.com/tousu/show/id/1371994","http://ts.21cn.com/tousu/show/id/1371994")</f>
      </c>
      <c r="G1997" t="s" s="2">
        <v>17</v>
      </c>
      <c r="H1997" t="s" s="2">
        <v>19</v>
      </c>
      <c r="I1997" t="s" s="2">
        <v>7834</v>
      </c>
      <c r="J1997" t="s" s="2">
        <v>7835</v>
      </c>
      <c r="K1997" t="s" s="2">
        <v>22</v>
      </c>
      <c r="L1997" t="s" s="2">
        <v>22</v>
      </c>
      <c r="M1997" t="s" s="2">
        <v>22</v>
      </c>
    </row>
    <row r="1998" ht="25.0" customHeight="true">
      <c r="A1998" t="s" s="2">
        <v>13</v>
      </c>
      <c r="B1998" t="s" s="2">
        <f>HYPERLINK("http://ts.21cn.com/tousu/show/id/1371993","短信骚扰")</f>
      </c>
      <c r="C1998" t="s" s="2">
        <v>15</v>
      </c>
      <c r="D1998" t="s" s="2">
        <v>16</v>
      </c>
      <c r="E1998" t="s" s="2">
        <v>17</v>
      </c>
      <c r="F1998" t="s" s="2">
        <f>HYPERLINK("http://ts.21cn.com/tousu/show/id/1371993","http://ts.21cn.com/tousu/show/id/1371993")</f>
      </c>
      <c r="G1998" t="s" s="2">
        <v>17</v>
      </c>
      <c r="H1998" t="s" s="2">
        <v>19</v>
      </c>
      <c r="I1998" t="s" s="2">
        <v>7838</v>
      </c>
      <c r="J1998" t="s" s="2">
        <v>7839</v>
      </c>
      <c r="K1998" t="s" s="2">
        <v>22</v>
      </c>
      <c r="L1998" t="s" s="2">
        <v>22</v>
      </c>
      <c r="M1998" t="s" s="2">
        <v>22</v>
      </c>
    </row>
    <row r="1999" ht="25.0" customHeight="true">
      <c r="A1999" t="s" s="2">
        <v>13</v>
      </c>
      <c r="B1999" t="s" s="2">
        <f>HYPERLINK("http://ts.21cn.com/tousu/show/id/1371991","车速递杭州分公司不退押金")</f>
      </c>
      <c r="C1999" t="s" s="2">
        <v>15</v>
      </c>
      <c r="D1999" t="s" s="2">
        <v>16</v>
      </c>
      <c r="E1999" t="s" s="2">
        <v>17</v>
      </c>
      <c r="F1999" t="s" s="2">
        <f>HYPERLINK("http://ts.21cn.com/tousu/show/id/1371991","http://ts.21cn.com/tousu/show/id/1371991")</f>
      </c>
      <c r="G1999" t="s" s="2">
        <v>17</v>
      </c>
      <c r="H1999" t="s" s="2">
        <v>19</v>
      </c>
      <c r="I1999" t="s" s="2">
        <v>7842</v>
      </c>
      <c r="J1999" t="s" s="2">
        <v>7843</v>
      </c>
      <c r="K1999" t="s" s="2">
        <v>22</v>
      </c>
      <c r="L1999" t="s" s="2">
        <v>22</v>
      </c>
      <c r="M1999" t="s" s="2">
        <v>22</v>
      </c>
    </row>
    <row r="2000" ht="25.0" customHeight="true">
      <c r="A2000" t="s" s="2">
        <v>13</v>
      </c>
      <c r="B2000" t="s" s="2">
        <f>HYPERLINK("http://ts.21cn.com/tousu/show/id/1371992","樱桃小借高额砍头息套路贷巨额逾期费用")</f>
      </c>
      <c r="C2000" t="s" s="2">
        <v>15</v>
      </c>
      <c r="D2000" t="s" s="2">
        <v>16</v>
      </c>
      <c r="E2000" t="s" s="2">
        <v>17</v>
      </c>
      <c r="F2000" t="s" s="2">
        <f>HYPERLINK("http://ts.21cn.com/tousu/show/id/1371992","http://ts.21cn.com/tousu/show/id/1371992")</f>
      </c>
      <c r="G2000" t="s" s="2">
        <v>17</v>
      </c>
      <c r="H2000" t="s" s="2">
        <v>19</v>
      </c>
      <c r="I2000" t="s" s="2">
        <v>7846</v>
      </c>
      <c r="J2000" t="s" s="2">
        <v>7847</v>
      </c>
      <c r="K2000" t="s" s="2">
        <v>22</v>
      </c>
      <c r="L2000" t="s" s="2">
        <v>22</v>
      </c>
      <c r="M2000" t="s" s="2">
        <v>22</v>
      </c>
    </row>
    <row r="2001" ht="25.0" customHeight="true">
      <c r="A2001" t="s" s="2">
        <v>13</v>
      </c>
      <c r="B2001" t="s" s="2">
        <f>HYPERLINK("http://ts.21cn.com/tousu/show/id/1371990","暴力收款")</f>
      </c>
      <c r="C2001" t="s" s="2">
        <v>15</v>
      </c>
      <c r="D2001" t="s" s="2">
        <v>16</v>
      </c>
      <c r="E2001" t="s" s="2">
        <v>17</v>
      </c>
      <c r="F2001" t="s" s="2">
        <f>HYPERLINK("http://ts.21cn.com/tousu/show/id/1371990","http://ts.21cn.com/tousu/show/id/1371990")</f>
      </c>
      <c r="G2001" t="s" s="2">
        <v>17</v>
      </c>
      <c r="H2001" t="s" s="2">
        <v>19</v>
      </c>
      <c r="I2001" t="s" s="2">
        <v>7850</v>
      </c>
      <c r="J2001" t="s" s="2">
        <v>7851</v>
      </c>
      <c r="K2001" t="s" s="2">
        <v>22</v>
      </c>
      <c r="L2001" t="s" s="2">
        <v>22</v>
      </c>
      <c r="M2001" t="s" s="2">
        <v>22</v>
      </c>
    </row>
    <row r="2002" ht="25.0" customHeight="true">
      <c r="A2002" t="s" s="2">
        <v>13</v>
      </c>
      <c r="B2002" t="s" s="2">
        <f>HYPERLINK("http://ts.21cn.com/tousu/show/id/1371989","平安普惠冒充法院，公安，律师进行电话恐吓以及骚扰")</f>
      </c>
      <c r="C2002" t="s" s="2">
        <v>15</v>
      </c>
      <c r="D2002" t="s" s="2">
        <v>16</v>
      </c>
      <c r="E2002" t="s" s="2">
        <v>17</v>
      </c>
      <c r="F2002" t="s" s="2">
        <f>HYPERLINK("http://ts.21cn.com/tousu/show/id/1371989","http://ts.21cn.com/tousu/show/id/1371989")</f>
      </c>
      <c r="G2002" t="s" s="2">
        <v>17</v>
      </c>
      <c r="H2002" t="s" s="2">
        <v>19</v>
      </c>
      <c r="I2002" t="s" s="2">
        <v>7854</v>
      </c>
      <c r="J2002" t="s" s="2">
        <v>7855</v>
      </c>
      <c r="K2002" t="s" s="2">
        <v>22</v>
      </c>
      <c r="L2002" t="s" s="2">
        <v>22</v>
      </c>
      <c r="M2002" t="s" s="2">
        <v>22</v>
      </c>
    </row>
    <row r="2003" ht="25.0" customHeight="true">
      <c r="A2003" t="s" s="2">
        <v>13</v>
      </c>
      <c r="B2003" t="s" s="2">
        <f>HYPERLINK("http://ts.21cn.com/tousu/show/id/1371988","协融借网贷平台有高利贷行为")</f>
      </c>
      <c r="C2003" t="s" s="2">
        <v>15</v>
      </c>
      <c r="D2003" t="s" s="2">
        <v>16</v>
      </c>
      <c r="E2003" t="s" s="2">
        <v>17</v>
      </c>
      <c r="F2003" t="s" s="2">
        <f>HYPERLINK("http://ts.21cn.com/tousu/show/id/1371988","http://ts.21cn.com/tousu/show/id/1371988")</f>
      </c>
      <c r="G2003" t="s" s="2">
        <v>17</v>
      </c>
      <c r="H2003" t="s" s="2">
        <v>19</v>
      </c>
      <c r="I2003" t="s" s="2">
        <v>7858</v>
      </c>
      <c r="J2003" t="s" s="2">
        <v>7859</v>
      </c>
      <c r="K2003" t="s" s="2">
        <v>22</v>
      </c>
      <c r="L2003" t="s" s="2">
        <v>22</v>
      </c>
      <c r="M2003" t="s" s="2">
        <v>22</v>
      </c>
    </row>
    <row r="2004" ht="25.0" customHeight="true">
      <c r="A2004" t="s" s="2">
        <v>13</v>
      </c>
      <c r="B2004" t="s" s="2">
        <f>HYPERLINK("http://ts.21cn.com/tousu/show/id/1371987","辱骂家人")</f>
      </c>
      <c r="C2004" t="s" s="2">
        <v>15</v>
      </c>
      <c r="D2004" t="s" s="2">
        <v>16</v>
      </c>
      <c r="E2004" t="s" s="2">
        <v>17</v>
      </c>
      <c r="F2004" t="s" s="2">
        <f>HYPERLINK("http://ts.21cn.com/tousu/show/id/1371987","http://ts.21cn.com/tousu/show/id/1371987")</f>
      </c>
      <c r="G2004" t="s" s="2">
        <v>17</v>
      </c>
      <c r="H2004" t="s" s="2">
        <v>19</v>
      </c>
      <c r="I2004" t="s" s="2">
        <v>7862</v>
      </c>
      <c r="J2004" t="s" s="2">
        <v>7863</v>
      </c>
      <c r="K2004" t="s" s="2">
        <v>22</v>
      </c>
      <c r="L2004" t="s" s="2">
        <v>22</v>
      </c>
      <c r="M2004" t="s" s="2">
        <v>22</v>
      </c>
    </row>
    <row r="2005" ht="25.0" customHeight="true">
      <c r="A2005" t="s" s="2">
        <v>13</v>
      </c>
      <c r="B2005" t="s" s="2">
        <f>HYPERLINK("http://ts.21cn.com/tousu/show/id/1371986","钱站高利贷，恶意骚扰通讯录")</f>
      </c>
      <c r="C2005" t="s" s="2">
        <v>15</v>
      </c>
      <c r="D2005" t="s" s="2">
        <v>16</v>
      </c>
      <c r="E2005" t="s" s="2">
        <v>17</v>
      </c>
      <c r="F2005" t="s" s="2">
        <f>HYPERLINK("http://ts.21cn.com/tousu/show/id/1371986","http://ts.21cn.com/tousu/show/id/1371986")</f>
      </c>
      <c r="G2005" t="s" s="2">
        <v>17</v>
      </c>
      <c r="H2005" t="s" s="2">
        <v>19</v>
      </c>
      <c r="I2005" t="s" s="2">
        <v>7866</v>
      </c>
      <c r="J2005" t="s" s="2">
        <v>7867</v>
      </c>
      <c r="K2005" t="s" s="2">
        <v>22</v>
      </c>
      <c r="L2005" t="s" s="2">
        <v>22</v>
      </c>
      <c r="M2005" t="s" s="2">
        <v>22</v>
      </c>
    </row>
    <row r="2006" ht="25.0" customHeight="true">
      <c r="A2006" t="s" s="2">
        <v>13</v>
      </c>
      <c r="B2006" t="s" s="2">
        <f>HYPERLINK("http://ts.21cn.com/tousu/show/id/1371985","遵义湘江投资公司违规操作售房")</f>
      </c>
      <c r="C2006" t="s" s="2">
        <v>15</v>
      </c>
      <c r="D2006" t="s" s="2">
        <v>16</v>
      </c>
      <c r="E2006" t="s" s="2">
        <v>17</v>
      </c>
      <c r="F2006" t="s" s="2">
        <f>HYPERLINK("http://ts.21cn.com/tousu/show/id/1371985","http://ts.21cn.com/tousu/show/id/1371985")</f>
      </c>
      <c r="G2006" t="s" s="2">
        <v>17</v>
      </c>
      <c r="H2006" t="s" s="2">
        <v>19</v>
      </c>
      <c r="I2006" t="s" s="2">
        <v>7870</v>
      </c>
      <c r="J2006" t="s" s="2">
        <v>7871</v>
      </c>
      <c r="K2006" t="s" s="2">
        <v>22</v>
      </c>
      <c r="L2006" t="s" s="2">
        <v>22</v>
      </c>
      <c r="M2006" t="s" s="2">
        <v>22</v>
      </c>
    </row>
    <row r="2007" ht="25.0" customHeight="true">
      <c r="A2007" t="s" s="2">
        <v>13</v>
      </c>
      <c r="B2007" t="s" s="2">
        <f>HYPERLINK("http://ts.21cn.com/tousu/show/id/1371983","捷信恶意改合同收费")</f>
      </c>
      <c r="C2007" t="s" s="2">
        <v>15</v>
      </c>
      <c r="D2007" t="s" s="2">
        <v>16</v>
      </c>
      <c r="E2007" t="s" s="2">
        <v>17</v>
      </c>
      <c r="F2007" t="s" s="2">
        <f>HYPERLINK("http://ts.21cn.com/tousu/show/id/1371983","http://ts.21cn.com/tousu/show/id/1371983")</f>
      </c>
      <c r="G2007" t="s" s="2">
        <v>17</v>
      </c>
      <c r="H2007" t="s" s="2">
        <v>19</v>
      </c>
      <c r="I2007" t="s" s="2">
        <v>7874</v>
      </c>
      <c r="J2007" t="s" s="2">
        <v>7875</v>
      </c>
      <c r="K2007" t="s" s="2">
        <v>22</v>
      </c>
      <c r="L2007" t="s" s="2">
        <v>22</v>
      </c>
      <c r="M2007" t="s" s="2">
        <v>22</v>
      </c>
    </row>
    <row r="2008" ht="25.0" customHeight="true">
      <c r="A2008" t="s" s="2">
        <v>13</v>
      </c>
      <c r="B2008" t="s" s="2">
        <f>HYPERLINK("http://ts.21cn.com/tousu/show/id/1371982","正常使用超盟金服二维码，资金无故被冻结，按要求多次提交了所有资料仍不放款")</f>
      </c>
      <c r="C2008" t="s" s="2">
        <v>15</v>
      </c>
      <c r="D2008" t="s" s="2">
        <v>16</v>
      </c>
      <c r="E2008" t="s" s="2">
        <v>17</v>
      </c>
      <c r="F2008" t="s" s="2">
        <f>HYPERLINK("http://ts.21cn.com/tousu/show/id/1371982","http://ts.21cn.com/tousu/show/id/1371982")</f>
      </c>
      <c r="G2008" t="s" s="2">
        <v>17</v>
      </c>
      <c r="H2008" t="s" s="2">
        <v>19</v>
      </c>
      <c r="I2008" t="s" s="2">
        <v>7878</v>
      </c>
      <c r="J2008" t="s" s="2">
        <v>7879</v>
      </c>
      <c r="K2008" t="s" s="2">
        <v>22</v>
      </c>
      <c r="L2008" t="s" s="2">
        <v>22</v>
      </c>
      <c r="M2008" t="s" s="2">
        <v>22</v>
      </c>
    </row>
    <row r="2009" ht="25.0" customHeight="true">
      <c r="A2009" t="s" s="2">
        <v>13</v>
      </c>
      <c r="B2009" t="s" s="2">
        <f>HYPERLINK("http://ts.21cn.com/tousu/show/id/1371984","普惠快信恶意催收")</f>
      </c>
      <c r="C2009" t="s" s="2">
        <v>15</v>
      </c>
      <c r="D2009" t="s" s="2">
        <v>16</v>
      </c>
      <c r="E2009" t="s" s="2">
        <v>17</v>
      </c>
      <c r="F2009" t="s" s="2">
        <f>HYPERLINK("http://ts.21cn.com/tousu/show/id/1371984","http://ts.21cn.com/tousu/show/id/1371984")</f>
      </c>
      <c r="G2009" t="s" s="2">
        <v>17</v>
      </c>
      <c r="H2009" t="s" s="2">
        <v>19</v>
      </c>
      <c r="I2009" t="s" s="2">
        <v>7882</v>
      </c>
      <c r="J2009" t="s" s="2">
        <v>7883</v>
      </c>
      <c r="K2009" t="s" s="2">
        <v>22</v>
      </c>
      <c r="L2009" t="s" s="2">
        <v>22</v>
      </c>
      <c r="M2009" t="s" s="2">
        <v>22</v>
      </c>
    </row>
    <row r="2010" ht="25.0" customHeight="true">
      <c r="A2010" t="s" s="2">
        <v>13</v>
      </c>
      <c r="B2010" t="s" s="2">
        <f>HYPERLINK("http://ts.21cn.com/tousu/show/id/1371981","投诉美团重庆三快小额贷款暴力催收，爆通讯录进行口头谩骂")</f>
      </c>
      <c r="C2010" t="s" s="2">
        <v>15</v>
      </c>
      <c r="D2010" t="s" s="2">
        <v>16</v>
      </c>
      <c r="E2010" t="s" s="2">
        <v>17</v>
      </c>
      <c r="F2010" t="s" s="2">
        <f>HYPERLINK("http://ts.21cn.com/tousu/show/id/1371981","http://ts.21cn.com/tousu/show/id/1371981")</f>
      </c>
      <c r="G2010" t="s" s="2">
        <v>17</v>
      </c>
      <c r="H2010" t="s" s="2">
        <v>19</v>
      </c>
      <c r="I2010" t="s" s="2">
        <v>7886</v>
      </c>
      <c r="J2010" t="s" s="2">
        <v>7887</v>
      </c>
      <c r="K2010" t="s" s="2">
        <v>22</v>
      </c>
      <c r="L2010" t="s" s="2">
        <v>22</v>
      </c>
      <c r="M2010" t="s" s="2">
        <v>22</v>
      </c>
    </row>
    <row r="2011" ht="25.0" customHeight="true">
      <c r="A2011" t="s" s="2">
        <v>13</v>
      </c>
      <c r="B2011" t="s" s="2">
        <f>HYPERLINK("http://ts.21cn.com/tousu/show/id/1371980","小花钱包恐吓催收")</f>
      </c>
      <c r="C2011" t="s" s="2">
        <v>15</v>
      </c>
      <c r="D2011" t="s" s="2">
        <v>16</v>
      </c>
      <c r="E2011" t="s" s="2">
        <v>17</v>
      </c>
      <c r="F2011" t="s" s="2">
        <f>HYPERLINK("http://ts.21cn.com/tousu/show/id/1371980","http://ts.21cn.com/tousu/show/id/1371980")</f>
      </c>
      <c r="G2011" t="s" s="2">
        <v>17</v>
      </c>
      <c r="H2011" t="s" s="2">
        <v>19</v>
      </c>
      <c r="I2011" t="s" s="2">
        <v>7890</v>
      </c>
      <c r="J2011" t="s" s="2">
        <v>7891</v>
      </c>
      <c r="K2011" t="s" s="2">
        <v>22</v>
      </c>
      <c r="L2011" t="s" s="2">
        <v>22</v>
      </c>
      <c r="M2011" t="s" s="2">
        <v>22</v>
      </c>
    </row>
    <row r="2012" ht="25.0" customHeight="true">
      <c r="A2012" t="s" s="2">
        <v>13</v>
      </c>
      <c r="B2012" t="s" s="2">
        <f>HYPERLINK("http://ts.21cn.com/tousu/show/id/1371979","共享单车已换车。系统显示没有还车，还扣我142元")</f>
      </c>
      <c r="C2012" t="s" s="2">
        <v>15</v>
      </c>
      <c r="D2012" t="s" s="2">
        <v>16</v>
      </c>
      <c r="E2012" t="s" s="2">
        <v>17</v>
      </c>
      <c r="F2012" t="s" s="2">
        <f>HYPERLINK("http://ts.21cn.com/tousu/show/id/1371979","http://ts.21cn.com/tousu/show/id/1371979")</f>
      </c>
      <c r="G2012" t="s" s="2">
        <v>17</v>
      </c>
      <c r="H2012" t="s" s="2">
        <v>19</v>
      </c>
      <c r="I2012" t="s" s="2">
        <v>7894</v>
      </c>
      <c r="J2012" t="s" s="2">
        <v>7895</v>
      </c>
      <c r="K2012" t="s" s="2">
        <v>22</v>
      </c>
      <c r="L2012" t="s" s="2">
        <v>22</v>
      </c>
      <c r="M2012" t="s" s="2">
        <v>22</v>
      </c>
    </row>
    <row r="2013" ht="25.0" customHeight="true">
      <c r="A2013" t="s" s="2">
        <v>13</v>
      </c>
      <c r="B2013" t="s" s="2">
        <f>HYPERLINK("http://ts.21cn.com/tousu/show/id/1371977","广州银联支付公司扣两笔款")</f>
      </c>
      <c r="C2013" t="s" s="2">
        <v>52</v>
      </c>
      <c r="D2013" t="s" s="2">
        <v>16</v>
      </c>
      <c r="E2013" t="s" s="2">
        <v>17</v>
      </c>
      <c r="F2013" t="s" s="2">
        <f>HYPERLINK("http://ts.21cn.com/tousu/show/id/1371977","http://ts.21cn.com/tousu/show/id/1371977")</f>
      </c>
      <c r="G2013" t="s" s="2">
        <v>17</v>
      </c>
      <c r="H2013" t="s" s="2">
        <v>19</v>
      </c>
      <c r="I2013" t="s" s="2">
        <v>7898</v>
      </c>
      <c r="J2013" t="s" s="2">
        <v>7899</v>
      </c>
      <c r="K2013" t="s" s="2">
        <v>22</v>
      </c>
      <c r="L2013" t="s" s="2">
        <v>22</v>
      </c>
      <c r="M2013" t="s" s="2">
        <v>22</v>
      </c>
    </row>
    <row r="2014" ht="25.0" customHeight="true">
      <c r="A2014" t="s" s="2">
        <v>13</v>
      </c>
      <c r="B2014" t="s" s="2">
        <f>HYPERLINK("http://ts.21cn.com/tousu/show/id/1371976","钱站爱钱进利息太高")</f>
      </c>
      <c r="C2014" t="s" s="2">
        <v>15</v>
      </c>
      <c r="D2014" t="s" s="2">
        <v>16</v>
      </c>
      <c r="E2014" t="s" s="2">
        <v>17</v>
      </c>
      <c r="F2014" t="s" s="2">
        <f>HYPERLINK("http://ts.21cn.com/tousu/show/id/1371976","http://ts.21cn.com/tousu/show/id/1371976")</f>
      </c>
      <c r="G2014" t="s" s="2">
        <v>17</v>
      </c>
      <c r="H2014" t="s" s="2">
        <v>19</v>
      </c>
      <c r="I2014" t="s" s="2">
        <v>7902</v>
      </c>
      <c r="J2014" t="s" s="2">
        <v>7903</v>
      </c>
      <c r="K2014" t="s" s="2">
        <v>22</v>
      </c>
      <c r="L2014" t="s" s="2">
        <v>22</v>
      </c>
      <c r="M2014" t="s" s="2">
        <v>22</v>
      </c>
    </row>
    <row r="2015" ht="25.0" customHeight="true">
      <c r="A2015" t="s" s="2">
        <v>13</v>
      </c>
      <c r="B2015" t="s" s="2">
        <f>HYPERLINK("http://ts.21cn.com/tousu/show/id/1371975","身份证被其他抖音账号绑定")</f>
      </c>
      <c r="C2015" t="s" s="2">
        <v>15</v>
      </c>
      <c r="D2015" t="s" s="2">
        <v>16</v>
      </c>
      <c r="E2015" t="s" s="2">
        <v>17</v>
      </c>
      <c r="F2015" t="s" s="2">
        <f>HYPERLINK("http://ts.21cn.com/tousu/show/id/1371975","http://ts.21cn.com/tousu/show/id/1371975")</f>
      </c>
      <c r="G2015" t="s" s="2">
        <v>17</v>
      </c>
      <c r="H2015" t="s" s="2">
        <v>19</v>
      </c>
      <c r="I2015" t="s" s="2">
        <v>7906</v>
      </c>
      <c r="J2015" t="s" s="2">
        <v>7907</v>
      </c>
      <c r="K2015" t="s" s="2">
        <v>22</v>
      </c>
      <c r="L2015" t="s" s="2">
        <v>22</v>
      </c>
      <c r="M2015" t="s" s="2">
        <v>22</v>
      </c>
    </row>
    <row r="2016" ht="25.0" customHeight="true">
      <c r="A2016" t="s" s="2">
        <v>13</v>
      </c>
      <c r="B2016" t="s" s="2">
        <f>HYPERLINK("http://ts.21cn.com/tousu/show/id/1371973","遵义湘江投资公司没有按期交房也不退款")</f>
      </c>
      <c r="C2016" t="s" s="2">
        <v>15</v>
      </c>
      <c r="D2016" t="s" s="2">
        <v>16</v>
      </c>
      <c r="E2016" t="s" s="2">
        <v>17</v>
      </c>
      <c r="F2016" t="s" s="2">
        <f>HYPERLINK("http://ts.21cn.com/tousu/show/id/1371973","http://ts.21cn.com/tousu/show/id/1371973")</f>
      </c>
      <c r="G2016" t="s" s="2">
        <v>17</v>
      </c>
      <c r="H2016" t="s" s="2">
        <v>19</v>
      </c>
      <c r="I2016" t="s" s="2">
        <v>7910</v>
      </c>
      <c r="J2016" t="s" s="2">
        <v>7911</v>
      </c>
      <c r="K2016" t="s" s="2">
        <v>22</v>
      </c>
      <c r="L2016" t="s" s="2">
        <v>22</v>
      </c>
      <c r="M2016" t="s" s="2">
        <v>22</v>
      </c>
    </row>
    <row r="2017" ht="25.0" customHeight="true">
      <c r="A2017" t="s" s="2">
        <v>13</v>
      </c>
      <c r="B2017" t="s" s="2">
        <f>HYPERLINK("http://ts.21cn.com/tousu/show/id/1371972","交易猫王者荣耀帐号被盗回")</f>
      </c>
      <c r="C2017" t="s" s="2">
        <v>52</v>
      </c>
      <c r="D2017" t="s" s="2">
        <v>16</v>
      </c>
      <c r="E2017" t="s" s="2">
        <v>17</v>
      </c>
      <c r="F2017" t="s" s="2">
        <f>HYPERLINK("http://ts.21cn.com/tousu/show/id/1371972","http://ts.21cn.com/tousu/show/id/1371972")</f>
      </c>
      <c r="G2017" t="s" s="2">
        <v>17</v>
      </c>
      <c r="H2017" t="s" s="2">
        <v>19</v>
      </c>
      <c r="I2017" t="s" s="2">
        <v>7914</v>
      </c>
      <c r="J2017" t="s" s="2">
        <v>7915</v>
      </c>
      <c r="K2017" t="s" s="2">
        <v>22</v>
      </c>
      <c r="L2017" t="s" s="2">
        <v>22</v>
      </c>
      <c r="M2017" t="s" s="2">
        <v>22</v>
      </c>
    </row>
    <row r="2018" ht="25.0" customHeight="true">
      <c r="A2018" t="s" s="2">
        <v>13</v>
      </c>
      <c r="B2018" t="s" s="2">
        <f>HYPERLINK("http://ts.21cn.com/tousu/show/id/1371971","网贷高利息")</f>
      </c>
      <c r="C2018" t="s" s="2">
        <v>15</v>
      </c>
      <c r="D2018" t="s" s="2">
        <v>16</v>
      </c>
      <c r="E2018" t="s" s="2">
        <v>17</v>
      </c>
      <c r="F2018" t="s" s="2">
        <f>HYPERLINK("http://ts.21cn.com/tousu/show/id/1371971","http://ts.21cn.com/tousu/show/id/1371971")</f>
      </c>
      <c r="G2018" t="s" s="2">
        <v>17</v>
      </c>
      <c r="H2018" t="s" s="2">
        <v>19</v>
      </c>
      <c r="I2018" t="s" s="2">
        <v>7918</v>
      </c>
      <c r="J2018" t="s" s="2">
        <v>7919</v>
      </c>
      <c r="K2018" t="s" s="2">
        <v>22</v>
      </c>
      <c r="L2018" t="s" s="2">
        <v>22</v>
      </c>
      <c r="M2018" t="s" s="2">
        <v>22</v>
      </c>
    </row>
    <row r="2019" ht="25.0" customHeight="true">
      <c r="A2019" t="s" s="2">
        <v>13</v>
      </c>
      <c r="B2019" t="s" s="2">
        <f>HYPERLINK("http://ts.21cn.com/tousu/show/id/1371970","河南中牟农商银行柜台人员利用职权之便，恶意泄露客户信息")</f>
      </c>
      <c r="C2019" t="s" s="2">
        <v>15</v>
      </c>
      <c r="D2019" t="s" s="2">
        <v>16</v>
      </c>
      <c r="E2019" t="s" s="2">
        <v>17</v>
      </c>
      <c r="F2019" t="s" s="2">
        <f>HYPERLINK("http://ts.21cn.com/tousu/show/id/1371970","http://ts.21cn.com/tousu/show/id/1371970")</f>
      </c>
      <c r="G2019" t="s" s="2">
        <v>17</v>
      </c>
      <c r="H2019" t="s" s="2">
        <v>19</v>
      </c>
      <c r="I2019" t="s" s="2">
        <v>7922</v>
      </c>
      <c r="J2019" t="s" s="2">
        <v>7923</v>
      </c>
      <c r="K2019" t="s" s="2">
        <v>22</v>
      </c>
      <c r="L2019" t="s" s="2">
        <v>22</v>
      </c>
      <c r="M2019" t="s" s="2">
        <v>22</v>
      </c>
    </row>
    <row r="2020" ht="25.0" customHeight="true">
      <c r="A2020" t="s" s="2">
        <v>13</v>
      </c>
      <c r="B2020" t="s" s="2">
        <f>HYPERLINK("http://ts.21cn.com/tousu/show/id/1371969","买房被一再拖延交房时间，且退不了款。")</f>
      </c>
      <c r="C2020" t="s" s="2">
        <v>15</v>
      </c>
      <c r="D2020" t="s" s="2">
        <v>16</v>
      </c>
      <c r="E2020" t="s" s="2">
        <v>17</v>
      </c>
      <c r="F2020" t="s" s="2">
        <f>HYPERLINK("http://ts.21cn.com/tousu/show/id/1371969","http://ts.21cn.com/tousu/show/id/1371969")</f>
      </c>
      <c r="G2020" t="s" s="2">
        <v>17</v>
      </c>
      <c r="H2020" t="s" s="2">
        <v>19</v>
      </c>
      <c r="I2020" t="s" s="2">
        <v>7926</v>
      </c>
      <c r="J2020" t="s" s="2">
        <v>7927</v>
      </c>
      <c r="K2020" t="s" s="2">
        <v>22</v>
      </c>
      <c r="L2020" t="s" s="2">
        <v>22</v>
      </c>
      <c r="M2020" t="s" s="2">
        <v>22</v>
      </c>
    </row>
    <row r="2021" ht="25.0" customHeight="true">
      <c r="A2021" t="s" s="2">
        <v>13</v>
      </c>
      <c r="B2021" t="s" s="2">
        <f>HYPERLINK("http://ts.21cn.com/tousu/show/id/1371967","闪银变相砍头息")</f>
      </c>
      <c r="C2021" t="s" s="2">
        <v>15</v>
      </c>
      <c r="D2021" t="s" s="2">
        <v>16</v>
      </c>
      <c r="E2021" t="s" s="2">
        <v>17</v>
      </c>
      <c r="F2021" t="s" s="2">
        <f>HYPERLINK("http://ts.21cn.com/tousu/show/id/1371967","http://ts.21cn.com/tousu/show/id/1371967")</f>
      </c>
      <c r="G2021" t="s" s="2">
        <v>17</v>
      </c>
      <c r="H2021" t="s" s="2">
        <v>19</v>
      </c>
      <c r="I2021" t="s" s="2">
        <v>7929</v>
      </c>
      <c r="J2021" t="s" s="2">
        <v>7930</v>
      </c>
      <c r="K2021" t="s" s="2">
        <v>22</v>
      </c>
      <c r="L2021" t="s" s="2">
        <v>22</v>
      </c>
      <c r="M2021" t="s" s="2">
        <v>22</v>
      </c>
    </row>
    <row r="2022" ht="25.0" customHeight="true">
      <c r="A2022" t="s" s="2">
        <v>13</v>
      </c>
      <c r="B2022" t="s" s="2">
        <f>HYPERLINK("http://ts.21cn.com/tousu/show/id/1371966","淘宝闲鱼平台，假货横行，无视国家法律，对己方责任双重标准")</f>
      </c>
      <c r="C2022" t="s" s="2">
        <v>15</v>
      </c>
      <c r="D2022" t="s" s="2">
        <v>16</v>
      </c>
      <c r="E2022" t="s" s="2">
        <v>17</v>
      </c>
      <c r="F2022" t="s" s="2">
        <f>HYPERLINK("http://ts.21cn.com/tousu/show/id/1371966","http://ts.21cn.com/tousu/show/id/1371966")</f>
      </c>
      <c r="G2022" t="s" s="2">
        <v>17</v>
      </c>
      <c r="H2022" t="s" s="2">
        <v>19</v>
      </c>
      <c r="I2022" t="s" s="2">
        <v>7933</v>
      </c>
      <c r="J2022" t="s" s="2">
        <v>7934</v>
      </c>
      <c r="K2022" t="s" s="2">
        <v>22</v>
      </c>
      <c r="L2022" t="s" s="2">
        <v>22</v>
      </c>
      <c r="M2022" t="s" s="2">
        <v>22</v>
      </c>
    </row>
    <row r="2023" ht="25.0" customHeight="true">
      <c r="A2023" t="s" s="2">
        <v>13</v>
      </c>
      <c r="B2023" t="s" s="2">
        <f>HYPERLINK("http://ts.21cn.com/tousu/show/id/1371965","钱站阴阳合同疯狂捞钱！")</f>
      </c>
      <c r="C2023" t="s" s="2">
        <v>15</v>
      </c>
      <c r="D2023" t="s" s="2">
        <v>16</v>
      </c>
      <c r="E2023" t="s" s="2">
        <v>17</v>
      </c>
      <c r="F2023" t="s" s="2">
        <f>HYPERLINK("http://ts.21cn.com/tousu/show/id/1371965","http://ts.21cn.com/tousu/show/id/1371965")</f>
      </c>
      <c r="G2023" t="s" s="2">
        <v>17</v>
      </c>
      <c r="H2023" t="s" s="2">
        <v>19</v>
      </c>
      <c r="I2023" t="s" s="2">
        <v>7937</v>
      </c>
      <c r="J2023" t="s" s="2">
        <v>7938</v>
      </c>
      <c r="K2023" t="s" s="2">
        <v>22</v>
      </c>
      <c r="L2023" t="s" s="2">
        <v>22</v>
      </c>
      <c r="M2023" t="s" s="2">
        <v>22</v>
      </c>
    </row>
    <row r="2024" ht="25.0" customHeight="true">
      <c r="A2024" t="s" s="2">
        <v>13</v>
      </c>
      <c r="B2024" t="s" s="2">
        <f>HYPERLINK("http://ts.21cn.com/tousu/show/id/1371964","中信银行信用卡中心")</f>
      </c>
      <c r="C2024" t="s" s="2">
        <v>15</v>
      </c>
      <c r="D2024" t="s" s="2">
        <v>16</v>
      </c>
      <c r="E2024" t="s" s="2">
        <v>17</v>
      </c>
      <c r="F2024" t="s" s="2">
        <f>HYPERLINK("http://ts.21cn.com/tousu/show/id/1371964","http://ts.21cn.com/tousu/show/id/1371964")</f>
      </c>
      <c r="G2024" t="s" s="2">
        <v>17</v>
      </c>
      <c r="H2024" t="s" s="2">
        <v>19</v>
      </c>
      <c r="I2024" t="s" s="2">
        <v>7941</v>
      </c>
      <c r="J2024" t="s" s="2">
        <v>7637</v>
      </c>
      <c r="K2024" t="s" s="2">
        <v>22</v>
      </c>
      <c r="L2024" t="s" s="2">
        <v>22</v>
      </c>
      <c r="M2024" t="s" s="2">
        <v>22</v>
      </c>
    </row>
    <row r="2025" ht="25.0" customHeight="true">
      <c r="A2025" t="s" s="2">
        <v>13</v>
      </c>
      <c r="B2025" t="s" s="2">
        <f>HYPERLINK("http://ts.21cn.com/tousu/show/id/1371963","违规为非法商户提供结算")</f>
      </c>
      <c r="C2025" t="s" s="2">
        <v>15</v>
      </c>
      <c r="D2025" t="s" s="2">
        <v>16</v>
      </c>
      <c r="E2025" t="s" s="2">
        <v>17</v>
      </c>
      <c r="F2025" t="s" s="2">
        <f>HYPERLINK("http://ts.21cn.com/tousu/show/id/1371963","http://ts.21cn.com/tousu/show/id/1371963")</f>
      </c>
      <c r="G2025" t="s" s="2">
        <v>17</v>
      </c>
      <c r="H2025" t="s" s="2">
        <v>19</v>
      </c>
      <c r="I2025" t="s" s="2">
        <v>7943</v>
      </c>
      <c r="J2025" t="s" s="2">
        <v>7944</v>
      </c>
      <c r="K2025" t="s" s="2">
        <v>22</v>
      </c>
      <c r="L2025" t="s" s="2">
        <v>22</v>
      </c>
      <c r="M2025" t="s" s="2">
        <v>22</v>
      </c>
    </row>
    <row r="2026" ht="25.0" customHeight="true">
      <c r="A2026" t="s" s="2">
        <v>13</v>
      </c>
      <c r="B2026" t="s" s="2">
        <f>HYPERLINK("http://ts.21cn.com/tousu/show/id/1371962","平安普惠骚扰到工作单位，有恶意中伤嫌疑")</f>
      </c>
      <c r="C2026" t="s" s="2">
        <v>15</v>
      </c>
      <c r="D2026" t="s" s="2">
        <v>16</v>
      </c>
      <c r="E2026" t="s" s="2">
        <v>17</v>
      </c>
      <c r="F2026" t="s" s="2">
        <f>HYPERLINK("http://ts.21cn.com/tousu/show/id/1371962","http://ts.21cn.com/tousu/show/id/1371962")</f>
      </c>
      <c r="G2026" t="s" s="2">
        <v>17</v>
      </c>
      <c r="H2026" t="s" s="2">
        <v>19</v>
      </c>
      <c r="I2026" t="s" s="2">
        <v>7947</v>
      </c>
      <c r="J2026" t="s" s="2">
        <v>7948</v>
      </c>
      <c r="K2026" t="s" s="2">
        <v>22</v>
      </c>
      <c r="L2026" t="s" s="2">
        <v>22</v>
      </c>
      <c r="M2026" t="s" s="2">
        <v>22</v>
      </c>
    </row>
    <row r="2027" ht="25.0" customHeight="true">
      <c r="A2027" t="s" s="2">
        <v>13</v>
      </c>
      <c r="B2027" t="s" s="2">
        <f>HYPERLINK("http://ts.21cn.com/tousu/show/id/1371961","平安银行催收骚扰")</f>
      </c>
      <c r="C2027" t="s" s="2">
        <v>15</v>
      </c>
      <c r="D2027" t="s" s="2">
        <v>16</v>
      </c>
      <c r="E2027" t="s" s="2">
        <v>17</v>
      </c>
      <c r="F2027" t="s" s="2">
        <f>HYPERLINK("http://ts.21cn.com/tousu/show/id/1371961","http://ts.21cn.com/tousu/show/id/1371961")</f>
      </c>
      <c r="G2027" t="s" s="2">
        <v>17</v>
      </c>
      <c r="H2027" t="s" s="2">
        <v>19</v>
      </c>
      <c r="I2027" t="s" s="2">
        <v>7951</v>
      </c>
      <c r="J2027" t="s" s="2">
        <v>7952</v>
      </c>
      <c r="K2027" t="s" s="2">
        <v>22</v>
      </c>
      <c r="L2027" t="s" s="2">
        <v>22</v>
      </c>
      <c r="M2027" t="s" s="2">
        <v>22</v>
      </c>
    </row>
    <row r="2028" ht="25.0" customHeight="true">
      <c r="A2028" t="s" s="2">
        <v>13</v>
      </c>
      <c r="B2028" t="s" s="2">
        <f>HYPERLINK("http://ts.21cn.com/tousu/show/id/1371960","淘宝商家欺诈消费者，联系阿里客服无果")</f>
      </c>
      <c r="C2028" t="s" s="2">
        <v>15</v>
      </c>
      <c r="D2028" t="s" s="2">
        <v>16</v>
      </c>
      <c r="E2028" t="s" s="2">
        <v>17</v>
      </c>
      <c r="F2028" t="s" s="2">
        <f>HYPERLINK("http://ts.21cn.com/tousu/show/id/1371960","http://ts.21cn.com/tousu/show/id/1371960")</f>
      </c>
      <c r="G2028" t="s" s="2">
        <v>17</v>
      </c>
      <c r="H2028" t="s" s="2">
        <v>19</v>
      </c>
      <c r="I2028" t="s" s="2">
        <v>7955</v>
      </c>
      <c r="J2028" t="s" s="2">
        <v>7956</v>
      </c>
      <c r="K2028" t="s" s="2">
        <v>22</v>
      </c>
      <c r="L2028" t="s" s="2">
        <v>22</v>
      </c>
      <c r="M2028" t="s" s="2">
        <v>22</v>
      </c>
    </row>
    <row r="2029" ht="25.0" customHeight="true">
      <c r="A2029" t="s" s="2">
        <v>13</v>
      </c>
      <c r="B2029" t="s" s="2">
        <f>HYPERLINK("http://ts.21cn.com/tousu/show/id/1371959","51人品贷高利贷")</f>
      </c>
      <c r="C2029" t="s" s="2">
        <v>15</v>
      </c>
      <c r="D2029" t="s" s="2">
        <v>16</v>
      </c>
      <c r="E2029" t="s" s="2">
        <v>17</v>
      </c>
      <c r="F2029" t="s" s="2">
        <f>HYPERLINK("http://ts.21cn.com/tousu/show/id/1371959","http://ts.21cn.com/tousu/show/id/1371959")</f>
      </c>
      <c r="G2029" t="s" s="2">
        <v>17</v>
      </c>
      <c r="H2029" t="s" s="2">
        <v>19</v>
      </c>
      <c r="I2029" t="s" s="2">
        <v>7959</v>
      </c>
      <c r="J2029" t="s" s="2">
        <v>7960</v>
      </c>
      <c r="K2029" t="s" s="2">
        <v>22</v>
      </c>
      <c r="L2029" t="s" s="2">
        <v>22</v>
      </c>
      <c r="M2029" t="s" s="2">
        <v>22</v>
      </c>
    </row>
    <row r="2030" ht="25.0" customHeight="true">
      <c r="A2030" t="s" s="2">
        <v>13</v>
      </c>
      <c r="B2030" t="s" s="2">
        <f>HYPERLINK("http://ts.21cn.com/tousu/show/id/1371958","金鹰钱包说我在他们平台申请网贷3000元")</f>
      </c>
      <c r="C2030" t="s" s="2">
        <v>52</v>
      </c>
      <c r="D2030" t="s" s="2">
        <v>16</v>
      </c>
      <c r="E2030" t="s" s="2">
        <v>17</v>
      </c>
      <c r="F2030" t="s" s="2">
        <f>HYPERLINK("http://ts.21cn.com/tousu/show/id/1371958","http://ts.21cn.com/tousu/show/id/1371958")</f>
      </c>
      <c r="G2030" t="s" s="2">
        <v>17</v>
      </c>
      <c r="H2030" t="s" s="2">
        <v>19</v>
      </c>
      <c r="I2030" t="s" s="2">
        <v>7963</v>
      </c>
      <c r="J2030" t="s" s="2">
        <v>7964</v>
      </c>
      <c r="K2030" t="s" s="2">
        <v>22</v>
      </c>
      <c r="L2030" t="s" s="2">
        <v>22</v>
      </c>
      <c r="M2030" t="s" s="2">
        <v>22</v>
      </c>
    </row>
    <row r="2031" ht="25.0" customHeight="true">
      <c r="A2031" t="s" s="2">
        <v>13</v>
      </c>
      <c r="B2031" t="s" s="2">
        <f>HYPERLINK("http://ts.21cn.com/tousu/show/id/1371940","榕树贷款公司暴力催收，盗取客户信息借钱")</f>
      </c>
      <c r="C2031" t="s" s="2">
        <v>15</v>
      </c>
      <c r="D2031" t="s" s="2">
        <v>16</v>
      </c>
      <c r="E2031" t="s" s="2">
        <v>17</v>
      </c>
      <c r="F2031" t="s" s="2">
        <f>HYPERLINK("http://ts.21cn.com/tousu/show/id/1371940","http://ts.21cn.com/tousu/show/id/1371940")</f>
      </c>
      <c r="G2031" t="s" s="2">
        <v>17</v>
      </c>
      <c r="H2031" t="s" s="2">
        <v>19</v>
      </c>
      <c r="I2031" t="s" s="2">
        <v>7967</v>
      </c>
      <c r="J2031" t="s" s="2">
        <v>7968</v>
      </c>
      <c r="K2031" t="s" s="2">
        <v>22</v>
      </c>
      <c r="L2031" t="s" s="2">
        <v>22</v>
      </c>
      <c r="M2031" t="s" s="2">
        <v>22</v>
      </c>
    </row>
    <row r="2032" ht="25.0" customHeight="true">
      <c r="A2032" t="s" s="2">
        <v>13</v>
      </c>
      <c r="B2032" t="s" s="2">
        <f>HYPERLINK("http://ts.21cn.com/tousu/show/id/1371956","滴滴分期严重高利贷")</f>
      </c>
      <c r="C2032" t="s" s="2">
        <v>15</v>
      </c>
      <c r="D2032" t="s" s="2">
        <v>16</v>
      </c>
      <c r="E2032" t="s" s="2">
        <v>17</v>
      </c>
      <c r="F2032" t="s" s="2">
        <f>HYPERLINK("http://ts.21cn.com/tousu/show/id/1371956","http://ts.21cn.com/tousu/show/id/1371956")</f>
      </c>
      <c r="G2032" t="s" s="2">
        <v>17</v>
      </c>
      <c r="H2032" t="s" s="2">
        <v>19</v>
      </c>
      <c r="I2032" t="s" s="2">
        <v>7971</v>
      </c>
      <c r="J2032" t="s" s="2">
        <v>7972</v>
      </c>
      <c r="K2032" t="s" s="2">
        <v>22</v>
      </c>
      <c r="L2032" t="s" s="2">
        <v>22</v>
      </c>
      <c r="M2032" t="s" s="2">
        <v>22</v>
      </c>
    </row>
    <row r="2033" ht="25.0" customHeight="true">
      <c r="A2033" t="s" s="2">
        <v>13</v>
      </c>
      <c r="B2033" t="s" s="2">
        <f>HYPERLINK("http://ts.21cn.com/tousu/show/id/1371957","协商处理多米贷")</f>
      </c>
      <c r="C2033" t="s" s="2">
        <v>52</v>
      </c>
      <c r="D2033" t="s" s="2">
        <v>16</v>
      </c>
      <c r="E2033" t="s" s="2">
        <v>17</v>
      </c>
      <c r="F2033" t="s" s="2">
        <f>HYPERLINK("http://ts.21cn.com/tousu/show/id/1371957","http://ts.21cn.com/tousu/show/id/1371957")</f>
      </c>
      <c r="G2033" t="s" s="2">
        <v>17</v>
      </c>
      <c r="H2033" t="s" s="2">
        <v>19</v>
      </c>
      <c r="I2033" t="s" s="2">
        <v>7975</v>
      </c>
      <c r="J2033" t="s" s="2">
        <v>7976</v>
      </c>
      <c r="K2033" t="s" s="2">
        <v>22</v>
      </c>
      <c r="L2033" t="s" s="2">
        <v>22</v>
      </c>
      <c r="M2033" t="s" s="2">
        <v>22</v>
      </c>
    </row>
    <row r="2034" ht="25.0" customHeight="true">
      <c r="A2034" t="s" s="2">
        <v>13</v>
      </c>
      <c r="B2034" t="s" s="2">
        <f>HYPERLINK("http://ts.21cn.com/tousu/show/id/1371955","闪银奇异退还砍头息")</f>
      </c>
      <c r="C2034" t="s" s="2">
        <v>52</v>
      </c>
      <c r="D2034" t="s" s="2">
        <v>16</v>
      </c>
      <c r="E2034" t="s" s="2">
        <v>17</v>
      </c>
      <c r="F2034" t="s" s="2">
        <f>HYPERLINK("http://ts.21cn.com/tousu/show/id/1371955","http://ts.21cn.com/tousu/show/id/1371955")</f>
      </c>
      <c r="G2034" t="s" s="2">
        <v>17</v>
      </c>
      <c r="H2034" t="s" s="2">
        <v>19</v>
      </c>
      <c r="I2034" t="s" s="2">
        <v>7979</v>
      </c>
      <c r="J2034" t="s" s="2">
        <v>7980</v>
      </c>
      <c r="K2034" t="s" s="2">
        <v>22</v>
      </c>
      <c r="L2034" t="s" s="2">
        <v>22</v>
      </c>
      <c r="M2034" t="s" s="2">
        <v>22</v>
      </c>
    </row>
    <row r="2035" ht="25.0" customHeight="true">
      <c r="A2035" t="s" s="2">
        <v>13</v>
      </c>
      <c r="B2035" t="s" s="2">
        <f>HYPERLINK("http://ts.21cn.com/tousu/show/id/1371954","叮当想花爆通讯录爆验证码")</f>
      </c>
      <c r="C2035" t="s" s="2">
        <v>15</v>
      </c>
      <c r="D2035" t="s" s="2">
        <v>16</v>
      </c>
      <c r="E2035" t="s" s="2">
        <v>17</v>
      </c>
      <c r="F2035" t="s" s="2">
        <f>HYPERLINK("http://ts.21cn.com/tousu/show/id/1371954","http://ts.21cn.com/tousu/show/id/1371954")</f>
      </c>
      <c r="G2035" t="s" s="2">
        <v>17</v>
      </c>
      <c r="H2035" t="s" s="2">
        <v>19</v>
      </c>
      <c r="I2035" t="s" s="2">
        <v>7983</v>
      </c>
      <c r="J2035" t="s" s="2">
        <v>7984</v>
      </c>
      <c r="K2035" t="s" s="2">
        <v>22</v>
      </c>
      <c r="L2035" t="s" s="2">
        <v>22</v>
      </c>
      <c r="M2035" t="s" s="2">
        <v>22</v>
      </c>
    </row>
    <row r="2036" ht="25.0" customHeight="true">
      <c r="A2036" t="s" s="2">
        <v>13</v>
      </c>
      <c r="B2036" t="s" s="2">
        <f>HYPERLINK("http://ts.21cn.com/tousu/show/id/1371952","建设银行信用卡退还违约金")</f>
      </c>
      <c r="C2036" t="s" s="2">
        <v>15</v>
      </c>
      <c r="D2036" t="s" s="2">
        <v>16</v>
      </c>
      <c r="E2036" t="s" s="2">
        <v>17</v>
      </c>
      <c r="F2036" t="s" s="2">
        <f>HYPERLINK("http://ts.21cn.com/tousu/show/id/1371952","http://ts.21cn.com/tousu/show/id/1371952")</f>
      </c>
      <c r="G2036" t="s" s="2">
        <v>17</v>
      </c>
      <c r="H2036" t="s" s="2">
        <v>19</v>
      </c>
      <c r="I2036" t="s" s="2">
        <v>7987</v>
      </c>
      <c r="J2036" t="s" s="2">
        <v>7988</v>
      </c>
      <c r="K2036" t="s" s="2">
        <v>22</v>
      </c>
      <c r="L2036" t="s" s="2">
        <v>22</v>
      </c>
      <c r="M2036" t="s" s="2">
        <v>22</v>
      </c>
    </row>
    <row r="2037" ht="25.0" customHeight="true">
      <c r="A2037" t="s" s="2">
        <v>13</v>
      </c>
      <c r="B2037" t="s" s="2">
        <f>HYPERLINK("http://ts.21cn.com/tousu/show/id/1371953","汇潮支付为高利贷提供渠道")</f>
      </c>
      <c r="C2037" t="s" s="2">
        <v>15</v>
      </c>
      <c r="D2037" t="s" s="2">
        <v>16</v>
      </c>
      <c r="E2037" t="s" s="2">
        <v>17</v>
      </c>
      <c r="F2037" t="s" s="2">
        <f>HYPERLINK("http://ts.21cn.com/tousu/show/id/1371953","http://ts.21cn.com/tousu/show/id/1371953")</f>
      </c>
      <c r="G2037" t="s" s="2">
        <v>17</v>
      </c>
      <c r="H2037" t="s" s="2">
        <v>19</v>
      </c>
      <c r="I2037" t="s" s="2">
        <v>7991</v>
      </c>
      <c r="J2037" t="s" s="2">
        <v>7992</v>
      </c>
      <c r="K2037" t="s" s="2">
        <v>22</v>
      </c>
      <c r="L2037" t="s" s="2">
        <v>22</v>
      </c>
      <c r="M2037" t="s" s="2">
        <v>22</v>
      </c>
    </row>
    <row r="2038" ht="25.0" customHeight="true">
      <c r="A2038" t="s" s="2">
        <v>13</v>
      </c>
      <c r="B2038" t="s" s="2">
        <f>HYPERLINK("http://ts.21cn.com/tousu/show/id/1371903","没有贷款却被催收")</f>
      </c>
      <c r="C2038" t="s" s="2">
        <v>15</v>
      </c>
      <c r="D2038" t="s" s="2">
        <v>16</v>
      </c>
      <c r="E2038" t="s" s="2">
        <v>17</v>
      </c>
      <c r="F2038" t="s" s="2">
        <f>HYPERLINK("http://ts.21cn.com/tousu/show/id/1371903","http://ts.21cn.com/tousu/show/id/1371903")</f>
      </c>
      <c r="G2038" t="s" s="2">
        <v>17</v>
      </c>
      <c r="H2038" t="s" s="2">
        <v>19</v>
      </c>
      <c r="I2038" t="s" s="2">
        <v>7995</v>
      </c>
      <c r="J2038" t="s" s="2">
        <v>7996</v>
      </c>
      <c r="K2038" t="s" s="2">
        <v>22</v>
      </c>
      <c r="L2038" t="s" s="2">
        <v>22</v>
      </c>
      <c r="M2038" t="s" s="2">
        <v>22</v>
      </c>
    </row>
    <row r="2039" ht="25.0" customHeight="true">
      <c r="A2039" t="s" s="2">
        <v>13</v>
      </c>
      <c r="B2039" t="s" s="2">
        <f>HYPERLINK("http://ts.21cn.com/tousu/show/id/1371951","714套路贷")</f>
      </c>
      <c r="C2039" t="s" s="2">
        <v>15</v>
      </c>
      <c r="D2039" t="s" s="2">
        <v>16</v>
      </c>
      <c r="E2039" t="s" s="2">
        <v>17</v>
      </c>
      <c r="F2039" t="s" s="2">
        <f>HYPERLINK("http://ts.21cn.com/tousu/show/id/1371951","http://ts.21cn.com/tousu/show/id/1371951")</f>
      </c>
      <c r="G2039" t="s" s="2">
        <v>17</v>
      </c>
      <c r="H2039" t="s" s="2">
        <v>19</v>
      </c>
      <c r="I2039" t="s" s="2">
        <v>7999</v>
      </c>
      <c r="J2039" t="s" s="2">
        <v>8000</v>
      </c>
      <c r="K2039" t="s" s="2">
        <v>22</v>
      </c>
      <c r="L2039" t="s" s="2">
        <v>22</v>
      </c>
      <c r="M2039" t="s" s="2">
        <v>22</v>
      </c>
    </row>
    <row r="2040" ht="25.0" customHeight="true">
      <c r="A2040" t="s" s="2">
        <v>13</v>
      </c>
      <c r="B2040" t="s" s="2">
        <f>HYPERLINK("http://ts.21cn.com/tousu/show/id/1371950","恒易贷收取砍头息，高额利息")</f>
      </c>
      <c r="C2040" t="s" s="2">
        <v>15</v>
      </c>
      <c r="D2040" t="s" s="2">
        <v>16</v>
      </c>
      <c r="E2040" t="s" s="2">
        <v>17</v>
      </c>
      <c r="F2040" t="s" s="2">
        <f>HYPERLINK("http://ts.21cn.com/tousu/show/id/1371950","http://ts.21cn.com/tousu/show/id/1371950")</f>
      </c>
      <c r="G2040" t="s" s="2">
        <v>17</v>
      </c>
      <c r="H2040" t="s" s="2">
        <v>19</v>
      </c>
      <c r="I2040" t="s" s="2">
        <v>8003</v>
      </c>
      <c r="J2040" t="s" s="2">
        <v>8004</v>
      </c>
      <c r="K2040" t="s" s="2">
        <v>22</v>
      </c>
      <c r="L2040" t="s" s="2">
        <v>22</v>
      </c>
      <c r="M2040" t="s" s="2">
        <v>22</v>
      </c>
    </row>
    <row r="2041" ht="25.0" customHeight="true">
      <c r="A2041" t="s" s="2">
        <v>13</v>
      </c>
      <c r="B2041" t="s" s="2">
        <f>HYPERLINK("http://ts.21cn.com/tousu/show/id/1371949","你我贷恶心骚扰联系人拨打亲朋好友电话")</f>
      </c>
      <c r="C2041" t="s" s="2">
        <v>15</v>
      </c>
      <c r="D2041" t="s" s="2">
        <v>16</v>
      </c>
      <c r="E2041" t="s" s="2">
        <v>17</v>
      </c>
      <c r="F2041" t="s" s="2">
        <f>HYPERLINK("http://ts.21cn.com/tousu/show/id/1371949","http://ts.21cn.com/tousu/show/id/1371949")</f>
      </c>
      <c r="G2041" t="s" s="2">
        <v>17</v>
      </c>
      <c r="H2041" t="s" s="2">
        <v>19</v>
      </c>
      <c r="I2041" t="s" s="2">
        <v>8007</v>
      </c>
      <c r="J2041" t="s" s="2">
        <v>8008</v>
      </c>
      <c r="K2041" t="s" s="2">
        <v>22</v>
      </c>
      <c r="L2041" t="s" s="2">
        <v>22</v>
      </c>
      <c r="M2041" t="s" s="2">
        <v>22</v>
      </c>
    </row>
    <row r="2042" ht="25.0" customHeight="true">
      <c r="A2042" t="s" s="2">
        <v>13</v>
      </c>
      <c r="B2042" t="s" s="2">
        <f>HYPERLINK("http://ts.21cn.com/tousu/show/id/1371948","要求催收取消电话轰炸以及爆破通讯录")</f>
      </c>
      <c r="C2042" t="s" s="2">
        <v>15</v>
      </c>
      <c r="D2042" t="s" s="2">
        <v>16</v>
      </c>
      <c r="E2042" t="s" s="2">
        <v>17</v>
      </c>
      <c r="F2042" t="s" s="2">
        <f>HYPERLINK("http://ts.21cn.com/tousu/show/id/1371948","http://ts.21cn.com/tousu/show/id/1371948")</f>
      </c>
      <c r="G2042" t="s" s="2">
        <v>17</v>
      </c>
      <c r="H2042" t="s" s="2">
        <v>19</v>
      </c>
      <c r="I2042" t="s" s="2">
        <v>8011</v>
      </c>
      <c r="J2042" t="s" s="2">
        <v>8012</v>
      </c>
      <c r="K2042" t="s" s="2">
        <v>22</v>
      </c>
      <c r="L2042" t="s" s="2">
        <v>22</v>
      </c>
      <c r="M2042" t="s" s="2">
        <v>22</v>
      </c>
    </row>
    <row r="2043" ht="25.0" customHeight="true">
      <c r="A2043" t="s" s="2">
        <v>13</v>
      </c>
      <c r="B2043" t="s" s="2">
        <f>HYPERLINK("http://ts.21cn.com/tousu/show/id/1371947","套路贷，高利贷，阴阳合同，盗取信息")</f>
      </c>
      <c r="C2043" t="s" s="2">
        <v>15</v>
      </c>
      <c r="D2043" t="s" s="2">
        <v>16</v>
      </c>
      <c r="E2043" t="s" s="2">
        <v>17</v>
      </c>
      <c r="F2043" t="s" s="2">
        <f>HYPERLINK("http://ts.21cn.com/tousu/show/id/1371947","http://ts.21cn.com/tousu/show/id/1371947")</f>
      </c>
      <c r="G2043" t="s" s="2">
        <v>17</v>
      </c>
      <c r="H2043" t="s" s="2">
        <v>19</v>
      </c>
      <c r="I2043" t="s" s="2">
        <v>8015</v>
      </c>
      <c r="J2043" t="s" s="2">
        <v>8016</v>
      </c>
      <c r="K2043" t="s" s="2">
        <v>22</v>
      </c>
      <c r="L2043" t="s" s="2">
        <v>22</v>
      </c>
      <c r="M2043" t="s" s="2">
        <v>22</v>
      </c>
    </row>
    <row r="2044" ht="25.0" customHeight="true">
      <c r="A2044" t="s" s="2">
        <v>13</v>
      </c>
      <c r="B2044" t="s" s="2">
        <f>HYPERLINK("http://ts.21cn.com/tousu/show/id/1371946","立刻出行不退押金，客服电话没人接")</f>
      </c>
      <c r="C2044" t="s" s="2">
        <v>15</v>
      </c>
      <c r="D2044" t="s" s="2">
        <v>16</v>
      </c>
      <c r="E2044" t="s" s="2">
        <v>17</v>
      </c>
      <c r="F2044" t="s" s="2">
        <f>HYPERLINK("http://ts.21cn.com/tousu/show/id/1371946","http://ts.21cn.com/tousu/show/id/1371946")</f>
      </c>
      <c r="G2044" t="s" s="2">
        <v>17</v>
      </c>
      <c r="H2044" t="s" s="2">
        <v>19</v>
      </c>
      <c r="I2044" t="s" s="2">
        <v>8019</v>
      </c>
      <c r="J2044" t="s" s="2">
        <v>8020</v>
      </c>
      <c r="K2044" t="s" s="2">
        <v>22</v>
      </c>
      <c r="L2044" t="s" s="2">
        <v>22</v>
      </c>
      <c r="M2044" t="s" s="2">
        <v>22</v>
      </c>
    </row>
    <row r="2045" ht="25.0" customHeight="true">
      <c r="A2045" t="s" s="2">
        <v>13</v>
      </c>
      <c r="B2045" t="s" s="2">
        <f>HYPERLINK("http://ts.21cn.com/tousu/show/id/1371945","圆通快递旗下承诺达快递招用征信污点员工")</f>
      </c>
      <c r="C2045" t="s" s="2">
        <v>15</v>
      </c>
      <c r="D2045" t="s" s="2">
        <v>16</v>
      </c>
      <c r="E2045" t="s" s="2">
        <v>17</v>
      </c>
      <c r="F2045" t="s" s="2">
        <f>HYPERLINK("http://ts.21cn.com/tousu/show/id/1371945","http://ts.21cn.com/tousu/show/id/1371945")</f>
      </c>
      <c r="G2045" t="s" s="2">
        <v>17</v>
      </c>
      <c r="H2045" t="s" s="2">
        <v>19</v>
      </c>
      <c r="I2045" t="s" s="2">
        <v>8023</v>
      </c>
      <c r="J2045" t="s" s="2">
        <v>8024</v>
      </c>
      <c r="K2045" t="s" s="2">
        <v>22</v>
      </c>
      <c r="L2045" t="s" s="2">
        <v>22</v>
      </c>
      <c r="M2045" t="s" s="2">
        <v>22</v>
      </c>
    </row>
    <row r="2046" ht="25.0" customHeight="true">
      <c r="A2046" t="s" s="2">
        <v>13</v>
      </c>
      <c r="B2046" t="s" s="2">
        <f>HYPERLINK("http://ts.21cn.com/tousu/show/id/1371944","本人没有在小米金融贷款却一直催熟影响生活")</f>
      </c>
      <c r="C2046" t="s" s="2">
        <v>52</v>
      </c>
      <c r="D2046" t="s" s="2">
        <v>16</v>
      </c>
      <c r="E2046" t="s" s="2">
        <v>17</v>
      </c>
      <c r="F2046" t="s" s="2">
        <f>HYPERLINK("http://ts.21cn.com/tousu/show/id/1371944","http://ts.21cn.com/tousu/show/id/1371944")</f>
      </c>
      <c r="G2046" t="s" s="2">
        <v>17</v>
      </c>
      <c r="H2046" t="s" s="2">
        <v>19</v>
      </c>
      <c r="I2046" t="s" s="2">
        <v>8027</v>
      </c>
      <c r="J2046" t="s" s="2">
        <v>8028</v>
      </c>
      <c r="K2046" t="s" s="2">
        <v>22</v>
      </c>
      <c r="L2046" t="s" s="2">
        <v>22</v>
      </c>
      <c r="M2046" t="s" s="2">
        <v>22</v>
      </c>
    </row>
    <row r="2047" ht="25.0" customHeight="true">
      <c r="A2047" t="s" s="2">
        <v>13</v>
      </c>
      <c r="B2047" t="s" s="2">
        <f>HYPERLINK("http://ts.21cn.com/tousu/show/id/1371943","洋钱罐现金借款爆通讯录催收")</f>
      </c>
      <c r="C2047" t="s" s="2">
        <v>15</v>
      </c>
      <c r="D2047" t="s" s="2">
        <v>16</v>
      </c>
      <c r="E2047" t="s" s="2">
        <v>17</v>
      </c>
      <c r="F2047" t="s" s="2">
        <f>HYPERLINK("http://ts.21cn.com/tousu/show/id/1371943","http://ts.21cn.com/tousu/show/id/1371943")</f>
      </c>
      <c r="G2047" t="s" s="2">
        <v>17</v>
      </c>
      <c r="H2047" t="s" s="2">
        <v>19</v>
      </c>
      <c r="I2047" t="s" s="2">
        <v>8031</v>
      </c>
      <c r="J2047" t="s" s="2">
        <v>8032</v>
      </c>
      <c r="K2047" t="s" s="2">
        <v>22</v>
      </c>
      <c r="L2047" t="s" s="2">
        <v>22</v>
      </c>
      <c r="M2047" t="s" s="2">
        <v>22</v>
      </c>
    </row>
    <row r="2048" ht="25.0" customHeight="true">
      <c r="A2048" t="s" s="2">
        <v>13</v>
      </c>
      <c r="B2048" t="s" s="2">
        <f>HYPERLINK("http://ts.21cn.com/tousu/show/id/1371941","关于建设银行减免违约金不给减免")</f>
      </c>
      <c r="C2048" t="s" s="2">
        <v>15</v>
      </c>
      <c r="D2048" t="s" s="2">
        <v>16</v>
      </c>
      <c r="E2048" t="s" s="2">
        <v>17</v>
      </c>
      <c r="F2048" t="s" s="2">
        <f>HYPERLINK("http://ts.21cn.com/tousu/show/id/1371941","http://ts.21cn.com/tousu/show/id/1371941")</f>
      </c>
      <c r="G2048" t="s" s="2">
        <v>17</v>
      </c>
      <c r="H2048" t="s" s="2">
        <v>19</v>
      </c>
      <c r="I2048" t="s" s="2">
        <v>8035</v>
      </c>
      <c r="J2048" t="s" s="2">
        <v>8036</v>
      </c>
      <c r="K2048" t="s" s="2">
        <v>22</v>
      </c>
      <c r="L2048" t="s" s="2">
        <v>22</v>
      </c>
      <c r="M2048" t="s" s="2">
        <v>22</v>
      </c>
    </row>
    <row r="2049" ht="25.0" customHeight="true">
      <c r="A2049" t="s" s="2">
        <v>13</v>
      </c>
      <c r="B2049" t="s" s="2">
        <f>HYPERLINK("http://ts.21cn.com/tousu/show/id/1371942","爆通讯录，骚扰我的亲戚朋友")</f>
      </c>
      <c r="C2049" t="s" s="2">
        <v>15</v>
      </c>
      <c r="D2049" t="s" s="2">
        <v>16</v>
      </c>
      <c r="E2049" t="s" s="2">
        <v>17</v>
      </c>
      <c r="F2049" t="s" s="2">
        <f>HYPERLINK("http://ts.21cn.com/tousu/show/id/1371942","http://ts.21cn.com/tousu/show/id/1371942")</f>
      </c>
      <c r="G2049" t="s" s="2">
        <v>17</v>
      </c>
      <c r="H2049" t="s" s="2">
        <v>19</v>
      </c>
      <c r="I2049" t="s" s="2">
        <v>8039</v>
      </c>
      <c r="J2049" t="s" s="2">
        <v>8040</v>
      </c>
      <c r="K2049" t="s" s="2">
        <v>22</v>
      </c>
      <c r="L2049" t="s" s="2">
        <v>22</v>
      </c>
      <c r="M2049" t="s" s="2">
        <v>22</v>
      </c>
    </row>
    <row r="2050" ht="25.0" customHeight="true">
      <c r="A2050" t="s" s="2">
        <v>13</v>
      </c>
      <c r="B2050" t="s" s="2">
        <f>HYPERLINK("http://ts.21cn.com/tousu/show/id/1371939","投诉易宝支付为714非法网贷提供交易")</f>
      </c>
      <c r="C2050" t="s" s="2">
        <v>15</v>
      </c>
      <c r="D2050" t="s" s="2">
        <v>16</v>
      </c>
      <c r="E2050" t="s" s="2">
        <v>17</v>
      </c>
      <c r="F2050" t="s" s="2">
        <f>HYPERLINK("http://ts.21cn.com/tousu/show/id/1371939","http://ts.21cn.com/tousu/show/id/1371939")</f>
      </c>
      <c r="G2050" t="s" s="2">
        <v>17</v>
      </c>
      <c r="H2050" t="s" s="2">
        <v>19</v>
      </c>
      <c r="I2050" t="s" s="2">
        <v>8043</v>
      </c>
      <c r="J2050" t="s" s="2">
        <v>8044</v>
      </c>
      <c r="K2050" t="s" s="2">
        <v>22</v>
      </c>
      <c r="L2050" t="s" s="2">
        <v>22</v>
      </c>
      <c r="M2050" t="s" s="2">
        <v>22</v>
      </c>
    </row>
    <row r="2051" ht="25.0" customHeight="true">
      <c r="A2051" t="s" s="2">
        <v>13</v>
      </c>
      <c r="B2051" t="s" s="2">
        <f>HYPERLINK("http://ts.21cn.com/tousu/show/id/1371824","苏宁易购没诚信，没有保障付款者的资金安全")</f>
      </c>
      <c r="C2051" t="s" s="2">
        <v>15</v>
      </c>
      <c r="D2051" t="s" s="2">
        <v>16</v>
      </c>
      <c r="E2051" t="s" s="2">
        <v>17</v>
      </c>
      <c r="F2051" t="s" s="2">
        <f>HYPERLINK("http://ts.21cn.com/tousu/show/id/1371824","http://ts.21cn.com/tousu/show/id/1371824")</f>
      </c>
      <c r="G2051" t="s" s="2">
        <v>17</v>
      </c>
      <c r="H2051" t="s" s="2">
        <v>19</v>
      </c>
      <c r="I2051" t="s" s="2">
        <v>8047</v>
      </c>
      <c r="J2051" t="s" s="2">
        <v>8048</v>
      </c>
      <c r="K2051" t="s" s="2">
        <v>22</v>
      </c>
      <c r="L2051" t="s" s="2">
        <v>22</v>
      </c>
      <c r="M2051" t="s" s="2">
        <v>22</v>
      </c>
    </row>
    <row r="2052" ht="25.0" customHeight="true">
      <c r="A2052" t="s" s="2">
        <v>13</v>
      </c>
      <c r="B2052" t="s" s="2">
        <f>HYPERLINK("http://ts.21cn.com/tousu/show/id/1371937","钱橙无忧随意扣费")</f>
      </c>
      <c r="C2052" t="s" s="2">
        <v>52</v>
      </c>
      <c r="D2052" t="s" s="2">
        <v>16</v>
      </c>
      <c r="E2052" t="s" s="2">
        <v>17</v>
      </c>
      <c r="F2052" t="s" s="2">
        <f>HYPERLINK("http://ts.21cn.com/tousu/show/id/1371937","http://ts.21cn.com/tousu/show/id/1371937")</f>
      </c>
      <c r="G2052" t="s" s="2">
        <v>17</v>
      </c>
      <c r="H2052" t="s" s="2">
        <v>19</v>
      </c>
      <c r="I2052" t="s" s="2">
        <v>8050</v>
      </c>
      <c r="J2052" t="s" s="2">
        <v>8051</v>
      </c>
      <c r="K2052" t="s" s="2">
        <v>22</v>
      </c>
      <c r="L2052" t="s" s="2">
        <v>22</v>
      </c>
      <c r="M2052" t="s" s="2">
        <v>22</v>
      </c>
    </row>
    <row r="2053" ht="25.0" customHeight="true">
      <c r="A2053" t="s" s="2">
        <v>13</v>
      </c>
      <c r="B2053" t="s" s="2">
        <f>HYPERLINK("http://ts.21cn.com/tousu/show/id/1371938","冒充催收")</f>
      </c>
      <c r="C2053" t="s" s="2">
        <v>15</v>
      </c>
      <c r="D2053" t="s" s="2">
        <v>16</v>
      </c>
      <c r="E2053" t="s" s="2">
        <v>17</v>
      </c>
      <c r="F2053" t="s" s="2">
        <f>HYPERLINK("http://ts.21cn.com/tousu/show/id/1371938","http://ts.21cn.com/tousu/show/id/1371938")</f>
      </c>
      <c r="G2053" t="s" s="2">
        <v>17</v>
      </c>
      <c r="H2053" t="s" s="2">
        <v>19</v>
      </c>
      <c r="I2053" t="s" s="2">
        <v>8054</v>
      </c>
      <c r="J2053" t="s" s="2">
        <v>8055</v>
      </c>
      <c r="K2053" t="s" s="2">
        <v>22</v>
      </c>
      <c r="L2053" t="s" s="2">
        <v>22</v>
      </c>
      <c r="M2053" t="s" s="2">
        <v>22</v>
      </c>
    </row>
    <row r="2054" ht="25.0" customHeight="true">
      <c r="A2054" t="s" s="2">
        <v>13</v>
      </c>
      <c r="B2054" t="s" s="2">
        <f>HYPERLINK("http://ts.21cn.com/tousu/show/id/1371935","闪掌柜逾期费")</f>
      </c>
      <c r="C2054" t="s" s="2">
        <v>15</v>
      </c>
      <c r="D2054" t="s" s="2">
        <v>16</v>
      </c>
      <c r="E2054" t="s" s="2">
        <v>17</v>
      </c>
      <c r="F2054" t="s" s="2">
        <f>HYPERLINK("http://ts.21cn.com/tousu/show/id/1371935","http://ts.21cn.com/tousu/show/id/1371935")</f>
      </c>
      <c r="G2054" t="s" s="2">
        <v>17</v>
      </c>
      <c r="H2054" t="s" s="2">
        <v>19</v>
      </c>
      <c r="I2054" t="s" s="2">
        <v>8058</v>
      </c>
      <c r="J2054" t="s" s="2">
        <v>8059</v>
      </c>
      <c r="K2054" t="s" s="2">
        <v>22</v>
      </c>
      <c r="L2054" t="s" s="2">
        <v>22</v>
      </c>
      <c r="M2054" t="s" s="2">
        <v>22</v>
      </c>
    </row>
    <row r="2055" ht="25.0" customHeight="true">
      <c r="A2055" t="s" s="2">
        <v>13</v>
      </c>
      <c r="B2055" t="s" s="2">
        <f>HYPERLINK("http://ts.21cn.com/tousu/show/id/1371936","小象优品收取高额利息砍头息")</f>
      </c>
      <c r="C2055" t="s" s="2">
        <v>15</v>
      </c>
      <c r="D2055" t="s" s="2">
        <v>16</v>
      </c>
      <c r="E2055" t="s" s="2">
        <v>17</v>
      </c>
      <c r="F2055" t="s" s="2">
        <f>HYPERLINK("http://ts.21cn.com/tousu/show/id/1371936","http://ts.21cn.com/tousu/show/id/1371936")</f>
      </c>
      <c r="G2055" t="s" s="2">
        <v>17</v>
      </c>
      <c r="H2055" t="s" s="2">
        <v>19</v>
      </c>
      <c r="I2055" t="s" s="2">
        <v>8062</v>
      </c>
      <c r="J2055" t="s" s="2">
        <v>8063</v>
      </c>
      <c r="K2055" t="s" s="2">
        <v>22</v>
      </c>
      <c r="L2055" t="s" s="2">
        <v>22</v>
      </c>
      <c r="M2055" t="s" s="2">
        <v>22</v>
      </c>
    </row>
    <row r="2056" ht="25.0" customHeight="true">
      <c r="A2056" t="s" s="2">
        <v>13</v>
      </c>
      <c r="B2056" t="s" s="2">
        <f>HYPERLINK("http://ts.21cn.com/tousu/show/id/1371933","农业退还违约金")</f>
      </c>
      <c r="C2056" t="s" s="2">
        <v>15</v>
      </c>
      <c r="D2056" t="s" s="2">
        <v>16</v>
      </c>
      <c r="E2056" t="s" s="2">
        <v>17</v>
      </c>
      <c r="F2056" t="s" s="2">
        <f>HYPERLINK("http://ts.21cn.com/tousu/show/id/1371933","http://ts.21cn.com/tousu/show/id/1371933")</f>
      </c>
      <c r="G2056" t="s" s="2">
        <v>17</v>
      </c>
      <c r="H2056" t="s" s="2">
        <v>19</v>
      </c>
      <c r="I2056" t="s" s="2">
        <v>8066</v>
      </c>
      <c r="J2056" t="s" s="2">
        <v>8067</v>
      </c>
      <c r="K2056" t="s" s="2">
        <v>22</v>
      </c>
      <c r="L2056" t="s" s="2">
        <v>22</v>
      </c>
      <c r="M2056" t="s" s="2">
        <v>22</v>
      </c>
    </row>
    <row r="2057" ht="25.0" customHeight="true">
      <c r="A2057" t="s" s="2">
        <v>13</v>
      </c>
      <c r="B2057" t="s" s="2">
        <f>HYPERLINK("http://ts.21cn.com/tousu/show/id/1371932","支付宝借呗委外协商态度差")</f>
      </c>
      <c r="C2057" t="s" s="2">
        <v>15</v>
      </c>
      <c r="D2057" t="s" s="2">
        <v>16</v>
      </c>
      <c r="E2057" t="s" s="2">
        <v>17</v>
      </c>
      <c r="F2057" t="s" s="2">
        <f>HYPERLINK("http://ts.21cn.com/tousu/show/id/1371932","http://ts.21cn.com/tousu/show/id/1371932")</f>
      </c>
      <c r="G2057" t="s" s="2">
        <v>17</v>
      </c>
      <c r="H2057" t="s" s="2">
        <v>19</v>
      </c>
      <c r="I2057" t="s" s="2">
        <v>8070</v>
      </c>
      <c r="J2057" t="s" s="2">
        <v>8071</v>
      </c>
      <c r="K2057" t="s" s="2">
        <v>22</v>
      </c>
      <c r="L2057" t="s" s="2">
        <v>22</v>
      </c>
      <c r="M2057" t="s" s="2">
        <v>22</v>
      </c>
    </row>
    <row r="2058" ht="25.0" customHeight="true">
      <c r="A2058" t="s" s="2">
        <v>13</v>
      </c>
      <c r="B2058" t="s" s="2">
        <f>HYPERLINK("http://ts.21cn.com/tousu/show/id/1371928","投诉圆通损坏客户物品损坏逃避赔偿责任以及圆通客服号6150多次敷衍客户")</f>
      </c>
      <c r="C2058" t="s" s="2">
        <v>15</v>
      </c>
      <c r="D2058" t="s" s="2">
        <v>16</v>
      </c>
      <c r="E2058" t="s" s="2">
        <v>17</v>
      </c>
      <c r="F2058" t="s" s="2">
        <f>HYPERLINK("http://ts.21cn.com/tousu/show/id/1371928","http://ts.21cn.com/tousu/show/id/1371928")</f>
      </c>
      <c r="G2058" t="s" s="2">
        <v>17</v>
      </c>
      <c r="H2058" t="s" s="2">
        <v>19</v>
      </c>
      <c r="I2058" t="s" s="2">
        <v>8074</v>
      </c>
      <c r="J2058" t="s" s="2">
        <v>8075</v>
      </c>
      <c r="K2058" t="s" s="2">
        <v>22</v>
      </c>
      <c r="L2058" t="s" s="2">
        <v>22</v>
      </c>
      <c r="M2058" t="s" s="2">
        <v>22</v>
      </c>
    </row>
    <row r="2059" ht="25.0" customHeight="true">
      <c r="A2059" t="s" s="2">
        <v>13</v>
      </c>
      <c r="B2059" t="s" s="2">
        <f>HYPERLINK("http://ts.21cn.com/tousu/show/id/1327830","支付宝想黑我900块钱")</f>
      </c>
      <c r="C2059" t="s" s="2">
        <v>15</v>
      </c>
      <c r="D2059" t="s" s="2">
        <v>16</v>
      </c>
      <c r="E2059" t="s" s="2">
        <v>17</v>
      </c>
      <c r="F2059" t="s" s="2">
        <f>HYPERLINK("http://ts.21cn.com/tousu/show/id/1327830","http://ts.21cn.com/tousu/show/id/1327830")</f>
      </c>
      <c r="G2059" t="s" s="2">
        <v>17</v>
      </c>
      <c r="H2059" t="s" s="2">
        <v>19</v>
      </c>
      <c r="I2059" t="s" s="2">
        <v>8078</v>
      </c>
      <c r="J2059" t="s" s="2">
        <v>8079</v>
      </c>
      <c r="K2059" t="s" s="2">
        <v>22</v>
      </c>
      <c r="L2059" t="s" s="2">
        <v>22</v>
      </c>
      <c r="M2059" t="s" s="2">
        <v>22</v>
      </c>
    </row>
    <row r="2060" ht="25.0" customHeight="true">
      <c r="A2060" t="s" s="2">
        <v>13</v>
      </c>
      <c r="B2060" t="s" s="2">
        <f>HYPERLINK("http://ts.21cn.com/tousu/show/id/1371931","钱包易贷违法催收客服态度极其恶劣")</f>
      </c>
      <c r="C2060" t="s" s="2">
        <v>15</v>
      </c>
      <c r="D2060" t="s" s="2">
        <v>16</v>
      </c>
      <c r="E2060" t="s" s="2">
        <v>17</v>
      </c>
      <c r="F2060" t="s" s="2">
        <f>HYPERLINK("http://ts.21cn.com/tousu/show/id/1371931","http://ts.21cn.com/tousu/show/id/1371931")</f>
      </c>
      <c r="G2060" t="s" s="2">
        <v>17</v>
      </c>
      <c r="H2060" t="s" s="2">
        <v>19</v>
      </c>
      <c r="I2060" t="s" s="2">
        <v>8082</v>
      </c>
      <c r="J2060" t="s" s="2">
        <v>8083</v>
      </c>
      <c r="K2060" t="s" s="2">
        <v>22</v>
      </c>
      <c r="L2060" t="s" s="2">
        <v>22</v>
      </c>
      <c r="M2060" t="s" s="2">
        <v>22</v>
      </c>
    </row>
    <row r="2061" ht="25.0" customHeight="true">
      <c r="A2061" t="s" s="2">
        <v>13</v>
      </c>
      <c r="B2061" t="s" s="2">
        <f>HYPERLINK("http://ts.21cn.com/tousu/show/id/1371930","套路贷，砍头息")</f>
      </c>
      <c r="C2061" t="s" s="2">
        <v>15</v>
      </c>
      <c r="D2061" t="s" s="2">
        <v>16</v>
      </c>
      <c r="E2061" t="s" s="2">
        <v>17</v>
      </c>
      <c r="F2061" t="s" s="2">
        <f>HYPERLINK("http://ts.21cn.com/tousu/show/id/1371930","http://ts.21cn.com/tousu/show/id/1371930")</f>
      </c>
      <c r="G2061" t="s" s="2">
        <v>17</v>
      </c>
      <c r="H2061" t="s" s="2">
        <v>19</v>
      </c>
      <c r="I2061" t="s" s="2">
        <v>8086</v>
      </c>
      <c r="J2061" t="s" s="2">
        <v>8087</v>
      </c>
      <c r="K2061" t="s" s="2">
        <v>22</v>
      </c>
      <c r="L2061" t="s" s="2">
        <v>22</v>
      </c>
      <c r="M2061" t="s" s="2">
        <v>22</v>
      </c>
    </row>
    <row r="2062" ht="25.0" customHeight="true">
      <c r="A2062" t="s" s="2">
        <v>13</v>
      </c>
      <c r="B2062" t="s" s="2">
        <f>HYPERLINK("http://ts.21cn.com/tousu/show/id/1371926","北京环球网校不履行承诺拒不退费")</f>
      </c>
      <c r="C2062" t="s" s="2">
        <v>15</v>
      </c>
      <c r="D2062" t="s" s="2">
        <v>16</v>
      </c>
      <c r="E2062" t="s" s="2">
        <v>17</v>
      </c>
      <c r="F2062" t="s" s="2">
        <f>HYPERLINK("http://ts.21cn.com/tousu/show/id/1371926","http://ts.21cn.com/tousu/show/id/1371926")</f>
      </c>
      <c r="G2062" t="s" s="2">
        <v>17</v>
      </c>
      <c r="H2062" t="s" s="2">
        <v>19</v>
      </c>
      <c r="I2062" t="s" s="2">
        <v>8090</v>
      </c>
      <c r="J2062" t="s" s="2">
        <v>8091</v>
      </c>
      <c r="K2062" t="s" s="2">
        <v>22</v>
      </c>
      <c r="L2062" t="s" s="2">
        <v>22</v>
      </c>
      <c r="M2062" t="s" s="2">
        <v>22</v>
      </c>
    </row>
    <row r="2063" ht="25.0" customHeight="true">
      <c r="A2063" t="s" s="2">
        <v>13</v>
      </c>
      <c r="B2063" t="s" s="2">
        <f>HYPERLINK("http://ts.21cn.com/tousu/show/id/1371923","软暴力催收")</f>
      </c>
      <c r="C2063" t="s" s="2">
        <v>15</v>
      </c>
      <c r="D2063" t="s" s="2">
        <v>16</v>
      </c>
      <c r="E2063" t="s" s="2">
        <v>17</v>
      </c>
      <c r="F2063" t="s" s="2">
        <f>HYPERLINK("http://ts.21cn.com/tousu/show/id/1371923","http://ts.21cn.com/tousu/show/id/1371923")</f>
      </c>
      <c r="G2063" t="s" s="2">
        <v>17</v>
      </c>
      <c r="H2063" t="s" s="2">
        <v>19</v>
      </c>
      <c r="I2063" t="s" s="2">
        <v>8094</v>
      </c>
      <c r="J2063" t="s" s="2">
        <v>8095</v>
      </c>
      <c r="K2063" t="s" s="2">
        <v>22</v>
      </c>
      <c r="L2063" t="s" s="2">
        <v>22</v>
      </c>
      <c r="M2063" t="s" s="2">
        <v>22</v>
      </c>
    </row>
    <row r="2064" ht="25.0" customHeight="true">
      <c r="A2064" t="s" s="2">
        <v>13</v>
      </c>
      <c r="B2064" t="s" s="2">
        <f>HYPERLINK("http://ts.21cn.com/tousu/show/id/1371924","小花钱包长期暴力催收")</f>
      </c>
      <c r="C2064" t="s" s="2">
        <v>15</v>
      </c>
      <c r="D2064" t="s" s="2">
        <v>16</v>
      </c>
      <c r="E2064" t="s" s="2">
        <v>17</v>
      </c>
      <c r="F2064" t="s" s="2">
        <f>HYPERLINK("http://ts.21cn.com/tousu/show/id/1371924","http://ts.21cn.com/tousu/show/id/1371924")</f>
      </c>
      <c r="G2064" t="s" s="2">
        <v>17</v>
      </c>
      <c r="H2064" t="s" s="2">
        <v>19</v>
      </c>
      <c r="I2064" t="s" s="2">
        <v>8098</v>
      </c>
      <c r="J2064" t="s" s="2">
        <v>8099</v>
      </c>
      <c r="K2064" t="s" s="2">
        <v>22</v>
      </c>
      <c r="L2064" t="s" s="2">
        <v>22</v>
      </c>
      <c r="M2064" t="s" s="2">
        <v>22</v>
      </c>
    </row>
    <row r="2065" ht="25.0" customHeight="true">
      <c r="A2065" t="s" s="2">
        <v>13</v>
      </c>
      <c r="B2065" t="s" s="2">
        <f>HYPERLINK("http://ts.21cn.com/tousu/show/id/1371927","恐吓家人。")</f>
      </c>
      <c r="C2065" t="s" s="2">
        <v>15</v>
      </c>
      <c r="D2065" t="s" s="2">
        <v>16</v>
      </c>
      <c r="E2065" t="s" s="2">
        <v>17</v>
      </c>
      <c r="F2065" t="s" s="2">
        <f>HYPERLINK("http://ts.21cn.com/tousu/show/id/1371927","http://ts.21cn.com/tousu/show/id/1371927")</f>
      </c>
      <c r="G2065" t="s" s="2">
        <v>17</v>
      </c>
      <c r="H2065" t="s" s="2">
        <v>19</v>
      </c>
      <c r="I2065" t="s" s="2">
        <v>8102</v>
      </c>
      <c r="J2065" t="s" s="2">
        <v>8103</v>
      </c>
      <c r="K2065" t="s" s="2">
        <v>22</v>
      </c>
      <c r="L2065" t="s" s="2">
        <v>22</v>
      </c>
      <c r="M2065" t="s" s="2">
        <v>22</v>
      </c>
    </row>
    <row r="2066" ht="25.0" customHeight="true">
      <c r="A2066" t="s" s="2">
        <v>13</v>
      </c>
      <c r="B2066" t="s" s="2">
        <f>HYPERLINK("http://ts.21cn.com/tousu/show/id/1371920","招联金融恶意催收")</f>
      </c>
      <c r="C2066" t="s" s="2">
        <v>15</v>
      </c>
      <c r="D2066" t="s" s="2">
        <v>16</v>
      </c>
      <c r="E2066" t="s" s="2">
        <v>17</v>
      </c>
      <c r="F2066" t="s" s="2">
        <f>HYPERLINK("http://ts.21cn.com/tousu/show/id/1371920","http://ts.21cn.com/tousu/show/id/1371920")</f>
      </c>
      <c r="G2066" t="s" s="2">
        <v>17</v>
      </c>
      <c r="H2066" t="s" s="2">
        <v>19</v>
      </c>
      <c r="I2066" t="s" s="2">
        <v>8106</v>
      </c>
      <c r="J2066" t="s" s="2">
        <v>8107</v>
      </c>
      <c r="K2066" t="s" s="2">
        <v>22</v>
      </c>
      <c r="L2066" t="s" s="2">
        <v>22</v>
      </c>
      <c r="M2066" t="s" s="2">
        <v>22</v>
      </c>
    </row>
    <row r="2067" ht="25.0" customHeight="true">
      <c r="A2067" t="s" s="2">
        <v>13</v>
      </c>
      <c r="B2067" t="s" s="2">
        <f>HYPERLINK("http://ts.21cn.com/tousu/show/id/1371922","在淘手游卖了账号买家换密保了，账号没问题，不收货要求退货，客服说7天内处理，7天。。。")</f>
      </c>
      <c r="C2067" t="s" s="2">
        <v>15</v>
      </c>
      <c r="D2067" t="s" s="2">
        <v>16</v>
      </c>
      <c r="E2067" t="s" s="2">
        <v>17</v>
      </c>
      <c r="F2067" t="s" s="2">
        <f>HYPERLINK("http://ts.21cn.com/tousu/show/id/1371922","http://ts.21cn.com/tousu/show/id/1371922")</f>
      </c>
      <c r="G2067" t="s" s="2">
        <v>17</v>
      </c>
      <c r="H2067" t="s" s="2">
        <v>19</v>
      </c>
      <c r="I2067" t="s" s="2">
        <v>8110</v>
      </c>
      <c r="J2067" t="s" s="2">
        <v>8111</v>
      </c>
      <c r="K2067" t="s" s="2">
        <v>22</v>
      </c>
      <c r="L2067" t="s" s="2">
        <v>22</v>
      </c>
      <c r="M2067" t="s" s="2">
        <v>22</v>
      </c>
    </row>
    <row r="2068" ht="25.0" customHeight="true">
      <c r="A2068" t="s" s="2">
        <v>13</v>
      </c>
      <c r="B2068" t="s" s="2">
        <f>HYPERLINK("http://ts.21cn.com/tousu/show/id/1371921","返现没通知自动转换积分")</f>
      </c>
      <c r="C2068" t="s" s="2">
        <v>15</v>
      </c>
      <c r="D2068" t="s" s="2">
        <v>16</v>
      </c>
      <c r="E2068" t="s" s="2">
        <v>17</v>
      </c>
      <c r="F2068" t="s" s="2">
        <f>HYPERLINK("http://ts.21cn.com/tousu/show/id/1371921","http://ts.21cn.com/tousu/show/id/1371921")</f>
      </c>
      <c r="G2068" t="s" s="2">
        <v>17</v>
      </c>
      <c r="H2068" t="s" s="2">
        <v>19</v>
      </c>
      <c r="I2068" t="s" s="2">
        <v>8114</v>
      </c>
      <c r="J2068" t="s" s="2">
        <v>8115</v>
      </c>
      <c r="K2068" t="s" s="2">
        <v>22</v>
      </c>
      <c r="L2068" t="s" s="2">
        <v>22</v>
      </c>
      <c r="M2068" t="s" s="2">
        <v>22</v>
      </c>
    </row>
    <row r="2069" ht="25.0" customHeight="true">
      <c r="A2069" t="s" s="2">
        <v>13</v>
      </c>
      <c r="B2069" t="s" s="2">
        <f>HYPERLINK("http://ts.21cn.com/tousu/show/id/1371919","信而富砍头息")</f>
      </c>
      <c r="C2069" t="s" s="2">
        <v>15</v>
      </c>
      <c r="D2069" t="s" s="2">
        <v>16</v>
      </c>
      <c r="E2069" t="s" s="2">
        <v>17</v>
      </c>
      <c r="F2069" t="s" s="2">
        <f>HYPERLINK("http://ts.21cn.com/tousu/show/id/1371919","http://ts.21cn.com/tousu/show/id/1371919")</f>
      </c>
      <c r="G2069" t="s" s="2">
        <v>17</v>
      </c>
      <c r="H2069" t="s" s="2">
        <v>19</v>
      </c>
      <c r="I2069" t="s" s="2">
        <v>8118</v>
      </c>
      <c r="J2069" t="s" s="2">
        <v>8119</v>
      </c>
      <c r="K2069" t="s" s="2">
        <v>22</v>
      </c>
      <c r="L2069" t="s" s="2">
        <v>22</v>
      </c>
      <c r="M2069" t="s" s="2">
        <v>22</v>
      </c>
    </row>
    <row r="2070" ht="25.0" customHeight="true">
      <c r="A2070" t="s" s="2">
        <v>13</v>
      </c>
      <c r="B2070" t="s" s="2">
        <f>HYPERLINK("http://ts.21cn.com/tousu/show/id/1371917","闪银哼哼暴力催收")</f>
      </c>
      <c r="C2070" t="s" s="2">
        <v>15</v>
      </c>
      <c r="D2070" t="s" s="2">
        <v>16</v>
      </c>
      <c r="E2070" t="s" s="2">
        <v>17</v>
      </c>
      <c r="F2070" t="s" s="2">
        <f>HYPERLINK("http://ts.21cn.com/tousu/show/id/1371917","http://ts.21cn.com/tousu/show/id/1371917")</f>
      </c>
      <c r="G2070" t="s" s="2">
        <v>17</v>
      </c>
      <c r="H2070" t="s" s="2">
        <v>19</v>
      </c>
      <c r="I2070" t="s" s="2">
        <v>8122</v>
      </c>
      <c r="J2070" t="s" s="2">
        <v>8123</v>
      </c>
      <c r="K2070" t="s" s="2">
        <v>22</v>
      </c>
      <c r="L2070" t="s" s="2">
        <v>22</v>
      </c>
      <c r="M2070" t="s" s="2">
        <v>22</v>
      </c>
    </row>
    <row r="2071" ht="25.0" customHeight="true">
      <c r="A2071" t="s" s="2">
        <v>13</v>
      </c>
      <c r="B2071" t="s" s="2">
        <f>HYPERLINK("http://ts.21cn.com/tousu/show/id/1371918","元丰手机贷暴力催收电话骚扰高利贷")</f>
      </c>
      <c r="C2071" t="s" s="2">
        <v>15</v>
      </c>
      <c r="D2071" t="s" s="2">
        <v>16</v>
      </c>
      <c r="E2071" t="s" s="2">
        <v>17</v>
      </c>
      <c r="F2071" t="s" s="2">
        <f>HYPERLINK("http://ts.21cn.com/tousu/show/id/1371918","http://ts.21cn.com/tousu/show/id/1371918")</f>
      </c>
      <c r="G2071" t="s" s="2">
        <v>17</v>
      </c>
      <c r="H2071" t="s" s="2">
        <v>19</v>
      </c>
      <c r="I2071" t="s" s="2">
        <v>8126</v>
      </c>
      <c r="J2071" t="s" s="2">
        <v>8127</v>
      </c>
      <c r="K2071" t="s" s="2">
        <v>22</v>
      </c>
      <c r="L2071" t="s" s="2">
        <v>22</v>
      </c>
      <c r="M2071" t="s" s="2">
        <v>22</v>
      </c>
    </row>
    <row r="2072" ht="25.0" customHeight="true">
      <c r="A2072" t="s" s="2">
        <v>13</v>
      </c>
      <c r="B2072" t="s" s="2">
        <f>HYPERLINK("http://ts.21cn.com/tousu/show/id/1371916","平安i贷逾期第三方")</f>
      </c>
      <c r="C2072" t="s" s="2">
        <v>15</v>
      </c>
      <c r="D2072" t="s" s="2">
        <v>16</v>
      </c>
      <c r="E2072" t="s" s="2">
        <v>17</v>
      </c>
      <c r="F2072" t="s" s="2">
        <f>HYPERLINK("http://ts.21cn.com/tousu/show/id/1371916","http://ts.21cn.com/tousu/show/id/1371916")</f>
      </c>
      <c r="G2072" t="s" s="2">
        <v>17</v>
      </c>
      <c r="H2072" t="s" s="2">
        <v>19</v>
      </c>
      <c r="I2072" t="s" s="2">
        <v>8130</v>
      </c>
      <c r="J2072" t="s" s="2">
        <v>8131</v>
      </c>
      <c r="K2072" t="s" s="2">
        <v>22</v>
      </c>
      <c r="L2072" t="s" s="2">
        <v>22</v>
      </c>
      <c r="M2072" t="s" s="2">
        <v>22</v>
      </c>
    </row>
    <row r="2073" ht="25.0" customHeight="true">
      <c r="A2073" t="s" s="2">
        <v>13</v>
      </c>
      <c r="B2073" t="s" s="2">
        <f>HYPERLINK("http://ts.21cn.com/tousu/show/id/1371913","小象优品高利贷")</f>
      </c>
      <c r="C2073" t="s" s="2">
        <v>15</v>
      </c>
      <c r="D2073" t="s" s="2">
        <v>16</v>
      </c>
      <c r="E2073" t="s" s="2">
        <v>17</v>
      </c>
      <c r="F2073" t="s" s="2">
        <f>HYPERLINK("http://ts.21cn.com/tousu/show/id/1371913","http://ts.21cn.com/tousu/show/id/1371913")</f>
      </c>
      <c r="G2073" t="s" s="2">
        <v>17</v>
      </c>
      <c r="H2073" t="s" s="2">
        <v>19</v>
      </c>
      <c r="I2073" t="s" s="2">
        <v>8134</v>
      </c>
      <c r="J2073" t="s" s="2">
        <v>8135</v>
      </c>
      <c r="K2073" t="s" s="2">
        <v>22</v>
      </c>
      <c r="L2073" t="s" s="2">
        <v>22</v>
      </c>
      <c r="M2073" t="s" s="2">
        <v>22</v>
      </c>
    </row>
    <row r="2074" ht="25.0" customHeight="true">
      <c r="A2074" t="s" s="2">
        <v>13</v>
      </c>
      <c r="B2074" t="s" s="2">
        <f>HYPERLINK("http://ts.21cn.com/tousu/show/id/1371912","电量容量问题")</f>
      </c>
      <c r="C2074" t="s" s="2">
        <v>15</v>
      </c>
      <c r="D2074" t="s" s="2">
        <v>16</v>
      </c>
      <c r="E2074" t="s" s="2">
        <v>17</v>
      </c>
      <c r="F2074" t="s" s="2">
        <f>HYPERLINK("http://ts.21cn.com/tousu/show/id/1371912","http://ts.21cn.com/tousu/show/id/1371912")</f>
      </c>
      <c r="G2074" t="s" s="2">
        <v>17</v>
      </c>
      <c r="H2074" t="s" s="2">
        <v>19</v>
      </c>
      <c r="I2074" t="s" s="2">
        <v>8138</v>
      </c>
      <c r="J2074" t="s" s="2">
        <v>8139</v>
      </c>
      <c r="K2074" t="s" s="2">
        <v>22</v>
      </c>
      <c r="L2074" t="s" s="2">
        <v>22</v>
      </c>
      <c r="M2074" t="s" s="2">
        <v>22</v>
      </c>
    </row>
    <row r="2075" ht="25.0" customHeight="true">
      <c r="A2075" t="s" s="2">
        <v>13</v>
      </c>
      <c r="B2075" t="s" s="2">
        <f>HYPERLINK("http://ts.21cn.com/tousu/show/id/1371911","微众银行法务部催收威胁")</f>
      </c>
      <c r="C2075" t="s" s="2">
        <v>15</v>
      </c>
      <c r="D2075" t="s" s="2">
        <v>16</v>
      </c>
      <c r="E2075" t="s" s="2">
        <v>17</v>
      </c>
      <c r="F2075" t="s" s="2">
        <f>HYPERLINK("http://ts.21cn.com/tousu/show/id/1371911","http://ts.21cn.com/tousu/show/id/1371911")</f>
      </c>
      <c r="G2075" t="s" s="2">
        <v>17</v>
      </c>
      <c r="H2075" t="s" s="2">
        <v>19</v>
      </c>
      <c r="I2075" t="s" s="2">
        <v>8142</v>
      </c>
      <c r="J2075" t="s" s="2">
        <v>8143</v>
      </c>
      <c r="K2075" t="s" s="2">
        <v>22</v>
      </c>
      <c r="L2075" t="s" s="2">
        <v>22</v>
      </c>
      <c r="M2075" t="s" s="2">
        <v>22</v>
      </c>
    </row>
    <row r="2076" ht="25.0" customHeight="true">
      <c r="A2076" t="s" s="2">
        <v>13</v>
      </c>
      <c r="B2076" t="s" s="2">
        <f>HYPERLINK("http://ts.21cn.com/tousu/show/id/1371910","钱橙无忧随意扣费")</f>
      </c>
      <c r="C2076" t="s" s="2">
        <v>15</v>
      </c>
      <c r="D2076" t="s" s="2">
        <v>16</v>
      </c>
      <c r="E2076" t="s" s="2">
        <v>17</v>
      </c>
      <c r="F2076" t="s" s="2">
        <f>HYPERLINK("http://ts.21cn.com/tousu/show/id/1371910","http://ts.21cn.com/tousu/show/id/1371910")</f>
      </c>
      <c r="G2076" t="s" s="2">
        <v>17</v>
      </c>
      <c r="H2076" t="s" s="2">
        <v>19</v>
      </c>
      <c r="I2076" t="s" s="2">
        <v>8145</v>
      </c>
      <c r="J2076" t="s" s="2">
        <v>8146</v>
      </c>
      <c r="K2076" t="s" s="2">
        <v>22</v>
      </c>
      <c r="L2076" t="s" s="2">
        <v>22</v>
      </c>
      <c r="M2076" t="s" s="2">
        <v>22</v>
      </c>
    </row>
    <row r="2077" ht="25.0" customHeight="true">
      <c r="A2077" t="s" s="2">
        <v>13</v>
      </c>
      <c r="B2077" t="s" s="2">
        <f>HYPERLINK("http://ts.21cn.com/tousu/show/id/1371909","宜信砍头息、高利贷、电话骚扰")</f>
      </c>
      <c r="C2077" t="s" s="2">
        <v>15</v>
      </c>
      <c r="D2077" t="s" s="2">
        <v>16</v>
      </c>
      <c r="E2077" t="s" s="2">
        <v>17</v>
      </c>
      <c r="F2077" t="s" s="2">
        <f>HYPERLINK("http://ts.21cn.com/tousu/show/id/1371909","http://ts.21cn.com/tousu/show/id/1371909")</f>
      </c>
      <c r="G2077" t="s" s="2">
        <v>17</v>
      </c>
      <c r="H2077" t="s" s="2">
        <v>19</v>
      </c>
      <c r="I2077" t="s" s="2">
        <v>8149</v>
      </c>
      <c r="J2077" t="s" s="2">
        <v>8150</v>
      </c>
      <c r="K2077" t="s" s="2">
        <v>22</v>
      </c>
      <c r="L2077" t="s" s="2">
        <v>22</v>
      </c>
      <c r="M2077" t="s" s="2">
        <v>22</v>
      </c>
    </row>
    <row r="2078" ht="25.0" customHeight="true">
      <c r="A2078" t="s" s="2">
        <v>13</v>
      </c>
      <c r="B2078" t="s" s="2">
        <f>HYPERLINK("http://ts.21cn.com/tousu/show/id/1371887","拍拍贷，威胁恐吓，泄露隐私")</f>
      </c>
      <c r="C2078" t="s" s="2">
        <v>15</v>
      </c>
      <c r="D2078" t="s" s="2">
        <v>16</v>
      </c>
      <c r="E2078" t="s" s="2">
        <v>17</v>
      </c>
      <c r="F2078" t="s" s="2">
        <f>HYPERLINK("http://ts.21cn.com/tousu/show/id/1371887","http://ts.21cn.com/tousu/show/id/1371887")</f>
      </c>
      <c r="G2078" t="s" s="2">
        <v>17</v>
      </c>
      <c r="H2078" t="s" s="2">
        <v>19</v>
      </c>
      <c r="I2078" t="s" s="2">
        <v>8153</v>
      </c>
      <c r="J2078" t="s" s="2">
        <v>8154</v>
      </c>
      <c r="K2078" t="s" s="2">
        <v>22</v>
      </c>
      <c r="L2078" t="s" s="2">
        <v>22</v>
      </c>
      <c r="M2078" t="s" s="2">
        <v>22</v>
      </c>
    </row>
    <row r="2079" ht="25.0" customHeight="true">
      <c r="A2079" t="s" s="2">
        <v>13</v>
      </c>
      <c r="B2079" t="s" s="2">
        <f>HYPERLINK("http://ts.21cn.com/tousu/show/id/1371908","百度推广费快半年了也没退")</f>
      </c>
      <c r="C2079" t="s" s="2">
        <v>52</v>
      </c>
      <c r="D2079" t="s" s="2">
        <v>16</v>
      </c>
      <c r="E2079" t="s" s="2">
        <v>17</v>
      </c>
      <c r="F2079" t="s" s="2">
        <f>HYPERLINK("http://ts.21cn.com/tousu/show/id/1371908","http://ts.21cn.com/tousu/show/id/1371908")</f>
      </c>
      <c r="G2079" t="s" s="2">
        <v>17</v>
      </c>
      <c r="H2079" t="s" s="2">
        <v>19</v>
      </c>
      <c r="I2079" t="s" s="2">
        <v>8157</v>
      </c>
      <c r="J2079" t="s" s="2">
        <v>8158</v>
      </c>
      <c r="K2079" t="s" s="2">
        <v>22</v>
      </c>
      <c r="L2079" t="s" s="2">
        <v>22</v>
      </c>
      <c r="M2079" t="s" s="2">
        <v>22</v>
      </c>
    </row>
    <row r="2080" ht="25.0" customHeight="true">
      <c r="A2080" t="s" s="2">
        <v>13</v>
      </c>
      <c r="B2080" t="s" s="2">
        <f>HYPERLINK("http://ts.21cn.com/tousu/show/id/1371906","兴业银行")</f>
      </c>
      <c r="C2080" t="s" s="2">
        <v>15</v>
      </c>
      <c r="D2080" t="s" s="2">
        <v>16</v>
      </c>
      <c r="E2080" t="s" s="2">
        <v>17</v>
      </c>
      <c r="F2080" t="s" s="2">
        <f>HYPERLINK("http://ts.21cn.com/tousu/show/id/1371906","http://ts.21cn.com/tousu/show/id/1371906")</f>
      </c>
      <c r="G2080" t="s" s="2">
        <v>17</v>
      </c>
      <c r="H2080" t="s" s="2">
        <v>19</v>
      </c>
      <c r="I2080" t="s" s="2">
        <v>8161</v>
      </c>
      <c r="J2080" t="s" s="2">
        <v>8162</v>
      </c>
      <c r="K2080" t="s" s="2">
        <v>22</v>
      </c>
      <c r="L2080" t="s" s="2">
        <v>22</v>
      </c>
      <c r="M2080" t="s" s="2">
        <v>22</v>
      </c>
    </row>
    <row r="2081" ht="25.0" customHeight="true">
      <c r="A2081" t="s" s="2">
        <v>13</v>
      </c>
      <c r="B2081" t="s" s="2">
        <f>HYPERLINK("http://ts.21cn.com/tousu/show/id/1371905","捷信高利贷，增加的灵活还款包不承认、频繁催收")</f>
      </c>
      <c r="C2081" t="s" s="2">
        <v>15</v>
      </c>
      <c r="D2081" t="s" s="2">
        <v>16</v>
      </c>
      <c r="E2081" t="s" s="2">
        <v>17</v>
      </c>
      <c r="F2081" t="s" s="2">
        <f>HYPERLINK("http://ts.21cn.com/tousu/show/id/1371905","http://ts.21cn.com/tousu/show/id/1371905")</f>
      </c>
      <c r="G2081" t="s" s="2">
        <v>17</v>
      </c>
      <c r="H2081" t="s" s="2">
        <v>19</v>
      </c>
      <c r="I2081" t="s" s="2">
        <v>8165</v>
      </c>
      <c r="J2081" t="s" s="2">
        <v>8166</v>
      </c>
      <c r="K2081" t="s" s="2">
        <v>22</v>
      </c>
      <c r="L2081" t="s" s="2">
        <v>22</v>
      </c>
      <c r="M2081" t="s" s="2">
        <v>22</v>
      </c>
    </row>
    <row r="2082" ht="25.0" customHeight="true">
      <c r="A2082" t="s" s="2">
        <v>13</v>
      </c>
      <c r="B2082" t="s" s="2">
        <f>HYPERLINK("http://ts.21cn.com/tousu/show/id/1371907","唯品会强买强卖收到货不退款")</f>
      </c>
      <c r="C2082" t="s" s="2">
        <v>15</v>
      </c>
      <c r="D2082" t="s" s="2">
        <v>16</v>
      </c>
      <c r="E2082" t="s" s="2">
        <v>17</v>
      </c>
      <c r="F2082" t="s" s="2">
        <f>HYPERLINK("http://ts.21cn.com/tousu/show/id/1371907","http://ts.21cn.com/tousu/show/id/1371907")</f>
      </c>
      <c r="G2082" t="s" s="2">
        <v>17</v>
      </c>
      <c r="H2082" t="s" s="2">
        <v>19</v>
      </c>
      <c r="I2082" t="s" s="2">
        <v>8169</v>
      </c>
      <c r="J2082" t="s" s="2">
        <v>8170</v>
      </c>
      <c r="K2082" t="s" s="2">
        <v>22</v>
      </c>
      <c r="L2082" t="s" s="2">
        <v>22</v>
      </c>
      <c r="M2082" t="s" s="2">
        <v>22</v>
      </c>
    </row>
    <row r="2083" ht="25.0" customHeight="true">
      <c r="A2083" t="s" s="2">
        <v>13</v>
      </c>
      <c r="B2083" t="s" s="2">
        <f>HYPERLINK("http://ts.21cn.com/tousu/show/id/1371901","平安普惠逾期6天，爆通讯录骚扰家人朋友以及进行威胁")</f>
      </c>
      <c r="C2083" t="s" s="2">
        <v>15</v>
      </c>
      <c r="D2083" t="s" s="2">
        <v>16</v>
      </c>
      <c r="E2083" t="s" s="2">
        <v>17</v>
      </c>
      <c r="F2083" t="s" s="2">
        <f>HYPERLINK("http://ts.21cn.com/tousu/show/id/1371901","http://ts.21cn.com/tousu/show/id/1371901")</f>
      </c>
      <c r="G2083" t="s" s="2">
        <v>17</v>
      </c>
      <c r="H2083" t="s" s="2">
        <v>19</v>
      </c>
      <c r="I2083" t="s" s="2">
        <v>8173</v>
      </c>
      <c r="J2083" t="s" s="2">
        <v>8174</v>
      </c>
      <c r="K2083" t="s" s="2">
        <v>22</v>
      </c>
      <c r="L2083" t="s" s="2">
        <v>22</v>
      </c>
      <c r="M2083" t="s" s="2">
        <v>22</v>
      </c>
    </row>
    <row r="2084" ht="25.0" customHeight="true">
      <c r="A2084" t="s" s="2">
        <v>13</v>
      </c>
      <c r="B2084" t="s" s="2">
        <f>HYPERLINK("http://ts.21cn.com/tousu/show/id/1371902","世联金融？")</f>
      </c>
      <c r="C2084" t="s" s="2">
        <v>15</v>
      </c>
      <c r="D2084" t="s" s="2">
        <v>16</v>
      </c>
      <c r="E2084" t="s" s="2">
        <v>17</v>
      </c>
      <c r="F2084" t="s" s="2">
        <f>HYPERLINK("http://ts.21cn.com/tousu/show/id/1371902","http://ts.21cn.com/tousu/show/id/1371902")</f>
      </c>
      <c r="G2084" t="s" s="2">
        <v>17</v>
      </c>
      <c r="H2084" t="s" s="2">
        <v>19</v>
      </c>
      <c r="I2084" t="s" s="2">
        <v>8177</v>
      </c>
      <c r="J2084" t="s" s="2">
        <v>8178</v>
      </c>
      <c r="K2084" t="s" s="2">
        <v>22</v>
      </c>
      <c r="L2084" t="s" s="2">
        <v>22</v>
      </c>
      <c r="M2084" t="s" s="2">
        <v>22</v>
      </c>
    </row>
    <row r="2085" ht="25.0" customHeight="true">
      <c r="A2085" t="s" s="2">
        <v>13</v>
      </c>
      <c r="B2085" t="s" s="2">
        <f>HYPERLINK("http://ts.21cn.com/tousu/show/id/1371900","现金巴士催收态度恶略，砍头息")</f>
      </c>
      <c r="C2085" t="s" s="2">
        <v>15</v>
      </c>
      <c r="D2085" t="s" s="2">
        <v>16</v>
      </c>
      <c r="E2085" t="s" s="2">
        <v>17</v>
      </c>
      <c r="F2085" t="s" s="2">
        <f>HYPERLINK("http://ts.21cn.com/tousu/show/id/1371900","http://ts.21cn.com/tousu/show/id/1371900")</f>
      </c>
      <c r="G2085" t="s" s="2">
        <v>17</v>
      </c>
      <c r="H2085" t="s" s="2">
        <v>19</v>
      </c>
      <c r="I2085" t="s" s="2">
        <v>8181</v>
      </c>
      <c r="J2085" t="s" s="2">
        <v>8182</v>
      </c>
      <c r="K2085" t="s" s="2">
        <v>22</v>
      </c>
      <c r="L2085" t="s" s="2">
        <v>22</v>
      </c>
      <c r="M2085" t="s" s="2">
        <v>22</v>
      </c>
    </row>
    <row r="2086" ht="25.0" customHeight="true">
      <c r="A2086" t="s" s="2">
        <v>13</v>
      </c>
      <c r="B2086" t="s" s="2">
        <f>HYPERLINK("http://ts.21cn.com/tousu/show/id/1371877","哆米黑卡未经同意从银行卡里扣除会员费")</f>
      </c>
      <c r="C2086" t="s" s="2">
        <v>15</v>
      </c>
      <c r="D2086" t="s" s="2">
        <v>16</v>
      </c>
      <c r="E2086" t="s" s="2">
        <v>17</v>
      </c>
      <c r="F2086" t="s" s="2">
        <f>HYPERLINK("http://ts.21cn.com/tousu/show/id/1371877","http://ts.21cn.com/tousu/show/id/1371877")</f>
      </c>
      <c r="G2086" t="s" s="2">
        <v>17</v>
      </c>
      <c r="H2086" t="s" s="2">
        <v>19</v>
      </c>
      <c r="I2086" t="s" s="2">
        <v>8185</v>
      </c>
      <c r="J2086" t="s" s="2">
        <v>8186</v>
      </c>
      <c r="K2086" t="s" s="2">
        <v>22</v>
      </c>
      <c r="L2086" t="s" s="2">
        <v>22</v>
      </c>
      <c r="M2086" t="s" s="2">
        <v>22</v>
      </c>
    </row>
    <row r="2087" ht="25.0" customHeight="true">
      <c r="A2087" t="s" s="2">
        <v>13</v>
      </c>
      <c r="B2087" t="s" s="2">
        <f>HYPERLINK("http://ts.21cn.com/tousu/show/id/1371899","交易猫客服换绑失败，导致逾期不能换绑")</f>
      </c>
      <c r="C2087" t="s" s="2">
        <v>15</v>
      </c>
      <c r="D2087" t="s" s="2">
        <v>16</v>
      </c>
      <c r="E2087" t="s" s="2">
        <v>17</v>
      </c>
      <c r="F2087" t="s" s="2">
        <f>HYPERLINK("http://ts.21cn.com/tousu/show/id/1371899","http://ts.21cn.com/tousu/show/id/1371899")</f>
      </c>
      <c r="G2087" t="s" s="2">
        <v>17</v>
      </c>
      <c r="H2087" t="s" s="2">
        <v>19</v>
      </c>
      <c r="I2087" t="s" s="2">
        <v>8189</v>
      </c>
      <c r="J2087" t="s" s="2">
        <v>8190</v>
      </c>
      <c r="K2087" t="s" s="2">
        <v>22</v>
      </c>
      <c r="L2087" t="s" s="2">
        <v>22</v>
      </c>
      <c r="M2087" t="s" s="2">
        <v>22</v>
      </c>
    </row>
    <row r="2088" ht="25.0" customHeight="true">
      <c r="A2088" t="s" s="2">
        <v>13</v>
      </c>
      <c r="B2088" t="s" s="2">
        <f>HYPERLINK("http://ts.21cn.com/tousu/show/id/1371898","支付宝都开始雇佣催收暴力催收了，")</f>
      </c>
      <c r="C2088" t="s" s="2">
        <v>15</v>
      </c>
      <c r="D2088" t="s" s="2">
        <v>16</v>
      </c>
      <c r="E2088" t="s" s="2">
        <v>17</v>
      </c>
      <c r="F2088" t="s" s="2">
        <f>HYPERLINK("http://ts.21cn.com/tousu/show/id/1371898","http://ts.21cn.com/tousu/show/id/1371898")</f>
      </c>
      <c r="G2088" t="s" s="2">
        <v>17</v>
      </c>
      <c r="H2088" t="s" s="2">
        <v>19</v>
      </c>
      <c r="I2088" t="s" s="2">
        <v>8193</v>
      </c>
      <c r="J2088" t="s" s="2">
        <v>8194</v>
      </c>
      <c r="K2088" t="s" s="2">
        <v>22</v>
      </c>
      <c r="L2088" t="s" s="2">
        <v>22</v>
      </c>
      <c r="M2088" t="s" s="2">
        <v>22</v>
      </c>
    </row>
    <row r="2089" ht="25.0" customHeight="true">
      <c r="A2089" t="s" s="2">
        <v>13</v>
      </c>
      <c r="B2089" t="s" s="2">
        <f>HYPERLINK("http://ts.21cn.com/tousu/show/id/1371896","信用钱包收取高额利息")</f>
      </c>
      <c r="C2089" t="s" s="2">
        <v>15</v>
      </c>
      <c r="D2089" t="s" s="2">
        <v>16</v>
      </c>
      <c r="E2089" t="s" s="2">
        <v>17</v>
      </c>
      <c r="F2089" t="s" s="2">
        <f>HYPERLINK("http://ts.21cn.com/tousu/show/id/1371896","http://ts.21cn.com/tousu/show/id/1371896")</f>
      </c>
      <c r="G2089" t="s" s="2">
        <v>17</v>
      </c>
      <c r="H2089" t="s" s="2">
        <v>19</v>
      </c>
      <c r="I2089" t="s" s="2">
        <v>8197</v>
      </c>
      <c r="J2089" t="s" s="2">
        <v>8198</v>
      </c>
      <c r="K2089" t="s" s="2">
        <v>22</v>
      </c>
      <c r="L2089" t="s" s="2">
        <v>22</v>
      </c>
      <c r="M2089" t="s" s="2">
        <v>22</v>
      </c>
    </row>
    <row r="2090" ht="25.0" customHeight="true">
      <c r="A2090" t="s" s="2">
        <v>13</v>
      </c>
      <c r="B2090" t="s" s="2">
        <f>HYPERLINK("http://ts.21cn.com/tousu/show/id/1371895","上海证大财富高利贷，阴阳合同，暴力催收")</f>
      </c>
      <c r="C2090" t="s" s="2">
        <v>15</v>
      </c>
      <c r="D2090" t="s" s="2">
        <v>16</v>
      </c>
      <c r="E2090" t="s" s="2">
        <v>17</v>
      </c>
      <c r="F2090" t="s" s="2">
        <f>HYPERLINK("http://ts.21cn.com/tousu/show/id/1371895","http://ts.21cn.com/tousu/show/id/1371895")</f>
      </c>
      <c r="G2090" t="s" s="2">
        <v>17</v>
      </c>
      <c r="H2090" t="s" s="2">
        <v>19</v>
      </c>
      <c r="I2090" t="s" s="2">
        <v>8201</v>
      </c>
      <c r="J2090" t="s" s="2">
        <v>8202</v>
      </c>
      <c r="K2090" t="s" s="2">
        <v>22</v>
      </c>
      <c r="L2090" t="s" s="2">
        <v>22</v>
      </c>
      <c r="M2090" t="s" s="2">
        <v>22</v>
      </c>
    </row>
    <row r="2091" ht="25.0" customHeight="true">
      <c r="A2091" t="s" s="2">
        <v>13</v>
      </c>
      <c r="B2091" t="s" s="2">
        <f>HYPERLINK("http://ts.21cn.com/tousu/show/id/1371894","来分期频繁骚扰")</f>
      </c>
      <c r="C2091" t="s" s="2">
        <v>52</v>
      </c>
      <c r="D2091" t="s" s="2">
        <v>16</v>
      </c>
      <c r="E2091" t="s" s="2">
        <v>17</v>
      </c>
      <c r="F2091" t="s" s="2">
        <f>HYPERLINK("http://ts.21cn.com/tousu/show/id/1371894","http://ts.21cn.com/tousu/show/id/1371894")</f>
      </c>
      <c r="G2091" t="s" s="2">
        <v>17</v>
      </c>
      <c r="H2091" t="s" s="2">
        <v>19</v>
      </c>
      <c r="I2091" t="s" s="2">
        <v>8205</v>
      </c>
      <c r="J2091" t="s" s="2">
        <v>8206</v>
      </c>
      <c r="K2091" t="s" s="2">
        <v>22</v>
      </c>
      <c r="L2091" t="s" s="2">
        <v>22</v>
      </c>
      <c r="M2091" t="s" s="2">
        <v>22</v>
      </c>
    </row>
    <row r="2092" ht="25.0" customHeight="true">
      <c r="A2092" t="s" s="2">
        <v>13</v>
      </c>
      <c r="B2092" t="s" s="2">
        <f>HYPERLINK("http://ts.21cn.com/tousu/show/id/1371892","创维电视酷开会员涉嫌欺诈")</f>
      </c>
      <c r="C2092" t="s" s="2">
        <v>15</v>
      </c>
      <c r="D2092" t="s" s="2">
        <v>16</v>
      </c>
      <c r="E2092" t="s" s="2">
        <v>17</v>
      </c>
      <c r="F2092" t="s" s="2">
        <f>HYPERLINK("http://ts.21cn.com/tousu/show/id/1371892","http://ts.21cn.com/tousu/show/id/1371892")</f>
      </c>
      <c r="G2092" t="s" s="2">
        <v>17</v>
      </c>
      <c r="H2092" t="s" s="2">
        <v>19</v>
      </c>
      <c r="I2092" t="s" s="2">
        <v>8209</v>
      </c>
      <c r="J2092" t="s" s="2">
        <v>8210</v>
      </c>
      <c r="K2092" t="s" s="2">
        <v>22</v>
      </c>
      <c r="L2092" t="s" s="2">
        <v>22</v>
      </c>
      <c r="M2092" t="s" s="2">
        <v>22</v>
      </c>
    </row>
    <row r="2093" ht="25.0" customHeight="true">
      <c r="A2093" t="s" s="2">
        <v>13</v>
      </c>
      <c r="B2093" t="s" s="2">
        <f>HYPERLINK("http://ts.21cn.com/tousu/show/id/1371891","轻周转芒果筹高利贷")</f>
      </c>
      <c r="C2093" t="s" s="2">
        <v>15</v>
      </c>
      <c r="D2093" t="s" s="2">
        <v>16</v>
      </c>
      <c r="E2093" t="s" s="2">
        <v>17</v>
      </c>
      <c r="F2093" t="s" s="2">
        <f>HYPERLINK("http://ts.21cn.com/tousu/show/id/1371891","http://ts.21cn.com/tousu/show/id/1371891")</f>
      </c>
      <c r="G2093" t="s" s="2">
        <v>17</v>
      </c>
      <c r="H2093" t="s" s="2">
        <v>19</v>
      </c>
      <c r="I2093" t="s" s="2">
        <v>8213</v>
      </c>
      <c r="J2093" t="s" s="2">
        <v>8214</v>
      </c>
      <c r="K2093" t="s" s="2">
        <v>22</v>
      </c>
      <c r="L2093" t="s" s="2">
        <v>22</v>
      </c>
      <c r="M2093" t="s" s="2">
        <v>22</v>
      </c>
    </row>
    <row r="2094" ht="25.0" customHeight="true">
      <c r="A2094" t="s" s="2">
        <v>13</v>
      </c>
      <c r="B2094" t="s" s="2">
        <f>HYPERLINK("http://ts.21cn.com/tousu/show/id/1371890","钱站违法催收，手机轰炸。")</f>
      </c>
      <c r="C2094" t="s" s="2">
        <v>15</v>
      </c>
      <c r="D2094" t="s" s="2">
        <v>16</v>
      </c>
      <c r="E2094" t="s" s="2">
        <v>17</v>
      </c>
      <c r="F2094" t="s" s="2">
        <f>HYPERLINK("http://ts.21cn.com/tousu/show/id/1371890","http://ts.21cn.com/tousu/show/id/1371890")</f>
      </c>
      <c r="G2094" t="s" s="2">
        <v>17</v>
      </c>
      <c r="H2094" t="s" s="2">
        <v>19</v>
      </c>
      <c r="I2094" t="s" s="2">
        <v>8217</v>
      </c>
      <c r="J2094" t="s" s="2">
        <v>8218</v>
      </c>
      <c r="K2094" t="s" s="2">
        <v>22</v>
      </c>
      <c r="L2094" t="s" s="2">
        <v>22</v>
      </c>
      <c r="M2094" t="s" s="2">
        <v>22</v>
      </c>
    </row>
    <row r="2095" ht="25.0" customHeight="true">
      <c r="A2095" t="s" s="2">
        <v>13</v>
      </c>
      <c r="B2095" t="s" s="2">
        <f>HYPERLINK("http://ts.21cn.com/tousu/show/id/1371893","建设银行95533客服不解决问题")</f>
      </c>
      <c r="C2095" t="s" s="2">
        <v>15</v>
      </c>
      <c r="D2095" t="s" s="2">
        <v>16</v>
      </c>
      <c r="E2095" t="s" s="2">
        <v>17</v>
      </c>
      <c r="F2095" t="s" s="2">
        <f>HYPERLINK("http://ts.21cn.com/tousu/show/id/1371893","http://ts.21cn.com/tousu/show/id/1371893")</f>
      </c>
      <c r="G2095" t="s" s="2">
        <v>17</v>
      </c>
      <c r="H2095" t="s" s="2">
        <v>19</v>
      </c>
      <c r="I2095" t="s" s="2">
        <v>8221</v>
      </c>
      <c r="J2095" t="s" s="2">
        <v>8222</v>
      </c>
      <c r="K2095" t="s" s="2">
        <v>22</v>
      </c>
      <c r="L2095" t="s" s="2">
        <v>22</v>
      </c>
      <c r="M2095" t="s" s="2">
        <v>22</v>
      </c>
    </row>
    <row r="2096" ht="25.0" customHeight="true">
      <c r="A2096" t="s" s="2">
        <v>13</v>
      </c>
      <c r="B2096" t="s" s="2">
        <f>HYPERLINK("http://ts.21cn.com/tousu/show/id/1371889","汇潮支付为群利花高利贷提供放款")</f>
      </c>
      <c r="C2096" t="s" s="2">
        <v>15</v>
      </c>
      <c r="D2096" t="s" s="2">
        <v>16</v>
      </c>
      <c r="E2096" t="s" s="2">
        <v>17</v>
      </c>
      <c r="F2096" t="s" s="2">
        <f>HYPERLINK("http://ts.21cn.com/tousu/show/id/1371889","http://ts.21cn.com/tousu/show/id/1371889")</f>
      </c>
      <c r="G2096" t="s" s="2">
        <v>17</v>
      </c>
      <c r="H2096" t="s" s="2">
        <v>19</v>
      </c>
      <c r="I2096" t="s" s="2">
        <v>8225</v>
      </c>
      <c r="J2096" t="s" s="2">
        <v>8226</v>
      </c>
      <c r="K2096" t="s" s="2">
        <v>22</v>
      </c>
      <c r="L2096" t="s" s="2">
        <v>22</v>
      </c>
      <c r="M2096" t="s" s="2">
        <v>22</v>
      </c>
    </row>
    <row r="2097" ht="25.0" customHeight="true">
      <c r="A2097" t="s" s="2">
        <v>13</v>
      </c>
      <c r="B2097" t="s" s="2">
        <f>HYPERLINK("http://ts.21cn.com/tousu/show/id/1371888","威胁爆通讯录")</f>
      </c>
      <c r="C2097" t="s" s="2">
        <v>15</v>
      </c>
      <c r="D2097" t="s" s="2">
        <v>16</v>
      </c>
      <c r="E2097" t="s" s="2">
        <v>17</v>
      </c>
      <c r="F2097" t="s" s="2">
        <f>HYPERLINK("http://ts.21cn.com/tousu/show/id/1371888","http://ts.21cn.com/tousu/show/id/1371888")</f>
      </c>
      <c r="G2097" t="s" s="2">
        <v>17</v>
      </c>
      <c r="H2097" t="s" s="2">
        <v>19</v>
      </c>
      <c r="I2097" t="s" s="2">
        <v>8228</v>
      </c>
      <c r="J2097" t="s" s="2">
        <v>8229</v>
      </c>
      <c r="K2097" t="s" s="2">
        <v>22</v>
      </c>
      <c r="L2097" t="s" s="2">
        <v>22</v>
      </c>
      <c r="M2097" t="s" s="2">
        <v>22</v>
      </c>
    </row>
    <row r="2098" ht="25.0" customHeight="true">
      <c r="A2098" t="s" s="2">
        <v>13</v>
      </c>
      <c r="B2098" t="s" s="2">
        <f>HYPERLINK("http://ts.21cn.com/tousu/show/id/1371886","招商银行暴力催款")</f>
      </c>
      <c r="C2098" t="s" s="2">
        <v>15</v>
      </c>
      <c r="D2098" t="s" s="2">
        <v>16</v>
      </c>
      <c r="E2098" t="s" s="2">
        <v>17</v>
      </c>
      <c r="F2098" t="s" s="2">
        <f>HYPERLINK("http://ts.21cn.com/tousu/show/id/1371886","http://ts.21cn.com/tousu/show/id/1371886")</f>
      </c>
      <c r="G2098" t="s" s="2">
        <v>17</v>
      </c>
      <c r="H2098" t="s" s="2">
        <v>19</v>
      </c>
      <c r="I2098" t="s" s="2">
        <v>8232</v>
      </c>
      <c r="J2098" t="s" s="2">
        <v>8233</v>
      </c>
      <c r="K2098" t="s" s="2">
        <v>22</v>
      </c>
      <c r="L2098" t="s" s="2">
        <v>22</v>
      </c>
      <c r="M2098" t="s" s="2">
        <v>22</v>
      </c>
    </row>
    <row r="2099" ht="25.0" customHeight="true">
      <c r="A2099" t="s" s="2">
        <v>13</v>
      </c>
      <c r="B2099" t="s" s="2">
        <f>HYPERLINK("http://ts.21cn.com/tousu/show/id/1371885","建设银行信用卡中心欺瞒客户，各种理由推脱不给办理业务")</f>
      </c>
      <c r="C2099" t="s" s="2">
        <v>15</v>
      </c>
      <c r="D2099" t="s" s="2">
        <v>16</v>
      </c>
      <c r="E2099" t="s" s="2">
        <v>17</v>
      </c>
      <c r="F2099" t="s" s="2">
        <f>HYPERLINK("http://ts.21cn.com/tousu/show/id/1371885","http://ts.21cn.com/tousu/show/id/1371885")</f>
      </c>
      <c r="G2099" t="s" s="2">
        <v>17</v>
      </c>
      <c r="H2099" t="s" s="2">
        <v>19</v>
      </c>
      <c r="I2099" t="s" s="2">
        <v>8236</v>
      </c>
      <c r="J2099" t="s" s="2">
        <v>8237</v>
      </c>
      <c r="K2099" t="s" s="2">
        <v>22</v>
      </c>
      <c r="L2099" t="s" s="2">
        <v>22</v>
      </c>
      <c r="M2099" t="s" s="2">
        <v>22</v>
      </c>
    </row>
    <row r="2100" ht="25.0" customHeight="true">
      <c r="A2100" t="s" s="2">
        <v>13</v>
      </c>
      <c r="B2100" t="s" s="2">
        <f>HYPERLINK("http://ts.21cn.com/tousu/show/id/1371884","平安惠普非法催收")</f>
      </c>
      <c r="C2100" t="s" s="2">
        <v>52</v>
      </c>
      <c r="D2100" t="s" s="2">
        <v>16</v>
      </c>
      <c r="E2100" t="s" s="2">
        <v>17</v>
      </c>
      <c r="F2100" t="s" s="2">
        <f>HYPERLINK("http://ts.21cn.com/tousu/show/id/1371884","http://ts.21cn.com/tousu/show/id/1371884")</f>
      </c>
      <c r="G2100" t="s" s="2">
        <v>17</v>
      </c>
      <c r="H2100" t="s" s="2">
        <v>19</v>
      </c>
      <c r="I2100" t="s" s="2">
        <v>8240</v>
      </c>
      <c r="J2100" t="s" s="2">
        <v>8241</v>
      </c>
      <c r="K2100" t="s" s="2">
        <v>22</v>
      </c>
      <c r="L2100" t="s" s="2">
        <v>22</v>
      </c>
      <c r="M2100" t="s" s="2">
        <v>22</v>
      </c>
    </row>
    <row r="2101" ht="25.0" customHeight="true">
      <c r="A2101" t="s" s="2">
        <v>13</v>
      </c>
      <c r="B2101" t="s" s="2">
        <f>HYPERLINK("http://ts.21cn.com/tousu/show/id/1371795","欺诈消费，以贷还贷")</f>
      </c>
      <c r="C2101" t="s" s="2">
        <v>15</v>
      </c>
      <c r="D2101" t="s" s="2">
        <v>16</v>
      </c>
      <c r="E2101" t="s" s="2">
        <v>17</v>
      </c>
      <c r="F2101" t="s" s="2">
        <f>HYPERLINK("http://ts.21cn.com/tousu/show/id/1371795","http://ts.21cn.com/tousu/show/id/1371795")</f>
      </c>
      <c r="G2101" t="s" s="2">
        <v>17</v>
      </c>
      <c r="H2101" t="s" s="2">
        <v>19</v>
      </c>
      <c r="I2101" t="s" s="2">
        <v>8244</v>
      </c>
      <c r="J2101" t="s" s="2">
        <v>8245</v>
      </c>
      <c r="K2101" t="s" s="2">
        <v>22</v>
      </c>
      <c r="L2101" t="s" s="2">
        <v>22</v>
      </c>
      <c r="M2101" t="s" s="2">
        <v>22</v>
      </c>
    </row>
    <row r="2102" ht="25.0" customHeight="true">
      <c r="A2102" t="s" s="2">
        <v>13</v>
      </c>
      <c r="B2102" t="s" s="2">
        <f>HYPERLINK("http://ts.21cn.com/tousu/show/id/1371883","钱橙无忧随着乱扣费")</f>
      </c>
      <c r="C2102" t="s" s="2">
        <v>15</v>
      </c>
      <c r="D2102" t="s" s="2">
        <v>16</v>
      </c>
      <c r="E2102" t="s" s="2">
        <v>17</v>
      </c>
      <c r="F2102" t="s" s="2">
        <f>HYPERLINK("http://ts.21cn.com/tousu/show/id/1371883","http://ts.21cn.com/tousu/show/id/1371883")</f>
      </c>
      <c r="G2102" t="s" s="2">
        <v>17</v>
      </c>
      <c r="H2102" t="s" s="2">
        <v>19</v>
      </c>
      <c r="I2102" t="s" s="2">
        <v>8248</v>
      </c>
      <c r="J2102" t="s" s="2">
        <v>8249</v>
      </c>
      <c r="K2102" t="s" s="2">
        <v>22</v>
      </c>
      <c r="L2102" t="s" s="2">
        <v>22</v>
      </c>
      <c r="M2102" t="s" s="2">
        <v>22</v>
      </c>
    </row>
    <row r="2103" ht="25.0" customHeight="true">
      <c r="A2103" t="s" s="2">
        <v>13</v>
      </c>
      <c r="B2103" t="s" s="2">
        <f>HYPERLINK("http://ts.21cn.com/tousu/show/id/1371882","融360上的小额贷款平台收取砍头息。暴力催收")</f>
      </c>
      <c r="C2103" t="s" s="2">
        <v>15</v>
      </c>
      <c r="D2103" t="s" s="2">
        <v>16</v>
      </c>
      <c r="E2103" t="s" s="2">
        <v>17</v>
      </c>
      <c r="F2103" t="s" s="2">
        <f>HYPERLINK("http://ts.21cn.com/tousu/show/id/1371882","http://ts.21cn.com/tousu/show/id/1371882")</f>
      </c>
      <c r="G2103" t="s" s="2">
        <v>17</v>
      </c>
      <c r="H2103" t="s" s="2">
        <v>19</v>
      </c>
      <c r="I2103" t="s" s="2">
        <v>8252</v>
      </c>
      <c r="J2103" t="s" s="2">
        <v>8253</v>
      </c>
      <c r="K2103" t="s" s="2">
        <v>22</v>
      </c>
      <c r="L2103" t="s" s="2">
        <v>22</v>
      </c>
      <c r="M2103" t="s" s="2">
        <v>22</v>
      </c>
    </row>
    <row r="2104" ht="25.0" customHeight="true">
      <c r="A2104" t="s" s="2">
        <v>13</v>
      </c>
      <c r="B2104" t="s" s="2">
        <f>HYPERLINK("http://ts.21cn.com/tousu/show/id/1371880","苹果分期高利贷汇潮支付提供支付通道")</f>
      </c>
      <c r="C2104" t="s" s="2">
        <v>15</v>
      </c>
      <c r="D2104" t="s" s="2">
        <v>16</v>
      </c>
      <c r="E2104" t="s" s="2">
        <v>17</v>
      </c>
      <c r="F2104" t="s" s="2">
        <f>HYPERLINK("http://ts.21cn.com/tousu/show/id/1371880","http://ts.21cn.com/tousu/show/id/1371880")</f>
      </c>
      <c r="G2104" t="s" s="2">
        <v>17</v>
      </c>
      <c r="H2104" t="s" s="2">
        <v>19</v>
      </c>
      <c r="I2104" t="s" s="2">
        <v>8256</v>
      </c>
      <c r="J2104" t="s" s="2">
        <v>8257</v>
      </c>
      <c r="K2104" t="s" s="2">
        <v>22</v>
      </c>
      <c r="L2104" t="s" s="2">
        <v>22</v>
      </c>
      <c r="M2104" t="s" s="2">
        <v>22</v>
      </c>
    </row>
    <row r="2105" ht="25.0" customHeight="true">
      <c r="A2105" t="s" s="2">
        <v>13</v>
      </c>
      <c r="B2105" t="s" s="2">
        <f>HYPERLINK("http://ts.21cn.com/tousu/show/id/1371881","在淘宝买的洗发水本身没有头皮屑用完之后满头的头皮屑")</f>
      </c>
      <c r="C2105" t="s" s="2">
        <v>15</v>
      </c>
      <c r="D2105" t="s" s="2">
        <v>16</v>
      </c>
      <c r="E2105" t="s" s="2">
        <v>17</v>
      </c>
      <c r="F2105" t="s" s="2">
        <f>HYPERLINK("http://ts.21cn.com/tousu/show/id/1371881","http://ts.21cn.com/tousu/show/id/1371881")</f>
      </c>
      <c r="G2105" t="s" s="2">
        <v>17</v>
      </c>
      <c r="H2105" t="s" s="2">
        <v>19</v>
      </c>
      <c r="I2105" t="s" s="2">
        <v>8260</v>
      </c>
      <c r="J2105" t="s" s="2">
        <v>8261</v>
      </c>
      <c r="K2105" t="s" s="2">
        <v>22</v>
      </c>
      <c r="L2105" t="s" s="2">
        <v>22</v>
      </c>
      <c r="M2105" t="s" s="2">
        <v>22</v>
      </c>
    </row>
    <row r="2106" ht="25.0" customHeight="true">
      <c r="A2106" t="s" s="2">
        <v>13</v>
      </c>
      <c r="B2106" t="s" s="2">
        <f>HYPERLINK("http://ts.21cn.com/tousu/show/id/1371879","UC浏览器（iOS端）未登录用户微信分享自动先进行微信第三方登录")</f>
      </c>
      <c r="C2106" t="s" s="2">
        <v>52</v>
      </c>
      <c r="D2106" t="s" s="2">
        <v>16</v>
      </c>
      <c r="E2106" t="s" s="2">
        <v>17</v>
      </c>
      <c r="F2106" t="s" s="2">
        <f>HYPERLINK("http://ts.21cn.com/tousu/show/id/1371879","http://ts.21cn.com/tousu/show/id/1371879")</f>
      </c>
      <c r="G2106" t="s" s="2">
        <v>17</v>
      </c>
      <c r="H2106" t="s" s="2">
        <v>19</v>
      </c>
      <c r="I2106" t="s" s="2">
        <v>8264</v>
      </c>
      <c r="J2106" t="s" s="2">
        <v>8265</v>
      </c>
      <c r="K2106" t="s" s="2">
        <v>22</v>
      </c>
      <c r="L2106" t="s" s="2">
        <v>22</v>
      </c>
      <c r="M2106" t="s" s="2">
        <v>22</v>
      </c>
    </row>
    <row r="2107" ht="25.0" customHeight="true">
      <c r="A2107" t="s" s="2">
        <v>13</v>
      </c>
      <c r="B2107" t="s" s="2">
        <f>HYPERLINK("http://ts.21cn.com/tousu/show/id/1371878","微粒贷催收发威胁信息")</f>
      </c>
      <c r="C2107" t="s" s="2">
        <v>15</v>
      </c>
      <c r="D2107" t="s" s="2">
        <v>16</v>
      </c>
      <c r="E2107" t="s" s="2">
        <v>17</v>
      </c>
      <c r="F2107" t="s" s="2">
        <f>HYPERLINK("http://ts.21cn.com/tousu/show/id/1371878","http://ts.21cn.com/tousu/show/id/1371878")</f>
      </c>
      <c r="G2107" t="s" s="2">
        <v>17</v>
      </c>
      <c r="H2107" t="s" s="2">
        <v>19</v>
      </c>
      <c r="I2107" t="s" s="2">
        <v>8268</v>
      </c>
      <c r="J2107" t="s" s="2">
        <v>8269</v>
      </c>
      <c r="K2107" t="s" s="2">
        <v>22</v>
      </c>
      <c r="L2107" t="s" s="2">
        <v>22</v>
      </c>
      <c r="M2107" t="s" s="2">
        <v>22</v>
      </c>
    </row>
    <row r="2108" ht="25.0" customHeight="true">
      <c r="A2108" t="s" s="2">
        <v>13</v>
      </c>
      <c r="B2108" t="s" s="2">
        <f>HYPERLINK("http://ts.21cn.com/tousu/show/id/1371876","你我贷催收人员骚扰并污辱我")</f>
      </c>
      <c r="C2108" t="s" s="2">
        <v>15</v>
      </c>
      <c r="D2108" t="s" s="2">
        <v>16</v>
      </c>
      <c r="E2108" t="s" s="2">
        <v>17</v>
      </c>
      <c r="F2108" t="s" s="2">
        <f>HYPERLINK("http://ts.21cn.com/tousu/show/id/1371876","http://ts.21cn.com/tousu/show/id/1371876")</f>
      </c>
      <c r="G2108" t="s" s="2">
        <v>17</v>
      </c>
      <c r="H2108" t="s" s="2">
        <v>19</v>
      </c>
      <c r="I2108" t="s" s="2">
        <v>8272</v>
      </c>
      <c r="J2108" t="s" s="2">
        <v>8273</v>
      </c>
      <c r="K2108" t="s" s="2">
        <v>22</v>
      </c>
      <c r="L2108" t="s" s="2">
        <v>22</v>
      </c>
      <c r="M2108" t="s" s="2">
        <v>22</v>
      </c>
    </row>
    <row r="2109" ht="25.0" customHeight="true">
      <c r="A2109" t="s" s="2">
        <v>13</v>
      </c>
      <c r="B2109" t="s" s="2">
        <f>HYPERLINK("http://ts.21cn.com/tousu/show/id/1371875","北京雅酷时空信息交换技术有限公司随意扣款")</f>
      </c>
      <c r="C2109" t="s" s="2">
        <v>15</v>
      </c>
      <c r="D2109" t="s" s="2">
        <v>16</v>
      </c>
      <c r="E2109" t="s" s="2">
        <v>17</v>
      </c>
      <c r="F2109" t="s" s="2">
        <f>HYPERLINK("http://ts.21cn.com/tousu/show/id/1371875","http://ts.21cn.com/tousu/show/id/1371875")</f>
      </c>
      <c r="G2109" t="s" s="2">
        <v>17</v>
      </c>
      <c r="H2109" t="s" s="2">
        <v>19</v>
      </c>
      <c r="I2109" t="s" s="2">
        <v>8276</v>
      </c>
      <c r="J2109" t="s" s="2">
        <v>8277</v>
      </c>
      <c r="K2109" t="s" s="2">
        <v>22</v>
      </c>
      <c r="L2109" t="s" s="2">
        <v>22</v>
      </c>
      <c r="M2109" t="s" s="2">
        <v>22</v>
      </c>
    </row>
    <row r="2110" ht="25.0" customHeight="true">
      <c r="A2110" t="s" s="2">
        <v>13</v>
      </c>
      <c r="B2110" t="s" s="2">
        <f>HYPERLINK("http://ts.21cn.com/tousu/show/id/1371873","陛下借款平台存在套路贷现象")</f>
      </c>
      <c r="C2110" t="s" s="2">
        <v>15</v>
      </c>
      <c r="D2110" t="s" s="2">
        <v>16</v>
      </c>
      <c r="E2110" t="s" s="2">
        <v>17</v>
      </c>
      <c r="F2110" t="s" s="2">
        <f>HYPERLINK("http://ts.21cn.com/tousu/show/id/1371873","http://ts.21cn.com/tousu/show/id/1371873")</f>
      </c>
      <c r="G2110" t="s" s="2">
        <v>17</v>
      </c>
      <c r="H2110" t="s" s="2">
        <v>19</v>
      </c>
      <c r="I2110" t="s" s="2">
        <v>8280</v>
      </c>
      <c r="J2110" t="s" s="2">
        <v>8281</v>
      </c>
      <c r="K2110" t="s" s="2">
        <v>22</v>
      </c>
      <c r="L2110" t="s" s="2">
        <v>22</v>
      </c>
      <c r="M2110" t="s" s="2">
        <v>22</v>
      </c>
    </row>
    <row r="2111" ht="25.0" customHeight="true">
      <c r="A2111" t="s" s="2">
        <v>13</v>
      </c>
      <c r="B2111" t="s" s="2">
        <f>HYPERLINK("http://ts.21cn.com/tousu/show/id/1371874","农业银行随便冻结客户信用卡")</f>
      </c>
      <c r="C2111" t="s" s="2">
        <v>52</v>
      </c>
      <c r="D2111" t="s" s="2">
        <v>16</v>
      </c>
      <c r="E2111" t="s" s="2">
        <v>17</v>
      </c>
      <c r="F2111" t="s" s="2">
        <f>HYPERLINK("http://ts.21cn.com/tousu/show/id/1371874","http://ts.21cn.com/tousu/show/id/1371874")</f>
      </c>
      <c r="G2111" t="s" s="2">
        <v>17</v>
      </c>
      <c r="H2111" t="s" s="2">
        <v>19</v>
      </c>
      <c r="I2111" t="s" s="2">
        <v>8280</v>
      </c>
      <c r="J2111" t="s" s="2">
        <v>8284</v>
      </c>
      <c r="K2111" t="s" s="2">
        <v>22</v>
      </c>
      <c r="L2111" t="s" s="2">
        <v>22</v>
      </c>
      <c r="M2111" t="s" s="2">
        <v>22</v>
      </c>
    </row>
    <row r="2112" ht="25.0" customHeight="true">
      <c r="A2112" t="s" s="2">
        <v>13</v>
      </c>
      <c r="B2112" t="s" s="2">
        <f>HYPERLINK("http://ts.21cn.com/tousu/show/id/1371871","@星赫（梁山）信息科技有限公司随意扣款，性质非常恶劣")</f>
      </c>
      <c r="C2112" t="s" s="2">
        <v>15</v>
      </c>
      <c r="D2112" t="s" s="2">
        <v>16</v>
      </c>
      <c r="E2112" t="s" s="2">
        <v>17</v>
      </c>
      <c r="F2112" t="s" s="2">
        <f>HYPERLINK("http://ts.21cn.com/tousu/show/id/1371871","http://ts.21cn.com/tousu/show/id/1371871")</f>
      </c>
      <c r="G2112" t="s" s="2">
        <v>17</v>
      </c>
      <c r="H2112" t="s" s="2">
        <v>19</v>
      </c>
      <c r="I2112" t="s" s="2">
        <v>8287</v>
      </c>
      <c r="J2112" t="s" s="2">
        <v>8288</v>
      </c>
      <c r="K2112" t="s" s="2">
        <v>22</v>
      </c>
      <c r="L2112" t="s" s="2">
        <v>22</v>
      </c>
      <c r="M2112" t="s" s="2">
        <v>22</v>
      </c>
    </row>
    <row r="2113" ht="25.0" customHeight="true">
      <c r="A2113" t="s" s="2">
        <v>13</v>
      </c>
      <c r="B2113" t="s" s="2">
        <f>HYPERLINK("http://ts.21cn.com/tousu/show/id/1371870","易到用车，多次不开具发票")</f>
      </c>
      <c r="C2113" t="s" s="2">
        <v>15</v>
      </c>
      <c r="D2113" t="s" s="2">
        <v>16</v>
      </c>
      <c r="E2113" t="s" s="2">
        <v>17</v>
      </c>
      <c r="F2113" t="s" s="2">
        <f>HYPERLINK("http://ts.21cn.com/tousu/show/id/1371870","http://ts.21cn.com/tousu/show/id/1371870")</f>
      </c>
      <c r="G2113" t="s" s="2">
        <v>17</v>
      </c>
      <c r="H2113" t="s" s="2">
        <v>19</v>
      </c>
      <c r="I2113" t="s" s="2">
        <v>8291</v>
      </c>
      <c r="J2113" t="s" s="2">
        <v>8292</v>
      </c>
      <c r="K2113" t="s" s="2">
        <v>22</v>
      </c>
      <c r="L2113" t="s" s="2">
        <v>22</v>
      </c>
      <c r="M2113" t="s" s="2">
        <v>22</v>
      </c>
    </row>
    <row r="2114" ht="25.0" customHeight="true">
      <c r="A2114" t="s" s="2">
        <v>13</v>
      </c>
      <c r="B2114" t="s" s="2">
        <f>HYPERLINK("http://ts.21cn.com/tousu/show/id/1371869","滴水贷不让提前还款，不能更改还款金额，每个银行都是限额五万，恶意阻止提前还款")</f>
      </c>
      <c r="C2114" t="s" s="2">
        <v>15</v>
      </c>
      <c r="D2114" t="s" s="2">
        <v>16</v>
      </c>
      <c r="E2114" t="s" s="2">
        <v>17</v>
      </c>
      <c r="F2114" t="s" s="2">
        <f>HYPERLINK("http://ts.21cn.com/tousu/show/id/1371869","http://ts.21cn.com/tousu/show/id/1371869")</f>
      </c>
      <c r="G2114" t="s" s="2">
        <v>17</v>
      </c>
      <c r="H2114" t="s" s="2">
        <v>19</v>
      </c>
      <c r="I2114" t="s" s="2">
        <v>8295</v>
      </c>
      <c r="J2114" t="s" s="2">
        <v>8296</v>
      </c>
      <c r="K2114" t="s" s="2">
        <v>22</v>
      </c>
      <c r="L2114" t="s" s="2">
        <v>22</v>
      </c>
      <c r="M2114" t="s" s="2">
        <v>22</v>
      </c>
    </row>
    <row r="2115" ht="25.0" customHeight="true">
      <c r="A2115" t="s" s="2">
        <v>13</v>
      </c>
      <c r="B2115" t="s" s="2">
        <f>HYPERLINK("http://ts.21cn.com/tousu/show/id/1371872","销账，提供结清证明")</f>
      </c>
      <c r="C2115" t="s" s="2">
        <v>52</v>
      </c>
      <c r="D2115" t="s" s="2">
        <v>16</v>
      </c>
      <c r="E2115" t="s" s="2">
        <v>17</v>
      </c>
      <c r="F2115" t="s" s="2">
        <f>HYPERLINK("http://ts.21cn.com/tousu/show/id/1371872","http://ts.21cn.com/tousu/show/id/1371872")</f>
      </c>
      <c r="G2115" t="s" s="2">
        <v>17</v>
      </c>
      <c r="H2115" t="s" s="2">
        <v>19</v>
      </c>
      <c r="I2115" t="s" s="2">
        <v>8299</v>
      </c>
      <c r="J2115" t="s" s="2">
        <v>8300</v>
      </c>
      <c r="K2115" t="s" s="2">
        <v>22</v>
      </c>
      <c r="L2115" t="s" s="2">
        <v>22</v>
      </c>
      <c r="M2115" t="s" s="2">
        <v>22</v>
      </c>
    </row>
    <row r="2116" ht="25.0" customHeight="true">
      <c r="A2116" t="s" s="2">
        <v>13</v>
      </c>
      <c r="B2116" t="s" s="2">
        <f>HYPERLINK("http://ts.21cn.com/tousu/show/id/1371868","房贷金额与我贷款到账现金不符，高利贷")</f>
      </c>
      <c r="C2116" t="s" s="2">
        <v>15</v>
      </c>
      <c r="D2116" t="s" s="2">
        <v>16</v>
      </c>
      <c r="E2116" t="s" s="2">
        <v>17</v>
      </c>
      <c r="F2116" t="s" s="2">
        <f>HYPERLINK("http://ts.21cn.com/tousu/show/id/1371868","http://ts.21cn.com/tousu/show/id/1371868")</f>
      </c>
      <c r="G2116" t="s" s="2">
        <v>17</v>
      </c>
      <c r="H2116" t="s" s="2">
        <v>19</v>
      </c>
      <c r="I2116" t="s" s="2">
        <v>8303</v>
      </c>
      <c r="J2116" t="s" s="2">
        <v>8304</v>
      </c>
      <c r="K2116" t="s" s="2">
        <v>22</v>
      </c>
      <c r="L2116" t="s" s="2">
        <v>22</v>
      </c>
      <c r="M2116" t="s" s="2">
        <v>22</v>
      </c>
    </row>
    <row r="2117" ht="25.0" customHeight="true">
      <c r="A2117" t="s" s="2">
        <v>13</v>
      </c>
      <c r="B2117" t="s" s="2">
        <f>HYPERLINK("http://ts.21cn.com/tousu/show/id/1371866","微众银行微粒贷第三方威胁并恶意催款")</f>
      </c>
      <c r="C2117" t="s" s="2">
        <v>15</v>
      </c>
      <c r="D2117" t="s" s="2">
        <v>16</v>
      </c>
      <c r="E2117" t="s" s="2">
        <v>17</v>
      </c>
      <c r="F2117" t="s" s="2">
        <f>HYPERLINK("http://ts.21cn.com/tousu/show/id/1371866","http://ts.21cn.com/tousu/show/id/1371866")</f>
      </c>
      <c r="G2117" t="s" s="2">
        <v>17</v>
      </c>
      <c r="H2117" t="s" s="2">
        <v>19</v>
      </c>
      <c r="I2117" t="s" s="2">
        <v>8307</v>
      </c>
      <c r="J2117" t="s" s="2">
        <v>8308</v>
      </c>
      <c r="K2117" t="s" s="2">
        <v>22</v>
      </c>
      <c r="L2117" t="s" s="2">
        <v>22</v>
      </c>
      <c r="M2117" t="s" s="2">
        <v>22</v>
      </c>
    </row>
    <row r="2118" ht="25.0" customHeight="true">
      <c r="A2118" t="s" s="2">
        <v>13</v>
      </c>
      <c r="B2118" t="s" s="2">
        <f>HYPERLINK("http://ts.21cn.com/tousu/show/id/1371865","微贷网多米贷爆力通讯录催收")</f>
      </c>
      <c r="C2118" t="s" s="2">
        <v>15</v>
      </c>
      <c r="D2118" t="s" s="2">
        <v>16</v>
      </c>
      <c r="E2118" t="s" s="2">
        <v>17</v>
      </c>
      <c r="F2118" t="s" s="2">
        <f>HYPERLINK("http://ts.21cn.com/tousu/show/id/1371865","http://ts.21cn.com/tousu/show/id/1371865")</f>
      </c>
      <c r="G2118" t="s" s="2">
        <v>17</v>
      </c>
      <c r="H2118" t="s" s="2">
        <v>19</v>
      </c>
      <c r="I2118" t="s" s="2">
        <v>8311</v>
      </c>
      <c r="J2118" t="s" s="2">
        <v>8312</v>
      </c>
      <c r="K2118" t="s" s="2">
        <v>22</v>
      </c>
      <c r="L2118" t="s" s="2">
        <v>22</v>
      </c>
      <c r="M2118" t="s" s="2">
        <v>22</v>
      </c>
    </row>
    <row r="2119" ht="25.0" customHeight="true">
      <c r="A2119" t="s" s="2">
        <v>13</v>
      </c>
      <c r="B2119" t="s" s="2">
        <f>HYPERLINK("http://ts.21cn.com/tousu/show/id/1371864","网商贷雇佣第三方骚扰家人")</f>
      </c>
      <c r="C2119" t="s" s="2">
        <v>15</v>
      </c>
      <c r="D2119" t="s" s="2">
        <v>16</v>
      </c>
      <c r="E2119" t="s" s="2">
        <v>17</v>
      </c>
      <c r="F2119" t="s" s="2">
        <f>HYPERLINK("http://ts.21cn.com/tousu/show/id/1371864","http://ts.21cn.com/tousu/show/id/1371864")</f>
      </c>
      <c r="G2119" t="s" s="2">
        <v>17</v>
      </c>
      <c r="H2119" t="s" s="2">
        <v>19</v>
      </c>
      <c r="I2119" t="s" s="2">
        <v>8315</v>
      </c>
      <c r="J2119" t="s" s="2">
        <v>8316</v>
      </c>
      <c r="K2119" t="s" s="2">
        <v>22</v>
      </c>
      <c r="L2119" t="s" s="2">
        <v>22</v>
      </c>
      <c r="M2119" t="s" s="2">
        <v>22</v>
      </c>
    </row>
    <row r="2120" ht="25.0" customHeight="true">
      <c r="A2120" t="s" s="2">
        <v>13</v>
      </c>
      <c r="B2120" t="s" s="2">
        <f>HYPERLINK("http://ts.21cn.com/tousu/show/id/1371862","乐意花在可以联系得到借款人的情况下，随意打其它联系人电话")</f>
      </c>
      <c r="C2120" t="s" s="2">
        <v>15</v>
      </c>
      <c r="D2120" t="s" s="2">
        <v>16</v>
      </c>
      <c r="E2120" t="s" s="2">
        <v>17</v>
      </c>
      <c r="F2120" t="s" s="2">
        <f>HYPERLINK("http://ts.21cn.com/tousu/show/id/1371862","http://ts.21cn.com/tousu/show/id/1371862")</f>
      </c>
      <c r="G2120" t="s" s="2">
        <v>17</v>
      </c>
      <c r="H2120" t="s" s="2">
        <v>19</v>
      </c>
      <c r="I2120" t="s" s="2">
        <v>8319</v>
      </c>
      <c r="J2120" t="s" s="2">
        <v>8320</v>
      </c>
      <c r="K2120" t="s" s="2">
        <v>22</v>
      </c>
      <c r="L2120" t="s" s="2">
        <v>22</v>
      </c>
      <c r="M2120" t="s" s="2">
        <v>22</v>
      </c>
    </row>
    <row r="2121" ht="25.0" customHeight="true">
      <c r="A2121" t="s" s="2">
        <v>13</v>
      </c>
      <c r="B2121" t="s" s="2">
        <f>HYPERLINK("http://ts.21cn.com/tousu/show/id/1371863","My钱包恶意骚扰联系人")</f>
      </c>
      <c r="C2121" t="s" s="2">
        <v>15</v>
      </c>
      <c r="D2121" t="s" s="2">
        <v>16</v>
      </c>
      <c r="E2121" t="s" s="2">
        <v>17</v>
      </c>
      <c r="F2121" t="s" s="2">
        <f>HYPERLINK("http://ts.21cn.com/tousu/show/id/1371863","http://ts.21cn.com/tousu/show/id/1371863")</f>
      </c>
      <c r="G2121" t="s" s="2">
        <v>17</v>
      </c>
      <c r="H2121" t="s" s="2">
        <v>19</v>
      </c>
      <c r="I2121" t="s" s="2">
        <v>8323</v>
      </c>
      <c r="J2121" t="s" s="2">
        <v>8324</v>
      </c>
      <c r="K2121" t="s" s="2">
        <v>22</v>
      </c>
      <c r="L2121" t="s" s="2">
        <v>22</v>
      </c>
      <c r="M2121" t="s" s="2">
        <v>22</v>
      </c>
    </row>
    <row r="2122" ht="25.0" customHeight="true">
      <c r="A2122" t="s" s="2">
        <v>13</v>
      </c>
      <c r="B2122" t="s" s="2">
        <f>HYPERLINK("http://ts.21cn.com/tousu/show/id/1371859","征信呆账、按呆账金额偿还")</f>
      </c>
      <c r="C2122" t="s" s="2">
        <v>15</v>
      </c>
      <c r="D2122" t="s" s="2">
        <v>16</v>
      </c>
      <c r="E2122" t="s" s="2">
        <v>17</v>
      </c>
      <c r="F2122" t="s" s="2">
        <f>HYPERLINK("http://ts.21cn.com/tousu/show/id/1371859","http://ts.21cn.com/tousu/show/id/1371859")</f>
      </c>
      <c r="G2122" t="s" s="2">
        <v>17</v>
      </c>
      <c r="H2122" t="s" s="2">
        <v>19</v>
      </c>
      <c r="I2122" t="s" s="2">
        <v>8327</v>
      </c>
      <c r="J2122" t="s" s="2">
        <v>8328</v>
      </c>
      <c r="K2122" t="s" s="2">
        <v>22</v>
      </c>
      <c r="L2122" t="s" s="2">
        <v>22</v>
      </c>
      <c r="M2122" t="s" s="2">
        <v>22</v>
      </c>
    </row>
    <row r="2123" ht="25.0" customHeight="true">
      <c r="A2123" t="s" s="2">
        <v>13</v>
      </c>
      <c r="B2123" t="s" s="2">
        <f>HYPERLINK("http://ts.21cn.com/tousu/show/id/1371860","玖富万卡擅自改写合同，变相收取费用，高利贷")</f>
      </c>
      <c r="C2123" t="s" s="2">
        <v>15</v>
      </c>
      <c r="D2123" t="s" s="2">
        <v>16</v>
      </c>
      <c r="E2123" t="s" s="2">
        <v>17</v>
      </c>
      <c r="F2123" t="s" s="2">
        <f>HYPERLINK("http://ts.21cn.com/tousu/show/id/1371860","http://ts.21cn.com/tousu/show/id/1371860")</f>
      </c>
      <c r="G2123" t="s" s="2">
        <v>17</v>
      </c>
      <c r="H2123" t="s" s="2">
        <v>19</v>
      </c>
      <c r="I2123" t="s" s="2">
        <v>8327</v>
      </c>
      <c r="J2123" t="s" s="2">
        <v>8330</v>
      </c>
      <c r="K2123" t="s" s="2">
        <v>22</v>
      </c>
      <c r="L2123" t="s" s="2">
        <v>22</v>
      </c>
      <c r="M2123" t="s" s="2">
        <v>22</v>
      </c>
    </row>
    <row r="2124" ht="25.0" customHeight="true">
      <c r="A2124" t="s" s="2">
        <v>13</v>
      </c>
      <c r="B2124" t="s" s="2">
        <f>HYPERLINK("http://ts.21cn.com/tousu/show/id/1371858","虫虫快借利息太高")</f>
      </c>
      <c r="C2124" t="s" s="2">
        <v>15</v>
      </c>
      <c r="D2124" t="s" s="2">
        <v>16</v>
      </c>
      <c r="E2124" t="s" s="2">
        <v>17</v>
      </c>
      <c r="F2124" t="s" s="2">
        <f>HYPERLINK("http://ts.21cn.com/tousu/show/id/1371858","http://ts.21cn.com/tousu/show/id/1371858")</f>
      </c>
      <c r="G2124" t="s" s="2">
        <v>17</v>
      </c>
      <c r="H2124" t="s" s="2">
        <v>19</v>
      </c>
      <c r="I2124" t="s" s="2">
        <v>8333</v>
      </c>
      <c r="J2124" t="s" s="2">
        <v>8334</v>
      </c>
      <c r="K2124" t="s" s="2">
        <v>22</v>
      </c>
      <c r="L2124" t="s" s="2">
        <v>22</v>
      </c>
      <c r="M2124" t="s" s="2">
        <v>22</v>
      </c>
    </row>
    <row r="2125" ht="25.0" customHeight="true">
      <c r="A2125" t="s" s="2">
        <v>13</v>
      </c>
      <c r="B2125" t="s" s="2">
        <f>HYPERLINK("http://ts.21cn.com/tousu/show/id/1371857","不知道是否要爆通讯录")</f>
      </c>
      <c r="C2125" t="s" s="2">
        <v>15</v>
      </c>
      <c r="D2125" t="s" s="2">
        <v>16</v>
      </c>
      <c r="E2125" t="s" s="2">
        <v>17</v>
      </c>
      <c r="F2125" t="s" s="2">
        <f>HYPERLINK("http://ts.21cn.com/tousu/show/id/1371857","http://ts.21cn.com/tousu/show/id/1371857")</f>
      </c>
      <c r="G2125" t="s" s="2">
        <v>17</v>
      </c>
      <c r="H2125" t="s" s="2">
        <v>19</v>
      </c>
      <c r="I2125" t="s" s="2">
        <v>8337</v>
      </c>
      <c r="J2125" t="s" s="2">
        <v>8338</v>
      </c>
      <c r="K2125" t="s" s="2">
        <v>22</v>
      </c>
      <c r="L2125" t="s" s="2">
        <v>22</v>
      </c>
      <c r="M2125" t="s" s="2">
        <v>22</v>
      </c>
    </row>
    <row r="2126" ht="25.0" customHeight="true">
      <c r="A2126" t="s" s="2">
        <v>13</v>
      </c>
      <c r="B2126" t="s" s="2">
        <f>HYPERLINK("http://ts.21cn.com/tousu/show/id/1371855","支付宝恶意冻结商家账号，非法侵占商户资金，客服处理效率低下，颓唐。")</f>
      </c>
      <c r="C2126" t="s" s="2">
        <v>15</v>
      </c>
      <c r="D2126" t="s" s="2">
        <v>16</v>
      </c>
      <c r="E2126" t="s" s="2">
        <v>17</v>
      </c>
      <c r="F2126" t="s" s="2">
        <f>HYPERLINK("http://ts.21cn.com/tousu/show/id/1371855","http://ts.21cn.com/tousu/show/id/1371855")</f>
      </c>
      <c r="G2126" t="s" s="2">
        <v>17</v>
      </c>
      <c r="H2126" t="s" s="2">
        <v>19</v>
      </c>
      <c r="I2126" t="s" s="2">
        <v>8341</v>
      </c>
      <c r="J2126" t="s" s="2">
        <v>8342</v>
      </c>
      <c r="K2126" t="s" s="2">
        <v>22</v>
      </c>
      <c r="L2126" t="s" s="2">
        <v>22</v>
      </c>
      <c r="M2126" t="s" s="2">
        <v>22</v>
      </c>
    </row>
    <row r="2127" ht="25.0" customHeight="true">
      <c r="A2127" t="s" s="2">
        <v>13</v>
      </c>
      <c r="B2127" t="s" s="2">
        <f>HYPERLINK("http://ts.21cn.com/tousu/show/id/1371856","御剑飞行高利贷强买强卖")</f>
      </c>
      <c r="C2127" t="s" s="2">
        <v>15</v>
      </c>
      <c r="D2127" t="s" s="2">
        <v>16</v>
      </c>
      <c r="E2127" t="s" s="2">
        <v>17</v>
      </c>
      <c r="F2127" t="s" s="2">
        <f>HYPERLINK("http://ts.21cn.com/tousu/show/id/1371856","http://ts.21cn.com/tousu/show/id/1371856")</f>
      </c>
      <c r="G2127" t="s" s="2">
        <v>17</v>
      </c>
      <c r="H2127" t="s" s="2">
        <v>19</v>
      </c>
      <c r="I2127" t="s" s="2">
        <v>8345</v>
      </c>
      <c r="J2127" t="s" s="2">
        <v>8346</v>
      </c>
      <c r="K2127" t="s" s="2">
        <v>22</v>
      </c>
      <c r="L2127" t="s" s="2">
        <v>22</v>
      </c>
      <c r="M2127" t="s" s="2">
        <v>22</v>
      </c>
    </row>
    <row r="2128" ht="25.0" customHeight="true">
      <c r="A2128" t="s" s="2">
        <v>13</v>
      </c>
      <c r="B2128" t="s" s="2">
        <f>HYPERLINK("http://ts.21cn.com/tousu/show/id/1371854","卡牛瑞贷坑人六千一天一千利息")</f>
      </c>
      <c r="C2128" t="s" s="2">
        <v>15</v>
      </c>
      <c r="D2128" t="s" s="2">
        <v>16</v>
      </c>
      <c r="E2128" t="s" s="2">
        <v>17</v>
      </c>
      <c r="F2128" t="s" s="2">
        <f>HYPERLINK("http://ts.21cn.com/tousu/show/id/1371854","http://ts.21cn.com/tousu/show/id/1371854")</f>
      </c>
      <c r="G2128" t="s" s="2">
        <v>17</v>
      </c>
      <c r="H2128" t="s" s="2">
        <v>19</v>
      </c>
      <c r="I2128" t="s" s="2">
        <v>8349</v>
      </c>
      <c r="J2128" t="s" s="2">
        <v>8350</v>
      </c>
      <c r="K2128" t="s" s="2">
        <v>22</v>
      </c>
      <c r="L2128" t="s" s="2">
        <v>22</v>
      </c>
      <c r="M2128" t="s" s="2">
        <v>22</v>
      </c>
    </row>
    <row r="2129" ht="25.0" customHeight="true">
      <c r="A2129" t="s" s="2">
        <v>13</v>
      </c>
      <c r="B2129" t="s" s="2">
        <f>HYPERLINK("http://ts.21cn.com/tousu/show/id/1371853","借贷宝打条不放款债权人推脱不消条")</f>
      </c>
      <c r="C2129" t="s" s="2">
        <v>15</v>
      </c>
      <c r="D2129" t="s" s="2">
        <v>16</v>
      </c>
      <c r="E2129" t="s" s="2">
        <v>17</v>
      </c>
      <c r="F2129" t="s" s="2">
        <f>HYPERLINK("http://ts.21cn.com/tousu/show/id/1371853","http://ts.21cn.com/tousu/show/id/1371853")</f>
      </c>
      <c r="G2129" t="s" s="2">
        <v>17</v>
      </c>
      <c r="H2129" t="s" s="2">
        <v>19</v>
      </c>
      <c r="I2129" t="s" s="2">
        <v>8353</v>
      </c>
      <c r="J2129" t="s" s="2">
        <v>8354</v>
      </c>
      <c r="K2129" t="s" s="2">
        <v>22</v>
      </c>
      <c r="L2129" t="s" s="2">
        <v>22</v>
      </c>
      <c r="M2129" t="s" s="2">
        <v>22</v>
      </c>
    </row>
    <row r="2130" ht="25.0" customHeight="true">
      <c r="A2130" t="s" s="2">
        <v>13</v>
      </c>
      <c r="B2130" t="s" s="2">
        <f>HYPERLINK("http://ts.21cn.com/tousu/show/id/1371852","广发银行信用卡违约金收取")</f>
      </c>
      <c r="C2130" t="s" s="2">
        <v>15</v>
      </c>
      <c r="D2130" t="s" s="2">
        <v>16</v>
      </c>
      <c r="E2130" t="s" s="2">
        <v>17</v>
      </c>
      <c r="F2130" t="s" s="2">
        <f>HYPERLINK("http://ts.21cn.com/tousu/show/id/1371852","http://ts.21cn.com/tousu/show/id/1371852")</f>
      </c>
      <c r="G2130" t="s" s="2">
        <v>17</v>
      </c>
      <c r="H2130" t="s" s="2">
        <v>19</v>
      </c>
      <c r="I2130" t="s" s="2">
        <v>8357</v>
      </c>
      <c r="J2130" t="s" s="2">
        <v>8358</v>
      </c>
      <c r="K2130" t="s" s="2">
        <v>22</v>
      </c>
      <c r="L2130" t="s" s="2">
        <v>22</v>
      </c>
      <c r="M2130" t="s" s="2">
        <v>22</v>
      </c>
    </row>
    <row r="2131" ht="25.0" customHeight="true">
      <c r="A2131" t="s" s="2">
        <v>13</v>
      </c>
      <c r="B2131" t="s" s="2">
        <f>HYPERLINK("http://ts.21cn.com/tousu/show/id/1371851","小花钱包暴力催收")</f>
      </c>
      <c r="C2131" t="s" s="2">
        <v>15</v>
      </c>
      <c r="D2131" t="s" s="2">
        <v>16</v>
      </c>
      <c r="E2131" t="s" s="2">
        <v>17</v>
      </c>
      <c r="F2131" t="s" s="2">
        <f>HYPERLINK("http://ts.21cn.com/tousu/show/id/1371851","http://ts.21cn.com/tousu/show/id/1371851")</f>
      </c>
      <c r="G2131" t="s" s="2">
        <v>17</v>
      </c>
      <c r="H2131" t="s" s="2">
        <v>19</v>
      </c>
      <c r="I2131" t="s" s="2">
        <v>8361</v>
      </c>
      <c r="J2131" t="s" s="2">
        <v>8362</v>
      </c>
      <c r="K2131" t="s" s="2">
        <v>22</v>
      </c>
      <c r="L2131" t="s" s="2">
        <v>22</v>
      </c>
      <c r="M2131" t="s" s="2">
        <v>22</v>
      </c>
    </row>
    <row r="2132" ht="25.0" customHeight="true">
      <c r="A2132" t="s" s="2">
        <v>13</v>
      </c>
      <c r="B2132" t="s" s="2">
        <f>HYPERLINK("http://ts.21cn.com/tousu/show/id/1371850","上海翼勋暴力催收，威胁，恐吓暴通讯录")</f>
      </c>
      <c r="C2132" t="s" s="2">
        <v>15</v>
      </c>
      <c r="D2132" t="s" s="2">
        <v>16</v>
      </c>
      <c r="E2132" t="s" s="2">
        <v>17</v>
      </c>
      <c r="F2132" t="s" s="2">
        <f>HYPERLINK("http://ts.21cn.com/tousu/show/id/1371850","http://ts.21cn.com/tousu/show/id/1371850")</f>
      </c>
      <c r="G2132" t="s" s="2">
        <v>17</v>
      </c>
      <c r="H2132" t="s" s="2">
        <v>19</v>
      </c>
      <c r="I2132" t="s" s="2">
        <v>8365</v>
      </c>
      <c r="J2132" t="s" s="2">
        <v>8366</v>
      </c>
      <c r="K2132" t="s" s="2">
        <v>22</v>
      </c>
      <c r="L2132" t="s" s="2">
        <v>22</v>
      </c>
      <c r="M2132" t="s" s="2">
        <v>22</v>
      </c>
    </row>
    <row r="2133" ht="25.0" customHeight="true">
      <c r="A2133" t="s" s="2">
        <v>13</v>
      </c>
      <c r="B2133" t="s" s="2">
        <f>HYPERLINK("http://ts.21cn.com/tousu/show/id/1371849","钱橙无忧随意扣费")</f>
      </c>
      <c r="C2133" t="s" s="2">
        <v>52</v>
      </c>
      <c r="D2133" t="s" s="2">
        <v>16</v>
      </c>
      <c r="E2133" t="s" s="2">
        <v>17</v>
      </c>
      <c r="F2133" t="s" s="2">
        <f>HYPERLINK("http://ts.21cn.com/tousu/show/id/1371849","http://ts.21cn.com/tousu/show/id/1371849")</f>
      </c>
      <c r="G2133" t="s" s="2">
        <v>17</v>
      </c>
      <c r="H2133" t="s" s="2">
        <v>19</v>
      </c>
      <c r="I2133" t="s" s="2">
        <v>8368</v>
      </c>
      <c r="J2133" t="s" s="2">
        <v>8369</v>
      </c>
      <c r="K2133" t="s" s="2">
        <v>22</v>
      </c>
      <c r="L2133" t="s" s="2">
        <v>22</v>
      </c>
      <c r="M2133" t="s" s="2">
        <v>22</v>
      </c>
    </row>
    <row r="2134" ht="25.0" customHeight="true">
      <c r="A2134" t="s" s="2">
        <v>13</v>
      </c>
      <c r="B2134" t="s" s="2">
        <f>HYPERLINK("http://ts.21cn.com/tousu/show/id/1371848","淘宝卖家打电话骂人")</f>
      </c>
      <c r="C2134" t="s" s="2">
        <v>15</v>
      </c>
      <c r="D2134" t="s" s="2">
        <v>16</v>
      </c>
      <c r="E2134" t="s" s="2">
        <v>17</v>
      </c>
      <c r="F2134" t="s" s="2">
        <f>HYPERLINK("http://ts.21cn.com/tousu/show/id/1371848","http://ts.21cn.com/tousu/show/id/1371848")</f>
      </c>
      <c r="G2134" t="s" s="2">
        <v>17</v>
      </c>
      <c r="H2134" t="s" s="2">
        <v>19</v>
      </c>
      <c r="I2134" t="s" s="2">
        <v>8372</v>
      </c>
      <c r="J2134" t="s" s="2">
        <v>8373</v>
      </c>
      <c r="K2134" t="s" s="2">
        <v>22</v>
      </c>
      <c r="L2134" t="s" s="2">
        <v>22</v>
      </c>
      <c r="M2134" t="s" s="2">
        <v>22</v>
      </c>
    </row>
    <row r="2135" ht="25.0" customHeight="true">
      <c r="A2135" t="s" s="2">
        <v>13</v>
      </c>
      <c r="B2135" t="s" s="2">
        <f>HYPERLINK("http://ts.21cn.com/tousu/show/id/1371847","新浪卡贷中银消费金融私自拨打我的联系人")</f>
      </c>
      <c r="C2135" t="s" s="2">
        <v>15</v>
      </c>
      <c r="D2135" t="s" s="2">
        <v>16</v>
      </c>
      <c r="E2135" t="s" s="2">
        <v>17</v>
      </c>
      <c r="F2135" t="s" s="2">
        <f>HYPERLINK("http://ts.21cn.com/tousu/show/id/1371847","http://ts.21cn.com/tousu/show/id/1371847")</f>
      </c>
      <c r="G2135" t="s" s="2">
        <v>17</v>
      </c>
      <c r="H2135" t="s" s="2">
        <v>19</v>
      </c>
      <c r="I2135" t="s" s="2">
        <v>8376</v>
      </c>
      <c r="J2135" t="s" s="2">
        <v>8377</v>
      </c>
      <c r="K2135" t="s" s="2">
        <v>22</v>
      </c>
      <c r="L2135" t="s" s="2">
        <v>22</v>
      </c>
      <c r="M2135" t="s" s="2">
        <v>22</v>
      </c>
    </row>
    <row r="2136" ht="25.0" customHeight="true">
      <c r="A2136" t="s" s="2">
        <v>13</v>
      </c>
      <c r="B2136" t="s" s="2">
        <f>HYPERLINK("http://ts.21cn.com/tousu/show/id/1371832","被卖家忽悠平台做事不管")</f>
      </c>
      <c r="C2136" t="s" s="2">
        <v>15</v>
      </c>
      <c r="D2136" t="s" s="2">
        <v>16</v>
      </c>
      <c r="E2136" t="s" s="2">
        <v>17</v>
      </c>
      <c r="F2136" t="s" s="2">
        <f>HYPERLINK("http://ts.21cn.com/tousu/show/id/1371832","http://ts.21cn.com/tousu/show/id/1371832")</f>
      </c>
      <c r="G2136" t="s" s="2">
        <v>17</v>
      </c>
      <c r="H2136" t="s" s="2">
        <v>19</v>
      </c>
      <c r="I2136" t="s" s="2">
        <v>8380</v>
      </c>
      <c r="J2136" t="s" s="2">
        <v>8381</v>
      </c>
      <c r="K2136" t="s" s="2">
        <v>22</v>
      </c>
      <c r="L2136" t="s" s="2">
        <v>22</v>
      </c>
      <c r="M2136" t="s" s="2">
        <v>22</v>
      </c>
    </row>
    <row r="2137" ht="25.0" customHeight="true">
      <c r="A2137" t="s" s="2">
        <v>13</v>
      </c>
      <c r="B2137" t="s" s="2">
        <f>HYPERLINK("http://ts.21cn.com/tousu/show/id/1371846","小黑鲨恶意催收威胁家人")</f>
      </c>
      <c r="C2137" t="s" s="2">
        <v>15</v>
      </c>
      <c r="D2137" t="s" s="2">
        <v>16</v>
      </c>
      <c r="E2137" t="s" s="2">
        <v>17</v>
      </c>
      <c r="F2137" t="s" s="2">
        <f>HYPERLINK("http://ts.21cn.com/tousu/show/id/1371846","http://ts.21cn.com/tousu/show/id/1371846")</f>
      </c>
      <c r="G2137" t="s" s="2">
        <v>17</v>
      </c>
      <c r="H2137" t="s" s="2">
        <v>19</v>
      </c>
      <c r="I2137" t="s" s="2">
        <v>8384</v>
      </c>
      <c r="J2137" t="s" s="2">
        <v>8385</v>
      </c>
      <c r="K2137" t="s" s="2">
        <v>22</v>
      </c>
      <c r="L2137" t="s" s="2">
        <v>22</v>
      </c>
      <c r="M2137" t="s" s="2">
        <v>22</v>
      </c>
    </row>
    <row r="2138" ht="25.0" customHeight="true">
      <c r="A2138" t="s" s="2">
        <v>13</v>
      </c>
      <c r="B2138" t="s" s="2">
        <f>HYPERLINK("http://ts.21cn.com/tousu/show/id/1371845","钱橙无忧随意扣费")</f>
      </c>
      <c r="C2138" t="s" s="2">
        <v>52</v>
      </c>
      <c r="D2138" t="s" s="2">
        <v>16</v>
      </c>
      <c r="E2138" t="s" s="2">
        <v>17</v>
      </c>
      <c r="F2138" t="s" s="2">
        <f>HYPERLINK("http://ts.21cn.com/tousu/show/id/1371845","http://ts.21cn.com/tousu/show/id/1371845")</f>
      </c>
      <c r="G2138" t="s" s="2">
        <v>17</v>
      </c>
      <c r="H2138" t="s" s="2">
        <v>19</v>
      </c>
      <c r="I2138" t="s" s="2">
        <v>8387</v>
      </c>
      <c r="J2138" t="s" s="2">
        <v>8388</v>
      </c>
      <c r="K2138" t="s" s="2">
        <v>22</v>
      </c>
      <c r="L2138" t="s" s="2">
        <v>22</v>
      </c>
      <c r="M2138" t="s" s="2">
        <v>22</v>
      </c>
    </row>
    <row r="2139" ht="25.0" customHeight="true">
      <c r="A2139" t="s" s="2">
        <v>13</v>
      </c>
      <c r="B2139" t="s" s="2">
        <f>HYPERLINK("http://ts.21cn.com/tousu/show/id/1371844","电话暴力催收骚扰我同事骂人恐吓")</f>
      </c>
      <c r="C2139" t="s" s="2">
        <v>15</v>
      </c>
      <c r="D2139" t="s" s="2">
        <v>16</v>
      </c>
      <c r="E2139" t="s" s="2">
        <v>17</v>
      </c>
      <c r="F2139" t="s" s="2">
        <f>HYPERLINK("http://ts.21cn.com/tousu/show/id/1371844","http://ts.21cn.com/tousu/show/id/1371844")</f>
      </c>
      <c r="G2139" t="s" s="2">
        <v>17</v>
      </c>
      <c r="H2139" t="s" s="2">
        <v>19</v>
      </c>
      <c r="I2139" t="s" s="2">
        <v>8391</v>
      </c>
      <c r="J2139" t="s" s="2">
        <v>8392</v>
      </c>
      <c r="K2139" t="s" s="2">
        <v>22</v>
      </c>
      <c r="L2139" t="s" s="2">
        <v>22</v>
      </c>
      <c r="M2139" t="s" s="2">
        <v>22</v>
      </c>
    </row>
    <row r="2140" ht="25.0" customHeight="true">
      <c r="A2140" t="s" s="2">
        <v>13</v>
      </c>
      <c r="B2140" t="s" s="2">
        <f>HYPERLINK("http://ts.21cn.com/tousu/show/id/1371843","网络借贷实际利息与平台所说利率严重不符，要求降低利息，道歉")</f>
      </c>
      <c r="C2140" t="s" s="2">
        <v>15</v>
      </c>
      <c r="D2140" t="s" s="2">
        <v>16</v>
      </c>
      <c r="E2140" t="s" s="2">
        <v>17</v>
      </c>
      <c r="F2140" t="s" s="2">
        <f>HYPERLINK("http://ts.21cn.com/tousu/show/id/1371843","http://ts.21cn.com/tousu/show/id/1371843")</f>
      </c>
      <c r="G2140" t="s" s="2">
        <v>17</v>
      </c>
      <c r="H2140" t="s" s="2">
        <v>19</v>
      </c>
      <c r="I2140" t="s" s="2">
        <v>8395</v>
      </c>
      <c r="J2140" t="s" s="2">
        <v>8396</v>
      </c>
      <c r="K2140" t="s" s="2">
        <v>22</v>
      </c>
      <c r="L2140" t="s" s="2">
        <v>22</v>
      </c>
      <c r="M2140" t="s" s="2">
        <v>22</v>
      </c>
    </row>
    <row r="2141" ht="25.0" customHeight="true">
      <c r="A2141" t="s" s="2">
        <v>13</v>
      </c>
      <c r="B2141" t="s" s="2">
        <f>HYPERLINK("http://ts.21cn.com/tousu/show/id/1371842","希望延期还款小米和翼支付贷款")</f>
      </c>
      <c r="C2141" t="s" s="2">
        <v>15</v>
      </c>
      <c r="D2141" t="s" s="2">
        <v>16</v>
      </c>
      <c r="E2141" t="s" s="2">
        <v>17</v>
      </c>
      <c r="F2141" t="s" s="2">
        <f>HYPERLINK("http://ts.21cn.com/tousu/show/id/1371842","http://ts.21cn.com/tousu/show/id/1371842")</f>
      </c>
      <c r="G2141" t="s" s="2">
        <v>17</v>
      </c>
      <c r="H2141" t="s" s="2">
        <v>19</v>
      </c>
      <c r="I2141" t="s" s="2">
        <v>8399</v>
      </c>
      <c r="J2141" t="s" s="2">
        <v>8400</v>
      </c>
      <c r="K2141" t="s" s="2">
        <v>22</v>
      </c>
      <c r="L2141" t="s" s="2">
        <v>22</v>
      </c>
      <c r="M2141" t="s" s="2">
        <v>22</v>
      </c>
    </row>
    <row r="2142" ht="25.0" customHeight="true">
      <c r="A2142" t="s" s="2">
        <v>13</v>
      </c>
      <c r="B2142" t="s" s="2">
        <f>HYPERLINK("http://ts.21cn.com/tousu/show/id/1371841","建行拒不协商退还多收取的滞纳金")</f>
      </c>
      <c r="C2142" t="s" s="2">
        <v>15</v>
      </c>
      <c r="D2142" t="s" s="2">
        <v>16</v>
      </c>
      <c r="E2142" t="s" s="2">
        <v>17</v>
      </c>
      <c r="F2142" t="s" s="2">
        <f>HYPERLINK("http://ts.21cn.com/tousu/show/id/1371841","http://ts.21cn.com/tousu/show/id/1371841")</f>
      </c>
      <c r="G2142" t="s" s="2">
        <v>17</v>
      </c>
      <c r="H2142" t="s" s="2">
        <v>19</v>
      </c>
      <c r="I2142" t="s" s="2">
        <v>8403</v>
      </c>
      <c r="J2142" t="s" s="2">
        <v>8404</v>
      </c>
      <c r="K2142" t="s" s="2">
        <v>22</v>
      </c>
      <c r="L2142" t="s" s="2">
        <v>22</v>
      </c>
      <c r="M2142" t="s" s="2">
        <v>22</v>
      </c>
    </row>
    <row r="2143" ht="25.0" customHeight="true">
      <c r="A2143" t="s" s="2">
        <v>13</v>
      </c>
      <c r="B2143" t="s" s="2">
        <f>HYPERLINK("http://ts.21cn.com/tousu/show/id/1371840","钱还清了很久，有一笔咨询费当时下款收取的不给退")</f>
      </c>
      <c r="C2143" t="s" s="2">
        <v>15</v>
      </c>
      <c r="D2143" t="s" s="2">
        <v>16</v>
      </c>
      <c r="E2143" t="s" s="2">
        <v>17</v>
      </c>
      <c r="F2143" t="s" s="2">
        <f>HYPERLINK("http://ts.21cn.com/tousu/show/id/1371840","http://ts.21cn.com/tousu/show/id/1371840")</f>
      </c>
      <c r="G2143" t="s" s="2">
        <v>17</v>
      </c>
      <c r="H2143" t="s" s="2">
        <v>19</v>
      </c>
      <c r="I2143" t="s" s="2">
        <v>8407</v>
      </c>
      <c r="J2143" t="s" s="2">
        <v>8408</v>
      </c>
      <c r="K2143" t="s" s="2">
        <v>22</v>
      </c>
      <c r="L2143" t="s" s="2">
        <v>22</v>
      </c>
      <c r="M2143" t="s" s="2">
        <v>22</v>
      </c>
    </row>
    <row r="2144" ht="25.0" customHeight="true">
      <c r="A2144" t="s" s="2">
        <v>13</v>
      </c>
      <c r="B2144" t="s" s="2">
        <f>HYPERLINK("http://ts.21cn.com/tousu/show/id/1371812","诱导办理会员，说有额度能办理贷款")</f>
      </c>
      <c r="C2144" t="s" s="2">
        <v>15</v>
      </c>
      <c r="D2144" t="s" s="2">
        <v>16</v>
      </c>
      <c r="E2144" t="s" s="2">
        <v>17</v>
      </c>
      <c r="F2144" t="s" s="2">
        <f>HYPERLINK("http://ts.21cn.com/tousu/show/id/1371812","http://ts.21cn.com/tousu/show/id/1371812")</f>
      </c>
      <c r="G2144" t="s" s="2">
        <v>17</v>
      </c>
      <c r="H2144" t="s" s="2">
        <v>19</v>
      </c>
      <c r="I2144" t="s" s="2">
        <v>8411</v>
      </c>
      <c r="J2144" t="s" s="2">
        <v>8412</v>
      </c>
      <c r="K2144" t="s" s="2">
        <v>22</v>
      </c>
      <c r="L2144" t="s" s="2">
        <v>22</v>
      </c>
      <c r="M2144" t="s" s="2">
        <v>22</v>
      </c>
    </row>
    <row r="2145" ht="25.0" customHeight="true">
      <c r="A2145" t="s" s="2">
        <v>13</v>
      </c>
      <c r="B2145" t="s" s="2">
        <f>HYPERLINK("http://ts.21cn.com/tousu/show/id/1371839","神马借高额砍头套路贷")</f>
      </c>
      <c r="C2145" t="s" s="2">
        <v>15</v>
      </c>
      <c r="D2145" t="s" s="2">
        <v>16</v>
      </c>
      <c r="E2145" t="s" s="2">
        <v>17</v>
      </c>
      <c r="F2145" t="s" s="2">
        <f>HYPERLINK("http://ts.21cn.com/tousu/show/id/1371839","http://ts.21cn.com/tousu/show/id/1371839")</f>
      </c>
      <c r="G2145" t="s" s="2">
        <v>17</v>
      </c>
      <c r="H2145" t="s" s="2">
        <v>19</v>
      </c>
      <c r="I2145" t="s" s="2">
        <v>8415</v>
      </c>
      <c r="J2145" t="s" s="2">
        <v>8416</v>
      </c>
      <c r="K2145" t="s" s="2">
        <v>22</v>
      </c>
      <c r="L2145" t="s" s="2">
        <v>22</v>
      </c>
      <c r="M2145" t="s" s="2">
        <v>22</v>
      </c>
    </row>
    <row r="2146" ht="25.0" customHeight="true">
      <c r="A2146" t="s" s="2">
        <v>13</v>
      </c>
      <c r="B2146" t="s" s="2">
        <f>HYPERLINK("http://ts.21cn.com/tousu/show/id/1371809","平安银行委托第三方非法催收")</f>
      </c>
      <c r="C2146" t="s" s="2">
        <v>15</v>
      </c>
      <c r="D2146" t="s" s="2">
        <v>16</v>
      </c>
      <c r="E2146" t="s" s="2">
        <v>17</v>
      </c>
      <c r="F2146" t="s" s="2">
        <f>HYPERLINK("http://ts.21cn.com/tousu/show/id/1371809","http://ts.21cn.com/tousu/show/id/1371809")</f>
      </c>
      <c r="G2146" t="s" s="2">
        <v>17</v>
      </c>
      <c r="H2146" t="s" s="2">
        <v>19</v>
      </c>
      <c r="I2146" t="s" s="2">
        <v>8419</v>
      </c>
      <c r="J2146" t="s" s="2">
        <v>8420</v>
      </c>
      <c r="K2146" t="s" s="2">
        <v>22</v>
      </c>
      <c r="L2146" t="s" s="2">
        <v>22</v>
      </c>
      <c r="M2146" t="s" s="2">
        <v>22</v>
      </c>
    </row>
    <row r="2147" ht="25.0" customHeight="true">
      <c r="A2147" t="s" s="2">
        <v>13</v>
      </c>
      <c r="B2147" t="s" s="2">
        <f>HYPERLINK("http://ts.21cn.com/tousu/show/id/1371826","违规提供支付渠道间接致使我遭遇网络中“毒手”")</f>
      </c>
      <c r="C2147" t="s" s="2">
        <v>15</v>
      </c>
      <c r="D2147" t="s" s="2">
        <v>16</v>
      </c>
      <c r="E2147" t="s" s="2">
        <v>17</v>
      </c>
      <c r="F2147" t="s" s="2">
        <f>HYPERLINK("http://ts.21cn.com/tousu/show/id/1371826","http://ts.21cn.com/tousu/show/id/1371826")</f>
      </c>
      <c r="G2147" t="s" s="2">
        <v>17</v>
      </c>
      <c r="H2147" t="s" s="2">
        <v>19</v>
      </c>
      <c r="I2147" t="s" s="2">
        <v>8423</v>
      </c>
      <c r="J2147" t="s" s="2">
        <v>8424</v>
      </c>
      <c r="K2147" t="s" s="2">
        <v>22</v>
      </c>
      <c r="L2147" t="s" s="2">
        <v>22</v>
      </c>
      <c r="M2147" t="s" s="2">
        <v>22</v>
      </c>
    </row>
    <row r="2148" ht="25.0" customHeight="true">
      <c r="A2148" t="s" s="2">
        <v>13</v>
      </c>
      <c r="B2148" t="s" s="2">
        <f>HYPERLINK("http://ts.21cn.com/tousu/show/id/1371838","骗我的钱不给我处理问题")</f>
      </c>
      <c r="C2148" t="s" s="2">
        <v>15</v>
      </c>
      <c r="D2148" t="s" s="2">
        <v>16</v>
      </c>
      <c r="E2148" t="s" s="2">
        <v>17</v>
      </c>
      <c r="F2148" t="s" s="2">
        <f>HYPERLINK("http://ts.21cn.com/tousu/show/id/1371838","http://ts.21cn.com/tousu/show/id/1371838")</f>
      </c>
      <c r="G2148" t="s" s="2">
        <v>17</v>
      </c>
      <c r="H2148" t="s" s="2">
        <v>19</v>
      </c>
      <c r="I2148" t="s" s="2">
        <v>8427</v>
      </c>
      <c r="J2148" t="s" s="2">
        <v>8428</v>
      </c>
      <c r="K2148" t="s" s="2">
        <v>22</v>
      </c>
      <c r="L2148" t="s" s="2">
        <v>22</v>
      </c>
      <c r="M2148" t="s" s="2">
        <v>22</v>
      </c>
    </row>
    <row r="2149" ht="25.0" customHeight="true">
      <c r="A2149" t="s" s="2">
        <v>13</v>
      </c>
      <c r="B2149" t="s" s="2">
        <f>HYPERLINK("http://ts.21cn.com/tousu/show/id/1371837","苏宁金融任性贷第三方平台恶意扣款5700多元")</f>
      </c>
      <c r="C2149" t="s" s="2">
        <v>15</v>
      </c>
      <c r="D2149" t="s" s="2">
        <v>16</v>
      </c>
      <c r="E2149" t="s" s="2">
        <v>17</v>
      </c>
      <c r="F2149" t="s" s="2">
        <f>HYPERLINK("http://ts.21cn.com/tousu/show/id/1371837","http://ts.21cn.com/tousu/show/id/1371837")</f>
      </c>
      <c r="G2149" t="s" s="2">
        <v>17</v>
      </c>
      <c r="H2149" t="s" s="2">
        <v>19</v>
      </c>
      <c r="I2149" t="s" s="2">
        <v>8431</v>
      </c>
      <c r="J2149" t="s" s="2">
        <v>8432</v>
      </c>
      <c r="K2149" t="s" s="2">
        <v>22</v>
      </c>
      <c r="L2149" t="s" s="2">
        <v>22</v>
      </c>
      <c r="M2149" t="s" s="2">
        <v>22</v>
      </c>
    </row>
    <row r="2150" ht="25.0" customHeight="true">
      <c r="A2150" t="s" s="2">
        <v>13</v>
      </c>
      <c r="B2150" t="s" s="2">
        <f>HYPERLINK("http://ts.21cn.com/tousu/show/id/1371836","星星借呗催收公司骂人我这里有录音")</f>
      </c>
      <c r="C2150" t="s" s="2">
        <v>15</v>
      </c>
      <c r="D2150" t="s" s="2">
        <v>16</v>
      </c>
      <c r="E2150" t="s" s="2">
        <v>17</v>
      </c>
      <c r="F2150" t="s" s="2">
        <f>HYPERLINK("http://ts.21cn.com/tousu/show/id/1371836","http://ts.21cn.com/tousu/show/id/1371836")</f>
      </c>
      <c r="G2150" t="s" s="2">
        <v>17</v>
      </c>
      <c r="H2150" t="s" s="2">
        <v>19</v>
      </c>
      <c r="I2150" t="s" s="2">
        <v>8435</v>
      </c>
      <c r="J2150" t="s" s="2">
        <v>8436</v>
      </c>
      <c r="K2150" t="s" s="2">
        <v>22</v>
      </c>
      <c r="L2150" t="s" s="2">
        <v>22</v>
      </c>
      <c r="M2150" t="s" s="2">
        <v>22</v>
      </c>
    </row>
    <row r="2151" ht="25.0" customHeight="true">
      <c r="A2151" t="s" s="2">
        <v>13</v>
      </c>
      <c r="B2151" t="s" s="2">
        <f>HYPERLINK("http://ts.21cn.com/tousu/show/id/1371835","高利贷，阴阳合同")</f>
      </c>
      <c r="C2151" t="s" s="2">
        <v>15</v>
      </c>
      <c r="D2151" t="s" s="2">
        <v>16</v>
      </c>
      <c r="E2151" t="s" s="2">
        <v>17</v>
      </c>
      <c r="F2151" t="s" s="2">
        <f>HYPERLINK("http://ts.21cn.com/tousu/show/id/1371835","http://ts.21cn.com/tousu/show/id/1371835")</f>
      </c>
      <c r="G2151" t="s" s="2">
        <v>17</v>
      </c>
      <c r="H2151" t="s" s="2">
        <v>19</v>
      </c>
      <c r="I2151" t="s" s="2">
        <v>8439</v>
      </c>
      <c r="J2151" t="s" s="2">
        <v>8440</v>
      </c>
      <c r="K2151" t="s" s="2">
        <v>22</v>
      </c>
      <c r="L2151" t="s" s="2">
        <v>22</v>
      </c>
      <c r="M2151" t="s" s="2">
        <v>22</v>
      </c>
    </row>
    <row r="2152" ht="25.0" customHeight="true">
      <c r="A2152" t="s" s="2">
        <v>13</v>
      </c>
      <c r="B2152" t="s" s="2">
        <f>HYPERLINK("http://ts.21cn.com/tousu/show/id/1371834","高利贷")</f>
      </c>
      <c r="C2152" t="s" s="2">
        <v>15</v>
      </c>
      <c r="D2152" t="s" s="2">
        <v>16</v>
      </c>
      <c r="E2152" t="s" s="2">
        <v>17</v>
      </c>
      <c r="F2152" t="s" s="2">
        <f>HYPERLINK("http://ts.21cn.com/tousu/show/id/1371834","http://ts.21cn.com/tousu/show/id/1371834")</f>
      </c>
      <c r="G2152" t="s" s="2">
        <v>17</v>
      </c>
      <c r="H2152" t="s" s="2">
        <v>19</v>
      </c>
      <c r="I2152" t="s" s="2">
        <v>8442</v>
      </c>
      <c r="J2152" t="s" s="2">
        <v>8443</v>
      </c>
      <c r="K2152" t="s" s="2">
        <v>22</v>
      </c>
      <c r="L2152" t="s" s="2">
        <v>22</v>
      </c>
      <c r="M2152" t="s" s="2">
        <v>22</v>
      </c>
    </row>
    <row r="2153" ht="25.0" customHeight="true">
      <c r="A2153" t="s" s="2">
        <v>13</v>
      </c>
      <c r="B2153" t="s" s="2">
        <f>HYPERLINK("http://ts.21cn.com/tousu/show/id/1371833","网贷被骗")</f>
      </c>
      <c r="C2153" t="s" s="2">
        <v>15</v>
      </c>
      <c r="D2153" t="s" s="2">
        <v>16</v>
      </c>
      <c r="E2153" t="s" s="2">
        <v>17</v>
      </c>
      <c r="F2153" t="s" s="2">
        <f>HYPERLINK("http://ts.21cn.com/tousu/show/id/1371833","http://ts.21cn.com/tousu/show/id/1371833")</f>
      </c>
      <c r="G2153" t="s" s="2">
        <v>17</v>
      </c>
      <c r="H2153" t="s" s="2">
        <v>19</v>
      </c>
      <c r="I2153" t="s" s="2">
        <v>8446</v>
      </c>
      <c r="J2153" t="s" s="2">
        <v>8447</v>
      </c>
      <c r="K2153" t="s" s="2">
        <v>22</v>
      </c>
      <c r="L2153" t="s" s="2">
        <v>22</v>
      </c>
      <c r="M2153" t="s" s="2">
        <v>22</v>
      </c>
    </row>
    <row r="2154" ht="25.0" customHeight="true">
      <c r="A2154" t="s" s="2">
        <v>13</v>
      </c>
      <c r="B2154" t="s" s="2">
        <f>HYPERLINK("http://ts.21cn.com/tousu/show/id/1371831","取消放款")</f>
      </c>
      <c r="C2154" t="s" s="2">
        <v>15</v>
      </c>
      <c r="D2154" t="s" s="2">
        <v>16</v>
      </c>
      <c r="E2154" t="s" s="2">
        <v>17</v>
      </c>
      <c r="F2154" t="s" s="2">
        <f>HYPERLINK("http://ts.21cn.com/tousu/show/id/1371831","http://ts.21cn.com/tousu/show/id/1371831")</f>
      </c>
      <c r="G2154" t="s" s="2">
        <v>17</v>
      </c>
      <c r="H2154" t="s" s="2">
        <v>19</v>
      </c>
      <c r="I2154" t="s" s="2">
        <v>8450</v>
      </c>
      <c r="J2154" t="s" s="2">
        <v>8451</v>
      </c>
      <c r="K2154" t="s" s="2">
        <v>22</v>
      </c>
      <c r="L2154" t="s" s="2">
        <v>22</v>
      </c>
      <c r="M2154" t="s" s="2">
        <v>22</v>
      </c>
    </row>
    <row r="2155" ht="25.0" customHeight="true">
      <c r="A2155" t="s" s="2">
        <v>13</v>
      </c>
      <c r="B2155" t="s" s="2">
        <f>HYPERLINK("http://ts.21cn.com/tousu/show/id/1371829","还款日当天通讯录好友收到短信催收信息")</f>
      </c>
      <c r="C2155" t="s" s="2">
        <v>15</v>
      </c>
      <c r="D2155" t="s" s="2">
        <v>16</v>
      </c>
      <c r="E2155" t="s" s="2">
        <v>17</v>
      </c>
      <c r="F2155" t="s" s="2">
        <f>HYPERLINK("http://ts.21cn.com/tousu/show/id/1371829","http://ts.21cn.com/tousu/show/id/1371829")</f>
      </c>
      <c r="G2155" t="s" s="2">
        <v>17</v>
      </c>
      <c r="H2155" t="s" s="2">
        <v>19</v>
      </c>
      <c r="I2155" t="s" s="2">
        <v>8454</v>
      </c>
      <c r="J2155" t="s" s="2">
        <v>8455</v>
      </c>
      <c r="K2155" t="s" s="2">
        <v>22</v>
      </c>
      <c r="L2155" t="s" s="2">
        <v>22</v>
      </c>
      <c r="M2155" t="s" s="2">
        <v>22</v>
      </c>
    </row>
    <row r="2156" ht="25.0" customHeight="true">
      <c r="A2156" t="s" s="2">
        <v>13</v>
      </c>
      <c r="B2156" t="s" s="2">
        <f>HYPERLINK("http://ts.21cn.com/tousu/show/id/1371828","不退押金")</f>
      </c>
      <c r="C2156" t="s" s="2">
        <v>15</v>
      </c>
      <c r="D2156" t="s" s="2">
        <v>16</v>
      </c>
      <c r="E2156" t="s" s="2">
        <v>17</v>
      </c>
      <c r="F2156" t="s" s="2">
        <f>HYPERLINK("http://ts.21cn.com/tousu/show/id/1371828","http://ts.21cn.com/tousu/show/id/1371828")</f>
      </c>
      <c r="G2156" t="s" s="2">
        <v>17</v>
      </c>
      <c r="H2156" t="s" s="2">
        <v>19</v>
      </c>
      <c r="I2156" t="s" s="2">
        <v>8458</v>
      </c>
      <c r="J2156" t="s" s="2">
        <v>8459</v>
      </c>
      <c r="K2156" t="s" s="2">
        <v>22</v>
      </c>
      <c r="L2156" t="s" s="2">
        <v>22</v>
      </c>
      <c r="M2156" t="s" s="2">
        <v>22</v>
      </c>
    </row>
    <row r="2157" ht="25.0" customHeight="true">
      <c r="A2157" t="s" s="2">
        <v>13</v>
      </c>
      <c r="B2157" t="s" s="2">
        <f>HYPERLINK("http://ts.21cn.com/tousu/show/id/1371827","投诉省呗暴力催收")</f>
      </c>
      <c r="C2157" t="s" s="2">
        <v>15</v>
      </c>
      <c r="D2157" t="s" s="2">
        <v>16</v>
      </c>
      <c r="E2157" t="s" s="2">
        <v>17</v>
      </c>
      <c r="F2157" t="s" s="2">
        <f>HYPERLINK("http://ts.21cn.com/tousu/show/id/1371827","http://ts.21cn.com/tousu/show/id/1371827")</f>
      </c>
      <c r="G2157" t="s" s="2">
        <v>17</v>
      </c>
      <c r="H2157" t="s" s="2">
        <v>19</v>
      </c>
      <c r="I2157" t="s" s="2">
        <v>8462</v>
      </c>
      <c r="J2157" t="s" s="2">
        <v>8463</v>
      </c>
      <c r="K2157" t="s" s="2">
        <v>22</v>
      </c>
      <c r="L2157" t="s" s="2">
        <v>22</v>
      </c>
      <c r="M2157" t="s" s="2">
        <v>22</v>
      </c>
    </row>
    <row r="2158" ht="25.0" customHeight="true">
      <c r="A2158" t="s" s="2">
        <v>13</v>
      </c>
      <c r="B2158" t="s" s="2">
        <f>HYPERLINK("http://ts.21cn.com/tousu/show/id/1371825","侵犯个人隐私")</f>
      </c>
      <c r="C2158" t="s" s="2">
        <v>15</v>
      </c>
      <c r="D2158" t="s" s="2">
        <v>16</v>
      </c>
      <c r="E2158" t="s" s="2">
        <v>17</v>
      </c>
      <c r="F2158" t="s" s="2">
        <f>HYPERLINK("http://ts.21cn.com/tousu/show/id/1371825","http://ts.21cn.com/tousu/show/id/1371825")</f>
      </c>
      <c r="G2158" t="s" s="2">
        <v>17</v>
      </c>
      <c r="H2158" t="s" s="2">
        <v>19</v>
      </c>
      <c r="I2158" t="s" s="2">
        <v>8466</v>
      </c>
      <c r="J2158" t="s" s="2">
        <v>8467</v>
      </c>
      <c r="K2158" t="s" s="2">
        <v>22</v>
      </c>
      <c r="L2158" t="s" s="2">
        <v>22</v>
      </c>
      <c r="M2158" t="s" s="2">
        <v>22</v>
      </c>
    </row>
    <row r="2159" ht="25.0" customHeight="true">
      <c r="A2159" t="s" s="2">
        <v>13</v>
      </c>
      <c r="B2159" t="s" s="2">
        <f>HYPERLINK("http://ts.21cn.com/tousu/show/id/1371823","投诉海南圣云网络科技有限公司无故扣款")</f>
      </c>
      <c r="C2159" t="s" s="2">
        <v>15</v>
      </c>
      <c r="D2159" t="s" s="2">
        <v>16</v>
      </c>
      <c r="E2159" t="s" s="2">
        <v>17</v>
      </c>
      <c r="F2159" t="s" s="2">
        <f>HYPERLINK("http://ts.21cn.com/tousu/show/id/1371823","http://ts.21cn.com/tousu/show/id/1371823")</f>
      </c>
      <c r="G2159" t="s" s="2">
        <v>17</v>
      </c>
      <c r="H2159" t="s" s="2">
        <v>19</v>
      </c>
      <c r="I2159" t="s" s="2">
        <v>8470</v>
      </c>
      <c r="J2159" t="s" s="2">
        <v>8471</v>
      </c>
      <c r="K2159" t="s" s="2">
        <v>22</v>
      </c>
      <c r="L2159" t="s" s="2">
        <v>22</v>
      </c>
      <c r="M2159" t="s" s="2">
        <v>22</v>
      </c>
    </row>
    <row r="2160" ht="25.0" customHeight="true">
      <c r="A2160" t="s" s="2">
        <v>13</v>
      </c>
      <c r="B2160" t="s" s="2">
        <f>HYPERLINK("http://ts.21cn.com/tousu/show/id/1371822","盛钱包坑激活费，还我血汗??")</f>
      </c>
      <c r="C2160" t="s" s="2">
        <v>15</v>
      </c>
      <c r="D2160" t="s" s="2">
        <v>16</v>
      </c>
      <c r="E2160" t="s" s="2">
        <v>17</v>
      </c>
      <c r="F2160" t="s" s="2">
        <f>HYPERLINK("http://ts.21cn.com/tousu/show/id/1371822","http://ts.21cn.com/tousu/show/id/1371822")</f>
      </c>
      <c r="G2160" t="s" s="2">
        <v>17</v>
      </c>
      <c r="H2160" t="s" s="2">
        <v>19</v>
      </c>
      <c r="I2160" t="s" s="2">
        <v>8474</v>
      </c>
      <c r="J2160" t="s" s="2">
        <v>8475</v>
      </c>
      <c r="K2160" t="s" s="2">
        <v>22</v>
      </c>
      <c r="L2160" t="s" s="2">
        <v>22</v>
      </c>
      <c r="M2160" t="s" s="2">
        <v>22</v>
      </c>
    </row>
    <row r="2161" ht="25.0" customHeight="true">
      <c r="A2161" t="s" s="2">
        <v>13</v>
      </c>
      <c r="B2161" t="s" s="2">
        <f>HYPERLINK("http://ts.21cn.com/tousu/show/id/1371821","交通银行不按国家标准收费，当时用信用卡消费1000多被迫还款7000块")</f>
      </c>
      <c r="C2161" t="s" s="2">
        <v>15</v>
      </c>
      <c r="D2161" t="s" s="2">
        <v>16</v>
      </c>
      <c r="E2161" t="s" s="2">
        <v>17</v>
      </c>
      <c r="F2161" t="s" s="2">
        <f>HYPERLINK("http://ts.21cn.com/tousu/show/id/1371821","http://ts.21cn.com/tousu/show/id/1371821")</f>
      </c>
      <c r="G2161" t="s" s="2">
        <v>17</v>
      </c>
      <c r="H2161" t="s" s="2">
        <v>19</v>
      </c>
      <c r="I2161" t="s" s="2">
        <v>8478</v>
      </c>
      <c r="J2161" t="s" s="2">
        <v>8479</v>
      </c>
      <c r="K2161" t="s" s="2">
        <v>22</v>
      </c>
      <c r="L2161" t="s" s="2">
        <v>22</v>
      </c>
      <c r="M2161" t="s" s="2">
        <v>22</v>
      </c>
    </row>
    <row r="2162" ht="25.0" customHeight="true">
      <c r="A2162" t="s" s="2">
        <v>13</v>
      </c>
      <c r="B2162" t="s" s="2">
        <f>HYPERLINK("http://ts.21cn.com/tousu/show/id/1371820","广发银行信用卡")</f>
      </c>
      <c r="C2162" t="s" s="2">
        <v>15</v>
      </c>
      <c r="D2162" t="s" s="2">
        <v>16</v>
      </c>
      <c r="E2162" t="s" s="2">
        <v>17</v>
      </c>
      <c r="F2162" t="s" s="2">
        <f>HYPERLINK("http://ts.21cn.com/tousu/show/id/1371820","http://ts.21cn.com/tousu/show/id/1371820")</f>
      </c>
      <c r="G2162" t="s" s="2">
        <v>17</v>
      </c>
      <c r="H2162" t="s" s="2">
        <v>19</v>
      </c>
      <c r="I2162" t="s" s="2">
        <v>8482</v>
      </c>
      <c r="J2162" t="s" s="2">
        <v>8483</v>
      </c>
      <c r="K2162" t="s" s="2">
        <v>22</v>
      </c>
      <c r="L2162" t="s" s="2">
        <v>22</v>
      </c>
      <c r="M2162" t="s" s="2">
        <v>22</v>
      </c>
    </row>
    <row r="2163" ht="25.0" customHeight="true">
      <c r="A2163" t="s" s="2">
        <v>13</v>
      </c>
      <c r="B2163" t="s" s="2">
        <f>HYPERLINK("http://ts.21cn.com/tousu/show/id/1371819","捷信金融超级高利贷，暴力催收。")</f>
      </c>
      <c r="C2163" t="s" s="2">
        <v>15</v>
      </c>
      <c r="D2163" t="s" s="2">
        <v>16</v>
      </c>
      <c r="E2163" t="s" s="2">
        <v>17</v>
      </c>
      <c r="F2163" t="s" s="2">
        <f>HYPERLINK("http://ts.21cn.com/tousu/show/id/1371819","http://ts.21cn.com/tousu/show/id/1371819")</f>
      </c>
      <c r="G2163" t="s" s="2">
        <v>17</v>
      </c>
      <c r="H2163" t="s" s="2">
        <v>19</v>
      </c>
      <c r="I2163" t="s" s="2">
        <v>8486</v>
      </c>
      <c r="J2163" t="s" s="2">
        <v>8487</v>
      </c>
      <c r="K2163" t="s" s="2">
        <v>22</v>
      </c>
      <c r="L2163" t="s" s="2">
        <v>22</v>
      </c>
      <c r="M2163" t="s" s="2">
        <v>22</v>
      </c>
    </row>
    <row r="2164" ht="25.0" customHeight="true">
      <c r="A2164" t="s" s="2">
        <v>13</v>
      </c>
      <c r="B2164" t="s" s="2">
        <f>HYPERLINK("http://ts.21cn.com/tousu/show/id/1371818","海豚家长时间没有收到货也不退货")</f>
      </c>
      <c r="C2164" t="s" s="2">
        <v>15</v>
      </c>
      <c r="D2164" t="s" s="2">
        <v>16</v>
      </c>
      <c r="E2164" t="s" s="2">
        <v>17</v>
      </c>
      <c r="F2164" t="s" s="2">
        <f>HYPERLINK("http://ts.21cn.com/tousu/show/id/1371818","http://ts.21cn.com/tousu/show/id/1371818")</f>
      </c>
      <c r="G2164" t="s" s="2">
        <v>17</v>
      </c>
      <c r="H2164" t="s" s="2">
        <v>19</v>
      </c>
      <c r="I2164" t="s" s="2">
        <v>8490</v>
      </c>
      <c r="J2164" t="s" s="2">
        <v>8491</v>
      </c>
      <c r="K2164" t="s" s="2">
        <v>22</v>
      </c>
      <c r="L2164" t="s" s="2">
        <v>22</v>
      </c>
      <c r="M2164" t="s" s="2">
        <v>22</v>
      </c>
    </row>
    <row r="2165" ht="25.0" customHeight="true">
      <c r="A2165" t="s" s="2">
        <v>13</v>
      </c>
      <c r="B2165" t="s" s="2">
        <f>HYPERLINK("http://ts.21cn.com/tousu/show/id/1371817","翰银科技为赌博平台收单，请求瀚银为我退款挽回经济损失")</f>
      </c>
      <c r="C2165" t="s" s="2">
        <v>15</v>
      </c>
      <c r="D2165" t="s" s="2">
        <v>16</v>
      </c>
      <c r="E2165" t="s" s="2">
        <v>17</v>
      </c>
      <c r="F2165" t="s" s="2">
        <f>HYPERLINK("http://ts.21cn.com/tousu/show/id/1371817","http://ts.21cn.com/tousu/show/id/1371817")</f>
      </c>
      <c r="G2165" t="s" s="2">
        <v>17</v>
      </c>
      <c r="H2165" t="s" s="2">
        <v>19</v>
      </c>
      <c r="I2165" t="s" s="2">
        <v>8494</v>
      </c>
      <c r="J2165" t="s" s="2">
        <v>8495</v>
      </c>
      <c r="K2165" t="s" s="2">
        <v>22</v>
      </c>
      <c r="L2165" t="s" s="2">
        <v>22</v>
      </c>
      <c r="M2165" t="s" s="2">
        <v>22</v>
      </c>
    </row>
    <row r="2166" ht="25.0" customHeight="true">
      <c r="A2166" t="s" s="2">
        <v>13</v>
      </c>
      <c r="B2166" t="s" s="2">
        <f>HYPERLINK("http://ts.21cn.com/tousu/show/id/1371816","滴滴出行")</f>
      </c>
      <c r="C2166" t="s" s="2">
        <v>15</v>
      </c>
      <c r="D2166" t="s" s="2">
        <v>16</v>
      </c>
      <c r="E2166" t="s" s="2">
        <v>17</v>
      </c>
      <c r="F2166" t="s" s="2">
        <f>HYPERLINK("http://ts.21cn.com/tousu/show/id/1371816","http://ts.21cn.com/tousu/show/id/1371816")</f>
      </c>
      <c r="G2166" t="s" s="2">
        <v>17</v>
      </c>
      <c r="H2166" t="s" s="2">
        <v>19</v>
      </c>
      <c r="I2166" t="s" s="2">
        <v>8498</v>
      </c>
      <c r="J2166" t="s" s="2">
        <v>8499</v>
      </c>
      <c r="K2166" t="s" s="2">
        <v>22</v>
      </c>
      <c r="L2166" t="s" s="2">
        <v>22</v>
      </c>
      <c r="M2166" t="s" s="2">
        <v>22</v>
      </c>
    </row>
    <row r="2167" ht="25.0" customHeight="true">
      <c r="A2167" t="s" s="2">
        <v>13</v>
      </c>
      <c r="B2167" t="s" s="2">
        <f>HYPERLINK("http://ts.21cn.com/tousu/show/id/1371815","网贷公司暴力催收，骚扰通讯录联系人")</f>
      </c>
      <c r="C2167" t="s" s="2">
        <v>15</v>
      </c>
      <c r="D2167" t="s" s="2">
        <v>16</v>
      </c>
      <c r="E2167" t="s" s="2">
        <v>17</v>
      </c>
      <c r="F2167" t="s" s="2">
        <f>HYPERLINK("http://ts.21cn.com/tousu/show/id/1371815","http://ts.21cn.com/tousu/show/id/1371815")</f>
      </c>
      <c r="G2167" t="s" s="2">
        <v>17</v>
      </c>
      <c r="H2167" t="s" s="2">
        <v>19</v>
      </c>
      <c r="I2167" t="s" s="2">
        <v>8502</v>
      </c>
      <c r="J2167" t="s" s="2">
        <v>8503</v>
      </c>
      <c r="K2167" t="s" s="2">
        <v>22</v>
      </c>
      <c r="L2167" t="s" s="2">
        <v>22</v>
      </c>
      <c r="M2167" t="s" s="2">
        <v>22</v>
      </c>
    </row>
    <row r="2168" ht="25.0" customHeight="true">
      <c r="A2168" t="s" s="2">
        <v>13</v>
      </c>
      <c r="B2168" t="s" s="2">
        <f>HYPERLINK("http://ts.21cn.com/tousu/show/id/1371814","因为招商银行过失导致31岁中年男子面临失业，家庭风雨飘零。消除影响，移除黑名单。")</f>
      </c>
      <c r="C2168" t="s" s="2">
        <v>15</v>
      </c>
      <c r="D2168" t="s" s="2">
        <v>16</v>
      </c>
      <c r="E2168" t="s" s="2">
        <v>17</v>
      </c>
      <c r="F2168" t="s" s="2">
        <f>HYPERLINK("http://ts.21cn.com/tousu/show/id/1371814","http://ts.21cn.com/tousu/show/id/1371814")</f>
      </c>
      <c r="G2168" t="s" s="2">
        <v>17</v>
      </c>
      <c r="H2168" t="s" s="2">
        <v>19</v>
      </c>
      <c r="I2168" t="s" s="2">
        <v>8506</v>
      </c>
      <c r="J2168" t="s" s="2">
        <v>8507</v>
      </c>
      <c r="K2168" t="s" s="2">
        <v>22</v>
      </c>
      <c r="L2168" t="s" s="2">
        <v>22</v>
      </c>
      <c r="M2168" t="s" s="2">
        <v>22</v>
      </c>
    </row>
    <row r="2169" ht="25.0" customHeight="true">
      <c r="A2169" t="s" s="2">
        <v>13</v>
      </c>
      <c r="B2169" t="s" s="2">
        <f>HYPERLINK("http://ts.21cn.com/tousu/show/id/1371813","违约金和滞纳金和利息")</f>
      </c>
      <c r="C2169" t="s" s="2">
        <v>15</v>
      </c>
      <c r="D2169" t="s" s="2">
        <v>16</v>
      </c>
      <c r="E2169" t="s" s="2">
        <v>17</v>
      </c>
      <c r="F2169" t="s" s="2">
        <f>HYPERLINK("http://ts.21cn.com/tousu/show/id/1371813","http://ts.21cn.com/tousu/show/id/1371813")</f>
      </c>
      <c r="G2169" t="s" s="2">
        <v>17</v>
      </c>
      <c r="H2169" t="s" s="2">
        <v>19</v>
      </c>
      <c r="I2169" t="s" s="2">
        <v>8510</v>
      </c>
      <c r="J2169" t="s" s="2">
        <v>8511</v>
      </c>
      <c r="K2169" t="s" s="2">
        <v>22</v>
      </c>
      <c r="L2169" t="s" s="2">
        <v>22</v>
      </c>
      <c r="M2169" t="s" s="2">
        <v>22</v>
      </c>
    </row>
    <row r="2170" ht="25.0" customHeight="true">
      <c r="A2170" t="s" s="2">
        <v>13</v>
      </c>
      <c r="B2170" t="s" s="2">
        <f>HYPERLINK("http://ts.21cn.com/tousu/show/id/1371810","暴力催收")</f>
      </c>
      <c r="C2170" t="s" s="2">
        <v>15</v>
      </c>
      <c r="D2170" t="s" s="2">
        <v>16</v>
      </c>
      <c r="E2170" t="s" s="2">
        <v>17</v>
      </c>
      <c r="F2170" t="s" s="2">
        <f>HYPERLINK("http://ts.21cn.com/tousu/show/id/1371810","http://ts.21cn.com/tousu/show/id/1371810")</f>
      </c>
      <c r="G2170" t="s" s="2">
        <v>17</v>
      </c>
      <c r="H2170" t="s" s="2">
        <v>19</v>
      </c>
      <c r="I2170" t="s" s="2">
        <v>8513</v>
      </c>
      <c r="J2170" t="s" s="2">
        <v>8514</v>
      </c>
      <c r="K2170" t="s" s="2">
        <v>22</v>
      </c>
      <c r="L2170" t="s" s="2">
        <v>22</v>
      </c>
      <c r="M2170" t="s" s="2">
        <v>22</v>
      </c>
    </row>
    <row r="2171" ht="25.0" customHeight="true">
      <c r="A2171" t="s" s="2">
        <v>13</v>
      </c>
      <c r="B2171" t="s" s="2">
        <f>HYPERLINK("http://ts.21cn.com/tousu/show/id/1371811","关于招联金融恶意骚扰，冒充公检法暴力催收")</f>
      </c>
      <c r="C2171" t="s" s="2">
        <v>15</v>
      </c>
      <c r="D2171" t="s" s="2">
        <v>16</v>
      </c>
      <c r="E2171" t="s" s="2">
        <v>17</v>
      </c>
      <c r="F2171" t="s" s="2">
        <f>HYPERLINK("http://ts.21cn.com/tousu/show/id/1371811","http://ts.21cn.com/tousu/show/id/1371811")</f>
      </c>
      <c r="G2171" t="s" s="2">
        <v>17</v>
      </c>
      <c r="H2171" t="s" s="2">
        <v>19</v>
      </c>
      <c r="I2171" t="s" s="2">
        <v>8517</v>
      </c>
      <c r="J2171" t="s" s="2">
        <v>8518</v>
      </c>
      <c r="K2171" t="s" s="2">
        <v>22</v>
      </c>
      <c r="L2171" t="s" s="2">
        <v>22</v>
      </c>
      <c r="M2171" t="s" s="2">
        <v>22</v>
      </c>
    </row>
    <row r="2172" ht="25.0" customHeight="true">
      <c r="A2172" t="s" s="2">
        <v>13</v>
      </c>
      <c r="B2172" t="s" s="2">
        <f>HYPERLINK("http://ts.21cn.com/tousu/show/id/1371808","宜信贷款利息太高，暴力催收")</f>
      </c>
      <c r="C2172" t="s" s="2">
        <v>15</v>
      </c>
      <c r="D2172" t="s" s="2">
        <v>16</v>
      </c>
      <c r="E2172" t="s" s="2">
        <v>17</v>
      </c>
      <c r="F2172" t="s" s="2">
        <f>HYPERLINK("http://ts.21cn.com/tousu/show/id/1371808","http://ts.21cn.com/tousu/show/id/1371808")</f>
      </c>
      <c r="G2172" t="s" s="2">
        <v>17</v>
      </c>
      <c r="H2172" t="s" s="2">
        <v>19</v>
      </c>
      <c r="I2172" t="s" s="2">
        <v>8521</v>
      </c>
      <c r="J2172" t="s" s="2">
        <v>8522</v>
      </c>
      <c r="K2172" t="s" s="2">
        <v>22</v>
      </c>
      <c r="L2172" t="s" s="2">
        <v>22</v>
      </c>
      <c r="M2172" t="s" s="2">
        <v>22</v>
      </c>
    </row>
    <row r="2173" ht="25.0" customHeight="true">
      <c r="A2173" t="s" s="2">
        <v>13</v>
      </c>
      <c r="B2173" t="s" s="2">
        <f>HYPERLINK("http://ts.21cn.com/tousu/show/id/1371806","机场、高铁站、双证司机不派单")</f>
      </c>
      <c r="C2173" t="s" s="2">
        <v>52</v>
      </c>
      <c r="D2173" t="s" s="2">
        <v>16</v>
      </c>
      <c r="E2173" t="s" s="2">
        <v>17</v>
      </c>
      <c r="F2173" t="s" s="2">
        <f>HYPERLINK("http://ts.21cn.com/tousu/show/id/1371806","http://ts.21cn.com/tousu/show/id/1371806")</f>
      </c>
      <c r="G2173" t="s" s="2">
        <v>17</v>
      </c>
      <c r="H2173" t="s" s="2">
        <v>19</v>
      </c>
      <c r="I2173" t="s" s="2">
        <v>8525</v>
      </c>
      <c r="J2173" t="s" s="2">
        <v>8526</v>
      </c>
      <c r="K2173" t="s" s="2">
        <v>22</v>
      </c>
      <c r="L2173" t="s" s="2">
        <v>22</v>
      </c>
      <c r="M2173" t="s" s="2">
        <v>22</v>
      </c>
    </row>
    <row r="2174" ht="25.0" customHeight="true">
      <c r="A2174" t="s" s="2">
        <v>13</v>
      </c>
      <c r="B2174" t="s" s="2">
        <f>HYPERLINK("http://ts.21cn.com/tousu/show/id/1371805","投诉天猫搏时通信专营店涉嫌商业欺诈")</f>
      </c>
      <c r="C2174" t="s" s="2">
        <v>15</v>
      </c>
      <c r="D2174" t="s" s="2">
        <v>16</v>
      </c>
      <c r="E2174" t="s" s="2">
        <v>17</v>
      </c>
      <c r="F2174" t="s" s="2">
        <f>HYPERLINK("http://ts.21cn.com/tousu/show/id/1371805","http://ts.21cn.com/tousu/show/id/1371805")</f>
      </c>
      <c r="G2174" t="s" s="2">
        <v>17</v>
      </c>
      <c r="H2174" t="s" s="2">
        <v>19</v>
      </c>
      <c r="I2174" t="s" s="2">
        <v>8529</v>
      </c>
      <c r="J2174" t="s" s="2">
        <v>8530</v>
      </c>
      <c r="K2174" t="s" s="2">
        <v>22</v>
      </c>
      <c r="L2174" t="s" s="2">
        <v>22</v>
      </c>
      <c r="M2174" t="s" s="2">
        <v>22</v>
      </c>
    </row>
    <row r="2175" ht="25.0" customHeight="true">
      <c r="A2175" t="s" s="2">
        <v>13</v>
      </c>
      <c r="B2175" t="s" s="2">
        <f>HYPERLINK("http://ts.21cn.com/tousu/show/id/1371807","盼达用车押金难退、成为泡影？")</f>
      </c>
      <c r="C2175" t="s" s="2">
        <v>15</v>
      </c>
      <c r="D2175" t="s" s="2">
        <v>16</v>
      </c>
      <c r="E2175" t="s" s="2">
        <v>17</v>
      </c>
      <c r="F2175" t="s" s="2">
        <f>HYPERLINK("http://ts.21cn.com/tousu/show/id/1371807","http://ts.21cn.com/tousu/show/id/1371807")</f>
      </c>
      <c r="G2175" t="s" s="2">
        <v>17</v>
      </c>
      <c r="H2175" t="s" s="2">
        <v>19</v>
      </c>
      <c r="I2175" t="s" s="2">
        <v>8533</v>
      </c>
      <c r="J2175" t="s" s="2">
        <v>8534</v>
      </c>
      <c r="K2175" t="s" s="2">
        <v>22</v>
      </c>
      <c r="L2175" t="s" s="2">
        <v>22</v>
      </c>
      <c r="M2175" t="s" s="2">
        <v>22</v>
      </c>
    </row>
    <row r="2176" ht="25.0" customHeight="true">
      <c r="A2176" t="s" s="2">
        <v>13</v>
      </c>
      <c r="B2176" t="s" s="2">
        <f>HYPERLINK("http://ts.21cn.com/tousu/show/id/1371804","51人品贷暴力催收，威胁家人")</f>
      </c>
      <c r="C2176" t="s" s="2">
        <v>15</v>
      </c>
      <c r="D2176" t="s" s="2">
        <v>16</v>
      </c>
      <c r="E2176" t="s" s="2">
        <v>17</v>
      </c>
      <c r="F2176" t="s" s="2">
        <f>HYPERLINK("http://ts.21cn.com/tousu/show/id/1371804","http://ts.21cn.com/tousu/show/id/1371804")</f>
      </c>
      <c r="G2176" t="s" s="2">
        <v>17</v>
      </c>
      <c r="H2176" t="s" s="2">
        <v>19</v>
      </c>
      <c r="I2176" t="s" s="2">
        <v>8537</v>
      </c>
      <c r="J2176" t="s" s="2">
        <v>8538</v>
      </c>
      <c r="K2176" t="s" s="2">
        <v>22</v>
      </c>
      <c r="L2176" t="s" s="2">
        <v>22</v>
      </c>
      <c r="M2176" t="s" s="2">
        <v>22</v>
      </c>
    </row>
    <row r="2177" ht="25.0" customHeight="true">
      <c r="A2177" t="s" s="2">
        <v>13</v>
      </c>
      <c r="B2177" t="s" s="2">
        <f>HYPERLINK("http://ts.21cn.com/tousu/show/id/1371802","达飞云贷套路贷，高利贷")</f>
      </c>
      <c r="C2177" t="s" s="2">
        <v>15</v>
      </c>
      <c r="D2177" t="s" s="2">
        <v>16</v>
      </c>
      <c r="E2177" t="s" s="2">
        <v>17</v>
      </c>
      <c r="F2177" t="s" s="2">
        <f>HYPERLINK("http://ts.21cn.com/tousu/show/id/1371802","http://ts.21cn.com/tousu/show/id/1371802")</f>
      </c>
      <c r="G2177" t="s" s="2">
        <v>17</v>
      </c>
      <c r="H2177" t="s" s="2">
        <v>19</v>
      </c>
      <c r="I2177" t="s" s="2">
        <v>8541</v>
      </c>
      <c r="J2177" t="s" s="2">
        <v>8542</v>
      </c>
      <c r="K2177" t="s" s="2">
        <v>22</v>
      </c>
      <c r="L2177" t="s" s="2">
        <v>22</v>
      </c>
      <c r="M2177" t="s" s="2">
        <v>22</v>
      </c>
    </row>
    <row r="2178" ht="25.0" customHeight="true">
      <c r="A2178" t="s" s="2">
        <v>13</v>
      </c>
      <c r="B2178" t="s" s="2">
        <f>HYPERLINK("http://ts.21cn.com/tousu/show/id/1371801","信用卡循环利息违约金")</f>
      </c>
      <c r="C2178" t="s" s="2">
        <v>15</v>
      </c>
      <c r="D2178" t="s" s="2">
        <v>16</v>
      </c>
      <c r="E2178" t="s" s="2">
        <v>17</v>
      </c>
      <c r="F2178" t="s" s="2">
        <f>HYPERLINK("http://ts.21cn.com/tousu/show/id/1371801","http://ts.21cn.com/tousu/show/id/1371801")</f>
      </c>
      <c r="G2178" t="s" s="2">
        <v>17</v>
      </c>
      <c r="H2178" t="s" s="2">
        <v>19</v>
      </c>
      <c r="I2178" t="s" s="2">
        <v>8545</v>
      </c>
      <c r="J2178" t="s" s="2">
        <v>8546</v>
      </c>
      <c r="K2178" t="s" s="2">
        <v>22</v>
      </c>
      <c r="L2178" t="s" s="2">
        <v>22</v>
      </c>
      <c r="M2178" t="s" s="2">
        <v>22</v>
      </c>
    </row>
    <row r="2179" ht="25.0" customHeight="true">
      <c r="A2179" t="s" s="2">
        <v>13</v>
      </c>
      <c r="B2179" t="s" s="2">
        <f>HYPERLINK("http://ts.21cn.com/tousu/show/id/1371800","黑网贷恶意扣费")</f>
      </c>
      <c r="C2179" t="s" s="2">
        <v>15</v>
      </c>
      <c r="D2179" t="s" s="2">
        <v>16</v>
      </c>
      <c r="E2179" t="s" s="2">
        <v>17</v>
      </c>
      <c r="F2179" t="s" s="2">
        <f>HYPERLINK("http://ts.21cn.com/tousu/show/id/1371800","http://ts.21cn.com/tousu/show/id/1371800")</f>
      </c>
      <c r="G2179" t="s" s="2">
        <v>17</v>
      </c>
      <c r="H2179" t="s" s="2">
        <v>19</v>
      </c>
      <c r="I2179" t="s" s="2">
        <v>8549</v>
      </c>
      <c r="J2179" t="s" s="2">
        <v>8550</v>
      </c>
      <c r="K2179" t="s" s="2">
        <v>22</v>
      </c>
      <c r="L2179" t="s" s="2">
        <v>22</v>
      </c>
      <c r="M2179" t="s" s="2">
        <v>22</v>
      </c>
    </row>
    <row r="2180" ht="25.0" customHeight="true">
      <c r="A2180" t="s" s="2">
        <v>13</v>
      </c>
      <c r="B2180" t="s" s="2">
        <f>HYPERLINK("http://ts.21cn.com/tousu/show/id/1371799","聚富分期未经同意私自扣款")</f>
      </c>
      <c r="C2180" t="s" s="2">
        <v>15</v>
      </c>
      <c r="D2180" t="s" s="2">
        <v>16</v>
      </c>
      <c r="E2180" t="s" s="2">
        <v>17</v>
      </c>
      <c r="F2180" t="s" s="2">
        <f>HYPERLINK("http://ts.21cn.com/tousu/show/id/1371799","http://ts.21cn.com/tousu/show/id/1371799")</f>
      </c>
      <c r="G2180" t="s" s="2">
        <v>17</v>
      </c>
      <c r="H2180" t="s" s="2">
        <v>19</v>
      </c>
      <c r="I2180" t="s" s="2">
        <v>8553</v>
      </c>
      <c r="J2180" t="s" s="2">
        <v>8554</v>
      </c>
      <c r="K2180" t="s" s="2">
        <v>22</v>
      </c>
      <c r="L2180" t="s" s="2">
        <v>22</v>
      </c>
      <c r="M2180" t="s" s="2">
        <v>22</v>
      </c>
    </row>
    <row r="2181" ht="25.0" customHeight="true">
      <c r="A2181" t="s" s="2">
        <v>13</v>
      </c>
      <c r="B2181" t="s" s="2">
        <f>HYPERLINK("http://ts.21cn.com/tousu/show/id/1371788","华拓金服不明来路的暴力催收")</f>
      </c>
      <c r="C2181" t="s" s="2">
        <v>15</v>
      </c>
      <c r="D2181" t="s" s="2">
        <v>16</v>
      </c>
      <c r="E2181" t="s" s="2">
        <v>17</v>
      </c>
      <c r="F2181" t="s" s="2">
        <f>HYPERLINK("http://ts.21cn.com/tousu/show/id/1371788","http://ts.21cn.com/tousu/show/id/1371788")</f>
      </c>
      <c r="G2181" t="s" s="2">
        <v>17</v>
      </c>
      <c r="H2181" t="s" s="2">
        <v>19</v>
      </c>
      <c r="I2181" t="s" s="2">
        <v>8557</v>
      </c>
      <c r="J2181" t="s" s="2">
        <v>8558</v>
      </c>
      <c r="K2181" t="s" s="2">
        <v>22</v>
      </c>
      <c r="L2181" t="s" s="2">
        <v>22</v>
      </c>
      <c r="M2181" t="s" s="2">
        <v>22</v>
      </c>
    </row>
    <row r="2182" ht="25.0" customHeight="true">
      <c r="A2182" t="s" s="2">
        <v>13</v>
      </c>
      <c r="B2182" t="s" s="2">
        <f>HYPERLINK("http://ts.21cn.com/tousu/show/id/1371798","自由摩卡六便士高利贷")</f>
      </c>
      <c r="C2182" t="s" s="2">
        <v>15</v>
      </c>
      <c r="D2182" t="s" s="2">
        <v>16</v>
      </c>
      <c r="E2182" t="s" s="2">
        <v>17</v>
      </c>
      <c r="F2182" t="s" s="2">
        <f>HYPERLINK("http://ts.21cn.com/tousu/show/id/1371798","http://ts.21cn.com/tousu/show/id/1371798")</f>
      </c>
      <c r="G2182" t="s" s="2">
        <v>17</v>
      </c>
      <c r="H2182" t="s" s="2">
        <v>19</v>
      </c>
      <c r="I2182" t="s" s="2">
        <v>8561</v>
      </c>
      <c r="J2182" t="s" s="2">
        <v>8562</v>
      </c>
      <c r="K2182" t="s" s="2">
        <v>22</v>
      </c>
      <c r="L2182" t="s" s="2">
        <v>22</v>
      </c>
      <c r="M2182" t="s" s="2">
        <v>22</v>
      </c>
    </row>
    <row r="2183" ht="25.0" customHeight="true">
      <c r="A2183" t="s" s="2">
        <v>13</v>
      </c>
      <c r="B2183" t="s" s="2">
        <f>HYPERLINK("http://ts.21cn.com/tousu/show/id/1371797","苏宁和交通银行活动不兑现")</f>
      </c>
      <c r="C2183" t="s" s="2">
        <v>52</v>
      </c>
      <c r="D2183" t="s" s="2">
        <v>16</v>
      </c>
      <c r="E2183" t="s" s="2">
        <v>17</v>
      </c>
      <c r="F2183" t="s" s="2">
        <f>HYPERLINK("http://ts.21cn.com/tousu/show/id/1371797","http://ts.21cn.com/tousu/show/id/1371797")</f>
      </c>
      <c r="G2183" t="s" s="2">
        <v>17</v>
      </c>
      <c r="H2183" t="s" s="2">
        <v>19</v>
      </c>
      <c r="I2183" t="s" s="2">
        <v>8565</v>
      </c>
      <c r="J2183" t="s" s="2">
        <v>8566</v>
      </c>
      <c r="K2183" t="s" s="2">
        <v>22</v>
      </c>
      <c r="L2183" t="s" s="2">
        <v>22</v>
      </c>
      <c r="M2183" t="s" s="2">
        <v>22</v>
      </c>
    </row>
    <row r="2184" ht="25.0" customHeight="true">
      <c r="A2184" t="s" s="2">
        <v>13</v>
      </c>
      <c r="B2184" t="s" s="2">
        <f>HYPERLINK("http://ts.21cn.com/tousu/show/id/1371796","广东汇卡商务服务有限公司涉嫌违纪违反银联及银监会规定，为非法博彩公司提供通道，请求广东汇卡商务服务有限公司为我讨回血汗钱")</f>
      </c>
      <c r="C2184" t="s" s="2">
        <v>15</v>
      </c>
      <c r="D2184" t="s" s="2">
        <v>16</v>
      </c>
      <c r="E2184" t="s" s="2">
        <v>17</v>
      </c>
      <c r="F2184" t="s" s="2">
        <f>HYPERLINK("http://ts.21cn.com/tousu/show/id/1371796","http://ts.21cn.com/tousu/show/id/1371796")</f>
      </c>
      <c r="G2184" t="s" s="2">
        <v>17</v>
      </c>
      <c r="H2184" t="s" s="2">
        <v>19</v>
      </c>
      <c r="I2184" t="s" s="2">
        <v>8569</v>
      </c>
      <c r="J2184" t="s" s="2">
        <v>8570</v>
      </c>
      <c r="K2184" t="s" s="2">
        <v>22</v>
      </c>
      <c r="L2184" t="s" s="2">
        <v>22</v>
      </c>
      <c r="M2184" t="s" s="2">
        <v>22</v>
      </c>
    </row>
    <row r="2185" ht="25.0" customHeight="true">
      <c r="A2185" t="s" s="2">
        <v>13</v>
      </c>
      <c r="B2185" t="s" s="2">
        <f>HYPERLINK("http://ts.21cn.com/tousu/show/id/1371794","高额砍头息！！暴力催收！！黑社会一样威胁")</f>
      </c>
      <c r="C2185" t="s" s="2">
        <v>15</v>
      </c>
      <c r="D2185" t="s" s="2">
        <v>16</v>
      </c>
      <c r="E2185" t="s" s="2">
        <v>17</v>
      </c>
      <c r="F2185" t="s" s="2">
        <f>HYPERLINK("http://ts.21cn.com/tousu/show/id/1371794","http://ts.21cn.com/tousu/show/id/1371794")</f>
      </c>
      <c r="G2185" t="s" s="2">
        <v>17</v>
      </c>
      <c r="H2185" t="s" s="2">
        <v>19</v>
      </c>
      <c r="I2185" t="s" s="2">
        <v>8573</v>
      </c>
      <c r="J2185" t="s" s="2">
        <v>8574</v>
      </c>
      <c r="K2185" t="s" s="2">
        <v>22</v>
      </c>
      <c r="L2185" t="s" s="2">
        <v>22</v>
      </c>
      <c r="M2185" t="s" s="2">
        <v>22</v>
      </c>
    </row>
    <row r="2186" ht="25.0" customHeight="true">
      <c r="A2186" t="s" s="2">
        <v>13</v>
      </c>
      <c r="B2186" t="s" s="2">
        <f>HYPERLINK("http://ts.21cn.com/tousu/show/id/1371793","美团网客人用浴巾弄狗屎")</f>
      </c>
      <c r="C2186" t="s" s="2">
        <v>15</v>
      </c>
      <c r="D2186" t="s" s="2">
        <v>16</v>
      </c>
      <c r="E2186" t="s" s="2">
        <v>17</v>
      </c>
      <c r="F2186" t="s" s="2">
        <f>HYPERLINK("http://ts.21cn.com/tousu/show/id/1371793","http://ts.21cn.com/tousu/show/id/1371793")</f>
      </c>
      <c r="G2186" t="s" s="2">
        <v>17</v>
      </c>
      <c r="H2186" t="s" s="2">
        <v>19</v>
      </c>
      <c r="I2186" t="s" s="2">
        <v>8577</v>
      </c>
      <c r="J2186" t="s" s="2">
        <v>8578</v>
      </c>
      <c r="K2186" t="s" s="2">
        <v>22</v>
      </c>
      <c r="L2186" t="s" s="2">
        <v>22</v>
      </c>
      <c r="M2186" t="s" s="2">
        <v>22</v>
      </c>
    </row>
    <row r="2187" ht="25.0" customHeight="true">
      <c r="A2187" t="s" s="2">
        <v>13</v>
      </c>
      <c r="B2187" t="s" s="2">
        <f>HYPERLINK("http://ts.21cn.com/tousu/show/id/1371792","保险高")</f>
      </c>
      <c r="C2187" t="s" s="2">
        <v>52</v>
      </c>
      <c r="D2187" t="s" s="2">
        <v>16</v>
      </c>
      <c r="E2187" t="s" s="2">
        <v>17</v>
      </c>
      <c r="F2187" t="s" s="2">
        <f>HYPERLINK("http://ts.21cn.com/tousu/show/id/1371792","http://ts.21cn.com/tousu/show/id/1371792")</f>
      </c>
      <c r="G2187" t="s" s="2">
        <v>17</v>
      </c>
      <c r="H2187" t="s" s="2">
        <v>19</v>
      </c>
      <c r="I2187" t="s" s="2">
        <v>8581</v>
      </c>
      <c r="J2187" t="s" s="2">
        <v>8582</v>
      </c>
      <c r="K2187" t="s" s="2">
        <v>22</v>
      </c>
      <c r="L2187" t="s" s="2">
        <v>22</v>
      </c>
      <c r="M2187" t="s" s="2">
        <v>22</v>
      </c>
    </row>
    <row r="2188" ht="25.0" customHeight="true">
      <c r="A2188" t="s" s="2">
        <v>13</v>
      </c>
      <c r="B2188" t="s" s="2">
        <f>HYPERLINK("http://ts.21cn.com/tousu/show/id/1371791","小电充电宝归还仍旧扣费客服不管")</f>
      </c>
      <c r="C2188" t="s" s="2">
        <v>15</v>
      </c>
      <c r="D2188" t="s" s="2">
        <v>16</v>
      </c>
      <c r="E2188" t="s" s="2">
        <v>17</v>
      </c>
      <c r="F2188" t="s" s="2">
        <f>HYPERLINK("http://ts.21cn.com/tousu/show/id/1371791","http://ts.21cn.com/tousu/show/id/1371791")</f>
      </c>
      <c r="G2188" t="s" s="2">
        <v>17</v>
      </c>
      <c r="H2188" t="s" s="2">
        <v>19</v>
      </c>
      <c r="I2188" t="s" s="2">
        <v>8585</v>
      </c>
      <c r="J2188" t="s" s="2">
        <v>8586</v>
      </c>
      <c r="K2188" t="s" s="2">
        <v>22</v>
      </c>
      <c r="L2188" t="s" s="2">
        <v>22</v>
      </c>
      <c r="M2188" t="s" s="2">
        <v>22</v>
      </c>
    </row>
    <row r="2189" ht="25.0" customHeight="true">
      <c r="A2189" t="s" s="2">
        <v>13</v>
      </c>
      <c r="B2189" t="s" s="2">
        <f>HYPERLINK("http://ts.21cn.com/tousu/show/id/1371790","度小满公司辱骂借款人，，")</f>
      </c>
      <c r="C2189" t="s" s="2">
        <v>15</v>
      </c>
      <c r="D2189" t="s" s="2">
        <v>16</v>
      </c>
      <c r="E2189" t="s" s="2">
        <v>17</v>
      </c>
      <c r="F2189" t="s" s="2">
        <f>HYPERLINK("http://ts.21cn.com/tousu/show/id/1371790","http://ts.21cn.com/tousu/show/id/1371790")</f>
      </c>
      <c r="G2189" t="s" s="2">
        <v>17</v>
      </c>
      <c r="H2189" t="s" s="2">
        <v>19</v>
      </c>
      <c r="I2189" t="s" s="2">
        <v>8589</v>
      </c>
      <c r="J2189" t="s" s="2">
        <v>8590</v>
      </c>
      <c r="K2189" t="s" s="2">
        <v>22</v>
      </c>
      <c r="L2189" t="s" s="2">
        <v>22</v>
      </c>
      <c r="M2189" t="s" s="2">
        <v>22</v>
      </c>
    </row>
    <row r="2190" ht="25.0" customHeight="true">
      <c r="A2190" t="s" s="2">
        <v>13</v>
      </c>
      <c r="B2190" t="s" s="2">
        <f>HYPERLINK("http://ts.21cn.com/tousu/show/id/1371767","融乐贷炸通讯录")</f>
      </c>
      <c r="C2190" t="s" s="2">
        <v>52</v>
      </c>
      <c r="D2190" t="s" s="2">
        <v>16</v>
      </c>
      <c r="E2190" t="s" s="2">
        <v>17</v>
      </c>
      <c r="F2190" t="s" s="2">
        <f>HYPERLINK("http://ts.21cn.com/tousu/show/id/1371767","http://ts.21cn.com/tousu/show/id/1371767")</f>
      </c>
      <c r="G2190" t="s" s="2">
        <v>17</v>
      </c>
      <c r="H2190" t="s" s="2">
        <v>19</v>
      </c>
      <c r="I2190" t="s" s="2">
        <v>8593</v>
      </c>
      <c r="J2190" t="s" s="2">
        <v>8594</v>
      </c>
      <c r="K2190" t="s" s="2">
        <v>22</v>
      </c>
      <c r="L2190" t="s" s="2">
        <v>22</v>
      </c>
      <c r="M2190" t="s" s="2">
        <v>22</v>
      </c>
    </row>
    <row r="2191" ht="25.0" customHeight="true">
      <c r="A2191" t="s" s="2">
        <v>13</v>
      </c>
      <c r="B2191" t="s" s="2">
        <f>HYPERLINK("http://ts.21cn.com/tousu/show/id/1371789","白领贷高额利息，砍头息")</f>
      </c>
      <c r="C2191" t="s" s="2">
        <v>15</v>
      </c>
      <c r="D2191" t="s" s="2">
        <v>16</v>
      </c>
      <c r="E2191" t="s" s="2">
        <v>17</v>
      </c>
      <c r="F2191" t="s" s="2">
        <f>HYPERLINK("http://ts.21cn.com/tousu/show/id/1371789","http://ts.21cn.com/tousu/show/id/1371789")</f>
      </c>
      <c r="G2191" t="s" s="2">
        <v>17</v>
      </c>
      <c r="H2191" t="s" s="2">
        <v>19</v>
      </c>
      <c r="I2191" t="s" s="2">
        <v>8597</v>
      </c>
      <c r="J2191" t="s" s="2">
        <v>8598</v>
      </c>
      <c r="K2191" t="s" s="2">
        <v>22</v>
      </c>
      <c r="L2191" t="s" s="2">
        <v>22</v>
      </c>
      <c r="M2191" t="s" s="2">
        <v>22</v>
      </c>
    </row>
    <row r="2192" ht="25.0" customHeight="true">
      <c r="A2192" t="s" s="2">
        <v>13</v>
      </c>
      <c r="B2192" t="s" s="2">
        <f>HYPERLINK("http://ts.21cn.com/tousu/show/id/1371787","暴力催收花闪云高炮谁给你的胆子，幕后又有什么黑幕")</f>
      </c>
      <c r="C2192" t="s" s="2">
        <v>15</v>
      </c>
      <c r="D2192" t="s" s="2">
        <v>16</v>
      </c>
      <c r="E2192" t="s" s="2">
        <v>17</v>
      </c>
      <c r="F2192" t="s" s="2">
        <f>HYPERLINK("http://ts.21cn.com/tousu/show/id/1371787","http://ts.21cn.com/tousu/show/id/1371787")</f>
      </c>
      <c r="G2192" t="s" s="2">
        <v>17</v>
      </c>
      <c r="H2192" t="s" s="2">
        <v>19</v>
      </c>
      <c r="I2192" t="s" s="2">
        <v>8601</v>
      </c>
      <c r="J2192" t="s" s="2">
        <v>8602</v>
      </c>
      <c r="K2192" t="s" s="2">
        <v>22</v>
      </c>
      <c r="L2192" t="s" s="2">
        <v>22</v>
      </c>
      <c r="M2192" t="s" s="2">
        <v>22</v>
      </c>
    </row>
    <row r="2193" ht="25.0" customHeight="true">
      <c r="A2193" t="s" s="2">
        <v>13</v>
      </c>
      <c r="B2193" t="s" s="2">
        <f>HYPERLINK("http://ts.21cn.com/tousu/show/id/1371777","骚扰、催收、爆通讯录、名誉受损")</f>
      </c>
      <c r="C2193" t="s" s="2">
        <v>15</v>
      </c>
      <c r="D2193" t="s" s="2">
        <v>16</v>
      </c>
      <c r="E2193" t="s" s="2">
        <v>17</v>
      </c>
      <c r="F2193" t="s" s="2">
        <f>HYPERLINK("http://ts.21cn.com/tousu/show/id/1371777","http://ts.21cn.com/tousu/show/id/1371777")</f>
      </c>
      <c r="G2193" t="s" s="2">
        <v>17</v>
      </c>
      <c r="H2193" t="s" s="2">
        <v>19</v>
      </c>
      <c r="I2193" t="s" s="2">
        <v>8605</v>
      </c>
      <c r="J2193" t="s" s="2">
        <v>8606</v>
      </c>
      <c r="K2193" t="s" s="2">
        <v>22</v>
      </c>
      <c r="L2193" t="s" s="2">
        <v>22</v>
      </c>
      <c r="M2193" t="s" s="2">
        <v>22</v>
      </c>
    </row>
    <row r="2194" ht="25.0" customHeight="true">
      <c r="A2194" t="s" s="2">
        <v>13</v>
      </c>
      <c r="B2194" t="s" s="2">
        <f>HYPERLINK("http://ts.21cn.com/tousu/show/id/1371774","美团电影票没开场之前都不能退，也不能改签")</f>
      </c>
      <c r="C2194" t="s" s="2">
        <v>15</v>
      </c>
      <c r="D2194" t="s" s="2">
        <v>16</v>
      </c>
      <c r="E2194" t="s" s="2">
        <v>17</v>
      </c>
      <c r="F2194" t="s" s="2">
        <f>HYPERLINK("http://ts.21cn.com/tousu/show/id/1371774","http://ts.21cn.com/tousu/show/id/1371774")</f>
      </c>
      <c r="G2194" t="s" s="2">
        <v>17</v>
      </c>
      <c r="H2194" t="s" s="2">
        <v>19</v>
      </c>
      <c r="I2194" t="s" s="2">
        <v>8609</v>
      </c>
      <c r="J2194" t="s" s="2">
        <v>8610</v>
      </c>
      <c r="K2194" t="s" s="2">
        <v>22</v>
      </c>
      <c r="L2194" t="s" s="2">
        <v>22</v>
      </c>
      <c r="M2194" t="s" s="2">
        <v>22</v>
      </c>
    </row>
    <row r="2195" ht="25.0" customHeight="true">
      <c r="A2195" t="s" s="2">
        <v>13</v>
      </c>
      <c r="B2195" t="s" s="2">
        <f>HYPERLINK("http://ts.21cn.com/tousu/show/id/1371757","钱站高利贷套路贷阴阳合同")</f>
      </c>
      <c r="C2195" t="s" s="2">
        <v>15</v>
      </c>
      <c r="D2195" t="s" s="2">
        <v>16</v>
      </c>
      <c r="E2195" t="s" s="2">
        <v>17</v>
      </c>
      <c r="F2195" t="s" s="2">
        <f>HYPERLINK("http://ts.21cn.com/tousu/show/id/1371757","http://ts.21cn.com/tousu/show/id/1371757")</f>
      </c>
      <c r="G2195" t="s" s="2">
        <v>17</v>
      </c>
      <c r="H2195" t="s" s="2">
        <v>19</v>
      </c>
      <c r="I2195" t="s" s="2">
        <v>8613</v>
      </c>
      <c r="J2195" t="s" s="2">
        <v>8614</v>
      </c>
      <c r="K2195" t="s" s="2">
        <v>22</v>
      </c>
      <c r="L2195" t="s" s="2">
        <v>22</v>
      </c>
      <c r="M2195" t="s" s="2">
        <v>22</v>
      </c>
    </row>
    <row r="2196" ht="25.0" customHeight="true">
      <c r="A2196" t="s" s="2">
        <v>13</v>
      </c>
      <c r="B2196" t="s" s="2">
        <f>HYPERLINK("http://ts.21cn.com/tousu/show/id/1371785","马上金融乱收逾期费")</f>
      </c>
      <c r="C2196" t="s" s="2">
        <v>15</v>
      </c>
      <c r="D2196" t="s" s="2">
        <v>16</v>
      </c>
      <c r="E2196" t="s" s="2">
        <v>17</v>
      </c>
      <c r="F2196" t="s" s="2">
        <f>HYPERLINK("http://ts.21cn.com/tousu/show/id/1371785","http://ts.21cn.com/tousu/show/id/1371785")</f>
      </c>
      <c r="G2196" t="s" s="2">
        <v>17</v>
      </c>
      <c r="H2196" t="s" s="2">
        <v>19</v>
      </c>
      <c r="I2196" t="s" s="2">
        <v>8617</v>
      </c>
      <c r="J2196" t="s" s="2">
        <v>8618</v>
      </c>
      <c r="K2196" t="s" s="2">
        <v>22</v>
      </c>
      <c r="L2196" t="s" s="2">
        <v>22</v>
      </c>
      <c r="M2196" t="s" s="2">
        <v>22</v>
      </c>
    </row>
    <row r="2197" ht="25.0" customHeight="true">
      <c r="A2197" t="s" s="2">
        <v>13</v>
      </c>
      <c r="B2197" t="s" s="2">
        <f>HYPERLINK("http://ts.21cn.com/tousu/show/id/1371784","套路贷，高利贷")</f>
      </c>
      <c r="C2197" t="s" s="2">
        <v>15</v>
      </c>
      <c r="D2197" t="s" s="2">
        <v>16</v>
      </c>
      <c r="E2197" t="s" s="2">
        <v>17</v>
      </c>
      <c r="F2197" t="s" s="2">
        <f>HYPERLINK("http://ts.21cn.com/tousu/show/id/1371784","http://ts.21cn.com/tousu/show/id/1371784")</f>
      </c>
      <c r="G2197" t="s" s="2">
        <v>17</v>
      </c>
      <c r="H2197" t="s" s="2">
        <v>19</v>
      </c>
      <c r="I2197" t="s" s="2">
        <v>8621</v>
      </c>
      <c r="J2197" t="s" s="2">
        <v>8622</v>
      </c>
      <c r="K2197" t="s" s="2">
        <v>22</v>
      </c>
      <c r="L2197" t="s" s="2">
        <v>22</v>
      </c>
      <c r="M2197" t="s" s="2">
        <v>22</v>
      </c>
    </row>
    <row r="2198" ht="25.0" customHeight="true">
      <c r="A2198" t="s" s="2">
        <v>13</v>
      </c>
      <c r="B2198" t="s" s="2">
        <f>HYPERLINK("http://ts.21cn.com/tousu/show/id/1371781","美利车、力蕴汽车套路贷")</f>
      </c>
      <c r="C2198" t="s" s="2">
        <v>15</v>
      </c>
      <c r="D2198" t="s" s="2">
        <v>16</v>
      </c>
      <c r="E2198" t="s" s="2">
        <v>17</v>
      </c>
      <c r="F2198" t="s" s="2">
        <f>HYPERLINK("http://ts.21cn.com/tousu/show/id/1371781","http://ts.21cn.com/tousu/show/id/1371781")</f>
      </c>
      <c r="G2198" t="s" s="2">
        <v>17</v>
      </c>
      <c r="H2198" t="s" s="2">
        <v>19</v>
      </c>
      <c r="I2198" t="s" s="2">
        <v>8625</v>
      </c>
      <c r="J2198" t="s" s="2">
        <v>8626</v>
      </c>
      <c r="K2198" t="s" s="2">
        <v>22</v>
      </c>
      <c r="L2198" t="s" s="2">
        <v>22</v>
      </c>
      <c r="M2198" t="s" s="2">
        <v>22</v>
      </c>
    </row>
    <row r="2199" ht="25.0" customHeight="true">
      <c r="A2199" t="s" s="2">
        <v>13</v>
      </c>
      <c r="B2199" t="s" s="2">
        <f>HYPERLINK("http://ts.21cn.com/tousu/show/id/1371782","凡谱金科子平台钱站高利贷砍头息")</f>
      </c>
      <c r="C2199" t="s" s="2">
        <v>15</v>
      </c>
      <c r="D2199" t="s" s="2">
        <v>16</v>
      </c>
      <c r="E2199" t="s" s="2">
        <v>17</v>
      </c>
      <c r="F2199" t="s" s="2">
        <f>HYPERLINK("http://ts.21cn.com/tousu/show/id/1371782","http://ts.21cn.com/tousu/show/id/1371782")</f>
      </c>
      <c r="G2199" t="s" s="2">
        <v>17</v>
      </c>
      <c r="H2199" t="s" s="2">
        <v>19</v>
      </c>
      <c r="I2199" t="s" s="2">
        <v>8629</v>
      </c>
      <c r="J2199" t="s" s="2">
        <v>8630</v>
      </c>
      <c r="K2199" t="s" s="2">
        <v>22</v>
      </c>
      <c r="L2199" t="s" s="2">
        <v>22</v>
      </c>
      <c r="M2199" t="s" s="2">
        <v>22</v>
      </c>
    </row>
    <row r="2200" ht="25.0" customHeight="true">
      <c r="A2200" t="s" s="2">
        <v>13</v>
      </c>
      <c r="B2200" t="s" s="2">
        <f>HYPERLINK("http://ts.21cn.com/tousu/show/id/1371780","网贷平台骚扰通讯录联系人")</f>
      </c>
      <c r="C2200" t="s" s="2">
        <v>15</v>
      </c>
      <c r="D2200" t="s" s="2">
        <v>16</v>
      </c>
      <c r="E2200" t="s" s="2">
        <v>17</v>
      </c>
      <c r="F2200" t="s" s="2">
        <f>HYPERLINK("http://ts.21cn.com/tousu/show/id/1371780","http://ts.21cn.com/tousu/show/id/1371780")</f>
      </c>
      <c r="G2200" t="s" s="2">
        <v>17</v>
      </c>
      <c r="H2200" t="s" s="2">
        <v>19</v>
      </c>
      <c r="I2200" t="s" s="2">
        <v>8629</v>
      </c>
      <c r="J2200" t="s" s="2">
        <v>8503</v>
      </c>
      <c r="K2200" t="s" s="2">
        <v>22</v>
      </c>
      <c r="L2200" t="s" s="2">
        <v>22</v>
      </c>
      <c r="M2200" t="s" s="2">
        <v>22</v>
      </c>
    </row>
    <row r="2201" ht="25.0" customHeight="true">
      <c r="A2201" t="s" s="2">
        <v>13</v>
      </c>
      <c r="B2201" t="s" s="2">
        <f>HYPERLINK("http://ts.21cn.com/tousu/show/id/1371523","乐客独角兽虚假宣传，诱导创业加入会员，收取高额会员费")</f>
      </c>
      <c r="C2201" t="s" s="2">
        <v>15</v>
      </c>
      <c r="D2201" t="s" s="2">
        <v>16</v>
      </c>
      <c r="E2201" t="s" s="2">
        <v>17</v>
      </c>
      <c r="F2201" t="s" s="2">
        <f>HYPERLINK("http://ts.21cn.com/tousu/show/id/1371523","http://ts.21cn.com/tousu/show/id/1371523")</f>
      </c>
      <c r="G2201" t="s" s="2">
        <v>17</v>
      </c>
      <c r="H2201" t="s" s="2">
        <v>19</v>
      </c>
      <c r="I2201" t="s" s="2">
        <v>8635</v>
      </c>
      <c r="J2201" t="s" s="2">
        <v>8636</v>
      </c>
      <c r="K2201" t="s" s="2">
        <v>22</v>
      </c>
      <c r="L2201" t="s" s="2">
        <v>22</v>
      </c>
      <c r="M2201" t="s" s="2">
        <v>22</v>
      </c>
    </row>
    <row r="2202" ht="25.0" customHeight="true">
      <c r="A2202" t="s" s="2">
        <v>13</v>
      </c>
      <c r="B2202" t="s" s="2">
        <f>HYPERLINK("http://ts.21cn.com/tousu/show/id/1371779","群利花高利贷威胁本人")</f>
      </c>
      <c r="C2202" t="s" s="2">
        <v>15</v>
      </c>
      <c r="D2202" t="s" s="2">
        <v>16</v>
      </c>
      <c r="E2202" t="s" s="2">
        <v>17</v>
      </c>
      <c r="F2202" t="s" s="2">
        <f>HYPERLINK("http://ts.21cn.com/tousu/show/id/1371779","http://ts.21cn.com/tousu/show/id/1371779")</f>
      </c>
      <c r="G2202" t="s" s="2">
        <v>17</v>
      </c>
      <c r="H2202" t="s" s="2">
        <v>19</v>
      </c>
      <c r="I2202" t="s" s="2">
        <v>8639</v>
      </c>
      <c r="J2202" t="s" s="2">
        <v>8640</v>
      </c>
      <c r="K2202" t="s" s="2">
        <v>22</v>
      </c>
      <c r="L2202" t="s" s="2">
        <v>22</v>
      </c>
      <c r="M2202" t="s" s="2">
        <v>22</v>
      </c>
    </row>
    <row r="2203" ht="25.0" customHeight="true">
      <c r="A2203" t="s" s="2">
        <v>13</v>
      </c>
      <c r="B2203" t="s" s="2">
        <f>HYPERLINK("http://ts.21cn.com/tousu/show/id/1371778","希望领导拼多多给我给予退款处理")</f>
      </c>
      <c r="C2203" t="s" s="2">
        <v>15</v>
      </c>
      <c r="D2203" t="s" s="2">
        <v>16</v>
      </c>
      <c r="E2203" t="s" s="2">
        <v>17</v>
      </c>
      <c r="F2203" t="s" s="2">
        <f>HYPERLINK("http://ts.21cn.com/tousu/show/id/1371778","http://ts.21cn.com/tousu/show/id/1371778")</f>
      </c>
      <c r="G2203" t="s" s="2">
        <v>17</v>
      </c>
      <c r="H2203" t="s" s="2">
        <v>19</v>
      </c>
      <c r="I2203" t="s" s="2">
        <v>8643</v>
      </c>
      <c r="J2203" t="s" s="2">
        <v>8644</v>
      </c>
      <c r="K2203" t="s" s="2">
        <v>22</v>
      </c>
      <c r="L2203" t="s" s="2">
        <v>22</v>
      </c>
      <c r="M2203" t="s" s="2">
        <v>22</v>
      </c>
    </row>
    <row r="2204" ht="25.0" customHeight="true">
      <c r="A2204" t="s" s="2">
        <v>13</v>
      </c>
      <c r="B2204" t="s" s="2">
        <f>HYPERLINK("http://ts.21cn.com/tousu/show/id/1371776","借款利息高出国家标准")</f>
      </c>
      <c r="C2204" t="s" s="2">
        <v>52</v>
      </c>
      <c r="D2204" t="s" s="2">
        <v>16</v>
      </c>
      <c r="E2204" t="s" s="2">
        <v>17</v>
      </c>
      <c r="F2204" t="s" s="2">
        <f>HYPERLINK("http://ts.21cn.com/tousu/show/id/1371776","http://ts.21cn.com/tousu/show/id/1371776")</f>
      </c>
      <c r="G2204" t="s" s="2">
        <v>17</v>
      </c>
      <c r="H2204" t="s" s="2">
        <v>19</v>
      </c>
      <c r="I2204" t="s" s="2">
        <v>8647</v>
      </c>
      <c r="J2204" t="s" s="2">
        <v>8648</v>
      </c>
      <c r="K2204" t="s" s="2">
        <v>22</v>
      </c>
      <c r="L2204" t="s" s="2">
        <v>22</v>
      </c>
      <c r="M2204" t="s" s="2">
        <v>22</v>
      </c>
    </row>
    <row r="2205" ht="25.0" customHeight="true">
      <c r="A2205" t="s" s="2">
        <v>13</v>
      </c>
      <c r="B2205" t="s" s="2">
        <f>HYPERLINK("http://ts.21cn.com/tousu/show/id/1371775","投诉被盗刷")</f>
      </c>
      <c r="C2205" t="s" s="2">
        <v>15</v>
      </c>
      <c r="D2205" t="s" s="2">
        <v>16</v>
      </c>
      <c r="E2205" t="s" s="2">
        <v>17</v>
      </c>
      <c r="F2205" t="s" s="2">
        <f>HYPERLINK("http://ts.21cn.com/tousu/show/id/1371775","http://ts.21cn.com/tousu/show/id/1371775")</f>
      </c>
      <c r="G2205" t="s" s="2">
        <v>17</v>
      </c>
      <c r="H2205" t="s" s="2">
        <v>19</v>
      </c>
      <c r="I2205" t="s" s="2">
        <v>8651</v>
      </c>
      <c r="J2205" t="s" s="2">
        <v>8652</v>
      </c>
      <c r="K2205" t="s" s="2">
        <v>22</v>
      </c>
      <c r="L2205" t="s" s="2">
        <v>22</v>
      </c>
      <c r="M2205" t="s" s="2">
        <v>22</v>
      </c>
    </row>
    <row r="2206" ht="25.0" customHeight="true">
      <c r="A2206" t="s" s="2">
        <v>13</v>
      </c>
      <c r="B2206" t="s" s="2">
        <f>HYPERLINK("http://ts.21cn.com/tousu/show/id/1371773","无缘无故的限制我支付  我都不知道怎么回事")</f>
      </c>
      <c r="C2206" t="s" s="2">
        <v>15</v>
      </c>
      <c r="D2206" t="s" s="2">
        <v>16</v>
      </c>
      <c r="E2206" t="s" s="2">
        <v>17</v>
      </c>
      <c r="F2206" t="s" s="2">
        <f>HYPERLINK("http://ts.21cn.com/tousu/show/id/1371773","http://ts.21cn.com/tousu/show/id/1371773")</f>
      </c>
      <c r="G2206" t="s" s="2">
        <v>17</v>
      </c>
      <c r="H2206" t="s" s="2">
        <v>19</v>
      </c>
      <c r="I2206" t="s" s="2">
        <v>8655</v>
      </c>
      <c r="J2206" t="s" s="2">
        <v>8656</v>
      </c>
      <c r="K2206" t="s" s="2">
        <v>22</v>
      </c>
      <c r="L2206" t="s" s="2">
        <v>22</v>
      </c>
      <c r="M2206" t="s" s="2">
        <v>22</v>
      </c>
    </row>
    <row r="2207" ht="25.0" customHeight="true">
      <c r="A2207" t="s" s="2">
        <v>13</v>
      </c>
      <c r="B2207" t="s" s="2">
        <f>HYPERLINK("http://ts.21cn.com/tousu/show/id/1371771","打电话骚扰我")</f>
      </c>
      <c r="C2207" t="s" s="2">
        <v>15</v>
      </c>
      <c r="D2207" t="s" s="2">
        <v>16</v>
      </c>
      <c r="E2207" t="s" s="2">
        <v>17</v>
      </c>
      <c r="F2207" t="s" s="2">
        <f>HYPERLINK("http://ts.21cn.com/tousu/show/id/1371771","http://ts.21cn.com/tousu/show/id/1371771")</f>
      </c>
      <c r="G2207" t="s" s="2">
        <v>17</v>
      </c>
      <c r="H2207" t="s" s="2">
        <v>19</v>
      </c>
      <c r="I2207" t="s" s="2">
        <v>8659</v>
      </c>
      <c r="J2207" t="s" s="2">
        <v>8660</v>
      </c>
      <c r="K2207" t="s" s="2">
        <v>22</v>
      </c>
      <c r="L2207" t="s" s="2">
        <v>22</v>
      </c>
      <c r="M2207" t="s" s="2">
        <v>22</v>
      </c>
    </row>
    <row r="2208" ht="25.0" customHeight="true">
      <c r="A2208" t="s" s="2">
        <v>13</v>
      </c>
      <c r="B2208" t="s" s="2">
        <f>HYPERLINK("http://ts.21cn.com/tousu/show/id/1371772","网贷里面费用分期太多")</f>
      </c>
      <c r="C2208" t="s" s="2">
        <v>52</v>
      </c>
      <c r="D2208" t="s" s="2">
        <v>16</v>
      </c>
      <c r="E2208" t="s" s="2">
        <v>17</v>
      </c>
      <c r="F2208" t="s" s="2">
        <f>HYPERLINK("http://ts.21cn.com/tousu/show/id/1371772","http://ts.21cn.com/tousu/show/id/1371772")</f>
      </c>
      <c r="G2208" t="s" s="2">
        <v>17</v>
      </c>
      <c r="H2208" t="s" s="2">
        <v>19</v>
      </c>
      <c r="I2208" t="s" s="2">
        <v>8663</v>
      </c>
      <c r="J2208" t="s" s="2">
        <v>8664</v>
      </c>
      <c r="K2208" t="s" s="2">
        <v>22</v>
      </c>
      <c r="L2208" t="s" s="2">
        <v>22</v>
      </c>
      <c r="M2208" t="s" s="2">
        <v>22</v>
      </c>
    </row>
    <row r="2209" ht="25.0" customHeight="true">
      <c r="A2209" t="s" s="2">
        <v>13</v>
      </c>
      <c r="B2209" t="s" s="2">
        <f>HYPERLINK("http://ts.21cn.com/tousu/show/id/1371770","交通银行信用卡骚扰不停")</f>
      </c>
      <c r="C2209" t="s" s="2">
        <v>15</v>
      </c>
      <c r="D2209" t="s" s="2">
        <v>16</v>
      </c>
      <c r="E2209" t="s" s="2">
        <v>17</v>
      </c>
      <c r="F2209" t="s" s="2">
        <f>HYPERLINK("http://ts.21cn.com/tousu/show/id/1371770","http://ts.21cn.com/tousu/show/id/1371770")</f>
      </c>
      <c r="G2209" t="s" s="2">
        <v>17</v>
      </c>
      <c r="H2209" t="s" s="2">
        <v>19</v>
      </c>
      <c r="I2209" t="s" s="2">
        <v>8667</v>
      </c>
      <c r="J2209" t="s" s="2">
        <v>8668</v>
      </c>
      <c r="K2209" t="s" s="2">
        <v>22</v>
      </c>
      <c r="L2209" t="s" s="2">
        <v>22</v>
      </c>
      <c r="M2209" t="s" s="2">
        <v>22</v>
      </c>
    </row>
    <row r="2210" ht="25.0" customHeight="true">
      <c r="A2210" t="s" s="2">
        <v>13</v>
      </c>
      <c r="B2210" t="s" s="2">
        <f>HYPERLINK("http://ts.21cn.com/tousu/show/id/1371769","趣花分期内小笼宝714高利贷砍头息")</f>
      </c>
      <c r="C2210" t="s" s="2">
        <v>15</v>
      </c>
      <c r="D2210" t="s" s="2">
        <v>16</v>
      </c>
      <c r="E2210" t="s" s="2">
        <v>17</v>
      </c>
      <c r="F2210" t="s" s="2">
        <f>HYPERLINK("http://ts.21cn.com/tousu/show/id/1371769","http://ts.21cn.com/tousu/show/id/1371769")</f>
      </c>
      <c r="G2210" t="s" s="2">
        <v>17</v>
      </c>
      <c r="H2210" t="s" s="2">
        <v>19</v>
      </c>
      <c r="I2210" t="s" s="2">
        <v>8671</v>
      </c>
      <c r="J2210" t="s" s="2">
        <v>8672</v>
      </c>
      <c r="K2210" t="s" s="2">
        <v>22</v>
      </c>
      <c r="L2210" t="s" s="2">
        <v>22</v>
      </c>
      <c r="M2210" t="s" s="2">
        <v>22</v>
      </c>
    </row>
    <row r="2211" ht="25.0" customHeight="true">
      <c r="A2211" t="s" s="2">
        <v>13</v>
      </c>
      <c r="B2211" t="s" s="2">
        <f>HYPERLINK("http://ts.21cn.com/tousu/show/id/1371768","携程国际机票严重涨价")</f>
      </c>
      <c r="C2211" t="s" s="2">
        <v>52</v>
      </c>
      <c r="D2211" t="s" s="2">
        <v>16</v>
      </c>
      <c r="E2211" t="s" s="2">
        <v>17</v>
      </c>
      <c r="F2211" t="s" s="2">
        <f>HYPERLINK("http://ts.21cn.com/tousu/show/id/1371768","http://ts.21cn.com/tousu/show/id/1371768")</f>
      </c>
      <c r="G2211" t="s" s="2">
        <v>17</v>
      </c>
      <c r="H2211" t="s" s="2">
        <v>19</v>
      </c>
      <c r="I2211" t="s" s="2">
        <v>8675</v>
      </c>
      <c r="J2211" t="s" s="2">
        <v>8676</v>
      </c>
      <c r="K2211" t="s" s="2">
        <v>22</v>
      </c>
      <c r="L2211" t="s" s="2">
        <v>22</v>
      </c>
      <c r="M2211" t="s" s="2">
        <v>22</v>
      </c>
    </row>
    <row r="2212" ht="25.0" customHeight="true">
      <c r="A2212" t="s" s="2">
        <v>13</v>
      </c>
      <c r="B2212" t="s" s="2">
        <f>HYPERLINK("http://ts.21cn.com/tousu/show/id/1371765","新橙优品高利贷暴力催收")</f>
      </c>
      <c r="C2212" t="s" s="2">
        <v>15</v>
      </c>
      <c r="D2212" t="s" s="2">
        <v>16</v>
      </c>
      <c r="E2212" t="s" s="2">
        <v>17</v>
      </c>
      <c r="F2212" t="s" s="2">
        <f>HYPERLINK("http://ts.21cn.com/tousu/show/id/1371765","http://ts.21cn.com/tousu/show/id/1371765")</f>
      </c>
      <c r="G2212" t="s" s="2">
        <v>17</v>
      </c>
      <c r="H2212" t="s" s="2">
        <v>19</v>
      </c>
      <c r="I2212" t="s" s="2">
        <v>8678</v>
      </c>
      <c r="J2212" t="s" s="2">
        <v>8679</v>
      </c>
      <c r="K2212" t="s" s="2">
        <v>22</v>
      </c>
      <c r="L2212" t="s" s="2">
        <v>22</v>
      </c>
      <c r="M2212" t="s" s="2">
        <v>22</v>
      </c>
    </row>
    <row r="2213" ht="25.0" customHeight="true">
      <c r="A2213" t="s" s="2">
        <v>13</v>
      </c>
      <c r="B2213" t="s" s="2">
        <f>HYPERLINK("http://ts.21cn.com/tousu/show/id/1371764","群利花高利贷砍头息")</f>
      </c>
      <c r="C2213" t="s" s="2">
        <v>15</v>
      </c>
      <c r="D2213" t="s" s="2">
        <v>16</v>
      </c>
      <c r="E2213" t="s" s="2">
        <v>17</v>
      </c>
      <c r="F2213" t="s" s="2">
        <f>HYPERLINK("http://ts.21cn.com/tousu/show/id/1371764","http://ts.21cn.com/tousu/show/id/1371764")</f>
      </c>
      <c r="G2213" t="s" s="2">
        <v>17</v>
      </c>
      <c r="H2213" t="s" s="2">
        <v>19</v>
      </c>
      <c r="I2213" t="s" s="2">
        <v>8682</v>
      </c>
      <c r="J2213" t="s" s="2">
        <v>8683</v>
      </c>
      <c r="K2213" t="s" s="2">
        <v>22</v>
      </c>
      <c r="L2213" t="s" s="2">
        <v>22</v>
      </c>
      <c r="M2213" t="s" s="2">
        <v>22</v>
      </c>
    </row>
    <row r="2214" ht="25.0" customHeight="true">
      <c r="A2214" t="s" s="2">
        <v>13</v>
      </c>
      <c r="B2214" t="s" s="2">
        <f>HYPERLINK("http://ts.21cn.com/tousu/show/id/1371766","招商银行骚扰逼迫，向我的家人施加压力")</f>
      </c>
      <c r="C2214" t="s" s="2">
        <v>15</v>
      </c>
      <c r="D2214" t="s" s="2">
        <v>16</v>
      </c>
      <c r="E2214" t="s" s="2">
        <v>17</v>
      </c>
      <c r="F2214" t="s" s="2">
        <f>HYPERLINK("http://ts.21cn.com/tousu/show/id/1371766","http://ts.21cn.com/tousu/show/id/1371766")</f>
      </c>
      <c r="G2214" t="s" s="2">
        <v>17</v>
      </c>
      <c r="H2214" t="s" s="2">
        <v>19</v>
      </c>
      <c r="I2214" t="s" s="2">
        <v>8686</v>
      </c>
      <c r="J2214" t="s" s="2">
        <v>8687</v>
      </c>
      <c r="K2214" t="s" s="2">
        <v>22</v>
      </c>
      <c r="L2214" t="s" s="2">
        <v>22</v>
      </c>
      <c r="M2214" t="s" s="2">
        <v>22</v>
      </c>
    </row>
    <row r="2215" ht="25.0" customHeight="true">
      <c r="A2215" t="s" s="2">
        <v>13</v>
      </c>
      <c r="B2215" t="s" s="2">
        <f>HYPERLINK("http://ts.21cn.com/tousu/show/id/1371763","联通手机4G网速变慢")</f>
      </c>
      <c r="C2215" t="s" s="2">
        <v>52</v>
      </c>
      <c r="D2215" t="s" s="2">
        <v>16</v>
      </c>
      <c r="E2215" t="s" s="2">
        <v>17</v>
      </c>
      <c r="F2215" t="s" s="2">
        <f>HYPERLINK("http://ts.21cn.com/tousu/show/id/1371763","http://ts.21cn.com/tousu/show/id/1371763")</f>
      </c>
      <c r="G2215" t="s" s="2">
        <v>17</v>
      </c>
      <c r="H2215" t="s" s="2">
        <v>19</v>
      </c>
      <c r="I2215" t="s" s="2">
        <v>8690</v>
      </c>
      <c r="J2215" t="s" s="2">
        <v>8691</v>
      </c>
      <c r="K2215" t="s" s="2">
        <v>22</v>
      </c>
      <c r="L2215" t="s" s="2">
        <v>22</v>
      </c>
      <c r="M2215" t="s" s="2">
        <v>22</v>
      </c>
    </row>
    <row r="2216" ht="25.0" customHeight="true">
      <c r="A2216" t="s" s="2">
        <v>13</v>
      </c>
      <c r="B2216" t="s" s="2">
        <f>HYPERLINK("http://ts.21cn.com/tousu/show/id/1371762","微贷暴力催收通讯录亲友")</f>
      </c>
      <c r="C2216" t="s" s="2">
        <v>15</v>
      </c>
      <c r="D2216" t="s" s="2">
        <v>16</v>
      </c>
      <c r="E2216" t="s" s="2">
        <v>17</v>
      </c>
      <c r="F2216" t="s" s="2">
        <f>HYPERLINK("http://ts.21cn.com/tousu/show/id/1371762","http://ts.21cn.com/tousu/show/id/1371762")</f>
      </c>
      <c r="G2216" t="s" s="2">
        <v>17</v>
      </c>
      <c r="H2216" t="s" s="2">
        <v>19</v>
      </c>
      <c r="I2216" t="s" s="2">
        <v>8694</v>
      </c>
      <c r="J2216" t="s" s="2">
        <v>8695</v>
      </c>
      <c r="K2216" t="s" s="2">
        <v>22</v>
      </c>
      <c r="L2216" t="s" s="2">
        <v>22</v>
      </c>
      <c r="M2216" t="s" s="2">
        <v>22</v>
      </c>
    </row>
    <row r="2217" ht="25.0" customHeight="true">
      <c r="A2217" t="s" s="2">
        <v>13</v>
      </c>
      <c r="B2217" t="s" s="2">
        <f>HYPERLINK("http://ts.21cn.com/tousu/show/id/1371761","无法提前结清贷款")</f>
      </c>
      <c r="C2217" t="s" s="2">
        <v>15</v>
      </c>
      <c r="D2217" t="s" s="2">
        <v>16</v>
      </c>
      <c r="E2217" t="s" s="2">
        <v>17</v>
      </c>
      <c r="F2217" t="s" s="2">
        <f>HYPERLINK("http://ts.21cn.com/tousu/show/id/1371761","http://ts.21cn.com/tousu/show/id/1371761")</f>
      </c>
      <c r="G2217" t="s" s="2">
        <v>17</v>
      </c>
      <c r="H2217" t="s" s="2">
        <v>19</v>
      </c>
      <c r="I2217" t="s" s="2">
        <v>8698</v>
      </c>
      <c r="J2217" t="s" s="2">
        <v>8699</v>
      </c>
      <c r="K2217" t="s" s="2">
        <v>22</v>
      </c>
      <c r="L2217" t="s" s="2">
        <v>22</v>
      </c>
      <c r="M2217" t="s" s="2">
        <v>22</v>
      </c>
    </row>
    <row r="2218" ht="25.0" customHeight="true">
      <c r="A2218" t="s" s="2">
        <v>13</v>
      </c>
      <c r="B2218" t="s" s="2">
        <f>HYPERLINK("http://ts.21cn.com/tousu/show/id/1371760","好分期恐吓并态度不良好要求协商解决")</f>
      </c>
      <c r="C2218" t="s" s="2">
        <v>15</v>
      </c>
      <c r="D2218" t="s" s="2">
        <v>16</v>
      </c>
      <c r="E2218" t="s" s="2">
        <v>17</v>
      </c>
      <c r="F2218" t="s" s="2">
        <f>HYPERLINK("http://ts.21cn.com/tousu/show/id/1371760","http://ts.21cn.com/tousu/show/id/1371760")</f>
      </c>
      <c r="G2218" t="s" s="2">
        <v>17</v>
      </c>
      <c r="H2218" t="s" s="2">
        <v>19</v>
      </c>
      <c r="I2218" t="s" s="2">
        <v>8702</v>
      </c>
      <c r="J2218" t="s" s="2">
        <v>8703</v>
      </c>
      <c r="K2218" t="s" s="2">
        <v>22</v>
      </c>
      <c r="L2218" t="s" s="2">
        <v>22</v>
      </c>
      <c r="M2218" t="s" s="2">
        <v>22</v>
      </c>
    </row>
    <row r="2219" ht="25.0" customHeight="true">
      <c r="A2219" t="s" s="2">
        <v>13</v>
      </c>
      <c r="B2219" t="s" s="2">
        <f>HYPERLINK("http://ts.21cn.com/tousu/show/id/1371759","网贷公司暴力催收，骚扰通讯录联系人")</f>
      </c>
      <c r="C2219" t="s" s="2">
        <v>15</v>
      </c>
      <c r="D2219" t="s" s="2">
        <v>16</v>
      </c>
      <c r="E2219" t="s" s="2">
        <v>17</v>
      </c>
      <c r="F2219" t="s" s="2">
        <f>HYPERLINK("http://ts.21cn.com/tousu/show/id/1371759","http://ts.21cn.com/tousu/show/id/1371759")</f>
      </c>
      <c r="G2219" t="s" s="2">
        <v>17</v>
      </c>
      <c r="H2219" t="s" s="2">
        <v>19</v>
      </c>
      <c r="I2219" t="s" s="2">
        <v>8705</v>
      </c>
      <c r="J2219" t="s" s="2">
        <v>8503</v>
      </c>
      <c r="K2219" t="s" s="2">
        <v>22</v>
      </c>
      <c r="L2219" t="s" s="2">
        <v>22</v>
      </c>
      <c r="M2219" t="s" s="2">
        <v>22</v>
      </c>
    </row>
    <row r="2220" ht="25.0" customHeight="true">
      <c r="A2220" t="s" s="2">
        <v>13</v>
      </c>
      <c r="B2220" t="s" s="2">
        <f>HYPERLINK("http://ts.21cn.com/tousu/show/id/1371758","小象优品爆我通讯录，亵渎法律")</f>
      </c>
      <c r="C2220" t="s" s="2">
        <v>15</v>
      </c>
      <c r="D2220" t="s" s="2">
        <v>16</v>
      </c>
      <c r="E2220" t="s" s="2">
        <v>17</v>
      </c>
      <c r="F2220" t="s" s="2">
        <f>HYPERLINK("http://ts.21cn.com/tousu/show/id/1371758","http://ts.21cn.com/tousu/show/id/1371758")</f>
      </c>
      <c r="G2220" t="s" s="2">
        <v>17</v>
      </c>
      <c r="H2220" t="s" s="2">
        <v>19</v>
      </c>
      <c r="I2220" t="s" s="2">
        <v>8708</v>
      </c>
      <c r="J2220" t="s" s="2">
        <v>8709</v>
      </c>
      <c r="K2220" t="s" s="2">
        <v>22</v>
      </c>
      <c r="L2220" t="s" s="2">
        <v>22</v>
      </c>
      <c r="M2220" t="s" s="2">
        <v>22</v>
      </c>
    </row>
    <row r="2221" ht="25.0" customHeight="true">
      <c r="A2221" t="s" s="2">
        <v>13</v>
      </c>
      <c r="B2221" t="s" s="2">
        <f>HYPERLINK("http://ts.21cn.com/tousu/show/id/1371756","支付宝打骚扰电话给联系人")</f>
      </c>
      <c r="C2221" t="s" s="2">
        <v>15</v>
      </c>
      <c r="D2221" t="s" s="2">
        <v>16</v>
      </c>
      <c r="E2221" t="s" s="2">
        <v>17</v>
      </c>
      <c r="F2221" t="s" s="2">
        <f>HYPERLINK("http://ts.21cn.com/tousu/show/id/1371756","http://ts.21cn.com/tousu/show/id/1371756")</f>
      </c>
      <c r="G2221" t="s" s="2">
        <v>17</v>
      </c>
      <c r="H2221" t="s" s="2">
        <v>19</v>
      </c>
      <c r="I2221" t="s" s="2">
        <v>8712</v>
      </c>
      <c r="J2221" t="s" s="2">
        <v>8713</v>
      </c>
      <c r="K2221" t="s" s="2">
        <v>22</v>
      </c>
      <c r="L2221" t="s" s="2">
        <v>22</v>
      </c>
      <c r="M2221" t="s" s="2">
        <v>22</v>
      </c>
    </row>
    <row r="2222" ht="25.0" customHeight="true">
      <c r="A2222" t="s" s="2">
        <v>13</v>
      </c>
      <c r="B2222" t="s" s="2">
        <f>HYPERLINK("http://ts.21cn.com/tousu/show/id/1371755","高利贷，利率不符合国家标准，砍头息暴力催收")</f>
      </c>
      <c r="C2222" t="s" s="2">
        <v>15</v>
      </c>
      <c r="D2222" t="s" s="2">
        <v>16</v>
      </c>
      <c r="E2222" t="s" s="2">
        <v>17</v>
      </c>
      <c r="F2222" t="s" s="2">
        <f>HYPERLINK("http://ts.21cn.com/tousu/show/id/1371755","http://ts.21cn.com/tousu/show/id/1371755")</f>
      </c>
      <c r="G2222" t="s" s="2">
        <v>17</v>
      </c>
      <c r="H2222" t="s" s="2">
        <v>19</v>
      </c>
      <c r="I2222" t="s" s="2">
        <v>8716</v>
      </c>
      <c r="J2222" t="s" s="2">
        <v>8717</v>
      </c>
      <c r="K2222" t="s" s="2">
        <v>22</v>
      </c>
      <c r="L2222" t="s" s="2">
        <v>22</v>
      </c>
      <c r="M2222" t="s" s="2">
        <v>22</v>
      </c>
    </row>
    <row r="2223" ht="25.0" customHeight="true">
      <c r="A2223" t="s" s="2">
        <v>13</v>
      </c>
      <c r="B2223" t="s" s="2">
        <f>HYPERLINK("http://ts.21cn.com/tousu/show/id/1371754","美利车金融恶意骚扰非借款人本人")</f>
      </c>
      <c r="C2223" t="s" s="2">
        <v>15</v>
      </c>
      <c r="D2223" t="s" s="2">
        <v>16</v>
      </c>
      <c r="E2223" t="s" s="2">
        <v>17</v>
      </c>
      <c r="F2223" t="s" s="2">
        <f>HYPERLINK("http://ts.21cn.com/tousu/show/id/1371754","http://ts.21cn.com/tousu/show/id/1371754")</f>
      </c>
      <c r="G2223" t="s" s="2">
        <v>17</v>
      </c>
      <c r="H2223" t="s" s="2">
        <v>19</v>
      </c>
      <c r="I2223" t="s" s="2">
        <v>8720</v>
      </c>
      <c r="J2223" t="s" s="2">
        <v>8721</v>
      </c>
      <c r="K2223" t="s" s="2">
        <v>22</v>
      </c>
      <c r="L2223" t="s" s="2">
        <v>22</v>
      </c>
      <c r="M2223" t="s" s="2">
        <v>22</v>
      </c>
    </row>
    <row r="2224" ht="25.0" customHeight="true">
      <c r="A2224" t="s" s="2">
        <v>13</v>
      </c>
      <c r="B2224" t="s" s="2">
        <f>HYPERLINK("http://ts.21cn.com/tousu/show/id/1371753","天猫平台假冒硅胶保护套")</f>
      </c>
      <c r="C2224" t="s" s="2">
        <v>15</v>
      </c>
      <c r="D2224" t="s" s="2">
        <v>16</v>
      </c>
      <c r="E2224" t="s" s="2">
        <v>17</v>
      </c>
      <c r="F2224" t="s" s="2">
        <f>HYPERLINK("http://ts.21cn.com/tousu/show/id/1371753","http://ts.21cn.com/tousu/show/id/1371753")</f>
      </c>
      <c r="G2224" t="s" s="2">
        <v>17</v>
      </c>
      <c r="H2224" t="s" s="2">
        <v>19</v>
      </c>
      <c r="I2224" t="s" s="2">
        <v>8724</v>
      </c>
      <c r="J2224" t="s" s="2">
        <v>8725</v>
      </c>
      <c r="K2224" t="s" s="2">
        <v>22</v>
      </c>
      <c r="L2224" t="s" s="2">
        <v>22</v>
      </c>
      <c r="M2224" t="s" s="2">
        <v>22</v>
      </c>
    </row>
    <row r="2225" ht="25.0" customHeight="true">
      <c r="A2225" t="s" s="2">
        <v>13</v>
      </c>
      <c r="B2225" t="s" s="2">
        <f>HYPERLINK("http://ts.21cn.com/tousu/show/id/1371752","网络借贷误导性虚假信息")</f>
      </c>
      <c r="C2225" t="s" s="2">
        <v>15</v>
      </c>
      <c r="D2225" t="s" s="2">
        <v>16</v>
      </c>
      <c r="E2225" t="s" s="2">
        <v>17</v>
      </c>
      <c r="F2225" t="s" s="2">
        <f>HYPERLINK("http://ts.21cn.com/tousu/show/id/1371752","http://ts.21cn.com/tousu/show/id/1371752")</f>
      </c>
      <c r="G2225" t="s" s="2">
        <v>17</v>
      </c>
      <c r="H2225" t="s" s="2">
        <v>19</v>
      </c>
      <c r="I2225" t="s" s="2">
        <v>8728</v>
      </c>
      <c r="J2225" t="s" s="2">
        <v>8729</v>
      </c>
      <c r="K2225" t="s" s="2">
        <v>22</v>
      </c>
      <c r="L2225" t="s" s="2">
        <v>22</v>
      </c>
      <c r="M2225" t="s" s="2">
        <v>22</v>
      </c>
    </row>
    <row r="2226" ht="25.0" customHeight="true">
      <c r="A2226" t="s" s="2">
        <v>13</v>
      </c>
      <c r="B2226" t="s" s="2">
        <f>HYPERLINK("http://ts.21cn.com/tousu/show/id/1371751","交通银行活动不兑现")</f>
      </c>
      <c r="C2226" t="s" s="2">
        <v>52</v>
      </c>
      <c r="D2226" t="s" s="2">
        <v>16</v>
      </c>
      <c r="E2226" t="s" s="2">
        <v>17</v>
      </c>
      <c r="F2226" t="s" s="2">
        <f>HYPERLINK("http://ts.21cn.com/tousu/show/id/1371751","http://ts.21cn.com/tousu/show/id/1371751")</f>
      </c>
      <c r="G2226" t="s" s="2">
        <v>17</v>
      </c>
      <c r="H2226" t="s" s="2">
        <v>19</v>
      </c>
      <c r="I2226" t="s" s="2">
        <v>8732</v>
      </c>
      <c r="J2226" t="s" s="2">
        <v>8733</v>
      </c>
      <c r="K2226" t="s" s="2">
        <v>22</v>
      </c>
      <c r="L2226" t="s" s="2">
        <v>22</v>
      </c>
      <c r="M2226" t="s" s="2">
        <v>22</v>
      </c>
    </row>
    <row r="2227" ht="25.0" customHeight="true">
      <c r="A2227" t="s" s="2">
        <v>13</v>
      </c>
      <c r="B2227" t="s" s="2">
        <f>HYPERLINK("http://ts.21cn.com/tousu/show/id/1371748","捷信金融骚扰，高利贷")</f>
      </c>
      <c r="C2227" t="s" s="2">
        <v>15</v>
      </c>
      <c r="D2227" t="s" s="2">
        <v>16</v>
      </c>
      <c r="E2227" t="s" s="2">
        <v>17</v>
      </c>
      <c r="F2227" t="s" s="2">
        <f>HYPERLINK("http://ts.21cn.com/tousu/show/id/1371748","http://ts.21cn.com/tousu/show/id/1371748")</f>
      </c>
      <c r="G2227" t="s" s="2">
        <v>17</v>
      </c>
      <c r="H2227" t="s" s="2">
        <v>19</v>
      </c>
      <c r="I2227" t="s" s="2">
        <v>8736</v>
      </c>
      <c r="J2227" t="s" s="2">
        <v>8737</v>
      </c>
      <c r="K2227" t="s" s="2">
        <v>22</v>
      </c>
      <c r="L2227" t="s" s="2">
        <v>22</v>
      </c>
      <c r="M2227" t="s" s="2">
        <v>22</v>
      </c>
    </row>
    <row r="2228" ht="25.0" customHeight="true">
      <c r="A2228" t="s" s="2">
        <v>13</v>
      </c>
      <c r="B2228" t="s" s="2">
        <f>HYPERLINK("http://ts.21cn.com/tousu/show/id/1371749","平安信用卡暴力催收")</f>
      </c>
      <c r="C2228" t="s" s="2">
        <v>15</v>
      </c>
      <c r="D2228" t="s" s="2">
        <v>16</v>
      </c>
      <c r="E2228" t="s" s="2">
        <v>17</v>
      </c>
      <c r="F2228" t="s" s="2">
        <f>HYPERLINK("http://ts.21cn.com/tousu/show/id/1371749","http://ts.21cn.com/tousu/show/id/1371749")</f>
      </c>
      <c r="G2228" t="s" s="2">
        <v>17</v>
      </c>
      <c r="H2228" t="s" s="2">
        <v>19</v>
      </c>
      <c r="I2228" t="s" s="2">
        <v>8736</v>
      </c>
      <c r="J2228" t="s" s="2">
        <v>8740</v>
      </c>
      <c r="K2228" t="s" s="2">
        <v>22</v>
      </c>
      <c r="L2228" t="s" s="2">
        <v>22</v>
      </c>
      <c r="M2228" t="s" s="2">
        <v>22</v>
      </c>
    </row>
    <row r="2229" ht="25.0" customHeight="true">
      <c r="A2229" t="s" s="2">
        <v>13</v>
      </c>
      <c r="B2229" t="s" s="2">
        <f>HYPERLINK("http://ts.21cn.com/tousu/show/id/1371476","艺龙网坑消费者")</f>
      </c>
      <c r="C2229" t="s" s="2">
        <v>15</v>
      </c>
      <c r="D2229" t="s" s="2">
        <v>16</v>
      </c>
      <c r="E2229" t="s" s="2">
        <v>17</v>
      </c>
      <c r="F2229" t="s" s="2">
        <f>HYPERLINK("http://ts.21cn.com/tousu/show/id/1371476","http://ts.21cn.com/tousu/show/id/1371476")</f>
      </c>
      <c r="G2229" t="s" s="2">
        <v>17</v>
      </c>
      <c r="H2229" t="s" s="2">
        <v>19</v>
      </c>
      <c r="I2229" t="s" s="2">
        <v>8743</v>
      </c>
      <c r="J2229" t="s" s="2">
        <v>8744</v>
      </c>
      <c r="K2229" t="s" s="2">
        <v>22</v>
      </c>
      <c r="L2229" t="s" s="2">
        <v>22</v>
      </c>
      <c r="M2229" t="s" s="2">
        <v>22</v>
      </c>
    </row>
    <row r="2230" ht="25.0" customHeight="true">
      <c r="A2230" t="s" s="2">
        <v>13</v>
      </c>
      <c r="B2230" t="s" s="2">
        <f>HYPERLINK("http://ts.21cn.com/tousu/show/id/1371747","714高炮砍头息")</f>
      </c>
      <c r="C2230" t="s" s="2">
        <v>15</v>
      </c>
      <c r="D2230" t="s" s="2">
        <v>16</v>
      </c>
      <c r="E2230" t="s" s="2">
        <v>17</v>
      </c>
      <c r="F2230" t="s" s="2">
        <f>HYPERLINK("http://ts.21cn.com/tousu/show/id/1371747","http://ts.21cn.com/tousu/show/id/1371747")</f>
      </c>
      <c r="G2230" t="s" s="2">
        <v>17</v>
      </c>
      <c r="H2230" t="s" s="2">
        <v>19</v>
      </c>
      <c r="I2230" t="s" s="2">
        <v>8747</v>
      </c>
      <c r="J2230" t="s" s="2">
        <v>8748</v>
      </c>
      <c r="K2230" t="s" s="2">
        <v>22</v>
      </c>
      <c r="L2230" t="s" s="2">
        <v>22</v>
      </c>
      <c r="M2230" t="s" s="2">
        <v>22</v>
      </c>
    </row>
    <row r="2231" ht="25.0" customHeight="true">
      <c r="A2231" t="s" s="2">
        <v>13</v>
      </c>
      <c r="B2231" t="s" s="2">
        <f>HYPERLINK("http://ts.21cn.com/tousu/show/id/1371745","我来贷高利贷")</f>
      </c>
      <c r="C2231" t="s" s="2">
        <v>15</v>
      </c>
      <c r="D2231" t="s" s="2">
        <v>16</v>
      </c>
      <c r="E2231" t="s" s="2">
        <v>17</v>
      </c>
      <c r="F2231" t="s" s="2">
        <f>HYPERLINK("http://ts.21cn.com/tousu/show/id/1371745","http://ts.21cn.com/tousu/show/id/1371745")</f>
      </c>
      <c r="G2231" t="s" s="2">
        <v>17</v>
      </c>
      <c r="H2231" t="s" s="2">
        <v>19</v>
      </c>
      <c r="I2231" t="s" s="2">
        <v>8751</v>
      </c>
      <c r="J2231" t="s" s="2">
        <v>8752</v>
      </c>
      <c r="K2231" t="s" s="2">
        <v>22</v>
      </c>
      <c r="L2231" t="s" s="2">
        <v>22</v>
      </c>
      <c r="M2231" t="s" s="2">
        <v>22</v>
      </c>
    </row>
    <row r="2232" ht="25.0" customHeight="true">
      <c r="A2232" t="s" s="2">
        <v>13</v>
      </c>
      <c r="B2232" t="s" s="2">
        <f>HYPERLINK("http://ts.21cn.com/tousu/show/id/1371746","华夏信财花财客服态度恶劣，没到还款日就扣款")</f>
      </c>
      <c r="C2232" t="s" s="2">
        <v>15</v>
      </c>
      <c r="D2232" t="s" s="2">
        <v>16</v>
      </c>
      <c r="E2232" t="s" s="2">
        <v>17</v>
      </c>
      <c r="F2232" t="s" s="2">
        <f>HYPERLINK("http://ts.21cn.com/tousu/show/id/1371746","http://ts.21cn.com/tousu/show/id/1371746")</f>
      </c>
      <c r="G2232" t="s" s="2">
        <v>17</v>
      </c>
      <c r="H2232" t="s" s="2">
        <v>19</v>
      </c>
      <c r="I2232" t="s" s="2">
        <v>8755</v>
      </c>
      <c r="J2232" t="s" s="2">
        <v>8756</v>
      </c>
      <c r="K2232" t="s" s="2">
        <v>22</v>
      </c>
      <c r="L2232" t="s" s="2">
        <v>22</v>
      </c>
      <c r="M2232" t="s" s="2">
        <v>22</v>
      </c>
    </row>
    <row r="2233" ht="25.0" customHeight="true">
      <c r="A2233" t="s" s="2">
        <v>13</v>
      </c>
      <c r="B2233" t="s" s="2">
        <f>HYPERLINK("http://ts.21cn.com/tousu/show/id/1371744","高利贷，套路贷")</f>
      </c>
      <c r="C2233" t="s" s="2">
        <v>15</v>
      </c>
      <c r="D2233" t="s" s="2">
        <v>16</v>
      </c>
      <c r="E2233" t="s" s="2">
        <v>17</v>
      </c>
      <c r="F2233" t="s" s="2">
        <f>HYPERLINK("http://ts.21cn.com/tousu/show/id/1371744","http://ts.21cn.com/tousu/show/id/1371744")</f>
      </c>
      <c r="G2233" t="s" s="2">
        <v>17</v>
      </c>
      <c r="H2233" t="s" s="2">
        <v>19</v>
      </c>
      <c r="I2233" t="s" s="2">
        <v>8759</v>
      </c>
      <c r="J2233" t="s" s="2">
        <v>8760</v>
      </c>
      <c r="K2233" t="s" s="2">
        <v>22</v>
      </c>
      <c r="L2233" t="s" s="2">
        <v>22</v>
      </c>
      <c r="M2233" t="s" s="2">
        <v>22</v>
      </c>
    </row>
    <row r="2234" ht="25.0" customHeight="true">
      <c r="A2234" t="s" s="2">
        <v>13</v>
      </c>
      <c r="B2234" t="s" s="2">
        <f>HYPERLINK("http://ts.21cn.com/tousu/show/id/1371743","淘宝商户未发货，淘宝客服不处理推卸责任")</f>
      </c>
      <c r="C2234" t="s" s="2">
        <v>15</v>
      </c>
      <c r="D2234" t="s" s="2">
        <v>16</v>
      </c>
      <c r="E2234" t="s" s="2">
        <v>17</v>
      </c>
      <c r="F2234" t="s" s="2">
        <f>HYPERLINK("http://ts.21cn.com/tousu/show/id/1371743","http://ts.21cn.com/tousu/show/id/1371743")</f>
      </c>
      <c r="G2234" t="s" s="2">
        <v>17</v>
      </c>
      <c r="H2234" t="s" s="2">
        <v>19</v>
      </c>
      <c r="I2234" t="s" s="2">
        <v>8763</v>
      </c>
      <c r="J2234" t="s" s="2">
        <v>8764</v>
      </c>
      <c r="K2234" t="s" s="2">
        <v>22</v>
      </c>
      <c r="L2234" t="s" s="2">
        <v>22</v>
      </c>
      <c r="M2234" t="s" s="2">
        <v>22</v>
      </c>
    </row>
    <row r="2235" ht="25.0" customHeight="true">
      <c r="A2235" t="s" s="2">
        <v>13</v>
      </c>
      <c r="B2235" t="s" s="2">
        <f>HYPERLINK("http://ts.21cn.com/tousu/show/id/1371741","阿里巴巴淘宝网盗取个人信息，骚扰电话甚至是不认识的人")</f>
      </c>
      <c r="C2235" t="s" s="2">
        <v>15</v>
      </c>
      <c r="D2235" t="s" s="2">
        <v>16</v>
      </c>
      <c r="E2235" t="s" s="2">
        <v>17</v>
      </c>
      <c r="F2235" t="s" s="2">
        <f>HYPERLINK("http://ts.21cn.com/tousu/show/id/1371741","http://ts.21cn.com/tousu/show/id/1371741")</f>
      </c>
      <c r="G2235" t="s" s="2">
        <v>17</v>
      </c>
      <c r="H2235" t="s" s="2">
        <v>19</v>
      </c>
      <c r="I2235" t="s" s="2">
        <v>8767</v>
      </c>
      <c r="J2235" t="s" s="2">
        <v>8768</v>
      </c>
      <c r="K2235" t="s" s="2">
        <v>22</v>
      </c>
      <c r="L2235" t="s" s="2">
        <v>22</v>
      </c>
      <c r="M2235" t="s" s="2">
        <v>22</v>
      </c>
    </row>
    <row r="2236" ht="25.0" customHeight="true">
      <c r="A2236" t="s" s="2">
        <v>13</v>
      </c>
      <c r="B2236" t="s" s="2">
        <f>HYPERLINK("http://ts.21cn.com/tousu/show/id/1371742","上海造艺网络技术有限公司")</f>
      </c>
      <c r="C2236" t="s" s="2">
        <v>15</v>
      </c>
      <c r="D2236" t="s" s="2">
        <v>16</v>
      </c>
      <c r="E2236" t="s" s="2">
        <v>17</v>
      </c>
      <c r="F2236" t="s" s="2">
        <f>HYPERLINK("http://ts.21cn.com/tousu/show/id/1371742","http://ts.21cn.com/tousu/show/id/1371742")</f>
      </c>
      <c r="G2236" t="s" s="2">
        <v>17</v>
      </c>
      <c r="H2236" t="s" s="2">
        <v>19</v>
      </c>
      <c r="I2236" t="s" s="2">
        <v>8771</v>
      </c>
      <c r="J2236" t="s" s="2">
        <v>8772</v>
      </c>
      <c r="K2236" t="s" s="2">
        <v>22</v>
      </c>
      <c r="L2236" t="s" s="2">
        <v>22</v>
      </c>
      <c r="M2236" t="s" s="2">
        <v>22</v>
      </c>
    </row>
    <row r="2237" ht="25.0" customHeight="true">
      <c r="A2237" t="s" s="2">
        <v>13</v>
      </c>
      <c r="B2237" t="s" s="2">
        <f>HYPERLINK("http://ts.21cn.com/tousu/show/id/1371740","泄露个人通讯录暴力催收")</f>
      </c>
      <c r="C2237" t="s" s="2">
        <v>15</v>
      </c>
      <c r="D2237" t="s" s="2">
        <v>16</v>
      </c>
      <c r="E2237" t="s" s="2">
        <v>17</v>
      </c>
      <c r="F2237" t="s" s="2">
        <f>HYPERLINK("http://ts.21cn.com/tousu/show/id/1371740","http://ts.21cn.com/tousu/show/id/1371740")</f>
      </c>
      <c r="G2237" t="s" s="2">
        <v>17</v>
      </c>
      <c r="H2237" t="s" s="2">
        <v>19</v>
      </c>
      <c r="I2237" t="s" s="2">
        <v>8775</v>
      </c>
      <c r="J2237" t="s" s="2">
        <v>8776</v>
      </c>
      <c r="K2237" t="s" s="2">
        <v>22</v>
      </c>
      <c r="L2237" t="s" s="2">
        <v>22</v>
      </c>
      <c r="M2237" t="s" s="2">
        <v>22</v>
      </c>
    </row>
    <row r="2238" ht="25.0" customHeight="true">
      <c r="A2238" t="s" s="2">
        <v>13</v>
      </c>
      <c r="B2238" t="s" s="2">
        <f>HYPERLINK("http://ts.21cn.com/tousu/show/id/1371444","知名企业无视监管强制捆绑保险")</f>
      </c>
      <c r="C2238" t="s" s="2">
        <v>15</v>
      </c>
      <c r="D2238" t="s" s="2">
        <v>16</v>
      </c>
      <c r="E2238" t="s" s="2">
        <v>17</v>
      </c>
      <c r="F2238" t="s" s="2">
        <f>HYPERLINK("http://ts.21cn.com/tousu/show/id/1371444","http://ts.21cn.com/tousu/show/id/1371444")</f>
      </c>
      <c r="G2238" t="s" s="2">
        <v>17</v>
      </c>
      <c r="H2238" t="s" s="2">
        <v>19</v>
      </c>
      <c r="I2238" t="s" s="2">
        <v>8779</v>
      </c>
      <c r="J2238" t="s" s="2">
        <v>8780</v>
      </c>
      <c r="K2238" t="s" s="2">
        <v>22</v>
      </c>
      <c r="L2238" t="s" s="2">
        <v>22</v>
      </c>
      <c r="M2238" t="s" s="2">
        <v>22</v>
      </c>
    </row>
    <row r="2239" ht="25.0" customHeight="true">
      <c r="A2239" t="s" s="2">
        <v>13</v>
      </c>
      <c r="B2239" t="s" s="2">
        <f>HYPERLINK("http://ts.21cn.com/tousu/show/id/1371739","没有借款，说我在他们平台借款")</f>
      </c>
      <c r="C2239" t="s" s="2">
        <v>52</v>
      </c>
      <c r="D2239" t="s" s="2">
        <v>16</v>
      </c>
      <c r="E2239" t="s" s="2">
        <v>17</v>
      </c>
      <c r="F2239" t="s" s="2">
        <f>HYPERLINK("http://ts.21cn.com/tousu/show/id/1371739","http://ts.21cn.com/tousu/show/id/1371739")</f>
      </c>
      <c r="G2239" t="s" s="2">
        <v>17</v>
      </c>
      <c r="H2239" t="s" s="2">
        <v>19</v>
      </c>
      <c r="I2239" t="s" s="2">
        <v>8783</v>
      </c>
      <c r="J2239" t="s" s="2">
        <v>8784</v>
      </c>
      <c r="K2239" t="s" s="2">
        <v>22</v>
      </c>
      <c r="L2239" t="s" s="2">
        <v>22</v>
      </c>
      <c r="M2239" t="s" s="2">
        <v>22</v>
      </c>
    </row>
    <row r="2240" ht="25.0" customHeight="true">
      <c r="A2240" t="s" s="2">
        <v>13</v>
      </c>
      <c r="B2240" t="s" s="2">
        <f>HYPERLINK("http://ts.21cn.com/tousu/show/id/1371738","联想商城退货迟迟不退款")</f>
      </c>
      <c r="C2240" t="s" s="2">
        <v>15</v>
      </c>
      <c r="D2240" t="s" s="2">
        <v>16</v>
      </c>
      <c r="E2240" t="s" s="2">
        <v>17</v>
      </c>
      <c r="F2240" t="s" s="2">
        <f>HYPERLINK("http://ts.21cn.com/tousu/show/id/1371738","http://ts.21cn.com/tousu/show/id/1371738")</f>
      </c>
      <c r="G2240" t="s" s="2">
        <v>17</v>
      </c>
      <c r="H2240" t="s" s="2">
        <v>19</v>
      </c>
      <c r="I2240" t="s" s="2">
        <v>8787</v>
      </c>
      <c r="J2240" t="s" s="2">
        <v>8788</v>
      </c>
      <c r="K2240" t="s" s="2">
        <v>22</v>
      </c>
      <c r="L2240" t="s" s="2">
        <v>22</v>
      </c>
      <c r="M2240" t="s" s="2">
        <v>22</v>
      </c>
    </row>
    <row r="2241" ht="25.0" customHeight="true">
      <c r="A2241" t="s" s="2">
        <v>13</v>
      </c>
      <c r="B2241" t="s" s="2">
        <f>HYPERLINK("http://ts.21cn.com/tousu/show/id/1371737","由于公司工资晚发两天，请求好分期给予推迟两天的还款时间")</f>
      </c>
      <c r="C2241" t="s" s="2">
        <v>15</v>
      </c>
      <c r="D2241" t="s" s="2">
        <v>16</v>
      </c>
      <c r="E2241" t="s" s="2">
        <v>17</v>
      </c>
      <c r="F2241" t="s" s="2">
        <f>HYPERLINK("http://ts.21cn.com/tousu/show/id/1371737","http://ts.21cn.com/tousu/show/id/1371737")</f>
      </c>
      <c r="G2241" t="s" s="2">
        <v>17</v>
      </c>
      <c r="H2241" t="s" s="2">
        <v>19</v>
      </c>
      <c r="I2241" t="s" s="2">
        <v>8791</v>
      </c>
      <c r="J2241" t="s" s="2">
        <v>8792</v>
      </c>
      <c r="K2241" t="s" s="2">
        <v>22</v>
      </c>
      <c r="L2241" t="s" s="2">
        <v>22</v>
      </c>
      <c r="M2241" t="s" s="2">
        <v>22</v>
      </c>
    </row>
    <row r="2242" ht="25.0" customHeight="true">
      <c r="A2242" t="s" s="2">
        <v>13</v>
      </c>
      <c r="B2242" t="s" s="2">
        <f>HYPERLINK("http://ts.21cn.com/tousu/show/id/1371735","拉卡拉扣留资金")</f>
      </c>
      <c r="C2242" t="s" s="2">
        <v>15</v>
      </c>
      <c r="D2242" t="s" s="2">
        <v>16</v>
      </c>
      <c r="E2242" t="s" s="2">
        <v>17</v>
      </c>
      <c r="F2242" t="s" s="2">
        <f>HYPERLINK("http://ts.21cn.com/tousu/show/id/1371735","http://ts.21cn.com/tousu/show/id/1371735")</f>
      </c>
      <c r="G2242" t="s" s="2">
        <v>17</v>
      </c>
      <c r="H2242" t="s" s="2">
        <v>19</v>
      </c>
      <c r="I2242" t="s" s="2">
        <v>8795</v>
      </c>
      <c r="J2242" t="s" s="2">
        <v>8796</v>
      </c>
      <c r="K2242" t="s" s="2">
        <v>22</v>
      </c>
      <c r="L2242" t="s" s="2">
        <v>22</v>
      </c>
      <c r="M2242" t="s" s="2">
        <v>22</v>
      </c>
    </row>
    <row r="2243" ht="25.0" customHeight="true">
      <c r="A2243" t="s" s="2">
        <v>13</v>
      </c>
      <c r="B2243" t="s" s="2">
        <f>HYPERLINK("http://ts.21cn.com/tousu/show/id/1371734","和信贷踏实赚退出缓慢")</f>
      </c>
      <c r="C2243" t="s" s="2">
        <v>15</v>
      </c>
      <c r="D2243" t="s" s="2">
        <v>16</v>
      </c>
      <c r="E2243" t="s" s="2">
        <v>17</v>
      </c>
      <c r="F2243" t="s" s="2">
        <f>HYPERLINK("http://ts.21cn.com/tousu/show/id/1371734","http://ts.21cn.com/tousu/show/id/1371734")</f>
      </c>
      <c r="G2243" t="s" s="2">
        <v>17</v>
      </c>
      <c r="H2243" t="s" s="2">
        <v>19</v>
      </c>
      <c r="I2243" t="s" s="2">
        <v>8799</v>
      </c>
      <c r="J2243" t="s" s="2">
        <v>8800</v>
      </c>
      <c r="K2243" t="s" s="2">
        <v>22</v>
      </c>
      <c r="L2243" t="s" s="2">
        <v>22</v>
      </c>
      <c r="M2243" t="s" s="2">
        <v>22</v>
      </c>
    </row>
    <row r="2244" ht="25.0" customHeight="true">
      <c r="A2244" t="s" s="2">
        <v>13</v>
      </c>
      <c r="B2244" t="s" s="2">
        <f>HYPERLINK("http://ts.21cn.com/tousu/show/id/1371736","个人信息泄露被网贷平台暴力催收")</f>
      </c>
      <c r="C2244" t="s" s="2">
        <v>15</v>
      </c>
      <c r="D2244" t="s" s="2">
        <v>16</v>
      </c>
      <c r="E2244" t="s" s="2">
        <v>17</v>
      </c>
      <c r="F2244" t="s" s="2">
        <f>HYPERLINK("http://ts.21cn.com/tousu/show/id/1371736","http://ts.21cn.com/tousu/show/id/1371736")</f>
      </c>
      <c r="G2244" t="s" s="2">
        <v>17</v>
      </c>
      <c r="H2244" t="s" s="2">
        <v>19</v>
      </c>
      <c r="I2244" t="s" s="2">
        <v>8803</v>
      </c>
      <c r="J2244" t="s" s="2">
        <v>8804</v>
      </c>
      <c r="K2244" t="s" s="2">
        <v>22</v>
      </c>
      <c r="L2244" t="s" s="2">
        <v>22</v>
      </c>
      <c r="M2244" t="s" s="2">
        <v>22</v>
      </c>
    </row>
    <row r="2245" ht="25.0" customHeight="true">
      <c r="A2245" t="s" s="2">
        <v>13</v>
      </c>
      <c r="B2245" t="s" s="2">
        <f>HYPERLINK("http://ts.21cn.com/tousu/show/id/1371732","强制性消费")</f>
      </c>
      <c r="C2245" t="s" s="2">
        <v>15</v>
      </c>
      <c r="D2245" t="s" s="2">
        <v>16</v>
      </c>
      <c r="E2245" t="s" s="2">
        <v>17</v>
      </c>
      <c r="F2245" t="s" s="2">
        <f>HYPERLINK("http://ts.21cn.com/tousu/show/id/1371732","http://ts.21cn.com/tousu/show/id/1371732")</f>
      </c>
      <c r="G2245" t="s" s="2">
        <v>17</v>
      </c>
      <c r="H2245" t="s" s="2">
        <v>19</v>
      </c>
      <c r="I2245" t="s" s="2">
        <v>8807</v>
      </c>
      <c r="J2245" t="s" s="2">
        <v>8808</v>
      </c>
      <c r="K2245" t="s" s="2">
        <v>22</v>
      </c>
      <c r="L2245" t="s" s="2">
        <v>22</v>
      </c>
      <c r="M2245" t="s" s="2">
        <v>22</v>
      </c>
    </row>
    <row r="2246" ht="25.0" customHeight="true">
      <c r="A2246" t="s" s="2">
        <v>13</v>
      </c>
      <c r="B2246" t="s" s="2">
        <f>HYPERLINK("http://ts.21cn.com/tousu/show/id/1371733","安逸花暴力催收")</f>
      </c>
      <c r="C2246" t="s" s="2">
        <v>15</v>
      </c>
      <c r="D2246" t="s" s="2">
        <v>16</v>
      </c>
      <c r="E2246" t="s" s="2">
        <v>17</v>
      </c>
      <c r="F2246" t="s" s="2">
        <f>HYPERLINK("http://ts.21cn.com/tousu/show/id/1371733","http://ts.21cn.com/tousu/show/id/1371733")</f>
      </c>
      <c r="G2246" t="s" s="2">
        <v>17</v>
      </c>
      <c r="H2246" t="s" s="2">
        <v>19</v>
      </c>
      <c r="I2246" t="s" s="2">
        <v>8810</v>
      </c>
      <c r="J2246" t="s" s="2">
        <v>8811</v>
      </c>
      <c r="K2246" t="s" s="2">
        <v>22</v>
      </c>
      <c r="L2246" t="s" s="2">
        <v>22</v>
      </c>
      <c r="M2246" t="s" s="2">
        <v>22</v>
      </c>
    </row>
    <row r="2247" ht="25.0" customHeight="true">
      <c r="A2247" t="s" s="2">
        <v>13</v>
      </c>
      <c r="B2247" t="s" s="2">
        <f>HYPERLINK("http://ts.21cn.com/tousu/show/id/1370126","贷款公司爆联系人通讯录，骚扰让朋友还钱")</f>
      </c>
      <c r="C2247" t="s" s="2">
        <v>15</v>
      </c>
      <c r="D2247" t="s" s="2">
        <v>16</v>
      </c>
      <c r="E2247" t="s" s="2">
        <v>17</v>
      </c>
      <c r="F2247" t="s" s="2">
        <f>HYPERLINK("http://ts.21cn.com/tousu/show/id/1370126","http://ts.21cn.com/tousu/show/id/1370126")</f>
      </c>
      <c r="G2247" t="s" s="2">
        <v>17</v>
      </c>
      <c r="H2247" t="s" s="2">
        <v>19</v>
      </c>
      <c r="I2247" t="s" s="2">
        <v>8814</v>
      </c>
      <c r="J2247" t="s" s="2">
        <v>8503</v>
      </c>
      <c r="K2247" t="s" s="2">
        <v>22</v>
      </c>
      <c r="L2247" t="s" s="2">
        <v>22</v>
      </c>
      <c r="M2247" t="s" s="2">
        <v>22</v>
      </c>
    </row>
    <row r="2248" ht="25.0" customHeight="true">
      <c r="A2248" t="s" s="2">
        <v>13</v>
      </c>
      <c r="B2248" t="s" s="2">
        <f>HYPERLINK("http://ts.21cn.com/tousu/show/id/1371731","京东金融催收人员骚扰我家人")</f>
      </c>
      <c r="C2248" t="s" s="2">
        <v>15</v>
      </c>
      <c r="D2248" t="s" s="2">
        <v>16</v>
      </c>
      <c r="E2248" t="s" s="2">
        <v>17</v>
      </c>
      <c r="F2248" t="s" s="2">
        <f>HYPERLINK("http://ts.21cn.com/tousu/show/id/1371731","http://ts.21cn.com/tousu/show/id/1371731")</f>
      </c>
      <c r="G2248" t="s" s="2">
        <v>17</v>
      </c>
      <c r="H2248" t="s" s="2">
        <v>19</v>
      </c>
      <c r="I2248" t="s" s="2">
        <v>8817</v>
      </c>
      <c r="J2248" t="s" s="2">
        <v>8818</v>
      </c>
      <c r="K2248" t="s" s="2">
        <v>22</v>
      </c>
      <c r="L2248" t="s" s="2">
        <v>22</v>
      </c>
      <c r="M2248" t="s" s="2">
        <v>22</v>
      </c>
    </row>
    <row r="2249" ht="25.0" customHeight="true">
      <c r="A2249" t="s" s="2">
        <v>13</v>
      </c>
      <c r="B2249" t="s" s="2">
        <f>HYPERLINK("http://ts.21cn.com/tousu/show/id/1371730","遵义市湘江投资公司卖房多次延期不交房")</f>
      </c>
      <c r="C2249" t="s" s="2">
        <v>15</v>
      </c>
      <c r="D2249" t="s" s="2">
        <v>16</v>
      </c>
      <c r="E2249" t="s" s="2">
        <v>17</v>
      </c>
      <c r="F2249" t="s" s="2">
        <f>HYPERLINK("http://ts.21cn.com/tousu/show/id/1371730","http://ts.21cn.com/tousu/show/id/1371730")</f>
      </c>
      <c r="G2249" t="s" s="2">
        <v>17</v>
      </c>
      <c r="H2249" t="s" s="2">
        <v>19</v>
      </c>
      <c r="I2249" t="s" s="2">
        <v>8821</v>
      </c>
      <c r="J2249" t="s" s="2">
        <v>8822</v>
      </c>
      <c r="K2249" t="s" s="2">
        <v>22</v>
      </c>
      <c r="L2249" t="s" s="2">
        <v>22</v>
      </c>
      <c r="M2249" t="s" s="2">
        <v>22</v>
      </c>
    </row>
    <row r="2250" ht="25.0" customHeight="true">
      <c r="A2250" t="s" s="2">
        <v>13</v>
      </c>
      <c r="B2250" t="s" s="2">
        <f>HYPERLINK("http://ts.21cn.com/tousu/show/id/1371729","小象优品高利贷")</f>
      </c>
      <c r="C2250" t="s" s="2">
        <v>15</v>
      </c>
      <c r="D2250" t="s" s="2">
        <v>16</v>
      </c>
      <c r="E2250" t="s" s="2">
        <v>17</v>
      </c>
      <c r="F2250" t="s" s="2">
        <f>HYPERLINK("http://ts.21cn.com/tousu/show/id/1371729","http://ts.21cn.com/tousu/show/id/1371729")</f>
      </c>
      <c r="G2250" t="s" s="2">
        <v>17</v>
      </c>
      <c r="H2250" t="s" s="2">
        <v>19</v>
      </c>
      <c r="I2250" t="s" s="2">
        <v>8824</v>
      </c>
      <c r="J2250" t="s" s="2">
        <v>8825</v>
      </c>
      <c r="K2250" t="s" s="2">
        <v>22</v>
      </c>
      <c r="L2250" t="s" s="2">
        <v>22</v>
      </c>
      <c r="M2250" t="s" s="2">
        <v>22</v>
      </c>
    </row>
    <row r="2251" ht="25.0" customHeight="true">
      <c r="A2251" t="s" s="2">
        <v>13</v>
      </c>
      <c r="B2251" t="s" s="2">
        <f>HYPERLINK("http://ts.21cn.com/tousu/show/id/1371726","豆豆钱恶意，威胁")</f>
      </c>
      <c r="C2251" t="s" s="2">
        <v>15</v>
      </c>
      <c r="D2251" t="s" s="2">
        <v>16</v>
      </c>
      <c r="E2251" t="s" s="2">
        <v>17</v>
      </c>
      <c r="F2251" t="s" s="2">
        <f>HYPERLINK("http://ts.21cn.com/tousu/show/id/1371726","http://ts.21cn.com/tousu/show/id/1371726")</f>
      </c>
      <c r="G2251" t="s" s="2">
        <v>17</v>
      </c>
      <c r="H2251" t="s" s="2">
        <v>19</v>
      </c>
      <c r="I2251" t="s" s="2">
        <v>8828</v>
      </c>
      <c r="J2251" t="s" s="2">
        <v>8829</v>
      </c>
      <c r="K2251" t="s" s="2">
        <v>22</v>
      </c>
      <c r="L2251" t="s" s="2">
        <v>22</v>
      </c>
      <c r="M2251" t="s" s="2">
        <v>22</v>
      </c>
    </row>
    <row r="2252" ht="25.0" customHeight="true">
      <c r="A2252" t="s" s="2">
        <v>13</v>
      </c>
      <c r="B2252" t="s" s="2">
        <f>HYPERLINK("http://ts.21cn.com/tousu/show/id/1371727","轻周转，芒果筹高利贷，套路贷高额逾期费用")</f>
      </c>
      <c r="C2252" t="s" s="2">
        <v>15</v>
      </c>
      <c r="D2252" t="s" s="2">
        <v>16</v>
      </c>
      <c r="E2252" t="s" s="2">
        <v>17</v>
      </c>
      <c r="F2252" t="s" s="2">
        <f>HYPERLINK("http://ts.21cn.com/tousu/show/id/1371727","http://ts.21cn.com/tousu/show/id/1371727")</f>
      </c>
      <c r="G2252" t="s" s="2">
        <v>17</v>
      </c>
      <c r="H2252" t="s" s="2">
        <v>19</v>
      </c>
      <c r="I2252" t="s" s="2">
        <v>8832</v>
      </c>
      <c r="J2252" t="s" s="2">
        <v>8833</v>
      </c>
      <c r="K2252" t="s" s="2">
        <v>22</v>
      </c>
      <c r="L2252" t="s" s="2">
        <v>22</v>
      </c>
      <c r="M2252" t="s" s="2">
        <v>22</v>
      </c>
    </row>
    <row r="2253" ht="25.0" customHeight="true">
      <c r="A2253" t="s" s="2">
        <v>13</v>
      </c>
      <c r="B2253" t="s" s="2">
        <f>HYPERLINK("http://ts.21cn.com/tousu/show/id/1371723","第三方上门威胁家人")</f>
      </c>
      <c r="C2253" t="s" s="2">
        <v>15</v>
      </c>
      <c r="D2253" t="s" s="2">
        <v>16</v>
      </c>
      <c r="E2253" t="s" s="2">
        <v>17</v>
      </c>
      <c r="F2253" t="s" s="2">
        <f>HYPERLINK("http://ts.21cn.com/tousu/show/id/1371723","http://ts.21cn.com/tousu/show/id/1371723")</f>
      </c>
      <c r="G2253" t="s" s="2">
        <v>17</v>
      </c>
      <c r="H2253" t="s" s="2">
        <v>19</v>
      </c>
      <c r="I2253" t="s" s="2">
        <v>8836</v>
      </c>
      <c r="J2253" t="s" s="2">
        <v>8837</v>
      </c>
      <c r="K2253" t="s" s="2">
        <v>22</v>
      </c>
      <c r="L2253" t="s" s="2">
        <v>22</v>
      </c>
      <c r="M2253" t="s" s="2">
        <v>22</v>
      </c>
    </row>
    <row r="2254" ht="25.0" customHeight="true">
      <c r="A2254" t="s" s="2">
        <v>13</v>
      </c>
      <c r="B2254" t="s" s="2">
        <f>HYPERLINK("http://ts.21cn.com/tousu/show/id/1371722","闪电暴力催收，推卸责任！")</f>
      </c>
      <c r="C2254" t="s" s="2">
        <v>15</v>
      </c>
      <c r="D2254" t="s" s="2">
        <v>16</v>
      </c>
      <c r="E2254" t="s" s="2">
        <v>17</v>
      </c>
      <c r="F2254" t="s" s="2">
        <f>HYPERLINK("http://ts.21cn.com/tousu/show/id/1371722","http://ts.21cn.com/tousu/show/id/1371722")</f>
      </c>
      <c r="G2254" t="s" s="2">
        <v>17</v>
      </c>
      <c r="H2254" t="s" s="2">
        <v>19</v>
      </c>
      <c r="I2254" t="s" s="2">
        <v>8840</v>
      </c>
      <c r="J2254" t="s" s="2">
        <v>8841</v>
      </c>
      <c r="K2254" t="s" s="2">
        <v>22</v>
      </c>
      <c r="L2254" t="s" s="2">
        <v>22</v>
      </c>
      <c r="M2254" t="s" s="2">
        <v>22</v>
      </c>
    </row>
    <row r="2255" ht="25.0" customHeight="true">
      <c r="A2255" t="s" s="2">
        <v>13</v>
      </c>
      <c r="B2255" t="s" s="2">
        <f>HYPERLINK("http://ts.21cn.com/tousu/show/id/1371721","暴力催收，不听人话")</f>
      </c>
      <c r="C2255" t="s" s="2">
        <v>15</v>
      </c>
      <c r="D2255" t="s" s="2">
        <v>16</v>
      </c>
      <c r="E2255" t="s" s="2">
        <v>17</v>
      </c>
      <c r="F2255" t="s" s="2">
        <f>HYPERLINK("http://ts.21cn.com/tousu/show/id/1371721","http://ts.21cn.com/tousu/show/id/1371721")</f>
      </c>
      <c r="G2255" t="s" s="2">
        <v>17</v>
      </c>
      <c r="H2255" t="s" s="2">
        <v>19</v>
      </c>
      <c r="I2255" t="s" s="2">
        <v>8844</v>
      </c>
      <c r="J2255" t="s" s="2">
        <v>8845</v>
      </c>
      <c r="K2255" t="s" s="2">
        <v>22</v>
      </c>
      <c r="L2255" t="s" s="2">
        <v>22</v>
      </c>
      <c r="M2255" t="s" s="2">
        <v>22</v>
      </c>
    </row>
    <row r="2256" ht="25.0" customHeight="true">
      <c r="A2256" t="s" s="2">
        <v>13</v>
      </c>
      <c r="B2256" t="s" s="2">
        <f>HYPERLINK("http://ts.21cn.com/tousu/show/id/1371720","结清证明迟迟不给")</f>
      </c>
      <c r="C2256" t="s" s="2">
        <v>15</v>
      </c>
      <c r="D2256" t="s" s="2">
        <v>16</v>
      </c>
      <c r="E2256" t="s" s="2">
        <v>17</v>
      </c>
      <c r="F2256" t="s" s="2">
        <f>HYPERLINK("http://ts.21cn.com/tousu/show/id/1371720","http://ts.21cn.com/tousu/show/id/1371720")</f>
      </c>
      <c r="G2256" t="s" s="2">
        <v>17</v>
      </c>
      <c r="H2256" t="s" s="2">
        <v>19</v>
      </c>
      <c r="I2256" t="s" s="2">
        <v>8848</v>
      </c>
      <c r="J2256" t="s" s="2">
        <v>8849</v>
      </c>
      <c r="K2256" t="s" s="2">
        <v>22</v>
      </c>
      <c r="L2256" t="s" s="2">
        <v>22</v>
      </c>
      <c r="M2256" t="s" s="2">
        <v>22</v>
      </c>
    </row>
    <row r="2257" ht="25.0" customHeight="true">
      <c r="A2257" t="s" s="2">
        <v>13</v>
      </c>
      <c r="B2257" t="s" s="2">
        <f>HYPERLINK("http://ts.21cn.com/tousu/show/id/1371719","上海喆迁搬场服务有限公司强制收取高额人工费用且拒不开票")</f>
      </c>
      <c r="C2257" t="s" s="2">
        <v>15</v>
      </c>
      <c r="D2257" t="s" s="2">
        <v>16</v>
      </c>
      <c r="E2257" t="s" s="2">
        <v>17</v>
      </c>
      <c r="F2257" t="s" s="2">
        <f>HYPERLINK("http://ts.21cn.com/tousu/show/id/1371719","http://ts.21cn.com/tousu/show/id/1371719")</f>
      </c>
      <c r="G2257" t="s" s="2">
        <v>17</v>
      </c>
      <c r="H2257" t="s" s="2">
        <v>19</v>
      </c>
      <c r="I2257" t="s" s="2">
        <v>8852</v>
      </c>
      <c r="J2257" t="s" s="2">
        <v>8853</v>
      </c>
      <c r="K2257" t="s" s="2">
        <v>22</v>
      </c>
      <c r="L2257" t="s" s="2">
        <v>22</v>
      </c>
      <c r="M2257" t="s" s="2">
        <v>22</v>
      </c>
    </row>
    <row r="2258" ht="25.0" customHeight="true">
      <c r="A2258" t="s" s="2">
        <v>13</v>
      </c>
      <c r="B2258" t="s" s="2">
        <f>HYPERLINK("http://ts.21cn.com/tousu/show/id/1371718","在试用期期间提出离职，公司直属主管不批准，让我自己旷工离职。")</f>
      </c>
      <c r="C2258" t="s" s="2">
        <v>15</v>
      </c>
      <c r="D2258" t="s" s="2">
        <v>16</v>
      </c>
      <c r="E2258" t="s" s="2">
        <v>17</v>
      </c>
      <c r="F2258" t="s" s="2">
        <f>HYPERLINK("http://ts.21cn.com/tousu/show/id/1371718","http://ts.21cn.com/tousu/show/id/1371718")</f>
      </c>
      <c r="G2258" t="s" s="2">
        <v>17</v>
      </c>
      <c r="H2258" t="s" s="2">
        <v>19</v>
      </c>
      <c r="I2258" t="s" s="2">
        <v>8856</v>
      </c>
      <c r="J2258" t="s" s="2">
        <v>8857</v>
      </c>
      <c r="K2258" t="s" s="2">
        <v>22</v>
      </c>
      <c r="L2258" t="s" s="2">
        <v>22</v>
      </c>
      <c r="M2258" t="s" s="2">
        <v>22</v>
      </c>
    </row>
    <row r="2259" ht="25.0" customHeight="true">
      <c r="A2259" t="s" s="2">
        <v>13</v>
      </c>
      <c r="B2259" t="s" s="2">
        <f>HYPERLINK("http://ts.21cn.com/tousu/show/id/1371717","聚福钱包未经许可想私自扣费")</f>
      </c>
      <c r="C2259" t="s" s="2">
        <v>15</v>
      </c>
      <c r="D2259" t="s" s="2">
        <v>16</v>
      </c>
      <c r="E2259" t="s" s="2">
        <v>17</v>
      </c>
      <c r="F2259" t="s" s="2">
        <f>HYPERLINK("http://ts.21cn.com/tousu/show/id/1371717","http://ts.21cn.com/tousu/show/id/1371717")</f>
      </c>
      <c r="G2259" t="s" s="2">
        <v>17</v>
      </c>
      <c r="H2259" t="s" s="2">
        <v>19</v>
      </c>
      <c r="I2259" t="s" s="2">
        <v>8860</v>
      </c>
      <c r="J2259" t="s" s="2">
        <v>8861</v>
      </c>
      <c r="K2259" t="s" s="2">
        <v>22</v>
      </c>
      <c r="L2259" t="s" s="2">
        <v>22</v>
      </c>
      <c r="M2259" t="s" s="2">
        <v>22</v>
      </c>
    </row>
    <row r="2260" ht="25.0" customHeight="true">
      <c r="A2260" t="s" s="2">
        <v>13</v>
      </c>
      <c r="B2260" t="s" s="2">
        <f>HYPERLINK("http://ts.21cn.com/tousu/show/id/1371716","百度有钱花")</f>
      </c>
      <c r="C2260" t="s" s="2">
        <v>15</v>
      </c>
      <c r="D2260" t="s" s="2">
        <v>16</v>
      </c>
      <c r="E2260" t="s" s="2">
        <v>17</v>
      </c>
      <c r="F2260" t="s" s="2">
        <f>HYPERLINK("http://ts.21cn.com/tousu/show/id/1371716","http://ts.21cn.com/tousu/show/id/1371716")</f>
      </c>
      <c r="G2260" t="s" s="2">
        <v>17</v>
      </c>
      <c r="H2260" t="s" s="2">
        <v>19</v>
      </c>
      <c r="I2260" t="s" s="2">
        <v>8864</v>
      </c>
      <c r="J2260" t="s" s="2">
        <v>8865</v>
      </c>
      <c r="K2260" t="s" s="2">
        <v>22</v>
      </c>
      <c r="L2260" t="s" s="2">
        <v>22</v>
      </c>
      <c r="M2260" t="s" s="2">
        <v>22</v>
      </c>
    </row>
    <row r="2261" ht="25.0" customHeight="true">
      <c r="A2261" t="s" s="2">
        <v>13</v>
      </c>
      <c r="B2261" t="s" s="2">
        <f>HYPERLINK("http://ts.21cn.com/tousu/show/id/1371715","没借款合同催收款")</f>
      </c>
      <c r="C2261" t="s" s="2">
        <v>15</v>
      </c>
      <c r="D2261" t="s" s="2">
        <v>16</v>
      </c>
      <c r="E2261" t="s" s="2">
        <v>17</v>
      </c>
      <c r="F2261" t="s" s="2">
        <f>HYPERLINK("http://ts.21cn.com/tousu/show/id/1371715","http://ts.21cn.com/tousu/show/id/1371715")</f>
      </c>
      <c r="G2261" t="s" s="2">
        <v>17</v>
      </c>
      <c r="H2261" t="s" s="2">
        <v>19</v>
      </c>
      <c r="I2261" t="s" s="2">
        <v>8868</v>
      </c>
      <c r="J2261" t="s" s="2">
        <v>8869</v>
      </c>
      <c r="K2261" t="s" s="2">
        <v>22</v>
      </c>
      <c r="L2261" t="s" s="2">
        <v>22</v>
      </c>
      <c r="M2261" t="s" s="2">
        <v>22</v>
      </c>
    </row>
    <row r="2262" ht="25.0" customHeight="true">
      <c r="A2262" t="s" s="2">
        <v>13</v>
      </c>
      <c r="B2262" t="s" s="2">
        <f>HYPERLINK("http://ts.21cn.com/tousu/show/id/1371713","不当催收")</f>
      </c>
      <c r="C2262" t="s" s="2">
        <v>15</v>
      </c>
      <c r="D2262" t="s" s="2">
        <v>16</v>
      </c>
      <c r="E2262" t="s" s="2">
        <v>17</v>
      </c>
      <c r="F2262" t="s" s="2">
        <f>HYPERLINK("http://ts.21cn.com/tousu/show/id/1371713","http://ts.21cn.com/tousu/show/id/1371713")</f>
      </c>
      <c r="G2262" t="s" s="2">
        <v>17</v>
      </c>
      <c r="H2262" t="s" s="2">
        <v>19</v>
      </c>
      <c r="I2262" t="s" s="2">
        <v>8872</v>
      </c>
      <c r="J2262" t="s" s="2">
        <v>8873</v>
      </c>
      <c r="K2262" t="s" s="2">
        <v>22</v>
      </c>
      <c r="L2262" t="s" s="2">
        <v>22</v>
      </c>
      <c r="M2262" t="s" s="2">
        <v>22</v>
      </c>
    </row>
    <row r="2263" ht="25.0" customHeight="true">
      <c r="A2263" t="s" s="2">
        <v>13</v>
      </c>
      <c r="B2263" t="s" s="2">
        <f>HYPERLINK("http://ts.21cn.com/tousu/show/id/1371712","投诉网贷平台")</f>
      </c>
      <c r="C2263" t="s" s="2">
        <v>15</v>
      </c>
      <c r="D2263" t="s" s="2">
        <v>16</v>
      </c>
      <c r="E2263" t="s" s="2">
        <v>17</v>
      </c>
      <c r="F2263" t="s" s="2">
        <f>HYPERLINK("http://ts.21cn.com/tousu/show/id/1371712","http://ts.21cn.com/tousu/show/id/1371712")</f>
      </c>
      <c r="G2263" t="s" s="2">
        <v>17</v>
      </c>
      <c r="H2263" t="s" s="2">
        <v>19</v>
      </c>
      <c r="I2263" t="s" s="2">
        <v>8876</v>
      </c>
      <c r="J2263" t="s" s="2">
        <v>8877</v>
      </c>
      <c r="K2263" t="s" s="2">
        <v>22</v>
      </c>
      <c r="L2263" t="s" s="2">
        <v>22</v>
      </c>
      <c r="M2263" t="s" s="2">
        <v>22</v>
      </c>
    </row>
    <row r="2264" ht="25.0" customHeight="true">
      <c r="A2264" t="s" s="2">
        <v>13</v>
      </c>
      <c r="B2264" t="s" s="2">
        <f>HYPERLINK("http://ts.21cn.com/tousu/show/id/1371711","乱爆通讯录")</f>
      </c>
      <c r="C2264" t="s" s="2">
        <v>15</v>
      </c>
      <c r="D2264" t="s" s="2">
        <v>16</v>
      </c>
      <c r="E2264" t="s" s="2">
        <v>17</v>
      </c>
      <c r="F2264" t="s" s="2">
        <f>HYPERLINK("http://ts.21cn.com/tousu/show/id/1371711","http://ts.21cn.com/tousu/show/id/1371711")</f>
      </c>
      <c r="G2264" t="s" s="2">
        <v>17</v>
      </c>
      <c r="H2264" t="s" s="2">
        <v>19</v>
      </c>
      <c r="I2264" t="s" s="2">
        <v>8880</v>
      </c>
      <c r="J2264" t="s" s="2">
        <v>8881</v>
      </c>
      <c r="K2264" t="s" s="2">
        <v>22</v>
      </c>
      <c r="L2264" t="s" s="2">
        <v>22</v>
      </c>
      <c r="M2264" t="s" s="2">
        <v>22</v>
      </c>
    </row>
    <row r="2265" ht="25.0" customHeight="true">
      <c r="A2265" t="s" s="2">
        <v>13</v>
      </c>
      <c r="B2265" t="s" s="2">
        <f>HYPERLINK("http://ts.21cn.com/tousu/show/id/1371709","协商还款")</f>
      </c>
      <c r="C2265" t="s" s="2">
        <v>52</v>
      </c>
      <c r="D2265" t="s" s="2">
        <v>16</v>
      </c>
      <c r="E2265" t="s" s="2">
        <v>17</v>
      </c>
      <c r="F2265" t="s" s="2">
        <f>HYPERLINK("http://ts.21cn.com/tousu/show/id/1371709","http://ts.21cn.com/tousu/show/id/1371709")</f>
      </c>
      <c r="G2265" t="s" s="2">
        <v>17</v>
      </c>
      <c r="H2265" t="s" s="2">
        <v>19</v>
      </c>
      <c r="I2265" t="s" s="2">
        <v>8883</v>
      </c>
      <c r="J2265" t="s" s="2">
        <v>8884</v>
      </c>
      <c r="K2265" t="s" s="2">
        <v>22</v>
      </c>
      <c r="L2265" t="s" s="2">
        <v>22</v>
      </c>
      <c r="M2265" t="s" s="2">
        <v>22</v>
      </c>
    </row>
    <row r="2266" ht="25.0" customHeight="true">
      <c r="A2266" t="s" s="2">
        <v>13</v>
      </c>
      <c r="B2266" t="s" s="2">
        <f>HYPERLINK("http://ts.21cn.com/tousu/show/id/1371708","泄露个人隐私权")</f>
      </c>
      <c r="C2266" t="s" s="2">
        <v>15</v>
      </c>
      <c r="D2266" t="s" s="2">
        <v>16</v>
      </c>
      <c r="E2266" t="s" s="2">
        <v>17</v>
      </c>
      <c r="F2266" t="s" s="2">
        <f>HYPERLINK("http://ts.21cn.com/tousu/show/id/1371708","http://ts.21cn.com/tousu/show/id/1371708")</f>
      </c>
      <c r="G2266" t="s" s="2">
        <v>17</v>
      </c>
      <c r="H2266" t="s" s="2">
        <v>19</v>
      </c>
      <c r="I2266" t="s" s="2">
        <v>8887</v>
      </c>
      <c r="J2266" t="s" s="2">
        <v>8888</v>
      </c>
      <c r="K2266" t="s" s="2">
        <v>22</v>
      </c>
      <c r="L2266" t="s" s="2">
        <v>22</v>
      </c>
      <c r="M2266" t="s" s="2">
        <v>22</v>
      </c>
    </row>
    <row r="2267" ht="25.0" customHeight="true">
      <c r="A2267" t="s" s="2">
        <v>13</v>
      </c>
      <c r="B2267" t="s" s="2">
        <f>HYPERLINK("http://ts.21cn.com/tousu/show/id/1371707","拼多多恶意扣区费用不发货")</f>
      </c>
      <c r="C2267" t="s" s="2">
        <v>15</v>
      </c>
      <c r="D2267" t="s" s="2">
        <v>16</v>
      </c>
      <c r="E2267" t="s" s="2">
        <v>17</v>
      </c>
      <c r="F2267" t="s" s="2">
        <f>HYPERLINK("http://ts.21cn.com/tousu/show/id/1371707","http://ts.21cn.com/tousu/show/id/1371707")</f>
      </c>
      <c r="G2267" t="s" s="2">
        <v>17</v>
      </c>
      <c r="H2267" t="s" s="2">
        <v>19</v>
      </c>
      <c r="I2267" t="s" s="2">
        <v>8891</v>
      </c>
      <c r="J2267" t="s" s="2">
        <v>8892</v>
      </c>
      <c r="K2267" t="s" s="2">
        <v>22</v>
      </c>
      <c r="L2267" t="s" s="2">
        <v>22</v>
      </c>
      <c r="M2267" t="s" s="2">
        <v>22</v>
      </c>
    </row>
    <row r="2268" ht="25.0" customHeight="true">
      <c r="A2268" t="s" s="2">
        <v>13</v>
      </c>
      <c r="B2268" t="s" s="2">
        <f>HYPERLINK("http://ts.21cn.com/tousu/show/id/1371705","玖富万卡擅自改写合同，变相收取费用，高利贷")</f>
      </c>
      <c r="C2268" t="s" s="2">
        <v>15</v>
      </c>
      <c r="D2268" t="s" s="2">
        <v>16</v>
      </c>
      <c r="E2268" t="s" s="2">
        <v>17</v>
      </c>
      <c r="F2268" t="s" s="2">
        <f>HYPERLINK("http://ts.21cn.com/tousu/show/id/1371705","http://ts.21cn.com/tousu/show/id/1371705")</f>
      </c>
      <c r="G2268" t="s" s="2">
        <v>17</v>
      </c>
      <c r="H2268" t="s" s="2">
        <v>19</v>
      </c>
      <c r="I2268" t="s" s="2">
        <v>8894</v>
      </c>
      <c r="J2268" t="s" s="2">
        <v>8895</v>
      </c>
      <c r="K2268" t="s" s="2">
        <v>22</v>
      </c>
      <c r="L2268" t="s" s="2">
        <v>22</v>
      </c>
      <c r="M2268" t="s" s="2">
        <v>22</v>
      </c>
    </row>
    <row r="2269" ht="25.0" customHeight="true">
      <c r="A2269" t="s" s="2">
        <v>13</v>
      </c>
      <c r="B2269" t="s" s="2">
        <f>HYPERLINK("http://ts.21cn.com/tousu/show/id/1371706","花薪催收一直打电话骚扰我的家人")</f>
      </c>
      <c r="C2269" t="s" s="2">
        <v>15</v>
      </c>
      <c r="D2269" t="s" s="2">
        <v>16</v>
      </c>
      <c r="E2269" t="s" s="2">
        <v>17</v>
      </c>
      <c r="F2269" t="s" s="2">
        <f>HYPERLINK("http://ts.21cn.com/tousu/show/id/1371706","http://ts.21cn.com/tousu/show/id/1371706")</f>
      </c>
      <c r="G2269" t="s" s="2">
        <v>17</v>
      </c>
      <c r="H2269" t="s" s="2">
        <v>19</v>
      </c>
      <c r="I2269" t="s" s="2">
        <v>8894</v>
      </c>
      <c r="J2269" t="s" s="2">
        <v>8898</v>
      </c>
      <c r="K2269" t="s" s="2">
        <v>22</v>
      </c>
      <c r="L2269" t="s" s="2">
        <v>22</v>
      </c>
      <c r="M2269" t="s" s="2">
        <v>22</v>
      </c>
    </row>
    <row r="2270" ht="25.0" customHeight="true">
      <c r="A2270" t="s" s="2">
        <v>13</v>
      </c>
      <c r="B2270" t="s" s="2">
        <f>HYPERLINK("http://ts.21cn.com/tousu/show/id/1371703","支付宝恶意限制余利宝使用功能")</f>
      </c>
      <c r="C2270" t="s" s="2">
        <v>15</v>
      </c>
      <c r="D2270" t="s" s="2">
        <v>16</v>
      </c>
      <c r="E2270" t="s" s="2">
        <v>17</v>
      </c>
      <c r="F2270" t="s" s="2">
        <f>HYPERLINK("http://ts.21cn.com/tousu/show/id/1371703","http://ts.21cn.com/tousu/show/id/1371703")</f>
      </c>
      <c r="G2270" t="s" s="2">
        <v>17</v>
      </c>
      <c r="H2270" t="s" s="2">
        <v>19</v>
      </c>
      <c r="I2270" t="s" s="2">
        <v>8901</v>
      </c>
      <c r="J2270" t="s" s="2">
        <v>8902</v>
      </c>
      <c r="K2270" t="s" s="2">
        <v>22</v>
      </c>
      <c r="L2270" t="s" s="2">
        <v>22</v>
      </c>
      <c r="M2270" t="s" s="2">
        <v>22</v>
      </c>
    </row>
    <row r="2271" ht="25.0" customHeight="true">
      <c r="A2271" t="s" s="2">
        <v>13</v>
      </c>
      <c r="B2271" t="s" s="2">
        <f>HYPERLINK("http://ts.21cn.com/tousu/show/id/1371704","电话骚扰短信骚扰")</f>
      </c>
      <c r="C2271" t="s" s="2">
        <v>15</v>
      </c>
      <c r="D2271" t="s" s="2">
        <v>16</v>
      </c>
      <c r="E2271" t="s" s="2">
        <v>17</v>
      </c>
      <c r="F2271" t="s" s="2">
        <f>HYPERLINK("http://ts.21cn.com/tousu/show/id/1371704","http://ts.21cn.com/tousu/show/id/1371704")</f>
      </c>
      <c r="G2271" t="s" s="2">
        <v>17</v>
      </c>
      <c r="H2271" t="s" s="2">
        <v>19</v>
      </c>
      <c r="I2271" t="s" s="2">
        <v>8905</v>
      </c>
      <c r="J2271" t="s" s="2">
        <v>8906</v>
      </c>
      <c r="K2271" t="s" s="2">
        <v>22</v>
      </c>
      <c r="L2271" t="s" s="2">
        <v>22</v>
      </c>
      <c r="M2271" t="s" s="2">
        <v>22</v>
      </c>
    </row>
    <row r="2272" ht="25.0" customHeight="true">
      <c r="A2272" t="s" s="2">
        <v>13</v>
      </c>
      <c r="B2272" t="s" s="2">
        <f>HYPERLINK("http://ts.21cn.com/tousu/show/id/1371701","聚富分期伪装成贷款中介平台，未撮合业务成功，就私自扣用户卡里的钱。")</f>
      </c>
      <c r="C2272" t="s" s="2">
        <v>15</v>
      </c>
      <c r="D2272" t="s" s="2">
        <v>16</v>
      </c>
      <c r="E2272" t="s" s="2">
        <v>17</v>
      </c>
      <c r="F2272" t="s" s="2">
        <f>HYPERLINK("http://ts.21cn.com/tousu/show/id/1371701","http://ts.21cn.com/tousu/show/id/1371701")</f>
      </c>
      <c r="G2272" t="s" s="2">
        <v>17</v>
      </c>
      <c r="H2272" t="s" s="2">
        <v>19</v>
      </c>
      <c r="I2272" t="s" s="2">
        <v>8909</v>
      </c>
      <c r="J2272" t="s" s="2">
        <v>8910</v>
      </c>
      <c r="K2272" t="s" s="2">
        <v>22</v>
      </c>
      <c r="L2272" t="s" s="2">
        <v>22</v>
      </c>
      <c r="M2272" t="s" s="2">
        <v>22</v>
      </c>
    </row>
    <row r="2273" ht="25.0" customHeight="true">
      <c r="A2273" t="s" s="2">
        <v>13</v>
      </c>
      <c r="B2273" t="s" s="2">
        <f>HYPERLINK("http://ts.21cn.com/tousu/show/id/1371700","创客软件达标我微信")</f>
      </c>
      <c r="C2273" t="s" s="2">
        <v>15</v>
      </c>
      <c r="D2273" t="s" s="2">
        <v>16</v>
      </c>
      <c r="E2273" t="s" s="2">
        <v>17</v>
      </c>
      <c r="F2273" t="s" s="2">
        <f>HYPERLINK("http://ts.21cn.com/tousu/show/id/1371700","http://ts.21cn.com/tousu/show/id/1371700")</f>
      </c>
      <c r="G2273" t="s" s="2">
        <v>17</v>
      </c>
      <c r="H2273" t="s" s="2">
        <v>19</v>
      </c>
      <c r="I2273" t="s" s="2">
        <v>8913</v>
      </c>
      <c r="J2273" t="s" s="2">
        <v>8914</v>
      </c>
      <c r="K2273" t="s" s="2">
        <v>22</v>
      </c>
      <c r="L2273" t="s" s="2">
        <v>22</v>
      </c>
      <c r="M2273" t="s" s="2">
        <v>22</v>
      </c>
    </row>
    <row r="2274" ht="25.0" customHeight="true">
      <c r="A2274" t="s" s="2">
        <v>13</v>
      </c>
      <c r="B2274" t="s" s="2">
        <f>HYPERLINK("http://ts.21cn.com/tousu/show/id/1371699","利息太高")</f>
      </c>
      <c r="C2274" t="s" s="2">
        <v>15</v>
      </c>
      <c r="D2274" t="s" s="2">
        <v>16</v>
      </c>
      <c r="E2274" t="s" s="2">
        <v>17</v>
      </c>
      <c r="F2274" t="s" s="2">
        <f>HYPERLINK("http://ts.21cn.com/tousu/show/id/1371699","http://ts.21cn.com/tousu/show/id/1371699")</f>
      </c>
      <c r="G2274" t="s" s="2">
        <v>17</v>
      </c>
      <c r="H2274" t="s" s="2">
        <v>19</v>
      </c>
      <c r="I2274" t="s" s="2">
        <v>8916</v>
      </c>
      <c r="J2274" t="s" s="2">
        <v>8917</v>
      </c>
      <c r="K2274" t="s" s="2">
        <v>22</v>
      </c>
      <c r="L2274" t="s" s="2">
        <v>22</v>
      </c>
      <c r="M2274" t="s" s="2">
        <v>22</v>
      </c>
    </row>
    <row r="2275" ht="25.0" customHeight="true">
      <c r="A2275" t="s" s="2">
        <v>13</v>
      </c>
      <c r="B2275" t="s" s="2">
        <f>HYPERLINK("http://ts.21cn.com/tousu/show/id/1371697","及贷收取高额信息费")</f>
      </c>
      <c r="C2275" t="s" s="2">
        <v>52</v>
      </c>
      <c r="D2275" t="s" s="2">
        <v>16</v>
      </c>
      <c r="E2275" t="s" s="2">
        <v>17</v>
      </c>
      <c r="F2275" t="s" s="2">
        <f>HYPERLINK("http://ts.21cn.com/tousu/show/id/1371697","http://ts.21cn.com/tousu/show/id/1371697")</f>
      </c>
      <c r="G2275" t="s" s="2">
        <v>17</v>
      </c>
      <c r="H2275" t="s" s="2">
        <v>19</v>
      </c>
      <c r="I2275" t="s" s="2">
        <v>8920</v>
      </c>
      <c r="J2275" t="s" s="2">
        <v>8921</v>
      </c>
      <c r="K2275" t="s" s="2">
        <v>22</v>
      </c>
      <c r="L2275" t="s" s="2">
        <v>22</v>
      </c>
      <c r="M2275" t="s" s="2">
        <v>22</v>
      </c>
    </row>
    <row r="2276" ht="25.0" customHeight="true">
      <c r="A2276" t="s" s="2">
        <v>13</v>
      </c>
      <c r="B2276" t="s" s="2">
        <f>HYPERLINK("http://ts.21cn.com/tousu/show/id/1371695","大庆语诗铭科技公司乱扣款，助力钱包")</f>
      </c>
      <c r="C2276" t="s" s="2">
        <v>15</v>
      </c>
      <c r="D2276" t="s" s="2">
        <v>16</v>
      </c>
      <c r="E2276" t="s" s="2">
        <v>17</v>
      </c>
      <c r="F2276" t="s" s="2">
        <f>HYPERLINK("http://ts.21cn.com/tousu/show/id/1371695","http://ts.21cn.com/tousu/show/id/1371695")</f>
      </c>
      <c r="G2276" t="s" s="2">
        <v>17</v>
      </c>
      <c r="H2276" t="s" s="2">
        <v>19</v>
      </c>
      <c r="I2276" t="s" s="2">
        <v>8924</v>
      </c>
      <c r="J2276" t="s" s="2">
        <v>8925</v>
      </c>
      <c r="K2276" t="s" s="2">
        <v>22</v>
      </c>
      <c r="L2276" t="s" s="2">
        <v>22</v>
      </c>
      <c r="M2276" t="s" s="2">
        <v>22</v>
      </c>
    </row>
    <row r="2277" ht="25.0" customHeight="true">
      <c r="A2277" t="s" s="2">
        <v>13</v>
      </c>
      <c r="B2277" t="s" s="2">
        <f>HYPERLINK("http://ts.21cn.com/tousu/show/id/1286304","钱站砍头息，高利贷，未解决还申请结案")</f>
      </c>
      <c r="C2277" t="s" s="2">
        <v>15</v>
      </c>
      <c r="D2277" t="s" s="2">
        <v>16</v>
      </c>
      <c r="E2277" t="s" s="2">
        <v>17</v>
      </c>
      <c r="F2277" t="s" s="2">
        <f>HYPERLINK("http://ts.21cn.com/tousu/show/id/1286304","http://ts.21cn.com/tousu/show/id/1286304")</f>
      </c>
      <c r="G2277" t="s" s="2">
        <v>17</v>
      </c>
      <c r="H2277" t="s" s="2">
        <v>19</v>
      </c>
      <c r="I2277" t="s" s="2">
        <v>8928</v>
      </c>
      <c r="J2277" t="s" s="2">
        <v>8929</v>
      </c>
      <c r="K2277" t="s" s="2">
        <v>22</v>
      </c>
      <c r="L2277" t="s" s="2">
        <v>22</v>
      </c>
      <c r="M2277" t="s" s="2">
        <v>22</v>
      </c>
    </row>
    <row r="2278" ht="25.0" customHeight="true">
      <c r="A2278" t="s" s="2">
        <v>13</v>
      </c>
      <c r="B2278" t="s" s="2">
        <f>HYPERLINK("http://ts.21cn.com/tousu/show/id/1371694","招联金融暴力催收")</f>
      </c>
      <c r="C2278" t="s" s="2">
        <v>15</v>
      </c>
      <c r="D2278" t="s" s="2">
        <v>16</v>
      </c>
      <c r="E2278" t="s" s="2">
        <v>17</v>
      </c>
      <c r="F2278" t="s" s="2">
        <f>HYPERLINK("http://ts.21cn.com/tousu/show/id/1371694","http://ts.21cn.com/tousu/show/id/1371694")</f>
      </c>
      <c r="G2278" t="s" s="2">
        <v>17</v>
      </c>
      <c r="H2278" t="s" s="2">
        <v>19</v>
      </c>
      <c r="I2278" t="s" s="2">
        <v>8931</v>
      </c>
      <c r="J2278" t="s" s="2">
        <v>8932</v>
      </c>
      <c r="K2278" t="s" s="2">
        <v>22</v>
      </c>
      <c r="L2278" t="s" s="2">
        <v>22</v>
      </c>
      <c r="M2278" t="s" s="2">
        <v>22</v>
      </c>
    </row>
    <row r="2279" ht="25.0" customHeight="true">
      <c r="A2279" t="s" s="2">
        <v>13</v>
      </c>
      <c r="B2279" t="s" s="2">
        <f>HYPERLINK("http://ts.21cn.com/tousu/show/id/1371693","2345随心借高利贷，暴力催收，恶意扣款")</f>
      </c>
      <c r="C2279" t="s" s="2">
        <v>15</v>
      </c>
      <c r="D2279" t="s" s="2">
        <v>16</v>
      </c>
      <c r="E2279" t="s" s="2">
        <v>17</v>
      </c>
      <c r="F2279" t="s" s="2">
        <f>HYPERLINK("http://ts.21cn.com/tousu/show/id/1371693","http://ts.21cn.com/tousu/show/id/1371693")</f>
      </c>
      <c r="G2279" t="s" s="2">
        <v>17</v>
      </c>
      <c r="H2279" t="s" s="2">
        <v>19</v>
      </c>
      <c r="I2279" t="s" s="2">
        <v>8935</v>
      </c>
      <c r="J2279" t="s" s="2">
        <v>8936</v>
      </c>
      <c r="K2279" t="s" s="2">
        <v>22</v>
      </c>
      <c r="L2279" t="s" s="2">
        <v>22</v>
      </c>
      <c r="M2279" t="s" s="2">
        <v>22</v>
      </c>
    </row>
    <row r="2280" ht="25.0" customHeight="true">
      <c r="A2280" t="s" s="2">
        <v>13</v>
      </c>
      <c r="B2280" t="s" s="2">
        <f>HYPERLINK("http://ts.21cn.com/tousu/show/id/1371692","客服态度强硬，不接受协商")</f>
      </c>
      <c r="C2280" t="s" s="2">
        <v>15</v>
      </c>
      <c r="D2280" t="s" s="2">
        <v>16</v>
      </c>
      <c r="E2280" t="s" s="2">
        <v>17</v>
      </c>
      <c r="F2280" t="s" s="2">
        <f>HYPERLINK("http://ts.21cn.com/tousu/show/id/1371692","http://ts.21cn.com/tousu/show/id/1371692")</f>
      </c>
      <c r="G2280" t="s" s="2">
        <v>17</v>
      </c>
      <c r="H2280" t="s" s="2">
        <v>19</v>
      </c>
      <c r="I2280" t="s" s="2">
        <v>8939</v>
      </c>
      <c r="J2280" t="s" s="2">
        <v>8940</v>
      </c>
      <c r="K2280" t="s" s="2">
        <v>22</v>
      </c>
      <c r="L2280" t="s" s="2">
        <v>22</v>
      </c>
      <c r="M2280" t="s" s="2">
        <v>22</v>
      </c>
    </row>
    <row r="2281" ht="25.0" customHeight="true">
      <c r="A2281" t="s" s="2">
        <v>13</v>
      </c>
      <c r="B2281" t="s" s="2">
        <f>HYPERLINK("http://ts.21cn.com/tousu/show/id/1371691","逾期一天，不停的骚扰朋友同事")</f>
      </c>
      <c r="C2281" t="s" s="2">
        <v>15</v>
      </c>
      <c r="D2281" t="s" s="2">
        <v>16</v>
      </c>
      <c r="E2281" t="s" s="2">
        <v>17</v>
      </c>
      <c r="F2281" t="s" s="2">
        <f>HYPERLINK("http://ts.21cn.com/tousu/show/id/1371691","http://ts.21cn.com/tousu/show/id/1371691")</f>
      </c>
      <c r="G2281" t="s" s="2">
        <v>17</v>
      </c>
      <c r="H2281" t="s" s="2">
        <v>19</v>
      </c>
      <c r="I2281" t="s" s="2">
        <v>8943</v>
      </c>
      <c r="J2281" t="s" s="2">
        <v>8944</v>
      </c>
      <c r="K2281" t="s" s="2">
        <v>22</v>
      </c>
      <c r="L2281" t="s" s="2">
        <v>22</v>
      </c>
      <c r="M2281" t="s" s="2">
        <v>22</v>
      </c>
    </row>
    <row r="2282" ht="25.0" customHeight="true">
      <c r="A2282" t="s" s="2">
        <v>13</v>
      </c>
      <c r="B2282" t="s" s="2">
        <f>HYPERLINK("http://ts.21cn.com/tousu/show/id/1371689","套路贷提前结清被套路")</f>
      </c>
      <c r="C2282" t="s" s="2">
        <v>15</v>
      </c>
      <c r="D2282" t="s" s="2">
        <v>16</v>
      </c>
      <c r="E2282" t="s" s="2">
        <v>17</v>
      </c>
      <c r="F2282" t="s" s="2">
        <f>HYPERLINK("http://ts.21cn.com/tousu/show/id/1371689","http://ts.21cn.com/tousu/show/id/1371689")</f>
      </c>
      <c r="G2282" t="s" s="2">
        <v>17</v>
      </c>
      <c r="H2282" t="s" s="2">
        <v>19</v>
      </c>
      <c r="I2282" t="s" s="2">
        <v>8947</v>
      </c>
      <c r="J2282" t="s" s="2">
        <v>8948</v>
      </c>
      <c r="K2282" t="s" s="2">
        <v>22</v>
      </c>
      <c r="L2282" t="s" s="2">
        <v>22</v>
      </c>
      <c r="M2282" t="s" s="2">
        <v>22</v>
      </c>
    </row>
    <row r="2283" ht="25.0" customHeight="true">
      <c r="A2283" t="s" s="2">
        <v>13</v>
      </c>
      <c r="B2283" t="s" s="2">
        <f>HYPERLINK("http://ts.21cn.com/tousu/show/id/1371690","并未借款但是招联金融信息泄露，信息骚扰")</f>
      </c>
      <c r="C2283" t="s" s="2">
        <v>15</v>
      </c>
      <c r="D2283" t="s" s="2">
        <v>16</v>
      </c>
      <c r="E2283" t="s" s="2">
        <v>17</v>
      </c>
      <c r="F2283" t="s" s="2">
        <f>HYPERLINK("http://ts.21cn.com/tousu/show/id/1371690","http://ts.21cn.com/tousu/show/id/1371690")</f>
      </c>
      <c r="G2283" t="s" s="2">
        <v>17</v>
      </c>
      <c r="H2283" t="s" s="2">
        <v>19</v>
      </c>
      <c r="I2283" t="s" s="2">
        <v>8951</v>
      </c>
      <c r="J2283" t="s" s="2">
        <v>8952</v>
      </c>
      <c r="K2283" t="s" s="2">
        <v>22</v>
      </c>
      <c r="L2283" t="s" s="2">
        <v>22</v>
      </c>
      <c r="M2283" t="s" s="2">
        <v>22</v>
      </c>
    </row>
    <row r="2284" ht="25.0" customHeight="true">
      <c r="A2284" t="s" s="2">
        <v>13</v>
      </c>
      <c r="B2284" t="s" s="2">
        <f>HYPERLINK("http://ts.21cn.com/tousu/show/id/1371687","百瑞赢虚假、诱导我交费，乱扣费，并且诱导我先撤诉再解决问题")</f>
      </c>
      <c r="C2284" t="s" s="2">
        <v>15</v>
      </c>
      <c r="D2284" t="s" s="2">
        <v>16</v>
      </c>
      <c r="E2284" t="s" s="2">
        <v>17</v>
      </c>
      <c r="F2284" t="s" s="2">
        <f>HYPERLINK("http://ts.21cn.com/tousu/show/id/1371687","http://ts.21cn.com/tousu/show/id/1371687")</f>
      </c>
      <c r="G2284" t="s" s="2">
        <v>17</v>
      </c>
      <c r="H2284" t="s" s="2">
        <v>19</v>
      </c>
      <c r="I2284" t="s" s="2">
        <v>8955</v>
      </c>
      <c r="J2284" t="s" s="2">
        <v>8956</v>
      </c>
      <c r="K2284" t="s" s="2">
        <v>22</v>
      </c>
      <c r="L2284" t="s" s="2">
        <v>22</v>
      </c>
      <c r="M2284" t="s" s="2">
        <v>22</v>
      </c>
    </row>
    <row r="2285" ht="25.0" customHeight="true">
      <c r="A2285" t="s" s="2">
        <v>13</v>
      </c>
      <c r="B2285" t="s" s="2">
        <f>HYPERLINK("http://ts.21cn.com/tousu/show/id/1371688","卖家售假")</f>
      </c>
      <c r="C2285" t="s" s="2">
        <v>15</v>
      </c>
      <c r="D2285" t="s" s="2">
        <v>16</v>
      </c>
      <c r="E2285" t="s" s="2">
        <v>17</v>
      </c>
      <c r="F2285" t="s" s="2">
        <f>HYPERLINK("http://ts.21cn.com/tousu/show/id/1371688","http://ts.21cn.com/tousu/show/id/1371688")</f>
      </c>
      <c r="G2285" t="s" s="2">
        <v>17</v>
      </c>
      <c r="H2285" t="s" s="2">
        <v>19</v>
      </c>
      <c r="I2285" t="s" s="2">
        <v>8959</v>
      </c>
      <c r="J2285" t="s" s="2">
        <v>8960</v>
      </c>
      <c r="K2285" t="s" s="2">
        <v>22</v>
      </c>
      <c r="L2285" t="s" s="2">
        <v>22</v>
      </c>
      <c r="M2285" t="s" s="2">
        <v>22</v>
      </c>
    </row>
    <row r="2286" ht="25.0" customHeight="true">
      <c r="A2286" t="s" s="2">
        <v>13</v>
      </c>
      <c r="B2286" t="s" s="2">
        <f>HYPERLINK("http://ts.21cn.com/tousu/show/id/1371686","邮政储蓄银行信用卡逾期遭暴力催收")</f>
      </c>
      <c r="C2286" t="s" s="2">
        <v>15</v>
      </c>
      <c r="D2286" t="s" s="2">
        <v>16</v>
      </c>
      <c r="E2286" t="s" s="2">
        <v>17</v>
      </c>
      <c r="F2286" t="s" s="2">
        <f>HYPERLINK("http://ts.21cn.com/tousu/show/id/1371686","http://ts.21cn.com/tousu/show/id/1371686")</f>
      </c>
      <c r="G2286" t="s" s="2">
        <v>17</v>
      </c>
      <c r="H2286" t="s" s="2">
        <v>19</v>
      </c>
      <c r="I2286" t="s" s="2">
        <v>8963</v>
      </c>
      <c r="J2286" t="s" s="2">
        <v>8964</v>
      </c>
      <c r="K2286" t="s" s="2">
        <v>22</v>
      </c>
      <c r="L2286" t="s" s="2">
        <v>22</v>
      </c>
      <c r="M2286" t="s" s="2">
        <v>22</v>
      </c>
    </row>
    <row r="2287" ht="25.0" customHeight="true">
      <c r="A2287" t="s" s="2">
        <v>13</v>
      </c>
      <c r="B2287" t="s" s="2">
        <f>HYPERLINK("http://ts.21cn.com/tousu/show/id/1371685","智享贷暴力催收")</f>
      </c>
      <c r="C2287" t="s" s="2">
        <v>15</v>
      </c>
      <c r="D2287" t="s" s="2">
        <v>16</v>
      </c>
      <c r="E2287" t="s" s="2">
        <v>17</v>
      </c>
      <c r="F2287" t="s" s="2">
        <f>HYPERLINK("http://ts.21cn.com/tousu/show/id/1371685","http://ts.21cn.com/tousu/show/id/1371685")</f>
      </c>
      <c r="G2287" t="s" s="2">
        <v>17</v>
      </c>
      <c r="H2287" t="s" s="2">
        <v>19</v>
      </c>
      <c r="I2287" t="s" s="2">
        <v>8967</v>
      </c>
      <c r="J2287" t="s" s="2">
        <v>8968</v>
      </c>
      <c r="K2287" t="s" s="2">
        <v>22</v>
      </c>
      <c r="L2287" t="s" s="2">
        <v>22</v>
      </c>
      <c r="M2287" t="s" s="2">
        <v>22</v>
      </c>
    </row>
    <row r="2288" ht="25.0" customHeight="true">
      <c r="A2288" t="s" s="2">
        <v>13</v>
      </c>
      <c r="B2288" t="s" s="2">
        <f>HYPERLINK("http://ts.21cn.com/tousu/show/id/1371684","骚扰通讯录")</f>
      </c>
      <c r="C2288" t="s" s="2">
        <v>15</v>
      </c>
      <c r="D2288" t="s" s="2">
        <v>16</v>
      </c>
      <c r="E2288" t="s" s="2">
        <v>17</v>
      </c>
      <c r="F2288" t="s" s="2">
        <f>HYPERLINK("http://ts.21cn.com/tousu/show/id/1371684","http://ts.21cn.com/tousu/show/id/1371684")</f>
      </c>
      <c r="G2288" t="s" s="2">
        <v>17</v>
      </c>
      <c r="H2288" t="s" s="2">
        <v>19</v>
      </c>
      <c r="I2288" t="s" s="2">
        <v>8971</v>
      </c>
      <c r="J2288" t="s" s="2">
        <v>8972</v>
      </c>
      <c r="K2288" t="s" s="2">
        <v>22</v>
      </c>
      <c r="L2288" t="s" s="2">
        <v>22</v>
      </c>
      <c r="M2288" t="s" s="2">
        <v>22</v>
      </c>
    </row>
    <row r="2289" ht="25.0" customHeight="true">
      <c r="A2289" t="s" s="2">
        <v>13</v>
      </c>
      <c r="B2289" t="s" s="2">
        <f>HYPERLINK("http://ts.21cn.com/tousu/show/id/1371549","每日优鲜糊弄消费者")</f>
      </c>
      <c r="C2289" t="s" s="2">
        <v>15</v>
      </c>
      <c r="D2289" t="s" s="2">
        <v>16</v>
      </c>
      <c r="E2289" t="s" s="2">
        <v>17</v>
      </c>
      <c r="F2289" t="s" s="2">
        <f>HYPERLINK("http://ts.21cn.com/tousu/show/id/1371549","http://ts.21cn.com/tousu/show/id/1371549")</f>
      </c>
      <c r="G2289" t="s" s="2">
        <v>17</v>
      </c>
      <c r="H2289" t="s" s="2">
        <v>19</v>
      </c>
      <c r="I2289" t="s" s="2">
        <v>8975</v>
      </c>
      <c r="J2289" t="s" s="2">
        <v>8976</v>
      </c>
      <c r="K2289" t="s" s="2">
        <v>22</v>
      </c>
      <c r="L2289" t="s" s="2">
        <v>22</v>
      </c>
      <c r="M2289" t="s" s="2">
        <v>22</v>
      </c>
    </row>
    <row r="2290" ht="25.0" customHeight="true">
      <c r="A2290" t="s" s="2">
        <v>13</v>
      </c>
      <c r="B2290" t="s" s="2">
        <f>HYPERLINK("http://ts.21cn.com/tousu/show/id/1371682","钱站阴阳合同，砍头息，高利贷")</f>
      </c>
      <c r="C2290" t="s" s="2">
        <v>15</v>
      </c>
      <c r="D2290" t="s" s="2">
        <v>16</v>
      </c>
      <c r="E2290" t="s" s="2">
        <v>17</v>
      </c>
      <c r="F2290" t="s" s="2">
        <f>HYPERLINK("http://ts.21cn.com/tousu/show/id/1371682","http://ts.21cn.com/tousu/show/id/1371682")</f>
      </c>
      <c r="G2290" t="s" s="2">
        <v>17</v>
      </c>
      <c r="H2290" t="s" s="2">
        <v>19</v>
      </c>
      <c r="I2290" t="s" s="2">
        <v>8979</v>
      </c>
      <c r="J2290" t="s" s="2">
        <v>8980</v>
      </c>
      <c r="K2290" t="s" s="2">
        <v>22</v>
      </c>
      <c r="L2290" t="s" s="2">
        <v>22</v>
      </c>
      <c r="M2290" t="s" s="2">
        <v>22</v>
      </c>
    </row>
    <row r="2291" ht="25.0" customHeight="true">
      <c r="A2291" t="s" s="2">
        <v>13</v>
      </c>
      <c r="B2291" t="s" s="2">
        <f>HYPERLINK("http://ts.21cn.com/tousu/show/id/1371681","百行征信个人污点怎么来的？")</f>
      </c>
      <c r="C2291" t="s" s="2">
        <v>15</v>
      </c>
      <c r="D2291" t="s" s="2">
        <v>16</v>
      </c>
      <c r="E2291" t="s" s="2">
        <v>17</v>
      </c>
      <c r="F2291" t="s" s="2">
        <f>HYPERLINK("http://ts.21cn.com/tousu/show/id/1371681","http://ts.21cn.com/tousu/show/id/1371681")</f>
      </c>
      <c r="G2291" t="s" s="2">
        <v>17</v>
      </c>
      <c r="H2291" t="s" s="2">
        <v>19</v>
      </c>
      <c r="I2291" t="s" s="2">
        <v>8983</v>
      </c>
      <c r="J2291" t="s" s="2">
        <v>8984</v>
      </c>
      <c r="K2291" t="s" s="2">
        <v>22</v>
      </c>
      <c r="L2291" t="s" s="2">
        <v>22</v>
      </c>
      <c r="M2291" t="s" s="2">
        <v>22</v>
      </c>
    </row>
    <row r="2292" ht="25.0" customHeight="true">
      <c r="A2292" t="s" s="2">
        <v>13</v>
      </c>
      <c r="B2292" t="s" s="2">
        <f>HYPERLINK("http://ts.21cn.com/tousu/show/id/1371680","利息高强制购买保险不买就借不了钱")</f>
      </c>
      <c r="C2292" t="s" s="2">
        <v>15</v>
      </c>
      <c r="D2292" t="s" s="2">
        <v>16</v>
      </c>
      <c r="E2292" t="s" s="2">
        <v>17</v>
      </c>
      <c r="F2292" t="s" s="2">
        <f>HYPERLINK("http://ts.21cn.com/tousu/show/id/1371680","http://ts.21cn.com/tousu/show/id/1371680")</f>
      </c>
      <c r="G2292" t="s" s="2">
        <v>17</v>
      </c>
      <c r="H2292" t="s" s="2">
        <v>19</v>
      </c>
      <c r="I2292" t="s" s="2">
        <v>8987</v>
      </c>
      <c r="J2292" t="s" s="2">
        <v>8988</v>
      </c>
      <c r="K2292" t="s" s="2">
        <v>22</v>
      </c>
      <c r="L2292" t="s" s="2">
        <v>22</v>
      </c>
      <c r="M2292" t="s" s="2">
        <v>22</v>
      </c>
    </row>
    <row r="2293" ht="25.0" customHeight="true">
      <c r="A2293" t="s" s="2">
        <v>13</v>
      </c>
      <c r="B2293" t="s" s="2">
        <f>HYPERLINK("http://ts.21cn.com/tousu/show/id/1371683","玖富高利贷")</f>
      </c>
      <c r="C2293" t="s" s="2">
        <v>15</v>
      </c>
      <c r="D2293" t="s" s="2">
        <v>16</v>
      </c>
      <c r="E2293" t="s" s="2">
        <v>17</v>
      </c>
      <c r="F2293" t="s" s="2">
        <f>HYPERLINK("http://ts.21cn.com/tousu/show/id/1371683","http://ts.21cn.com/tousu/show/id/1371683")</f>
      </c>
      <c r="G2293" t="s" s="2">
        <v>17</v>
      </c>
      <c r="H2293" t="s" s="2">
        <v>19</v>
      </c>
      <c r="I2293" t="s" s="2">
        <v>8990</v>
      </c>
      <c r="J2293" t="s" s="2">
        <v>8991</v>
      </c>
      <c r="K2293" t="s" s="2">
        <v>22</v>
      </c>
      <c r="L2293" t="s" s="2">
        <v>22</v>
      </c>
      <c r="M2293" t="s" s="2">
        <v>22</v>
      </c>
    </row>
    <row r="2294" ht="25.0" customHeight="true">
      <c r="A2294" t="s" s="2">
        <v>13</v>
      </c>
      <c r="B2294" t="s" s="2">
        <f>HYPERLINK("http://ts.21cn.com/tousu/show/id/1371679","微品分期砍头息，暴力催收")</f>
      </c>
      <c r="C2294" t="s" s="2">
        <v>15</v>
      </c>
      <c r="D2294" t="s" s="2">
        <v>16</v>
      </c>
      <c r="E2294" t="s" s="2">
        <v>17</v>
      </c>
      <c r="F2294" t="s" s="2">
        <f>HYPERLINK("http://ts.21cn.com/tousu/show/id/1371679","http://ts.21cn.com/tousu/show/id/1371679")</f>
      </c>
      <c r="G2294" t="s" s="2">
        <v>17</v>
      </c>
      <c r="H2294" t="s" s="2">
        <v>19</v>
      </c>
      <c r="I2294" t="s" s="2">
        <v>8994</v>
      </c>
      <c r="J2294" t="s" s="2">
        <v>8995</v>
      </c>
      <c r="K2294" t="s" s="2">
        <v>22</v>
      </c>
      <c r="L2294" t="s" s="2">
        <v>22</v>
      </c>
      <c r="M2294" t="s" s="2">
        <v>22</v>
      </c>
    </row>
    <row r="2295" ht="25.0" customHeight="true">
      <c r="A2295" t="s" s="2">
        <v>13</v>
      </c>
      <c r="B2295" t="s" s="2">
        <f>HYPERLINK("http://ts.21cn.com/tousu/show/id/1371678","没原因扣钱")</f>
      </c>
      <c r="C2295" t="s" s="2">
        <v>52</v>
      </c>
      <c r="D2295" t="s" s="2">
        <v>16</v>
      </c>
      <c r="E2295" t="s" s="2">
        <v>17</v>
      </c>
      <c r="F2295" t="s" s="2">
        <f>HYPERLINK("http://ts.21cn.com/tousu/show/id/1371678","http://ts.21cn.com/tousu/show/id/1371678")</f>
      </c>
      <c r="G2295" t="s" s="2">
        <v>17</v>
      </c>
      <c r="H2295" t="s" s="2">
        <v>19</v>
      </c>
      <c r="I2295" t="s" s="2">
        <v>8998</v>
      </c>
      <c r="J2295" t="s" s="2">
        <v>8999</v>
      </c>
      <c r="K2295" t="s" s="2">
        <v>22</v>
      </c>
      <c r="L2295" t="s" s="2">
        <v>22</v>
      </c>
      <c r="M2295" t="s" s="2">
        <v>22</v>
      </c>
    </row>
    <row r="2296" ht="25.0" customHeight="true">
      <c r="A2296" t="s" s="2">
        <v>13</v>
      </c>
      <c r="B2296" t="s" s="2">
        <f>HYPERLINK("http://ts.21cn.com/tousu/show/id/1371677","延期交房")</f>
      </c>
      <c r="C2296" t="s" s="2">
        <v>15</v>
      </c>
      <c r="D2296" t="s" s="2">
        <v>16</v>
      </c>
      <c r="E2296" t="s" s="2">
        <v>17</v>
      </c>
      <c r="F2296" t="s" s="2">
        <f>HYPERLINK("http://ts.21cn.com/tousu/show/id/1371677","http://ts.21cn.com/tousu/show/id/1371677")</f>
      </c>
      <c r="G2296" t="s" s="2">
        <v>17</v>
      </c>
      <c r="H2296" t="s" s="2">
        <v>19</v>
      </c>
      <c r="I2296" t="s" s="2">
        <v>9002</v>
      </c>
      <c r="J2296" t="s" s="2">
        <v>9003</v>
      </c>
      <c r="K2296" t="s" s="2">
        <v>22</v>
      </c>
      <c r="L2296" t="s" s="2">
        <v>22</v>
      </c>
      <c r="M2296" t="s" s="2">
        <v>22</v>
      </c>
    </row>
    <row r="2297" ht="25.0" customHeight="true">
      <c r="A2297" t="s" s="2">
        <v>13</v>
      </c>
      <c r="B2297" t="s" s="2">
        <f>HYPERLINK("http://ts.21cn.com/tousu/show/id/1371676","闪电借款暴力催收p图")</f>
      </c>
      <c r="C2297" t="s" s="2">
        <v>15</v>
      </c>
      <c r="D2297" t="s" s="2">
        <v>16</v>
      </c>
      <c r="E2297" t="s" s="2">
        <v>17</v>
      </c>
      <c r="F2297" t="s" s="2">
        <f>HYPERLINK("http://ts.21cn.com/tousu/show/id/1371676","http://ts.21cn.com/tousu/show/id/1371676")</f>
      </c>
      <c r="G2297" t="s" s="2">
        <v>17</v>
      </c>
      <c r="H2297" t="s" s="2">
        <v>19</v>
      </c>
      <c r="I2297" t="s" s="2">
        <v>9006</v>
      </c>
      <c r="J2297" t="s" s="2">
        <v>9007</v>
      </c>
      <c r="K2297" t="s" s="2">
        <v>22</v>
      </c>
      <c r="L2297" t="s" s="2">
        <v>22</v>
      </c>
      <c r="M2297" t="s" s="2">
        <v>22</v>
      </c>
    </row>
    <row r="2298" ht="25.0" customHeight="true">
      <c r="A2298" t="s" s="2">
        <v>13</v>
      </c>
      <c r="B2298" t="s" s="2">
        <f>HYPERLINK("http://ts.21cn.com/tousu/show/id/1371675","携程拿去花催收威胁要现实催收，协商还款不同意还款计划")</f>
      </c>
      <c r="C2298" t="s" s="2">
        <v>15</v>
      </c>
      <c r="D2298" t="s" s="2">
        <v>16</v>
      </c>
      <c r="E2298" t="s" s="2">
        <v>17</v>
      </c>
      <c r="F2298" t="s" s="2">
        <f>HYPERLINK("http://ts.21cn.com/tousu/show/id/1371675","http://ts.21cn.com/tousu/show/id/1371675")</f>
      </c>
      <c r="G2298" t="s" s="2">
        <v>17</v>
      </c>
      <c r="H2298" t="s" s="2">
        <v>19</v>
      </c>
      <c r="I2298" t="s" s="2">
        <v>9010</v>
      </c>
      <c r="J2298" t="s" s="2">
        <v>9011</v>
      </c>
      <c r="K2298" t="s" s="2">
        <v>22</v>
      </c>
      <c r="L2298" t="s" s="2">
        <v>22</v>
      </c>
      <c r="M2298" t="s" s="2">
        <v>22</v>
      </c>
    </row>
    <row r="2299" ht="25.0" customHeight="true">
      <c r="A2299" t="s" s="2">
        <v>13</v>
      </c>
      <c r="B2299" t="s" s="2">
        <f>HYPERLINK("http://ts.21cn.com/tousu/show/id/1371634","暴力催收，恐吓导致家人病倒")</f>
      </c>
      <c r="C2299" t="s" s="2">
        <v>15</v>
      </c>
      <c r="D2299" t="s" s="2">
        <v>16</v>
      </c>
      <c r="E2299" t="s" s="2">
        <v>17</v>
      </c>
      <c r="F2299" t="s" s="2">
        <f>HYPERLINK("http://ts.21cn.com/tousu/show/id/1371634","http://ts.21cn.com/tousu/show/id/1371634")</f>
      </c>
      <c r="G2299" t="s" s="2">
        <v>17</v>
      </c>
      <c r="H2299" t="s" s="2">
        <v>19</v>
      </c>
      <c r="I2299" t="s" s="2">
        <v>9014</v>
      </c>
      <c r="J2299" t="s" s="2">
        <v>9015</v>
      </c>
      <c r="K2299" t="s" s="2">
        <v>22</v>
      </c>
      <c r="L2299" t="s" s="2">
        <v>22</v>
      </c>
      <c r="M2299" t="s" s="2">
        <v>22</v>
      </c>
    </row>
    <row r="2300" ht="25.0" customHeight="true">
      <c r="A2300" t="s" s="2">
        <v>13</v>
      </c>
      <c r="B2300" t="s" s="2">
        <f>HYPERLINK("http://ts.21cn.com/tousu/show/id/1371674","捷信消费金融公司乱发短信到通讯录")</f>
      </c>
      <c r="C2300" t="s" s="2">
        <v>15</v>
      </c>
      <c r="D2300" t="s" s="2">
        <v>16</v>
      </c>
      <c r="E2300" t="s" s="2">
        <v>17</v>
      </c>
      <c r="F2300" t="s" s="2">
        <f>HYPERLINK("http://ts.21cn.com/tousu/show/id/1371674","http://ts.21cn.com/tousu/show/id/1371674")</f>
      </c>
      <c r="G2300" t="s" s="2">
        <v>17</v>
      </c>
      <c r="H2300" t="s" s="2">
        <v>19</v>
      </c>
      <c r="I2300" t="s" s="2">
        <v>9018</v>
      </c>
      <c r="J2300" t="s" s="2">
        <v>9019</v>
      </c>
      <c r="K2300" t="s" s="2">
        <v>22</v>
      </c>
      <c r="L2300" t="s" s="2">
        <v>22</v>
      </c>
      <c r="M2300" t="s" s="2">
        <v>22</v>
      </c>
    </row>
    <row r="2301" ht="25.0" customHeight="true">
      <c r="A2301" t="s" s="2">
        <v>13</v>
      </c>
      <c r="B2301" t="s" s="2">
        <f>HYPERLINK("http://ts.21cn.com/tousu/show/id/1371672","及时金委托托管方处理逾期问题")</f>
      </c>
      <c r="C2301" t="s" s="2">
        <v>52</v>
      </c>
      <c r="D2301" t="s" s="2">
        <v>16</v>
      </c>
      <c r="E2301" t="s" s="2">
        <v>17</v>
      </c>
      <c r="F2301" t="s" s="2">
        <f>HYPERLINK("http://ts.21cn.com/tousu/show/id/1371672","http://ts.21cn.com/tousu/show/id/1371672")</f>
      </c>
      <c r="G2301" t="s" s="2">
        <v>17</v>
      </c>
      <c r="H2301" t="s" s="2">
        <v>19</v>
      </c>
      <c r="I2301" t="s" s="2">
        <v>9022</v>
      </c>
      <c r="J2301" t="s" s="2">
        <v>9023</v>
      </c>
      <c r="K2301" t="s" s="2">
        <v>22</v>
      </c>
      <c r="L2301" t="s" s="2">
        <v>22</v>
      </c>
      <c r="M2301" t="s" s="2">
        <v>22</v>
      </c>
    </row>
    <row r="2302" ht="25.0" customHeight="true">
      <c r="A2302" t="s" s="2">
        <v>13</v>
      </c>
      <c r="B2302" t="s" s="2">
        <f>HYPERLINK("http://ts.21cn.com/tousu/show/id/1371673","快闪卡贷")</f>
      </c>
      <c r="C2302" t="s" s="2">
        <v>15</v>
      </c>
      <c r="D2302" t="s" s="2">
        <v>16</v>
      </c>
      <c r="E2302" t="s" s="2">
        <v>17</v>
      </c>
      <c r="F2302" t="s" s="2">
        <f>HYPERLINK("http://ts.21cn.com/tousu/show/id/1371673","http://ts.21cn.com/tousu/show/id/1371673")</f>
      </c>
      <c r="G2302" t="s" s="2">
        <v>17</v>
      </c>
      <c r="H2302" t="s" s="2">
        <v>19</v>
      </c>
      <c r="I2302" t="s" s="2">
        <v>9026</v>
      </c>
      <c r="J2302" t="s" s="2">
        <v>9027</v>
      </c>
      <c r="K2302" t="s" s="2">
        <v>22</v>
      </c>
      <c r="L2302" t="s" s="2">
        <v>22</v>
      </c>
      <c r="M2302" t="s" s="2">
        <v>22</v>
      </c>
    </row>
    <row r="2303" ht="25.0" customHeight="true">
      <c r="A2303" t="s" s="2">
        <v>13</v>
      </c>
      <c r="B2303" t="s" s="2">
        <f>HYPERLINK("http://ts.21cn.com/tousu/show/id/1371671","360借条骚扰通讯录亲戚朋友")</f>
      </c>
      <c r="C2303" t="s" s="2">
        <v>15</v>
      </c>
      <c r="D2303" t="s" s="2">
        <v>16</v>
      </c>
      <c r="E2303" t="s" s="2">
        <v>17</v>
      </c>
      <c r="F2303" t="s" s="2">
        <f>HYPERLINK("http://ts.21cn.com/tousu/show/id/1371671","http://ts.21cn.com/tousu/show/id/1371671")</f>
      </c>
      <c r="G2303" t="s" s="2">
        <v>17</v>
      </c>
      <c r="H2303" t="s" s="2">
        <v>19</v>
      </c>
      <c r="I2303" t="s" s="2">
        <v>9030</v>
      </c>
      <c r="J2303" t="s" s="2">
        <v>9031</v>
      </c>
      <c r="K2303" t="s" s="2">
        <v>22</v>
      </c>
      <c r="L2303" t="s" s="2">
        <v>22</v>
      </c>
      <c r="M2303" t="s" s="2">
        <v>22</v>
      </c>
    </row>
    <row r="2304" ht="25.0" customHeight="true">
      <c r="A2304" t="s" s="2">
        <v>13</v>
      </c>
      <c r="B2304" t="s" s="2">
        <f>HYPERLINK("http://ts.21cn.com/tousu/show/id/1371669","被告知在陌生平台欠款逾期，被威胁爆通讯录")</f>
      </c>
      <c r="C2304" t="s" s="2">
        <v>15</v>
      </c>
      <c r="D2304" t="s" s="2">
        <v>16</v>
      </c>
      <c r="E2304" t="s" s="2">
        <v>17</v>
      </c>
      <c r="F2304" t="s" s="2">
        <f>HYPERLINK("http://ts.21cn.com/tousu/show/id/1371669","http://ts.21cn.com/tousu/show/id/1371669")</f>
      </c>
      <c r="G2304" t="s" s="2">
        <v>17</v>
      </c>
      <c r="H2304" t="s" s="2">
        <v>19</v>
      </c>
      <c r="I2304" t="s" s="2">
        <v>9034</v>
      </c>
      <c r="J2304" t="s" s="2">
        <v>9035</v>
      </c>
      <c r="K2304" t="s" s="2">
        <v>22</v>
      </c>
      <c r="L2304" t="s" s="2">
        <v>22</v>
      </c>
      <c r="M2304" t="s" s="2">
        <v>22</v>
      </c>
    </row>
    <row r="2305" ht="25.0" customHeight="true">
      <c r="A2305" t="s" s="2">
        <v>13</v>
      </c>
      <c r="B2305" t="s" s="2">
        <f>HYPERLINK("http://ts.21cn.com/tousu/show/id/1371668","滴滴欺瞒司机")</f>
      </c>
      <c r="C2305" t="s" s="2">
        <v>15</v>
      </c>
      <c r="D2305" t="s" s="2">
        <v>16</v>
      </c>
      <c r="E2305" t="s" s="2">
        <v>17</v>
      </c>
      <c r="F2305" t="s" s="2">
        <f>HYPERLINK("http://ts.21cn.com/tousu/show/id/1371668","http://ts.21cn.com/tousu/show/id/1371668")</f>
      </c>
      <c r="G2305" t="s" s="2">
        <v>17</v>
      </c>
      <c r="H2305" t="s" s="2">
        <v>19</v>
      </c>
      <c r="I2305" t="s" s="2">
        <v>9038</v>
      </c>
      <c r="J2305" t="s" s="2">
        <v>9039</v>
      </c>
      <c r="K2305" t="s" s="2">
        <v>22</v>
      </c>
      <c r="L2305" t="s" s="2">
        <v>22</v>
      </c>
      <c r="M2305" t="s" s="2">
        <v>22</v>
      </c>
    </row>
    <row r="2306" ht="25.0" customHeight="true">
      <c r="A2306" t="s" s="2">
        <v>13</v>
      </c>
      <c r="B2306" t="s" s="2">
        <f>HYPERLINK("http://ts.21cn.com/tousu/show/id/1371667","不给退学费，还要我继续支付")</f>
      </c>
      <c r="C2306" t="s" s="2">
        <v>15</v>
      </c>
      <c r="D2306" t="s" s="2">
        <v>16</v>
      </c>
      <c r="E2306" t="s" s="2">
        <v>17</v>
      </c>
      <c r="F2306" t="s" s="2">
        <f>HYPERLINK("http://ts.21cn.com/tousu/show/id/1371667","http://ts.21cn.com/tousu/show/id/1371667")</f>
      </c>
      <c r="G2306" t="s" s="2">
        <v>17</v>
      </c>
      <c r="H2306" t="s" s="2">
        <v>19</v>
      </c>
      <c r="I2306" t="s" s="2">
        <v>9042</v>
      </c>
      <c r="J2306" t="s" s="2">
        <v>9043</v>
      </c>
      <c r="K2306" t="s" s="2">
        <v>22</v>
      </c>
      <c r="L2306" t="s" s="2">
        <v>22</v>
      </c>
      <c r="M2306" t="s" s="2">
        <v>22</v>
      </c>
    </row>
    <row r="2307" ht="25.0" customHeight="true">
      <c r="A2307" t="s" s="2">
        <v>13</v>
      </c>
      <c r="B2307" t="s" s="2">
        <f>HYPERLINK("http://ts.21cn.com/tousu/show/id/1371666","建设银行信用卡逾期罚息与滞纳金")</f>
      </c>
      <c r="C2307" t="s" s="2">
        <v>52</v>
      </c>
      <c r="D2307" t="s" s="2">
        <v>16</v>
      </c>
      <c r="E2307" t="s" s="2">
        <v>17</v>
      </c>
      <c r="F2307" t="s" s="2">
        <f>HYPERLINK("http://ts.21cn.com/tousu/show/id/1371666","http://ts.21cn.com/tousu/show/id/1371666")</f>
      </c>
      <c r="G2307" t="s" s="2">
        <v>17</v>
      </c>
      <c r="H2307" t="s" s="2">
        <v>19</v>
      </c>
      <c r="I2307" t="s" s="2">
        <v>9046</v>
      </c>
      <c r="J2307" t="s" s="2">
        <v>9047</v>
      </c>
      <c r="K2307" t="s" s="2">
        <v>22</v>
      </c>
      <c r="L2307" t="s" s="2">
        <v>22</v>
      </c>
      <c r="M2307" t="s" s="2">
        <v>22</v>
      </c>
    </row>
    <row r="2308" ht="25.0" customHeight="true">
      <c r="A2308" t="s" s="2">
        <v>13</v>
      </c>
      <c r="B2308" t="s" s="2">
        <f>HYPERLINK("http://ts.21cn.com/tousu/show/id/1371665","请求分期免除利息")</f>
      </c>
      <c r="C2308" t="s" s="2">
        <v>15</v>
      </c>
      <c r="D2308" t="s" s="2">
        <v>16</v>
      </c>
      <c r="E2308" t="s" s="2">
        <v>17</v>
      </c>
      <c r="F2308" t="s" s="2">
        <f>HYPERLINK("http://ts.21cn.com/tousu/show/id/1371665","http://ts.21cn.com/tousu/show/id/1371665")</f>
      </c>
      <c r="G2308" t="s" s="2">
        <v>17</v>
      </c>
      <c r="H2308" t="s" s="2">
        <v>19</v>
      </c>
      <c r="I2308" t="s" s="2">
        <v>9050</v>
      </c>
      <c r="J2308" t="s" s="2">
        <v>9051</v>
      </c>
      <c r="K2308" t="s" s="2">
        <v>22</v>
      </c>
      <c r="L2308" t="s" s="2">
        <v>22</v>
      </c>
      <c r="M2308" t="s" s="2">
        <v>22</v>
      </c>
    </row>
    <row r="2309" ht="25.0" customHeight="true">
      <c r="A2309" t="s" s="2">
        <v>13</v>
      </c>
      <c r="B2309" t="s" s="2">
        <f>HYPERLINK("http://ts.21cn.com/tousu/show/id/1371664","威胁恐吓我跟我朋友。")</f>
      </c>
      <c r="C2309" t="s" s="2">
        <v>15</v>
      </c>
      <c r="D2309" t="s" s="2">
        <v>16</v>
      </c>
      <c r="E2309" t="s" s="2">
        <v>17</v>
      </c>
      <c r="F2309" t="s" s="2">
        <f>HYPERLINK("http://ts.21cn.com/tousu/show/id/1371664","http://ts.21cn.com/tousu/show/id/1371664")</f>
      </c>
      <c r="G2309" t="s" s="2">
        <v>17</v>
      </c>
      <c r="H2309" t="s" s="2">
        <v>19</v>
      </c>
      <c r="I2309" t="s" s="2">
        <v>9054</v>
      </c>
      <c r="J2309" t="s" s="2">
        <v>9055</v>
      </c>
      <c r="K2309" t="s" s="2">
        <v>22</v>
      </c>
      <c r="L2309" t="s" s="2">
        <v>22</v>
      </c>
      <c r="M2309" t="s" s="2">
        <v>22</v>
      </c>
    </row>
    <row r="2310" ht="25.0" customHeight="true">
      <c r="A2310" t="s" s="2">
        <v>13</v>
      </c>
      <c r="B2310" t="s" s="2">
        <f>HYPERLINK("http://ts.21cn.com/tousu/show/id/1371663","投诉一款叫“约单”的手机APP")</f>
      </c>
      <c r="C2310" t="s" s="2">
        <v>15</v>
      </c>
      <c r="D2310" t="s" s="2">
        <v>16</v>
      </c>
      <c r="E2310" t="s" s="2">
        <v>17</v>
      </c>
      <c r="F2310" t="s" s="2">
        <f>HYPERLINK("http://ts.21cn.com/tousu/show/id/1371663","http://ts.21cn.com/tousu/show/id/1371663")</f>
      </c>
      <c r="G2310" t="s" s="2">
        <v>17</v>
      </c>
      <c r="H2310" t="s" s="2">
        <v>19</v>
      </c>
      <c r="I2310" t="s" s="2">
        <v>9058</v>
      </c>
      <c r="J2310" t="s" s="2">
        <v>9059</v>
      </c>
      <c r="K2310" t="s" s="2">
        <v>22</v>
      </c>
      <c r="L2310" t="s" s="2">
        <v>22</v>
      </c>
      <c r="M2310" t="s" s="2">
        <v>22</v>
      </c>
    </row>
    <row r="2311" ht="25.0" customHeight="true">
      <c r="A2311" t="s" s="2">
        <v>13</v>
      </c>
      <c r="B2311" t="s" s="2">
        <f>HYPERLINK("http://ts.21cn.com/tousu/show/id/1371662","微信不能正常支付和提现，说涉嫌违规，把我支付账户永久冻结，查了一下原来是有人恶意投诉，凭什么无缘无故冻结我资金？")</f>
      </c>
      <c r="C2311" t="s" s="2">
        <v>15</v>
      </c>
      <c r="D2311" t="s" s="2">
        <v>16</v>
      </c>
      <c r="E2311" t="s" s="2">
        <v>17</v>
      </c>
      <c r="F2311" t="s" s="2">
        <f>HYPERLINK("http://ts.21cn.com/tousu/show/id/1371662","http://ts.21cn.com/tousu/show/id/1371662")</f>
      </c>
      <c r="G2311" t="s" s="2">
        <v>17</v>
      </c>
      <c r="H2311" t="s" s="2">
        <v>19</v>
      </c>
      <c r="I2311" t="s" s="2">
        <v>9062</v>
      </c>
      <c r="J2311" t="s" s="2">
        <v>9063</v>
      </c>
      <c r="K2311" t="s" s="2">
        <v>22</v>
      </c>
      <c r="L2311" t="s" s="2">
        <v>22</v>
      </c>
      <c r="M2311" t="s" s="2">
        <v>22</v>
      </c>
    </row>
    <row r="2312" ht="25.0" customHeight="true">
      <c r="A2312" t="s" s="2">
        <v>13</v>
      </c>
      <c r="B2312" t="s" s="2">
        <f>HYPERLINK("http://ts.21cn.com/tousu/show/id/1371625","投诉融360违法收取砍头息，请求退砍头息")</f>
      </c>
      <c r="C2312" t="s" s="2">
        <v>15</v>
      </c>
      <c r="D2312" t="s" s="2">
        <v>16</v>
      </c>
      <c r="E2312" t="s" s="2">
        <v>17</v>
      </c>
      <c r="F2312" t="s" s="2">
        <f>HYPERLINK("http://ts.21cn.com/tousu/show/id/1371625","http://ts.21cn.com/tousu/show/id/1371625")</f>
      </c>
      <c r="G2312" t="s" s="2">
        <v>17</v>
      </c>
      <c r="H2312" t="s" s="2">
        <v>19</v>
      </c>
      <c r="I2312" t="s" s="2">
        <v>9066</v>
      </c>
      <c r="J2312" t="s" s="2">
        <v>9067</v>
      </c>
      <c r="K2312" t="s" s="2">
        <v>22</v>
      </c>
      <c r="L2312" t="s" s="2">
        <v>22</v>
      </c>
      <c r="M2312" t="s" s="2">
        <v>22</v>
      </c>
    </row>
    <row r="2313" ht="25.0" customHeight="true">
      <c r="A2313" t="s" s="2">
        <v>13</v>
      </c>
      <c r="B2313" t="s" s="2">
        <f>HYPERLINK("http://ts.21cn.com/tousu/show/id/1371661","闪电借APP砍头息高利贷暴力催收骚扰")</f>
      </c>
      <c r="C2313" t="s" s="2">
        <v>15</v>
      </c>
      <c r="D2313" t="s" s="2">
        <v>16</v>
      </c>
      <c r="E2313" t="s" s="2">
        <v>17</v>
      </c>
      <c r="F2313" t="s" s="2">
        <f>HYPERLINK("http://ts.21cn.com/tousu/show/id/1371661","http://ts.21cn.com/tousu/show/id/1371661")</f>
      </c>
      <c r="G2313" t="s" s="2">
        <v>17</v>
      </c>
      <c r="H2313" t="s" s="2">
        <v>19</v>
      </c>
      <c r="I2313" t="s" s="2">
        <v>9070</v>
      </c>
      <c r="J2313" t="s" s="2">
        <v>9071</v>
      </c>
      <c r="K2313" t="s" s="2">
        <v>22</v>
      </c>
      <c r="L2313" t="s" s="2">
        <v>22</v>
      </c>
      <c r="M2313" t="s" s="2">
        <v>22</v>
      </c>
    </row>
    <row r="2314" ht="25.0" customHeight="true">
      <c r="A2314" t="s" s="2">
        <v>13</v>
      </c>
      <c r="B2314" t="s" s="2">
        <f>HYPERLINK("http://ts.21cn.com/tousu/show/id/1371645","网络兼职忽悠人")</f>
      </c>
      <c r="C2314" t="s" s="2">
        <v>15</v>
      </c>
      <c r="D2314" t="s" s="2">
        <v>16</v>
      </c>
      <c r="E2314" t="s" s="2">
        <v>17</v>
      </c>
      <c r="F2314" t="s" s="2">
        <f>HYPERLINK("http://ts.21cn.com/tousu/show/id/1371645","http://ts.21cn.com/tousu/show/id/1371645")</f>
      </c>
      <c r="G2314" t="s" s="2">
        <v>17</v>
      </c>
      <c r="H2314" t="s" s="2">
        <v>19</v>
      </c>
      <c r="I2314" t="s" s="2">
        <v>9074</v>
      </c>
      <c r="J2314" t="s" s="2">
        <v>9075</v>
      </c>
      <c r="K2314" t="s" s="2">
        <v>22</v>
      </c>
      <c r="L2314" t="s" s="2">
        <v>22</v>
      </c>
      <c r="M2314" t="s" s="2">
        <v>22</v>
      </c>
    </row>
    <row r="2315" ht="25.0" customHeight="true">
      <c r="A2315" t="s" s="2">
        <v>13</v>
      </c>
      <c r="B2315" t="s" s="2">
        <f>HYPERLINK("http://ts.21cn.com/tousu/show/id/1371660","建设银行卡无故被壹钱包扣款500元")</f>
      </c>
      <c r="C2315" t="s" s="2">
        <v>15</v>
      </c>
      <c r="D2315" t="s" s="2">
        <v>16</v>
      </c>
      <c r="E2315" t="s" s="2">
        <v>17</v>
      </c>
      <c r="F2315" t="s" s="2">
        <f>HYPERLINK("http://ts.21cn.com/tousu/show/id/1371660","http://ts.21cn.com/tousu/show/id/1371660")</f>
      </c>
      <c r="G2315" t="s" s="2">
        <v>17</v>
      </c>
      <c r="H2315" t="s" s="2">
        <v>19</v>
      </c>
      <c r="I2315" t="s" s="2">
        <v>9078</v>
      </c>
      <c r="J2315" t="s" s="2">
        <v>9079</v>
      </c>
      <c r="K2315" t="s" s="2">
        <v>22</v>
      </c>
      <c r="L2315" t="s" s="2">
        <v>22</v>
      </c>
      <c r="M2315" t="s" s="2">
        <v>22</v>
      </c>
    </row>
    <row r="2316" ht="25.0" customHeight="true">
      <c r="A2316" t="s" s="2">
        <v>13</v>
      </c>
      <c r="B2316" t="s" s="2">
        <f>HYPERLINK("http://ts.21cn.com/tousu/show/id/1371659","马上金融安逸花")</f>
      </c>
      <c r="C2316" t="s" s="2">
        <v>52</v>
      </c>
      <c r="D2316" t="s" s="2">
        <v>16</v>
      </c>
      <c r="E2316" t="s" s="2">
        <v>17</v>
      </c>
      <c r="F2316" t="s" s="2">
        <f>HYPERLINK("http://ts.21cn.com/tousu/show/id/1371659","http://ts.21cn.com/tousu/show/id/1371659")</f>
      </c>
      <c r="G2316" t="s" s="2">
        <v>17</v>
      </c>
      <c r="H2316" t="s" s="2">
        <v>19</v>
      </c>
      <c r="I2316" t="s" s="2">
        <v>9082</v>
      </c>
      <c r="J2316" t="s" s="2">
        <v>9083</v>
      </c>
      <c r="K2316" t="s" s="2">
        <v>22</v>
      </c>
      <c r="L2316" t="s" s="2">
        <v>22</v>
      </c>
      <c r="M2316" t="s" s="2">
        <v>22</v>
      </c>
    </row>
    <row r="2317" ht="25.0" customHeight="true">
      <c r="A2317" t="s" s="2">
        <v>13</v>
      </c>
      <c r="B2317" t="s" s="2">
        <f>HYPERLINK("http://ts.21cn.com/tousu/show/id/1371657","上海翼勋暴力催收威胁恐吓")</f>
      </c>
      <c r="C2317" t="s" s="2">
        <v>15</v>
      </c>
      <c r="D2317" t="s" s="2">
        <v>16</v>
      </c>
      <c r="E2317" t="s" s="2">
        <v>17</v>
      </c>
      <c r="F2317" t="s" s="2">
        <f>HYPERLINK("http://ts.21cn.com/tousu/show/id/1371657","http://ts.21cn.com/tousu/show/id/1371657")</f>
      </c>
      <c r="G2317" t="s" s="2">
        <v>17</v>
      </c>
      <c r="H2317" t="s" s="2">
        <v>19</v>
      </c>
      <c r="I2317" t="s" s="2">
        <v>9086</v>
      </c>
      <c r="J2317" t="s" s="2">
        <v>9087</v>
      </c>
      <c r="K2317" t="s" s="2">
        <v>22</v>
      </c>
      <c r="L2317" t="s" s="2">
        <v>22</v>
      </c>
      <c r="M2317" t="s" s="2">
        <v>22</v>
      </c>
    </row>
    <row r="2318" ht="25.0" customHeight="true">
      <c r="A2318" t="s" s="2">
        <v>13</v>
      </c>
      <c r="B2318" t="s" s="2">
        <f>HYPERLINK("http://ts.21cn.com/tousu/show/id/1371658","拼多多不发货又不退款")</f>
      </c>
      <c r="C2318" t="s" s="2">
        <v>15</v>
      </c>
      <c r="D2318" t="s" s="2">
        <v>16</v>
      </c>
      <c r="E2318" t="s" s="2">
        <v>17</v>
      </c>
      <c r="F2318" t="s" s="2">
        <f>HYPERLINK("http://ts.21cn.com/tousu/show/id/1371658","http://ts.21cn.com/tousu/show/id/1371658")</f>
      </c>
      <c r="G2318" t="s" s="2">
        <v>17</v>
      </c>
      <c r="H2318" t="s" s="2">
        <v>19</v>
      </c>
      <c r="I2318" t="s" s="2">
        <v>9090</v>
      </c>
      <c r="J2318" t="s" s="2">
        <v>9091</v>
      </c>
      <c r="K2318" t="s" s="2">
        <v>22</v>
      </c>
      <c r="L2318" t="s" s="2">
        <v>22</v>
      </c>
      <c r="M2318" t="s" s="2">
        <v>22</v>
      </c>
    </row>
    <row r="2319" ht="25.0" customHeight="true">
      <c r="A2319" t="s" s="2">
        <v>13</v>
      </c>
      <c r="B2319" t="s" s="2">
        <f>HYPERLINK("http://ts.21cn.com/tousu/show/id/1371636","暴力催收、恐吓、威胁上门")</f>
      </c>
      <c r="C2319" t="s" s="2">
        <v>15</v>
      </c>
      <c r="D2319" t="s" s="2">
        <v>16</v>
      </c>
      <c r="E2319" t="s" s="2">
        <v>17</v>
      </c>
      <c r="F2319" t="s" s="2">
        <f>HYPERLINK("http://ts.21cn.com/tousu/show/id/1371636","http://ts.21cn.com/tousu/show/id/1371636")</f>
      </c>
      <c r="G2319" t="s" s="2">
        <v>17</v>
      </c>
      <c r="H2319" t="s" s="2">
        <v>19</v>
      </c>
      <c r="I2319" t="s" s="2">
        <v>9094</v>
      </c>
      <c r="J2319" t="s" s="2">
        <v>9095</v>
      </c>
      <c r="K2319" t="s" s="2">
        <v>22</v>
      </c>
      <c r="L2319" t="s" s="2">
        <v>22</v>
      </c>
      <c r="M2319" t="s" s="2">
        <v>22</v>
      </c>
    </row>
    <row r="2320" ht="25.0" customHeight="true">
      <c r="A2320" t="s" s="2">
        <v>13</v>
      </c>
      <c r="B2320" t="s" s="2">
        <f>HYPERLINK("http://ts.21cn.com/tousu/show/id/1371655","闪银新至尊乱打通讯录电话、侵犯隐私")</f>
      </c>
      <c r="C2320" t="s" s="2">
        <v>15</v>
      </c>
      <c r="D2320" t="s" s="2">
        <v>16</v>
      </c>
      <c r="E2320" t="s" s="2">
        <v>17</v>
      </c>
      <c r="F2320" t="s" s="2">
        <f>HYPERLINK("http://ts.21cn.com/tousu/show/id/1371655","http://ts.21cn.com/tousu/show/id/1371655")</f>
      </c>
      <c r="G2320" t="s" s="2">
        <v>17</v>
      </c>
      <c r="H2320" t="s" s="2">
        <v>19</v>
      </c>
      <c r="I2320" t="s" s="2">
        <v>9098</v>
      </c>
      <c r="J2320" t="s" s="2">
        <v>9099</v>
      </c>
      <c r="K2320" t="s" s="2">
        <v>22</v>
      </c>
      <c r="L2320" t="s" s="2">
        <v>22</v>
      </c>
      <c r="M2320" t="s" s="2">
        <v>22</v>
      </c>
    </row>
    <row r="2321" ht="25.0" customHeight="true">
      <c r="A2321" t="s" s="2">
        <v>13</v>
      </c>
      <c r="B2321" t="s" s="2">
        <f>HYPERLINK("http://ts.21cn.com/tousu/show/id/1371656","恒昌公司旗下恒易贷合同金额远高于实际借款金额")</f>
      </c>
      <c r="C2321" t="s" s="2">
        <v>15</v>
      </c>
      <c r="D2321" t="s" s="2">
        <v>16</v>
      </c>
      <c r="E2321" t="s" s="2">
        <v>17</v>
      </c>
      <c r="F2321" t="s" s="2">
        <f>HYPERLINK("http://ts.21cn.com/tousu/show/id/1371656","http://ts.21cn.com/tousu/show/id/1371656")</f>
      </c>
      <c r="G2321" t="s" s="2">
        <v>17</v>
      </c>
      <c r="H2321" t="s" s="2">
        <v>19</v>
      </c>
      <c r="I2321" t="s" s="2">
        <v>9101</v>
      </c>
      <c r="J2321" t="s" s="2">
        <v>9102</v>
      </c>
      <c r="K2321" t="s" s="2">
        <v>22</v>
      </c>
      <c r="L2321" t="s" s="2">
        <v>22</v>
      </c>
      <c r="M2321" t="s" s="2">
        <v>22</v>
      </c>
    </row>
    <row r="2322" ht="25.0" customHeight="true">
      <c r="A2322" t="s" s="2">
        <v>13</v>
      </c>
      <c r="B2322" t="s" s="2">
        <f>HYPERLINK("http://ts.21cn.com/tousu/show/id/1371654","完美证件照专业版随意扣款！")</f>
      </c>
      <c r="C2322" t="s" s="2">
        <v>15</v>
      </c>
      <c r="D2322" t="s" s="2">
        <v>16</v>
      </c>
      <c r="E2322" t="s" s="2">
        <v>17</v>
      </c>
      <c r="F2322" t="s" s="2">
        <f>HYPERLINK("http://ts.21cn.com/tousu/show/id/1371654","http://ts.21cn.com/tousu/show/id/1371654")</f>
      </c>
      <c r="G2322" t="s" s="2">
        <v>17</v>
      </c>
      <c r="H2322" t="s" s="2">
        <v>19</v>
      </c>
      <c r="I2322" t="s" s="2">
        <v>9105</v>
      </c>
      <c r="J2322" t="s" s="2">
        <v>9106</v>
      </c>
      <c r="K2322" t="s" s="2">
        <v>22</v>
      </c>
      <c r="L2322" t="s" s="2">
        <v>22</v>
      </c>
      <c r="M2322" t="s" s="2">
        <v>22</v>
      </c>
    </row>
    <row r="2323" ht="25.0" customHeight="true">
      <c r="A2323" t="s" s="2">
        <v>13</v>
      </c>
      <c r="B2323" t="s" s="2">
        <f>HYPERLINK("http://ts.21cn.com/tousu/show/id/1371623","胖胖有米利息高爆通讯录")</f>
      </c>
      <c r="C2323" t="s" s="2">
        <v>15</v>
      </c>
      <c r="D2323" t="s" s="2">
        <v>16</v>
      </c>
      <c r="E2323" t="s" s="2">
        <v>17</v>
      </c>
      <c r="F2323" t="s" s="2">
        <f>HYPERLINK("http://ts.21cn.com/tousu/show/id/1371623","http://ts.21cn.com/tousu/show/id/1371623")</f>
      </c>
      <c r="G2323" t="s" s="2">
        <v>17</v>
      </c>
      <c r="H2323" t="s" s="2">
        <v>19</v>
      </c>
      <c r="I2323" t="s" s="2">
        <v>9109</v>
      </c>
      <c r="J2323" t="s" s="2">
        <v>9110</v>
      </c>
      <c r="K2323" t="s" s="2">
        <v>22</v>
      </c>
      <c r="L2323" t="s" s="2">
        <v>22</v>
      </c>
      <c r="M2323" t="s" s="2">
        <v>22</v>
      </c>
    </row>
    <row r="2324" ht="25.0" customHeight="true">
      <c r="A2324" t="s" s="2">
        <v>13</v>
      </c>
      <c r="B2324" t="s" s="2">
        <f>HYPERLINK("http://ts.21cn.com/tousu/show/id/1371653","展鸿科技来花花714高利贷")</f>
      </c>
      <c r="C2324" t="s" s="2">
        <v>15</v>
      </c>
      <c r="D2324" t="s" s="2">
        <v>16</v>
      </c>
      <c r="E2324" t="s" s="2">
        <v>17</v>
      </c>
      <c r="F2324" t="s" s="2">
        <f>HYPERLINK("http://ts.21cn.com/tousu/show/id/1371653","http://ts.21cn.com/tousu/show/id/1371653")</f>
      </c>
      <c r="G2324" t="s" s="2">
        <v>17</v>
      </c>
      <c r="H2324" t="s" s="2">
        <v>19</v>
      </c>
      <c r="I2324" t="s" s="2">
        <v>9113</v>
      </c>
      <c r="J2324" t="s" s="2">
        <v>9114</v>
      </c>
      <c r="K2324" t="s" s="2">
        <v>22</v>
      </c>
      <c r="L2324" t="s" s="2">
        <v>22</v>
      </c>
      <c r="M2324" t="s" s="2">
        <v>22</v>
      </c>
    </row>
    <row r="2325" ht="25.0" customHeight="true">
      <c r="A2325" t="s" s="2">
        <v>13</v>
      </c>
      <c r="B2325" t="s" s="2">
        <f>HYPERLINK("http://ts.21cn.com/tousu/show/id/1371650","百度金融有钱花委托催收多次骚扰本人以及拨打本人通讯录")</f>
      </c>
      <c r="C2325" t="s" s="2">
        <v>15</v>
      </c>
      <c r="D2325" t="s" s="2">
        <v>16</v>
      </c>
      <c r="E2325" t="s" s="2">
        <v>17</v>
      </c>
      <c r="F2325" t="s" s="2">
        <f>HYPERLINK("http://ts.21cn.com/tousu/show/id/1371650","http://ts.21cn.com/tousu/show/id/1371650")</f>
      </c>
      <c r="G2325" t="s" s="2">
        <v>17</v>
      </c>
      <c r="H2325" t="s" s="2">
        <v>19</v>
      </c>
      <c r="I2325" t="s" s="2">
        <v>9117</v>
      </c>
      <c r="J2325" t="s" s="2">
        <v>9118</v>
      </c>
      <c r="K2325" t="s" s="2">
        <v>22</v>
      </c>
      <c r="L2325" t="s" s="2">
        <v>22</v>
      </c>
      <c r="M2325" t="s" s="2">
        <v>22</v>
      </c>
    </row>
    <row r="2326" ht="25.0" customHeight="true">
      <c r="A2326" t="s" s="2">
        <v>13</v>
      </c>
      <c r="B2326" t="s" s="2">
        <f>HYPERLINK("http://ts.21cn.com/tousu/show/id/1371651","招商银行收取高额为违约费和利息")</f>
      </c>
      <c r="C2326" t="s" s="2">
        <v>15</v>
      </c>
      <c r="D2326" t="s" s="2">
        <v>16</v>
      </c>
      <c r="E2326" t="s" s="2">
        <v>17</v>
      </c>
      <c r="F2326" t="s" s="2">
        <f>HYPERLINK("http://ts.21cn.com/tousu/show/id/1371651","http://ts.21cn.com/tousu/show/id/1371651")</f>
      </c>
      <c r="G2326" t="s" s="2">
        <v>17</v>
      </c>
      <c r="H2326" t="s" s="2">
        <v>19</v>
      </c>
      <c r="I2326" t="s" s="2">
        <v>9121</v>
      </c>
      <c r="J2326" t="s" s="2">
        <v>9122</v>
      </c>
      <c r="K2326" t="s" s="2">
        <v>22</v>
      </c>
      <c r="L2326" t="s" s="2">
        <v>22</v>
      </c>
      <c r="M2326" t="s" s="2">
        <v>22</v>
      </c>
    </row>
    <row r="2327" ht="25.0" customHeight="true">
      <c r="A2327" t="s" s="2">
        <v>13</v>
      </c>
      <c r="B2327" t="s" s="2">
        <f>HYPERLINK("http://ts.21cn.com/tousu/show/id/1371649","人人花APP未经同意扣除银行卡款项")</f>
      </c>
      <c r="C2327" t="s" s="2">
        <v>15</v>
      </c>
      <c r="D2327" t="s" s="2">
        <v>16</v>
      </c>
      <c r="E2327" t="s" s="2">
        <v>17</v>
      </c>
      <c r="F2327" t="s" s="2">
        <f>HYPERLINK("http://ts.21cn.com/tousu/show/id/1371649","http://ts.21cn.com/tousu/show/id/1371649")</f>
      </c>
      <c r="G2327" t="s" s="2">
        <v>17</v>
      </c>
      <c r="H2327" t="s" s="2">
        <v>19</v>
      </c>
      <c r="I2327" t="s" s="2">
        <v>9125</v>
      </c>
      <c r="J2327" t="s" s="2">
        <v>9126</v>
      </c>
      <c r="K2327" t="s" s="2">
        <v>22</v>
      </c>
      <c r="L2327" t="s" s="2">
        <v>22</v>
      </c>
      <c r="M2327" t="s" s="2">
        <v>22</v>
      </c>
    </row>
    <row r="2328" ht="25.0" customHeight="true">
      <c r="A2328" t="s" s="2">
        <v>13</v>
      </c>
      <c r="B2328" t="s" s="2">
        <f>HYPERLINK("http://ts.21cn.com/tousu/show/id/1371602","搜狐彩票不正规")</f>
      </c>
      <c r="C2328" t="s" s="2">
        <v>15</v>
      </c>
      <c r="D2328" t="s" s="2">
        <v>16</v>
      </c>
      <c r="E2328" t="s" s="2">
        <v>17</v>
      </c>
      <c r="F2328" t="s" s="2">
        <f>HYPERLINK("http://ts.21cn.com/tousu/show/id/1371602","http://ts.21cn.com/tousu/show/id/1371602")</f>
      </c>
      <c r="G2328" t="s" s="2">
        <v>17</v>
      </c>
      <c r="H2328" t="s" s="2">
        <v>19</v>
      </c>
      <c r="I2328" t="s" s="2">
        <v>9129</v>
      </c>
      <c r="J2328" t="s" s="2">
        <v>9130</v>
      </c>
      <c r="K2328" t="s" s="2">
        <v>22</v>
      </c>
      <c r="L2328" t="s" s="2">
        <v>22</v>
      </c>
      <c r="M2328" t="s" s="2">
        <v>22</v>
      </c>
    </row>
    <row r="2329" ht="25.0" customHeight="true">
      <c r="A2329" t="s" s="2">
        <v>13</v>
      </c>
      <c r="B2329" t="s" s="2">
        <f>HYPERLINK("http://ts.21cn.com/tousu/show/id/1371648","向学生收取高额咨询费拖了两年不给")</f>
      </c>
      <c r="C2329" t="s" s="2">
        <v>15</v>
      </c>
      <c r="D2329" t="s" s="2">
        <v>16</v>
      </c>
      <c r="E2329" t="s" s="2">
        <v>17</v>
      </c>
      <c r="F2329" t="s" s="2">
        <f>HYPERLINK("http://ts.21cn.com/tousu/show/id/1371648","http://ts.21cn.com/tousu/show/id/1371648")</f>
      </c>
      <c r="G2329" t="s" s="2">
        <v>17</v>
      </c>
      <c r="H2329" t="s" s="2">
        <v>19</v>
      </c>
      <c r="I2329" t="s" s="2">
        <v>9133</v>
      </c>
      <c r="J2329" t="s" s="2">
        <v>9134</v>
      </c>
      <c r="K2329" t="s" s="2">
        <v>22</v>
      </c>
      <c r="L2329" t="s" s="2">
        <v>22</v>
      </c>
      <c r="M2329" t="s" s="2">
        <v>22</v>
      </c>
    </row>
    <row r="2330" ht="25.0" customHeight="true">
      <c r="A2330" t="s" s="2">
        <v>13</v>
      </c>
      <c r="B2330" t="s" s="2">
        <f>HYPERLINK("http://ts.21cn.com/tousu/show/id/1371646","恶意催收")</f>
      </c>
      <c r="C2330" t="s" s="2">
        <v>15</v>
      </c>
      <c r="D2330" t="s" s="2">
        <v>16</v>
      </c>
      <c r="E2330" t="s" s="2">
        <v>17</v>
      </c>
      <c r="F2330" t="s" s="2">
        <f>HYPERLINK("http://ts.21cn.com/tousu/show/id/1371646","http://ts.21cn.com/tousu/show/id/1371646")</f>
      </c>
      <c r="G2330" t="s" s="2">
        <v>17</v>
      </c>
      <c r="H2330" t="s" s="2">
        <v>19</v>
      </c>
      <c r="I2330" t="s" s="2">
        <v>9136</v>
      </c>
      <c r="J2330" t="s" s="2">
        <v>9137</v>
      </c>
      <c r="K2330" t="s" s="2">
        <v>22</v>
      </c>
      <c r="L2330" t="s" s="2">
        <v>22</v>
      </c>
      <c r="M2330" t="s" s="2">
        <v>22</v>
      </c>
    </row>
    <row r="2331" ht="25.0" customHeight="true">
      <c r="A2331" t="s" s="2">
        <v>13</v>
      </c>
      <c r="B2331" t="s" s="2">
        <f>HYPERLINK("http://ts.21cn.com/tousu/show/id/1371647","玖富万卡套路贷高利贷爆通讯录骚扰亲朋好友")</f>
      </c>
      <c r="C2331" t="s" s="2">
        <v>15</v>
      </c>
      <c r="D2331" t="s" s="2">
        <v>16</v>
      </c>
      <c r="E2331" t="s" s="2">
        <v>17</v>
      </c>
      <c r="F2331" t="s" s="2">
        <f>HYPERLINK("http://ts.21cn.com/tousu/show/id/1371647","http://ts.21cn.com/tousu/show/id/1371647")</f>
      </c>
      <c r="G2331" t="s" s="2">
        <v>17</v>
      </c>
      <c r="H2331" t="s" s="2">
        <v>19</v>
      </c>
      <c r="I2331" t="s" s="2">
        <v>9140</v>
      </c>
      <c r="J2331" t="s" s="2">
        <v>9141</v>
      </c>
      <c r="K2331" t="s" s="2">
        <v>22</v>
      </c>
      <c r="L2331" t="s" s="2">
        <v>22</v>
      </c>
      <c r="M2331" t="s" s="2">
        <v>22</v>
      </c>
    </row>
    <row r="2332" ht="25.0" customHeight="true">
      <c r="A2332" t="s" s="2">
        <v>13</v>
      </c>
      <c r="B2332" t="s" s="2">
        <f>HYPERLINK("http://ts.21cn.com/tousu/show/id/1371644","宜人贷高额砍头息，暴力催收上门，肆意宣传欠款")</f>
      </c>
      <c r="C2332" t="s" s="2">
        <v>15</v>
      </c>
      <c r="D2332" t="s" s="2">
        <v>16</v>
      </c>
      <c r="E2332" t="s" s="2">
        <v>17</v>
      </c>
      <c r="F2332" t="s" s="2">
        <f>HYPERLINK("http://ts.21cn.com/tousu/show/id/1371644","http://ts.21cn.com/tousu/show/id/1371644")</f>
      </c>
      <c r="G2332" t="s" s="2">
        <v>17</v>
      </c>
      <c r="H2332" t="s" s="2">
        <v>19</v>
      </c>
      <c r="I2332" t="s" s="2">
        <v>9144</v>
      </c>
      <c r="J2332" t="s" s="2">
        <v>9145</v>
      </c>
      <c r="K2332" t="s" s="2">
        <v>22</v>
      </c>
      <c r="L2332" t="s" s="2">
        <v>22</v>
      </c>
      <c r="M2332" t="s" s="2">
        <v>22</v>
      </c>
    </row>
    <row r="2333" ht="25.0" customHeight="true">
      <c r="A2333" t="s" s="2">
        <v>13</v>
      </c>
      <c r="B2333" t="s" s="2">
        <f>HYPERLINK("http://ts.21cn.com/tousu/show/id/1371643","暴力催收")</f>
      </c>
      <c r="C2333" t="s" s="2">
        <v>15</v>
      </c>
      <c r="D2333" t="s" s="2">
        <v>16</v>
      </c>
      <c r="E2333" t="s" s="2">
        <v>17</v>
      </c>
      <c r="F2333" t="s" s="2">
        <f>HYPERLINK("http://ts.21cn.com/tousu/show/id/1371643","http://ts.21cn.com/tousu/show/id/1371643")</f>
      </c>
      <c r="G2333" t="s" s="2">
        <v>17</v>
      </c>
      <c r="H2333" t="s" s="2">
        <v>19</v>
      </c>
      <c r="I2333" t="s" s="2">
        <v>9147</v>
      </c>
      <c r="J2333" t="s" s="2">
        <v>9148</v>
      </c>
      <c r="K2333" t="s" s="2">
        <v>22</v>
      </c>
      <c r="L2333" t="s" s="2">
        <v>22</v>
      </c>
      <c r="M2333" t="s" s="2">
        <v>22</v>
      </c>
    </row>
    <row r="2334" ht="25.0" customHeight="true">
      <c r="A2334" t="s" s="2">
        <v>13</v>
      </c>
      <c r="B2334" t="s" s="2">
        <f>HYPERLINK("http://ts.21cn.com/tousu/show/id/1371641","希望可以协商还款")</f>
      </c>
      <c r="C2334" t="s" s="2">
        <v>15</v>
      </c>
      <c r="D2334" t="s" s="2">
        <v>16</v>
      </c>
      <c r="E2334" t="s" s="2">
        <v>17</v>
      </c>
      <c r="F2334" t="s" s="2">
        <f>HYPERLINK("http://ts.21cn.com/tousu/show/id/1371641","http://ts.21cn.com/tousu/show/id/1371641")</f>
      </c>
      <c r="G2334" t="s" s="2">
        <v>17</v>
      </c>
      <c r="H2334" t="s" s="2">
        <v>19</v>
      </c>
      <c r="I2334" t="s" s="2">
        <v>9151</v>
      </c>
      <c r="J2334" t="s" s="2">
        <v>9152</v>
      </c>
      <c r="K2334" t="s" s="2">
        <v>22</v>
      </c>
      <c r="L2334" t="s" s="2">
        <v>22</v>
      </c>
      <c r="M2334" t="s" s="2">
        <v>22</v>
      </c>
    </row>
    <row r="2335" ht="25.0" customHeight="true">
      <c r="A2335" t="s" s="2">
        <v>13</v>
      </c>
      <c r="B2335" t="s" s="2">
        <f>HYPERLINK("http://ts.21cn.com/tousu/show/id/1371642","拼多多虚假宣传")</f>
      </c>
      <c r="C2335" t="s" s="2">
        <v>15</v>
      </c>
      <c r="D2335" t="s" s="2">
        <v>16</v>
      </c>
      <c r="E2335" t="s" s="2">
        <v>17</v>
      </c>
      <c r="F2335" t="s" s="2">
        <f>HYPERLINK("http://ts.21cn.com/tousu/show/id/1371642","http://ts.21cn.com/tousu/show/id/1371642")</f>
      </c>
      <c r="G2335" t="s" s="2">
        <v>17</v>
      </c>
      <c r="H2335" t="s" s="2">
        <v>19</v>
      </c>
      <c r="I2335" t="s" s="2">
        <v>9155</v>
      </c>
      <c r="J2335" t="s" s="2">
        <v>9156</v>
      </c>
      <c r="K2335" t="s" s="2">
        <v>22</v>
      </c>
      <c r="L2335" t="s" s="2">
        <v>22</v>
      </c>
      <c r="M2335" t="s" s="2">
        <v>22</v>
      </c>
    </row>
    <row r="2336" ht="25.0" customHeight="true">
      <c r="A2336" t="s" s="2">
        <v>13</v>
      </c>
      <c r="B2336" t="s" s="2">
        <f>HYPERLINK("http://ts.21cn.com/tousu/show/id/1371640","百度钱包拒绝协商处理")</f>
      </c>
      <c r="C2336" t="s" s="2">
        <v>15</v>
      </c>
      <c r="D2336" t="s" s="2">
        <v>16</v>
      </c>
      <c r="E2336" t="s" s="2">
        <v>17</v>
      </c>
      <c r="F2336" t="s" s="2">
        <f>HYPERLINK("http://ts.21cn.com/tousu/show/id/1371640","http://ts.21cn.com/tousu/show/id/1371640")</f>
      </c>
      <c r="G2336" t="s" s="2">
        <v>17</v>
      </c>
      <c r="H2336" t="s" s="2">
        <v>19</v>
      </c>
      <c r="I2336" t="s" s="2">
        <v>9159</v>
      </c>
      <c r="J2336" t="s" s="2">
        <v>9160</v>
      </c>
      <c r="K2336" t="s" s="2">
        <v>22</v>
      </c>
      <c r="L2336" t="s" s="2">
        <v>22</v>
      </c>
      <c r="M2336" t="s" s="2">
        <v>22</v>
      </c>
    </row>
    <row r="2337" ht="25.0" customHeight="true">
      <c r="A2337" t="s" s="2">
        <v>13</v>
      </c>
      <c r="B2337" t="s" s="2">
        <f>HYPERLINK("http://ts.21cn.com/tousu/show/id/1371639","百事普惠非法收取299费用")</f>
      </c>
      <c r="C2337" t="s" s="2">
        <v>15</v>
      </c>
      <c r="D2337" t="s" s="2">
        <v>16</v>
      </c>
      <c r="E2337" t="s" s="2">
        <v>17</v>
      </c>
      <c r="F2337" t="s" s="2">
        <f>HYPERLINK("http://ts.21cn.com/tousu/show/id/1371639","http://ts.21cn.com/tousu/show/id/1371639")</f>
      </c>
      <c r="G2337" t="s" s="2">
        <v>17</v>
      </c>
      <c r="H2337" t="s" s="2">
        <v>19</v>
      </c>
      <c r="I2337" t="s" s="2">
        <v>9163</v>
      </c>
      <c r="J2337" t="s" s="2">
        <v>9164</v>
      </c>
      <c r="K2337" t="s" s="2">
        <v>22</v>
      </c>
      <c r="L2337" t="s" s="2">
        <v>22</v>
      </c>
      <c r="M2337" t="s" s="2">
        <v>22</v>
      </c>
    </row>
    <row r="2338" ht="25.0" customHeight="true">
      <c r="A2338" t="s" s="2">
        <v>13</v>
      </c>
      <c r="B2338" t="s" s="2">
        <f>HYPERLINK("http://ts.21cn.com/tousu/show/id/1371638","虾米在线高利贷，套路贷")</f>
      </c>
      <c r="C2338" t="s" s="2">
        <v>15</v>
      </c>
      <c r="D2338" t="s" s="2">
        <v>16</v>
      </c>
      <c r="E2338" t="s" s="2">
        <v>17</v>
      </c>
      <c r="F2338" t="s" s="2">
        <f>HYPERLINK("http://ts.21cn.com/tousu/show/id/1371638","http://ts.21cn.com/tousu/show/id/1371638")</f>
      </c>
      <c r="G2338" t="s" s="2">
        <v>17</v>
      </c>
      <c r="H2338" t="s" s="2">
        <v>19</v>
      </c>
      <c r="I2338" t="s" s="2">
        <v>9167</v>
      </c>
      <c r="J2338" t="s" s="2">
        <v>9168</v>
      </c>
      <c r="K2338" t="s" s="2">
        <v>22</v>
      </c>
      <c r="L2338" t="s" s="2">
        <v>22</v>
      </c>
      <c r="M2338" t="s" s="2">
        <v>22</v>
      </c>
    </row>
    <row r="2339" ht="25.0" customHeight="true">
      <c r="A2339" t="s" s="2">
        <v>13</v>
      </c>
      <c r="B2339" t="s" s="2">
        <f>HYPERLINK("http://ts.21cn.com/tousu/show/id/1371637","砍头息，随意扣款")</f>
      </c>
      <c r="C2339" t="s" s="2">
        <v>15</v>
      </c>
      <c r="D2339" t="s" s="2">
        <v>16</v>
      </c>
      <c r="E2339" t="s" s="2">
        <v>17</v>
      </c>
      <c r="F2339" t="s" s="2">
        <f>HYPERLINK("http://ts.21cn.com/tousu/show/id/1371637","http://ts.21cn.com/tousu/show/id/1371637")</f>
      </c>
      <c r="G2339" t="s" s="2">
        <v>17</v>
      </c>
      <c r="H2339" t="s" s="2">
        <v>19</v>
      </c>
      <c r="I2339" t="s" s="2">
        <v>9171</v>
      </c>
      <c r="J2339" t="s" s="2">
        <v>9172</v>
      </c>
      <c r="K2339" t="s" s="2">
        <v>22</v>
      </c>
      <c r="L2339" t="s" s="2">
        <v>22</v>
      </c>
      <c r="M2339" t="s" s="2">
        <v>22</v>
      </c>
    </row>
    <row r="2340" ht="25.0" customHeight="true">
      <c r="A2340" t="s" s="2">
        <v>13</v>
      </c>
      <c r="B2340" t="s" s="2">
        <f>HYPERLINK("http://ts.21cn.com/tousu/show/id/1371635","威胁恐吓给通讯录联系人发各种信息")</f>
      </c>
      <c r="C2340" t="s" s="2">
        <v>15</v>
      </c>
      <c r="D2340" t="s" s="2">
        <v>16</v>
      </c>
      <c r="E2340" t="s" s="2">
        <v>17</v>
      </c>
      <c r="F2340" t="s" s="2">
        <f>HYPERLINK("http://ts.21cn.com/tousu/show/id/1371635","http://ts.21cn.com/tousu/show/id/1371635")</f>
      </c>
      <c r="G2340" t="s" s="2">
        <v>17</v>
      </c>
      <c r="H2340" t="s" s="2">
        <v>19</v>
      </c>
      <c r="I2340" t="s" s="2">
        <v>9175</v>
      </c>
      <c r="J2340" t="s" s="2">
        <v>9176</v>
      </c>
      <c r="K2340" t="s" s="2">
        <v>22</v>
      </c>
      <c r="L2340" t="s" s="2">
        <v>22</v>
      </c>
      <c r="M2340" t="s" s="2">
        <v>22</v>
      </c>
    </row>
    <row r="2341" ht="25.0" customHeight="true">
      <c r="A2341" t="s" s="2">
        <v>13</v>
      </c>
      <c r="B2341" t="s" s="2">
        <f>HYPERLINK("http://ts.21cn.com/tousu/show/id/1371633","有人来电要在360借条上注销学生额度")</f>
      </c>
      <c r="C2341" t="s" s="2">
        <v>15</v>
      </c>
      <c r="D2341" t="s" s="2">
        <v>16</v>
      </c>
      <c r="E2341" t="s" s="2">
        <v>17</v>
      </c>
      <c r="F2341" t="s" s="2">
        <f>HYPERLINK("http://ts.21cn.com/tousu/show/id/1371633","http://ts.21cn.com/tousu/show/id/1371633")</f>
      </c>
      <c r="G2341" t="s" s="2">
        <v>17</v>
      </c>
      <c r="H2341" t="s" s="2">
        <v>19</v>
      </c>
      <c r="I2341" t="s" s="2">
        <v>9179</v>
      </c>
      <c r="J2341" t="s" s="2">
        <v>9180</v>
      </c>
      <c r="K2341" t="s" s="2">
        <v>22</v>
      </c>
      <c r="L2341" t="s" s="2">
        <v>22</v>
      </c>
      <c r="M2341" t="s" s="2">
        <v>22</v>
      </c>
    </row>
    <row r="2342" ht="25.0" customHeight="true">
      <c r="A2342" t="s" s="2">
        <v>13</v>
      </c>
      <c r="B2342" t="s" s="2">
        <f>HYPERLINK("http://ts.21cn.com/tousu/show/id/1371632","好易借高利贷，套路贷，阴阳合同")</f>
      </c>
      <c r="C2342" t="s" s="2">
        <v>15</v>
      </c>
      <c r="D2342" t="s" s="2">
        <v>16</v>
      </c>
      <c r="E2342" t="s" s="2">
        <v>17</v>
      </c>
      <c r="F2342" t="s" s="2">
        <f>HYPERLINK("http://ts.21cn.com/tousu/show/id/1371632","http://ts.21cn.com/tousu/show/id/1371632")</f>
      </c>
      <c r="G2342" t="s" s="2">
        <v>17</v>
      </c>
      <c r="H2342" t="s" s="2">
        <v>19</v>
      </c>
      <c r="I2342" t="s" s="2">
        <v>9183</v>
      </c>
      <c r="J2342" t="s" s="2">
        <v>9184</v>
      </c>
      <c r="K2342" t="s" s="2">
        <v>22</v>
      </c>
      <c r="L2342" t="s" s="2">
        <v>22</v>
      </c>
      <c r="M2342" t="s" s="2">
        <v>22</v>
      </c>
    </row>
    <row r="2343" ht="25.0" customHeight="true">
      <c r="A2343" t="s" s="2">
        <v>13</v>
      </c>
      <c r="B2343" t="s" s="2">
        <f>HYPERLINK("http://ts.21cn.com/tousu/show/id/1371630","遵义市湘江投资卖房不交房不退款")</f>
      </c>
      <c r="C2343" t="s" s="2">
        <v>15</v>
      </c>
      <c r="D2343" t="s" s="2">
        <v>16</v>
      </c>
      <c r="E2343" t="s" s="2">
        <v>17</v>
      </c>
      <c r="F2343" t="s" s="2">
        <f>HYPERLINK("http://ts.21cn.com/tousu/show/id/1371630","http://ts.21cn.com/tousu/show/id/1371630")</f>
      </c>
      <c r="G2343" t="s" s="2">
        <v>17</v>
      </c>
      <c r="H2343" t="s" s="2">
        <v>19</v>
      </c>
      <c r="I2343" t="s" s="2">
        <v>9187</v>
      </c>
      <c r="J2343" t="s" s="2">
        <v>9188</v>
      </c>
      <c r="K2343" t="s" s="2">
        <v>22</v>
      </c>
      <c r="L2343" t="s" s="2">
        <v>22</v>
      </c>
      <c r="M2343" t="s" s="2">
        <v>22</v>
      </c>
    </row>
    <row r="2344" ht="25.0" customHeight="true">
      <c r="A2344" t="s" s="2">
        <v>13</v>
      </c>
      <c r="B2344" t="s" s="2">
        <f>HYPERLINK("http://ts.21cn.com/tousu/show/id/1371629","美团生活费威胁爆通讯录")</f>
      </c>
      <c r="C2344" t="s" s="2">
        <v>15</v>
      </c>
      <c r="D2344" t="s" s="2">
        <v>16</v>
      </c>
      <c r="E2344" t="s" s="2">
        <v>17</v>
      </c>
      <c r="F2344" t="s" s="2">
        <f>HYPERLINK("http://ts.21cn.com/tousu/show/id/1371629","http://ts.21cn.com/tousu/show/id/1371629")</f>
      </c>
      <c r="G2344" t="s" s="2">
        <v>17</v>
      </c>
      <c r="H2344" t="s" s="2">
        <v>19</v>
      </c>
      <c r="I2344" t="s" s="2">
        <v>9191</v>
      </c>
      <c r="J2344" t="s" s="2">
        <v>9192</v>
      </c>
      <c r="K2344" t="s" s="2">
        <v>22</v>
      </c>
      <c r="L2344" t="s" s="2">
        <v>22</v>
      </c>
      <c r="M2344" t="s" s="2">
        <v>22</v>
      </c>
    </row>
    <row r="2345" ht="25.0" customHeight="true">
      <c r="A2345" t="s" s="2">
        <v>13</v>
      </c>
      <c r="B2345" t="s" s="2">
        <f>HYPERLINK("http://ts.21cn.com/tousu/show/id/1371631","有人监管华晟易贷吗")</f>
      </c>
      <c r="C2345" t="s" s="2">
        <v>15</v>
      </c>
      <c r="D2345" t="s" s="2">
        <v>16</v>
      </c>
      <c r="E2345" t="s" s="2">
        <v>17</v>
      </c>
      <c r="F2345" t="s" s="2">
        <f>HYPERLINK("http://ts.21cn.com/tousu/show/id/1371631","http://ts.21cn.com/tousu/show/id/1371631")</f>
      </c>
      <c r="G2345" t="s" s="2">
        <v>17</v>
      </c>
      <c r="H2345" t="s" s="2">
        <v>19</v>
      </c>
      <c r="I2345" t="s" s="2">
        <v>9195</v>
      </c>
      <c r="J2345" t="s" s="2">
        <v>9196</v>
      </c>
      <c r="K2345" t="s" s="2">
        <v>22</v>
      </c>
      <c r="L2345" t="s" s="2">
        <v>22</v>
      </c>
      <c r="M2345" t="s" s="2">
        <v>22</v>
      </c>
    </row>
    <row r="2346" ht="25.0" customHeight="true">
      <c r="A2346" t="s" s="2">
        <v>13</v>
      </c>
      <c r="B2346" t="s" s="2">
        <f>HYPERLINK("http://ts.21cn.com/tousu/show/id/1371628","高利贷")</f>
      </c>
      <c r="C2346" t="s" s="2">
        <v>15</v>
      </c>
      <c r="D2346" t="s" s="2">
        <v>16</v>
      </c>
      <c r="E2346" t="s" s="2">
        <v>17</v>
      </c>
      <c r="F2346" t="s" s="2">
        <f>HYPERLINK("http://ts.21cn.com/tousu/show/id/1371628","http://ts.21cn.com/tousu/show/id/1371628")</f>
      </c>
      <c r="G2346" t="s" s="2">
        <v>17</v>
      </c>
      <c r="H2346" t="s" s="2">
        <v>19</v>
      </c>
      <c r="I2346" t="s" s="2">
        <v>9198</v>
      </c>
      <c r="J2346" t="s" s="2">
        <v>9199</v>
      </c>
      <c r="K2346" t="s" s="2">
        <v>22</v>
      </c>
      <c r="L2346" t="s" s="2">
        <v>22</v>
      </c>
      <c r="M2346" t="s" s="2">
        <v>22</v>
      </c>
    </row>
    <row r="2347" ht="25.0" customHeight="true">
      <c r="A2347" t="s" s="2">
        <v>13</v>
      </c>
      <c r="B2347" t="s" s="2">
        <f>HYPERLINK("http://ts.21cn.com/tousu/show/id/1371594","浦发银行违约金、罚息减免退还")</f>
      </c>
      <c r="C2347" t="s" s="2">
        <v>15</v>
      </c>
      <c r="D2347" t="s" s="2">
        <v>16</v>
      </c>
      <c r="E2347" t="s" s="2">
        <v>17</v>
      </c>
      <c r="F2347" t="s" s="2">
        <f>HYPERLINK("http://ts.21cn.com/tousu/show/id/1371594","http://ts.21cn.com/tousu/show/id/1371594")</f>
      </c>
      <c r="G2347" t="s" s="2">
        <v>17</v>
      </c>
      <c r="H2347" t="s" s="2">
        <v>19</v>
      </c>
      <c r="I2347" t="s" s="2">
        <v>9202</v>
      </c>
      <c r="J2347" t="s" s="2">
        <v>9203</v>
      </c>
      <c r="K2347" t="s" s="2">
        <v>22</v>
      </c>
      <c r="L2347" t="s" s="2">
        <v>22</v>
      </c>
      <c r="M2347" t="s" s="2">
        <v>22</v>
      </c>
    </row>
    <row r="2348" ht="25.0" customHeight="true">
      <c r="A2348" t="s" s="2">
        <v>13</v>
      </c>
      <c r="B2348" t="s" s="2">
        <f>HYPERLINK("http://ts.21cn.com/tousu/show/id/1371552","立借平台忽悠本人结案又骚扰电话")</f>
      </c>
      <c r="C2348" t="s" s="2">
        <v>15</v>
      </c>
      <c r="D2348" t="s" s="2">
        <v>16</v>
      </c>
      <c r="E2348" t="s" s="2">
        <v>17</v>
      </c>
      <c r="F2348" t="s" s="2">
        <f>HYPERLINK("http://ts.21cn.com/tousu/show/id/1371552","http://ts.21cn.com/tousu/show/id/1371552")</f>
      </c>
      <c r="G2348" t="s" s="2">
        <v>17</v>
      </c>
      <c r="H2348" t="s" s="2">
        <v>19</v>
      </c>
      <c r="I2348" t="s" s="2">
        <v>9206</v>
      </c>
      <c r="J2348" t="s" s="2">
        <v>9207</v>
      </c>
      <c r="K2348" t="s" s="2">
        <v>22</v>
      </c>
      <c r="L2348" t="s" s="2">
        <v>22</v>
      </c>
      <c r="M2348" t="s" s="2">
        <v>22</v>
      </c>
    </row>
    <row r="2349" ht="25.0" customHeight="true">
      <c r="A2349" t="s" s="2">
        <v>13</v>
      </c>
      <c r="B2349" t="s" s="2">
        <f>HYPERLINK("http://ts.21cn.com/tousu/show/id/1371627","投诉小赢卡贷注销账户还要提供身份证信息")</f>
      </c>
      <c r="C2349" t="s" s="2">
        <v>15</v>
      </c>
      <c r="D2349" t="s" s="2">
        <v>16</v>
      </c>
      <c r="E2349" t="s" s="2">
        <v>17</v>
      </c>
      <c r="F2349" t="s" s="2">
        <f>HYPERLINK("http://ts.21cn.com/tousu/show/id/1371627","http://ts.21cn.com/tousu/show/id/1371627")</f>
      </c>
      <c r="G2349" t="s" s="2">
        <v>17</v>
      </c>
      <c r="H2349" t="s" s="2">
        <v>19</v>
      </c>
      <c r="I2349" t="s" s="2">
        <v>9210</v>
      </c>
      <c r="J2349" t="s" s="2">
        <v>9211</v>
      </c>
      <c r="K2349" t="s" s="2">
        <v>22</v>
      </c>
      <c r="L2349" t="s" s="2">
        <v>22</v>
      </c>
      <c r="M2349" t="s" s="2">
        <v>22</v>
      </c>
    </row>
    <row r="2350" ht="25.0" customHeight="true">
      <c r="A2350" t="s" s="2">
        <v>13</v>
      </c>
      <c r="B2350" t="s" s="2">
        <f>HYPERLINK("http://ts.21cn.com/tousu/show/id/1371626","你们这是一天打多少电话？")</f>
      </c>
      <c r="C2350" t="s" s="2">
        <v>15</v>
      </c>
      <c r="D2350" t="s" s="2">
        <v>16</v>
      </c>
      <c r="E2350" t="s" s="2">
        <v>17</v>
      </c>
      <c r="F2350" t="s" s="2">
        <f>HYPERLINK("http://ts.21cn.com/tousu/show/id/1371626","http://ts.21cn.com/tousu/show/id/1371626")</f>
      </c>
      <c r="G2350" t="s" s="2">
        <v>17</v>
      </c>
      <c r="H2350" t="s" s="2">
        <v>19</v>
      </c>
      <c r="I2350" t="s" s="2">
        <v>9214</v>
      </c>
      <c r="J2350" t="s" s="2">
        <v>9215</v>
      </c>
      <c r="K2350" t="s" s="2">
        <v>22</v>
      </c>
      <c r="L2350" t="s" s="2">
        <v>22</v>
      </c>
      <c r="M2350" t="s" s="2">
        <v>22</v>
      </c>
    </row>
    <row r="2351" ht="25.0" customHeight="true">
      <c r="A2351" t="s" s="2">
        <v>13</v>
      </c>
      <c r="B2351" t="s" s="2">
        <f>HYPERLINK("http://ts.21cn.com/tousu/show/id/1371624","招商银行拒绝沟通还款，执意要家里人和他们联系")</f>
      </c>
      <c r="C2351" t="s" s="2">
        <v>15</v>
      </c>
      <c r="D2351" t="s" s="2">
        <v>16</v>
      </c>
      <c r="E2351" t="s" s="2">
        <v>17</v>
      </c>
      <c r="F2351" t="s" s="2">
        <f>HYPERLINK("http://ts.21cn.com/tousu/show/id/1371624","http://ts.21cn.com/tousu/show/id/1371624")</f>
      </c>
      <c r="G2351" t="s" s="2">
        <v>17</v>
      </c>
      <c r="H2351" t="s" s="2">
        <v>19</v>
      </c>
      <c r="I2351" t="s" s="2">
        <v>9218</v>
      </c>
      <c r="J2351" t="s" s="2">
        <v>9219</v>
      </c>
      <c r="K2351" t="s" s="2">
        <v>22</v>
      </c>
      <c r="L2351" t="s" s="2">
        <v>22</v>
      </c>
      <c r="M2351" t="s" s="2">
        <v>22</v>
      </c>
    </row>
    <row r="2352" ht="25.0" customHeight="true">
      <c r="A2352" t="s" s="2">
        <v>13</v>
      </c>
      <c r="B2352" t="s" s="2">
        <f>HYPERLINK("http://ts.21cn.com/tousu/show/id/1371622","希望360贷款不要威胁我")</f>
      </c>
      <c r="C2352" t="s" s="2">
        <v>15</v>
      </c>
      <c r="D2352" t="s" s="2">
        <v>16</v>
      </c>
      <c r="E2352" t="s" s="2">
        <v>17</v>
      </c>
      <c r="F2352" t="s" s="2">
        <f>HYPERLINK("http://ts.21cn.com/tousu/show/id/1371622","http://ts.21cn.com/tousu/show/id/1371622")</f>
      </c>
      <c r="G2352" t="s" s="2">
        <v>17</v>
      </c>
      <c r="H2352" t="s" s="2">
        <v>19</v>
      </c>
      <c r="I2352" t="s" s="2">
        <v>9222</v>
      </c>
      <c r="J2352" t="s" s="2">
        <v>9223</v>
      </c>
      <c r="K2352" t="s" s="2">
        <v>22</v>
      </c>
      <c r="L2352" t="s" s="2">
        <v>22</v>
      </c>
      <c r="M2352" t="s" s="2">
        <v>22</v>
      </c>
    </row>
    <row r="2353" ht="25.0" customHeight="true">
      <c r="A2353" t="s" s="2">
        <v>13</v>
      </c>
      <c r="B2353" t="s" s="2">
        <f>HYPERLINK("http://ts.21cn.com/tousu/show/id/1371621","乔融医分期APP无法还款，恶意逾期，客服联系不上")</f>
      </c>
      <c r="C2353" t="s" s="2">
        <v>15</v>
      </c>
      <c r="D2353" t="s" s="2">
        <v>16</v>
      </c>
      <c r="E2353" t="s" s="2">
        <v>17</v>
      </c>
      <c r="F2353" t="s" s="2">
        <f>HYPERLINK("http://ts.21cn.com/tousu/show/id/1371621","http://ts.21cn.com/tousu/show/id/1371621")</f>
      </c>
      <c r="G2353" t="s" s="2">
        <v>17</v>
      </c>
      <c r="H2353" t="s" s="2">
        <v>19</v>
      </c>
      <c r="I2353" t="s" s="2">
        <v>9226</v>
      </c>
      <c r="J2353" t="s" s="2">
        <v>9227</v>
      </c>
      <c r="K2353" t="s" s="2">
        <v>22</v>
      </c>
      <c r="L2353" t="s" s="2">
        <v>22</v>
      </c>
      <c r="M2353" t="s" s="2">
        <v>22</v>
      </c>
    </row>
    <row r="2354" ht="25.0" customHeight="true">
      <c r="A2354" t="s" s="2">
        <v>13</v>
      </c>
      <c r="B2354" t="s" s="2">
        <f>HYPERLINK("http://ts.21cn.com/tousu/show/id/1371620","暴力催收")</f>
      </c>
      <c r="C2354" t="s" s="2">
        <v>15</v>
      </c>
      <c r="D2354" t="s" s="2">
        <v>16</v>
      </c>
      <c r="E2354" t="s" s="2">
        <v>17</v>
      </c>
      <c r="F2354" t="s" s="2">
        <f>HYPERLINK("http://ts.21cn.com/tousu/show/id/1371620","http://ts.21cn.com/tousu/show/id/1371620")</f>
      </c>
      <c r="G2354" t="s" s="2">
        <v>17</v>
      </c>
      <c r="H2354" t="s" s="2">
        <v>19</v>
      </c>
      <c r="I2354" t="s" s="2">
        <v>9229</v>
      </c>
      <c r="J2354" t="s" s="2">
        <v>9230</v>
      </c>
      <c r="K2354" t="s" s="2">
        <v>22</v>
      </c>
      <c r="L2354" t="s" s="2">
        <v>22</v>
      </c>
      <c r="M2354" t="s" s="2">
        <v>22</v>
      </c>
    </row>
    <row r="2355" ht="25.0" customHeight="true">
      <c r="A2355" t="s" s="2">
        <v>13</v>
      </c>
      <c r="B2355" t="s" s="2">
        <f>HYPERLINK("http://ts.21cn.com/tousu/show/id/1371619","中信银行拒绝办理分期及协商还款")</f>
      </c>
      <c r="C2355" t="s" s="2">
        <v>15</v>
      </c>
      <c r="D2355" t="s" s="2">
        <v>16</v>
      </c>
      <c r="E2355" t="s" s="2">
        <v>17</v>
      </c>
      <c r="F2355" t="s" s="2">
        <f>HYPERLINK("http://ts.21cn.com/tousu/show/id/1371619","http://ts.21cn.com/tousu/show/id/1371619")</f>
      </c>
      <c r="G2355" t="s" s="2">
        <v>17</v>
      </c>
      <c r="H2355" t="s" s="2">
        <v>19</v>
      </c>
      <c r="I2355" t="s" s="2">
        <v>9233</v>
      </c>
      <c r="J2355" t="s" s="2">
        <v>9234</v>
      </c>
      <c r="K2355" t="s" s="2">
        <v>22</v>
      </c>
      <c r="L2355" t="s" s="2">
        <v>22</v>
      </c>
      <c r="M2355" t="s" s="2">
        <v>22</v>
      </c>
    </row>
    <row r="2356" ht="25.0" customHeight="true">
      <c r="A2356" t="s" s="2">
        <v>13</v>
      </c>
      <c r="B2356" t="s" s="2">
        <f>HYPERLINK("http://ts.21cn.com/tousu/show/id/1371618","投诉苹果手机APP乱扣费")</f>
      </c>
      <c r="C2356" t="s" s="2">
        <v>15</v>
      </c>
      <c r="D2356" t="s" s="2">
        <v>16</v>
      </c>
      <c r="E2356" t="s" s="2">
        <v>17</v>
      </c>
      <c r="F2356" t="s" s="2">
        <f>HYPERLINK("http://ts.21cn.com/tousu/show/id/1371618","http://ts.21cn.com/tousu/show/id/1371618")</f>
      </c>
      <c r="G2356" t="s" s="2">
        <v>17</v>
      </c>
      <c r="H2356" t="s" s="2">
        <v>19</v>
      </c>
      <c r="I2356" t="s" s="2">
        <v>9237</v>
      </c>
      <c r="J2356" t="s" s="2">
        <v>9238</v>
      </c>
      <c r="K2356" t="s" s="2">
        <v>22</v>
      </c>
      <c r="L2356" t="s" s="2">
        <v>22</v>
      </c>
      <c r="M2356" t="s" s="2">
        <v>22</v>
      </c>
    </row>
    <row r="2357" ht="25.0" customHeight="true">
      <c r="A2357" t="s" s="2">
        <v>13</v>
      </c>
      <c r="B2357" t="s" s="2">
        <f>HYPERLINK("http://ts.21cn.com/tousu/show/id/1371617","恶意骚扰，短信侮辱！！！")</f>
      </c>
      <c r="C2357" t="s" s="2">
        <v>15</v>
      </c>
      <c r="D2357" t="s" s="2">
        <v>16</v>
      </c>
      <c r="E2357" t="s" s="2">
        <v>17</v>
      </c>
      <c r="F2357" t="s" s="2">
        <f>HYPERLINK("http://ts.21cn.com/tousu/show/id/1371617","http://ts.21cn.com/tousu/show/id/1371617")</f>
      </c>
      <c r="G2357" t="s" s="2">
        <v>17</v>
      </c>
      <c r="H2357" t="s" s="2">
        <v>19</v>
      </c>
      <c r="I2357" t="s" s="2">
        <v>9241</v>
      </c>
      <c r="J2357" t="s" s="2">
        <v>9242</v>
      </c>
      <c r="K2357" t="s" s="2">
        <v>22</v>
      </c>
      <c r="L2357" t="s" s="2">
        <v>22</v>
      </c>
      <c r="M2357" t="s" s="2">
        <v>22</v>
      </c>
    </row>
    <row r="2358" ht="25.0" customHeight="true">
      <c r="A2358" t="s" s="2">
        <v>13</v>
      </c>
      <c r="B2358" t="s" s="2">
        <f>HYPERLINK("http://ts.21cn.com/tousu/show/id/1371616","盼达用车，还我押金")</f>
      </c>
      <c r="C2358" t="s" s="2">
        <v>15</v>
      </c>
      <c r="D2358" t="s" s="2">
        <v>16</v>
      </c>
      <c r="E2358" t="s" s="2">
        <v>17</v>
      </c>
      <c r="F2358" t="s" s="2">
        <f>HYPERLINK("http://ts.21cn.com/tousu/show/id/1371616","http://ts.21cn.com/tousu/show/id/1371616")</f>
      </c>
      <c r="G2358" t="s" s="2">
        <v>17</v>
      </c>
      <c r="H2358" t="s" s="2">
        <v>19</v>
      </c>
      <c r="I2358" t="s" s="2">
        <v>9245</v>
      </c>
      <c r="J2358" t="s" s="2">
        <v>9246</v>
      </c>
      <c r="K2358" t="s" s="2">
        <v>22</v>
      </c>
      <c r="L2358" t="s" s="2">
        <v>22</v>
      </c>
      <c r="M2358" t="s" s="2">
        <v>22</v>
      </c>
    </row>
    <row r="2359" ht="25.0" customHeight="true">
      <c r="A2359" t="s" s="2">
        <v>13</v>
      </c>
      <c r="B2359" t="s" s="2">
        <f>HYPERLINK("http://ts.21cn.com/tousu/show/id/1371615","极速熊猫催收爆通讯录")</f>
      </c>
      <c r="C2359" t="s" s="2">
        <v>15</v>
      </c>
      <c r="D2359" t="s" s="2">
        <v>16</v>
      </c>
      <c r="E2359" t="s" s="2">
        <v>17</v>
      </c>
      <c r="F2359" t="s" s="2">
        <f>HYPERLINK("http://ts.21cn.com/tousu/show/id/1371615","http://ts.21cn.com/tousu/show/id/1371615")</f>
      </c>
      <c r="G2359" t="s" s="2">
        <v>17</v>
      </c>
      <c r="H2359" t="s" s="2">
        <v>19</v>
      </c>
      <c r="I2359" t="s" s="2">
        <v>9249</v>
      </c>
      <c r="J2359" t="s" s="2">
        <v>9250</v>
      </c>
      <c r="K2359" t="s" s="2">
        <v>22</v>
      </c>
      <c r="L2359" t="s" s="2">
        <v>22</v>
      </c>
      <c r="M2359" t="s" s="2">
        <v>22</v>
      </c>
    </row>
    <row r="2360" ht="25.0" customHeight="true">
      <c r="A2360" t="s" s="2">
        <v>13</v>
      </c>
      <c r="B2360" t="s" s="2">
        <f>HYPERLINK("http://ts.21cn.com/tousu/show/id/1371614","金贝备砍头息714")</f>
      </c>
      <c r="C2360" t="s" s="2">
        <v>15</v>
      </c>
      <c r="D2360" t="s" s="2">
        <v>16</v>
      </c>
      <c r="E2360" t="s" s="2">
        <v>17</v>
      </c>
      <c r="F2360" t="s" s="2">
        <f>HYPERLINK("http://ts.21cn.com/tousu/show/id/1371614","http://ts.21cn.com/tousu/show/id/1371614")</f>
      </c>
      <c r="G2360" t="s" s="2">
        <v>17</v>
      </c>
      <c r="H2360" t="s" s="2">
        <v>19</v>
      </c>
      <c r="I2360" t="s" s="2">
        <v>9253</v>
      </c>
      <c r="J2360" t="s" s="2">
        <v>9254</v>
      </c>
      <c r="K2360" t="s" s="2">
        <v>22</v>
      </c>
      <c r="L2360" t="s" s="2">
        <v>22</v>
      </c>
      <c r="M2360" t="s" s="2">
        <v>22</v>
      </c>
    </row>
    <row r="2361" ht="25.0" customHeight="true">
      <c r="A2361" t="s" s="2">
        <v>13</v>
      </c>
      <c r="B2361" t="s" s="2">
        <f>HYPERLINK("http://ts.21cn.com/tousu/show/id/1371537","虚假销售，延期交房")</f>
      </c>
      <c r="C2361" t="s" s="2">
        <v>15</v>
      </c>
      <c r="D2361" t="s" s="2">
        <v>16</v>
      </c>
      <c r="E2361" t="s" s="2">
        <v>17</v>
      </c>
      <c r="F2361" t="s" s="2">
        <f>HYPERLINK("http://ts.21cn.com/tousu/show/id/1371537","http://ts.21cn.com/tousu/show/id/1371537")</f>
      </c>
      <c r="G2361" t="s" s="2">
        <v>17</v>
      </c>
      <c r="H2361" t="s" s="2">
        <v>19</v>
      </c>
      <c r="I2361" t="s" s="2">
        <v>9257</v>
      </c>
      <c r="J2361" t="s" s="2">
        <v>9258</v>
      </c>
      <c r="K2361" t="s" s="2">
        <v>22</v>
      </c>
      <c r="L2361" t="s" s="2">
        <v>22</v>
      </c>
      <c r="M2361" t="s" s="2">
        <v>22</v>
      </c>
    </row>
    <row r="2362" ht="25.0" customHeight="true">
      <c r="A2362" t="s" s="2">
        <v>13</v>
      </c>
      <c r="B2362" t="s" s="2">
        <f>HYPERLINK("http://ts.21cn.com/tousu/show/id/1371396","要求赔偿损失费")</f>
      </c>
      <c r="C2362" t="s" s="2">
        <v>15</v>
      </c>
      <c r="D2362" t="s" s="2">
        <v>16</v>
      </c>
      <c r="E2362" t="s" s="2">
        <v>17</v>
      </c>
      <c r="F2362" t="s" s="2">
        <f>HYPERLINK("http://ts.21cn.com/tousu/show/id/1371396","http://ts.21cn.com/tousu/show/id/1371396")</f>
      </c>
      <c r="G2362" t="s" s="2">
        <v>17</v>
      </c>
      <c r="H2362" t="s" s="2">
        <v>19</v>
      </c>
      <c r="I2362" t="s" s="2">
        <v>9257</v>
      </c>
      <c r="J2362" t="s" s="2">
        <v>9261</v>
      </c>
      <c r="K2362" t="s" s="2">
        <v>22</v>
      </c>
      <c r="L2362" t="s" s="2">
        <v>22</v>
      </c>
      <c r="M2362" t="s" s="2">
        <v>22</v>
      </c>
    </row>
    <row r="2363" ht="25.0" customHeight="true">
      <c r="A2363" t="s" s="2">
        <v>13</v>
      </c>
      <c r="B2363" t="s" s="2">
        <f>HYPERLINK("http://ts.21cn.com/tousu/show/id/1371612","开发商逾期多月不交房，也不给业主任何交房消息。")</f>
      </c>
      <c r="C2363" t="s" s="2">
        <v>15</v>
      </c>
      <c r="D2363" t="s" s="2">
        <v>16</v>
      </c>
      <c r="E2363" t="s" s="2">
        <v>17</v>
      </c>
      <c r="F2363" t="s" s="2">
        <f>HYPERLINK("http://ts.21cn.com/tousu/show/id/1371612","http://ts.21cn.com/tousu/show/id/1371612")</f>
      </c>
      <c r="G2363" t="s" s="2">
        <v>17</v>
      </c>
      <c r="H2363" t="s" s="2">
        <v>19</v>
      </c>
      <c r="I2363" t="s" s="2">
        <v>9264</v>
      </c>
      <c r="J2363" t="s" s="2">
        <v>9265</v>
      </c>
      <c r="K2363" t="s" s="2">
        <v>22</v>
      </c>
      <c r="L2363" t="s" s="2">
        <v>22</v>
      </c>
      <c r="M2363" t="s" s="2">
        <v>22</v>
      </c>
    </row>
    <row r="2364" ht="25.0" customHeight="true">
      <c r="A2364" t="s" s="2">
        <v>13</v>
      </c>
      <c r="B2364" t="s" s="2">
        <f>HYPERLINK("http://ts.21cn.com/tousu/show/id/1371613","拼多多上被商家货物不对")</f>
      </c>
      <c r="C2364" t="s" s="2">
        <v>15</v>
      </c>
      <c r="D2364" t="s" s="2">
        <v>16</v>
      </c>
      <c r="E2364" t="s" s="2">
        <v>17</v>
      </c>
      <c r="F2364" t="s" s="2">
        <f>HYPERLINK("http://ts.21cn.com/tousu/show/id/1371613","http://ts.21cn.com/tousu/show/id/1371613")</f>
      </c>
      <c r="G2364" t="s" s="2">
        <v>17</v>
      </c>
      <c r="H2364" t="s" s="2">
        <v>19</v>
      </c>
      <c r="I2364" t="s" s="2">
        <v>9268</v>
      </c>
      <c r="J2364" t="s" s="2">
        <v>9269</v>
      </c>
      <c r="K2364" t="s" s="2">
        <v>22</v>
      </c>
      <c r="L2364" t="s" s="2">
        <v>22</v>
      </c>
      <c r="M2364" t="s" s="2">
        <v>22</v>
      </c>
    </row>
    <row r="2365" ht="25.0" customHeight="true">
      <c r="A2365" t="s" s="2">
        <v>13</v>
      </c>
      <c r="B2365" t="s" s="2">
        <f>HYPERLINK("http://ts.21cn.com/tousu/show/id/1371608","宝付支付为套路贷读秒钱包提供放款渠道")</f>
      </c>
      <c r="C2365" t="s" s="2">
        <v>15</v>
      </c>
      <c r="D2365" t="s" s="2">
        <v>16</v>
      </c>
      <c r="E2365" t="s" s="2">
        <v>17</v>
      </c>
      <c r="F2365" t="s" s="2">
        <f>HYPERLINK("http://ts.21cn.com/tousu/show/id/1371608","http://ts.21cn.com/tousu/show/id/1371608")</f>
      </c>
      <c r="G2365" t="s" s="2">
        <v>17</v>
      </c>
      <c r="H2365" t="s" s="2">
        <v>19</v>
      </c>
      <c r="I2365" t="s" s="2">
        <v>9272</v>
      </c>
      <c r="J2365" t="s" s="2">
        <v>9273</v>
      </c>
      <c r="K2365" t="s" s="2">
        <v>22</v>
      </c>
      <c r="L2365" t="s" s="2">
        <v>22</v>
      </c>
      <c r="M2365" t="s" s="2">
        <v>22</v>
      </c>
    </row>
    <row r="2366" ht="25.0" customHeight="true">
      <c r="A2366" t="s" s="2">
        <v>13</v>
      </c>
      <c r="B2366" t="s" s="2">
        <f>HYPERLINK("http://ts.21cn.com/tousu/show/id/1371611","暴力催收")</f>
      </c>
      <c r="C2366" t="s" s="2">
        <v>15</v>
      </c>
      <c r="D2366" t="s" s="2">
        <v>16</v>
      </c>
      <c r="E2366" t="s" s="2">
        <v>17</v>
      </c>
      <c r="F2366" t="s" s="2">
        <f>HYPERLINK("http://ts.21cn.com/tousu/show/id/1371611","http://ts.21cn.com/tousu/show/id/1371611")</f>
      </c>
      <c r="G2366" t="s" s="2">
        <v>17</v>
      </c>
      <c r="H2366" t="s" s="2">
        <v>19</v>
      </c>
      <c r="I2366" t="s" s="2">
        <v>9275</v>
      </c>
      <c r="J2366" t="s" s="2">
        <v>9276</v>
      </c>
      <c r="K2366" t="s" s="2">
        <v>22</v>
      </c>
      <c r="L2366" t="s" s="2">
        <v>22</v>
      </c>
      <c r="M2366" t="s" s="2">
        <v>22</v>
      </c>
    </row>
    <row r="2367" ht="25.0" customHeight="true">
      <c r="A2367" t="s" s="2">
        <v>13</v>
      </c>
      <c r="B2367" t="s" s="2">
        <f>HYPERLINK("http://ts.21cn.com/tousu/show/id/1371610","未经允许，拨打我亲朋好友的电话，给我生活带来严重影响，困扰")</f>
      </c>
      <c r="C2367" t="s" s="2">
        <v>15</v>
      </c>
      <c r="D2367" t="s" s="2">
        <v>16</v>
      </c>
      <c r="E2367" t="s" s="2">
        <v>17</v>
      </c>
      <c r="F2367" t="s" s="2">
        <f>HYPERLINK("http://ts.21cn.com/tousu/show/id/1371610","http://ts.21cn.com/tousu/show/id/1371610")</f>
      </c>
      <c r="G2367" t="s" s="2">
        <v>17</v>
      </c>
      <c r="H2367" t="s" s="2">
        <v>19</v>
      </c>
      <c r="I2367" t="s" s="2">
        <v>9279</v>
      </c>
      <c r="J2367" t="s" s="2">
        <v>9280</v>
      </c>
      <c r="K2367" t="s" s="2">
        <v>22</v>
      </c>
      <c r="L2367" t="s" s="2">
        <v>22</v>
      </c>
      <c r="M2367" t="s" s="2">
        <v>22</v>
      </c>
    </row>
    <row r="2368" ht="25.0" customHeight="true">
      <c r="A2368" t="s" s="2">
        <v>13</v>
      </c>
      <c r="B2368" t="s" s="2">
        <f>HYPERLINK("http://ts.21cn.com/tousu/show/id/1371607","众安保险查不到我的投保地？")</f>
      </c>
      <c r="C2368" t="s" s="2">
        <v>15</v>
      </c>
      <c r="D2368" t="s" s="2">
        <v>16</v>
      </c>
      <c r="E2368" t="s" s="2">
        <v>17</v>
      </c>
      <c r="F2368" t="s" s="2">
        <f>HYPERLINK("http://ts.21cn.com/tousu/show/id/1371607","http://ts.21cn.com/tousu/show/id/1371607")</f>
      </c>
      <c r="G2368" t="s" s="2">
        <v>17</v>
      </c>
      <c r="H2368" t="s" s="2">
        <v>19</v>
      </c>
      <c r="I2368" t="s" s="2">
        <v>9283</v>
      </c>
      <c r="J2368" t="s" s="2">
        <v>9284</v>
      </c>
      <c r="K2368" t="s" s="2">
        <v>22</v>
      </c>
      <c r="L2368" t="s" s="2">
        <v>22</v>
      </c>
      <c r="M2368" t="s" s="2">
        <v>22</v>
      </c>
    </row>
    <row r="2369" ht="25.0" customHeight="true">
      <c r="A2369" t="s" s="2">
        <v>13</v>
      </c>
      <c r="B2369" t="s" s="2">
        <f>HYPERLINK("http://ts.21cn.com/tousu/show/id/1371604","借贷宝")</f>
      </c>
      <c r="C2369" t="s" s="2">
        <v>15</v>
      </c>
      <c r="D2369" t="s" s="2">
        <v>16</v>
      </c>
      <c r="E2369" t="s" s="2">
        <v>17</v>
      </c>
      <c r="F2369" t="s" s="2">
        <f>HYPERLINK("http://ts.21cn.com/tousu/show/id/1371604","http://ts.21cn.com/tousu/show/id/1371604")</f>
      </c>
      <c r="G2369" t="s" s="2">
        <v>17</v>
      </c>
      <c r="H2369" t="s" s="2">
        <v>19</v>
      </c>
      <c r="I2369" t="s" s="2">
        <v>9287</v>
      </c>
      <c r="J2369" t="s" s="2">
        <v>9288</v>
      </c>
      <c r="K2369" t="s" s="2">
        <v>22</v>
      </c>
      <c r="L2369" t="s" s="2">
        <v>22</v>
      </c>
      <c r="M2369" t="s" s="2">
        <v>22</v>
      </c>
    </row>
    <row r="2370" ht="25.0" customHeight="true">
      <c r="A2370" t="s" s="2">
        <v>13</v>
      </c>
      <c r="B2370" t="s" s="2">
        <f>HYPERLINK("http://ts.21cn.com/tousu/show/id/1371603","现金巴士砍头高利贷")</f>
      </c>
      <c r="C2370" t="s" s="2">
        <v>15</v>
      </c>
      <c r="D2370" t="s" s="2">
        <v>16</v>
      </c>
      <c r="E2370" t="s" s="2">
        <v>17</v>
      </c>
      <c r="F2370" t="s" s="2">
        <f>HYPERLINK("http://ts.21cn.com/tousu/show/id/1371603","http://ts.21cn.com/tousu/show/id/1371603")</f>
      </c>
      <c r="G2370" t="s" s="2">
        <v>17</v>
      </c>
      <c r="H2370" t="s" s="2">
        <v>19</v>
      </c>
      <c r="I2370" t="s" s="2">
        <v>9291</v>
      </c>
      <c r="J2370" t="s" s="2">
        <v>9292</v>
      </c>
      <c r="K2370" t="s" s="2">
        <v>22</v>
      </c>
      <c r="L2370" t="s" s="2">
        <v>22</v>
      </c>
      <c r="M2370" t="s" s="2">
        <v>22</v>
      </c>
    </row>
    <row r="2371" ht="25.0" customHeight="true">
      <c r="A2371" t="s" s="2">
        <v>13</v>
      </c>
      <c r="B2371" t="s" s="2">
        <f>HYPERLINK("http://ts.21cn.com/tousu/show/id/1371601","爱白条高利贷")</f>
      </c>
      <c r="C2371" t="s" s="2">
        <v>15</v>
      </c>
      <c r="D2371" t="s" s="2">
        <v>16</v>
      </c>
      <c r="E2371" t="s" s="2">
        <v>17</v>
      </c>
      <c r="F2371" t="s" s="2">
        <f>HYPERLINK("http://ts.21cn.com/tousu/show/id/1371601","http://ts.21cn.com/tousu/show/id/1371601")</f>
      </c>
      <c r="G2371" t="s" s="2">
        <v>17</v>
      </c>
      <c r="H2371" t="s" s="2">
        <v>19</v>
      </c>
      <c r="I2371" t="s" s="2">
        <v>9295</v>
      </c>
      <c r="J2371" t="s" s="2">
        <v>9296</v>
      </c>
      <c r="K2371" t="s" s="2">
        <v>22</v>
      </c>
      <c r="L2371" t="s" s="2">
        <v>22</v>
      </c>
      <c r="M2371" t="s" s="2">
        <v>22</v>
      </c>
    </row>
    <row r="2372" ht="25.0" customHeight="true">
      <c r="A2372" t="s" s="2">
        <v>13</v>
      </c>
      <c r="B2372" t="s" s="2">
        <f>HYPERLINK("http://ts.21cn.com/tousu/show/id/1371600","办理宽带升级莫名给办理了小额贷款，多次主动联系电信均无处理！")</f>
      </c>
      <c r="C2372" t="s" s="2">
        <v>52</v>
      </c>
      <c r="D2372" t="s" s="2">
        <v>16</v>
      </c>
      <c r="E2372" t="s" s="2">
        <v>17</v>
      </c>
      <c r="F2372" t="s" s="2">
        <f>HYPERLINK("http://ts.21cn.com/tousu/show/id/1371600","http://ts.21cn.com/tousu/show/id/1371600")</f>
      </c>
      <c r="G2372" t="s" s="2">
        <v>17</v>
      </c>
      <c r="H2372" t="s" s="2">
        <v>19</v>
      </c>
      <c r="I2372" t="s" s="2">
        <v>9299</v>
      </c>
      <c r="J2372" t="s" s="2">
        <v>9300</v>
      </c>
      <c r="K2372" t="s" s="2">
        <v>22</v>
      </c>
      <c r="L2372" t="s" s="2">
        <v>22</v>
      </c>
      <c r="M2372" t="s" s="2">
        <v>22</v>
      </c>
    </row>
    <row r="2373" ht="25.0" customHeight="true">
      <c r="A2373" t="s" s="2">
        <v>13</v>
      </c>
      <c r="B2373" t="s" s="2">
        <f>HYPERLINK("http://ts.21cn.com/tousu/show/id/1371606","贵州省遵义市湘江投资不交房也不退钱")</f>
      </c>
      <c r="C2373" t="s" s="2">
        <v>15</v>
      </c>
      <c r="D2373" t="s" s="2">
        <v>16</v>
      </c>
      <c r="E2373" t="s" s="2">
        <v>17</v>
      </c>
      <c r="F2373" t="s" s="2">
        <f>HYPERLINK("http://ts.21cn.com/tousu/show/id/1371606","http://ts.21cn.com/tousu/show/id/1371606")</f>
      </c>
      <c r="G2373" t="s" s="2">
        <v>17</v>
      </c>
      <c r="H2373" t="s" s="2">
        <v>19</v>
      </c>
      <c r="I2373" t="s" s="2">
        <v>9302</v>
      </c>
      <c r="J2373" t="s" s="2">
        <v>9303</v>
      </c>
      <c r="K2373" t="s" s="2">
        <v>22</v>
      </c>
      <c r="L2373" t="s" s="2">
        <v>22</v>
      </c>
      <c r="M2373" t="s" s="2">
        <v>22</v>
      </c>
    </row>
    <row r="2374" ht="25.0" customHeight="true">
      <c r="A2374" t="s" s="2">
        <v>13</v>
      </c>
      <c r="B2374" t="s" s="2">
        <f>HYPERLINK("http://ts.21cn.com/tousu/show/id/1371599","凡普金科暴力催收，非法恐吓当事人，暴通讯录")</f>
      </c>
      <c r="C2374" t="s" s="2">
        <v>15</v>
      </c>
      <c r="D2374" t="s" s="2">
        <v>16</v>
      </c>
      <c r="E2374" t="s" s="2">
        <v>17</v>
      </c>
      <c r="F2374" t="s" s="2">
        <f>HYPERLINK("http://ts.21cn.com/tousu/show/id/1371599","http://ts.21cn.com/tousu/show/id/1371599")</f>
      </c>
      <c r="G2374" t="s" s="2">
        <v>17</v>
      </c>
      <c r="H2374" t="s" s="2">
        <v>19</v>
      </c>
      <c r="I2374" t="s" s="2">
        <v>9306</v>
      </c>
      <c r="J2374" t="s" s="2">
        <v>9307</v>
      </c>
      <c r="K2374" t="s" s="2">
        <v>22</v>
      </c>
      <c r="L2374" t="s" s="2">
        <v>22</v>
      </c>
      <c r="M2374" t="s" s="2">
        <v>22</v>
      </c>
    </row>
    <row r="2375" ht="25.0" customHeight="true">
      <c r="A2375" t="s" s="2">
        <v>13</v>
      </c>
      <c r="B2375" t="s" s="2">
        <f>HYPERLINK("http://ts.21cn.com/tousu/show/id/1371598","协商给点时间还清贷款")</f>
      </c>
      <c r="C2375" t="s" s="2">
        <v>15</v>
      </c>
      <c r="D2375" t="s" s="2">
        <v>16</v>
      </c>
      <c r="E2375" t="s" s="2">
        <v>17</v>
      </c>
      <c r="F2375" t="s" s="2">
        <f>HYPERLINK("http://ts.21cn.com/tousu/show/id/1371598","http://ts.21cn.com/tousu/show/id/1371598")</f>
      </c>
      <c r="G2375" t="s" s="2">
        <v>17</v>
      </c>
      <c r="H2375" t="s" s="2">
        <v>19</v>
      </c>
      <c r="I2375" t="s" s="2">
        <v>9310</v>
      </c>
      <c r="J2375" t="s" s="2">
        <v>9311</v>
      </c>
      <c r="K2375" t="s" s="2">
        <v>22</v>
      </c>
      <c r="L2375" t="s" s="2">
        <v>22</v>
      </c>
      <c r="M2375" t="s" s="2">
        <v>22</v>
      </c>
    </row>
    <row r="2376" ht="25.0" customHeight="true">
      <c r="A2376" t="s" s="2">
        <v>13</v>
      </c>
      <c r="B2376" t="s" s="2">
        <f>HYPERLINK("http://ts.21cn.com/tousu/show/id/1371597","租房合同到期房东不退押金，链家拿了中介费找理由不帮忙处理")</f>
      </c>
      <c r="C2376" t="s" s="2">
        <v>15</v>
      </c>
      <c r="D2376" t="s" s="2">
        <v>16</v>
      </c>
      <c r="E2376" t="s" s="2">
        <v>17</v>
      </c>
      <c r="F2376" t="s" s="2">
        <f>HYPERLINK("http://ts.21cn.com/tousu/show/id/1371597","http://ts.21cn.com/tousu/show/id/1371597")</f>
      </c>
      <c r="G2376" t="s" s="2">
        <v>17</v>
      </c>
      <c r="H2376" t="s" s="2">
        <v>19</v>
      </c>
      <c r="I2376" t="s" s="2">
        <v>9314</v>
      </c>
      <c r="J2376" t="s" s="2">
        <v>9315</v>
      </c>
      <c r="K2376" t="s" s="2">
        <v>22</v>
      </c>
      <c r="L2376" t="s" s="2">
        <v>22</v>
      </c>
      <c r="M2376" t="s" s="2">
        <v>22</v>
      </c>
    </row>
    <row r="2377" ht="25.0" customHeight="true">
      <c r="A2377" t="s" s="2">
        <v>13</v>
      </c>
      <c r="B2377" t="s" s="2">
        <f>HYPERLINK("http://ts.21cn.com/tousu/show/id/1371595","现金巴士威胁恐吓暴力催收")</f>
      </c>
      <c r="C2377" t="s" s="2">
        <v>15</v>
      </c>
      <c r="D2377" t="s" s="2">
        <v>16</v>
      </c>
      <c r="E2377" t="s" s="2">
        <v>17</v>
      </c>
      <c r="F2377" t="s" s="2">
        <f>HYPERLINK("http://ts.21cn.com/tousu/show/id/1371595","http://ts.21cn.com/tousu/show/id/1371595")</f>
      </c>
      <c r="G2377" t="s" s="2">
        <v>17</v>
      </c>
      <c r="H2377" t="s" s="2">
        <v>19</v>
      </c>
      <c r="I2377" t="s" s="2">
        <v>9318</v>
      </c>
      <c r="J2377" t="s" s="2">
        <v>9319</v>
      </c>
      <c r="K2377" t="s" s="2">
        <v>22</v>
      </c>
      <c r="L2377" t="s" s="2">
        <v>22</v>
      </c>
      <c r="M2377" t="s" s="2">
        <v>22</v>
      </c>
    </row>
    <row r="2378" ht="25.0" customHeight="true">
      <c r="A2378" t="s" s="2">
        <v>13</v>
      </c>
      <c r="B2378" t="s" s="2">
        <f>HYPERLINK("http://ts.21cn.com/tousu/show/id/1371596","卫浴柜拒绝发货")</f>
      </c>
      <c r="C2378" t="s" s="2">
        <v>15</v>
      </c>
      <c r="D2378" t="s" s="2">
        <v>16</v>
      </c>
      <c r="E2378" t="s" s="2">
        <v>17</v>
      </c>
      <c r="F2378" t="s" s="2">
        <f>HYPERLINK("http://ts.21cn.com/tousu/show/id/1371596","http://ts.21cn.com/tousu/show/id/1371596")</f>
      </c>
      <c r="G2378" t="s" s="2">
        <v>17</v>
      </c>
      <c r="H2378" t="s" s="2">
        <v>19</v>
      </c>
      <c r="I2378" t="s" s="2">
        <v>9322</v>
      </c>
      <c r="J2378" t="s" s="2">
        <v>9323</v>
      </c>
      <c r="K2378" t="s" s="2">
        <v>22</v>
      </c>
      <c r="L2378" t="s" s="2">
        <v>22</v>
      </c>
      <c r="M2378" t="s" s="2">
        <v>22</v>
      </c>
    </row>
    <row r="2379" ht="25.0" customHeight="true">
      <c r="A2379" t="s" s="2">
        <v>13</v>
      </c>
      <c r="B2379" t="s" s="2">
        <f>HYPERLINK("http://ts.21cn.com/tousu/show/id/1371593","爆通讯")</f>
      </c>
      <c r="C2379" t="s" s="2">
        <v>15</v>
      </c>
      <c r="D2379" t="s" s="2">
        <v>16</v>
      </c>
      <c r="E2379" t="s" s="2">
        <v>17</v>
      </c>
      <c r="F2379" t="s" s="2">
        <f>HYPERLINK("http://ts.21cn.com/tousu/show/id/1371593","http://ts.21cn.com/tousu/show/id/1371593")</f>
      </c>
      <c r="G2379" t="s" s="2">
        <v>17</v>
      </c>
      <c r="H2379" t="s" s="2">
        <v>19</v>
      </c>
      <c r="I2379" t="s" s="2">
        <v>9326</v>
      </c>
      <c r="J2379" t="s" s="2">
        <v>9327</v>
      </c>
      <c r="K2379" t="s" s="2">
        <v>22</v>
      </c>
      <c r="L2379" t="s" s="2">
        <v>22</v>
      </c>
      <c r="M2379" t="s" s="2">
        <v>22</v>
      </c>
    </row>
    <row r="2380" ht="25.0" customHeight="true">
      <c r="A2380" t="s" s="2">
        <v>13</v>
      </c>
      <c r="B2380" t="s" s="2">
        <f>HYPERLINK("http://ts.21cn.com/tousu/show/id/1371592","退押金几个月了都没有退")</f>
      </c>
      <c r="C2380" t="s" s="2">
        <v>15</v>
      </c>
      <c r="D2380" t="s" s="2">
        <v>16</v>
      </c>
      <c r="E2380" t="s" s="2">
        <v>17</v>
      </c>
      <c r="F2380" t="s" s="2">
        <f>HYPERLINK("http://ts.21cn.com/tousu/show/id/1371592","http://ts.21cn.com/tousu/show/id/1371592")</f>
      </c>
      <c r="G2380" t="s" s="2">
        <v>17</v>
      </c>
      <c r="H2380" t="s" s="2">
        <v>19</v>
      </c>
      <c r="I2380" t="s" s="2">
        <v>9330</v>
      </c>
      <c r="J2380" t="s" s="2">
        <v>9331</v>
      </c>
      <c r="K2380" t="s" s="2">
        <v>22</v>
      </c>
      <c r="L2380" t="s" s="2">
        <v>22</v>
      </c>
      <c r="M2380" t="s" s="2">
        <v>22</v>
      </c>
    </row>
    <row r="2381" ht="25.0" customHeight="true">
      <c r="A2381" t="s" s="2">
        <v>13</v>
      </c>
      <c r="B2381" t="s" s="2">
        <f>HYPERLINK("http://ts.21cn.com/tousu/show/id/1371591","电话恶意催款，骚扰亲朋好友")</f>
      </c>
      <c r="C2381" t="s" s="2">
        <v>15</v>
      </c>
      <c r="D2381" t="s" s="2">
        <v>16</v>
      </c>
      <c r="E2381" t="s" s="2">
        <v>17</v>
      </c>
      <c r="F2381" t="s" s="2">
        <f>HYPERLINK("http://ts.21cn.com/tousu/show/id/1371591","http://ts.21cn.com/tousu/show/id/1371591")</f>
      </c>
      <c r="G2381" t="s" s="2">
        <v>17</v>
      </c>
      <c r="H2381" t="s" s="2">
        <v>19</v>
      </c>
      <c r="I2381" t="s" s="2">
        <v>9334</v>
      </c>
      <c r="J2381" t="s" s="2">
        <v>9335</v>
      </c>
      <c r="K2381" t="s" s="2">
        <v>22</v>
      </c>
      <c r="L2381" t="s" s="2">
        <v>22</v>
      </c>
      <c r="M2381" t="s" s="2">
        <v>22</v>
      </c>
    </row>
    <row r="2382" ht="25.0" customHeight="true">
      <c r="A2382" t="s" s="2">
        <v>13</v>
      </c>
      <c r="B2382" t="s" s="2">
        <f>HYPERLINK("http://ts.21cn.com/tousu/show/id/1371590","遵义湘江投资建设公司卖房不交房")</f>
      </c>
      <c r="C2382" t="s" s="2">
        <v>15</v>
      </c>
      <c r="D2382" t="s" s="2">
        <v>16</v>
      </c>
      <c r="E2382" t="s" s="2">
        <v>17</v>
      </c>
      <c r="F2382" t="s" s="2">
        <f>HYPERLINK("http://ts.21cn.com/tousu/show/id/1371590","http://ts.21cn.com/tousu/show/id/1371590")</f>
      </c>
      <c r="G2382" t="s" s="2">
        <v>17</v>
      </c>
      <c r="H2382" t="s" s="2">
        <v>19</v>
      </c>
      <c r="I2382" t="s" s="2">
        <v>9338</v>
      </c>
      <c r="J2382" t="s" s="2">
        <v>9339</v>
      </c>
      <c r="K2382" t="s" s="2">
        <v>22</v>
      </c>
      <c r="L2382" t="s" s="2">
        <v>22</v>
      </c>
      <c r="M2382" t="s" s="2">
        <v>22</v>
      </c>
    </row>
    <row r="2383" ht="25.0" customHeight="true">
      <c r="A2383" t="s" s="2">
        <v>13</v>
      </c>
      <c r="B2383" t="s" s="2">
        <f>HYPERLINK("http://ts.21cn.com/tousu/show/id/1371589","白天分期诱导我购买会员")</f>
      </c>
      <c r="C2383" t="s" s="2">
        <v>15</v>
      </c>
      <c r="D2383" t="s" s="2">
        <v>16</v>
      </c>
      <c r="E2383" t="s" s="2">
        <v>17</v>
      </c>
      <c r="F2383" t="s" s="2">
        <f>HYPERLINK("http://ts.21cn.com/tousu/show/id/1371589","http://ts.21cn.com/tousu/show/id/1371589")</f>
      </c>
      <c r="G2383" t="s" s="2">
        <v>17</v>
      </c>
      <c r="H2383" t="s" s="2">
        <v>19</v>
      </c>
      <c r="I2383" t="s" s="2">
        <v>9341</v>
      </c>
      <c r="J2383" t="s" s="2">
        <v>9342</v>
      </c>
      <c r="K2383" t="s" s="2">
        <v>22</v>
      </c>
      <c r="L2383" t="s" s="2">
        <v>22</v>
      </c>
      <c r="M2383" t="s" s="2">
        <v>22</v>
      </c>
    </row>
    <row r="2384" ht="25.0" customHeight="true">
      <c r="A2384" t="s" s="2">
        <v>13</v>
      </c>
      <c r="B2384" t="s" s="2">
        <f>HYPERLINK("http://ts.21cn.com/tousu/show/id/1371587","本人8月在米米罐申请借款一个月还款4000多，有1000的征信报告以会员费征信报告费收取高额利息要求退还已还")</f>
      </c>
      <c r="C2384" t="s" s="2">
        <v>15</v>
      </c>
      <c r="D2384" t="s" s="2">
        <v>16</v>
      </c>
      <c r="E2384" t="s" s="2">
        <v>17</v>
      </c>
      <c r="F2384" t="s" s="2">
        <f>HYPERLINK("http://ts.21cn.com/tousu/show/id/1371587","http://ts.21cn.com/tousu/show/id/1371587")</f>
      </c>
      <c r="G2384" t="s" s="2">
        <v>17</v>
      </c>
      <c r="H2384" t="s" s="2">
        <v>19</v>
      </c>
      <c r="I2384" t="s" s="2">
        <v>9345</v>
      </c>
      <c r="J2384" t="s" s="2">
        <v>9346</v>
      </c>
      <c r="K2384" t="s" s="2">
        <v>22</v>
      </c>
      <c r="L2384" t="s" s="2">
        <v>22</v>
      </c>
      <c r="M2384" t="s" s="2">
        <v>22</v>
      </c>
    </row>
    <row r="2385" ht="25.0" customHeight="true">
      <c r="A2385" t="s" s="2">
        <v>13</v>
      </c>
      <c r="B2385" t="s" s="2">
        <f>HYPERLINK("http://ts.21cn.com/tousu/show/id/1371585","暴力催收威胁恐吓骚扰通讯录联系人")</f>
      </c>
      <c r="C2385" t="s" s="2">
        <v>15</v>
      </c>
      <c r="D2385" t="s" s="2">
        <v>16</v>
      </c>
      <c r="E2385" t="s" s="2">
        <v>17</v>
      </c>
      <c r="F2385" t="s" s="2">
        <f>HYPERLINK("http://ts.21cn.com/tousu/show/id/1371585","http://ts.21cn.com/tousu/show/id/1371585")</f>
      </c>
      <c r="G2385" t="s" s="2">
        <v>17</v>
      </c>
      <c r="H2385" t="s" s="2">
        <v>19</v>
      </c>
      <c r="I2385" t="s" s="2">
        <v>9349</v>
      </c>
      <c r="J2385" t="s" s="2">
        <v>9350</v>
      </c>
      <c r="K2385" t="s" s="2">
        <v>22</v>
      </c>
      <c r="L2385" t="s" s="2">
        <v>22</v>
      </c>
      <c r="M2385" t="s" s="2">
        <v>22</v>
      </c>
    </row>
    <row r="2386" ht="25.0" customHeight="true">
      <c r="A2386" t="s" s="2">
        <v>13</v>
      </c>
      <c r="B2386" t="s" s="2">
        <f>HYPERLINK("http://ts.21cn.com/tousu/show/id/1371586","借款利息超过国家规定利率、高利贷违法催收")</f>
      </c>
      <c r="C2386" t="s" s="2">
        <v>15</v>
      </c>
      <c r="D2386" t="s" s="2">
        <v>16</v>
      </c>
      <c r="E2386" t="s" s="2">
        <v>17</v>
      </c>
      <c r="F2386" t="s" s="2">
        <f>HYPERLINK("http://ts.21cn.com/tousu/show/id/1371586","http://ts.21cn.com/tousu/show/id/1371586")</f>
      </c>
      <c r="G2386" t="s" s="2">
        <v>17</v>
      </c>
      <c r="H2386" t="s" s="2">
        <v>19</v>
      </c>
      <c r="I2386" t="s" s="2">
        <v>9353</v>
      </c>
      <c r="J2386" t="s" s="2">
        <v>9354</v>
      </c>
      <c r="K2386" t="s" s="2">
        <v>22</v>
      </c>
      <c r="L2386" t="s" s="2">
        <v>22</v>
      </c>
      <c r="M2386" t="s" s="2">
        <v>22</v>
      </c>
    </row>
    <row r="2387" ht="25.0" customHeight="true">
      <c r="A2387" t="s" s="2">
        <v>13</v>
      </c>
      <c r="B2387" t="s" s="2">
        <f>HYPERLINK("http://ts.21cn.com/tousu/show/id/1371583","360借条诱导借款")</f>
      </c>
      <c r="C2387" t="s" s="2">
        <v>15</v>
      </c>
      <c r="D2387" t="s" s="2">
        <v>16</v>
      </c>
      <c r="E2387" t="s" s="2">
        <v>17</v>
      </c>
      <c r="F2387" t="s" s="2">
        <f>HYPERLINK("http://ts.21cn.com/tousu/show/id/1371583","http://ts.21cn.com/tousu/show/id/1371583")</f>
      </c>
      <c r="G2387" t="s" s="2">
        <v>17</v>
      </c>
      <c r="H2387" t="s" s="2">
        <v>19</v>
      </c>
      <c r="I2387" t="s" s="2">
        <v>9357</v>
      </c>
      <c r="J2387" t="s" s="2">
        <v>9358</v>
      </c>
      <c r="K2387" t="s" s="2">
        <v>22</v>
      </c>
      <c r="L2387" t="s" s="2">
        <v>22</v>
      </c>
      <c r="M2387" t="s" s="2">
        <v>22</v>
      </c>
    </row>
    <row r="2388" ht="25.0" customHeight="true">
      <c r="A2388" t="s" s="2">
        <v>13</v>
      </c>
      <c r="B2388" t="s" s="2">
        <f>HYPERLINK("http://ts.21cn.com/tousu/show/id/1371584","中国联合网络通信有限公司提供违规支付通道")</f>
      </c>
      <c r="C2388" t="s" s="2">
        <v>15</v>
      </c>
      <c r="D2388" t="s" s="2">
        <v>16</v>
      </c>
      <c r="E2388" t="s" s="2">
        <v>17</v>
      </c>
      <c r="F2388" t="s" s="2">
        <f>HYPERLINK("http://ts.21cn.com/tousu/show/id/1371584","http://ts.21cn.com/tousu/show/id/1371584")</f>
      </c>
      <c r="G2388" t="s" s="2">
        <v>17</v>
      </c>
      <c r="H2388" t="s" s="2">
        <v>19</v>
      </c>
      <c r="I2388" t="s" s="2">
        <v>9361</v>
      </c>
      <c r="J2388" t="s" s="2">
        <v>9362</v>
      </c>
      <c r="K2388" t="s" s="2">
        <v>22</v>
      </c>
      <c r="L2388" t="s" s="2">
        <v>22</v>
      </c>
      <c r="M2388" t="s" s="2">
        <v>22</v>
      </c>
    </row>
    <row r="2389" ht="25.0" customHeight="true">
      <c r="A2389" t="s" s="2">
        <v>13</v>
      </c>
      <c r="B2389" t="s" s="2">
        <f>HYPERLINK("http://ts.21cn.com/tousu/show/id/1371582","小黑鲨平台暴力催收爆通讯录")</f>
      </c>
      <c r="C2389" t="s" s="2">
        <v>15</v>
      </c>
      <c r="D2389" t="s" s="2">
        <v>16</v>
      </c>
      <c r="E2389" t="s" s="2">
        <v>17</v>
      </c>
      <c r="F2389" t="s" s="2">
        <f>HYPERLINK("http://ts.21cn.com/tousu/show/id/1371582","http://ts.21cn.com/tousu/show/id/1371582")</f>
      </c>
      <c r="G2389" t="s" s="2">
        <v>17</v>
      </c>
      <c r="H2389" t="s" s="2">
        <v>19</v>
      </c>
      <c r="I2389" t="s" s="2">
        <v>9365</v>
      </c>
      <c r="J2389" t="s" s="2">
        <v>9366</v>
      </c>
      <c r="K2389" t="s" s="2">
        <v>22</v>
      </c>
      <c r="L2389" t="s" s="2">
        <v>22</v>
      </c>
      <c r="M2389" t="s" s="2">
        <v>22</v>
      </c>
    </row>
    <row r="2390" ht="25.0" customHeight="true">
      <c r="A2390" t="s" s="2">
        <v>13</v>
      </c>
      <c r="B2390" t="s" s="2">
        <f>HYPERLINK("http://ts.21cn.com/tousu/show/id/1371580","频繁打打电话骚扰，给家里人还有通讯录打电话骚扰")</f>
      </c>
      <c r="C2390" t="s" s="2">
        <v>15</v>
      </c>
      <c r="D2390" t="s" s="2">
        <v>16</v>
      </c>
      <c r="E2390" t="s" s="2">
        <v>17</v>
      </c>
      <c r="F2390" t="s" s="2">
        <f>HYPERLINK("http://ts.21cn.com/tousu/show/id/1371580","http://ts.21cn.com/tousu/show/id/1371580")</f>
      </c>
      <c r="G2390" t="s" s="2">
        <v>17</v>
      </c>
      <c r="H2390" t="s" s="2">
        <v>19</v>
      </c>
      <c r="I2390" t="s" s="2">
        <v>9369</v>
      </c>
      <c r="J2390" t="s" s="2">
        <v>9370</v>
      </c>
      <c r="K2390" t="s" s="2">
        <v>22</v>
      </c>
      <c r="L2390" t="s" s="2">
        <v>22</v>
      </c>
      <c r="M2390" t="s" s="2">
        <v>22</v>
      </c>
    </row>
    <row r="2391" ht="25.0" customHeight="true">
      <c r="A2391" t="s" s="2">
        <v>13</v>
      </c>
      <c r="B2391" t="s" s="2">
        <f>HYPERLINK("http://ts.21cn.com/tousu/show/id/1371579","美团生活费暴力催收")</f>
      </c>
      <c r="C2391" t="s" s="2">
        <v>15</v>
      </c>
      <c r="D2391" t="s" s="2">
        <v>16</v>
      </c>
      <c r="E2391" t="s" s="2">
        <v>17</v>
      </c>
      <c r="F2391" t="s" s="2">
        <f>HYPERLINK("http://ts.21cn.com/tousu/show/id/1371579","http://ts.21cn.com/tousu/show/id/1371579")</f>
      </c>
      <c r="G2391" t="s" s="2">
        <v>17</v>
      </c>
      <c r="H2391" t="s" s="2">
        <v>19</v>
      </c>
      <c r="I2391" t="s" s="2">
        <v>9373</v>
      </c>
      <c r="J2391" t="s" s="2">
        <v>9374</v>
      </c>
      <c r="K2391" t="s" s="2">
        <v>22</v>
      </c>
      <c r="L2391" t="s" s="2">
        <v>22</v>
      </c>
      <c r="M2391" t="s" s="2">
        <v>22</v>
      </c>
    </row>
    <row r="2392" ht="25.0" customHeight="true">
      <c r="A2392" t="s" s="2">
        <v>13</v>
      </c>
      <c r="B2392" t="s" s="2">
        <f>HYPERLINK("http://ts.21cn.com/tousu/show/id/1371578","利息太高套路带")</f>
      </c>
      <c r="C2392" t="s" s="2">
        <v>15</v>
      </c>
      <c r="D2392" t="s" s="2">
        <v>16</v>
      </c>
      <c r="E2392" t="s" s="2">
        <v>17</v>
      </c>
      <c r="F2392" t="s" s="2">
        <f>HYPERLINK("http://ts.21cn.com/tousu/show/id/1371578","http://ts.21cn.com/tousu/show/id/1371578")</f>
      </c>
      <c r="G2392" t="s" s="2">
        <v>17</v>
      </c>
      <c r="H2392" t="s" s="2">
        <v>19</v>
      </c>
      <c r="I2392" t="s" s="2">
        <v>9377</v>
      </c>
      <c r="J2392" t="s" s="2">
        <v>9378</v>
      </c>
      <c r="K2392" t="s" s="2">
        <v>22</v>
      </c>
      <c r="L2392" t="s" s="2">
        <v>22</v>
      </c>
      <c r="M2392" t="s" s="2">
        <v>22</v>
      </c>
    </row>
    <row r="2393" ht="25.0" customHeight="true">
      <c r="A2393" t="s" s="2">
        <v>13</v>
      </c>
      <c r="B2393" t="s" s="2">
        <f>HYPERLINK("http://ts.21cn.com/tousu/show/id/1371576","高利贷")</f>
      </c>
      <c r="C2393" t="s" s="2">
        <v>15</v>
      </c>
      <c r="D2393" t="s" s="2">
        <v>16</v>
      </c>
      <c r="E2393" t="s" s="2">
        <v>17</v>
      </c>
      <c r="F2393" t="s" s="2">
        <f>HYPERLINK("http://ts.21cn.com/tousu/show/id/1371576","http://ts.21cn.com/tousu/show/id/1371576")</f>
      </c>
      <c r="G2393" t="s" s="2">
        <v>17</v>
      </c>
      <c r="H2393" t="s" s="2">
        <v>19</v>
      </c>
      <c r="I2393" t="s" s="2">
        <v>9380</v>
      </c>
      <c r="J2393" t="s" s="2">
        <v>9381</v>
      </c>
      <c r="K2393" t="s" s="2">
        <v>22</v>
      </c>
      <c r="L2393" t="s" s="2">
        <v>22</v>
      </c>
      <c r="M2393" t="s" s="2">
        <v>22</v>
      </c>
    </row>
    <row r="2394" ht="25.0" customHeight="true">
      <c r="A2394" t="s" s="2">
        <v>13</v>
      </c>
      <c r="B2394" t="s" s="2">
        <f>HYPERLINK("http://ts.21cn.com/tousu/show/id/1371577","暴力催收威胁恐吓")</f>
      </c>
      <c r="C2394" t="s" s="2">
        <v>15</v>
      </c>
      <c r="D2394" t="s" s="2">
        <v>16</v>
      </c>
      <c r="E2394" t="s" s="2">
        <v>17</v>
      </c>
      <c r="F2394" t="s" s="2">
        <f>HYPERLINK("http://ts.21cn.com/tousu/show/id/1371577","http://ts.21cn.com/tousu/show/id/1371577")</f>
      </c>
      <c r="G2394" t="s" s="2">
        <v>17</v>
      </c>
      <c r="H2394" t="s" s="2">
        <v>19</v>
      </c>
      <c r="I2394" t="s" s="2">
        <v>9384</v>
      </c>
      <c r="J2394" t="s" s="2">
        <v>9385</v>
      </c>
      <c r="K2394" t="s" s="2">
        <v>22</v>
      </c>
      <c r="L2394" t="s" s="2">
        <v>22</v>
      </c>
      <c r="M2394" t="s" s="2">
        <v>22</v>
      </c>
    </row>
    <row r="2395" ht="25.0" customHeight="true">
      <c r="A2395" t="s" s="2">
        <v>13</v>
      </c>
      <c r="B2395" t="s" s="2">
        <f>HYPERLINK("http://ts.21cn.com/tousu/show/id/1371574","及贷催收骚扰辱骂联系人")</f>
      </c>
      <c r="C2395" t="s" s="2">
        <v>15</v>
      </c>
      <c r="D2395" t="s" s="2">
        <v>16</v>
      </c>
      <c r="E2395" t="s" s="2">
        <v>17</v>
      </c>
      <c r="F2395" t="s" s="2">
        <f>HYPERLINK("http://ts.21cn.com/tousu/show/id/1371574","http://ts.21cn.com/tousu/show/id/1371574")</f>
      </c>
      <c r="G2395" t="s" s="2">
        <v>17</v>
      </c>
      <c r="H2395" t="s" s="2">
        <v>19</v>
      </c>
      <c r="I2395" t="s" s="2">
        <v>9388</v>
      </c>
      <c r="J2395" t="s" s="2">
        <v>9389</v>
      </c>
      <c r="K2395" t="s" s="2">
        <v>22</v>
      </c>
      <c r="L2395" t="s" s="2">
        <v>22</v>
      </c>
      <c r="M2395" t="s" s="2">
        <v>22</v>
      </c>
    </row>
    <row r="2396" ht="25.0" customHeight="true">
      <c r="A2396" t="s" s="2">
        <v>13</v>
      </c>
      <c r="B2396" t="s" s="2">
        <f>HYPERLINK("http://ts.21cn.com/tousu/show/id/1371572","高利贷砍头息高额逾期费恶意催收")</f>
      </c>
      <c r="C2396" t="s" s="2">
        <v>15</v>
      </c>
      <c r="D2396" t="s" s="2">
        <v>16</v>
      </c>
      <c r="E2396" t="s" s="2">
        <v>17</v>
      </c>
      <c r="F2396" t="s" s="2">
        <f>HYPERLINK("http://ts.21cn.com/tousu/show/id/1371572","http://ts.21cn.com/tousu/show/id/1371572")</f>
      </c>
      <c r="G2396" t="s" s="2">
        <v>17</v>
      </c>
      <c r="H2396" t="s" s="2">
        <v>19</v>
      </c>
      <c r="I2396" t="s" s="2">
        <v>9392</v>
      </c>
      <c r="J2396" t="s" s="2">
        <v>9393</v>
      </c>
      <c r="K2396" t="s" s="2">
        <v>22</v>
      </c>
      <c r="L2396" t="s" s="2">
        <v>22</v>
      </c>
      <c r="M2396" t="s" s="2">
        <v>22</v>
      </c>
    </row>
    <row r="2397" ht="25.0" customHeight="true">
      <c r="A2397" t="s" s="2">
        <v>13</v>
      </c>
      <c r="B2397" t="s" s="2">
        <f>HYPERLINK("http://ts.21cn.com/tousu/show/id/1371573","小赢暴力催收，威胁，恐吓")</f>
      </c>
      <c r="C2397" t="s" s="2">
        <v>15</v>
      </c>
      <c r="D2397" t="s" s="2">
        <v>16</v>
      </c>
      <c r="E2397" t="s" s="2">
        <v>17</v>
      </c>
      <c r="F2397" t="s" s="2">
        <f>HYPERLINK("http://ts.21cn.com/tousu/show/id/1371573","http://ts.21cn.com/tousu/show/id/1371573")</f>
      </c>
      <c r="G2397" t="s" s="2">
        <v>17</v>
      </c>
      <c r="H2397" t="s" s="2">
        <v>19</v>
      </c>
      <c r="I2397" t="s" s="2">
        <v>9396</v>
      </c>
      <c r="J2397" t="s" s="2">
        <v>9397</v>
      </c>
      <c r="K2397" t="s" s="2">
        <v>22</v>
      </c>
      <c r="L2397" t="s" s="2">
        <v>22</v>
      </c>
      <c r="M2397" t="s" s="2">
        <v>22</v>
      </c>
    </row>
    <row r="2398" ht="25.0" customHeight="true">
      <c r="A2398" t="s" s="2">
        <v>13</v>
      </c>
      <c r="B2398" t="s" s="2">
        <f>HYPERLINK("http://ts.21cn.com/tousu/show/id/1371575","不经核实的拨打本人电话进行车贷催债")</f>
      </c>
      <c r="C2398" t="s" s="2">
        <v>15</v>
      </c>
      <c r="D2398" t="s" s="2">
        <v>16</v>
      </c>
      <c r="E2398" t="s" s="2">
        <v>17</v>
      </c>
      <c r="F2398" t="s" s="2">
        <f>HYPERLINK("http://ts.21cn.com/tousu/show/id/1371575","http://ts.21cn.com/tousu/show/id/1371575")</f>
      </c>
      <c r="G2398" t="s" s="2">
        <v>17</v>
      </c>
      <c r="H2398" t="s" s="2">
        <v>19</v>
      </c>
      <c r="I2398" t="s" s="2">
        <v>9400</v>
      </c>
      <c r="J2398" t="s" s="2">
        <v>9401</v>
      </c>
      <c r="K2398" t="s" s="2">
        <v>22</v>
      </c>
      <c r="L2398" t="s" s="2">
        <v>22</v>
      </c>
      <c r="M2398" t="s" s="2">
        <v>22</v>
      </c>
    </row>
    <row r="2399" ht="25.0" customHeight="true">
      <c r="A2399" t="s" s="2">
        <v>13</v>
      </c>
      <c r="B2399" t="s" s="2">
        <f>HYPERLINK("http://ts.21cn.com/tousu/show/id/1371571","苹果游戏误购买成648元商品，发现第一时间就向苹果公司申请退款，苹果公司多次拒绝")</f>
      </c>
      <c r="C2399" t="s" s="2">
        <v>15</v>
      </c>
      <c r="D2399" t="s" s="2">
        <v>16</v>
      </c>
      <c r="E2399" t="s" s="2">
        <v>17</v>
      </c>
      <c r="F2399" t="s" s="2">
        <f>HYPERLINK("http://ts.21cn.com/tousu/show/id/1371571","http://ts.21cn.com/tousu/show/id/1371571")</f>
      </c>
      <c r="G2399" t="s" s="2">
        <v>17</v>
      </c>
      <c r="H2399" t="s" s="2">
        <v>19</v>
      </c>
      <c r="I2399" t="s" s="2">
        <v>9404</v>
      </c>
      <c r="J2399" t="s" s="2">
        <v>9405</v>
      </c>
      <c r="K2399" t="s" s="2">
        <v>22</v>
      </c>
      <c r="L2399" t="s" s="2">
        <v>22</v>
      </c>
      <c r="M2399" t="s" s="2">
        <v>22</v>
      </c>
    </row>
    <row r="2400" ht="25.0" customHeight="true">
      <c r="A2400" t="s" s="2">
        <v>13</v>
      </c>
      <c r="B2400" t="s" s="2">
        <f>HYPERLINK("http://ts.21cn.com/tousu/show/id/1371570","钱站旗下速金服")</f>
      </c>
      <c r="C2400" t="s" s="2">
        <v>15</v>
      </c>
      <c r="D2400" t="s" s="2">
        <v>16</v>
      </c>
      <c r="E2400" t="s" s="2">
        <v>17</v>
      </c>
      <c r="F2400" t="s" s="2">
        <f>HYPERLINK("http://ts.21cn.com/tousu/show/id/1371570","http://ts.21cn.com/tousu/show/id/1371570")</f>
      </c>
      <c r="G2400" t="s" s="2">
        <v>17</v>
      </c>
      <c r="H2400" t="s" s="2">
        <v>19</v>
      </c>
      <c r="I2400" t="s" s="2">
        <v>9408</v>
      </c>
      <c r="J2400" t="s" s="2">
        <v>9409</v>
      </c>
      <c r="K2400" t="s" s="2">
        <v>22</v>
      </c>
      <c r="L2400" t="s" s="2">
        <v>22</v>
      </c>
      <c r="M2400" t="s" s="2">
        <v>22</v>
      </c>
    </row>
    <row r="2401" ht="25.0" customHeight="true">
      <c r="A2401" t="s" s="2">
        <v>13</v>
      </c>
      <c r="B2401" t="s" s="2">
        <f>HYPERLINK("http://ts.21cn.com/tousu/show/id/1371568","恶意扣费")</f>
      </c>
      <c r="C2401" t="s" s="2">
        <v>15</v>
      </c>
      <c r="D2401" t="s" s="2">
        <v>16</v>
      </c>
      <c r="E2401" t="s" s="2">
        <v>17</v>
      </c>
      <c r="F2401" t="s" s="2">
        <f>HYPERLINK("http://ts.21cn.com/tousu/show/id/1371568","http://ts.21cn.com/tousu/show/id/1371568")</f>
      </c>
      <c r="G2401" t="s" s="2">
        <v>17</v>
      </c>
      <c r="H2401" t="s" s="2">
        <v>19</v>
      </c>
      <c r="I2401" t="s" s="2">
        <v>9412</v>
      </c>
      <c r="J2401" t="s" s="2">
        <v>9413</v>
      </c>
      <c r="K2401" t="s" s="2">
        <v>22</v>
      </c>
      <c r="L2401" t="s" s="2">
        <v>22</v>
      </c>
      <c r="M2401" t="s" s="2">
        <v>22</v>
      </c>
    </row>
    <row r="2402" ht="25.0" customHeight="true">
      <c r="A2402" t="s" s="2">
        <v>13</v>
      </c>
      <c r="B2402" t="s" s="2">
        <f>HYPERLINK("http://ts.21cn.com/tousu/show/id/1371567","现金巴士高额砍头息高利贷")</f>
      </c>
      <c r="C2402" t="s" s="2">
        <v>15</v>
      </c>
      <c r="D2402" t="s" s="2">
        <v>16</v>
      </c>
      <c r="E2402" t="s" s="2">
        <v>17</v>
      </c>
      <c r="F2402" t="s" s="2">
        <f>HYPERLINK("http://ts.21cn.com/tousu/show/id/1371567","http://ts.21cn.com/tousu/show/id/1371567")</f>
      </c>
      <c r="G2402" t="s" s="2">
        <v>17</v>
      </c>
      <c r="H2402" t="s" s="2">
        <v>19</v>
      </c>
      <c r="I2402" t="s" s="2">
        <v>9416</v>
      </c>
      <c r="J2402" t="s" s="2">
        <v>9417</v>
      </c>
      <c r="K2402" t="s" s="2">
        <v>22</v>
      </c>
      <c r="L2402" t="s" s="2">
        <v>22</v>
      </c>
      <c r="M2402" t="s" s="2">
        <v>22</v>
      </c>
    </row>
    <row r="2403" ht="25.0" customHeight="true">
      <c r="A2403" t="s" s="2">
        <v>13</v>
      </c>
      <c r="B2403" t="s" s="2">
        <f>HYPERLINK("http://ts.21cn.com/tousu/show/id/1371565","新橙优品非法砍头息挂靠保险扣费")</f>
      </c>
      <c r="C2403" t="s" s="2">
        <v>15</v>
      </c>
      <c r="D2403" t="s" s="2">
        <v>16</v>
      </c>
      <c r="E2403" t="s" s="2">
        <v>17</v>
      </c>
      <c r="F2403" t="s" s="2">
        <f>HYPERLINK("http://ts.21cn.com/tousu/show/id/1371565","http://ts.21cn.com/tousu/show/id/1371565")</f>
      </c>
      <c r="G2403" t="s" s="2">
        <v>17</v>
      </c>
      <c r="H2403" t="s" s="2">
        <v>19</v>
      </c>
      <c r="I2403" t="s" s="2">
        <v>9420</v>
      </c>
      <c r="J2403" t="s" s="2">
        <v>9421</v>
      </c>
      <c r="K2403" t="s" s="2">
        <v>22</v>
      </c>
      <c r="L2403" t="s" s="2">
        <v>22</v>
      </c>
      <c r="M2403" t="s" s="2">
        <v>22</v>
      </c>
    </row>
    <row r="2404" ht="25.0" customHeight="true">
      <c r="A2404" t="s" s="2">
        <v>13</v>
      </c>
      <c r="B2404" t="s" s="2">
        <f>HYPERLINK("http://ts.21cn.com/tousu/show/id/1371564","分期乐借款利率过高，已无力偿还")</f>
      </c>
      <c r="C2404" t="s" s="2">
        <v>15</v>
      </c>
      <c r="D2404" t="s" s="2">
        <v>16</v>
      </c>
      <c r="E2404" t="s" s="2">
        <v>17</v>
      </c>
      <c r="F2404" t="s" s="2">
        <f>HYPERLINK("http://ts.21cn.com/tousu/show/id/1371564","http://ts.21cn.com/tousu/show/id/1371564")</f>
      </c>
      <c r="G2404" t="s" s="2">
        <v>17</v>
      </c>
      <c r="H2404" t="s" s="2">
        <v>19</v>
      </c>
      <c r="I2404" t="s" s="2">
        <v>9424</v>
      </c>
      <c r="J2404" t="s" s="2">
        <v>9425</v>
      </c>
      <c r="K2404" t="s" s="2">
        <v>22</v>
      </c>
      <c r="L2404" t="s" s="2">
        <v>22</v>
      </c>
      <c r="M2404" t="s" s="2">
        <v>22</v>
      </c>
    </row>
    <row r="2405" ht="25.0" customHeight="true">
      <c r="A2405" t="s" s="2">
        <v>13</v>
      </c>
      <c r="B2405" t="s" s="2">
        <f>HYPERLINK("http://ts.21cn.com/tousu/show/id/1371566","畅捷支付帮助非法网贷提供支付通道，恶意让用户逾期")</f>
      </c>
      <c r="C2405" t="s" s="2">
        <v>15</v>
      </c>
      <c r="D2405" t="s" s="2">
        <v>16</v>
      </c>
      <c r="E2405" t="s" s="2">
        <v>17</v>
      </c>
      <c r="F2405" t="s" s="2">
        <f>HYPERLINK("http://ts.21cn.com/tousu/show/id/1371566","http://ts.21cn.com/tousu/show/id/1371566")</f>
      </c>
      <c r="G2405" t="s" s="2">
        <v>17</v>
      </c>
      <c r="H2405" t="s" s="2">
        <v>19</v>
      </c>
      <c r="I2405" t="s" s="2">
        <v>9428</v>
      </c>
      <c r="J2405" t="s" s="2">
        <v>9429</v>
      </c>
      <c r="K2405" t="s" s="2">
        <v>22</v>
      </c>
      <c r="L2405" t="s" s="2">
        <v>22</v>
      </c>
      <c r="M2405" t="s" s="2">
        <v>22</v>
      </c>
    </row>
    <row r="2406" ht="25.0" customHeight="true">
      <c r="A2406" t="s" s="2">
        <v>13</v>
      </c>
      <c r="B2406" t="s" s="2">
        <f>HYPERLINK("http://ts.21cn.com/tousu/show/id/1371545","速溶360还款未销账、恶意骚扰")</f>
      </c>
      <c r="C2406" t="s" s="2">
        <v>15</v>
      </c>
      <c r="D2406" t="s" s="2">
        <v>16</v>
      </c>
      <c r="E2406" t="s" s="2">
        <v>17</v>
      </c>
      <c r="F2406" t="s" s="2">
        <f>HYPERLINK("http://ts.21cn.com/tousu/show/id/1371545","http://ts.21cn.com/tousu/show/id/1371545")</f>
      </c>
      <c r="G2406" t="s" s="2">
        <v>17</v>
      </c>
      <c r="H2406" t="s" s="2">
        <v>19</v>
      </c>
      <c r="I2406" t="s" s="2">
        <v>9432</v>
      </c>
      <c r="J2406" t="s" s="2">
        <v>9433</v>
      </c>
      <c r="K2406" t="s" s="2">
        <v>22</v>
      </c>
      <c r="L2406" t="s" s="2">
        <v>22</v>
      </c>
      <c r="M2406" t="s" s="2">
        <v>22</v>
      </c>
    </row>
    <row r="2407" ht="25.0" customHeight="true">
      <c r="A2407" t="s" s="2">
        <v>13</v>
      </c>
      <c r="B2407" t="s" s="2">
        <f>HYPERLINK("http://ts.21cn.com/tousu/show/id/1371563","钱站平台阴阳合同高利贷")</f>
      </c>
      <c r="C2407" t="s" s="2">
        <v>15</v>
      </c>
      <c r="D2407" t="s" s="2">
        <v>16</v>
      </c>
      <c r="E2407" t="s" s="2">
        <v>17</v>
      </c>
      <c r="F2407" t="s" s="2">
        <f>HYPERLINK("http://ts.21cn.com/tousu/show/id/1371563","http://ts.21cn.com/tousu/show/id/1371563")</f>
      </c>
      <c r="G2407" t="s" s="2">
        <v>17</v>
      </c>
      <c r="H2407" t="s" s="2">
        <v>19</v>
      </c>
      <c r="I2407" t="s" s="2">
        <v>9436</v>
      </c>
      <c r="J2407" t="s" s="2">
        <v>9437</v>
      </c>
      <c r="K2407" t="s" s="2">
        <v>22</v>
      </c>
      <c r="L2407" t="s" s="2">
        <v>22</v>
      </c>
      <c r="M2407" t="s" s="2">
        <v>22</v>
      </c>
    </row>
    <row r="2408" ht="25.0" customHeight="true">
      <c r="A2408" t="s" s="2">
        <v>13</v>
      </c>
      <c r="B2408" t="s" s="2">
        <f>HYPERLINK("http://ts.21cn.com/tousu/show/id/1371562","魅族售后不履行碎屏险")</f>
      </c>
      <c r="C2408" t="s" s="2">
        <v>52</v>
      </c>
      <c r="D2408" t="s" s="2">
        <v>16</v>
      </c>
      <c r="E2408" t="s" s="2">
        <v>17</v>
      </c>
      <c r="F2408" t="s" s="2">
        <f>HYPERLINK("http://ts.21cn.com/tousu/show/id/1371562","http://ts.21cn.com/tousu/show/id/1371562")</f>
      </c>
      <c r="G2408" t="s" s="2">
        <v>17</v>
      </c>
      <c r="H2408" t="s" s="2">
        <v>19</v>
      </c>
      <c r="I2408" t="s" s="2">
        <v>9440</v>
      </c>
      <c r="J2408" t="s" s="2">
        <v>9441</v>
      </c>
      <c r="K2408" t="s" s="2">
        <v>22</v>
      </c>
      <c r="L2408" t="s" s="2">
        <v>22</v>
      </c>
      <c r="M2408" t="s" s="2">
        <v>22</v>
      </c>
    </row>
    <row r="2409" ht="25.0" customHeight="true">
      <c r="A2409" t="s" s="2">
        <v>13</v>
      </c>
      <c r="B2409" t="s" s="2">
        <f>HYPERLINK("http://ts.21cn.com/tousu/show/id/1371558","转转退款不退验机费")</f>
      </c>
      <c r="C2409" t="s" s="2">
        <v>15</v>
      </c>
      <c r="D2409" t="s" s="2">
        <v>16</v>
      </c>
      <c r="E2409" t="s" s="2">
        <v>17</v>
      </c>
      <c r="F2409" t="s" s="2">
        <f>HYPERLINK("http://ts.21cn.com/tousu/show/id/1371558","http://ts.21cn.com/tousu/show/id/1371558")</f>
      </c>
      <c r="G2409" t="s" s="2">
        <v>17</v>
      </c>
      <c r="H2409" t="s" s="2">
        <v>19</v>
      </c>
      <c r="I2409" t="s" s="2">
        <v>9444</v>
      </c>
      <c r="J2409" t="s" s="2">
        <v>9445</v>
      </c>
      <c r="K2409" t="s" s="2">
        <v>22</v>
      </c>
      <c r="L2409" t="s" s="2">
        <v>22</v>
      </c>
      <c r="M2409" t="s" s="2">
        <v>22</v>
      </c>
    </row>
    <row r="2410" ht="25.0" customHeight="true">
      <c r="A2410" t="s" s="2">
        <v>13</v>
      </c>
      <c r="B2410" t="s" s="2">
        <f>HYPERLINK("http://ts.21cn.com/tousu/show/id/1371561","小花钱包账户注销问题")</f>
      </c>
      <c r="C2410" t="s" s="2">
        <v>15</v>
      </c>
      <c r="D2410" t="s" s="2">
        <v>16</v>
      </c>
      <c r="E2410" t="s" s="2">
        <v>17</v>
      </c>
      <c r="F2410" t="s" s="2">
        <f>HYPERLINK("http://ts.21cn.com/tousu/show/id/1371561","http://ts.21cn.com/tousu/show/id/1371561")</f>
      </c>
      <c r="G2410" t="s" s="2">
        <v>17</v>
      </c>
      <c r="H2410" t="s" s="2">
        <v>19</v>
      </c>
      <c r="I2410" t="s" s="2">
        <v>9448</v>
      </c>
      <c r="J2410" t="s" s="2">
        <v>9449</v>
      </c>
      <c r="K2410" t="s" s="2">
        <v>22</v>
      </c>
      <c r="L2410" t="s" s="2">
        <v>22</v>
      </c>
      <c r="M2410" t="s" s="2">
        <v>22</v>
      </c>
    </row>
    <row r="2411" ht="25.0" customHeight="true">
      <c r="A2411" t="s" s="2">
        <v>13</v>
      </c>
      <c r="B2411" t="s" s="2">
        <f>HYPERLINK("http://ts.21cn.com/tousu/show/id/1371560","苹果ID被盗用并通过支付宝免密支付消费")</f>
      </c>
      <c r="C2411" t="s" s="2">
        <v>15</v>
      </c>
      <c r="D2411" t="s" s="2">
        <v>16</v>
      </c>
      <c r="E2411" t="s" s="2">
        <v>17</v>
      </c>
      <c r="F2411" t="s" s="2">
        <f>HYPERLINK("http://ts.21cn.com/tousu/show/id/1371560","http://ts.21cn.com/tousu/show/id/1371560")</f>
      </c>
      <c r="G2411" t="s" s="2">
        <v>17</v>
      </c>
      <c r="H2411" t="s" s="2">
        <v>19</v>
      </c>
      <c r="I2411" t="s" s="2">
        <v>9452</v>
      </c>
      <c r="J2411" t="s" s="2">
        <v>9453</v>
      </c>
      <c r="K2411" t="s" s="2">
        <v>22</v>
      </c>
      <c r="L2411" t="s" s="2">
        <v>22</v>
      </c>
      <c r="M2411" t="s" s="2">
        <v>22</v>
      </c>
    </row>
    <row r="2412" ht="25.0" customHeight="true">
      <c r="A2412" t="s" s="2">
        <v>13</v>
      </c>
      <c r="B2412" t="s" s="2">
        <f>HYPERLINK("http://ts.21cn.com/tousu/show/id/1371559","百世汇通快递五天无快递信息，解决不及时")</f>
      </c>
      <c r="C2412" t="s" s="2">
        <v>15</v>
      </c>
      <c r="D2412" t="s" s="2">
        <v>16</v>
      </c>
      <c r="E2412" t="s" s="2">
        <v>17</v>
      </c>
      <c r="F2412" t="s" s="2">
        <f>HYPERLINK("http://ts.21cn.com/tousu/show/id/1371559","http://ts.21cn.com/tousu/show/id/1371559")</f>
      </c>
      <c r="G2412" t="s" s="2">
        <v>17</v>
      </c>
      <c r="H2412" t="s" s="2">
        <v>19</v>
      </c>
      <c r="I2412" t="s" s="2">
        <v>9456</v>
      </c>
      <c r="J2412" t="s" s="2">
        <v>9457</v>
      </c>
      <c r="K2412" t="s" s="2">
        <v>22</v>
      </c>
      <c r="L2412" t="s" s="2">
        <v>22</v>
      </c>
      <c r="M2412" t="s" s="2">
        <v>22</v>
      </c>
    </row>
    <row r="2413" ht="25.0" customHeight="true">
      <c r="A2413" t="s" s="2">
        <v>13</v>
      </c>
      <c r="B2413" t="s" s="2">
        <f>HYPERLINK("http://ts.21cn.com/tousu/show/id/1371556","高额服务费，频繁催收，威胁要上门，催收员要家人给我收尸，恐吓我家人")</f>
      </c>
      <c r="C2413" t="s" s="2">
        <v>15</v>
      </c>
      <c r="D2413" t="s" s="2">
        <v>16</v>
      </c>
      <c r="E2413" t="s" s="2">
        <v>17</v>
      </c>
      <c r="F2413" t="s" s="2">
        <f>HYPERLINK("http://ts.21cn.com/tousu/show/id/1371556","http://ts.21cn.com/tousu/show/id/1371556")</f>
      </c>
      <c r="G2413" t="s" s="2">
        <v>17</v>
      </c>
      <c r="H2413" t="s" s="2">
        <v>19</v>
      </c>
      <c r="I2413" t="s" s="2">
        <v>9460</v>
      </c>
      <c r="J2413" t="s" s="2">
        <v>9461</v>
      </c>
      <c r="K2413" t="s" s="2">
        <v>22</v>
      </c>
      <c r="L2413" t="s" s="2">
        <v>22</v>
      </c>
      <c r="M2413" t="s" s="2">
        <v>22</v>
      </c>
    </row>
    <row r="2414" ht="25.0" customHeight="true">
      <c r="A2414" t="s" s="2">
        <v>13</v>
      </c>
      <c r="B2414" t="s" s="2">
        <f>HYPERLINK("http://ts.21cn.com/tousu/show/id/1371555","小赢卡带过高利息等同高利贷")</f>
      </c>
      <c r="C2414" t="s" s="2">
        <v>15</v>
      </c>
      <c r="D2414" t="s" s="2">
        <v>16</v>
      </c>
      <c r="E2414" t="s" s="2">
        <v>17</v>
      </c>
      <c r="F2414" t="s" s="2">
        <f>HYPERLINK("http://ts.21cn.com/tousu/show/id/1371555","http://ts.21cn.com/tousu/show/id/1371555")</f>
      </c>
      <c r="G2414" t="s" s="2">
        <v>17</v>
      </c>
      <c r="H2414" t="s" s="2">
        <v>19</v>
      </c>
      <c r="I2414" t="s" s="2">
        <v>9464</v>
      </c>
      <c r="J2414" t="s" s="2">
        <v>9465</v>
      </c>
      <c r="K2414" t="s" s="2">
        <v>22</v>
      </c>
      <c r="L2414" t="s" s="2">
        <v>22</v>
      </c>
      <c r="M2414" t="s" s="2">
        <v>22</v>
      </c>
    </row>
    <row r="2415" ht="25.0" customHeight="true">
      <c r="A2415" t="s" s="2">
        <v>13</v>
      </c>
      <c r="B2415" t="s" s="2">
        <f>HYPERLINK("http://ts.21cn.com/tousu/show/id/1371557","尺寸与页面详情不符")</f>
      </c>
      <c r="C2415" t="s" s="2">
        <v>15</v>
      </c>
      <c r="D2415" t="s" s="2">
        <v>16</v>
      </c>
      <c r="E2415" t="s" s="2">
        <v>17</v>
      </c>
      <c r="F2415" t="s" s="2">
        <f>HYPERLINK("http://ts.21cn.com/tousu/show/id/1371557","http://ts.21cn.com/tousu/show/id/1371557")</f>
      </c>
      <c r="G2415" t="s" s="2">
        <v>17</v>
      </c>
      <c r="H2415" t="s" s="2">
        <v>19</v>
      </c>
      <c r="I2415" t="s" s="2">
        <v>9468</v>
      </c>
      <c r="J2415" t="s" s="2">
        <v>9469</v>
      </c>
      <c r="K2415" t="s" s="2">
        <v>22</v>
      </c>
      <c r="L2415" t="s" s="2">
        <v>22</v>
      </c>
      <c r="M2415" t="s" s="2">
        <v>22</v>
      </c>
    </row>
    <row r="2416" ht="25.0" customHeight="true">
      <c r="A2416" t="s" s="2">
        <v>13</v>
      </c>
      <c r="B2416" t="s" s="2">
        <f>HYPERLINK("http://ts.21cn.com/tousu/show/id/1371554","国美金融暴力催收")</f>
      </c>
      <c r="C2416" t="s" s="2">
        <v>15</v>
      </c>
      <c r="D2416" t="s" s="2">
        <v>16</v>
      </c>
      <c r="E2416" t="s" s="2">
        <v>17</v>
      </c>
      <c r="F2416" t="s" s="2">
        <f>HYPERLINK("http://ts.21cn.com/tousu/show/id/1371554","http://ts.21cn.com/tousu/show/id/1371554")</f>
      </c>
      <c r="G2416" t="s" s="2">
        <v>17</v>
      </c>
      <c r="H2416" t="s" s="2">
        <v>19</v>
      </c>
      <c r="I2416" t="s" s="2">
        <v>9472</v>
      </c>
      <c r="J2416" t="s" s="2">
        <v>9473</v>
      </c>
      <c r="K2416" t="s" s="2">
        <v>22</v>
      </c>
      <c r="L2416" t="s" s="2">
        <v>22</v>
      </c>
      <c r="M2416" t="s" s="2">
        <v>22</v>
      </c>
    </row>
    <row r="2417" ht="25.0" customHeight="true">
      <c r="A2417" t="s" s="2">
        <v>13</v>
      </c>
      <c r="B2417" t="s" s="2">
        <f>HYPERLINK("http://ts.21cn.com/tousu/show/id/1371535","钱橙无忧随意扣费")</f>
      </c>
      <c r="C2417" t="s" s="2">
        <v>52</v>
      </c>
      <c r="D2417" t="s" s="2">
        <v>16</v>
      </c>
      <c r="E2417" t="s" s="2">
        <v>17</v>
      </c>
      <c r="F2417" t="s" s="2">
        <f>HYPERLINK("http://ts.21cn.com/tousu/show/id/1371535","http://ts.21cn.com/tousu/show/id/1371535")</f>
      </c>
      <c r="G2417" t="s" s="2">
        <v>17</v>
      </c>
      <c r="H2417" t="s" s="2">
        <v>19</v>
      </c>
      <c r="I2417" t="s" s="2">
        <v>9475</v>
      </c>
      <c r="J2417" t="s" s="2">
        <v>9476</v>
      </c>
      <c r="K2417" t="s" s="2">
        <v>22</v>
      </c>
      <c r="L2417" t="s" s="2">
        <v>22</v>
      </c>
      <c r="M2417" t="s" s="2">
        <v>22</v>
      </c>
    </row>
    <row r="2418" ht="25.0" customHeight="true">
      <c r="A2418" t="s" s="2">
        <v>13</v>
      </c>
      <c r="B2418" t="s" s="2">
        <f>HYPERLINK("http://ts.21cn.com/tousu/show/id/1371553","点点平台强行绑定众安保险")</f>
      </c>
      <c r="C2418" t="s" s="2">
        <v>15</v>
      </c>
      <c r="D2418" t="s" s="2">
        <v>16</v>
      </c>
      <c r="E2418" t="s" s="2">
        <v>17</v>
      </c>
      <c r="F2418" t="s" s="2">
        <f>HYPERLINK("http://ts.21cn.com/tousu/show/id/1371553","http://ts.21cn.com/tousu/show/id/1371553")</f>
      </c>
      <c r="G2418" t="s" s="2">
        <v>17</v>
      </c>
      <c r="H2418" t="s" s="2">
        <v>19</v>
      </c>
      <c r="I2418" t="s" s="2">
        <v>9479</v>
      </c>
      <c r="J2418" t="s" s="2">
        <v>9480</v>
      </c>
      <c r="K2418" t="s" s="2">
        <v>22</v>
      </c>
      <c r="L2418" t="s" s="2">
        <v>22</v>
      </c>
      <c r="M2418" t="s" s="2">
        <v>22</v>
      </c>
    </row>
    <row r="2419" ht="25.0" customHeight="true">
      <c r="A2419" t="s" s="2">
        <v>13</v>
      </c>
      <c r="B2419" t="s" s="2">
        <f>HYPERLINK("http://ts.21cn.com/tousu/show/id/1371551","名校贷现白领贷非法收取高额咨询费")</f>
      </c>
      <c r="C2419" t="s" s="2">
        <v>15</v>
      </c>
      <c r="D2419" t="s" s="2">
        <v>16</v>
      </c>
      <c r="E2419" t="s" s="2">
        <v>17</v>
      </c>
      <c r="F2419" t="s" s="2">
        <f>HYPERLINK("http://ts.21cn.com/tousu/show/id/1371551","http://ts.21cn.com/tousu/show/id/1371551")</f>
      </c>
      <c r="G2419" t="s" s="2">
        <v>17</v>
      </c>
      <c r="H2419" t="s" s="2">
        <v>19</v>
      </c>
      <c r="I2419" t="s" s="2">
        <v>9483</v>
      </c>
      <c r="J2419" t="s" s="2">
        <v>9484</v>
      </c>
      <c r="K2419" t="s" s="2">
        <v>22</v>
      </c>
      <c r="L2419" t="s" s="2">
        <v>22</v>
      </c>
      <c r="M2419" t="s" s="2">
        <v>22</v>
      </c>
    </row>
    <row r="2420" ht="25.0" customHeight="true">
      <c r="A2420" t="s" s="2">
        <v>13</v>
      </c>
      <c r="B2420" t="s" s="2">
        <f>HYPERLINK("http://ts.21cn.com/tousu/show/id/1371548","维信卡卡贷")</f>
      </c>
      <c r="C2420" t="s" s="2">
        <v>15</v>
      </c>
      <c r="D2420" t="s" s="2">
        <v>16</v>
      </c>
      <c r="E2420" t="s" s="2">
        <v>17</v>
      </c>
      <c r="F2420" t="s" s="2">
        <f>HYPERLINK("http://ts.21cn.com/tousu/show/id/1371548","http://ts.21cn.com/tousu/show/id/1371548")</f>
      </c>
      <c r="G2420" t="s" s="2">
        <v>17</v>
      </c>
      <c r="H2420" t="s" s="2">
        <v>19</v>
      </c>
      <c r="I2420" t="s" s="2">
        <v>9487</v>
      </c>
      <c r="J2420" t="s" s="2">
        <v>9488</v>
      </c>
      <c r="K2420" t="s" s="2">
        <v>22</v>
      </c>
      <c r="L2420" t="s" s="2">
        <v>22</v>
      </c>
      <c r="M2420" t="s" s="2">
        <v>22</v>
      </c>
    </row>
    <row r="2421" ht="25.0" customHeight="true">
      <c r="A2421" t="s" s="2">
        <v>13</v>
      </c>
      <c r="B2421" t="s" s="2">
        <f>HYPERLINK("http://ts.21cn.com/tousu/show/id/1371550","及贷催收恶意骚扰通讯录，对朋友造成生活影响")</f>
      </c>
      <c r="C2421" t="s" s="2">
        <v>15</v>
      </c>
      <c r="D2421" t="s" s="2">
        <v>16</v>
      </c>
      <c r="E2421" t="s" s="2">
        <v>17</v>
      </c>
      <c r="F2421" t="s" s="2">
        <f>HYPERLINK("http://ts.21cn.com/tousu/show/id/1371550","http://ts.21cn.com/tousu/show/id/1371550")</f>
      </c>
      <c r="G2421" t="s" s="2">
        <v>17</v>
      </c>
      <c r="H2421" t="s" s="2">
        <v>19</v>
      </c>
      <c r="I2421" t="s" s="2">
        <v>9491</v>
      </c>
      <c r="J2421" t="s" s="2">
        <v>9492</v>
      </c>
      <c r="K2421" t="s" s="2">
        <v>22</v>
      </c>
      <c r="L2421" t="s" s="2">
        <v>22</v>
      </c>
      <c r="M2421" t="s" s="2">
        <v>22</v>
      </c>
    </row>
    <row r="2422" ht="25.0" customHeight="true">
      <c r="A2422" t="s" s="2">
        <v>13</v>
      </c>
      <c r="B2422" t="s" s="2">
        <f>HYPERLINK("http://ts.21cn.com/tousu/show/id/1371546","退罚息跟保险费用")</f>
      </c>
      <c r="C2422" t="s" s="2">
        <v>15</v>
      </c>
      <c r="D2422" t="s" s="2">
        <v>16</v>
      </c>
      <c r="E2422" t="s" s="2">
        <v>17</v>
      </c>
      <c r="F2422" t="s" s="2">
        <f>HYPERLINK("http://ts.21cn.com/tousu/show/id/1371546","http://ts.21cn.com/tousu/show/id/1371546")</f>
      </c>
      <c r="G2422" t="s" s="2">
        <v>17</v>
      </c>
      <c r="H2422" t="s" s="2">
        <v>19</v>
      </c>
      <c r="I2422" t="s" s="2">
        <v>9495</v>
      </c>
      <c r="J2422" t="s" s="2">
        <v>9496</v>
      </c>
      <c r="K2422" t="s" s="2">
        <v>22</v>
      </c>
      <c r="L2422" t="s" s="2">
        <v>22</v>
      </c>
      <c r="M2422" t="s" s="2">
        <v>22</v>
      </c>
    </row>
    <row r="2423" ht="25.0" customHeight="true">
      <c r="A2423" t="s" s="2">
        <v>13</v>
      </c>
      <c r="B2423" t="s" s="2">
        <f>HYPERLINK("http://ts.21cn.com/tousu/show/id/1371544","360借条恶意骚扰我")</f>
      </c>
      <c r="C2423" t="s" s="2">
        <v>15</v>
      </c>
      <c r="D2423" t="s" s="2">
        <v>16</v>
      </c>
      <c r="E2423" t="s" s="2">
        <v>17</v>
      </c>
      <c r="F2423" t="s" s="2">
        <f>HYPERLINK("http://ts.21cn.com/tousu/show/id/1371544","http://ts.21cn.com/tousu/show/id/1371544")</f>
      </c>
      <c r="G2423" t="s" s="2">
        <v>17</v>
      </c>
      <c r="H2423" t="s" s="2">
        <v>19</v>
      </c>
      <c r="I2423" t="s" s="2">
        <v>9499</v>
      </c>
      <c r="J2423" t="s" s="2">
        <v>9500</v>
      </c>
      <c r="K2423" t="s" s="2">
        <v>22</v>
      </c>
      <c r="L2423" t="s" s="2">
        <v>22</v>
      </c>
      <c r="M2423" t="s" s="2">
        <v>22</v>
      </c>
    </row>
    <row r="2424" ht="25.0" customHeight="true">
      <c r="A2424" t="s" s="2">
        <v>13</v>
      </c>
      <c r="B2424" t="s" s="2">
        <f>HYPERLINK("http://ts.21cn.com/tousu/show/id/1371543","没有借款却被催收")</f>
      </c>
      <c r="C2424" t="s" s="2">
        <v>15</v>
      </c>
      <c r="D2424" t="s" s="2">
        <v>16</v>
      </c>
      <c r="E2424" t="s" s="2">
        <v>17</v>
      </c>
      <c r="F2424" t="s" s="2">
        <f>HYPERLINK("http://ts.21cn.com/tousu/show/id/1371543","http://ts.21cn.com/tousu/show/id/1371543")</f>
      </c>
      <c r="G2424" t="s" s="2">
        <v>17</v>
      </c>
      <c r="H2424" t="s" s="2">
        <v>19</v>
      </c>
      <c r="I2424" t="s" s="2">
        <v>9503</v>
      </c>
      <c r="J2424" t="s" s="2">
        <v>9504</v>
      </c>
      <c r="K2424" t="s" s="2">
        <v>22</v>
      </c>
      <c r="L2424" t="s" s="2">
        <v>22</v>
      </c>
      <c r="M2424" t="s" s="2">
        <v>22</v>
      </c>
    </row>
    <row r="2425" ht="25.0" customHeight="true">
      <c r="A2425" t="s" s="2">
        <v>13</v>
      </c>
      <c r="B2425" t="s" s="2">
        <f>HYPERLINK("http://ts.21cn.com/tousu/show/id/1371542","玖富万卡擅自改写合同，变相收取费用，高利贷")</f>
      </c>
      <c r="C2425" t="s" s="2">
        <v>15</v>
      </c>
      <c r="D2425" t="s" s="2">
        <v>16</v>
      </c>
      <c r="E2425" t="s" s="2">
        <v>17</v>
      </c>
      <c r="F2425" t="s" s="2">
        <f>HYPERLINK("http://ts.21cn.com/tousu/show/id/1371542","http://ts.21cn.com/tousu/show/id/1371542")</f>
      </c>
      <c r="G2425" t="s" s="2">
        <v>17</v>
      </c>
      <c r="H2425" t="s" s="2">
        <v>19</v>
      </c>
      <c r="I2425" t="s" s="2">
        <v>9506</v>
      </c>
      <c r="J2425" t="s" s="2">
        <v>9507</v>
      </c>
      <c r="K2425" t="s" s="2">
        <v>22</v>
      </c>
      <c r="L2425" t="s" s="2">
        <v>22</v>
      </c>
      <c r="M2425" t="s" s="2">
        <v>22</v>
      </c>
    </row>
    <row r="2426" ht="25.0" customHeight="true">
      <c r="A2426" t="s" s="2">
        <v>13</v>
      </c>
      <c r="B2426" t="s" s="2">
        <f>HYPERLINK("http://ts.21cn.com/tousu/show/id/1371541","请合利宝提供以下套路贷商户信息")</f>
      </c>
      <c r="C2426" t="s" s="2">
        <v>15</v>
      </c>
      <c r="D2426" t="s" s="2">
        <v>16</v>
      </c>
      <c r="E2426" t="s" s="2">
        <v>17</v>
      </c>
      <c r="F2426" t="s" s="2">
        <f>HYPERLINK("http://ts.21cn.com/tousu/show/id/1371541","http://ts.21cn.com/tousu/show/id/1371541")</f>
      </c>
      <c r="G2426" t="s" s="2">
        <v>17</v>
      </c>
      <c r="H2426" t="s" s="2">
        <v>19</v>
      </c>
      <c r="I2426" t="s" s="2">
        <v>9510</v>
      </c>
      <c r="J2426" t="s" s="2">
        <v>9511</v>
      </c>
      <c r="K2426" t="s" s="2">
        <v>22</v>
      </c>
      <c r="L2426" t="s" s="2">
        <v>22</v>
      </c>
      <c r="M2426" t="s" s="2">
        <v>22</v>
      </c>
    </row>
    <row r="2427" ht="25.0" customHeight="true">
      <c r="A2427" t="s" s="2">
        <v>13</v>
      </c>
      <c r="B2427" t="s" s="2">
        <f>HYPERLINK("http://ts.21cn.com/tousu/show/id/1371540","无法提现")</f>
      </c>
      <c r="C2427" t="s" s="2">
        <v>15</v>
      </c>
      <c r="D2427" t="s" s="2">
        <v>16</v>
      </c>
      <c r="E2427" t="s" s="2">
        <v>17</v>
      </c>
      <c r="F2427" t="s" s="2">
        <f>HYPERLINK("http://ts.21cn.com/tousu/show/id/1371540","http://ts.21cn.com/tousu/show/id/1371540")</f>
      </c>
      <c r="G2427" t="s" s="2">
        <v>17</v>
      </c>
      <c r="H2427" t="s" s="2">
        <v>19</v>
      </c>
      <c r="I2427" t="s" s="2">
        <v>9513</v>
      </c>
      <c r="J2427" t="s" s="2">
        <v>9514</v>
      </c>
      <c r="K2427" t="s" s="2">
        <v>22</v>
      </c>
      <c r="L2427" t="s" s="2">
        <v>22</v>
      </c>
      <c r="M2427" t="s" s="2">
        <v>22</v>
      </c>
    </row>
    <row r="2428" ht="25.0" customHeight="true">
      <c r="A2428" t="s" s="2">
        <v>13</v>
      </c>
      <c r="B2428" t="s" s="2">
        <f>HYPERLINK("http://ts.21cn.com/tousu/show/id/1371539","砍头息高利贷还敢给我打电话")</f>
      </c>
      <c r="C2428" t="s" s="2">
        <v>15</v>
      </c>
      <c r="D2428" t="s" s="2">
        <v>16</v>
      </c>
      <c r="E2428" t="s" s="2">
        <v>17</v>
      </c>
      <c r="F2428" t="s" s="2">
        <f>HYPERLINK("http://ts.21cn.com/tousu/show/id/1371539","http://ts.21cn.com/tousu/show/id/1371539")</f>
      </c>
      <c r="G2428" t="s" s="2">
        <v>17</v>
      </c>
      <c r="H2428" t="s" s="2">
        <v>19</v>
      </c>
      <c r="I2428" t="s" s="2">
        <v>9517</v>
      </c>
      <c r="J2428" t="s" s="2">
        <v>9518</v>
      </c>
      <c r="K2428" t="s" s="2">
        <v>22</v>
      </c>
      <c r="L2428" t="s" s="2">
        <v>22</v>
      </c>
      <c r="M2428" t="s" s="2">
        <v>22</v>
      </c>
    </row>
    <row r="2429" ht="25.0" customHeight="true">
      <c r="A2429" t="s" s="2">
        <v>13</v>
      </c>
      <c r="B2429" t="s" s="2">
        <f>HYPERLINK("http://ts.21cn.com/tousu/show/id/1371538","智行火车票APP捆绑酒店优惠券")</f>
      </c>
      <c r="C2429" t="s" s="2">
        <v>52</v>
      </c>
      <c r="D2429" t="s" s="2">
        <v>16</v>
      </c>
      <c r="E2429" t="s" s="2">
        <v>17</v>
      </c>
      <c r="F2429" t="s" s="2">
        <f>HYPERLINK("http://ts.21cn.com/tousu/show/id/1371538","http://ts.21cn.com/tousu/show/id/1371538")</f>
      </c>
      <c r="G2429" t="s" s="2">
        <v>17</v>
      </c>
      <c r="H2429" t="s" s="2">
        <v>19</v>
      </c>
      <c r="I2429" t="s" s="2">
        <v>9521</v>
      </c>
      <c r="J2429" t="s" s="2">
        <v>9522</v>
      </c>
      <c r="K2429" t="s" s="2">
        <v>22</v>
      </c>
      <c r="L2429" t="s" s="2">
        <v>22</v>
      </c>
      <c r="M2429" t="s" s="2">
        <v>22</v>
      </c>
    </row>
    <row r="2430" ht="25.0" customHeight="true">
      <c r="A2430" t="s" s="2">
        <v>13</v>
      </c>
      <c r="B2430" t="s" s="2">
        <f>HYPERLINK("http://ts.21cn.com/tousu/show/id/1369797","侵犯个人隐私")</f>
      </c>
      <c r="C2430" t="s" s="2">
        <v>15</v>
      </c>
      <c r="D2430" t="s" s="2">
        <v>16</v>
      </c>
      <c r="E2430" t="s" s="2">
        <v>17</v>
      </c>
      <c r="F2430" t="s" s="2">
        <f>HYPERLINK("http://ts.21cn.com/tousu/show/id/1369797","http://ts.21cn.com/tousu/show/id/1369797")</f>
      </c>
      <c r="G2430" t="s" s="2">
        <v>17</v>
      </c>
      <c r="H2430" t="s" s="2">
        <v>19</v>
      </c>
      <c r="I2430" t="s" s="2">
        <v>9524</v>
      </c>
      <c r="J2430" t="s" s="2">
        <v>9525</v>
      </c>
      <c r="K2430" t="s" s="2">
        <v>22</v>
      </c>
      <c r="L2430" t="s" s="2">
        <v>22</v>
      </c>
      <c r="M2430" t="s" s="2">
        <v>22</v>
      </c>
    </row>
    <row r="2431" ht="25.0" customHeight="true">
      <c r="A2431" t="s" s="2">
        <v>13</v>
      </c>
      <c r="B2431" t="s" s="2">
        <f>HYPERLINK("http://ts.21cn.com/tousu/show/id/1290336","平安普惠贷款隐瞒隐藏并强制收取高额保险费管理费投诉事宜")</f>
      </c>
      <c r="C2431" t="s" s="2">
        <v>15</v>
      </c>
      <c r="D2431" t="s" s="2">
        <v>16</v>
      </c>
      <c r="E2431" t="s" s="2">
        <v>17</v>
      </c>
      <c r="F2431" t="s" s="2">
        <f>HYPERLINK("http://ts.21cn.com/tousu/show/id/1290336","http://ts.21cn.com/tousu/show/id/1290336")</f>
      </c>
      <c r="G2431" t="s" s="2">
        <v>17</v>
      </c>
      <c r="H2431" t="s" s="2">
        <v>19</v>
      </c>
      <c r="I2431" t="s" s="2">
        <v>9527</v>
      </c>
      <c r="J2431" t="s" s="2">
        <v>9528</v>
      </c>
      <c r="K2431" t="s" s="2">
        <v>22</v>
      </c>
      <c r="L2431" t="s" s="2">
        <v>22</v>
      </c>
      <c r="M2431" t="s" s="2">
        <v>22</v>
      </c>
    </row>
    <row r="2432" ht="25.0" customHeight="true">
      <c r="A2432" t="s" s="2">
        <v>13</v>
      </c>
      <c r="B2432" t="s" s="2">
        <f>HYPERLINK("http://ts.21cn.com/tousu/show/id/1371536","骚扰亲属")</f>
      </c>
      <c r="C2432" t="s" s="2">
        <v>15</v>
      </c>
      <c r="D2432" t="s" s="2">
        <v>16</v>
      </c>
      <c r="E2432" t="s" s="2">
        <v>17</v>
      </c>
      <c r="F2432" t="s" s="2">
        <f>HYPERLINK("http://ts.21cn.com/tousu/show/id/1371536","http://ts.21cn.com/tousu/show/id/1371536")</f>
      </c>
      <c r="G2432" t="s" s="2">
        <v>17</v>
      </c>
      <c r="H2432" t="s" s="2">
        <v>19</v>
      </c>
      <c r="I2432" t="s" s="2">
        <v>9531</v>
      </c>
      <c r="J2432" t="s" s="2">
        <v>9532</v>
      </c>
      <c r="K2432" t="s" s="2">
        <v>22</v>
      </c>
      <c r="L2432" t="s" s="2">
        <v>22</v>
      </c>
      <c r="M2432" t="s" s="2">
        <v>22</v>
      </c>
    </row>
    <row r="2433" ht="25.0" customHeight="true">
      <c r="A2433" t="s" s="2">
        <v>13</v>
      </c>
      <c r="B2433" t="s" s="2">
        <f>HYPERLINK("http://ts.21cn.com/tousu/show/id/1371534","在一网站购买淘宝子账号该平台不让退款")</f>
      </c>
      <c r="C2433" t="s" s="2">
        <v>15</v>
      </c>
      <c r="D2433" t="s" s="2">
        <v>16</v>
      </c>
      <c r="E2433" t="s" s="2">
        <v>17</v>
      </c>
      <c r="F2433" t="s" s="2">
        <f>HYPERLINK("http://ts.21cn.com/tousu/show/id/1371534","http://ts.21cn.com/tousu/show/id/1371534")</f>
      </c>
      <c r="G2433" t="s" s="2">
        <v>17</v>
      </c>
      <c r="H2433" t="s" s="2">
        <v>19</v>
      </c>
      <c r="I2433" t="s" s="2">
        <v>9535</v>
      </c>
      <c r="J2433" t="s" s="2">
        <v>9536</v>
      </c>
      <c r="K2433" t="s" s="2">
        <v>22</v>
      </c>
      <c r="L2433" t="s" s="2">
        <v>22</v>
      </c>
      <c r="M2433" t="s" s="2">
        <v>22</v>
      </c>
    </row>
    <row r="2434" ht="25.0" customHeight="true">
      <c r="A2434" t="s" s="2">
        <v>13</v>
      </c>
      <c r="B2434" t="s" s="2">
        <f>HYPERLINK("http://ts.21cn.com/tousu/show/id/1371533","不要骚扰通讯录及家人")</f>
      </c>
      <c r="C2434" t="s" s="2">
        <v>15</v>
      </c>
      <c r="D2434" t="s" s="2">
        <v>16</v>
      </c>
      <c r="E2434" t="s" s="2">
        <v>17</v>
      </c>
      <c r="F2434" t="s" s="2">
        <f>HYPERLINK("http://ts.21cn.com/tousu/show/id/1371533","http://ts.21cn.com/tousu/show/id/1371533")</f>
      </c>
      <c r="G2434" t="s" s="2">
        <v>17</v>
      </c>
      <c r="H2434" t="s" s="2">
        <v>19</v>
      </c>
      <c r="I2434" t="s" s="2">
        <v>9539</v>
      </c>
      <c r="J2434" t="s" s="2">
        <v>9540</v>
      </c>
      <c r="K2434" t="s" s="2">
        <v>22</v>
      </c>
      <c r="L2434" t="s" s="2">
        <v>22</v>
      </c>
      <c r="M2434" t="s" s="2">
        <v>22</v>
      </c>
    </row>
    <row r="2435" ht="25.0" customHeight="true">
      <c r="A2435" t="s" s="2">
        <v>13</v>
      </c>
      <c r="B2435" t="s" s="2">
        <f>HYPERLINK("http://ts.21cn.com/tousu/show/id/1371532","支付宝投诉无门")</f>
      </c>
      <c r="C2435" t="s" s="2">
        <v>15</v>
      </c>
      <c r="D2435" t="s" s="2">
        <v>16</v>
      </c>
      <c r="E2435" t="s" s="2">
        <v>17</v>
      </c>
      <c r="F2435" t="s" s="2">
        <f>HYPERLINK("http://ts.21cn.com/tousu/show/id/1371532","http://ts.21cn.com/tousu/show/id/1371532")</f>
      </c>
      <c r="G2435" t="s" s="2">
        <v>17</v>
      </c>
      <c r="H2435" t="s" s="2">
        <v>19</v>
      </c>
      <c r="I2435" t="s" s="2">
        <v>9543</v>
      </c>
      <c r="J2435" t="s" s="2">
        <v>9544</v>
      </c>
      <c r="K2435" t="s" s="2">
        <v>22</v>
      </c>
      <c r="L2435" t="s" s="2">
        <v>22</v>
      </c>
      <c r="M2435" t="s" s="2">
        <v>22</v>
      </c>
    </row>
    <row r="2436" ht="25.0" customHeight="true">
      <c r="A2436" t="s" s="2">
        <v>13</v>
      </c>
      <c r="B2436" t="s" s="2">
        <f>HYPERLINK("http://ts.21cn.com/tousu/show/id/1371502","好易贷高利贷暴力催收")</f>
      </c>
      <c r="C2436" t="s" s="2">
        <v>15</v>
      </c>
      <c r="D2436" t="s" s="2">
        <v>16</v>
      </c>
      <c r="E2436" t="s" s="2">
        <v>17</v>
      </c>
      <c r="F2436" t="s" s="2">
        <f>HYPERLINK("http://ts.21cn.com/tousu/show/id/1371502","http://ts.21cn.com/tousu/show/id/1371502")</f>
      </c>
      <c r="G2436" t="s" s="2">
        <v>17</v>
      </c>
      <c r="H2436" t="s" s="2">
        <v>19</v>
      </c>
      <c r="I2436" t="s" s="2">
        <v>9547</v>
      </c>
      <c r="J2436" t="s" s="2">
        <v>9548</v>
      </c>
      <c r="K2436" t="s" s="2">
        <v>22</v>
      </c>
      <c r="L2436" t="s" s="2">
        <v>22</v>
      </c>
      <c r="M2436" t="s" s="2">
        <v>22</v>
      </c>
    </row>
    <row r="2437" ht="25.0" customHeight="true">
      <c r="A2437" t="s" s="2">
        <v>13</v>
      </c>
      <c r="B2437" t="s" s="2">
        <f>HYPERLINK("http://ts.21cn.com/tousu/show/id/1371531","招联金融")</f>
      </c>
      <c r="C2437" t="s" s="2">
        <v>52</v>
      </c>
      <c r="D2437" t="s" s="2">
        <v>16</v>
      </c>
      <c r="E2437" t="s" s="2">
        <v>17</v>
      </c>
      <c r="F2437" t="s" s="2">
        <f>HYPERLINK("http://ts.21cn.com/tousu/show/id/1371531","http://ts.21cn.com/tousu/show/id/1371531")</f>
      </c>
      <c r="G2437" t="s" s="2">
        <v>17</v>
      </c>
      <c r="H2437" t="s" s="2">
        <v>19</v>
      </c>
      <c r="I2437" t="s" s="2">
        <v>9551</v>
      </c>
      <c r="J2437" t="s" s="2">
        <v>9552</v>
      </c>
      <c r="K2437" t="s" s="2">
        <v>22</v>
      </c>
      <c r="L2437" t="s" s="2">
        <v>22</v>
      </c>
      <c r="M2437" t="s" s="2">
        <v>22</v>
      </c>
    </row>
    <row r="2438" ht="25.0" customHeight="true">
      <c r="A2438" t="s" s="2">
        <v>13</v>
      </c>
      <c r="B2438" t="s" s="2">
        <f>HYPERLINK("http://ts.21cn.com/tousu/show/id/1371528","捷信金融借款没到账就要求收工本费，还款账单也出来了")</f>
      </c>
      <c r="C2438" t="s" s="2">
        <v>15</v>
      </c>
      <c r="D2438" t="s" s="2">
        <v>16</v>
      </c>
      <c r="E2438" t="s" s="2">
        <v>17</v>
      </c>
      <c r="F2438" t="s" s="2">
        <f>HYPERLINK("http://ts.21cn.com/tousu/show/id/1371528","http://ts.21cn.com/tousu/show/id/1371528")</f>
      </c>
      <c r="G2438" t="s" s="2">
        <v>17</v>
      </c>
      <c r="H2438" t="s" s="2">
        <v>19</v>
      </c>
      <c r="I2438" t="s" s="2">
        <v>9555</v>
      </c>
      <c r="J2438" t="s" s="2">
        <v>9556</v>
      </c>
      <c r="K2438" t="s" s="2">
        <v>22</v>
      </c>
      <c r="L2438" t="s" s="2">
        <v>22</v>
      </c>
      <c r="M2438" t="s" s="2">
        <v>22</v>
      </c>
    </row>
    <row r="2439" ht="25.0" customHeight="true">
      <c r="A2439" t="s" s="2">
        <v>13</v>
      </c>
      <c r="B2439" t="s" s="2">
        <f>HYPERLINK("http://ts.21cn.com/tousu/show/id/1371529","网贷催收骂人")</f>
      </c>
      <c r="C2439" t="s" s="2">
        <v>15</v>
      </c>
      <c r="D2439" t="s" s="2">
        <v>16</v>
      </c>
      <c r="E2439" t="s" s="2">
        <v>17</v>
      </c>
      <c r="F2439" t="s" s="2">
        <f>HYPERLINK("http://ts.21cn.com/tousu/show/id/1371529","http://ts.21cn.com/tousu/show/id/1371529")</f>
      </c>
      <c r="G2439" t="s" s="2">
        <v>17</v>
      </c>
      <c r="H2439" t="s" s="2">
        <v>19</v>
      </c>
      <c r="I2439" t="s" s="2">
        <v>9559</v>
      </c>
      <c r="J2439" t="s" s="2">
        <v>9560</v>
      </c>
      <c r="K2439" t="s" s="2">
        <v>22</v>
      </c>
      <c r="L2439" t="s" s="2">
        <v>22</v>
      </c>
      <c r="M2439" t="s" s="2">
        <v>22</v>
      </c>
    </row>
    <row r="2440" ht="25.0" customHeight="true">
      <c r="A2440" t="s" s="2">
        <v>13</v>
      </c>
      <c r="B2440" t="s" s="2">
        <f>HYPERLINK("http://ts.21cn.com/tousu/show/id/1371527","马上金融催收威胁暴力骚扰我通讯录联系人，请平台帮忙协商处理！")</f>
      </c>
      <c r="C2440" t="s" s="2">
        <v>15</v>
      </c>
      <c r="D2440" t="s" s="2">
        <v>16</v>
      </c>
      <c r="E2440" t="s" s="2">
        <v>17</v>
      </c>
      <c r="F2440" t="s" s="2">
        <f>HYPERLINK("http://ts.21cn.com/tousu/show/id/1371527","http://ts.21cn.com/tousu/show/id/1371527")</f>
      </c>
      <c r="G2440" t="s" s="2">
        <v>17</v>
      </c>
      <c r="H2440" t="s" s="2">
        <v>19</v>
      </c>
      <c r="I2440" t="s" s="2">
        <v>9563</v>
      </c>
      <c r="J2440" t="s" s="2">
        <v>9564</v>
      </c>
      <c r="K2440" t="s" s="2">
        <v>22</v>
      </c>
      <c r="L2440" t="s" s="2">
        <v>22</v>
      </c>
      <c r="M2440" t="s" s="2">
        <v>22</v>
      </c>
    </row>
    <row r="2441" ht="25.0" customHeight="true">
      <c r="A2441" t="s" s="2">
        <v>13</v>
      </c>
      <c r="B2441" t="s" s="2">
        <f>HYPERLINK("http://ts.21cn.com/tousu/show/id/1371526","暴力催收，阴阳合同，借2万要还四万，逾期没有及时还到群发我通讯录的人，对我造成了极大的伤害")</f>
      </c>
      <c r="C2441" t="s" s="2">
        <v>15</v>
      </c>
      <c r="D2441" t="s" s="2">
        <v>16</v>
      </c>
      <c r="E2441" t="s" s="2">
        <v>17</v>
      </c>
      <c r="F2441" t="s" s="2">
        <f>HYPERLINK("http://ts.21cn.com/tousu/show/id/1371526","http://ts.21cn.com/tousu/show/id/1371526")</f>
      </c>
      <c r="G2441" t="s" s="2">
        <v>17</v>
      </c>
      <c r="H2441" t="s" s="2">
        <v>19</v>
      </c>
      <c r="I2441" t="s" s="2">
        <v>9567</v>
      </c>
      <c r="J2441" t="s" s="2">
        <v>9568</v>
      </c>
      <c r="K2441" t="s" s="2">
        <v>22</v>
      </c>
      <c r="L2441" t="s" s="2">
        <v>22</v>
      </c>
      <c r="M2441" t="s" s="2">
        <v>22</v>
      </c>
    </row>
    <row r="2442" ht="25.0" customHeight="true">
      <c r="A2442" t="s" s="2">
        <v>13</v>
      </c>
      <c r="B2442" t="s" s="2">
        <f>HYPERLINK("http://ts.21cn.com/tousu/show/id/1371525","天猫苹果旗舰店拒收商品后20多天不退款")</f>
      </c>
      <c r="C2442" t="s" s="2">
        <v>15</v>
      </c>
      <c r="D2442" t="s" s="2">
        <v>16</v>
      </c>
      <c r="E2442" t="s" s="2">
        <v>17</v>
      </c>
      <c r="F2442" t="s" s="2">
        <f>HYPERLINK("http://ts.21cn.com/tousu/show/id/1371525","http://ts.21cn.com/tousu/show/id/1371525")</f>
      </c>
      <c r="G2442" t="s" s="2">
        <v>17</v>
      </c>
      <c r="H2442" t="s" s="2">
        <v>19</v>
      </c>
      <c r="I2442" t="s" s="2">
        <v>9571</v>
      </c>
      <c r="J2442" t="s" s="2">
        <v>9572</v>
      </c>
      <c r="K2442" t="s" s="2">
        <v>22</v>
      </c>
      <c r="L2442" t="s" s="2">
        <v>22</v>
      </c>
      <c r="M2442" t="s" s="2">
        <v>22</v>
      </c>
    </row>
    <row r="2443" ht="25.0" customHeight="true">
      <c r="A2443" t="s" s="2">
        <v>13</v>
      </c>
      <c r="B2443" t="s" s="2">
        <f>HYPERLINK("http://ts.21cn.com/tousu/show/id/1371524","拼多多官方客服忽略消费者举报问题")</f>
      </c>
      <c r="C2443" t="s" s="2">
        <v>15</v>
      </c>
      <c r="D2443" t="s" s="2">
        <v>16</v>
      </c>
      <c r="E2443" t="s" s="2">
        <v>17</v>
      </c>
      <c r="F2443" t="s" s="2">
        <f>HYPERLINK("http://ts.21cn.com/tousu/show/id/1371524","http://ts.21cn.com/tousu/show/id/1371524")</f>
      </c>
      <c r="G2443" t="s" s="2">
        <v>17</v>
      </c>
      <c r="H2443" t="s" s="2">
        <v>19</v>
      </c>
      <c r="I2443" t="s" s="2">
        <v>9575</v>
      </c>
      <c r="J2443" t="s" s="2">
        <v>9576</v>
      </c>
      <c r="K2443" t="s" s="2">
        <v>22</v>
      </c>
      <c r="L2443" t="s" s="2">
        <v>22</v>
      </c>
      <c r="M2443" t="s" s="2">
        <v>22</v>
      </c>
    </row>
    <row r="2444" ht="25.0" customHeight="true">
      <c r="A2444" t="s" s="2">
        <v>13</v>
      </c>
      <c r="B2444" t="s" s="2">
        <f>HYPERLINK("http://ts.21cn.com/tousu/show/id/1371507","要求全额负责维修费用")</f>
      </c>
      <c r="C2444" t="s" s="2">
        <v>52</v>
      </c>
      <c r="D2444" t="s" s="2">
        <v>16</v>
      </c>
      <c r="E2444" t="s" s="2">
        <v>17</v>
      </c>
      <c r="F2444" t="s" s="2">
        <f>HYPERLINK("http://ts.21cn.com/tousu/show/id/1371507","http://ts.21cn.com/tousu/show/id/1371507")</f>
      </c>
      <c r="G2444" t="s" s="2">
        <v>17</v>
      </c>
      <c r="H2444" t="s" s="2">
        <v>19</v>
      </c>
      <c r="I2444" t="s" s="2">
        <v>9579</v>
      </c>
      <c r="J2444" t="s" s="2">
        <v>9580</v>
      </c>
      <c r="K2444" t="s" s="2">
        <v>22</v>
      </c>
      <c r="L2444" t="s" s="2">
        <v>22</v>
      </c>
      <c r="M2444" t="s" s="2">
        <v>22</v>
      </c>
    </row>
    <row r="2445" ht="25.0" customHeight="true">
      <c r="A2445" t="s" s="2">
        <v>13</v>
      </c>
      <c r="B2445" t="s" s="2">
        <f>HYPERLINK("http://ts.21cn.com/tousu/show/id/1371522","名校贷不退换咨询费")</f>
      </c>
      <c r="C2445" t="s" s="2">
        <v>15</v>
      </c>
      <c r="D2445" t="s" s="2">
        <v>16</v>
      </c>
      <c r="E2445" t="s" s="2">
        <v>17</v>
      </c>
      <c r="F2445" t="s" s="2">
        <f>HYPERLINK("http://ts.21cn.com/tousu/show/id/1371522","http://ts.21cn.com/tousu/show/id/1371522")</f>
      </c>
      <c r="G2445" t="s" s="2">
        <v>17</v>
      </c>
      <c r="H2445" t="s" s="2">
        <v>19</v>
      </c>
      <c r="I2445" t="s" s="2">
        <v>9579</v>
      </c>
      <c r="J2445" t="s" s="2">
        <v>9583</v>
      </c>
      <c r="K2445" t="s" s="2">
        <v>22</v>
      </c>
      <c r="L2445" t="s" s="2">
        <v>22</v>
      </c>
      <c r="M2445" t="s" s="2">
        <v>22</v>
      </c>
    </row>
    <row r="2446" ht="25.0" customHeight="true">
      <c r="A2446" t="s" s="2">
        <v>13</v>
      </c>
      <c r="B2446" t="s" s="2">
        <f>HYPERLINK("http://ts.21cn.com/tousu/show/id/1371520","砍头息，套路贷")</f>
      </c>
      <c r="C2446" t="s" s="2">
        <v>15</v>
      </c>
      <c r="D2446" t="s" s="2">
        <v>16</v>
      </c>
      <c r="E2446" t="s" s="2">
        <v>17</v>
      </c>
      <c r="F2446" t="s" s="2">
        <f>HYPERLINK("http://ts.21cn.com/tousu/show/id/1371520","http://ts.21cn.com/tousu/show/id/1371520")</f>
      </c>
      <c r="G2446" t="s" s="2">
        <v>17</v>
      </c>
      <c r="H2446" t="s" s="2">
        <v>19</v>
      </c>
      <c r="I2446" t="s" s="2">
        <v>9586</v>
      </c>
      <c r="J2446" t="s" s="2">
        <v>9587</v>
      </c>
      <c r="K2446" t="s" s="2">
        <v>22</v>
      </c>
      <c r="L2446" t="s" s="2">
        <v>22</v>
      </c>
      <c r="M2446" t="s" s="2">
        <v>22</v>
      </c>
    </row>
    <row r="2447" ht="25.0" customHeight="true">
      <c r="A2447" t="s" s="2">
        <v>13</v>
      </c>
      <c r="B2447" t="s" s="2">
        <f>HYPERLINK("http://ts.21cn.com/tousu/show/id/1371055","花财不能还款客服态度恶劣")</f>
      </c>
      <c r="C2447" t="s" s="2">
        <v>15</v>
      </c>
      <c r="D2447" t="s" s="2">
        <v>16</v>
      </c>
      <c r="E2447" t="s" s="2">
        <v>17</v>
      </c>
      <c r="F2447" t="s" s="2">
        <f>HYPERLINK("http://ts.21cn.com/tousu/show/id/1371055","http://ts.21cn.com/tousu/show/id/1371055")</f>
      </c>
      <c r="G2447" t="s" s="2">
        <v>17</v>
      </c>
      <c r="H2447" t="s" s="2">
        <v>19</v>
      </c>
      <c r="I2447" t="s" s="2">
        <v>9590</v>
      </c>
      <c r="J2447" t="s" s="2">
        <v>9591</v>
      </c>
      <c r="K2447" t="s" s="2">
        <v>22</v>
      </c>
      <c r="L2447" t="s" s="2">
        <v>22</v>
      </c>
      <c r="M2447" t="s" s="2">
        <v>22</v>
      </c>
    </row>
    <row r="2448" ht="25.0" customHeight="true">
      <c r="A2448" t="s" s="2">
        <v>13</v>
      </c>
      <c r="B2448" t="s" s="2">
        <f>HYPERLINK("http://ts.21cn.com/tousu/show/id/1371521","网贷过度催收，侵犯个人隐私")</f>
      </c>
      <c r="C2448" t="s" s="2">
        <v>15</v>
      </c>
      <c r="D2448" t="s" s="2">
        <v>16</v>
      </c>
      <c r="E2448" t="s" s="2">
        <v>17</v>
      </c>
      <c r="F2448" t="s" s="2">
        <f>HYPERLINK("http://ts.21cn.com/tousu/show/id/1371521","http://ts.21cn.com/tousu/show/id/1371521")</f>
      </c>
      <c r="G2448" t="s" s="2">
        <v>17</v>
      </c>
      <c r="H2448" t="s" s="2">
        <v>19</v>
      </c>
      <c r="I2448" t="s" s="2">
        <v>9594</v>
      </c>
      <c r="J2448" t="s" s="2">
        <v>9595</v>
      </c>
      <c r="K2448" t="s" s="2">
        <v>22</v>
      </c>
      <c r="L2448" t="s" s="2">
        <v>22</v>
      </c>
      <c r="M2448" t="s" s="2">
        <v>22</v>
      </c>
    </row>
    <row r="2449" ht="25.0" customHeight="true">
      <c r="A2449" t="s" s="2">
        <v>13</v>
      </c>
      <c r="B2449" t="s" s="2">
        <f>HYPERLINK("http://ts.21cn.com/tousu/show/id/1371519","闪银收取高额借款手续费，催收人员恶意联系通讯录")</f>
      </c>
      <c r="C2449" t="s" s="2">
        <v>15</v>
      </c>
      <c r="D2449" t="s" s="2">
        <v>16</v>
      </c>
      <c r="E2449" t="s" s="2">
        <v>17</v>
      </c>
      <c r="F2449" t="s" s="2">
        <f>HYPERLINK("http://ts.21cn.com/tousu/show/id/1371519","http://ts.21cn.com/tousu/show/id/1371519")</f>
      </c>
      <c r="G2449" t="s" s="2">
        <v>17</v>
      </c>
      <c r="H2449" t="s" s="2">
        <v>19</v>
      </c>
      <c r="I2449" t="s" s="2">
        <v>9598</v>
      </c>
      <c r="J2449" t="s" s="2">
        <v>9599</v>
      </c>
      <c r="K2449" t="s" s="2">
        <v>22</v>
      </c>
      <c r="L2449" t="s" s="2">
        <v>22</v>
      </c>
      <c r="M2449" t="s" s="2">
        <v>22</v>
      </c>
    </row>
    <row r="2450" ht="25.0" customHeight="true">
      <c r="A2450" t="s" s="2">
        <v>13</v>
      </c>
      <c r="B2450" t="s" s="2">
        <f>HYPERLINK("http://ts.21cn.com/tousu/show/id/1371518","建行信用卡违约金")</f>
      </c>
      <c r="C2450" t="s" s="2">
        <v>15</v>
      </c>
      <c r="D2450" t="s" s="2">
        <v>16</v>
      </c>
      <c r="E2450" t="s" s="2">
        <v>17</v>
      </c>
      <c r="F2450" t="s" s="2">
        <f>HYPERLINK("http://ts.21cn.com/tousu/show/id/1371518","http://ts.21cn.com/tousu/show/id/1371518")</f>
      </c>
      <c r="G2450" t="s" s="2">
        <v>17</v>
      </c>
      <c r="H2450" t="s" s="2">
        <v>19</v>
      </c>
      <c r="I2450" t="s" s="2">
        <v>9602</v>
      </c>
      <c r="J2450" t="s" s="2">
        <v>9603</v>
      </c>
      <c r="K2450" t="s" s="2">
        <v>22</v>
      </c>
      <c r="L2450" t="s" s="2">
        <v>22</v>
      </c>
      <c r="M2450" t="s" s="2">
        <v>22</v>
      </c>
    </row>
    <row r="2451" ht="25.0" customHeight="true">
      <c r="A2451" t="s" s="2">
        <v>13</v>
      </c>
      <c r="B2451" t="s" s="2">
        <f>HYPERLINK("http://ts.21cn.com/tousu/show/id/1371517","手机号二次放号绑定账户不属于自己")</f>
      </c>
      <c r="C2451" t="s" s="2">
        <v>52</v>
      </c>
      <c r="D2451" t="s" s="2">
        <v>16</v>
      </c>
      <c r="E2451" t="s" s="2">
        <v>17</v>
      </c>
      <c r="F2451" t="s" s="2">
        <f>HYPERLINK("http://ts.21cn.com/tousu/show/id/1371517","http://ts.21cn.com/tousu/show/id/1371517")</f>
      </c>
      <c r="G2451" t="s" s="2">
        <v>17</v>
      </c>
      <c r="H2451" t="s" s="2">
        <v>19</v>
      </c>
      <c r="I2451" t="s" s="2">
        <v>9606</v>
      </c>
      <c r="J2451" t="s" s="2">
        <v>9607</v>
      </c>
      <c r="K2451" t="s" s="2">
        <v>22</v>
      </c>
      <c r="L2451" t="s" s="2">
        <v>22</v>
      </c>
      <c r="M2451" t="s" s="2">
        <v>22</v>
      </c>
    </row>
    <row r="2452" ht="25.0" customHeight="true">
      <c r="A2452" t="s" s="2">
        <v>13</v>
      </c>
      <c r="B2452" t="s" s="2">
        <f>HYPERLINK("http://ts.21cn.com/tousu/show/id/1371515","购买天猫蟹码头食品旗舰店大闸蟹券但是无法提货")</f>
      </c>
      <c r="C2452" t="s" s="2">
        <v>52</v>
      </c>
      <c r="D2452" t="s" s="2">
        <v>16</v>
      </c>
      <c r="E2452" t="s" s="2">
        <v>17</v>
      </c>
      <c r="F2452" t="s" s="2">
        <f>HYPERLINK("http://ts.21cn.com/tousu/show/id/1371515","http://ts.21cn.com/tousu/show/id/1371515")</f>
      </c>
      <c r="G2452" t="s" s="2">
        <v>17</v>
      </c>
      <c r="H2452" t="s" s="2">
        <v>19</v>
      </c>
      <c r="I2452" t="s" s="2">
        <v>9610</v>
      </c>
      <c r="J2452" t="s" s="2">
        <v>9611</v>
      </c>
      <c r="K2452" t="s" s="2">
        <v>22</v>
      </c>
      <c r="L2452" t="s" s="2">
        <v>22</v>
      </c>
      <c r="M2452" t="s" s="2">
        <v>22</v>
      </c>
    </row>
    <row r="2453" ht="25.0" customHeight="true">
      <c r="A2453" t="s" s="2">
        <v>13</v>
      </c>
      <c r="B2453" t="s" s="2">
        <f>HYPERLINK("http://ts.21cn.com/tousu/show/id/1371514","钱站高利贷")</f>
      </c>
      <c r="C2453" t="s" s="2">
        <v>15</v>
      </c>
      <c r="D2453" t="s" s="2">
        <v>16</v>
      </c>
      <c r="E2453" t="s" s="2">
        <v>17</v>
      </c>
      <c r="F2453" t="s" s="2">
        <f>HYPERLINK("http://ts.21cn.com/tousu/show/id/1371514","http://ts.21cn.com/tousu/show/id/1371514")</f>
      </c>
      <c r="G2453" t="s" s="2">
        <v>17</v>
      </c>
      <c r="H2453" t="s" s="2">
        <v>19</v>
      </c>
      <c r="I2453" t="s" s="2">
        <v>9610</v>
      </c>
      <c r="J2453" t="s" s="2">
        <v>9613</v>
      </c>
      <c r="K2453" t="s" s="2">
        <v>22</v>
      </c>
      <c r="L2453" t="s" s="2">
        <v>22</v>
      </c>
      <c r="M2453" t="s" s="2">
        <v>22</v>
      </c>
    </row>
    <row r="2454" ht="25.0" customHeight="true">
      <c r="A2454" t="s" s="2">
        <v>13</v>
      </c>
      <c r="B2454" t="s" s="2">
        <f>HYPERLINK("http://ts.21cn.com/tousu/show/id/1371511","钱站没到期提前催收")</f>
      </c>
      <c r="C2454" t="s" s="2">
        <v>15</v>
      </c>
      <c r="D2454" t="s" s="2">
        <v>16</v>
      </c>
      <c r="E2454" t="s" s="2">
        <v>17</v>
      </c>
      <c r="F2454" t="s" s="2">
        <f>HYPERLINK("http://ts.21cn.com/tousu/show/id/1371511","http://ts.21cn.com/tousu/show/id/1371511")</f>
      </c>
      <c r="G2454" t="s" s="2">
        <v>17</v>
      </c>
      <c r="H2454" t="s" s="2">
        <v>19</v>
      </c>
      <c r="I2454" t="s" s="2">
        <v>9616</v>
      </c>
      <c r="J2454" t="s" s="2">
        <v>9617</v>
      </c>
      <c r="K2454" t="s" s="2">
        <v>22</v>
      </c>
      <c r="L2454" t="s" s="2">
        <v>22</v>
      </c>
      <c r="M2454" t="s" s="2">
        <v>22</v>
      </c>
    </row>
    <row r="2455" ht="25.0" customHeight="true">
      <c r="A2455" t="s" s="2">
        <v>13</v>
      </c>
      <c r="B2455" t="s" s="2">
        <f>HYPERLINK("http://ts.21cn.com/tousu/show/id/1371512","强制收取服务费")</f>
      </c>
      <c r="C2455" t="s" s="2">
        <v>15</v>
      </c>
      <c r="D2455" t="s" s="2">
        <v>16</v>
      </c>
      <c r="E2455" t="s" s="2">
        <v>17</v>
      </c>
      <c r="F2455" t="s" s="2">
        <f>HYPERLINK("http://ts.21cn.com/tousu/show/id/1371512","http://ts.21cn.com/tousu/show/id/1371512")</f>
      </c>
      <c r="G2455" t="s" s="2">
        <v>17</v>
      </c>
      <c r="H2455" t="s" s="2">
        <v>19</v>
      </c>
      <c r="I2455" t="s" s="2">
        <v>9616</v>
      </c>
      <c r="J2455" t="s" s="2">
        <v>9620</v>
      </c>
      <c r="K2455" t="s" s="2">
        <v>22</v>
      </c>
      <c r="L2455" t="s" s="2">
        <v>22</v>
      </c>
      <c r="M2455" t="s" s="2">
        <v>22</v>
      </c>
    </row>
    <row r="2456" ht="25.0" customHeight="true">
      <c r="A2456" t="s" s="2">
        <v>13</v>
      </c>
      <c r="B2456" t="s" s="2">
        <f>HYPERLINK("http://ts.21cn.com/tousu/show/id/1371513","光大银行信用卡第三方暴力催收")</f>
      </c>
      <c r="C2456" t="s" s="2">
        <v>15</v>
      </c>
      <c r="D2456" t="s" s="2">
        <v>16</v>
      </c>
      <c r="E2456" t="s" s="2">
        <v>17</v>
      </c>
      <c r="F2456" t="s" s="2">
        <f>HYPERLINK("http://ts.21cn.com/tousu/show/id/1371513","http://ts.21cn.com/tousu/show/id/1371513")</f>
      </c>
      <c r="G2456" t="s" s="2">
        <v>17</v>
      </c>
      <c r="H2456" t="s" s="2">
        <v>19</v>
      </c>
      <c r="I2456" t="s" s="2">
        <v>9623</v>
      </c>
      <c r="J2456" t="s" s="2">
        <v>9624</v>
      </c>
      <c r="K2456" t="s" s="2">
        <v>22</v>
      </c>
      <c r="L2456" t="s" s="2">
        <v>22</v>
      </c>
      <c r="M2456" t="s" s="2">
        <v>22</v>
      </c>
    </row>
    <row r="2457" ht="25.0" customHeight="true">
      <c r="A2457" t="s" s="2">
        <v>13</v>
      </c>
      <c r="B2457" t="s" s="2">
        <f>HYPERLINK("http://ts.21cn.com/tousu/show/id/1371510","齐鲁交通ETC客服工作效率低，服务质量差")</f>
      </c>
      <c r="C2457" t="s" s="2">
        <v>15</v>
      </c>
      <c r="D2457" t="s" s="2">
        <v>16</v>
      </c>
      <c r="E2457" t="s" s="2">
        <v>17</v>
      </c>
      <c r="F2457" t="s" s="2">
        <f>HYPERLINK("http://ts.21cn.com/tousu/show/id/1371510","http://ts.21cn.com/tousu/show/id/1371510")</f>
      </c>
      <c r="G2457" t="s" s="2">
        <v>17</v>
      </c>
      <c r="H2457" t="s" s="2">
        <v>19</v>
      </c>
      <c r="I2457" t="s" s="2">
        <v>9627</v>
      </c>
      <c r="J2457" t="s" s="2">
        <v>9628</v>
      </c>
      <c r="K2457" t="s" s="2">
        <v>22</v>
      </c>
      <c r="L2457" t="s" s="2">
        <v>22</v>
      </c>
      <c r="M2457" t="s" s="2">
        <v>22</v>
      </c>
    </row>
    <row r="2458" ht="25.0" customHeight="true">
      <c r="A2458" t="s" s="2">
        <v>13</v>
      </c>
      <c r="B2458" t="s" s="2">
        <f>HYPERLINK("http://ts.21cn.com/tousu/show/id/1371509","洋钱罐借款利息太高，协商还款，一次结清")</f>
      </c>
      <c r="C2458" t="s" s="2">
        <v>15</v>
      </c>
      <c r="D2458" t="s" s="2">
        <v>16</v>
      </c>
      <c r="E2458" t="s" s="2">
        <v>17</v>
      </c>
      <c r="F2458" t="s" s="2">
        <f>HYPERLINK("http://ts.21cn.com/tousu/show/id/1371509","http://ts.21cn.com/tousu/show/id/1371509")</f>
      </c>
      <c r="G2458" t="s" s="2">
        <v>17</v>
      </c>
      <c r="H2458" t="s" s="2">
        <v>19</v>
      </c>
      <c r="I2458" t="s" s="2">
        <v>9631</v>
      </c>
      <c r="J2458" t="s" s="2">
        <v>9632</v>
      </c>
      <c r="K2458" t="s" s="2">
        <v>22</v>
      </c>
      <c r="L2458" t="s" s="2">
        <v>22</v>
      </c>
      <c r="M2458" t="s" s="2">
        <v>22</v>
      </c>
    </row>
    <row r="2459" ht="25.0" customHeight="true">
      <c r="A2459" t="s" s="2">
        <v>13</v>
      </c>
      <c r="B2459" t="s" s="2">
        <f>HYPERLINK("http://ts.21cn.com/tousu/show/id/1371495","爆通讯录，骚扰亲戚朋友")</f>
      </c>
      <c r="C2459" t="s" s="2">
        <v>15</v>
      </c>
      <c r="D2459" t="s" s="2">
        <v>16</v>
      </c>
      <c r="E2459" t="s" s="2">
        <v>17</v>
      </c>
      <c r="F2459" t="s" s="2">
        <f>HYPERLINK("http://ts.21cn.com/tousu/show/id/1371495","http://ts.21cn.com/tousu/show/id/1371495")</f>
      </c>
      <c r="G2459" t="s" s="2">
        <v>17</v>
      </c>
      <c r="H2459" t="s" s="2">
        <v>19</v>
      </c>
      <c r="I2459" t="s" s="2">
        <v>9635</v>
      </c>
      <c r="J2459" t="s" s="2">
        <v>9636</v>
      </c>
      <c r="K2459" t="s" s="2">
        <v>22</v>
      </c>
      <c r="L2459" t="s" s="2">
        <v>22</v>
      </c>
      <c r="M2459" t="s" s="2">
        <v>22</v>
      </c>
    </row>
    <row r="2460" ht="25.0" customHeight="true">
      <c r="A2460" t="s" s="2">
        <v>13</v>
      </c>
      <c r="B2460" t="s" s="2">
        <f>HYPERLINK("http://ts.21cn.com/tousu/show/id/1371508","合肥拍拍贷恶意催收")</f>
      </c>
      <c r="C2460" t="s" s="2">
        <v>15</v>
      </c>
      <c r="D2460" t="s" s="2">
        <v>16</v>
      </c>
      <c r="E2460" t="s" s="2">
        <v>17</v>
      </c>
      <c r="F2460" t="s" s="2">
        <f>HYPERLINK("http://ts.21cn.com/tousu/show/id/1371508","http://ts.21cn.com/tousu/show/id/1371508")</f>
      </c>
      <c r="G2460" t="s" s="2">
        <v>17</v>
      </c>
      <c r="H2460" t="s" s="2">
        <v>19</v>
      </c>
      <c r="I2460" t="s" s="2">
        <v>9639</v>
      </c>
      <c r="J2460" t="s" s="2">
        <v>9640</v>
      </c>
      <c r="K2460" t="s" s="2">
        <v>22</v>
      </c>
      <c r="L2460" t="s" s="2">
        <v>22</v>
      </c>
      <c r="M2460" t="s" s="2">
        <v>22</v>
      </c>
    </row>
    <row r="2461" ht="25.0" customHeight="true">
      <c r="A2461" t="s" s="2">
        <v>13</v>
      </c>
      <c r="B2461" t="s" s="2">
        <f>HYPERLINK("http://ts.21cn.com/tousu/show/id/1371506","在不知情的情况下银行卡被扣费")</f>
      </c>
      <c r="C2461" t="s" s="2">
        <v>15</v>
      </c>
      <c r="D2461" t="s" s="2">
        <v>16</v>
      </c>
      <c r="E2461" t="s" s="2">
        <v>17</v>
      </c>
      <c r="F2461" t="s" s="2">
        <f>HYPERLINK("http://ts.21cn.com/tousu/show/id/1371506","http://ts.21cn.com/tousu/show/id/1371506")</f>
      </c>
      <c r="G2461" t="s" s="2">
        <v>17</v>
      </c>
      <c r="H2461" t="s" s="2">
        <v>19</v>
      </c>
      <c r="I2461" t="s" s="2">
        <v>9643</v>
      </c>
      <c r="J2461" t="s" s="2">
        <v>9644</v>
      </c>
      <c r="K2461" t="s" s="2">
        <v>22</v>
      </c>
      <c r="L2461" t="s" s="2">
        <v>22</v>
      </c>
      <c r="M2461" t="s" s="2">
        <v>22</v>
      </c>
    </row>
    <row r="2462" ht="25.0" customHeight="true">
      <c r="A2462" t="s" s="2">
        <v>13</v>
      </c>
      <c r="B2462" t="s" s="2">
        <f>HYPERLINK("http://ts.21cn.com/tousu/show/id/1371505","逾期后骚扰我家人。后续资金还不上，没有收入来源无法偿还剩余钱款")</f>
      </c>
      <c r="C2462" t="s" s="2">
        <v>15</v>
      </c>
      <c r="D2462" t="s" s="2">
        <v>16</v>
      </c>
      <c r="E2462" t="s" s="2">
        <v>17</v>
      </c>
      <c r="F2462" t="s" s="2">
        <f>HYPERLINK("http://ts.21cn.com/tousu/show/id/1371505","http://ts.21cn.com/tousu/show/id/1371505")</f>
      </c>
      <c r="G2462" t="s" s="2">
        <v>17</v>
      </c>
      <c r="H2462" t="s" s="2">
        <v>19</v>
      </c>
      <c r="I2462" t="s" s="2">
        <v>9647</v>
      </c>
      <c r="J2462" t="s" s="2">
        <v>9648</v>
      </c>
      <c r="K2462" t="s" s="2">
        <v>22</v>
      </c>
      <c r="L2462" t="s" s="2">
        <v>22</v>
      </c>
      <c r="M2462" t="s" s="2">
        <v>22</v>
      </c>
    </row>
    <row r="2463" ht="25.0" customHeight="true">
      <c r="A2463" t="s" s="2">
        <v>13</v>
      </c>
      <c r="B2463" t="s" s="2">
        <f>HYPERLINK("http://ts.21cn.com/tousu/show/id/1371504","交通银行客服说话的真实性")</f>
      </c>
      <c r="C2463" t="s" s="2">
        <v>15</v>
      </c>
      <c r="D2463" t="s" s="2">
        <v>16</v>
      </c>
      <c r="E2463" t="s" s="2">
        <v>17</v>
      </c>
      <c r="F2463" t="s" s="2">
        <f>HYPERLINK("http://ts.21cn.com/tousu/show/id/1371504","http://ts.21cn.com/tousu/show/id/1371504")</f>
      </c>
      <c r="G2463" t="s" s="2">
        <v>17</v>
      </c>
      <c r="H2463" t="s" s="2">
        <v>19</v>
      </c>
      <c r="I2463" t="s" s="2">
        <v>9651</v>
      </c>
      <c r="J2463" t="s" s="2">
        <v>9652</v>
      </c>
      <c r="K2463" t="s" s="2">
        <v>22</v>
      </c>
      <c r="L2463" t="s" s="2">
        <v>22</v>
      </c>
      <c r="M2463" t="s" s="2">
        <v>22</v>
      </c>
    </row>
    <row r="2464" ht="25.0" customHeight="true">
      <c r="A2464" t="s" s="2">
        <v>13</v>
      </c>
      <c r="B2464" t="s" s="2">
        <f>HYPERLINK("http://ts.21cn.com/tousu/show/id/1371503","钱站催收恶意骚扰通讯录里的人")</f>
      </c>
      <c r="C2464" t="s" s="2">
        <v>15</v>
      </c>
      <c r="D2464" t="s" s="2">
        <v>16</v>
      </c>
      <c r="E2464" t="s" s="2">
        <v>17</v>
      </c>
      <c r="F2464" t="s" s="2">
        <f>HYPERLINK("http://ts.21cn.com/tousu/show/id/1371503","http://ts.21cn.com/tousu/show/id/1371503")</f>
      </c>
      <c r="G2464" t="s" s="2">
        <v>17</v>
      </c>
      <c r="H2464" t="s" s="2">
        <v>19</v>
      </c>
      <c r="I2464" t="s" s="2">
        <v>9655</v>
      </c>
      <c r="J2464" t="s" s="2">
        <v>9656</v>
      </c>
      <c r="K2464" t="s" s="2">
        <v>22</v>
      </c>
      <c r="L2464" t="s" s="2">
        <v>22</v>
      </c>
      <c r="M2464" t="s" s="2">
        <v>22</v>
      </c>
    </row>
    <row r="2465" ht="25.0" customHeight="true">
      <c r="A2465" t="s" s="2">
        <v>13</v>
      </c>
      <c r="B2465" t="s" s="2">
        <f>HYPERLINK("http://ts.21cn.com/tousu/show/id/1371501","水莲金条违规收取砍头息，高息还款")</f>
      </c>
      <c r="C2465" t="s" s="2">
        <v>15</v>
      </c>
      <c r="D2465" t="s" s="2">
        <v>16</v>
      </c>
      <c r="E2465" t="s" s="2">
        <v>17</v>
      </c>
      <c r="F2465" t="s" s="2">
        <f>HYPERLINK("http://ts.21cn.com/tousu/show/id/1371501","http://ts.21cn.com/tousu/show/id/1371501")</f>
      </c>
      <c r="G2465" t="s" s="2">
        <v>17</v>
      </c>
      <c r="H2465" t="s" s="2">
        <v>19</v>
      </c>
      <c r="I2465" t="s" s="2">
        <v>9659</v>
      </c>
      <c r="J2465" t="s" s="2">
        <v>9660</v>
      </c>
      <c r="K2465" t="s" s="2">
        <v>22</v>
      </c>
      <c r="L2465" t="s" s="2">
        <v>22</v>
      </c>
      <c r="M2465" t="s" s="2">
        <v>22</v>
      </c>
    </row>
    <row r="2466" ht="25.0" customHeight="true">
      <c r="A2466" t="s" s="2">
        <v>13</v>
      </c>
      <c r="B2466" t="s" s="2">
        <f>HYPERLINK("http://ts.21cn.com/tousu/show/id/1371500","投诉京东金融针对我的账户被盗刷不作为")</f>
      </c>
      <c r="C2466" t="s" s="2">
        <v>15</v>
      </c>
      <c r="D2466" t="s" s="2">
        <v>16</v>
      </c>
      <c r="E2466" t="s" s="2">
        <v>17</v>
      </c>
      <c r="F2466" t="s" s="2">
        <f>HYPERLINK("http://ts.21cn.com/tousu/show/id/1371500","http://ts.21cn.com/tousu/show/id/1371500")</f>
      </c>
      <c r="G2466" t="s" s="2">
        <v>17</v>
      </c>
      <c r="H2466" t="s" s="2">
        <v>19</v>
      </c>
      <c r="I2466" t="s" s="2">
        <v>9663</v>
      </c>
      <c r="J2466" t="s" s="2">
        <v>9664</v>
      </c>
      <c r="K2466" t="s" s="2">
        <v>22</v>
      </c>
      <c r="L2466" t="s" s="2">
        <v>22</v>
      </c>
      <c r="M2466" t="s" s="2">
        <v>22</v>
      </c>
    </row>
    <row r="2467" ht="25.0" customHeight="true">
      <c r="A2467" t="s" s="2">
        <v>13</v>
      </c>
      <c r="B2467" t="s" s="2">
        <f>HYPERLINK("http://ts.21cn.com/tousu/show/id/1371499","招商银行旗下得力催收公司协商不当")</f>
      </c>
      <c r="C2467" t="s" s="2">
        <v>52</v>
      </c>
      <c r="D2467" t="s" s="2">
        <v>16</v>
      </c>
      <c r="E2467" t="s" s="2">
        <v>17</v>
      </c>
      <c r="F2467" t="s" s="2">
        <f>HYPERLINK("http://ts.21cn.com/tousu/show/id/1371499","http://ts.21cn.com/tousu/show/id/1371499")</f>
      </c>
      <c r="G2467" t="s" s="2">
        <v>17</v>
      </c>
      <c r="H2467" t="s" s="2">
        <v>19</v>
      </c>
      <c r="I2467" t="s" s="2">
        <v>9667</v>
      </c>
      <c r="J2467" t="s" s="2">
        <v>9668</v>
      </c>
      <c r="K2467" t="s" s="2">
        <v>22</v>
      </c>
      <c r="L2467" t="s" s="2">
        <v>22</v>
      </c>
      <c r="M2467" t="s" s="2">
        <v>22</v>
      </c>
    </row>
    <row r="2468" ht="25.0" customHeight="true">
      <c r="A2468" t="s" s="2">
        <v>13</v>
      </c>
      <c r="B2468" t="s" s="2">
        <f>HYPERLINK("http://ts.21cn.com/tousu/show/id/1371497","现金借款电话催收利息高态度差")</f>
      </c>
      <c r="C2468" t="s" s="2">
        <v>15</v>
      </c>
      <c r="D2468" t="s" s="2">
        <v>16</v>
      </c>
      <c r="E2468" t="s" s="2">
        <v>17</v>
      </c>
      <c r="F2468" t="s" s="2">
        <f>HYPERLINK("http://ts.21cn.com/tousu/show/id/1371497","http://ts.21cn.com/tousu/show/id/1371497")</f>
      </c>
      <c r="G2468" t="s" s="2">
        <v>17</v>
      </c>
      <c r="H2468" t="s" s="2">
        <v>19</v>
      </c>
      <c r="I2468" t="s" s="2">
        <v>9671</v>
      </c>
      <c r="J2468" t="s" s="2">
        <v>9672</v>
      </c>
      <c r="K2468" t="s" s="2">
        <v>22</v>
      </c>
      <c r="L2468" t="s" s="2">
        <v>22</v>
      </c>
      <c r="M2468" t="s" s="2">
        <v>22</v>
      </c>
    </row>
    <row r="2469" ht="25.0" customHeight="true">
      <c r="A2469" t="s" s="2">
        <v>13</v>
      </c>
      <c r="B2469" t="s" s="2">
        <f>HYPERLINK("http://ts.21cn.com/tousu/show/id/1371496","无故扣费拒绝退款")</f>
      </c>
      <c r="C2469" t="s" s="2">
        <v>15</v>
      </c>
      <c r="D2469" t="s" s="2">
        <v>16</v>
      </c>
      <c r="E2469" t="s" s="2">
        <v>17</v>
      </c>
      <c r="F2469" t="s" s="2">
        <f>HYPERLINK("http://ts.21cn.com/tousu/show/id/1371496","http://ts.21cn.com/tousu/show/id/1371496")</f>
      </c>
      <c r="G2469" t="s" s="2">
        <v>17</v>
      </c>
      <c r="H2469" t="s" s="2">
        <v>19</v>
      </c>
      <c r="I2469" t="s" s="2">
        <v>9675</v>
      </c>
      <c r="J2469" t="s" s="2">
        <v>9676</v>
      </c>
      <c r="K2469" t="s" s="2">
        <v>22</v>
      </c>
      <c r="L2469" t="s" s="2">
        <v>22</v>
      </c>
      <c r="M2469" t="s" s="2">
        <v>22</v>
      </c>
    </row>
    <row r="2470" ht="25.0" customHeight="true">
      <c r="A2470" t="s" s="2">
        <v>13</v>
      </c>
      <c r="B2470" t="s" s="2">
        <f>HYPERLINK("http://ts.21cn.com/tousu/show/id/1371494","小黑鲨暴力催收")</f>
      </c>
      <c r="C2470" t="s" s="2">
        <v>15</v>
      </c>
      <c r="D2470" t="s" s="2">
        <v>16</v>
      </c>
      <c r="E2470" t="s" s="2">
        <v>17</v>
      </c>
      <c r="F2470" t="s" s="2">
        <f>HYPERLINK("http://ts.21cn.com/tousu/show/id/1371494","http://ts.21cn.com/tousu/show/id/1371494")</f>
      </c>
      <c r="G2470" t="s" s="2">
        <v>17</v>
      </c>
      <c r="H2470" t="s" s="2">
        <v>19</v>
      </c>
      <c r="I2470" t="s" s="2">
        <v>9679</v>
      </c>
      <c r="J2470" t="s" s="2">
        <v>9680</v>
      </c>
      <c r="K2470" t="s" s="2">
        <v>22</v>
      </c>
      <c r="L2470" t="s" s="2">
        <v>22</v>
      </c>
      <c r="M2470" t="s" s="2">
        <v>22</v>
      </c>
    </row>
    <row r="2471" ht="25.0" customHeight="true">
      <c r="A2471" t="s" s="2">
        <v>13</v>
      </c>
      <c r="B2471" t="s" s="2">
        <f>HYPERLINK("http://ts.21cn.com/tousu/show/id/1371481","虚假链接被欺诈")</f>
      </c>
      <c r="C2471" t="s" s="2">
        <v>15</v>
      </c>
      <c r="D2471" t="s" s="2">
        <v>16</v>
      </c>
      <c r="E2471" t="s" s="2">
        <v>17</v>
      </c>
      <c r="F2471" t="s" s="2">
        <f>HYPERLINK("http://ts.21cn.com/tousu/show/id/1371481","http://ts.21cn.com/tousu/show/id/1371481")</f>
      </c>
      <c r="G2471" t="s" s="2">
        <v>17</v>
      </c>
      <c r="H2471" t="s" s="2">
        <v>19</v>
      </c>
      <c r="I2471" t="s" s="2">
        <v>9683</v>
      </c>
      <c r="J2471" t="s" s="2">
        <v>9684</v>
      </c>
      <c r="K2471" t="s" s="2">
        <v>22</v>
      </c>
      <c r="L2471" t="s" s="2">
        <v>22</v>
      </c>
      <c r="M2471" t="s" s="2">
        <v>22</v>
      </c>
    </row>
    <row r="2472" ht="25.0" customHeight="true">
      <c r="A2472" t="s" s="2">
        <v>13</v>
      </c>
      <c r="B2472" t="s" s="2">
        <f>HYPERLINK("http://ts.21cn.com/tousu/show/id/1371493","闪电借款暴力催收欺诈诱导撤销投诉并继续暴力催收")</f>
      </c>
      <c r="C2472" t="s" s="2">
        <v>15</v>
      </c>
      <c r="D2472" t="s" s="2">
        <v>16</v>
      </c>
      <c r="E2472" t="s" s="2">
        <v>17</v>
      </c>
      <c r="F2472" t="s" s="2">
        <f>HYPERLINK("http://ts.21cn.com/tousu/show/id/1371493","http://ts.21cn.com/tousu/show/id/1371493")</f>
      </c>
      <c r="G2472" t="s" s="2">
        <v>17</v>
      </c>
      <c r="H2472" t="s" s="2">
        <v>19</v>
      </c>
      <c r="I2472" t="s" s="2">
        <v>9687</v>
      </c>
      <c r="J2472" t="s" s="2">
        <v>9688</v>
      </c>
      <c r="K2472" t="s" s="2">
        <v>22</v>
      </c>
      <c r="L2472" t="s" s="2">
        <v>22</v>
      </c>
      <c r="M2472" t="s" s="2">
        <v>22</v>
      </c>
    </row>
    <row r="2473" ht="25.0" customHeight="true">
      <c r="A2473" t="s" s="2">
        <v>13</v>
      </c>
      <c r="B2473" t="s" s="2">
        <f>HYPERLINK("http://ts.21cn.com/tousu/show/id/1371490","招商银行骚扰家人")</f>
      </c>
      <c r="C2473" t="s" s="2">
        <v>15</v>
      </c>
      <c r="D2473" t="s" s="2">
        <v>16</v>
      </c>
      <c r="E2473" t="s" s="2">
        <v>17</v>
      </c>
      <c r="F2473" t="s" s="2">
        <f>HYPERLINK("http://ts.21cn.com/tousu/show/id/1371490","http://ts.21cn.com/tousu/show/id/1371490")</f>
      </c>
      <c r="G2473" t="s" s="2">
        <v>17</v>
      </c>
      <c r="H2473" t="s" s="2">
        <v>19</v>
      </c>
      <c r="I2473" t="s" s="2">
        <v>9691</v>
      </c>
      <c r="J2473" t="s" s="2">
        <v>9692</v>
      </c>
      <c r="K2473" t="s" s="2">
        <v>22</v>
      </c>
      <c r="L2473" t="s" s="2">
        <v>22</v>
      </c>
      <c r="M2473" t="s" s="2">
        <v>22</v>
      </c>
    </row>
    <row r="2474" ht="25.0" customHeight="true">
      <c r="A2474" t="s" s="2">
        <v>13</v>
      </c>
      <c r="B2474" t="s" s="2">
        <f>HYPERLINK("http://ts.21cn.com/tousu/show/id/1371491","申请延期")</f>
      </c>
      <c r="C2474" t="s" s="2">
        <v>15</v>
      </c>
      <c r="D2474" t="s" s="2">
        <v>16</v>
      </c>
      <c r="E2474" t="s" s="2">
        <v>17</v>
      </c>
      <c r="F2474" t="s" s="2">
        <f>HYPERLINK("http://ts.21cn.com/tousu/show/id/1371491","http://ts.21cn.com/tousu/show/id/1371491")</f>
      </c>
      <c r="G2474" t="s" s="2">
        <v>17</v>
      </c>
      <c r="H2474" t="s" s="2">
        <v>19</v>
      </c>
      <c r="I2474" t="s" s="2">
        <v>9691</v>
      </c>
      <c r="J2474" t="s" s="2">
        <v>9695</v>
      </c>
      <c r="K2474" t="s" s="2">
        <v>22</v>
      </c>
      <c r="L2474" t="s" s="2">
        <v>22</v>
      </c>
      <c r="M2474" t="s" s="2">
        <v>22</v>
      </c>
    </row>
    <row r="2475" ht="25.0" customHeight="true">
      <c r="A2475" t="s" s="2">
        <v>13</v>
      </c>
      <c r="B2475" t="s" s="2">
        <f>HYPERLINK("http://ts.21cn.com/tousu/show/id/1371489","光大银行信用卡催收不合理")</f>
      </c>
      <c r="C2475" t="s" s="2">
        <v>15</v>
      </c>
      <c r="D2475" t="s" s="2">
        <v>16</v>
      </c>
      <c r="E2475" t="s" s="2">
        <v>17</v>
      </c>
      <c r="F2475" t="s" s="2">
        <f>HYPERLINK("http://ts.21cn.com/tousu/show/id/1371489","http://ts.21cn.com/tousu/show/id/1371489")</f>
      </c>
      <c r="G2475" t="s" s="2">
        <v>17</v>
      </c>
      <c r="H2475" t="s" s="2">
        <v>19</v>
      </c>
      <c r="I2475" t="s" s="2">
        <v>9698</v>
      </c>
      <c r="J2475" t="s" s="2">
        <v>9699</v>
      </c>
      <c r="K2475" t="s" s="2">
        <v>22</v>
      </c>
      <c r="L2475" t="s" s="2">
        <v>22</v>
      </c>
      <c r="M2475" t="s" s="2">
        <v>22</v>
      </c>
    </row>
    <row r="2476" ht="25.0" customHeight="true">
      <c r="A2476" t="s" s="2">
        <v>13</v>
      </c>
      <c r="B2476" t="s" s="2">
        <f>HYPERLINK("http://ts.21cn.com/tousu/show/id/1371488","苏宁易购冻结我的任性付，有额度却无法用任性付支付")</f>
      </c>
      <c r="C2476" t="s" s="2">
        <v>15</v>
      </c>
      <c r="D2476" t="s" s="2">
        <v>16</v>
      </c>
      <c r="E2476" t="s" s="2">
        <v>17</v>
      </c>
      <c r="F2476" t="s" s="2">
        <f>HYPERLINK("http://ts.21cn.com/tousu/show/id/1371488","http://ts.21cn.com/tousu/show/id/1371488")</f>
      </c>
      <c r="G2476" t="s" s="2">
        <v>17</v>
      </c>
      <c r="H2476" t="s" s="2">
        <v>19</v>
      </c>
      <c r="I2476" t="s" s="2">
        <v>9702</v>
      </c>
      <c r="J2476" t="s" s="2">
        <v>9703</v>
      </c>
      <c r="K2476" t="s" s="2">
        <v>22</v>
      </c>
      <c r="L2476" t="s" s="2">
        <v>22</v>
      </c>
      <c r="M2476" t="s" s="2">
        <v>22</v>
      </c>
    </row>
    <row r="2477" ht="25.0" customHeight="true">
      <c r="A2477" t="s" s="2">
        <v>13</v>
      </c>
      <c r="B2477" t="s" s="2">
        <f>HYPERLINK("http://ts.21cn.com/tousu/show/id/1371487","卡卡贷从未逾期，我征信显示逾期")</f>
      </c>
      <c r="C2477" t="s" s="2">
        <v>52</v>
      </c>
      <c r="D2477" t="s" s="2">
        <v>16</v>
      </c>
      <c r="E2477" t="s" s="2">
        <v>17</v>
      </c>
      <c r="F2477" t="s" s="2">
        <f>HYPERLINK("http://ts.21cn.com/tousu/show/id/1371487","http://ts.21cn.com/tousu/show/id/1371487")</f>
      </c>
      <c r="G2477" t="s" s="2">
        <v>17</v>
      </c>
      <c r="H2477" t="s" s="2">
        <v>19</v>
      </c>
      <c r="I2477" t="s" s="2">
        <v>9706</v>
      </c>
      <c r="J2477" t="s" s="2">
        <v>9707</v>
      </c>
      <c r="K2477" t="s" s="2">
        <v>22</v>
      </c>
      <c r="L2477" t="s" s="2">
        <v>22</v>
      </c>
      <c r="M2477" t="s" s="2">
        <v>22</v>
      </c>
    </row>
    <row r="2478" ht="25.0" customHeight="true">
      <c r="A2478" t="s" s="2">
        <v>13</v>
      </c>
      <c r="B2478" t="s" s="2">
        <f>HYPERLINK("http://ts.21cn.com/tousu/show/id/1371460","小象优品高利贷挑战法律")</f>
      </c>
      <c r="C2478" t="s" s="2">
        <v>15</v>
      </c>
      <c r="D2478" t="s" s="2">
        <v>16</v>
      </c>
      <c r="E2478" t="s" s="2">
        <v>17</v>
      </c>
      <c r="F2478" t="s" s="2">
        <f>HYPERLINK("http://ts.21cn.com/tousu/show/id/1371460","http://ts.21cn.com/tousu/show/id/1371460")</f>
      </c>
      <c r="G2478" t="s" s="2">
        <v>17</v>
      </c>
      <c r="H2478" t="s" s="2">
        <v>19</v>
      </c>
      <c r="I2478" t="s" s="2">
        <v>9710</v>
      </c>
      <c r="J2478" t="s" s="2">
        <v>9711</v>
      </c>
      <c r="K2478" t="s" s="2">
        <v>22</v>
      </c>
      <c r="L2478" t="s" s="2">
        <v>22</v>
      </c>
      <c r="M2478" t="s" s="2">
        <v>22</v>
      </c>
    </row>
    <row r="2479" ht="25.0" customHeight="true">
      <c r="A2479" t="s" s="2">
        <v>13</v>
      </c>
      <c r="B2479" t="s" s="2">
        <f>HYPERLINK("http://ts.21cn.com/tousu/show/id/1371486","钱站高利息要求提前结清只还本金")</f>
      </c>
      <c r="C2479" t="s" s="2">
        <v>15</v>
      </c>
      <c r="D2479" t="s" s="2">
        <v>16</v>
      </c>
      <c r="E2479" t="s" s="2">
        <v>17</v>
      </c>
      <c r="F2479" t="s" s="2">
        <f>HYPERLINK("http://ts.21cn.com/tousu/show/id/1371486","http://ts.21cn.com/tousu/show/id/1371486")</f>
      </c>
      <c r="G2479" t="s" s="2">
        <v>17</v>
      </c>
      <c r="H2479" t="s" s="2">
        <v>19</v>
      </c>
      <c r="I2479" t="s" s="2">
        <v>9714</v>
      </c>
      <c r="J2479" t="s" s="2">
        <v>9715</v>
      </c>
      <c r="K2479" t="s" s="2">
        <v>22</v>
      </c>
      <c r="L2479" t="s" s="2">
        <v>22</v>
      </c>
      <c r="M2479" t="s" s="2">
        <v>22</v>
      </c>
    </row>
    <row r="2480" ht="25.0" customHeight="true">
      <c r="A2480" t="s" s="2">
        <v>13</v>
      </c>
      <c r="B2480" t="s" s="2">
        <f>HYPERLINK("http://ts.21cn.com/tousu/show/id/1371485","大量用户无法退还立刻出行499元押金")</f>
      </c>
      <c r="C2480" t="s" s="2">
        <v>52</v>
      </c>
      <c r="D2480" t="s" s="2">
        <v>16</v>
      </c>
      <c r="E2480" t="s" s="2">
        <v>17</v>
      </c>
      <c r="F2480" t="s" s="2">
        <f>HYPERLINK("http://ts.21cn.com/tousu/show/id/1371485","http://ts.21cn.com/tousu/show/id/1371485")</f>
      </c>
      <c r="G2480" t="s" s="2">
        <v>17</v>
      </c>
      <c r="H2480" t="s" s="2">
        <v>19</v>
      </c>
      <c r="I2480" t="s" s="2">
        <v>9717</v>
      </c>
      <c r="J2480" t="s" s="2">
        <v>9718</v>
      </c>
      <c r="K2480" t="s" s="2">
        <v>22</v>
      </c>
      <c r="L2480" t="s" s="2">
        <v>22</v>
      </c>
      <c r="M2480" t="s" s="2">
        <v>22</v>
      </c>
    </row>
    <row r="2481" ht="25.0" customHeight="true">
      <c r="A2481" t="s" s="2">
        <v>13</v>
      </c>
      <c r="B2481" t="s" s="2">
        <f>HYPERLINK("http://ts.21cn.com/tousu/show/id/1371483","微贷网多米贷在联系到本人的前提下威胁要爆通讯录")</f>
      </c>
      <c r="C2481" t="s" s="2">
        <v>15</v>
      </c>
      <c r="D2481" t="s" s="2">
        <v>16</v>
      </c>
      <c r="E2481" t="s" s="2">
        <v>17</v>
      </c>
      <c r="F2481" t="s" s="2">
        <f>HYPERLINK("http://ts.21cn.com/tousu/show/id/1371483","http://ts.21cn.com/tousu/show/id/1371483")</f>
      </c>
      <c r="G2481" t="s" s="2">
        <v>17</v>
      </c>
      <c r="H2481" t="s" s="2">
        <v>19</v>
      </c>
      <c r="I2481" t="s" s="2">
        <v>9721</v>
      </c>
      <c r="J2481" t="s" s="2">
        <v>9722</v>
      </c>
      <c r="K2481" t="s" s="2">
        <v>22</v>
      </c>
      <c r="L2481" t="s" s="2">
        <v>22</v>
      </c>
      <c r="M2481" t="s" s="2">
        <v>22</v>
      </c>
    </row>
    <row r="2482" ht="25.0" customHeight="true">
      <c r="A2482" t="s" s="2">
        <v>13</v>
      </c>
      <c r="B2482" t="s" s="2">
        <f>HYPERLINK("http://ts.21cn.com/tousu/show/id/1371479","人人贷暴力催收")</f>
      </c>
      <c r="C2482" t="s" s="2">
        <v>15</v>
      </c>
      <c r="D2482" t="s" s="2">
        <v>16</v>
      </c>
      <c r="E2482" t="s" s="2">
        <v>17</v>
      </c>
      <c r="F2482" t="s" s="2">
        <f>HYPERLINK("http://ts.21cn.com/tousu/show/id/1371479","http://ts.21cn.com/tousu/show/id/1371479")</f>
      </c>
      <c r="G2482" t="s" s="2">
        <v>17</v>
      </c>
      <c r="H2482" t="s" s="2">
        <v>19</v>
      </c>
      <c r="I2482" t="s" s="2">
        <v>9725</v>
      </c>
      <c r="J2482" t="s" s="2">
        <v>9726</v>
      </c>
      <c r="K2482" t="s" s="2">
        <v>22</v>
      </c>
      <c r="L2482" t="s" s="2">
        <v>22</v>
      </c>
      <c r="M2482" t="s" s="2">
        <v>22</v>
      </c>
    </row>
    <row r="2483" ht="25.0" customHeight="true">
      <c r="A2483" t="s" s="2">
        <v>13</v>
      </c>
      <c r="B2483" t="s" s="2">
        <f>HYPERLINK("http://ts.21cn.com/tousu/show/id/1371482","与活力花协商还款")</f>
      </c>
      <c r="C2483" t="s" s="2">
        <v>15</v>
      </c>
      <c r="D2483" t="s" s="2">
        <v>16</v>
      </c>
      <c r="E2483" t="s" s="2">
        <v>17</v>
      </c>
      <c r="F2483" t="s" s="2">
        <f>HYPERLINK("http://ts.21cn.com/tousu/show/id/1371482","http://ts.21cn.com/tousu/show/id/1371482")</f>
      </c>
      <c r="G2483" t="s" s="2">
        <v>17</v>
      </c>
      <c r="H2483" t="s" s="2">
        <v>19</v>
      </c>
      <c r="I2483" t="s" s="2">
        <v>9729</v>
      </c>
      <c r="J2483" t="s" s="2">
        <v>9730</v>
      </c>
      <c r="K2483" t="s" s="2">
        <v>22</v>
      </c>
      <c r="L2483" t="s" s="2">
        <v>22</v>
      </c>
      <c r="M2483" t="s" s="2">
        <v>22</v>
      </c>
    </row>
    <row r="2484" ht="25.0" customHeight="true">
      <c r="A2484" t="s" s="2">
        <v>13</v>
      </c>
      <c r="B2484" t="s" s="2">
        <f>HYPERLINK("http://ts.21cn.com/tousu/show/id/1371480","花鹿10天收取砍头息，支付宝转款")</f>
      </c>
      <c r="C2484" t="s" s="2">
        <v>15</v>
      </c>
      <c r="D2484" t="s" s="2">
        <v>16</v>
      </c>
      <c r="E2484" t="s" s="2">
        <v>17</v>
      </c>
      <c r="F2484" t="s" s="2">
        <f>HYPERLINK("http://ts.21cn.com/tousu/show/id/1371480","http://ts.21cn.com/tousu/show/id/1371480")</f>
      </c>
      <c r="G2484" t="s" s="2">
        <v>17</v>
      </c>
      <c r="H2484" t="s" s="2">
        <v>19</v>
      </c>
      <c r="I2484" t="s" s="2">
        <v>9733</v>
      </c>
      <c r="J2484" t="s" s="2">
        <v>9734</v>
      </c>
      <c r="K2484" t="s" s="2">
        <v>22</v>
      </c>
      <c r="L2484" t="s" s="2">
        <v>22</v>
      </c>
      <c r="M2484" t="s" s="2">
        <v>22</v>
      </c>
    </row>
    <row r="2485" ht="25.0" customHeight="true">
      <c r="A2485" t="s" s="2">
        <v>13</v>
      </c>
      <c r="B2485" t="s" s="2">
        <f>HYPERLINK("http://ts.21cn.com/tousu/show/id/1371477","钱站高利贷，催收人员催收金额不符")</f>
      </c>
      <c r="C2485" t="s" s="2">
        <v>15</v>
      </c>
      <c r="D2485" t="s" s="2">
        <v>16</v>
      </c>
      <c r="E2485" t="s" s="2">
        <v>17</v>
      </c>
      <c r="F2485" t="s" s="2">
        <f>HYPERLINK("http://ts.21cn.com/tousu/show/id/1371477","http://ts.21cn.com/tousu/show/id/1371477")</f>
      </c>
      <c r="G2485" t="s" s="2">
        <v>17</v>
      </c>
      <c r="H2485" t="s" s="2">
        <v>19</v>
      </c>
      <c r="I2485" t="s" s="2">
        <v>9737</v>
      </c>
      <c r="J2485" t="s" s="2">
        <v>9738</v>
      </c>
      <c r="K2485" t="s" s="2">
        <v>22</v>
      </c>
      <c r="L2485" t="s" s="2">
        <v>22</v>
      </c>
      <c r="M2485" t="s" s="2">
        <v>22</v>
      </c>
    </row>
    <row r="2486" ht="25.0" customHeight="true">
      <c r="A2486" t="s" s="2">
        <v>13</v>
      </c>
      <c r="B2486" t="s" s="2">
        <f>HYPERLINK("http://ts.21cn.com/tousu/show/id/1371474","贷上钱以买游戏豆为由收取高额贷款通过费")</f>
      </c>
      <c r="C2486" t="s" s="2">
        <v>15</v>
      </c>
      <c r="D2486" t="s" s="2">
        <v>16</v>
      </c>
      <c r="E2486" t="s" s="2">
        <v>17</v>
      </c>
      <c r="F2486" t="s" s="2">
        <f>HYPERLINK("http://ts.21cn.com/tousu/show/id/1371474","http://ts.21cn.com/tousu/show/id/1371474")</f>
      </c>
      <c r="G2486" t="s" s="2">
        <v>17</v>
      </c>
      <c r="H2486" t="s" s="2">
        <v>19</v>
      </c>
      <c r="I2486" t="s" s="2">
        <v>9740</v>
      </c>
      <c r="J2486" t="s" s="2">
        <v>9741</v>
      </c>
      <c r="K2486" t="s" s="2">
        <v>22</v>
      </c>
      <c r="L2486" t="s" s="2">
        <v>22</v>
      </c>
      <c r="M2486" t="s" s="2">
        <v>22</v>
      </c>
    </row>
    <row r="2487" ht="25.0" customHeight="true">
      <c r="A2487" t="s" s="2">
        <v>13</v>
      </c>
      <c r="B2487" t="s" s="2">
        <f>HYPERLINK("http://ts.21cn.com/tousu/show/id/1371475","快易花")</f>
      </c>
      <c r="C2487" t="s" s="2">
        <v>52</v>
      </c>
      <c r="D2487" t="s" s="2">
        <v>16</v>
      </c>
      <c r="E2487" t="s" s="2">
        <v>17</v>
      </c>
      <c r="F2487" t="s" s="2">
        <f>HYPERLINK("http://ts.21cn.com/tousu/show/id/1371475","http://ts.21cn.com/tousu/show/id/1371475")</f>
      </c>
      <c r="G2487" t="s" s="2">
        <v>17</v>
      </c>
      <c r="H2487" t="s" s="2">
        <v>19</v>
      </c>
      <c r="I2487" t="s" s="2">
        <v>9744</v>
      </c>
      <c r="J2487" t="s" s="2">
        <v>9745</v>
      </c>
      <c r="K2487" t="s" s="2">
        <v>22</v>
      </c>
      <c r="L2487" t="s" s="2">
        <v>22</v>
      </c>
      <c r="M2487" t="s" s="2">
        <v>22</v>
      </c>
    </row>
    <row r="2488" ht="25.0" customHeight="true">
      <c r="A2488" t="s" s="2">
        <v>13</v>
      </c>
      <c r="B2488" t="s" s="2">
        <f>HYPERLINK("http://ts.21cn.com/tousu/show/id/1371473","大白汽车分期售后问题")</f>
      </c>
      <c r="C2488" t="s" s="2">
        <v>15</v>
      </c>
      <c r="D2488" t="s" s="2">
        <v>16</v>
      </c>
      <c r="E2488" t="s" s="2">
        <v>17</v>
      </c>
      <c r="F2488" t="s" s="2">
        <f>HYPERLINK("http://ts.21cn.com/tousu/show/id/1371473","http://ts.21cn.com/tousu/show/id/1371473")</f>
      </c>
      <c r="G2488" t="s" s="2">
        <v>17</v>
      </c>
      <c r="H2488" t="s" s="2">
        <v>19</v>
      </c>
      <c r="I2488" t="s" s="2">
        <v>9748</v>
      </c>
      <c r="J2488" t="s" s="2">
        <v>9749</v>
      </c>
      <c r="K2488" t="s" s="2">
        <v>22</v>
      </c>
      <c r="L2488" t="s" s="2">
        <v>22</v>
      </c>
      <c r="M2488" t="s" s="2">
        <v>22</v>
      </c>
    </row>
    <row r="2489" ht="25.0" customHeight="true">
      <c r="A2489" t="s" s="2">
        <v>13</v>
      </c>
      <c r="B2489" t="s" s="2">
        <f>HYPERLINK("http://ts.21cn.com/tousu/show/id/1371472","恶意篡改合同信息及恶意催收")</f>
      </c>
      <c r="C2489" t="s" s="2">
        <v>15</v>
      </c>
      <c r="D2489" t="s" s="2">
        <v>16</v>
      </c>
      <c r="E2489" t="s" s="2">
        <v>17</v>
      </c>
      <c r="F2489" t="s" s="2">
        <f>HYPERLINK("http://ts.21cn.com/tousu/show/id/1371472","http://ts.21cn.com/tousu/show/id/1371472")</f>
      </c>
      <c r="G2489" t="s" s="2">
        <v>17</v>
      </c>
      <c r="H2489" t="s" s="2">
        <v>19</v>
      </c>
      <c r="I2489" t="s" s="2">
        <v>9752</v>
      </c>
      <c r="J2489" t="s" s="2">
        <v>9753</v>
      </c>
      <c r="K2489" t="s" s="2">
        <v>22</v>
      </c>
      <c r="L2489" t="s" s="2">
        <v>22</v>
      </c>
      <c r="M2489" t="s" s="2">
        <v>22</v>
      </c>
    </row>
    <row r="2490" ht="25.0" customHeight="true">
      <c r="A2490" t="s" s="2">
        <v>13</v>
      </c>
      <c r="B2490" t="s" s="2">
        <f>HYPERLINK("http://ts.21cn.com/tousu/show/id/1371469","高利贷")</f>
      </c>
      <c r="C2490" t="s" s="2">
        <v>15</v>
      </c>
      <c r="D2490" t="s" s="2">
        <v>16</v>
      </c>
      <c r="E2490" t="s" s="2">
        <v>17</v>
      </c>
      <c r="F2490" t="s" s="2">
        <f>HYPERLINK("http://ts.21cn.com/tousu/show/id/1371469","http://ts.21cn.com/tousu/show/id/1371469")</f>
      </c>
      <c r="G2490" t="s" s="2">
        <v>17</v>
      </c>
      <c r="H2490" t="s" s="2">
        <v>19</v>
      </c>
      <c r="I2490" t="s" s="2">
        <v>9755</v>
      </c>
      <c r="J2490" t="s" s="2">
        <v>9756</v>
      </c>
      <c r="K2490" t="s" s="2">
        <v>22</v>
      </c>
      <c r="L2490" t="s" s="2">
        <v>22</v>
      </c>
      <c r="M2490" t="s" s="2">
        <v>22</v>
      </c>
    </row>
    <row r="2491" ht="25.0" customHeight="true">
      <c r="A2491" t="s" s="2">
        <v>13</v>
      </c>
      <c r="B2491" t="s" s="2">
        <f>HYPERLINK("http://ts.21cn.com/tousu/show/id/1371467","虚假销售，延期交房")</f>
      </c>
      <c r="C2491" t="s" s="2">
        <v>15</v>
      </c>
      <c r="D2491" t="s" s="2">
        <v>16</v>
      </c>
      <c r="E2491" t="s" s="2">
        <v>17</v>
      </c>
      <c r="F2491" t="s" s="2">
        <f>HYPERLINK("http://ts.21cn.com/tousu/show/id/1371467","http://ts.21cn.com/tousu/show/id/1371467")</f>
      </c>
      <c r="G2491" t="s" s="2">
        <v>17</v>
      </c>
      <c r="H2491" t="s" s="2">
        <v>19</v>
      </c>
      <c r="I2491" t="s" s="2">
        <v>9758</v>
      </c>
      <c r="J2491" t="s" s="2">
        <v>9759</v>
      </c>
      <c r="K2491" t="s" s="2">
        <v>22</v>
      </c>
      <c r="L2491" t="s" s="2">
        <v>22</v>
      </c>
      <c r="M2491" t="s" s="2">
        <v>22</v>
      </c>
    </row>
    <row r="2492" ht="25.0" customHeight="true">
      <c r="A2492" t="s" s="2">
        <v>13</v>
      </c>
      <c r="B2492" t="s" s="2">
        <f>HYPERLINK("http://ts.21cn.com/tousu/show/id/1371466","钱站爱钱进阴阳合同")</f>
      </c>
      <c r="C2492" t="s" s="2">
        <v>15</v>
      </c>
      <c r="D2492" t="s" s="2">
        <v>16</v>
      </c>
      <c r="E2492" t="s" s="2">
        <v>17</v>
      </c>
      <c r="F2492" t="s" s="2">
        <f>HYPERLINK("http://ts.21cn.com/tousu/show/id/1371466","http://ts.21cn.com/tousu/show/id/1371466")</f>
      </c>
      <c r="G2492" t="s" s="2">
        <v>17</v>
      </c>
      <c r="H2492" t="s" s="2">
        <v>19</v>
      </c>
      <c r="I2492" t="s" s="2">
        <v>9762</v>
      </c>
      <c r="J2492" t="s" s="2">
        <v>9763</v>
      </c>
      <c r="K2492" t="s" s="2">
        <v>22</v>
      </c>
      <c r="L2492" t="s" s="2">
        <v>22</v>
      </c>
      <c r="M2492" t="s" s="2">
        <v>22</v>
      </c>
    </row>
    <row r="2493" ht="25.0" customHeight="true">
      <c r="A2493" t="s" s="2">
        <v>13</v>
      </c>
      <c r="B2493" t="s" s="2">
        <f>HYPERLINK("http://ts.21cn.com/tousu/show/id/1371464","喜鹊快贷套路贷高利贷，放款金额和合同金额不符，暴力催收爆通讯录")</f>
      </c>
      <c r="C2493" t="s" s="2">
        <v>15</v>
      </c>
      <c r="D2493" t="s" s="2">
        <v>16</v>
      </c>
      <c r="E2493" t="s" s="2">
        <v>17</v>
      </c>
      <c r="F2493" t="s" s="2">
        <f>HYPERLINK("http://ts.21cn.com/tousu/show/id/1371464","http://ts.21cn.com/tousu/show/id/1371464")</f>
      </c>
      <c r="G2493" t="s" s="2">
        <v>17</v>
      </c>
      <c r="H2493" t="s" s="2">
        <v>19</v>
      </c>
      <c r="I2493" t="s" s="2">
        <v>9766</v>
      </c>
      <c r="J2493" t="s" s="2">
        <v>9767</v>
      </c>
      <c r="K2493" t="s" s="2">
        <v>22</v>
      </c>
      <c r="L2493" t="s" s="2">
        <v>22</v>
      </c>
      <c r="M2493" t="s" s="2">
        <v>22</v>
      </c>
    </row>
    <row r="2494" ht="25.0" customHeight="true">
      <c r="A2494" t="s" s="2">
        <v>13</v>
      </c>
      <c r="B2494" t="s" s="2">
        <f>HYPERLINK("http://ts.21cn.com/tousu/show/id/1371465","网贷借款还款联系不到借款平台")</f>
      </c>
      <c r="C2494" t="s" s="2">
        <v>52</v>
      </c>
      <c r="D2494" t="s" s="2">
        <v>16</v>
      </c>
      <c r="E2494" t="s" s="2">
        <v>17</v>
      </c>
      <c r="F2494" t="s" s="2">
        <f>HYPERLINK("http://ts.21cn.com/tousu/show/id/1371465","http://ts.21cn.com/tousu/show/id/1371465")</f>
      </c>
      <c r="G2494" t="s" s="2">
        <v>17</v>
      </c>
      <c r="H2494" t="s" s="2">
        <v>19</v>
      </c>
      <c r="I2494" t="s" s="2">
        <v>9770</v>
      </c>
      <c r="J2494" t="s" s="2">
        <v>9771</v>
      </c>
      <c r="K2494" t="s" s="2">
        <v>22</v>
      </c>
      <c r="L2494" t="s" s="2">
        <v>22</v>
      </c>
      <c r="M2494" t="s" s="2">
        <v>22</v>
      </c>
    </row>
    <row r="2495" ht="25.0" customHeight="true">
      <c r="A2495" t="s" s="2">
        <v>13</v>
      </c>
      <c r="B2495" t="s" s="2">
        <f>HYPERLINK("http://ts.21cn.com/tousu/show/id/1371463","小黑鲨阴阳合同，高利贷")</f>
      </c>
      <c r="C2495" t="s" s="2">
        <v>15</v>
      </c>
      <c r="D2495" t="s" s="2">
        <v>16</v>
      </c>
      <c r="E2495" t="s" s="2">
        <v>17</v>
      </c>
      <c r="F2495" t="s" s="2">
        <f>HYPERLINK("http://ts.21cn.com/tousu/show/id/1371463","http://ts.21cn.com/tousu/show/id/1371463")</f>
      </c>
      <c r="G2495" t="s" s="2">
        <v>17</v>
      </c>
      <c r="H2495" t="s" s="2">
        <v>19</v>
      </c>
      <c r="I2495" t="s" s="2">
        <v>9774</v>
      </c>
      <c r="J2495" t="s" s="2">
        <v>9775</v>
      </c>
      <c r="K2495" t="s" s="2">
        <v>22</v>
      </c>
      <c r="L2495" t="s" s="2">
        <v>22</v>
      </c>
      <c r="M2495" t="s" s="2">
        <v>22</v>
      </c>
    </row>
    <row r="2496" ht="25.0" customHeight="true">
      <c r="A2496" t="s" s="2">
        <v>13</v>
      </c>
      <c r="B2496" t="s" s="2">
        <f>HYPERLINK("http://ts.21cn.com/tousu/show/id/1371461","催款")</f>
      </c>
      <c r="C2496" t="s" s="2">
        <v>15</v>
      </c>
      <c r="D2496" t="s" s="2">
        <v>16</v>
      </c>
      <c r="E2496" t="s" s="2">
        <v>17</v>
      </c>
      <c r="F2496" t="s" s="2">
        <f>HYPERLINK("http://ts.21cn.com/tousu/show/id/1371461","http://ts.21cn.com/tousu/show/id/1371461")</f>
      </c>
      <c r="G2496" t="s" s="2">
        <v>17</v>
      </c>
      <c r="H2496" t="s" s="2">
        <v>19</v>
      </c>
      <c r="I2496" t="s" s="2">
        <v>9778</v>
      </c>
      <c r="J2496" t="s" s="2">
        <v>9779</v>
      </c>
      <c r="K2496" t="s" s="2">
        <v>22</v>
      </c>
      <c r="L2496" t="s" s="2">
        <v>22</v>
      </c>
      <c r="M2496" t="s" s="2">
        <v>22</v>
      </c>
    </row>
    <row r="2497" ht="25.0" customHeight="true">
      <c r="A2497" t="s" s="2">
        <v>13</v>
      </c>
      <c r="B2497" t="s" s="2">
        <f>HYPERLINK("http://ts.21cn.com/tousu/show/id/1371459","捷信金融冒充公检法、威胁恐吓")</f>
      </c>
      <c r="C2497" t="s" s="2">
        <v>15</v>
      </c>
      <c r="D2497" t="s" s="2">
        <v>16</v>
      </c>
      <c r="E2497" t="s" s="2">
        <v>17</v>
      </c>
      <c r="F2497" t="s" s="2">
        <f>HYPERLINK("http://ts.21cn.com/tousu/show/id/1371459","http://ts.21cn.com/tousu/show/id/1371459")</f>
      </c>
      <c r="G2497" t="s" s="2">
        <v>17</v>
      </c>
      <c r="H2497" t="s" s="2">
        <v>19</v>
      </c>
      <c r="I2497" t="s" s="2">
        <v>9782</v>
      </c>
      <c r="J2497" t="s" s="2">
        <v>9783</v>
      </c>
      <c r="K2497" t="s" s="2">
        <v>22</v>
      </c>
      <c r="L2497" t="s" s="2">
        <v>22</v>
      </c>
      <c r="M2497" t="s" s="2">
        <v>22</v>
      </c>
    </row>
    <row r="2498" ht="25.0" customHeight="true">
      <c r="A2498" t="s" s="2">
        <v>13</v>
      </c>
      <c r="B2498" t="s" s="2">
        <f>HYPERLINK("http://ts.21cn.com/tousu/show/id/1371458","不按期交房和处理实际问题")</f>
      </c>
      <c r="C2498" t="s" s="2">
        <v>15</v>
      </c>
      <c r="D2498" t="s" s="2">
        <v>16</v>
      </c>
      <c r="E2498" t="s" s="2">
        <v>17</v>
      </c>
      <c r="F2498" t="s" s="2">
        <f>HYPERLINK("http://ts.21cn.com/tousu/show/id/1371458","http://ts.21cn.com/tousu/show/id/1371458")</f>
      </c>
      <c r="G2498" t="s" s="2">
        <v>17</v>
      </c>
      <c r="H2498" t="s" s="2">
        <v>19</v>
      </c>
      <c r="I2498" t="s" s="2">
        <v>9786</v>
      </c>
      <c r="J2498" t="s" s="2">
        <v>9787</v>
      </c>
      <c r="K2498" t="s" s="2">
        <v>22</v>
      </c>
      <c r="L2498" t="s" s="2">
        <v>22</v>
      </c>
      <c r="M2498" t="s" s="2">
        <v>22</v>
      </c>
    </row>
    <row r="2499" ht="25.0" customHeight="true">
      <c r="A2499" t="s" s="2">
        <v>13</v>
      </c>
      <c r="B2499" t="s" s="2">
        <f>HYPERLINK("http://ts.21cn.com/tousu/show/id/1371457","左右钱包")</f>
      </c>
      <c r="C2499" t="s" s="2">
        <v>15</v>
      </c>
      <c r="D2499" t="s" s="2">
        <v>16</v>
      </c>
      <c r="E2499" t="s" s="2">
        <v>17</v>
      </c>
      <c r="F2499" t="s" s="2">
        <f>HYPERLINK("http://ts.21cn.com/tousu/show/id/1371457","http://ts.21cn.com/tousu/show/id/1371457")</f>
      </c>
      <c r="G2499" t="s" s="2">
        <v>17</v>
      </c>
      <c r="H2499" t="s" s="2">
        <v>19</v>
      </c>
      <c r="I2499" t="s" s="2">
        <v>9790</v>
      </c>
      <c r="J2499" t="s" s="2">
        <v>9791</v>
      </c>
      <c r="K2499" t="s" s="2">
        <v>22</v>
      </c>
      <c r="L2499" t="s" s="2">
        <v>22</v>
      </c>
      <c r="M2499" t="s" s="2">
        <v>22</v>
      </c>
    </row>
    <row r="2500" ht="25.0" customHeight="true">
      <c r="A2500" t="s" s="2">
        <v>13</v>
      </c>
      <c r="B2500" t="s" s="2">
        <f>HYPERLINK("http://ts.21cn.com/tousu/show/id/1371456","滞纳金和利息")</f>
      </c>
      <c r="C2500" t="s" s="2">
        <v>15</v>
      </c>
      <c r="D2500" t="s" s="2">
        <v>16</v>
      </c>
      <c r="E2500" t="s" s="2">
        <v>17</v>
      </c>
      <c r="F2500" t="s" s="2">
        <f>HYPERLINK("http://ts.21cn.com/tousu/show/id/1371456","http://ts.21cn.com/tousu/show/id/1371456")</f>
      </c>
      <c r="G2500" t="s" s="2">
        <v>17</v>
      </c>
      <c r="H2500" t="s" s="2">
        <v>19</v>
      </c>
      <c r="I2500" t="s" s="2">
        <v>9794</v>
      </c>
      <c r="J2500" t="s" s="2">
        <v>9795</v>
      </c>
      <c r="K2500" t="s" s="2">
        <v>22</v>
      </c>
      <c r="L2500" t="s" s="2">
        <v>22</v>
      </c>
      <c r="M2500" t="s" s="2">
        <v>22</v>
      </c>
    </row>
    <row r="2501" ht="25.0" customHeight="true">
      <c r="A2501" t="s" s="2">
        <v>13</v>
      </c>
      <c r="B2501" t="s" s="2">
        <f>HYPERLINK("http://ts.21cn.com/tousu/show/id/1371455","ofo小黄车私自将押金转为余额，且无退款通道，APP线上客服，电话客服永远无法接通")</f>
      </c>
      <c r="C2501" t="s" s="2">
        <v>15</v>
      </c>
      <c r="D2501" t="s" s="2">
        <v>16</v>
      </c>
      <c r="E2501" t="s" s="2">
        <v>17</v>
      </c>
      <c r="F2501" t="s" s="2">
        <f>HYPERLINK("http://ts.21cn.com/tousu/show/id/1371455","http://ts.21cn.com/tousu/show/id/1371455")</f>
      </c>
      <c r="G2501" t="s" s="2">
        <v>17</v>
      </c>
      <c r="H2501" t="s" s="2">
        <v>19</v>
      </c>
      <c r="I2501" t="s" s="2">
        <v>9798</v>
      </c>
      <c r="J2501" t="s" s="2">
        <v>9799</v>
      </c>
      <c r="K2501" t="s" s="2">
        <v>22</v>
      </c>
      <c r="L2501" t="s" s="2">
        <v>22</v>
      </c>
      <c r="M2501" t="s" s="2">
        <v>22</v>
      </c>
    </row>
    <row r="2502" ht="25.0" customHeight="true">
      <c r="A2502" t="s" s="2">
        <v>13</v>
      </c>
      <c r="B2502" t="s" s="2">
        <f>HYPERLINK("http://ts.21cn.com/tousu/show/id/1371454","现金巴士砍头息严重")</f>
      </c>
      <c r="C2502" t="s" s="2">
        <v>15</v>
      </c>
      <c r="D2502" t="s" s="2">
        <v>16</v>
      </c>
      <c r="E2502" t="s" s="2">
        <v>17</v>
      </c>
      <c r="F2502" t="s" s="2">
        <f>HYPERLINK("http://ts.21cn.com/tousu/show/id/1371454","http://ts.21cn.com/tousu/show/id/1371454")</f>
      </c>
      <c r="G2502" t="s" s="2">
        <v>17</v>
      </c>
      <c r="H2502" t="s" s="2">
        <v>19</v>
      </c>
      <c r="I2502" t="s" s="2">
        <v>9802</v>
      </c>
      <c r="J2502" t="s" s="2">
        <v>9803</v>
      </c>
      <c r="K2502" t="s" s="2">
        <v>22</v>
      </c>
      <c r="L2502" t="s" s="2">
        <v>22</v>
      </c>
      <c r="M2502" t="s" s="2">
        <v>22</v>
      </c>
    </row>
    <row r="2503" ht="25.0" customHeight="true">
      <c r="A2503" t="s" s="2">
        <v>13</v>
      </c>
      <c r="B2503" t="s" s="2">
        <f>HYPERLINK("http://ts.21cn.com/tousu/show/id/1371452","普惠快信恶意催收，非法高利贷")</f>
      </c>
      <c r="C2503" t="s" s="2">
        <v>15</v>
      </c>
      <c r="D2503" t="s" s="2">
        <v>16</v>
      </c>
      <c r="E2503" t="s" s="2">
        <v>17</v>
      </c>
      <c r="F2503" t="s" s="2">
        <f>HYPERLINK("http://ts.21cn.com/tousu/show/id/1371452","http://ts.21cn.com/tousu/show/id/1371452")</f>
      </c>
      <c r="G2503" t="s" s="2">
        <v>17</v>
      </c>
      <c r="H2503" t="s" s="2">
        <v>19</v>
      </c>
      <c r="I2503" t="s" s="2">
        <v>9806</v>
      </c>
      <c r="J2503" t="s" s="2">
        <v>9807</v>
      </c>
      <c r="K2503" t="s" s="2">
        <v>22</v>
      </c>
      <c r="L2503" t="s" s="2">
        <v>22</v>
      </c>
      <c r="M2503" t="s" s="2">
        <v>22</v>
      </c>
    </row>
    <row r="2504" ht="25.0" customHeight="true">
      <c r="A2504" t="s" s="2">
        <v>13</v>
      </c>
      <c r="B2504" t="s" s="2">
        <f>HYPERLINK("http://ts.21cn.com/tousu/show/id/1371451","拍拍贷短信轰炸")</f>
      </c>
      <c r="C2504" t="s" s="2">
        <v>15</v>
      </c>
      <c r="D2504" t="s" s="2">
        <v>16</v>
      </c>
      <c r="E2504" t="s" s="2">
        <v>17</v>
      </c>
      <c r="F2504" t="s" s="2">
        <f>HYPERLINK("http://ts.21cn.com/tousu/show/id/1371451","http://ts.21cn.com/tousu/show/id/1371451")</f>
      </c>
      <c r="G2504" t="s" s="2">
        <v>17</v>
      </c>
      <c r="H2504" t="s" s="2">
        <v>19</v>
      </c>
      <c r="I2504" t="s" s="2">
        <v>9810</v>
      </c>
      <c r="J2504" t="s" s="2">
        <v>9811</v>
      </c>
      <c r="K2504" t="s" s="2">
        <v>22</v>
      </c>
      <c r="L2504" t="s" s="2">
        <v>22</v>
      </c>
      <c r="M2504" t="s" s="2">
        <v>22</v>
      </c>
    </row>
    <row r="2505" ht="25.0" customHeight="true">
      <c r="A2505" t="s" s="2">
        <v>13</v>
      </c>
      <c r="B2505" t="s" s="2">
        <f>HYPERLINK("http://ts.21cn.com/tousu/show/id/1371453","携程助力活动涉及套路")</f>
      </c>
      <c r="C2505" t="s" s="2">
        <v>52</v>
      </c>
      <c r="D2505" t="s" s="2">
        <v>16</v>
      </c>
      <c r="E2505" t="s" s="2">
        <v>17</v>
      </c>
      <c r="F2505" t="s" s="2">
        <f>HYPERLINK("http://ts.21cn.com/tousu/show/id/1371453","http://ts.21cn.com/tousu/show/id/1371453")</f>
      </c>
      <c r="G2505" t="s" s="2">
        <v>17</v>
      </c>
      <c r="H2505" t="s" s="2">
        <v>19</v>
      </c>
      <c r="I2505" t="s" s="2">
        <v>9814</v>
      </c>
      <c r="J2505" t="s" s="2">
        <v>9815</v>
      </c>
      <c r="K2505" t="s" s="2">
        <v>22</v>
      </c>
      <c r="L2505" t="s" s="2">
        <v>22</v>
      </c>
      <c r="M2505" t="s" s="2">
        <v>22</v>
      </c>
    </row>
    <row r="2506" ht="25.0" customHeight="true">
      <c r="A2506" t="s" s="2">
        <v>13</v>
      </c>
      <c r="B2506" t="s" s="2">
        <f>HYPERLINK("http://ts.21cn.com/tousu/show/id/1371450","在淘集集的2000元保证金退不了")</f>
      </c>
      <c r="C2506" t="s" s="2">
        <v>52</v>
      </c>
      <c r="D2506" t="s" s="2">
        <v>16</v>
      </c>
      <c r="E2506" t="s" s="2">
        <v>17</v>
      </c>
      <c r="F2506" t="s" s="2">
        <f>HYPERLINK("http://ts.21cn.com/tousu/show/id/1371450","http://ts.21cn.com/tousu/show/id/1371450")</f>
      </c>
      <c r="G2506" t="s" s="2">
        <v>17</v>
      </c>
      <c r="H2506" t="s" s="2">
        <v>19</v>
      </c>
      <c r="I2506" t="s" s="2">
        <v>9817</v>
      </c>
      <c r="J2506" t="s" s="2">
        <v>9818</v>
      </c>
      <c r="K2506" t="s" s="2">
        <v>22</v>
      </c>
      <c r="L2506" t="s" s="2">
        <v>22</v>
      </c>
      <c r="M2506" t="s" s="2">
        <v>22</v>
      </c>
    </row>
    <row r="2507" ht="25.0" customHeight="true">
      <c r="A2507" t="s" s="2">
        <v>13</v>
      </c>
      <c r="B2507" t="s" s="2">
        <f>HYPERLINK("http://ts.21cn.com/tousu/show/id/1371449","趣惠买砍头息高利贷")</f>
      </c>
      <c r="C2507" t="s" s="2">
        <v>15</v>
      </c>
      <c r="D2507" t="s" s="2">
        <v>16</v>
      </c>
      <c r="E2507" t="s" s="2">
        <v>17</v>
      </c>
      <c r="F2507" t="s" s="2">
        <f>HYPERLINK("http://ts.21cn.com/tousu/show/id/1371449","http://ts.21cn.com/tousu/show/id/1371449")</f>
      </c>
      <c r="G2507" t="s" s="2">
        <v>17</v>
      </c>
      <c r="H2507" t="s" s="2">
        <v>19</v>
      </c>
      <c r="I2507" t="s" s="2">
        <v>9821</v>
      </c>
      <c r="J2507" t="s" s="2">
        <v>9822</v>
      </c>
      <c r="K2507" t="s" s="2">
        <v>22</v>
      </c>
      <c r="L2507" t="s" s="2">
        <v>22</v>
      </c>
      <c r="M2507" t="s" s="2">
        <v>22</v>
      </c>
    </row>
    <row r="2508" ht="25.0" customHeight="true">
      <c r="A2508" t="s" s="2">
        <v>13</v>
      </c>
      <c r="B2508" t="s" s="2">
        <f>HYPERLINK("http://ts.21cn.com/tousu/show/id/1371447","活力花暴力催收侵犯隐私利息高")</f>
      </c>
      <c r="C2508" t="s" s="2">
        <v>15</v>
      </c>
      <c r="D2508" t="s" s="2">
        <v>16</v>
      </c>
      <c r="E2508" t="s" s="2">
        <v>17</v>
      </c>
      <c r="F2508" t="s" s="2">
        <f>HYPERLINK("http://ts.21cn.com/tousu/show/id/1371447","http://ts.21cn.com/tousu/show/id/1371447")</f>
      </c>
      <c r="G2508" t="s" s="2">
        <v>17</v>
      </c>
      <c r="H2508" t="s" s="2">
        <v>19</v>
      </c>
      <c r="I2508" t="s" s="2">
        <v>9825</v>
      </c>
      <c r="J2508" t="s" s="2">
        <v>9826</v>
      </c>
      <c r="K2508" t="s" s="2">
        <v>22</v>
      </c>
      <c r="L2508" t="s" s="2">
        <v>22</v>
      </c>
      <c r="M2508" t="s" s="2">
        <v>22</v>
      </c>
    </row>
    <row r="2509" ht="25.0" customHeight="true">
      <c r="A2509" t="s" s="2">
        <v>13</v>
      </c>
      <c r="B2509" t="s" s="2">
        <f>HYPERLINK("http://ts.21cn.com/tousu/show/id/1371448","易开出行押金逾期不退还")</f>
      </c>
      <c r="C2509" t="s" s="2">
        <v>15</v>
      </c>
      <c r="D2509" t="s" s="2">
        <v>16</v>
      </c>
      <c r="E2509" t="s" s="2">
        <v>17</v>
      </c>
      <c r="F2509" t="s" s="2">
        <f>HYPERLINK("http://ts.21cn.com/tousu/show/id/1371448","http://ts.21cn.com/tousu/show/id/1371448")</f>
      </c>
      <c r="G2509" t="s" s="2">
        <v>17</v>
      </c>
      <c r="H2509" t="s" s="2">
        <v>19</v>
      </c>
      <c r="I2509" t="s" s="2">
        <v>9829</v>
      </c>
      <c r="J2509" t="s" s="2">
        <v>9830</v>
      </c>
      <c r="K2509" t="s" s="2">
        <v>22</v>
      </c>
      <c r="L2509" t="s" s="2">
        <v>22</v>
      </c>
      <c r="M2509" t="s" s="2">
        <v>22</v>
      </c>
    </row>
    <row r="2510" ht="25.0" customHeight="true">
      <c r="A2510" t="s" s="2">
        <v>13</v>
      </c>
      <c r="B2510" t="s" s="2">
        <f>HYPERLINK("http://ts.21cn.com/tousu/show/id/1371437","还款成功后，不销账，还显示逾期")</f>
      </c>
      <c r="C2510" t="s" s="2">
        <v>52</v>
      </c>
      <c r="D2510" t="s" s="2">
        <v>16</v>
      </c>
      <c r="E2510" t="s" s="2">
        <v>17</v>
      </c>
      <c r="F2510" t="s" s="2">
        <f>HYPERLINK("http://ts.21cn.com/tousu/show/id/1371437","http://ts.21cn.com/tousu/show/id/1371437")</f>
      </c>
      <c r="G2510" t="s" s="2">
        <v>17</v>
      </c>
      <c r="H2510" t="s" s="2">
        <v>19</v>
      </c>
      <c r="I2510" t="s" s="2">
        <v>9833</v>
      </c>
      <c r="J2510" t="s" s="2">
        <v>9834</v>
      </c>
      <c r="K2510" t="s" s="2">
        <v>22</v>
      </c>
      <c r="L2510" t="s" s="2">
        <v>22</v>
      </c>
      <c r="M2510" t="s" s="2">
        <v>22</v>
      </c>
    </row>
    <row r="2511" ht="25.0" customHeight="true">
      <c r="A2511" t="s" s="2">
        <v>13</v>
      </c>
      <c r="B2511" t="s" s="2">
        <f>HYPERLINK("http://ts.21cn.com/tousu/show/id/1371445","钱站阴阳合同非法高利贷")</f>
      </c>
      <c r="C2511" t="s" s="2">
        <v>15</v>
      </c>
      <c r="D2511" t="s" s="2">
        <v>16</v>
      </c>
      <c r="E2511" t="s" s="2">
        <v>17</v>
      </c>
      <c r="F2511" t="s" s="2">
        <f>HYPERLINK("http://ts.21cn.com/tousu/show/id/1371445","http://ts.21cn.com/tousu/show/id/1371445")</f>
      </c>
      <c r="G2511" t="s" s="2">
        <v>17</v>
      </c>
      <c r="H2511" t="s" s="2">
        <v>19</v>
      </c>
      <c r="I2511" t="s" s="2">
        <v>9837</v>
      </c>
      <c r="J2511" t="s" s="2">
        <v>9838</v>
      </c>
      <c r="K2511" t="s" s="2">
        <v>22</v>
      </c>
      <c r="L2511" t="s" s="2">
        <v>22</v>
      </c>
      <c r="M2511" t="s" s="2">
        <v>22</v>
      </c>
    </row>
    <row r="2512" ht="25.0" customHeight="true">
      <c r="A2512" t="s" s="2">
        <v>13</v>
      </c>
      <c r="B2512" t="s" s="2">
        <f>HYPERLINK("http://ts.21cn.com/tousu/show/id/1371432","网络交易")</f>
      </c>
      <c r="C2512" t="s" s="2">
        <v>15</v>
      </c>
      <c r="D2512" t="s" s="2">
        <v>16</v>
      </c>
      <c r="E2512" t="s" s="2">
        <v>17</v>
      </c>
      <c r="F2512" t="s" s="2">
        <f>HYPERLINK("http://ts.21cn.com/tousu/show/id/1371432","http://ts.21cn.com/tousu/show/id/1371432")</f>
      </c>
      <c r="G2512" t="s" s="2">
        <v>17</v>
      </c>
      <c r="H2512" t="s" s="2">
        <v>19</v>
      </c>
      <c r="I2512" t="s" s="2">
        <v>9841</v>
      </c>
      <c r="J2512" t="s" s="2">
        <v>9842</v>
      </c>
      <c r="K2512" t="s" s="2">
        <v>22</v>
      </c>
      <c r="L2512" t="s" s="2">
        <v>22</v>
      </c>
      <c r="M2512" t="s" s="2">
        <v>22</v>
      </c>
    </row>
    <row r="2513" ht="25.0" customHeight="true">
      <c r="A2513" t="s" s="2">
        <v>13</v>
      </c>
      <c r="B2513" t="s" s="2">
        <f>HYPERLINK("http://ts.21cn.com/tousu/show/id/1371442","跟滴滴要钱")</f>
      </c>
      <c r="C2513" t="s" s="2">
        <v>52</v>
      </c>
      <c r="D2513" t="s" s="2">
        <v>16</v>
      </c>
      <c r="E2513" t="s" s="2">
        <v>17</v>
      </c>
      <c r="F2513" t="s" s="2">
        <f>HYPERLINK("http://ts.21cn.com/tousu/show/id/1371442","http://ts.21cn.com/tousu/show/id/1371442")</f>
      </c>
      <c r="G2513" t="s" s="2">
        <v>17</v>
      </c>
      <c r="H2513" t="s" s="2">
        <v>19</v>
      </c>
      <c r="I2513" t="s" s="2">
        <v>9845</v>
      </c>
      <c r="J2513" t="s" s="2">
        <v>9846</v>
      </c>
      <c r="K2513" t="s" s="2">
        <v>22</v>
      </c>
      <c r="L2513" t="s" s="2">
        <v>22</v>
      </c>
      <c r="M2513" t="s" s="2">
        <v>22</v>
      </c>
    </row>
    <row r="2514" ht="25.0" customHeight="true">
      <c r="A2514" t="s" s="2">
        <v>13</v>
      </c>
      <c r="B2514" t="s" s="2">
        <f>HYPERLINK("http://ts.21cn.com/tousu/show/id/1371440","淘集集官方不让下架产品，客服电话一直打一直没人接，公众号客服没人回复")</f>
      </c>
      <c r="C2514" t="s" s="2">
        <v>15</v>
      </c>
      <c r="D2514" t="s" s="2">
        <v>16</v>
      </c>
      <c r="E2514" t="s" s="2">
        <v>17</v>
      </c>
      <c r="F2514" t="s" s="2">
        <f>HYPERLINK("http://ts.21cn.com/tousu/show/id/1371440","http://ts.21cn.com/tousu/show/id/1371440")</f>
      </c>
      <c r="G2514" t="s" s="2">
        <v>17</v>
      </c>
      <c r="H2514" t="s" s="2">
        <v>19</v>
      </c>
      <c r="I2514" t="s" s="2">
        <v>9849</v>
      </c>
      <c r="J2514" t="s" s="2">
        <v>9850</v>
      </c>
      <c r="K2514" t="s" s="2">
        <v>22</v>
      </c>
      <c r="L2514" t="s" s="2">
        <v>22</v>
      </c>
      <c r="M2514" t="s" s="2">
        <v>22</v>
      </c>
    </row>
    <row r="2515" ht="25.0" customHeight="true">
      <c r="A2515" t="s" s="2">
        <v>13</v>
      </c>
      <c r="B2515" t="s" s="2">
        <f>HYPERLINK("http://ts.21cn.com/tousu/show/id/1371441","遵义湘江投资有限公司延期交房")</f>
      </c>
      <c r="C2515" t="s" s="2">
        <v>15</v>
      </c>
      <c r="D2515" t="s" s="2">
        <v>16</v>
      </c>
      <c r="E2515" t="s" s="2">
        <v>17</v>
      </c>
      <c r="F2515" t="s" s="2">
        <f>HYPERLINK("http://ts.21cn.com/tousu/show/id/1371441","http://ts.21cn.com/tousu/show/id/1371441")</f>
      </c>
      <c r="G2515" t="s" s="2">
        <v>17</v>
      </c>
      <c r="H2515" t="s" s="2">
        <v>19</v>
      </c>
      <c r="I2515" t="s" s="2">
        <v>9853</v>
      </c>
      <c r="J2515" t="s" s="2">
        <v>9854</v>
      </c>
      <c r="K2515" t="s" s="2">
        <v>22</v>
      </c>
      <c r="L2515" t="s" s="2">
        <v>22</v>
      </c>
      <c r="M2515" t="s" s="2">
        <v>22</v>
      </c>
    </row>
    <row r="2516" ht="25.0" customHeight="true">
      <c r="A2516" t="s" s="2">
        <v>13</v>
      </c>
      <c r="B2516" t="s" s="2">
        <f>HYPERLINK("http://ts.21cn.com/tousu/show/id/1371439","砍头息，恐吓")</f>
      </c>
      <c r="C2516" t="s" s="2">
        <v>52</v>
      </c>
      <c r="D2516" t="s" s="2">
        <v>16</v>
      </c>
      <c r="E2516" t="s" s="2">
        <v>17</v>
      </c>
      <c r="F2516" t="s" s="2">
        <f>HYPERLINK("http://ts.21cn.com/tousu/show/id/1371439","http://ts.21cn.com/tousu/show/id/1371439")</f>
      </c>
      <c r="G2516" t="s" s="2">
        <v>17</v>
      </c>
      <c r="H2516" t="s" s="2">
        <v>19</v>
      </c>
      <c r="I2516" t="s" s="2">
        <v>9857</v>
      </c>
      <c r="J2516" t="s" s="2">
        <v>9858</v>
      </c>
      <c r="K2516" t="s" s="2">
        <v>22</v>
      </c>
      <c r="L2516" t="s" s="2">
        <v>22</v>
      </c>
      <c r="M2516" t="s" s="2">
        <v>22</v>
      </c>
    </row>
    <row r="2517" ht="25.0" customHeight="true">
      <c r="A2517" t="s" s="2">
        <v>13</v>
      </c>
      <c r="B2517" t="s" s="2">
        <f>HYPERLINK("http://ts.21cn.com/tousu/show/id/1371438","建设银行信用卡中心拒不处理退违约金")</f>
      </c>
      <c r="C2517" t="s" s="2">
        <v>15</v>
      </c>
      <c r="D2517" t="s" s="2">
        <v>16</v>
      </c>
      <c r="E2517" t="s" s="2">
        <v>17</v>
      </c>
      <c r="F2517" t="s" s="2">
        <f>HYPERLINK("http://ts.21cn.com/tousu/show/id/1371438","http://ts.21cn.com/tousu/show/id/1371438")</f>
      </c>
      <c r="G2517" t="s" s="2">
        <v>17</v>
      </c>
      <c r="H2517" t="s" s="2">
        <v>19</v>
      </c>
      <c r="I2517" t="s" s="2">
        <v>9861</v>
      </c>
      <c r="J2517" t="s" s="2">
        <v>9862</v>
      </c>
      <c r="K2517" t="s" s="2">
        <v>22</v>
      </c>
      <c r="L2517" t="s" s="2">
        <v>22</v>
      </c>
      <c r="M2517" t="s" s="2">
        <v>22</v>
      </c>
    </row>
    <row r="2518" ht="25.0" customHeight="true">
      <c r="A2518" t="s" s="2">
        <v>13</v>
      </c>
      <c r="B2518" t="s" s="2">
        <f>HYPERLINK("http://ts.21cn.com/tousu/show/id/1371436","遵义湘江投资不交房也不退钱")</f>
      </c>
      <c r="C2518" t="s" s="2">
        <v>15</v>
      </c>
      <c r="D2518" t="s" s="2">
        <v>16</v>
      </c>
      <c r="E2518" t="s" s="2">
        <v>17</v>
      </c>
      <c r="F2518" t="s" s="2">
        <f>HYPERLINK("http://ts.21cn.com/tousu/show/id/1371436","http://ts.21cn.com/tousu/show/id/1371436")</f>
      </c>
      <c r="G2518" t="s" s="2">
        <v>17</v>
      </c>
      <c r="H2518" t="s" s="2">
        <v>19</v>
      </c>
      <c r="I2518" t="s" s="2">
        <v>9865</v>
      </c>
      <c r="J2518" t="s" s="2">
        <v>9866</v>
      </c>
      <c r="K2518" t="s" s="2">
        <v>22</v>
      </c>
      <c r="L2518" t="s" s="2">
        <v>22</v>
      </c>
      <c r="M2518" t="s" s="2">
        <v>22</v>
      </c>
    </row>
    <row r="2519" ht="25.0" customHeight="true">
      <c r="A2519" t="s" s="2">
        <v>13</v>
      </c>
      <c r="B2519" t="s" s="2">
        <f>HYPERLINK("http://ts.21cn.com/tousu/show/id/1371435","未经允许扣卡里钱")</f>
      </c>
      <c r="C2519" t="s" s="2">
        <v>52</v>
      </c>
      <c r="D2519" t="s" s="2">
        <v>16</v>
      </c>
      <c r="E2519" t="s" s="2">
        <v>17</v>
      </c>
      <c r="F2519" t="s" s="2">
        <f>HYPERLINK("http://ts.21cn.com/tousu/show/id/1371435","http://ts.21cn.com/tousu/show/id/1371435")</f>
      </c>
      <c r="G2519" t="s" s="2">
        <v>17</v>
      </c>
      <c r="H2519" t="s" s="2">
        <v>19</v>
      </c>
      <c r="I2519" t="s" s="2">
        <v>9869</v>
      </c>
      <c r="J2519" t="s" s="2">
        <v>9870</v>
      </c>
      <c r="K2519" t="s" s="2">
        <v>22</v>
      </c>
      <c r="L2519" t="s" s="2">
        <v>22</v>
      </c>
      <c r="M2519" t="s" s="2">
        <v>22</v>
      </c>
    </row>
    <row r="2520" ht="25.0" customHeight="true">
      <c r="A2520" t="s" s="2">
        <v>13</v>
      </c>
      <c r="B2520" t="s" s="2">
        <f>HYPERLINK("http://ts.21cn.com/tousu/show/id/1371433","专插本机构不退款")</f>
      </c>
      <c r="C2520" t="s" s="2">
        <v>15</v>
      </c>
      <c r="D2520" t="s" s="2">
        <v>16</v>
      </c>
      <c r="E2520" t="s" s="2">
        <v>17</v>
      </c>
      <c r="F2520" t="s" s="2">
        <f>HYPERLINK("http://ts.21cn.com/tousu/show/id/1371433","http://ts.21cn.com/tousu/show/id/1371433")</f>
      </c>
      <c r="G2520" t="s" s="2">
        <v>17</v>
      </c>
      <c r="H2520" t="s" s="2">
        <v>19</v>
      </c>
      <c r="I2520" t="s" s="2">
        <v>9873</v>
      </c>
      <c r="J2520" t="s" s="2">
        <v>9874</v>
      </c>
      <c r="K2520" t="s" s="2">
        <v>22</v>
      </c>
      <c r="L2520" t="s" s="2">
        <v>22</v>
      </c>
      <c r="M2520" t="s" s="2">
        <v>22</v>
      </c>
    </row>
    <row r="2521" ht="25.0" customHeight="true">
      <c r="A2521" t="s" s="2">
        <v>13</v>
      </c>
      <c r="B2521" t="s" s="2">
        <f>HYPERLINK("http://ts.21cn.com/tousu/show/id/1371434","急用钱平台电话威胁爆通讯录")</f>
      </c>
      <c r="C2521" t="s" s="2">
        <v>15</v>
      </c>
      <c r="D2521" t="s" s="2">
        <v>16</v>
      </c>
      <c r="E2521" t="s" s="2">
        <v>17</v>
      </c>
      <c r="F2521" t="s" s="2">
        <f>HYPERLINK("http://ts.21cn.com/tousu/show/id/1371434","http://ts.21cn.com/tousu/show/id/1371434")</f>
      </c>
      <c r="G2521" t="s" s="2">
        <v>17</v>
      </c>
      <c r="H2521" t="s" s="2">
        <v>19</v>
      </c>
      <c r="I2521" t="s" s="2">
        <v>9877</v>
      </c>
      <c r="J2521" t="s" s="2">
        <v>9878</v>
      </c>
      <c r="K2521" t="s" s="2">
        <v>22</v>
      </c>
      <c r="L2521" t="s" s="2">
        <v>22</v>
      </c>
      <c r="M2521" t="s" s="2">
        <v>22</v>
      </c>
    </row>
    <row r="2522" ht="25.0" customHeight="true">
      <c r="A2522" t="s" s="2">
        <v>13</v>
      </c>
      <c r="B2522" t="s" s="2">
        <f>HYPERLINK("http://ts.21cn.com/tousu/show/id/1371430","江苏移动无限卡为什么在扬州不能补卡")</f>
      </c>
      <c r="C2522" t="s" s="2">
        <v>15</v>
      </c>
      <c r="D2522" t="s" s="2">
        <v>16</v>
      </c>
      <c r="E2522" t="s" s="2">
        <v>17</v>
      </c>
      <c r="F2522" t="s" s="2">
        <f>HYPERLINK("http://ts.21cn.com/tousu/show/id/1371430","http://ts.21cn.com/tousu/show/id/1371430")</f>
      </c>
      <c r="G2522" t="s" s="2">
        <v>17</v>
      </c>
      <c r="H2522" t="s" s="2">
        <v>19</v>
      </c>
      <c r="I2522" t="s" s="2">
        <v>9881</v>
      </c>
      <c r="J2522" t="s" s="2">
        <v>9882</v>
      </c>
      <c r="K2522" t="s" s="2">
        <v>22</v>
      </c>
      <c r="L2522" t="s" s="2">
        <v>22</v>
      </c>
      <c r="M2522" t="s" s="2">
        <v>22</v>
      </c>
    </row>
    <row r="2523" ht="25.0" customHeight="true">
      <c r="A2523" t="s" s="2">
        <v>13</v>
      </c>
      <c r="B2523" t="s" s="2">
        <f>HYPERLINK("http://ts.21cn.com/tousu/show/id/1371429","建设信用卡收取违约金不合理")</f>
      </c>
      <c r="C2523" t="s" s="2">
        <v>15</v>
      </c>
      <c r="D2523" t="s" s="2">
        <v>16</v>
      </c>
      <c r="E2523" t="s" s="2">
        <v>17</v>
      </c>
      <c r="F2523" t="s" s="2">
        <f>HYPERLINK("http://ts.21cn.com/tousu/show/id/1371429","http://ts.21cn.com/tousu/show/id/1371429")</f>
      </c>
      <c r="G2523" t="s" s="2">
        <v>17</v>
      </c>
      <c r="H2523" t="s" s="2">
        <v>19</v>
      </c>
      <c r="I2523" t="s" s="2">
        <v>9885</v>
      </c>
      <c r="J2523" t="s" s="2">
        <v>9886</v>
      </c>
      <c r="K2523" t="s" s="2">
        <v>22</v>
      </c>
      <c r="L2523" t="s" s="2">
        <v>22</v>
      </c>
      <c r="M2523" t="s" s="2">
        <v>22</v>
      </c>
    </row>
    <row r="2524" ht="25.0" customHeight="true">
      <c r="A2524" t="s" s="2">
        <v>13</v>
      </c>
      <c r="B2524" t="s" s="2">
        <f>HYPERLINK("http://ts.21cn.com/tousu/show/id/1371431","高利贷砍头息")</f>
      </c>
      <c r="C2524" t="s" s="2">
        <v>15</v>
      </c>
      <c r="D2524" t="s" s="2">
        <v>16</v>
      </c>
      <c r="E2524" t="s" s="2">
        <v>17</v>
      </c>
      <c r="F2524" t="s" s="2">
        <f>HYPERLINK("http://ts.21cn.com/tousu/show/id/1371431","http://ts.21cn.com/tousu/show/id/1371431")</f>
      </c>
      <c r="G2524" t="s" s="2">
        <v>17</v>
      </c>
      <c r="H2524" t="s" s="2">
        <v>19</v>
      </c>
      <c r="I2524" t="s" s="2">
        <v>9888</v>
      </c>
      <c r="J2524" t="s" s="2">
        <v>9889</v>
      </c>
      <c r="K2524" t="s" s="2">
        <v>22</v>
      </c>
      <c r="L2524" t="s" s="2">
        <v>22</v>
      </c>
      <c r="M2524" t="s" s="2">
        <v>22</v>
      </c>
    </row>
    <row r="2525" ht="25.0" customHeight="true">
      <c r="A2525" t="s" s="2">
        <v>13</v>
      </c>
      <c r="B2525" t="s" s="2">
        <f>HYPERLINK("http://ts.21cn.com/tousu/show/id/1371428","投诉及贷暴力催收")</f>
      </c>
      <c r="C2525" t="s" s="2">
        <v>15</v>
      </c>
      <c r="D2525" t="s" s="2">
        <v>16</v>
      </c>
      <c r="E2525" t="s" s="2">
        <v>17</v>
      </c>
      <c r="F2525" t="s" s="2">
        <f>HYPERLINK("http://ts.21cn.com/tousu/show/id/1371428","http://ts.21cn.com/tousu/show/id/1371428")</f>
      </c>
      <c r="G2525" t="s" s="2">
        <v>17</v>
      </c>
      <c r="H2525" t="s" s="2">
        <v>19</v>
      </c>
      <c r="I2525" t="s" s="2">
        <v>9892</v>
      </c>
      <c r="J2525" t="s" s="2">
        <v>9893</v>
      </c>
      <c r="K2525" t="s" s="2">
        <v>22</v>
      </c>
      <c r="L2525" t="s" s="2">
        <v>22</v>
      </c>
      <c r="M2525" t="s" s="2">
        <v>22</v>
      </c>
    </row>
    <row r="2526" ht="25.0" customHeight="true">
      <c r="A2526" t="s" s="2">
        <v>13</v>
      </c>
      <c r="B2526" t="s" s="2">
        <f>HYPERLINK("http://ts.21cn.com/tousu/show/id/1371427","钱站高利贷阴阳合同砍头息")</f>
      </c>
      <c r="C2526" t="s" s="2">
        <v>15</v>
      </c>
      <c r="D2526" t="s" s="2">
        <v>16</v>
      </c>
      <c r="E2526" t="s" s="2">
        <v>17</v>
      </c>
      <c r="F2526" t="s" s="2">
        <f>HYPERLINK("http://ts.21cn.com/tousu/show/id/1371427","http://ts.21cn.com/tousu/show/id/1371427")</f>
      </c>
      <c r="G2526" t="s" s="2">
        <v>17</v>
      </c>
      <c r="H2526" t="s" s="2">
        <v>19</v>
      </c>
      <c r="I2526" t="s" s="2">
        <v>9896</v>
      </c>
      <c r="J2526" t="s" s="2">
        <v>9897</v>
      </c>
      <c r="K2526" t="s" s="2">
        <v>22</v>
      </c>
      <c r="L2526" t="s" s="2">
        <v>22</v>
      </c>
      <c r="M2526" t="s" s="2">
        <v>22</v>
      </c>
    </row>
    <row r="2527" ht="25.0" customHeight="true">
      <c r="A2527" t="s" s="2">
        <v>13</v>
      </c>
      <c r="B2527" t="s" s="2">
        <f>HYPERLINK("http://ts.21cn.com/tousu/show/id/1371415","淘集集不发货")</f>
      </c>
      <c r="C2527" t="s" s="2">
        <v>15</v>
      </c>
      <c r="D2527" t="s" s="2">
        <v>16</v>
      </c>
      <c r="E2527" t="s" s="2">
        <v>17</v>
      </c>
      <c r="F2527" t="s" s="2">
        <f>HYPERLINK("http://ts.21cn.com/tousu/show/id/1371415","http://ts.21cn.com/tousu/show/id/1371415")</f>
      </c>
      <c r="G2527" t="s" s="2">
        <v>17</v>
      </c>
      <c r="H2527" t="s" s="2">
        <v>19</v>
      </c>
      <c r="I2527" t="s" s="2">
        <v>9900</v>
      </c>
      <c r="J2527" t="s" s="2">
        <v>9901</v>
      </c>
      <c r="K2527" t="s" s="2">
        <v>22</v>
      </c>
      <c r="L2527" t="s" s="2">
        <v>22</v>
      </c>
      <c r="M2527" t="s" s="2">
        <v>22</v>
      </c>
    </row>
    <row r="2528" ht="25.0" customHeight="true">
      <c r="A2528" t="s" s="2">
        <v>13</v>
      </c>
      <c r="B2528" t="s" s="2">
        <f>HYPERLINK("http://ts.21cn.com/tousu/show/id/1371426","要求全额负责维修费")</f>
      </c>
      <c r="C2528" t="s" s="2">
        <v>52</v>
      </c>
      <c r="D2528" t="s" s="2">
        <v>16</v>
      </c>
      <c r="E2528" t="s" s="2">
        <v>17</v>
      </c>
      <c r="F2528" t="s" s="2">
        <f>HYPERLINK("http://ts.21cn.com/tousu/show/id/1371426","http://ts.21cn.com/tousu/show/id/1371426")</f>
      </c>
      <c r="G2528" t="s" s="2">
        <v>17</v>
      </c>
      <c r="H2528" t="s" s="2">
        <v>19</v>
      </c>
      <c r="I2528" t="s" s="2">
        <v>9904</v>
      </c>
      <c r="J2528" t="s" s="2">
        <v>9905</v>
      </c>
      <c r="K2528" t="s" s="2">
        <v>22</v>
      </c>
      <c r="L2528" t="s" s="2">
        <v>22</v>
      </c>
      <c r="M2528" t="s" s="2">
        <v>22</v>
      </c>
    </row>
    <row r="2529" ht="25.0" customHeight="true">
      <c r="A2529" t="s" s="2">
        <v>13</v>
      </c>
      <c r="B2529" t="s" s="2">
        <f>HYPERLINK("http://ts.21cn.com/tousu/show/id/1371425","贷上钱暴力催收态度极其恶劣")</f>
      </c>
      <c r="C2529" t="s" s="2">
        <v>15</v>
      </c>
      <c r="D2529" t="s" s="2">
        <v>16</v>
      </c>
      <c r="E2529" t="s" s="2">
        <v>17</v>
      </c>
      <c r="F2529" t="s" s="2">
        <f>HYPERLINK("http://ts.21cn.com/tousu/show/id/1371425","http://ts.21cn.com/tousu/show/id/1371425")</f>
      </c>
      <c r="G2529" t="s" s="2">
        <v>17</v>
      </c>
      <c r="H2529" t="s" s="2">
        <v>19</v>
      </c>
      <c r="I2529" t="s" s="2">
        <v>9908</v>
      </c>
      <c r="J2529" t="s" s="2">
        <v>9909</v>
      </c>
      <c r="K2529" t="s" s="2">
        <v>22</v>
      </c>
      <c r="L2529" t="s" s="2">
        <v>22</v>
      </c>
      <c r="M2529" t="s" s="2">
        <v>22</v>
      </c>
    </row>
    <row r="2530" ht="25.0" customHeight="true">
      <c r="A2530" t="s" s="2">
        <v>13</v>
      </c>
      <c r="B2530" t="s" s="2">
        <f>HYPERLINK("http://ts.21cn.com/tousu/show/id/1371424","与客服协商好后仍暴力催收")</f>
      </c>
      <c r="C2530" t="s" s="2">
        <v>15</v>
      </c>
      <c r="D2530" t="s" s="2">
        <v>16</v>
      </c>
      <c r="E2530" t="s" s="2">
        <v>17</v>
      </c>
      <c r="F2530" t="s" s="2">
        <f>HYPERLINK("http://ts.21cn.com/tousu/show/id/1371424","http://ts.21cn.com/tousu/show/id/1371424")</f>
      </c>
      <c r="G2530" t="s" s="2">
        <v>17</v>
      </c>
      <c r="H2530" t="s" s="2">
        <v>19</v>
      </c>
      <c r="I2530" t="s" s="2">
        <v>9912</v>
      </c>
      <c r="J2530" t="s" s="2">
        <v>9913</v>
      </c>
      <c r="K2530" t="s" s="2">
        <v>22</v>
      </c>
      <c r="L2530" t="s" s="2">
        <v>22</v>
      </c>
      <c r="M2530" t="s" s="2">
        <v>22</v>
      </c>
    </row>
    <row r="2531" ht="25.0" customHeight="true">
      <c r="A2531" t="s" s="2">
        <v>13</v>
      </c>
      <c r="B2531" t="s" s="2">
        <f>HYPERLINK("http://ts.21cn.com/tousu/show/id/1371423","ppmoeny擅自搭建保险平台收取保险费，高利贷")</f>
      </c>
      <c r="C2531" t="s" s="2">
        <v>15</v>
      </c>
      <c r="D2531" t="s" s="2">
        <v>16</v>
      </c>
      <c r="E2531" t="s" s="2">
        <v>17</v>
      </c>
      <c r="F2531" t="s" s="2">
        <f>HYPERLINK("http://ts.21cn.com/tousu/show/id/1371423","http://ts.21cn.com/tousu/show/id/1371423")</f>
      </c>
      <c r="G2531" t="s" s="2">
        <v>17</v>
      </c>
      <c r="H2531" t="s" s="2">
        <v>19</v>
      </c>
      <c r="I2531" t="s" s="2">
        <v>9916</v>
      </c>
      <c r="J2531" t="s" s="2">
        <v>9917</v>
      </c>
      <c r="K2531" t="s" s="2">
        <v>22</v>
      </c>
      <c r="L2531" t="s" s="2">
        <v>22</v>
      </c>
      <c r="M2531" t="s" s="2">
        <v>22</v>
      </c>
    </row>
    <row r="2532" ht="25.0" customHeight="true">
      <c r="A2532" t="s" s="2">
        <v>13</v>
      </c>
      <c r="B2532" t="s" s="2">
        <f>HYPERLINK("http://ts.21cn.com/tousu/show/id/1371421","钱橙无忧随意扣费")</f>
      </c>
      <c r="C2532" t="s" s="2">
        <v>52</v>
      </c>
      <c r="D2532" t="s" s="2">
        <v>16</v>
      </c>
      <c r="E2532" t="s" s="2">
        <v>17</v>
      </c>
      <c r="F2532" t="s" s="2">
        <f>HYPERLINK("http://ts.21cn.com/tousu/show/id/1371421","http://ts.21cn.com/tousu/show/id/1371421")</f>
      </c>
      <c r="G2532" t="s" s="2">
        <v>17</v>
      </c>
      <c r="H2532" t="s" s="2">
        <v>19</v>
      </c>
      <c r="I2532" t="s" s="2">
        <v>9919</v>
      </c>
      <c r="J2532" t="s" s="2">
        <v>9920</v>
      </c>
      <c r="K2532" t="s" s="2">
        <v>22</v>
      </c>
      <c r="L2532" t="s" s="2">
        <v>22</v>
      </c>
      <c r="M2532" t="s" s="2">
        <v>22</v>
      </c>
    </row>
    <row r="2533" ht="25.0" customHeight="true">
      <c r="A2533" t="s" s="2">
        <v>13</v>
      </c>
      <c r="B2533" t="s" s="2">
        <f>HYPERLINK("http://ts.21cn.com/tousu/show/id/1371420","闪送平台肆意更改合作条件")</f>
      </c>
      <c r="C2533" t="s" s="2">
        <v>15</v>
      </c>
      <c r="D2533" t="s" s="2">
        <v>16</v>
      </c>
      <c r="E2533" t="s" s="2">
        <v>17</v>
      </c>
      <c r="F2533" t="s" s="2">
        <f>HYPERLINK("http://ts.21cn.com/tousu/show/id/1371420","http://ts.21cn.com/tousu/show/id/1371420")</f>
      </c>
      <c r="G2533" t="s" s="2">
        <v>17</v>
      </c>
      <c r="H2533" t="s" s="2">
        <v>19</v>
      </c>
      <c r="I2533" t="s" s="2">
        <v>9923</v>
      </c>
      <c r="J2533" t="s" s="2">
        <v>9924</v>
      </c>
      <c r="K2533" t="s" s="2">
        <v>22</v>
      </c>
      <c r="L2533" t="s" s="2">
        <v>22</v>
      </c>
      <c r="M2533" t="s" s="2">
        <v>22</v>
      </c>
    </row>
    <row r="2534" ht="25.0" customHeight="true">
      <c r="A2534" t="s" s="2">
        <v>13</v>
      </c>
      <c r="B2534" t="s" s="2">
        <f>HYPERLINK("http://ts.21cn.com/tousu/show/id/1371422","合利宝支付为高利贷平台放款")</f>
      </c>
      <c r="C2534" t="s" s="2">
        <v>15</v>
      </c>
      <c r="D2534" t="s" s="2">
        <v>16</v>
      </c>
      <c r="E2534" t="s" s="2">
        <v>17</v>
      </c>
      <c r="F2534" t="s" s="2">
        <f>HYPERLINK("http://ts.21cn.com/tousu/show/id/1371422","http://ts.21cn.com/tousu/show/id/1371422")</f>
      </c>
      <c r="G2534" t="s" s="2">
        <v>17</v>
      </c>
      <c r="H2534" t="s" s="2">
        <v>19</v>
      </c>
      <c r="I2534" t="s" s="2">
        <v>9927</v>
      </c>
      <c r="J2534" t="s" s="2">
        <v>9928</v>
      </c>
      <c r="K2534" t="s" s="2">
        <v>22</v>
      </c>
      <c r="L2534" t="s" s="2">
        <v>22</v>
      </c>
      <c r="M2534" t="s" s="2">
        <v>22</v>
      </c>
    </row>
    <row r="2535" ht="25.0" customHeight="true">
      <c r="A2535" t="s" s="2">
        <v>13</v>
      </c>
      <c r="B2535" t="s" s="2">
        <f>HYPERLINK("http://ts.21cn.com/tousu/show/id/1371419","钱站高额利息和违约金")</f>
      </c>
      <c r="C2535" t="s" s="2">
        <v>15</v>
      </c>
      <c r="D2535" t="s" s="2">
        <v>16</v>
      </c>
      <c r="E2535" t="s" s="2">
        <v>17</v>
      </c>
      <c r="F2535" t="s" s="2">
        <f>HYPERLINK("http://ts.21cn.com/tousu/show/id/1371419","http://ts.21cn.com/tousu/show/id/1371419")</f>
      </c>
      <c r="G2535" t="s" s="2">
        <v>17</v>
      </c>
      <c r="H2535" t="s" s="2">
        <v>19</v>
      </c>
      <c r="I2535" t="s" s="2">
        <v>9931</v>
      </c>
      <c r="J2535" t="s" s="2">
        <v>9932</v>
      </c>
      <c r="K2535" t="s" s="2">
        <v>22</v>
      </c>
      <c r="L2535" t="s" s="2">
        <v>22</v>
      </c>
      <c r="M2535" t="s" s="2">
        <v>22</v>
      </c>
    </row>
    <row r="2536" ht="25.0" customHeight="true">
      <c r="A2536" t="s" s="2">
        <v>13</v>
      </c>
      <c r="B2536" t="s" s="2">
        <f>HYPERLINK("http://ts.21cn.com/tousu/show/id/1371418","众安处理问题拖沓，推卸责任，无视国家明文规定")</f>
      </c>
      <c r="C2536" t="s" s="2">
        <v>15</v>
      </c>
      <c r="D2536" t="s" s="2">
        <v>16</v>
      </c>
      <c r="E2536" t="s" s="2">
        <v>17</v>
      </c>
      <c r="F2536" t="s" s="2">
        <f>HYPERLINK("http://ts.21cn.com/tousu/show/id/1371418","http://ts.21cn.com/tousu/show/id/1371418")</f>
      </c>
      <c r="G2536" t="s" s="2">
        <v>17</v>
      </c>
      <c r="H2536" t="s" s="2">
        <v>19</v>
      </c>
      <c r="I2536" t="s" s="2">
        <v>9935</v>
      </c>
      <c r="J2536" t="s" s="2">
        <v>9936</v>
      </c>
      <c r="K2536" t="s" s="2">
        <v>22</v>
      </c>
      <c r="L2536" t="s" s="2">
        <v>22</v>
      </c>
      <c r="M2536" t="s" s="2">
        <v>22</v>
      </c>
    </row>
    <row r="2537" ht="25.0" customHeight="true">
      <c r="A2537" t="s" s="2">
        <v>13</v>
      </c>
      <c r="B2537" t="s" s="2">
        <f>HYPERLINK("http://ts.21cn.com/tousu/show/id/1371412","联动优势上海分公司恶意扣费")</f>
      </c>
      <c r="C2537" t="s" s="2">
        <v>15</v>
      </c>
      <c r="D2537" t="s" s="2">
        <v>16</v>
      </c>
      <c r="E2537" t="s" s="2">
        <v>17</v>
      </c>
      <c r="F2537" t="s" s="2">
        <f>HYPERLINK("http://ts.21cn.com/tousu/show/id/1371412","http://ts.21cn.com/tousu/show/id/1371412")</f>
      </c>
      <c r="G2537" t="s" s="2">
        <v>17</v>
      </c>
      <c r="H2537" t="s" s="2">
        <v>19</v>
      </c>
      <c r="I2537" t="s" s="2">
        <v>9939</v>
      </c>
      <c r="J2537" t="s" s="2">
        <v>9940</v>
      </c>
      <c r="K2537" t="s" s="2">
        <v>22</v>
      </c>
      <c r="L2537" t="s" s="2">
        <v>22</v>
      </c>
      <c r="M2537" t="s" s="2">
        <v>22</v>
      </c>
    </row>
    <row r="2538" ht="25.0" customHeight="true">
      <c r="A2538" t="s" s="2">
        <v>13</v>
      </c>
      <c r="B2538" t="s" s="2">
        <f>HYPERLINK("http://ts.21cn.com/tousu/show/id/1371414","360借条电话骚扰")</f>
      </c>
      <c r="C2538" t="s" s="2">
        <v>15</v>
      </c>
      <c r="D2538" t="s" s="2">
        <v>16</v>
      </c>
      <c r="E2538" t="s" s="2">
        <v>17</v>
      </c>
      <c r="F2538" t="s" s="2">
        <f>HYPERLINK("http://ts.21cn.com/tousu/show/id/1371414","http://ts.21cn.com/tousu/show/id/1371414")</f>
      </c>
      <c r="G2538" t="s" s="2">
        <v>17</v>
      </c>
      <c r="H2538" t="s" s="2">
        <v>19</v>
      </c>
      <c r="I2538" t="s" s="2">
        <v>9943</v>
      </c>
      <c r="J2538" t="s" s="2">
        <v>9944</v>
      </c>
      <c r="K2538" t="s" s="2">
        <v>22</v>
      </c>
      <c r="L2538" t="s" s="2">
        <v>22</v>
      </c>
      <c r="M2538" t="s" s="2">
        <v>22</v>
      </c>
    </row>
    <row r="2539" ht="25.0" customHeight="true">
      <c r="A2539" t="s" s="2">
        <v>13</v>
      </c>
      <c r="B2539" t="s" s="2">
        <f>HYPERLINK("http://ts.21cn.com/tousu/show/id/1371411","之前被曝光通讯录，挨个给亲朋好友打电话")</f>
      </c>
      <c r="C2539" t="s" s="2">
        <v>15</v>
      </c>
      <c r="D2539" t="s" s="2">
        <v>16</v>
      </c>
      <c r="E2539" t="s" s="2">
        <v>17</v>
      </c>
      <c r="F2539" t="s" s="2">
        <f>HYPERLINK("http://ts.21cn.com/tousu/show/id/1371411","http://ts.21cn.com/tousu/show/id/1371411")</f>
      </c>
      <c r="G2539" t="s" s="2">
        <v>17</v>
      </c>
      <c r="H2539" t="s" s="2">
        <v>19</v>
      </c>
      <c r="I2539" t="s" s="2">
        <v>9947</v>
      </c>
      <c r="J2539" t="s" s="2">
        <v>9948</v>
      </c>
      <c r="K2539" t="s" s="2">
        <v>22</v>
      </c>
      <c r="L2539" t="s" s="2">
        <v>22</v>
      </c>
      <c r="M2539" t="s" s="2">
        <v>22</v>
      </c>
    </row>
    <row r="2540" ht="25.0" customHeight="true">
      <c r="A2540" t="s" s="2">
        <v>13</v>
      </c>
      <c r="B2540" t="s" s="2">
        <f>HYPERLINK("http://ts.21cn.com/tousu/show/id/1371410","乱给家人和通讯录打电话骚扰")</f>
      </c>
      <c r="C2540" t="s" s="2">
        <v>15</v>
      </c>
      <c r="D2540" t="s" s="2">
        <v>16</v>
      </c>
      <c r="E2540" t="s" s="2">
        <v>17</v>
      </c>
      <c r="F2540" t="s" s="2">
        <f>HYPERLINK("http://ts.21cn.com/tousu/show/id/1371410","http://ts.21cn.com/tousu/show/id/1371410")</f>
      </c>
      <c r="G2540" t="s" s="2">
        <v>17</v>
      </c>
      <c r="H2540" t="s" s="2">
        <v>19</v>
      </c>
      <c r="I2540" t="s" s="2">
        <v>9951</v>
      </c>
      <c r="J2540" t="s" s="2">
        <v>9952</v>
      </c>
      <c r="K2540" t="s" s="2">
        <v>22</v>
      </c>
      <c r="L2540" t="s" s="2">
        <v>22</v>
      </c>
      <c r="M2540" t="s" s="2">
        <v>22</v>
      </c>
    </row>
    <row r="2541" ht="25.0" customHeight="true">
      <c r="A2541" t="s" s="2">
        <v>13</v>
      </c>
      <c r="B2541" t="s" s="2">
        <f>HYPERLINK("http://ts.21cn.com/tousu/show/id/1371409","玖富万卡补差额各种理由拖延不退款")</f>
      </c>
      <c r="C2541" t="s" s="2">
        <v>15</v>
      </c>
      <c r="D2541" t="s" s="2">
        <v>16</v>
      </c>
      <c r="E2541" t="s" s="2">
        <v>17</v>
      </c>
      <c r="F2541" t="s" s="2">
        <f>HYPERLINK("http://ts.21cn.com/tousu/show/id/1371409","http://ts.21cn.com/tousu/show/id/1371409")</f>
      </c>
      <c r="G2541" t="s" s="2">
        <v>17</v>
      </c>
      <c r="H2541" t="s" s="2">
        <v>19</v>
      </c>
      <c r="I2541" t="s" s="2">
        <v>9955</v>
      </c>
      <c r="J2541" t="s" s="2">
        <v>9956</v>
      </c>
      <c r="K2541" t="s" s="2">
        <v>22</v>
      </c>
      <c r="L2541" t="s" s="2">
        <v>22</v>
      </c>
      <c r="M2541" t="s" s="2">
        <v>22</v>
      </c>
    </row>
    <row r="2542" ht="25.0" customHeight="true">
      <c r="A2542" t="s" s="2">
        <v>13</v>
      </c>
      <c r="B2542" t="s" s="2">
        <f>HYPERLINK("http://ts.21cn.com/tousu/show/id/1371408","小赢卡贷高风险中心")</f>
      </c>
      <c r="C2542" t="s" s="2">
        <v>52</v>
      </c>
      <c r="D2542" t="s" s="2">
        <v>16</v>
      </c>
      <c r="E2542" t="s" s="2">
        <v>17</v>
      </c>
      <c r="F2542" t="s" s="2">
        <f>HYPERLINK("http://ts.21cn.com/tousu/show/id/1371408","http://ts.21cn.com/tousu/show/id/1371408")</f>
      </c>
      <c r="G2542" t="s" s="2">
        <v>17</v>
      </c>
      <c r="H2542" t="s" s="2">
        <v>19</v>
      </c>
      <c r="I2542" t="s" s="2">
        <v>9959</v>
      </c>
      <c r="J2542" t="s" s="2">
        <v>9960</v>
      </c>
      <c r="K2542" t="s" s="2">
        <v>22</v>
      </c>
      <c r="L2542" t="s" s="2">
        <v>22</v>
      </c>
      <c r="M2542" t="s" s="2">
        <v>22</v>
      </c>
    </row>
    <row r="2543" ht="25.0" customHeight="true">
      <c r="A2543" t="s" s="2">
        <v>13</v>
      </c>
      <c r="B2543" t="s" s="2">
        <f>HYPERLINK("http://ts.21cn.com/tousu/show/id/1371407","在花卡速借款多次，期限7天，1000元，到账750畅捷支付为其提供的放款")</f>
      </c>
      <c r="C2543" t="s" s="2">
        <v>15</v>
      </c>
      <c r="D2543" t="s" s="2">
        <v>16</v>
      </c>
      <c r="E2543" t="s" s="2">
        <v>17</v>
      </c>
      <c r="F2543" t="s" s="2">
        <f>HYPERLINK("http://ts.21cn.com/tousu/show/id/1371407","http://ts.21cn.com/tousu/show/id/1371407")</f>
      </c>
      <c r="G2543" t="s" s="2">
        <v>17</v>
      </c>
      <c r="H2543" t="s" s="2">
        <v>19</v>
      </c>
      <c r="I2543" t="s" s="2">
        <v>9963</v>
      </c>
      <c r="J2543" t="s" s="2">
        <v>9964</v>
      </c>
      <c r="K2543" t="s" s="2">
        <v>22</v>
      </c>
      <c r="L2543" t="s" s="2">
        <v>22</v>
      </c>
      <c r="M2543" t="s" s="2">
        <v>22</v>
      </c>
    </row>
    <row r="2544" ht="25.0" customHeight="true">
      <c r="A2544" t="s" s="2">
        <v>13</v>
      </c>
      <c r="B2544" t="s" s="2">
        <f>HYPERLINK("http://ts.21cn.com/tousu/show/id/1371406","逾期3天，平台拨打通讯录内非预留紧急联系人骚扰催收。")</f>
      </c>
      <c r="C2544" t="s" s="2">
        <v>15</v>
      </c>
      <c r="D2544" t="s" s="2">
        <v>16</v>
      </c>
      <c r="E2544" t="s" s="2">
        <v>17</v>
      </c>
      <c r="F2544" t="s" s="2">
        <f>HYPERLINK("http://ts.21cn.com/tousu/show/id/1371406","http://ts.21cn.com/tousu/show/id/1371406")</f>
      </c>
      <c r="G2544" t="s" s="2">
        <v>17</v>
      </c>
      <c r="H2544" t="s" s="2">
        <v>19</v>
      </c>
      <c r="I2544" t="s" s="2">
        <v>9967</v>
      </c>
      <c r="J2544" t="s" s="2">
        <v>9968</v>
      </c>
      <c r="K2544" t="s" s="2">
        <v>22</v>
      </c>
      <c r="L2544" t="s" s="2">
        <v>22</v>
      </c>
      <c r="M2544" t="s" s="2">
        <v>22</v>
      </c>
    </row>
    <row r="2545" ht="25.0" customHeight="true">
      <c r="A2545" t="s" s="2">
        <v>13</v>
      </c>
      <c r="B2545" t="s" s="2">
        <f>HYPERLINK("http://ts.21cn.com/tousu/show/id/1371404","上海富友为高利贷平台违规放款")</f>
      </c>
      <c r="C2545" t="s" s="2">
        <v>15</v>
      </c>
      <c r="D2545" t="s" s="2">
        <v>16</v>
      </c>
      <c r="E2545" t="s" s="2">
        <v>17</v>
      </c>
      <c r="F2545" t="s" s="2">
        <f>HYPERLINK("http://ts.21cn.com/tousu/show/id/1371404","http://ts.21cn.com/tousu/show/id/1371404")</f>
      </c>
      <c r="G2545" t="s" s="2">
        <v>17</v>
      </c>
      <c r="H2545" t="s" s="2">
        <v>19</v>
      </c>
      <c r="I2545" t="s" s="2">
        <v>9971</v>
      </c>
      <c r="J2545" t="s" s="2">
        <v>9972</v>
      </c>
      <c r="K2545" t="s" s="2">
        <v>22</v>
      </c>
      <c r="L2545" t="s" s="2">
        <v>22</v>
      </c>
      <c r="M2545" t="s" s="2">
        <v>22</v>
      </c>
    </row>
    <row r="2546" ht="25.0" customHeight="true">
      <c r="A2546" t="s" s="2">
        <v>13</v>
      </c>
      <c r="B2546" t="s" s="2">
        <f>HYPERLINK("http://ts.21cn.com/tousu/show/id/1371405","51人品贷黑心高利贷，暴利催收骚扰联系人")</f>
      </c>
      <c r="C2546" t="s" s="2">
        <v>15</v>
      </c>
      <c r="D2546" t="s" s="2">
        <v>16</v>
      </c>
      <c r="E2546" t="s" s="2">
        <v>17</v>
      </c>
      <c r="F2546" t="s" s="2">
        <f>HYPERLINK("http://ts.21cn.com/tousu/show/id/1371405","http://ts.21cn.com/tousu/show/id/1371405")</f>
      </c>
      <c r="G2546" t="s" s="2">
        <v>17</v>
      </c>
      <c r="H2546" t="s" s="2">
        <v>19</v>
      </c>
      <c r="I2546" t="s" s="2">
        <v>9974</v>
      </c>
      <c r="J2546" t="s" s="2">
        <v>9975</v>
      </c>
      <c r="K2546" t="s" s="2">
        <v>22</v>
      </c>
      <c r="L2546" t="s" s="2">
        <v>22</v>
      </c>
      <c r="M2546" t="s" s="2">
        <v>22</v>
      </c>
    </row>
    <row r="2547" ht="25.0" customHeight="true">
      <c r="A2547" t="s" s="2">
        <v>13</v>
      </c>
      <c r="B2547" t="s" s="2">
        <f>HYPERLINK("http://ts.21cn.com/tousu/show/id/1371403","上海翰银.汇潮支付.天下支付违规为博彩网站提供支付通道要求退款")</f>
      </c>
      <c r="C2547" t="s" s="2">
        <v>15</v>
      </c>
      <c r="D2547" t="s" s="2">
        <v>16</v>
      </c>
      <c r="E2547" t="s" s="2">
        <v>17</v>
      </c>
      <c r="F2547" t="s" s="2">
        <f>HYPERLINK("http://ts.21cn.com/tousu/show/id/1371403","http://ts.21cn.com/tousu/show/id/1371403")</f>
      </c>
      <c r="G2547" t="s" s="2">
        <v>17</v>
      </c>
      <c r="H2547" t="s" s="2">
        <v>19</v>
      </c>
      <c r="I2547" t="s" s="2">
        <v>9978</v>
      </c>
      <c r="J2547" t="s" s="2">
        <v>9979</v>
      </c>
      <c r="K2547" t="s" s="2">
        <v>22</v>
      </c>
      <c r="L2547" t="s" s="2">
        <v>22</v>
      </c>
      <c r="M2547" t="s" s="2">
        <v>22</v>
      </c>
    </row>
    <row r="2548" ht="25.0" customHeight="true">
      <c r="A2548" t="s" s="2">
        <v>13</v>
      </c>
      <c r="B2548" t="s" s="2">
        <f>HYPERLINK("http://ts.21cn.com/tousu/show/id/1371361","爱疯回租id贷让绑定手机id")</f>
      </c>
      <c r="C2548" t="s" s="2">
        <v>15</v>
      </c>
      <c r="D2548" t="s" s="2">
        <v>16</v>
      </c>
      <c r="E2548" t="s" s="2">
        <v>17</v>
      </c>
      <c r="F2548" t="s" s="2">
        <f>HYPERLINK("http://ts.21cn.com/tousu/show/id/1371361","http://ts.21cn.com/tousu/show/id/1371361")</f>
      </c>
      <c r="G2548" t="s" s="2">
        <v>17</v>
      </c>
      <c r="H2548" t="s" s="2">
        <v>19</v>
      </c>
      <c r="I2548" t="s" s="2">
        <v>9982</v>
      </c>
      <c r="J2548" t="s" s="2">
        <v>9983</v>
      </c>
      <c r="K2548" t="s" s="2">
        <v>22</v>
      </c>
      <c r="L2548" t="s" s="2">
        <v>22</v>
      </c>
      <c r="M2548" t="s" s="2">
        <v>22</v>
      </c>
    </row>
    <row r="2549" ht="25.0" customHeight="true">
      <c r="A2549" t="s" s="2">
        <v>13</v>
      </c>
      <c r="B2549" t="s" s="2">
        <f>HYPERLINK("http://ts.21cn.com/tousu/show/id/1371402","借款失败，不退款")</f>
      </c>
      <c r="C2549" t="s" s="2">
        <v>15</v>
      </c>
      <c r="D2549" t="s" s="2">
        <v>16</v>
      </c>
      <c r="E2549" t="s" s="2">
        <v>17</v>
      </c>
      <c r="F2549" t="s" s="2">
        <f>HYPERLINK("http://ts.21cn.com/tousu/show/id/1371402","http://ts.21cn.com/tousu/show/id/1371402")</f>
      </c>
      <c r="G2549" t="s" s="2">
        <v>17</v>
      </c>
      <c r="H2549" t="s" s="2">
        <v>19</v>
      </c>
      <c r="I2549" t="s" s="2">
        <v>9986</v>
      </c>
      <c r="J2549" t="s" s="2">
        <v>9987</v>
      </c>
      <c r="K2549" t="s" s="2">
        <v>22</v>
      </c>
      <c r="L2549" t="s" s="2">
        <v>22</v>
      </c>
      <c r="M2549" t="s" s="2">
        <v>22</v>
      </c>
    </row>
    <row r="2550" ht="25.0" customHeight="true">
      <c r="A2550" t="s" s="2">
        <v>13</v>
      </c>
      <c r="B2550" t="s" s="2">
        <f>HYPERLINK("http://ts.21cn.com/tousu/show/id/1371401","闪银捆绑高额商品搭售，高额服务费")</f>
      </c>
      <c r="C2550" t="s" s="2">
        <v>15</v>
      </c>
      <c r="D2550" t="s" s="2">
        <v>16</v>
      </c>
      <c r="E2550" t="s" s="2">
        <v>17</v>
      </c>
      <c r="F2550" t="s" s="2">
        <f>HYPERLINK("http://ts.21cn.com/tousu/show/id/1371401","http://ts.21cn.com/tousu/show/id/1371401")</f>
      </c>
      <c r="G2550" t="s" s="2">
        <v>17</v>
      </c>
      <c r="H2550" t="s" s="2">
        <v>19</v>
      </c>
      <c r="I2550" t="s" s="2">
        <v>9990</v>
      </c>
      <c r="J2550" t="s" s="2">
        <v>9991</v>
      </c>
      <c r="K2550" t="s" s="2">
        <v>22</v>
      </c>
      <c r="L2550" t="s" s="2">
        <v>22</v>
      </c>
      <c r="M2550" t="s" s="2">
        <v>22</v>
      </c>
    </row>
    <row r="2551" ht="25.0" customHeight="true">
      <c r="A2551" t="s" s="2">
        <v>13</v>
      </c>
      <c r="B2551" t="s" s="2">
        <f>HYPERLINK("http://ts.21cn.com/tousu/show/id/1371400","交通银行信用卡乱收费")</f>
      </c>
      <c r="C2551" t="s" s="2">
        <v>15</v>
      </c>
      <c r="D2551" t="s" s="2">
        <v>16</v>
      </c>
      <c r="E2551" t="s" s="2">
        <v>17</v>
      </c>
      <c r="F2551" t="s" s="2">
        <f>HYPERLINK("http://ts.21cn.com/tousu/show/id/1371400","http://ts.21cn.com/tousu/show/id/1371400")</f>
      </c>
      <c r="G2551" t="s" s="2">
        <v>17</v>
      </c>
      <c r="H2551" t="s" s="2">
        <v>19</v>
      </c>
      <c r="I2551" t="s" s="2">
        <v>9994</v>
      </c>
      <c r="J2551" t="s" s="2">
        <v>9995</v>
      </c>
      <c r="K2551" t="s" s="2">
        <v>22</v>
      </c>
      <c r="L2551" t="s" s="2">
        <v>22</v>
      </c>
      <c r="M2551" t="s" s="2">
        <v>22</v>
      </c>
    </row>
    <row r="2552" ht="25.0" customHeight="true">
      <c r="A2552" t="s" s="2">
        <v>13</v>
      </c>
      <c r="B2552" t="s" s="2">
        <f>HYPERLINK("http://ts.21cn.com/tousu/show/id/1371399","农行银行卡异常")</f>
      </c>
      <c r="C2552" t="s" s="2">
        <v>52</v>
      </c>
      <c r="D2552" t="s" s="2">
        <v>16</v>
      </c>
      <c r="E2552" t="s" s="2">
        <v>17</v>
      </c>
      <c r="F2552" t="s" s="2">
        <f>HYPERLINK("http://ts.21cn.com/tousu/show/id/1371399","http://ts.21cn.com/tousu/show/id/1371399")</f>
      </c>
      <c r="G2552" t="s" s="2">
        <v>17</v>
      </c>
      <c r="H2552" t="s" s="2">
        <v>19</v>
      </c>
      <c r="I2552" t="s" s="2">
        <v>9998</v>
      </c>
      <c r="J2552" t="s" s="2">
        <v>9999</v>
      </c>
      <c r="K2552" t="s" s="2">
        <v>22</v>
      </c>
      <c r="L2552" t="s" s="2">
        <v>22</v>
      </c>
      <c r="M2552" t="s" s="2">
        <v>22</v>
      </c>
    </row>
    <row r="2553" ht="25.0" customHeight="true">
      <c r="A2553" t="s" s="2">
        <v>13</v>
      </c>
      <c r="B2553" t="s" s="2">
        <f>HYPERLINK("http://ts.21cn.com/tousu/show/id/1371398","银行骚扰家人")</f>
      </c>
      <c r="C2553" t="s" s="2">
        <v>15</v>
      </c>
      <c r="D2553" t="s" s="2">
        <v>16</v>
      </c>
      <c r="E2553" t="s" s="2">
        <v>17</v>
      </c>
      <c r="F2553" t="s" s="2">
        <f>HYPERLINK("http://ts.21cn.com/tousu/show/id/1371398","http://ts.21cn.com/tousu/show/id/1371398")</f>
      </c>
      <c r="G2553" t="s" s="2">
        <v>17</v>
      </c>
      <c r="H2553" t="s" s="2">
        <v>19</v>
      </c>
      <c r="I2553" t="s" s="2">
        <v>10002</v>
      </c>
      <c r="J2553" t="s" s="2">
        <v>10003</v>
      </c>
      <c r="K2553" t="s" s="2">
        <v>22</v>
      </c>
      <c r="L2553" t="s" s="2">
        <v>22</v>
      </c>
      <c r="M2553" t="s" s="2">
        <v>22</v>
      </c>
    </row>
    <row r="2554" ht="25.0" customHeight="true">
      <c r="A2554" t="s" s="2">
        <v>13</v>
      </c>
      <c r="B2554" t="s" s="2">
        <f>HYPERLINK("http://ts.21cn.com/tousu/show/id/1371397","捷信公司乱扣款")</f>
      </c>
      <c r="C2554" t="s" s="2">
        <v>15</v>
      </c>
      <c r="D2554" t="s" s="2">
        <v>16</v>
      </c>
      <c r="E2554" t="s" s="2">
        <v>17</v>
      </c>
      <c r="F2554" t="s" s="2">
        <f>HYPERLINK("http://ts.21cn.com/tousu/show/id/1371397","http://ts.21cn.com/tousu/show/id/1371397")</f>
      </c>
      <c r="G2554" t="s" s="2">
        <v>17</v>
      </c>
      <c r="H2554" t="s" s="2">
        <v>19</v>
      </c>
      <c r="I2554" t="s" s="2">
        <v>10006</v>
      </c>
      <c r="J2554" t="s" s="2">
        <v>10007</v>
      </c>
      <c r="K2554" t="s" s="2">
        <v>22</v>
      </c>
      <c r="L2554" t="s" s="2">
        <v>22</v>
      </c>
      <c r="M2554" t="s" s="2">
        <v>22</v>
      </c>
    </row>
    <row r="2555" ht="25.0" customHeight="true">
      <c r="A2555" t="s" s="2">
        <v>13</v>
      </c>
      <c r="B2555" t="s" s="2">
        <f>HYPERLINK("http://ts.21cn.com/tousu/show/id/1371395","714高炮金银钱包")</f>
      </c>
      <c r="C2555" t="s" s="2">
        <v>15</v>
      </c>
      <c r="D2555" t="s" s="2">
        <v>16</v>
      </c>
      <c r="E2555" t="s" s="2">
        <v>17</v>
      </c>
      <c r="F2555" t="s" s="2">
        <f>HYPERLINK("http://ts.21cn.com/tousu/show/id/1371395","http://ts.21cn.com/tousu/show/id/1371395")</f>
      </c>
      <c r="G2555" t="s" s="2">
        <v>17</v>
      </c>
      <c r="H2555" t="s" s="2">
        <v>19</v>
      </c>
      <c r="I2555" t="s" s="2">
        <v>10010</v>
      </c>
      <c r="J2555" t="s" s="2">
        <v>10011</v>
      </c>
      <c r="K2555" t="s" s="2">
        <v>22</v>
      </c>
      <c r="L2555" t="s" s="2">
        <v>22</v>
      </c>
      <c r="M2555" t="s" s="2">
        <v>22</v>
      </c>
    </row>
    <row r="2556" ht="25.0" customHeight="true">
      <c r="A2556" t="s" s="2">
        <v>13</v>
      </c>
      <c r="B2556" t="s" s="2">
        <f>HYPERLINK("http://ts.21cn.com/tousu/show/id/1371394","苏宁易购出售质量问题机器不解决")</f>
      </c>
      <c r="C2556" t="s" s="2">
        <v>15</v>
      </c>
      <c r="D2556" t="s" s="2">
        <v>16</v>
      </c>
      <c r="E2556" t="s" s="2">
        <v>17</v>
      </c>
      <c r="F2556" t="s" s="2">
        <f>HYPERLINK("http://ts.21cn.com/tousu/show/id/1371394","http://ts.21cn.com/tousu/show/id/1371394")</f>
      </c>
      <c r="G2556" t="s" s="2">
        <v>17</v>
      </c>
      <c r="H2556" t="s" s="2">
        <v>19</v>
      </c>
      <c r="I2556" t="s" s="2">
        <v>10014</v>
      </c>
      <c r="J2556" t="s" s="2">
        <v>10015</v>
      </c>
      <c r="K2556" t="s" s="2">
        <v>22</v>
      </c>
      <c r="L2556" t="s" s="2">
        <v>22</v>
      </c>
      <c r="M2556" t="s" s="2">
        <v>22</v>
      </c>
    </row>
    <row r="2557" ht="25.0" customHeight="true">
      <c r="A2557" t="s" s="2">
        <v>13</v>
      </c>
      <c r="B2557" t="s" s="2">
        <f>HYPERLINK("http://ts.21cn.com/tousu/show/id/1371330","爱又米高额利息要求退取多收的利息和平台服务费")</f>
      </c>
      <c r="C2557" t="s" s="2">
        <v>15</v>
      </c>
      <c r="D2557" t="s" s="2">
        <v>16</v>
      </c>
      <c r="E2557" t="s" s="2">
        <v>17</v>
      </c>
      <c r="F2557" t="s" s="2">
        <f>HYPERLINK("http://ts.21cn.com/tousu/show/id/1371330","http://ts.21cn.com/tousu/show/id/1371330")</f>
      </c>
      <c r="G2557" t="s" s="2">
        <v>17</v>
      </c>
      <c r="H2557" t="s" s="2">
        <v>19</v>
      </c>
      <c r="I2557" t="s" s="2">
        <v>10018</v>
      </c>
      <c r="J2557" t="s" s="2">
        <v>10019</v>
      </c>
      <c r="K2557" t="s" s="2">
        <v>22</v>
      </c>
      <c r="L2557" t="s" s="2">
        <v>22</v>
      </c>
      <c r="M2557" t="s" s="2">
        <v>22</v>
      </c>
    </row>
    <row r="2558" ht="25.0" customHeight="true">
      <c r="A2558" t="s" s="2">
        <v>13</v>
      </c>
      <c r="B2558" t="s" s="2">
        <f>HYPERLINK("http://ts.21cn.com/tousu/show/id/1371392","乱骚扰")</f>
      </c>
      <c r="C2558" t="s" s="2">
        <v>15</v>
      </c>
      <c r="D2558" t="s" s="2">
        <v>16</v>
      </c>
      <c r="E2558" t="s" s="2">
        <v>17</v>
      </c>
      <c r="F2558" t="s" s="2">
        <f>HYPERLINK("http://ts.21cn.com/tousu/show/id/1371392","http://ts.21cn.com/tousu/show/id/1371392")</f>
      </c>
      <c r="G2558" t="s" s="2">
        <v>17</v>
      </c>
      <c r="H2558" t="s" s="2">
        <v>19</v>
      </c>
      <c r="I2558" t="s" s="2">
        <v>10022</v>
      </c>
      <c r="J2558" t="s" s="2">
        <v>10023</v>
      </c>
      <c r="K2558" t="s" s="2">
        <v>22</v>
      </c>
      <c r="L2558" t="s" s="2">
        <v>22</v>
      </c>
      <c r="M2558" t="s" s="2">
        <v>22</v>
      </c>
    </row>
    <row r="2559" ht="25.0" customHeight="true">
      <c r="A2559" t="s" s="2">
        <v>13</v>
      </c>
      <c r="B2559" t="s" s="2">
        <f>HYPERLINK("http://ts.21cn.com/tousu/show/id/1371391","不提供贷款合同")</f>
      </c>
      <c r="C2559" t="s" s="2">
        <v>52</v>
      </c>
      <c r="D2559" t="s" s="2">
        <v>16</v>
      </c>
      <c r="E2559" t="s" s="2">
        <v>17</v>
      </c>
      <c r="F2559" t="s" s="2">
        <f>HYPERLINK("http://ts.21cn.com/tousu/show/id/1371391","http://ts.21cn.com/tousu/show/id/1371391")</f>
      </c>
      <c r="G2559" t="s" s="2">
        <v>17</v>
      </c>
      <c r="H2559" t="s" s="2">
        <v>19</v>
      </c>
      <c r="I2559" t="s" s="2">
        <v>10026</v>
      </c>
      <c r="J2559" t="s" s="2">
        <v>10027</v>
      </c>
      <c r="K2559" t="s" s="2">
        <v>22</v>
      </c>
      <c r="L2559" t="s" s="2">
        <v>22</v>
      </c>
      <c r="M2559" t="s" s="2">
        <v>22</v>
      </c>
    </row>
    <row r="2560" ht="25.0" customHeight="true">
      <c r="A2560" t="s" s="2">
        <v>13</v>
      </c>
      <c r="B2560" t="s" s="2">
        <f>HYPERLINK("http://ts.21cn.com/tousu/show/id/1371389","遵义湘江投资公司延期交房，延期时间还未知")</f>
      </c>
      <c r="C2560" t="s" s="2">
        <v>15</v>
      </c>
      <c r="D2560" t="s" s="2">
        <v>16</v>
      </c>
      <c r="E2560" t="s" s="2">
        <v>17</v>
      </c>
      <c r="F2560" t="s" s="2">
        <f>HYPERLINK("http://ts.21cn.com/tousu/show/id/1371389","http://ts.21cn.com/tousu/show/id/1371389")</f>
      </c>
      <c r="G2560" t="s" s="2">
        <v>17</v>
      </c>
      <c r="H2560" t="s" s="2">
        <v>19</v>
      </c>
      <c r="I2560" t="s" s="2">
        <v>10030</v>
      </c>
      <c r="J2560" t="s" s="2">
        <v>10031</v>
      </c>
      <c r="K2560" t="s" s="2">
        <v>22</v>
      </c>
      <c r="L2560" t="s" s="2">
        <v>22</v>
      </c>
      <c r="M2560" t="s" s="2">
        <v>22</v>
      </c>
    </row>
    <row r="2561" ht="25.0" customHeight="true">
      <c r="A2561" t="s" s="2">
        <v>13</v>
      </c>
      <c r="B2561" t="s" s="2">
        <f>HYPERLINK("http://ts.21cn.com/tousu/show/id/1371388","砍头息，高利贷。")</f>
      </c>
      <c r="C2561" t="s" s="2">
        <v>15</v>
      </c>
      <c r="D2561" t="s" s="2">
        <v>16</v>
      </c>
      <c r="E2561" t="s" s="2">
        <v>17</v>
      </c>
      <c r="F2561" t="s" s="2">
        <f>HYPERLINK("http://ts.21cn.com/tousu/show/id/1371388","http://ts.21cn.com/tousu/show/id/1371388")</f>
      </c>
      <c r="G2561" t="s" s="2">
        <v>17</v>
      </c>
      <c r="H2561" t="s" s="2">
        <v>19</v>
      </c>
      <c r="I2561" t="s" s="2">
        <v>10034</v>
      </c>
      <c r="J2561" t="s" s="2">
        <v>10035</v>
      </c>
      <c r="K2561" t="s" s="2">
        <v>22</v>
      </c>
      <c r="L2561" t="s" s="2">
        <v>22</v>
      </c>
      <c r="M2561" t="s" s="2">
        <v>22</v>
      </c>
    </row>
    <row r="2562" ht="25.0" customHeight="true">
      <c r="A2562" t="s" s="2">
        <v>13</v>
      </c>
      <c r="B2562" t="s" s="2">
        <f>HYPERLINK("http://ts.21cn.com/tousu/show/id/1371387","黑心佰仟金融放高利贷")</f>
      </c>
      <c r="C2562" t="s" s="2">
        <v>15</v>
      </c>
      <c r="D2562" t="s" s="2">
        <v>16</v>
      </c>
      <c r="E2562" t="s" s="2">
        <v>17</v>
      </c>
      <c r="F2562" t="s" s="2">
        <f>HYPERLINK("http://ts.21cn.com/tousu/show/id/1371387","http://ts.21cn.com/tousu/show/id/1371387")</f>
      </c>
      <c r="G2562" t="s" s="2">
        <v>17</v>
      </c>
      <c r="H2562" t="s" s="2">
        <v>19</v>
      </c>
      <c r="I2562" t="s" s="2">
        <v>10038</v>
      </c>
      <c r="J2562" t="s" s="2">
        <v>10039</v>
      </c>
      <c r="K2562" t="s" s="2">
        <v>22</v>
      </c>
      <c r="L2562" t="s" s="2">
        <v>22</v>
      </c>
      <c r="M2562" t="s" s="2">
        <v>22</v>
      </c>
    </row>
    <row r="2563" ht="25.0" customHeight="true">
      <c r="A2563" t="s" s="2">
        <v>13</v>
      </c>
      <c r="B2563" t="s" s="2">
        <f>HYPERLINK("http://ts.21cn.com/tousu/show/id/1371386","光大银行信用卡违约金")</f>
      </c>
      <c r="C2563" t="s" s="2">
        <v>15</v>
      </c>
      <c r="D2563" t="s" s="2">
        <v>16</v>
      </c>
      <c r="E2563" t="s" s="2">
        <v>17</v>
      </c>
      <c r="F2563" t="s" s="2">
        <f>HYPERLINK("http://ts.21cn.com/tousu/show/id/1371386","http://ts.21cn.com/tousu/show/id/1371386")</f>
      </c>
      <c r="G2563" t="s" s="2">
        <v>17</v>
      </c>
      <c r="H2563" t="s" s="2">
        <v>19</v>
      </c>
      <c r="I2563" t="s" s="2">
        <v>10042</v>
      </c>
      <c r="J2563" t="s" s="2">
        <v>10043</v>
      </c>
      <c r="K2563" t="s" s="2">
        <v>22</v>
      </c>
      <c r="L2563" t="s" s="2">
        <v>22</v>
      </c>
      <c r="M2563" t="s" s="2">
        <v>22</v>
      </c>
    </row>
    <row r="2564" ht="25.0" customHeight="true">
      <c r="A2564" t="s" s="2">
        <v>13</v>
      </c>
      <c r="B2564" t="s" s="2">
        <f>HYPERLINK("http://ts.21cn.com/tousu/show/id/1371385","钱橙无忧未经允许私自扣款")</f>
      </c>
      <c r="C2564" t="s" s="2">
        <v>15</v>
      </c>
      <c r="D2564" t="s" s="2">
        <v>16</v>
      </c>
      <c r="E2564" t="s" s="2">
        <v>17</v>
      </c>
      <c r="F2564" t="s" s="2">
        <f>HYPERLINK("http://ts.21cn.com/tousu/show/id/1371385","http://ts.21cn.com/tousu/show/id/1371385")</f>
      </c>
      <c r="G2564" t="s" s="2">
        <v>17</v>
      </c>
      <c r="H2564" t="s" s="2">
        <v>19</v>
      </c>
      <c r="I2564" t="s" s="2">
        <v>10046</v>
      </c>
      <c r="J2564" t="s" s="2">
        <v>10047</v>
      </c>
      <c r="K2564" t="s" s="2">
        <v>22</v>
      </c>
      <c r="L2564" t="s" s="2">
        <v>22</v>
      </c>
      <c r="M2564" t="s" s="2">
        <v>22</v>
      </c>
    </row>
    <row r="2565" ht="25.0" customHeight="true">
      <c r="A2565" t="s" s="2">
        <v>13</v>
      </c>
      <c r="B2565" t="s" s="2">
        <f>HYPERLINK("http://ts.21cn.com/tousu/show/id/1371383","暴力催收，高利贷，阴阳合同，虚假，误导宣传，强制购买众安保险")</f>
      </c>
      <c r="C2565" t="s" s="2">
        <v>15</v>
      </c>
      <c r="D2565" t="s" s="2">
        <v>16</v>
      </c>
      <c r="E2565" t="s" s="2">
        <v>17</v>
      </c>
      <c r="F2565" t="s" s="2">
        <f>HYPERLINK("http://ts.21cn.com/tousu/show/id/1371383","http://ts.21cn.com/tousu/show/id/1371383")</f>
      </c>
      <c r="G2565" t="s" s="2">
        <v>17</v>
      </c>
      <c r="H2565" t="s" s="2">
        <v>19</v>
      </c>
      <c r="I2565" t="s" s="2">
        <v>10050</v>
      </c>
      <c r="J2565" t="s" s="2">
        <v>10051</v>
      </c>
      <c r="K2565" t="s" s="2">
        <v>22</v>
      </c>
      <c r="L2565" t="s" s="2">
        <v>22</v>
      </c>
      <c r="M2565" t="s" s="2">
        <v>22</v>
      </c>
    </row>
    <row r="2566" ht="25.0" customHeight="true">
      <c r="A2566" t="s" s="2">
        <v>13</v>
      </c>
      <c r="B2566" t="s" s="2">
        <f>HYPERLINK("http://ts.21cn.com/tousu/show/id/1371384","51人品贷变项高利贷")</f>
      </c>
      <c r="C2566" t="s" s="2">
        <v>15</v>
      </c>
      <c r="D2566" t="s" s="2">
        <v>16</v>
      </c>
      <c r="E2566" t="s" s="2">
        <v>17</v>
      </c>
      <c r="F2566" t="s" s="2">
        <f>HYPERLINK("http://ts.21cn.com/tousu/show/id/1371384","http://ts.21cn.com/tousu/show/id/1371384")</f>
      </c>
      <c r="G2566" t="s" s="2">
        <v>17</v>
      </c>
      <c r="H2566" t="s" s="2">
        <v>19</v>
      </c>
      <c r="I2566" t="s" s="2">
        <v>10054</v>
      </c>
      <c r="J2566" t="s" s="2">
        <v>10055</v>
      </c>
      <c r="K2566" t="s" s="2">
        <v>22</v>
      </c>
      <c r="L2566" t="s" s="2">
        <v>22</v>
      </c>
      <c r="M2566" t="s" s="2">
        <v>22</v>
      </c>
    </row>
    <row r="2567" ht="25.0" customHeight="true">
      <c r="A2567" t="s" s="2">
        <v>13</v>
      </c>
      <c r="B2567" t="s" s="2">
        <f>HYPERLINK("http://ts.21cn.com/tousu/show/id/1371382","软暴力，变相收费，不讲道理")</f>
      </c>
      <c r="C2567" t="s" s="2">
        <v>15</v>
      </c>
      <c r="D2567" t="s" s="2">
        <v>16</v>
      </c>
      <c r="E2567" t="s" s="2">
        <v>17</v>
      </c>
      <c r="F2567" t="s" s="2">
        <f>HYPERLINK("http://ts.21cn.com/tousu/show/id/1371382","http://ts.21cn.com/tousu/show/id/1371382")</f>
      </c>
      <c r="G2567" t="s" s="2">
        <v>17</v>
      </c>
      <c r="H2567" t="s" s="2">
        <v>19</v>
      </c>
      <c r="I2567" t="s" s="2">
        <v>10058</v>
      </c>
      <c r="J2567" t="s" s="2">
        <v>10059</v>
      </c>
      <c r="K2567" t="s" s="2">
        <v>22</v>
      </c>
      <c r="L2567" t="s" s="2">
        <v>22</v>
      </c>
      <c r="M2567" t="s" s="2">
        <v>22</v>
      </c>
    </row>
    <row r="2568" ht="25.0" customHeight="true">
      <c r="A2568" t="s" s="2">
        <v>13</v>
      </c>
      <c r="B2568" t="s" s="2">
        <f>HYPERLINK("http://ts.21cn.com/tousu/show/id/1371381","爆通讯录")</f>
      </c>
      <c r="C2568" t="s" s="2">
        <v>15</v>
      </c>
      <c r="D2568" t="s" s="2">
        <v>16</v>
      </c>
      <c r="E2568" t="s" s="2">
        <v>17</v>
      </c>
      <c r="F2568" t="s" s="2">
        <f>HYPERLINK("http://ts.21cn.com/tousu/show/id/1371381","http://ts.21cn.com/tousu/show/id/1371381")</f>
      </c>
      <c r="G2568" t="s" s="2">
        <v>17</v>
      </c>
      <c r="H2568" t="s" s="2">
        <v>19</v>
      </c>
      <c r="I2568" t="s" s="2">
        <v>10061</v>
      </c>
      <c r="J2568" t="s" s="2">
        <v>10062</v>
      </c>
      <c r="K2568" t="s" s="2">
        <v>22</v>
      </c>
      <c r="L2568" t="s" s="2">
        <v>22</v>
      </c>
      <c r="M2568" t="s" s="2">
        <v>22</v>
      </c>
    </row>
    <row r="2569" ht="25.0" customHeight="true">
      <c r="A2569" t="s" s="2">
        <v>13</v>
      </c>
      <c r="B2569" t="s" s="2">
        <f>HYPERLINK("http://ts.21cn.com/tousu/show/id/1371380","上海瀚银科技为赌博平台提供赌资")</f>
      </c>
      <c r="C2569" t="s" s="2">
        <v>15</v>
      </c>
      <c r="D2569" t="s" s="2">
        <v>16</v>
      </c>
      <c r="E2569" t="s" s="2">
        <v>17</v>
      </c>
      <c r="F2569" t="s" s="2">
        <f>HYPERLINK("http://ts.21cn.com/tousu/show/id/1371380","http://ts.21cn.com/tousu/show/id/1371380")</f>
      </c>
      <c r="G2569" t="s" s="2">
        <v>17</v>
      </c>
      <c r="H2569" t="s" s="2">
        <v>19</v>
      </c>
      <c r="I2569" t="s" s="2">
        <v>10065</v>
      </c>
      <c r="J2569" t="s" s="2">
        <v>10066</v>
      </c>
      <c r="K2569" t="s" s="2">
        <v>22</v>
      </c>
      <c r="L2569" t="s" s="2">
        <v>22</v>
      </c>
      <c r="M2569" t="s" s="2">
        <v>22</v>
      </c>
    </row>
    <row r="2570" ht="25.0" customHeight="true">
      <c r="A2570" t="s" s="2">
        <v>13</v>
      </c>
      <c r="B2570" t="s" s="2">
        <f>HYPERLINK("http://ts.21cn.com/tousu/show/id/1371378","京东白条暴力催收，到处寄挂号信")</f>
      </c>
      <c r="C2570" t="s" s="2">
        <v>15</v>
      </c>
      <c r="D2570" t="s" s="2">
        <v>16</v>
      </c>
      <c r="E2570" t="s" s="2">
        <v>17</v>
      </c>
      <c r="F2570" t="s" s="2">
        <f>HYPERLINK("http://ts.21cn.com/tousu/show/id/1371378","http://ts.21cn.com/tousu/show/id/1371378")</f>
      </c>
      <c r="G2570" t="s" s="2">
        <v>17</v>
      </c>
      <c r="H2570" t="s" s="2">
        <v>19</v>
      </c>
      <c r="I2570" t="s" s="2">
        <v>10069</v>
      </c>
      <c r="J2570" t="s" s="2">
        <v>10070</v>
      </c>
      <c r="K2570" t="s" s="2">
        <v>22</v>
      </c>
      <c r="L2570" t="s" s="2">
        <v>22</v>
      </c>
      <c r="M2570" t="s" s="2">
        <v>22</v>
      </c>
    </row>
    <row r="2571" ht="25.0" customHeight="true">
      <c r="A2571" t="s" s="2">
        <v>13</v>
      </c>
      <c r="B2571" t="s" s="2">
        <f>HYPERLINK("http://ts.21cn.com/tousu/show/id/1370300","网易云音乐商城购买耳机在保质期内出现问题")</f>
      </c>
      <c r="C2571" t="s" s="2">
        <v>15</v>
      </c>
      <c r="D2571" t="s" s="2">
        <v>16</v>
      </c>
      <c r="E2571" t="s" s="2">
        <v>17</v>
      </c>
      <c r="F2571" t="s" s="2">
        <f>HYPERLINK("http://ts.21cn.com/tousu/show/id/1370300","http://ts.21cn.com/tousu/show/id/1370300")</f>
      </c>
      <c r="G2571" t="s" s="2">
        <v>17</v>
      </c>
      <c r="H2571" t="s" s="2">
        <v>19</v>
      </c>
      <c r="I2571" t="s" s="2">
        <v>10073</v>
      </c>
      <c r="J2571" t="s" s="2">
        <v>10074</v>
      </c>
      <c r="K2571" t="s" s="2">
        <v>22</v>
      </c>
      <c r="L2571" t="s" s="2">
        <v>22</v>
      </c>
      <c r="M2571" t="s" s="2">
        <v>22</v>
      </c>
    </row>
    <row r="2572" ht="25.0" customHeight="true">
      <c r="A2572" t="s" s="2">
        <v>13</v>
      </c>
      <c r="B2572" t="s" s="2">
        <f>HYPERLINK("http://ts.21cn.com/tousu/show/id/1371377","时光分期高利贷")</f>
      </c>
      <c r="C2572" t="s" s="2">
        <v>15</v>
      </c>
      <c r="D2572" t="s" s="2">
        <v>16</v>
      </c>
      <c r="E2572" t="s" s="2">
        <v>17</v>
      </c>
      <c r="F2572" t="s" s="2">
        <f>HYPERLINK("http://ts.21cn.com/tousu/show/id/1371377","http://ts.21cn.com/tousu/show/id/1371377")</f>
      </c>
      <c r="G2572" t="s" s="2">
        <v>17</v>
      </c>
      <c r="H2572" t="s" s="2">
        <v>19</v>
      </c>
      <c r="I2572" t="s" s="2">
        <v>10073</v>
      </c>
      <c r="J2572" t="s" s="2">
        <v>10077</v>
      </c>
      <c r="K2572" t="s" s="2">
        <v>22</v>
      </c>
      <c r="L2572" t="s" s="2">
        <v>22</v>
      </c>
      <c r="M2572" t="s" s="2">
        <v>22</v>
      </c>
    </row>
    <row r="2573" ht="25.0" customHeight="true">
      <c r="A2573" t="s" s="2">
        <v>13</v>
      </c>
      <c r="B2573" t="s" s="2">
        <f>HYPERLINK("http://ts.21cn.com/tousu/show/id/1371375","360假冒诉讼，不经本人同意乱爆违规通讯录")</f>
      </c>
      <c r="C2573" t="s" s="2">
        <v>15</v>
      </c>
      <c r="D2573" t="s" s="2">
        <v>16</v>
      </c>
      <c r="E2573" t="s" s="2">
        <v>17</v>
      </c>
      <c r="F2573" t="s" s="2">
        <f>HYPERLINK("http://ts.21cn.com/tousu/show/id/1371375","http://ts.21cn.com/tousu/show/id/1371375")</f>
      </c>
      <c r="G2573" t="s" s="2">
        <v>17</v>
      </c>
      <c r="H2573" t="s" s="2">
        <v>19</v>
      </c>
      <c r="I2573" t="s" s="2">
        <v>10080</v>
      </c>
      <c r="J2573" t="s" s="2">
        <v>10081</v>
      </c>
      <c r="K2573" t="s" s="2">
        <v>22</v>
      </c>
      <c r="L2573" t="s" s="2">
        <v>22</v>
      </c>
      <c r="M2573" t="s" s="2">
        <v>22</v>
      </c>
    </row>
    <row r="2574" ht="25.0" customHeight="true">
      <c r="A2574" t="s" s="2">
        <v>13</v>
      </c>
      <c r="B2574" t="s" s="2">
        <f>HYPERLINK("http://ts.21cn.com/tousu/show/id/1371376","蚂蚁金服诋毁个人声誉")</f>
      </c>
      <c r="C2574" t="s" s="2">
        <v>15</v>
      </c>
      <c r="D2574" t="s" s="2">
        <v>16</v>
      </c>
      <c r="E2574" t="s" s="2">
        <v>17</v>
      </c>
      <c r="F2574" t="s" s="2">
        <f>HYPERLINK("http://ts.21cn.com/tousu/show/id/1371376","http://ts.21cn.com/tousu/show/id/1371376")</f>
      </c>
      <c r="G2574" t="s" s="2">
        <v>17</v>
      </c>
      <c r="H2574" t="s" s="2">
        <v>19</v>
      </c>
      <c r="I2574" t="s" s="2">
        <v>10084</v>
      </c>
      <c r="J2574" t="s" s="2">
        <v>10085</v>
      </c>
      <c r="K2574" t="s" s="2">
        <v>22</v>
      </c>
      <c r="L2574" t="s" s="2">
        <v>22</v>
      </c>
      <c r="M2574" t="s" s="2">
        <v>22</v>
      </c>
    </row>
    <row r="2575" ht="25.0" customHeight="true">
      <c r="A2575" t="s" s="2">
        <v>13</v>
      </c>
      <c r="B2575" t="s" s="2">
        <f>HYPERLINK("http://ts.21cn.com/tousu/show/id/1371374","金银钱包套路贷，砍头息")</f>
      </c>
      <c r="C2575" t="s" s="2">
        <v>15</v>
      </c>
      <c r="D2575" t="s" s="2">
        <v>16</v>
      </c>
      <c r="E2575" t="s" s="2">
        <v>17</v>
      </c>
      <c r="F2575" t="s" s="2">
        <f>HYPERLINK("http://ts.21cn.com/tousu/show/id/1371374","http://ts.21cn.com/tousu/show/id/1371374")</f>
      </c>
      <c r="G2575" t="s" s="2">
        <v>17</v>
      </c>
      <c r="H2575" t="s" s="2">
        <v>19</v>
      </c>
      <c r="I2575" t="s" s="2">
        <v>10088</v>
      </c>
      <c r="J2575" t="s" s="2">
        <v>10089</v>
      </c>
      <c r="K2575" t="s" s="2">
        <v>22</v>
      </c>
      <c r="L2575" t="s" s="2">
        <v>22</v>
      </c>
      <c r="M2575" t="s" s="2">
        <v>22</v>
      </c>
    </row>
    <row r="2576" ht="25.0" customHeight="true">
      <c r="A2576" t="s" s="2">
        <v>13</v>
      </c>
      <c r="B2576" t="s" s="2">
        <f>HYPERLINK("http://ts.21cn.com/tousu/show/id/1371373","建设银行收取大违约金")</f>
      </c>
      <c r="C2576" t="s" s="2">
        <v>15</v>
      </c>
      <c r="D2576" t="s" s="2">
        <v>16</v>
      </c>
      <c r="E2576" t="s" s="2">
        <v>17</v>
      </c>
      <c r="F2576" t="s" s="2">
        <f>HYPERLINK("http://ts.21cn.com/tousu/show/id/1371373","http://ts.21cn.com/tousu/show/id/1371373")</f>
      </c>
      <c r="G2576" t="s" s="2">
        <v>17</v>
      </c>
      <c r="H2576" t="s" s="2">
        <v>19</v>
      </c>
      <c r="I2576" t="s" s="2">
        <v>10092</v>
      </c>
      <c r="J2576" t="s" s="2">
        <v>10093</v>
      </c>
      <c r="K2576" t="s" s="2">
        <v>22</v>
      </c>
      <c r="L2576" t="s" s="2">
        <v>22</v>
      </c>
      <c r="M2576" t="s" s="2">
        <v>22</v>
      </c>
    </row>
    <row r="2577" ht="25.0" customHeight="true">
      <c r="A2577" t="s" s="2">
        <v>13</v>
      </c>
      <c r="B2577" t="s" s="2">
        <f>HYPERLINK("http://ts.21cn.com/tousu/show/id/1371370","畅捷支付与高利贷平台合作")</f>
      </c>
      <c r="C2577" t="s" s="2">
        <v>15</v>
      </c>
      <c r="D2577" t="s" s="2">
        <v>16</v>
      </c>
      <c r="E2577" t="s" s="2">
        <v>17</v>
      </c>
      <c r="F2577" t="s" s="2">
        <f>HYPERLINK("http://ts.21cn.com/tousu/show/id/1371370","http://ts.21cn.com/tousu/show/id/1371370")</f>
      </c>
      <c r="G2577" t="s" s="2">
        <v>17</v>
      </c>
      <c r="H2577" t="s" s="2">
        <v>19</v>
      </c>
      <c r="I2577" t="s" s="2">
        <v>10096</v>
      </c>
      <c r="J2577" t="s" s="2">
        <v>10097</v>
      </c>
      <c r="K2577" t="s" s="2">
        <v>22</v>
      </c>
      <c r="L2577" t="s" s="2">
        <v>22</v>
      </c>
      <c r="M2577" t="s" s="2">
        <v>22</v>
      </c>
    </row>
    <row r="2578" ht="25.0" customHeight="true">
      <c r="A2578" t="s" s="2">
        <v>13</v>
      </c>
      <c r="B2578" t="s" s="2">
        <f>HYPERLINK("http://ts.21cn.com/tousu/show/id/1371369","刷卡金额一直不到账")</f>
      </c>
      <c r="C2578" t="s" s="2">
        <v>15</v>
      </c>
      <c r="D2578" t="s" s="2">
        <v>16</v>
      </c>
      <c r="E2578" t="s" s="2">
        <v>17</v>
      </c>
      <c r="F2578" t="s" s="2">
        <f>HYPERLINK("http://ts.21cn.com/tousu/show/id/1371369","http://ts.21cn.com/tousu/show/id/1371369")</f>
      </c>
      <c r="G2578" t="s" s="2">
        <v>17</v>
      </c>
      <c r="H2578" t="s" s="2">
        <v>19</v>
      </c>
      <c r="I2578" t="s" s="2">
        <v>10100</v>
      </c>
      <c r="J2578" t="s" s="2">
        <v>10101</v>
      </c>
      <c r="K2578" t="s" s="2">
        <v>22</v>
      </c>
      <c r="L2578" t="s" s="2">
        <v>22</v>
      </c>
      <c r="M2578" t="s" s="2">
        <v>22</v>
      </c>
    </row>
    <row r="2579" ht="25.0" customHeight="true">
      <c r="A2579" t="s" s="2">
        <v>13</v>
      </c>
      <c r="B2579" t="s" s="2">
        <f>HYPERLINK("http://ts.21cn.com/tousu/show/id/1371371","利息太高")</f>
      </c>
      <c r="C2579" t="s" s="2">
        <v>15</v>
      </c>
      <c r="D2579" t="s" s="2">
        <v>16</v>
      </c>
      <c r="E2579" t="s" s="2">
        <v>17</v>
      </c>
      <c r="F2579" t="s" s="2">
        <f>HYPERLINK("http://ts.21cn.com/tousu/show/id/1371371","http://ts.21cn.com/tousu/show/id/1371371")</f>
      </c>
      <c r="G2579" t="s" s="2">
        <v>17</v>
      </c>
      <c r="H2579" t="s" s="2">
        <v>19</v>
      </c>
      <c r="I2579" t="s" s="2">
        <v>10103</v>
      </c>
      <c r="J2579" t="s" s="2">
        <v>10104</v>
      </c>
      <c r="K2579" t="s" s="2">
        <v>22</v>
      </c>
      <c r="L2579" t="s" s="2">
        <v>22</v>
      </c>
      <c r="M2579" t="s" s="2">
        <v>22</v>
      </c>
    </row>
    <row r="2580" ht="25.0" customHeight="true">
      <c r="A2580" t="s" s="2">
        <v>13</v>
      </c>
      <c r="B2580" t="s" s="2">
        <f>HYPERLINK("http://ts.21cn.com/tousu/show/id/1371368","违规收取违约金，拖延时间忽悠我")</f>
      </c>
      <c r="C2580" t="s" s="2">
        <v>15</v>
      </c>
      <c r="D2580" t="s" s="2">
        <v>16</v>
      </c>
      <c r="E2580" t="s" s="2">
        <v>17</v>
      </c>
      <c r="F2580" t="s" s="2">
        <f>HYPERLINK("http://ts.21cn.com/tousu/show/id/1371368","http://ts.21cn.com/tousu/show/id/1371368")</f>
      </c>
      <c r="G2580" t="s" s="2">
        <v>17</v>
      </c>
      <c r="H2580" t="s" s="2">
        <v>19</v>
      </c>
      <c r="I2580" t="s" s="2">
        <v>10107</v>
      </c>
      <c r="J2580" t="s" s="2">
        <v>10108</v>
      </c>
      <c r="K2580" t="s" s="2">
        <v>22</v>
      </c>
      <c r="L2580" t="s" s="2">
        <v>22</v>
      </c>
      <c r="M2580" t="s" s="2">
        <v>22</v>
      </c>
    </row>
    <row r="2581" ht="25.0" customHeight="true">
      <c r="A2581" t="s" s="2">
        <v>13</v>
      </c>
      <c r="B2581" t="s" s="2">
        <f>HYPERLINK("http://ts.21cn.com/tousu/show/id/1371357","不同意协商还款，利率超过国家红线")</f>
      </c>
      <c r="C2581" t="s" s="2">
        <v>15</v>
      </c>
      <c r="D2581" t="s" s="2">
        <v>16</v>
      </c>
      <c r="E2581" t="s" s="2">
        <v>17</v>
      </c>
      <c r="F2581" t="s" s="2">
        <f>HYPERLINK("http://ts.21cn.com/tousu/show/id/1371357","http://ts.21cn.com/tousu/show/id/1371357")</f>
      </c>
      <c r="G2581" t="s" s="2">
        <v>17</v>
      </c>
      <c r="H2581" t="s" s="2">
        <v>19</v>
      </c>
      <c r="I2581" t="s" s="2">
        <v>10111</v>
      </c>
      <c r="J2581" t="s" s="2">
        <v>10112</v>
      </c>
      <c r="K2581" t="s" s="2">
        <v>22</v>
      </c>
      <c r="L2581" t="s" s="2">
        <v>22</v>
      </c>
      <c r="M2581" t="s" s="2">
        <v>22</v>
      </c>
    </row>
    <row r="2582" ht="25.0" customHeight="true">
      <c r="A2582" t="s" s="2">
        <v>13</v>
      </c>
      <c r="B2582" t="s" s="2">
        <f>HYPERLINK("http://ts.21cn.com/tousu/show/id/1371367","建设银行违约金")</f>
      </c>
      <c r="C2582" t="s" s="2">
        <v>15</v>
      </c>
      <c r="D2582" t="s" s="2">
        <v>16</v>
      </c>
      <c r="E2582" t="s" s="2">
        <v>17</v>
      </c>
      <c r="F2582" t="s" s="2">
        <f>HYPERLINK("http://ts.21cn.com/tousu/show/id/1371367","http://ts.21cn.com/tousu/show/id/1371367")</f>
      </c>
      <c r="G2582" t="s" s="2">
        <v>17</v>
      </c>
      <c r="H2582" t="s" s="2">
        <v>19</v>
      </c>
      <c r="I2582" t="s" s="2">
        <v>10115</v>
      </c>
      <c r="J2582" t="s" s="2">
        <v>10116</v>
      </c>
      <c r="K2582" t="s" s="2">
        <v>22</v>
      </c>
      <c r="L2582" t="s" s="2">
        <v>22</v>
      </c>
      <c r="M2582" t="s" s="2">
        <v>22</v>
      </c>
    </row>
    <row r="2583" ht="25.0" customHeight="true">
      <c r="A2583" t="s" s="2">
        <v>13</v>
      </c>
      <c r="B2583" t="s" s="2">
        <f>HYPERLINK("http://ts.21cn.com/tousu/show/id/1371366","工商银行信用卡催收人员恐吓威胁")</f>
      </c>
      <c r="C2583" t="s" s="2">
        <v>15</v>
      </c>
      <c r="D2583" t="s" s="2">
        <v>16</v>
      </c>
      <c r="E2583" t="s" s="2">
        <v>17</v>
      </c>
      <c r="F2583" t="s" s="2">
        <f>HYPERLINK("http://ts.21cn.com/tousu/show/id/1371366","http://ts.21cn.com/tousu/show/id/1371366")</f>
      </c>
      <c r="G2583" t="s" s="2">
        <v>17</v>
      </c>
      <c r="H2583" t="s" s="2">
        <v>19</v>
      </c>
      <c r="I2583" t="s" s="2">
        <v>10119</v>
      </c>
      <c r="J2583" t="s" s="2">
        <v>10120</v>
      </c>
      <c r="K2583" t="s" s="2">
        <v>22</v>
      </c>
      <c r="L2583" t="s" s="2">
        <v>22</v>
      </c>
      <c r="M2583" t="s" s="2">
        <v>22</v>
      </c>
    </row>
    <row r="2584" ht="25.0" customHeight="true">
      <c r="A2584" t="s" s="2">
        <v>13</v>
      </c>
      <c r="B2584" t="s" s="2">
        <f>HYPERLINK("http://ts.21cn.com/tousu/show/id/1371363","星驿付非法冻结资金")</f>
      </c>
      <c r="C2584" t="s" s="2">
        <v>15</v>
      </c>
      <c r="D2584" t="s" s="2">
        <v>16</v>
      </c>
      <c r="E2584" t="s" s="2">
        <v>17</v>
      </c>
      <c r="F2584" t="s" s="2">
        <f>HYPERLINK("http://ts.21cn.com/tousu/show/id/1371363","http://ts.21cn.com/tousu/show/id/1371363")</f>
      </c>
      <c r="G2584" t="s" s="2">
        <v>17</v>
      </c>
      <c r="H2584" t="s" s="2">
        <v>19</v>
      </c>
      <c r="I2584" t="s" s="2">
        <v>10123</v>
      </c>
      <c r="J2584" t="s" s="2">
        <v>10124</v>
      </c>
      <c r="K2584" t="s" s="2">
        <v>22</v>
      </c>
      <c r="L2584" t="s" s="2">
        <v>22</v>
      </c>
      <c r="M2584" t="s" s="2">
        <v>22</v>
      </c>
    </row>
    <row r="2585" ht="25.0" customHeight="true">
      <c r="A2585" t="s" s="2">
        <v>13</v>
      </c>
      <c r="B2585" t="s" s="2">
        <f>HYPERLINK("http://ts.21cn.com/tousu/show/id/1371362","当客get旗下的球鞋指数以各种理由冻结商家货款，想提现必须扣1个点提现费用")</f>
      </c>
      <c r="C2585" t="s" s="2">
        <v>15</v>
      </c>
      <c r="D2585" t="s" s="2">
        <v>16</v>
      </c>
      <c r="E2585" t="s" s="2">
        <v>17</v>
      </c>
      <c r="F2585" t="s" s="2">
        <f>HYPERLINK("http://ts.21cn.com/tousu/show/id/1371362","http://ts.21cn.com/tousu/show/id/1371362")</f>
      </c>
      <c r="G2585" t="s" s="2">
        <v>17</v>
      </c>
      <c r="H2585" t="s" s="2">
        <v>19</v>
      </c>
      <c r="I2585" t="s" s="2">
        <v>10127</v>
      </c>
      <c r="J2585" t="s" s="2">
        <v>10128</v>
      </c>
      <c r="K2585" t="s" s="2">
        <v>22</v>
      </c>
      <c r="L2585" t="s" s="2">
        <v>22</v>
      </c>
      <c r="M2585" t="s" s="2">
        <v>22</v>
      </c>
    </row>
    <row r="2586" ht="25.0" customHeight="true">
      <c r="A2586" t="s" s="2">
        <v>13</v>
      </c>
      <c r="B2586" t="s" s="2">
        <f>HYPERLINK("http://ts.21cn.com/tousu/show/id/1371360","银盛支付公司Pos收款未到账强制挪用我们商户的钱，不同意无息分期，要求全款")</f>
      </c>
      <c r="C2586" t="s" s="2">
        <v>15</v>
      </c>
      <c r="D2586" t="s" s="2">
        <v>16</v>
      </c>
      <c r="E2586" t="s" s="2">
        <v>17</v>
      </c>
      <c r="F2586" t="s" s="2">
        <f>HYPERLINK("http://ts.21cn.com/tousu/show/id/1371360","http://ts.21cn.com/tousu/show/id/1371360")</f>
      </c>
      <c r="G2586" t="s" s="2">
        <v>17</v>
      </c>
      <c r="H2586" t="s" s="2">
        <v>19</v>
      </c>
      <c r="I2586" t="s" s="2">
        <v>10131</v>
      </c>
      <c r="J2586" t="s" s="2">
        <v>10132</v>
      </c>
      <c r="K2586" t="s" s="2">
        <v>22</v>
      </c>
      <c r="L2586" t="s" s="2">
        <v>22</v>
      </c>
      <c r="M2586" t="s" s="2">
        <v>22</v>
      </c>
    </row>
    <row r="2587" ht="25.0" customHeight="true">
      <c r="A2587" t="s" s="2">
        <v>13</v>
      </c>
      <c r="B2587" t="s" s="2">
        <f>HYPERLINK("http://ts.21cn.com/tousu/show/id/1371337","高铁管家退票不退钱")</f>
      </c>
      <c r="C2587" t="s" s="2">
        <v>15</v>
      </c>
      <c r="D2587" t="s" s="2">
        <v>16</v>
      </c>
      <c r="E2587" t="s" s="2">
        <v>17</v>
      </c>
      <c r="F2587" t="s" s="2">
        <f>HYPERLINK("http://ts.21cn.com/tousu/show/id/1371337","http://ts.21cn.com/tousu/show/id/1371337")</f>
      </c>
      <c r="G2587" t="s" s="2">
        <v>17</v>
      </c>
      <c r="H2587" t="s" s="2">
        <v>19</v>
      </c>
      <c r="I2587" t="s" s="2">
        <v>10135</v>
      </c>
      <c r="J2587" t="s" s="2">
        <v>10136</v>
      </c>
      <c r="K2587" t="s" s="2">
        <v>22</v>
      </c>
      <c r="L2587" t="s" s="2">
        <v>22</v>
      </c>
      <c r="M2587" t="s" s="2">
        <v>22</v>
      </c>
    </row>
    <row r="2588" ht="25.0" customHeight="true">
      <c r="A2588" t="s" s="2">
        <v>13</v>
      </c>
      <c r="B2588" t="s" s="2">
        <f>HYPERLINK("http://ts.21cn.com/tousu/show/id/1371365","恶意扣款")</f>
      </c>
      <c r="C2588" t="s" s="2">
        <v>15</v>
      </c>
      <c r="D2588" t="s" s="2">
        <v>16</v>
      </c>
      <c r="E2588" t="s" s="2">
        <v>17</v>
      </c>
      <c r="F2588" t="s" s="2">
        <f>HYPERLINK("http://ts.21cn.com/tousu/show/id/1371365","http://ts.21cn.com/tousu/show/id/1371365")</f>
      </c>
      <c r="G2588" t="s" s="2">
        <v>17</v>
      </c>
      <c r="H2588" t="s" s="2">
        <v>19</v>
      </c>
      <c r="I2588" t="s" s="2">
        <v>10138</v>
      </c>
      <c r="J2588" t="s" s="2">
        <v>10139</v>
      </c>
      <c r="K2588" t="s" s="2">
        <v>22</v>
      </c>
      <c r="L2588" t="s" s="2">
        <v>22</v>
      </c>
      <c r="M2588" t="s" s="2">
        <v>22</v>
      </c>
    </row>
    <row r="2589" ht="25.0" customHeight="true">
      <c r="A2589" t="s" s="2">
        <v>13</v>
      </c>
      <c r="B2589" t="s" s="2">
        <f>HYPERLINK("http://ts.21cn.com/tousu/show/id/1371364","快闪卡贷与人保合作，以借款的名义捆绑销售保险，收取高额砍头息费用")</f>
      </c>
      <c r="C2589" t="s" s="2">
        <v>15</v>
      </c>
      <c r="D2589" t="s" s="2">
        <v>16</v>
      </c>
      <c r="E2589" t="s" s="2">
        <v>17</v>
      </c>
      <c r="F2589" t="s" s="2">
        <f>HYPERLINK("http://ts.21cn.com/tousu/show/id/1371364","http://ts.21cn.com/tousu/show/id/1371364")</f>
      </c>
      <c r="G2589" t="s" s="2">
        <v>17</v>
      </c>
      <c r="H2589" t="s" s="2">
        <v>19</v>
      </c>
      <c r="I2589" t="s" s="2">
        <v>10138</v>
      </c>
      <c r="J2589" t="s" s="2">
        <v>10142</v>
      </c>
      <c r="K2589" t="s" s="2">
        <v>22</v>
      </c>
      <c r="L2589" t="s" s="2">
        <v>22</v>
      </c>
      <c r="M2589" t="s" s="2">
        <v>22</v>
      </c>
    </row>
    <row r="2590" ht="25.0" customHeight="true">
      <c r="A2590" t="s" s="2">
        <v>13</v>
      </c>
      <c r="B2590" t="s" s="2">
        <f>HYPERLINK("http://ts.21cn.com/tousu/show/id/1371359","千金鼎金银钱包浪花花汇潮支付支付宝非法为高利贷提供放款还款通道")</f>
      </c>
      <c r="C2590" t="s" s="2">
        <v>15</v>
      </c>
      <c r="D2590" t="s" s="2">
        <v>16</v>
      </c>
      <c r="E2590" t="s" s="2">
        <v>17</v>
      </c>
      <c r="F2590" t="s" s="2">
        <f>HYPERLINK("http://ts.21cn.com/tousu/show/id/1371359","http://ts.21cn.com/tousu/show/id/1371359")</f>
      </c>
      <c r="G2590" t="s" s="2">
        <v>17</v>
      </c>
      <c r="H2590" t="s" s="2">
        <v>19</v>
      </c>
      <c r="I2590" t="s" s="2">
        <v>10145</v>
      </c>
      <c r="J2590" t="s" s="2">
        <v>10146</v>
      </c>
      <c r="K2590" t="s" s="2">
        <v>22</v>
      </c>
      <c r="L2590" t="s" s="2">
        <v>22</v>
      </c>
      <c r="M2590" t="s" s="2">
        <v>22</v>
      </c>
    </row>
    <row r="2591" ht="25.0" customHeight="true">
      <c r="A2591" t="s" s="2">
        <v>13</v>
      </c>
      <c r="B2591" t="s" s="2">
        <f>HYPERLINK("http://ts.21cn.com/tousu/show/id/1371342","贷款前期")</f>
      </c>
      <c r="C2591" t="s" s="2">
        <v>52</v>
      </c>
      <c r="D2591" t="s" s="2">
        <v>16</v>
      </c>
      <c r="E2591" t="s" s="2">
        <v>17</v>
      </c>
      <c r="F2591" t="s" s="2">
        <f>HYPERLINK("http://ts.21cn.com/tousu/show/id/1371342","http://ts.21cn.com/tousu/show/id/1371342")</f>
      </c>
      <c r="G2591" t="s" s="2">
        <v>17</v>
      </c>
      <c r="H2591" t="s" s="2">
        <v>19</v>
      </c>
      <c r="I2591" t="s" s="2">
        <v>10145</v>
      </c>
      <c r="J2591" t="s" s="2">
        <v>10149</v>
      </c>
      <c r="K2591" t="s" s="2">
        <v>22</v>
      </c>
      <c r="L2591" t="s" s="2">
        <v>22</v>
      </c>
      <c r="M2591" t="s" s="2">
        <v>22</v>
      </c>
    </row>
    <row r="2592" ht="25.0" customHeight="true">
      <c r="A2592" t="s" s="2">
        <v>13</v>
      </c>
      <c r="B2592" t="s" s="2">
        <f>HYPERLINK("http://ts.21cn.com/tousu/show/id/1371358","未借款好享花发信息打电话来催款")</f>
      </c>
      <c r="C2592" t="s" s="2">
        <v>52</v>
      </c>
      <c r="D2592" t="s" s="2">
        <v>16</v>
      </c>
      <c r="E2592" t="s" s="2">
        <v>17</v>
      </c>
      <c r="F2592" t="s" s="2">
        <f>HYPERLINK("http://ts.21cn.com/tousu/show/id/1371358","http://ts.21cn.com/tousu/show/id/1371358")</f>
      </c>
      <c r="G2592" t="s" s="2">
        <v>17</v>
      </c>
      <c r="H2592" t="s" s="2">
        <v>19</v>
      </c>
      <c r="I2592" t="s" s="2">
        <v>10152</v>
      </c>
      <c r="J2592" t="s" s="2">
        <v>10153</v>
      </c>
      <c r="K2592" t="s" s="2">
        <v>22</v>
      </c>
      <c r="L2592" t="s" s="2">
        <v>22</v>
      </c>
      <c r="M2592" t="s" s="2">
        <v>22</v>
      </c>
    </row>
    <row r="2593" ht="25.0" customHeight="true">
      <c r="A2593" t="s" s="2">
        <v>13</v>
      </c>
      <c r="B2593" t="s" s="2">
        <f>HYPERLINK("http://ts.21cn.com/tousu/show/id/1371356","钱站虚假合同借款1000合同借款写1630")</f>
      </c>
      <c r="C2593" t="s" s="2">
        <v>15</v>
      </c>
      <c r="D2593" t="s" s="2">
        <v>16</v>
      </c>
      <c r="E2593" t="s" s="2">
        <v>17</v>
      </c>
      <c r="F2593" t="s" s="2">
        <f>HYPERLINK("http://ts.21cn.com/tousu/show/id/1371356","http://ts.21cn.com/tousu/show/id/1371356")</f>
      </c>
      <c r="G2593" t="s" s="2">
        <v>17</v>
      </c>
      <c r="H2593" t="s" s="2">
        <v>19</v>
      </c>
      <c r="I2593" t="s" s="2">
        <v>10156</v>
      </c>
      <c r="J2593" t="s" s="2">
        <v>10157</v>
      </c>
      <c r="K2593" t="s" s="2">
        <v>22</v>
      </c>
      <c r="L2593" t="s" s="2">
        <v>22</v>
      </c>
      <c r="M2593" t="s" s="2">
        <v>22</v>
      </c>
    </row>
    <row r="2594" ht="25.0" customHeight="true">
      <c r="A2594" t="s" s="2">
        <v>13</v>
      </c>
      <c r="B2594" t="s" s="2">
        <f>HYPERLINK("http://ts.21cn.com/tousu/show/id/1371355","收费不合理")</f>
      </c>
      <c r="C2594" t="s" s="2">
        <v>15</v>
      </c>
      <c r="D2594" t="s" s="2">
        <v>16</v>
      </c>
      <c r="E2594" t="s" s="2">
        <v>17</v>
      </c>
      <c r="F2594" t="s" s="2">
        <f>HYPERLINK("http://ts.21cn.com/tousu/show/id/1371355","http://ts.21cn.com/tousu/show/id/1371355")</f>
      </c>
      <c r="G2594" t="s" s="2">
        <v>17</v>
      </c>
      <c r="H2594" t="s" s="2">
        <v>19</v>
      </c>
      <c r="I2594" t="s" s="2">
        <v>10160</v>
      </c>
      <c r="J2594" t="s" s="2">
        <v>10161</v>
      </c>
      <c r="K2594" t="s" s="2">
        <v>22</v>
      </c>
      <c r="L2594" t="s" s="2">
        <v>22</v>
      </c>
      <c r="M2594" t="s" s="2">
        <v>22</v>
      </c>
    </row>
    <row r="2595" ht="25.0" customHeight="true">
      <c r="A2595" t="s" s="2">
        <v>13</v>
      </c>
      <c r="B2595" t="s" s="2">
        <f>HYPERLINK("http://ts.21cn.com/tousu/show/id/1371353","北京捷越联合信息咨询有限公司泄露隐私，暴力催收")</f>
      </c>
      <c r="C2595" t="s" s="2">
        <v>15</v>
      </c>
      <c r="D2595" t="s" s="2">
        <v>16</v>
      </c>
      <c r="E2595" t="s" s="2">
        <v>17</v>
      </c>
      <c r="F2595" t="s" s="2">
        <f>HYPERLINK("http://ts.21cn.com/tousu/show/id/1371353","http://ts.21cn.com/tousu/show/id/1371353")</f>
      </c>
      <c r="G2595" t="s" s="2">
        <v>17</v>
      </c>
      <c r="H2595" t="s" s="2">
        <v>19</v>
      </c>
      <c r="I2595" t="s" s="2">
        <v>10164</v>
      </c>
      <c r="J2595" t="s" s="2">
        <v>10165</v>
      </c>
      <c r="K2595" t="s" s="2">
        <v>22</v>
      </c>
      <c r="L2595" t="s" s="2">
        <v>22</v>
      </c>
      <c r="M2595" t="s" s="2">
        <v>22</v>
      </c>
    </row>
    <row r="2596" ht="25.0" customHeight="true">
      <c r="A2596" t="s" s="2">
        <v>13</v>
      </c>
      <c r="B2596" t="s" s="2">
        <f>HYPERLINK("http://ts.21cn.com/tousu/show/id/1371352","浦发银行信用卡变卦")</f>
      </c>
      <c r="C2596" t="s" s="2">
        <v>52</v>
      </c>
      <c r="D2596" t="s" s="2">
        <v>16</v>
      </c>
      <c r="E2596" t="s" s="2">
        <v>17</v>
      </c>
      <c r="F2596" t="s" s="2">
        <f>HYPERLINK("http://ts.21cn.com/tousu/show/id/1371352","http://ts.21cn.com/tousu/show/id/1371352")</f>
      </c>
      <c r="G2596" t="s" s="2">
        <v>17</v>
      </c>
      <c r="H2596" t="s" s="2">
        <v>19</v>
      </c>
      <c r="I2596" t="s" s="2">
        <v>10168</v>
      </c>
      <c r="J2596" t="s" s="2">
        <v>10169</v>
      </c>
      <c r="K2596" t="s" s="2">
        <v>22</v>
      </c>
      <c r="L2596" t="s" s="2">
        <v>22</v>
      </c>
      <c r="M2596" t="s" s="2">
        <v>22</v>
      </c>
    </row>
    <row r="2597" ht="25.0" customHeight="true">
      <c r="A2597" t="s" s="2">
        <v>13</v>
      </c>
      <c r="B2597" t="s" s="2">
        <f>HYPERLINK("http://ts.21cn.com/tousu/show/id/1371351","快钱联合高利贷平台盈利")</f>
      </c>
      <c r="C2597" t="s" s="2">
        <v>15</v>
      </c>
      <c r="D2597" t="s" s="2">
        <v>16</v>
      </c>
      <c r="E2597" t="s" s="2">
        <v>17</v>
      </c>
      <c r="F2597" t="s" s="2">
        <f>HYPERLINK("http://ts.21cn.com/tousu/show/id/1371351","http://ts.21cn.com/tousu/show/id/1371351")</f>
      </c>
      <c r="G2597" t="s" s="2">
        <v>17</v>
      </c>
      <c r="H2597" t="s" s="2">
        <v>19</v>
      </c>
      <c r="I2597" t="s" s="2">
        <v>10172</v>
      </c>
      <c r="J2597" t="s" s="2">
        <v>10173</v>
      </c>
      <c r="K2597" t="s" s="2">
        <v>22</v>
      </c>
      <c r="L2597" t="s" s="2">
        <v>22</v>
      </c>
      <c r="M2597" t="s" s="2">
        <v>22</v>
      </c>
    </row>
    <row r="2598" ht="25.0" customHeight="true">
      <c r="A2598" t="s" s="2">
        <v>13</v>
      </c>
      <c r="B2598" t="s" s="2">
        <f>HYPERLINK("http://ts.21cn.com/tousu/show/id/1371350","暴力催收")</f>
      </c>
      <c r="C2598" t="s" s="2">
        <v>15</v>
      </c>
      <c r="D2598" t="s" s="2">
        <v>16</v>
      </c>
      <c r="E2598" t="s" s="2">
        <v>17</v>
      </c>
      <c r="F2598" t="s" s="2">
        <f>HYPERLINK("http://ts.21cn.com/tousu/show/id/1371350","http://ts.21cn.com/tousu/show/id/1371350")</f>
      </c>
      <c r="G2598" t="s" s="2">
        <v>17</v>
      </c>
      <c r="H2598" t="s" s="2">
        <v>19</v>
      </c>
      <c r="I2598" t="s" s="2">
        <v>10175</v>
      </c>
      <c r="J2598" t="s" s="2">
        <v>10176</v>
      </c>
      <c r="K2598" t="s" s="2">
        <v>22</v>
      </c>
      <c r="L2598" t="s" s="2">
        <v>22</v>
      </c>
      <c r="M2598" t="s" s="2">
        <v>22</v>
      </c>
    </row>
    <row r="2599" ht="25.0" customHeight="true">
      <c r="A2599" t="s" s="2">
        <v>13</v>
      </c>
      <c r="B2599" t="s" s="2">
        <f>HYPERLINK("http://ts.21cn.com/tousu/show/id/1371349","民生银行说话不算话")</f>
      </c>
      <c r="C2599" t="s" s="2">
        <v>15</v>
      </c>
      <c r="D2599" t="s" s="2">
        <v>16</v>
      </c>
      <c r="E2599" t="s" s="2">
        <v>17</v>
      </c>
      <c r="F2599" t="s" s="2">
        <f>HYPERLINK("http://ts.21cn.com/tousu/show/id/1371349","http://ts.21cn.com/tousu/show/id/1371349")</f>
      </c>
      <c r="G2599" t="s" s="2">
        <v>17</v>
      </c>
      <c r="H2599" t="s" s="2">
        <v>19</v>
      </c>
      <c r="I2599" t="s" s="2">
        <v>10179</v>
      </c>
      <c r="J2599" t="s" s="2">
        <v>10180</v>
      </c>
      <c r="K2599" t="s" s="2">
        <v>22</v>
      </c>
      <c r="L2599" t="s" s="2">
        <v>22</v>
      </c>
      <c r="M2599" t="s" s="2">
        <v>22</v>
      </c>
    </row>
    <row r="2600" ht="25.0" customHeight="true">
      <c r="A2600" t="s" s="2">
        <v>13</v>
      </c>
      <c r="B2600" t="s" s="2">
        <f>HYPERLINK("http://ts.21cn.com/tousu/show/id/1371348","恒昌公司旗下恒易贷合同金额远高于实际借款金额")</f>
      </c>
      <c r="C2600" t="s" s="2">
        <v>52</v>
      </c>
      <c r="D2600" t="s" s="2">
        <v>16</v>
      </c>
      <c r="E2600" t="s" s="2">
        <v>17</v>
      </c>
      <c r="F2600" t="s" s="2">
        <f>HYPERLINK("http://ts.21cn.com/tousu/show/id/1371348","http://ts.21cn.com/tousu/show/id/1371348")</f>
      </c>
      <c r="G2600" t="s" s="2">
        <v>17</v>
      </c>
      <c r="H2600" t="s" s="2">
        <v>19</v>
      </c>
      <c r="I2600" t="s" s="2">
        <v>10182</v>
      </c>
      <c r="J2600" t="s" s="2">
        <v>10183</v>
      </c>
      <c r="K2600" t="s" s="2">
        <v>22</v>
      </c>
      <c r="L2600" t="s" s="2">
        <v>22</v>
      </c>
      <c r="M2600" t="s" s="2">
        <v>22</v>
      </c>
    </row>
    <row r="2601" ht="25.0" customHeight="true">
      <c r="A2601" t="s" s="2">
        <v>13</v>
      </c>
      <c r="B2601" t="s" s="2">
        <f>HYPERLINK("http://ts.21cn.com/tousu/show/id/1371346","维信卡卡贷骚扰通讯录")</f>
      </c>
      <c r="C2601" t="s" s="2">
        <v>15</v>
      </c>
      <c r="D2601" t="s" s="2">
        <v>16</v>
      </c>
      <c r="E2601" t="s" s="2">
        <v>17</v>
      </c>
      <c r="F2601" t="s" s="2">
        <f>HYPERLINK("http://ts.21cn.com/tousu/show/id/1371346","http://ts.21cn.com/tousu/show/id/1371346")</f>
      </c>
      <c r="G2601" t="s" s="2">
        <v>17</v>
      </c>
      <c r="H2601" t="s" s="2">
        <v>19</v>
      </c>
      <c r="I2601" t="s" s="2">
        <v>10186</v>
      </c>
      <c r="J2601" t="s" s="2">
        <v>10187</v>
      </c>
      <c r="K2601" t="s" s="2">
        <v>22</v>
      </c>
      <c r="L2601" t="s" s="2">
        <v>22</v>
      </c>
      <c r="M2601" t="s" s="2">
        <v>22</v>
      </c>
    </row>
    <row r="2602" ht="25.0" customHeight="true">
      <c r="A2602" t="s" s="2">
        <v>13</v>
      </c>
      <c r="B2602" t="s" s="2">
        <f>HYPERLINK("http://ts.21cn.com/tousu/show/id/1371345","苏宁易购金融读取个人通讯录、买卖公民信息，发短信和打电话骚扰我的亲朋好友")</f>
      </c>
      <c r="C2602" t="s" s="2">
        <v>15</v>
      </c>
      <c r="D2602" t="s" s="2">
        <v>16</v>
      </c>
      <c r="E2602" t="s" s="2">
        <v>17</v>
      </c>
      <c r="F2602" t="s" s="2">
        <f>HYPERLINK("http://ts.21cn.com/tousu/show/id/1371345","http://ts.21cn.com/tousu/show/id/1371345")</f>
      </c>
      <c r="G2602" t="s" s="2">
        <v>17</v>
      </c>
      <c r="H2602" t="s" s="2">
        <v>19</v>
      </c>
      <c r="I2602" t="s" s="2">
        <v>10190</v>
      </c>
      <c r="J2602" t="s" s="2">
        <v>10191</v>
      </c>
      <c r="K2602" t="s" s="2">
        <v>22</v>
      </c>
      <c r="L2602" t="s" s="2">
        <v>22</v>
      </c>
      <c r="M2602" t="s" s="2">
        <v>22</v>
      </c>
    </row>
    <row r="2603" ht="25.0" customHeight="true">
      <c r="A2603" t="s" s="2">
        <v>13</v>
      </c>
      <c r="B2603" t="s" s="2">
        <f>HYPERLINK("http://ts.21cn.com/tousu/show/id/1371344","永安保险与网贷合作强制捆绑投保")</f>
      </c>
      <c r="C2603" t="s" s="2">
        <v>15</v>
      </c>
      <c r="D2603" t="s" s="2">
        <v>16</v>
      </c>
      <c r="E2603" t="s" s="2">
        <v>17</v>
      </c>
      <c r="F2603" t="s" s="2">
        <f>HYPERLINK("http://ts.21cn.com/tousu/show/id/1371344","http://ts.21cn.com/tousu/show/id/1371344")</f>
      </c>
      <c r="G2603" t="s" s="2">
        <v>17</v>
      </c>
      <c r="H2603" t="s" s="2">
        <v>19</v>
      </c>
      <c r="I2603" t="s" s="2">
        <v>10194</v>
      </c>
      <c r="J2603" t="s" s="2">
        <v>10195</v>
      </c>
      <c r="K2603" t="s" s="2">
        <v>22</v>
      </c>
      <c r="L2603" t="s" s="2">
        <v>22</v>
      </c>
      <c r="M2603" t="s" s="2">
        <v>22</v>
      </c>
    </row>
    <row r="2604" ht="25.0" customHeight="true">
      <c r="A2604" t="s" s="2">
        <v>13</v>
      </c>
      <c r="B2604" t="s" s="2">
        <f>HYPERLINK("http://ts.21cn.com/tousu/show/id/1371343","贵州省遵义市湘江投资不交房也不退钱")</f>
      </c>
      <c r="C2604" t="s" s="2">
        <v>15</v>
      </c>
      <c r="D2604" t="s" s="2">
        <v>16</v>
      </c>
      <c r="E2604" t="s" s="2">
        <v>17</v>
      </c>
      <c r="F2604" t="s" s="2">
        <f>HYPERLINK("http://ts.21cn.com/tousu/show/id/1371343","http://ts.21cn.com/tousu/show/id/1371343")</f>
      </c>
      <c r="G2604" t="s" s="2">
        <v>17</v>
      </c>
      <c r="H2604" t="s" s="2">
        <v>19</v>
      </c>
      <c r="I2604" t="s" s="2">
        <v>10197</v>
      </c>
      <c r="J2604" t="s" s="2">
        <v>10198</v>
      </c>
      <c r="K2604" t="s" s="2">
        <v>22</v>
      </c>
      <c r="L2604" t="s" s="2">
        <v>22</v>
      </c>
      <c r="M2604" t="s" s="2">
        <v>22</v>
      </c>
    </row>
    <row r="2605" ht="25.0" customHeight="true">
      <c r="A2605" t="s" s="2">
        <v>13</v>
      </c>
      <c r="B2605" t="s" s="2">
        <f>HYPERLINK("http://ts.21cn.com/tousu/show/id/1371341","砍头息阴阳合同")</f>
      </c>
      <c r="C2605" t="s" s="2">
        <v>15</v>
      </c>
      <c r="D2605" t="s" s="2">
        <v>16</v>
      </c>
      <c r="E2605" t="s" s="2">
        <v>17</v>
      </c>
      <c r="F2605" t="s" s="2">
        <f>HYPERLINK("http://ts.21cn.com/tousu/show/id/1371341","http://ts.21cn.com/tousu/show/id/1371341")</f>
      </c>
      <c r="G2605" t="s" s="2">
        <v>17</v>
      </c>
      <c r="H2605" t="s" s="2">
        <v>19</v>
      </c>
      <c r="I2605" t="s" s="2">
        <v>10201</v>
      </c>
      <c r="J2605" t="s" s="2">
        <v>10202</v>
      </c>
      <c r="K2605" t="s" s="2">
        <v>22</v>
      </c>
      <c r="L2605" t="s" s="2">
        <v>22</v>
      </c>
      <c r="M2605" t="s" s="2">
        <v>22</v>
      </c>
    </row>
    <row r="2606" ht="25.0" customHeight="true">
      <c r="A2606" t="s" s="2">
        <v>13</v>
      </c>
      <c r="B2606" t="s" s="2">
        <f>HYPERLINK("http://ts.21cn.com/tousu/show/id/1371340","多米贷砍头息，实际年化超36%")</f>
      </c>
      <c r="C2606" t="s" s="2">
        <v>15</v>
      </c>
      <c r="D2606" t="s" s="2">
        <v>16</v>
      </c>
      <c r="E2606" t="s" s="2">
        <v>17</v>
      </c>
      <c r="F2606" t="s" s="2">
        <f>HYPERLINK("http://ts.21cn.com/tousu/show/id/1371340","http://ts.21cn.com/tousu/show/id/1371340")</f>
      </c>
      <c r="G2606" t="s" s="2">
        <v>17</v>
      </c>
      <c r="H2606" t="s" s="2">
        <v>19</v>
      </c>
      <c r="I2606" t="s" s="2">
        <v>10205</v>
      </c>
      <c r="J2606" t="s" s="2">
        <v>10206</v>
      </c>
      <c r="K2606" t="s" s="2">
        <v>22</v>
      </c>
      <c r="L2606" t="s" s="2">
        <v>22</v>
      </c>
      <c r="M2606" t="s" s="2">
        <v>22</v>
      </c>
    </row>
    <row r="2607" ht="25.0" customHeight="true">
      <c r="A2607" t="s" s="2">
        <v>13</v>
      </c>
      <c r="B2607" t="s" s="2">
        <f>HYPERLINK("http://ts.21cn.com/tousu/show/id/1371339","平安银行雇佣黑社会威胁软暴力催收")</f>
      </c>
      <c r="C2607" t="s" s="2">
        <v>15</v>
      </c>
      <c r="D2607" t="s" s="2">
        <v>16</v>
      </c>
      <c r="E2607" t="s" s="2">
        <v>17</v>
      </c>
      <c r="F2607" t="s" s="2">
        <f>HYPERLINK("http://ts.21cn.com/tousu/show/id/1371339","http://ts.21cn.com/tousu/show/id/1371339")</f>
      </c>
      <c r="G2607" t="s" s="2">
        <v>17</v>
      </c>
      <c r="H2607" t="s" s="2">
        <v>19</v>
      </c>
      <c r="I2607" t="s" s="2">
        <v>10209</v>
      </c>
      <c r="J2607" t="s" s="2">
        <v>10210</v>
      </c>
      <c r="K2607" t="s" s="2">
        <v>22</v>
      </c>
      <c r="L2607" t="s" s="2">
        <v>22</v>
      </c>
      <c r="M2607" t="s" s="2">
        <v>22</v>
      </c>
    </row>
    <row r="2608" ht="25.0" customHeight="true">
      <c r="A2608" t="s" s="2">
        <v>13</v>
      </c>
      <c r="B2608" t="s" s="2">
        <f>HYPERLINK("http://ts.21cn.com/tousu/show/id/1371338","网货平台利率超过规定，附加保险高收费")</f>
      </c>
      <c r="C2608" t="s" s="2">
        <v>15</v>
      </c>
      <c r="D2608" t="s" s="2">
        <v>16</v>
      </c>
      <c r="E2608" t="s" s="2">
        <v>17</v>
      </c>
      <c r="F2608" t="s" s="2">
        <f>HYPERLINK("http://ts.21cn.com/tousu/show/id/1371338","http://ts.21cn.com/tousu/show/id/1371338")</f>
      </c>
      <c r="G2608" t="s" s="2">
        <v>17</v>
      </c>
      <c r="H2608" t="s" s="2">
        <v>19</v>
      </c>
      <c r="I2608" t="s" s="2">
        <v>10213</v>
      </c>
      <c r="J2608" t="s" s="2">
        <v>10214</v>
      </c>
      <c r="K2608" t="s" s="2">
        <v>22</v>
      </c>
      <c r="L2608" t="s" s="2">
        <v>22</v>
      </c>
      <c r="M2608" t="s" s="2">
        <v>22</v>
      </c>
    </row>
    <row r="2609" ht="25.0" customHeight="true">
      <c r="A2609" t="s" s="2">
        <v>13</v>
      </c>
      <c r="B2609" t="s" s="2">
        <f>HYPERLINK("http://ts.21cn.com/tousu/show/id/1371336","闪银高额前期费用服务费")</f>
      </c>
      <c r="C2609" t="s" s="2">
        <v>52</v>
      </c>
      <c r="D2609" t="s" s="2">
        <v>16</v>
      </c>
      <c r="E2609" t="s" s="2">
        <v>17</v>
      </c>
      <c r="F2609" t="s" s="2">
        <f>HYPERLINK("http://ts.21cn.com/tousu/show/id/1371336","http://ts.21cn.com/tousu/show/id/1371336")</f>
      </c>
      <c r="G2609" t="s" s="2">
        <v>17</v>
      </c>
      <c r="H2609" t="s" s="2">
        <v>19</v>
      </c>
      <c r="I2609" t="s" s="2">
        <v>10217</v>
      </c>
      <c r="J2609" t="s" s="2">
        <v>10218</v>
      </c>
      <c r="K2609" t="s" s="2">
        <v>22</v>
      </c>
      <c r="L2609" t="s" s="2">
        <v>22</v>
      </c>
      <c r="M2609" t="s" s="2">
        <v>22</v>
      </c>
    </row>
    <row r="2610" ht="25.0" customHeight="true">
      <c r="A2610" t="s" s="2">
        <v>13</v>
      </c>
      <c r="B2610" t="s" s="2">
        <f>HYPERLINK("http://ts.21cn.com/tousu/show/id/1371335","快钱支付无故扣款为714高炮套路贷提供便利")</f>
      </c>
      <c r="C2610" t="s" s="2">
        <v>15</v>
      </c>
      <c r="D2610" t="s" s="2">
        <v>16</v>
      </c>
      <c r="E2610" t="s" s="2">
        <v>17</v>
      </c>
      <c r="F2610" t="s" s="2">
        <f>HYPERLINK("http://ts.21cn.com/tousu/show/id/1371335","http://ts.21cn.com/tousu/show/id/1371335")</f>
      </c>
      <c r="G2610" t="s" s="2">
        <v>17</v>
      </c>
      <c r="H2610" t="s" s="2">
        <v>19</v>
      </c>
      <c r="I2610" t="s" s="2">
        <v>10221</v>
      </c>
      <c r="J2610" t="s" s="2">
        <v>10222</v>
      </c>
      <c r="K2610" t="s" s="2">
        <v>22</v>
      </c>
      <c r="L2610" t="s" s="2">
        <v>22</v>
      </c>
      <c r="M2610" t="s" s="2">
        <v>22</v>
      </c>
    </row>
    <row r="2611" ht="25.0" customHeight="true">
      <c r="A2611" t="s" s="2">
        <v>13</v>
      </c>
      <c r="B2611" t="s" s="2">
        <f>HYPERLINK("http://ts.21cn.com/tousu/show/id/1371334","平安银行暴力催收")</f>
      </c>
      <c r="C2611" t="s" s="2">
        <v>15</v>
      </c>
      <c r="D2611" t="s" s="2">
        <v>16</v>
      </c>
      <c r="E2611" t="s" s="2">
        <v>17</v>
      </c>
      <c r="F2611" t="s" s="2">
        <f>HYPERLINK("http://ts.21cn.com/tousu/show/id/1371334","http://ts.21cn.com/tousu/show/id/1371334")</f>
      </c>
      <c r="G2611" t="s" s="2">
        <v>17</v>
      </c>
      <c r="H2611" t="s" s="2">
        <v>19</v>
      </c>
      <c r="I2611" t="s" s="2">
        <v>10224</v>
      </c>
      <c r="J2611" t="s" s="2">
        <v>10225</v>
      </c>
      <c r="K2611" t="s" s="2">
        <v>22</v>
      </c>
      <c r="L2611" t="s" s="2">
        <v>22</v>
      </c>
      <c r="M2611" t="s" s="2">
        <v>22</v>
      </c>
    </row>
    <row r="2612" ht="25.0" customHeight="true">
      <c r="A2612" t="s" s="2">
        <v>13</v>
      </c>
      <c r="B2612" t="s" s="2">
        <f>HYPERLINK("http://ts.21cn.com/tousu/show/id/1371333","高铁管家app会员费不知何时多交99元变会员的")</f>
      </c>
      <c r="C2612" t="s" s="2">
        <v>52</v>
      </c>
      <c r="D2612" t="s" s="2">
        <v>16</v>
      </c>
      <c r="E2612" t="s" s="2">
        <v>17</v>
      </c>
      <c r="F2612" t="s" s="2">
        <f>HYPERLINK("http://ts.21cn.com/tousu/show/id/1371333","http://ts.21cn.com/tousu/show/id/1371333")</f>
      </c>
      <c r="G2612" t="s" s="2">
        <v>17</v>
      </c>
      <c r="H2612" t="s" s="2">
        <v>19</v>
      </c>
      <c r="I2612" t="s" s="2">
        <v>10228</v>
      </c>
      <c r="J2612" t="s" s="2">
        <v>10229</v>
      </c>
      <c r="K2612" t="s" s="2">
        <v>22</v>
      </c>
      <c r="L2612" t="s" s="2">
        <v>22</v>
      </c>
      <c r="M2612" t="s" s="2">
        <v>22</v>
      </c>
    </row>
    <row r="2613" ht="25.0" customHeight="true">
      <c r="A2613" t="s" s="2">
        <v>13</v>
      </c>
      <c r="B2613" t="s" s="2">
        <f>HYPERLINK("http://ts.21cn.com/tousu/show/id/1371332","支付宝花呗被盗刷2900元")</f>
      </c>
      <c r="C2613" t="s" s="2">
        <v>15</v>
      </c>
      <c r="D2613" t="s" s="2">
        <v>16</v>
      </c>
      <c r="E2613" t="s" s="2">
        <v>17</v>
      </c>
      <c r="F2613" t="s" s="2">
        <f>HYPERLINK("http://ts.21cn.com/tousu/show/id/1371332","http://ts.21cn.com/tousu/show/id/1371332")</f>
      </c>
      <c r="G2613" t="s" s="2">
        <v>17</v>
      </c>
      <c r="H2613" t="s" s="2">
        <v>19</v>
      </c>
      <c r="I2613" t="s" s="2">
        <v>10232</v>
      </c>
      <c r="J2613" t="s" s="2">
        <v>10233</v>
      </c>
      <c r="K2613" t="s" s="2">
        <v>22</v>
      </c>
      <c r="L2613" t="s" s="2">
        <v>22</v>
      </c>
      <c r="M2613" t="s" s="2">
        <v>22</v>
      </c>
    </row>
    <row r="2614" ht="25.0" customHeight="true">
      <c r="A2614" t="s" s="2">
        <v>13</v>
      </c>
      <c r="B2614" t="s" s="2">
        <f>HYPERLINK("http://ts.21cn.com/tousu/show/id/1371331","暴力催债及高利贷")</f>
      </c>
      <c r="C2614" t="s" s="2">
        <v>15</v>
      </c>
      <c r="D2614" t="s" s="2">
        <v>16</v>
      </c>
      <c r="E2614" t="s" s="2">
        <v>17</v>
      </c>
      <c r="F2614" t="s" s="2">
        <f>HYPERLINK("http://ts.21cn.com/tousu/show/id/1371331","http://ts.21cn.com/tousu/show/id/1371331")</f>
      </c>
      <c r="G2614" t="s" s="2">
        <v>17</v>
      </c>
      <c r="H2614" t="s" s="2">
        <v>19</v>
      </c>
      <c r="I2614" t="s" s="2">
        <v>10236</v>
      </c>
      <c r="J2614" t="s" s="2">
        <v>10237</v>
      </c>
      <c r="K2614" t="s" s="2">
        <v>22</v>
      </c>
      <c r="L2614" t="s" s="2">
        <v>22</v>
      </c>
      <c r="M2614" t="s" s="2">
        <v>22</v>
      </c>
    </row>
    <row r="2615" ht="25.0" customHeight="true">
      <c r="A2615" t="s" s="2">
        <v>13</v>
      </c>
      <c r="B2615" t="s" s="2">
        <f>HYPERLINK("http://ts.21cn.com/tousu/show/id/1371329","手机借钱app多宝分期高利贷")</f>
      </c>
      <c r="C2615" t="s" s="2">
        <v>15</v>
      </c>
      <c r="D2615" t="s" s="2">
        <v>16</v>
      </c>
      <c r="E2615" t="s" s="2">
        <v>17</v>
      </c>
      <c r="F2615" t="s" s="2">
        <f>HYPERLINK("http://ts.21cn.com/tousu/show/id/1371329","http://ts.21cn.com/tousu/show/id/1371329")</f>
      </c>
      <c r="G2615" t="s" s="2">
        <v>17</v>
      </c>
      <c r="H2615" t="s" s="2">
        <v>19</v>
      </c>
      <c r="I2615" t="s" s="2">
        <v>10240</v>
      </c>
      <c r="J2615" t="s" s="2">
        <v>10241</v>
      </c>
      <c r="K2615" t="s" s="2">
        <v>22</v>
      </c>
      <c r="L2615" t="s" s="2">
        <v>22</v>
      </c>
      <c r="M2615" t="s" s="2">
        <v>22</v>
      </c>
    </row>
    <row r="2616" ht="25.0" customHeight="true">
      <c r="A2616" t="s" s="2">
        <v>13</v>
      </c>
      <c r="B2616" t="s" s="2">
        <f>HYPERLINK("http://ts.21cn.com/tousu/show/id/1371328","已取消自动续费百度网盘依然扣费")</f>
      </c>
      <c r="C2616" t="s" s="2">
        <v>52</v>
      </c>
      <c r="D2616" t="s" s="2">
        <v>16</v>
      </c>
      <c r="E2616" t="s" s="2">
        <v>17</v>
      </c>
      <c r="F2616" t="s" s="2">
        <f>HYPERLINK("http://ts.21cn.com/tousu/show/id/1371328","http://ts.21cn.com/tousu/show/id/1371328")</f>
      </c>
      <c r="G2616" t="s" s="2">
        <v>17</v>
      </c>
      <c r="H2616" t="s" s="2">
        <v>19</v>
      </c>
      <c r="I2616" t="s" s="2">
        <v>10244</v>
      </c>
      <c r="J2616" t="s" s="2">
        <v>10245</v>
      </c>
      <c r="K2616" t="s" s="2">
        <v>22</v>
      </c>
      <c r="L2616" t="s" s="2">
        <v>22</v>
      </c>
      <c r="M2616" t="s" s="2">
        <v>22</v>
      </c>
    </row>
    <row r="2617" ht="25.0" customHeight="true">
      <c r="A2617" t="s" s="2">
        <v>13</v>
      </c>
      <c r="B2617" t="s" s="2">
        <f>HYPERLINK("http://ts.21cn.com/tousu/show/id/1371326","暴力催收，骚扰通讯录，高利贷")</f>
      </c>
      <c r="C2617" t="s" s="2">
        <v>15</v>
      </c>
      <c r="D2617" t="s" s="2">
        <v>16</v>
      </c>
      <c r="E2617" t="s" s="2">
        <v>17</v>
      </c>
      <c r="F2617" t="s" s="2">
        <f>HYPERLINK("http://ts.21cn.com/tousu/show/id/1371326","http://ts.21cn.com/tousu/show/id/1371326")</f>
      </c>
      <c r="G2617" t="s" s="2">
        <v>17</v>
      </c>
      <c r="H2617" t="s" s="2">
        <v>19</v>
      </c>
      <c r="I2617" t="s" s="2">
        <v>10248</v>
      </c>
      <c r="J2617" t="s" s="2">
        <v>10249</v>
      </c>
      <c r="K2617" t="s" s="2">
        <v>22</v>
      </c>
      <c r="L2617" t="s" s="2">
        <v>22</v>
      </c>
      <c r="M2617" t="s" s="2">
        <v>22</v>
      </c>
    </row>
    <row r="2618" ht="25.0" customHeight="true">
      <c r="A2618" t="s" s="2">
        <v>13</v>
      </c>
      <c r="B2618" t="s" s="2">
        <f>HYPERLINK("http://ts.21cn.com/tousu/show/id/1371327","暴力催收泄漏个人隐私")</f>
      </c>
      <c r="C2618" t="s" s="2">
        <v>15</v>
      </c>
      <c r="D2618" t="s" s="2">
        <v>16</v>
      </c>
      <c r="E2618" t="s" s="2">
        <v>17</v>
      </c>
      <c r="F2618" t="s" s="2">
        <f>HYPERLINK("http://ts.21cn.com/tousu/show/id/1371327","http://ts.21cn.com/tousu/show/id/1371327")</f>
      </c>
      <c r="G2618" t="s" s="2">
        <v>17</v>
      </c>
      <c r="H2618" t="s" s="2">
        <v>19</v>
      </c>
      <c r="I2618" t="s" s="2">
        <v>10252</v>
      </c>
      <c r="J2618" t="s" s="2">
        <v>10253</v>
      </c>
      <c r="K2618" t="s" s="2">
        <v>22</v>
      </c>
      <c r="L2618" t="s" s="2">
        <v>22</v>
      </c>
      <c r="M2618" t="s" s="2">
        <v>22</v>
      </c>
    </row>
    <row r="2619" ht="25.0" customHeight="true">
      <c r="A2619" t="s" s="2">
        <v>13</v>
      </c>
      <c r="B2619" t="s" s="2">
        <f>HYPERLINK("http://ts.21cn.com/tousu/show/id/1371318","砍头息软暴力催收")</f>
      </c>
      <c r="C2619" t="s" s="2">
        <v>15</v>
      </c>
      <c r="D2619" t="s" s="2">
        <v>16</v>
      </c>
      <c r="E2619" t="s" s="2">
        <v>17</v>
      </c>
      <c r="F2619" t="s" s="2">
        <f>HYPERLINK("http://ts.21cn.com/tousu/show/id/1371318","http://ts.21cn.com/tousu/show/id/1371318")</f>
      </c>
      <c r="G2619" t="s" s="2">
        <v>17</v>
      </c>
      <c r="H2619" t="s" s="2">
        <v>19</v>
      </c>
      <c r="I2619" t="s" s="2">
        <v>10256</v>
      </c>
      <c r="J2619" t="s" s="2">
        <v>10257</v>
      </c>
      <c r="K2619" t="s" s="2">
        <v>22</v>
      </c>
      <c r="L2619" t="s" s="2">
        <v>22</v>
      </c>
      <c r="M2619" t="s" s="2">
        <v>22</v>
      </c>
    </row>
    <row r="2620" ht="25.0" customHeight="true">
      <c r="A2620" t="s" s="2">
        <v>13</v>
      </c>
      <c r="B2620" t="s" s="2">
        <f>HYPERLINK("http://ts.21cn.com/tousu/show/id/1371325","退运费")</f>
      </c>
      <c r="C2620" t="s" s="2">
        <v>52</v>
      </c>
      <c r="D2620" t="s" s="2">
        <v>16</v>
      </c>
      <c r="E2620" t="s" s="2">
        <v>17</v>
      </c>
      <c r="F2620" t="s" s="2">
        <f>HYPERLINK("http://ts.21cn.com/tousu/show/id/1371325","http://ts.21cn.com/tousu/show/id/1371325")</f>
      </c>
      <c r="G2620" t="s" s="2">
        <v>17</v>
      </c>
      <c r="H2620" t="s" s="2">
        <v>19</v>
      </c>
      <c r="I2620" t="s" s="2">
        <v>10260</v>
      </c>
      <c r="J2620" t="s" s="2">
        <v>10261</v>
      </c>
      <c r="K2620" t="s" s="2">
        <v>22</v>
      </c>
      <c r="L2620" t="s" s="2">
        <v>22</v>
      </c>
      <c r="M2620" t="s" s="2">
        <v>22</v>
      </c>
    </row>
    <row r="2621" ht="25.0" customHeight="true">
      <c r="A2621" t="s" s="2">
        <v>13</v>
      </c>
      <c r="B2621" t="s" s="2">
        <f>HYPERLINK("http://ts.21cn.com/tousu/show/id/1371324","上海瀚银违规为境外博彩机构提供资金通道")</f>
      </c>
      <c r="C2621" t="s" s="2">
        <v>15</v>
      </c>
      <c r="D2621" t="s" s="2">
        <v>16</v>
      </c>
      <c r="E2621" t="s" s="2">
        <v>17</v>
      </c>
      <c r="F2621" t="s" s="2">
        <f>HYPERLINK("http://ts.21cn.com/tousu/show/id/1371324","http://ts.21cn.com/tousu/show/id/1371324")</f>
      </c>
      <c r="G2621" t="s" s="2">
        <v>17</v>
      </c>
      <c r="H2621" t="s" s="2">
        <v>19</v>
      </c>
      <c r="I2621" t="s" s="2">
        <v>10264</v>
      </c>
      <c r="J2621" t="s" s="2">
        <v>10265</v>
      </c>
      <c r="K2621" t="s" s="2">
        <v>22</v>
      </c>
      <c r="L2621" t="s" s="2">
        <v>22</v>
      </c>
      <c r="M2621" t="s" s="2">
        <v>22</v>
      </c>
    </row>
    <row r="2622" ht="25.0" customHeight="true">
      <c r="A2622" t="s" s="2">
        <v>13</v>
      </c>
      <c r="B2622" t="s" s="2">
        <f>HYPERLINK("http://ts.21cn.com/tousu/show/id/1371323","快闪卡贷扣砍头息")</f>
      </c>
      <c r="C2622" t="s" s="2">
        <v>52</v>
      </c>
      <c r="D2622" t="s" s="2">
        <v>16</v>
      </c>
      <c r="E2622" t="s" s="2">
        <v>17</v>
      </c>
      <c r="F2622" t="s" s="2">
        <f>HYPERLINK("http://ts.21cn.com/tousu/show/id/1371323","http://ts.21cn.com/tousu/show/id/1371323")</f>
      </c>
      <c r="G2622" t="s" s="2">
        <v>17</v>
      </c>
      <c r="H2622" t="s" s="2">
        <v>19</v>
      </c>
      <c r="I2622" t="s" s="2">
        <v>10268</v>
      </c>
      <c r="J2622" t="s" s="2">
        <v>10269</v>
      </c>
      <c r="K2622" t="s" s="2">
        <v>22</v>
      </c>
      <c r="L2622" t="s" s="2">
        <v>22</v>
      </c>
      <c r="M2622" t="s" s="2">
        <v>22</v>
      </c>
    </row>
    <row r="2623" ht="25.0" customHeight="true">
      <c r="A2623" t="s" s="2">
        <v>13</v>
      </c>
      <c r="B2623" t="s" s="2">
        <f>HYPERLINK("http://ts.21cn.com/tousu/show/id/1371321","暴力催收")</f>
      </c>
      <c r="C2623" t="s" s="2">
        <v>15</v>
      </c>
      <c r="D2623" t="s" s="2">
        <v>16</v>
      </c>
      <c r="E2623" t="s" s="2">
        <v>17</v>
      </c>
      <c r="F2623" t="s" s="2">
        <f>HYPERLINK("http://ts.21cn.com/tousu/show/id/1371321","http://ts.21cn.com/tousu/show/id/1371321")</f>
      </c>
      <c r="G2623" t="s" s="2">
        <v>17</v>
      </c>
      <c r="H2623" t="s" s="2">
        <v>19</v>
      </c>
      <c r="I2623" t="s" s="2">
        <v>10271</v>
      </c>
      <c r="J2623" t="s" s="2">
        <v>10272</v>
      </c>
      <c r="K2623" t="s" s="2">
        <v>22</v>
      </c>
      <c r="L2623" t="s" s="2">
        <v>22</v>
      </c>
      <c r="M2623" t="s" s="2">
        <v>22</v>
      </c>
    </row>
    <row r="2624" ht="25.0" customHeight="true">
      <c r="A2624" t="s" s="2">
        <v>13</v>
      </c>
      <c r="B2624" t="s" s="2">
        <f>HYPERLINK("http://ts.21cn.com/tousu/show/id/1371322","洋钱罐轰炸通讯录没跟本人联系过")</f>
      </c>
      <c r="C2624" t="s" s="2">
        <v>15</v>
      </c>
      <c r="D2624" t="s" s="2">
        <v>16</v>
      </c>
      <c r="E2624" t="s" s="2">
        <v>17</v>
      </c>
      <c r="F2624" t="s" s="2">
        <f>HYPERLINK("http://ts.21cn.com/tousu/show/id/1371322","http://ts.21cn.com/tousu/show/id/1371322")</f>
      </c>
      <c r="G2624" t="s" s="2">
        <v>17</v>
      </c>
      <c r="H2624" t="s" s="2">
        <v>19</v>
      </c>
      <c r="I2624" t="s" s="2">
        <v>10275</v>
      </c>
      <c r="J2624" t="s" s="2">
        <v>10276</v>
      </c>
      <c r="K2624" t="s" s="2">
        <v>22</v>
      </c>
      <c r="L2624" t="s" s="2">
        <v>22</v>
      </c>
      <c r="M2624" t="s" s="2">
        <v>22</v>
      </c>
    </row>
    <row r="2625" ht="25.0" customHeight="true">
      <c r="A2625" t="s" s="2">
        <v>13</v>
      </c>
      <c r="B2625" t="s" s="2">
        <f>HYPERLINK("http://ts.21cn.com/tousu/show/id/1371283","拍拍贷暴力催收，有意把人往绝路逼")</f>
      </c>
      <c r="C2625" t="s" s="2">
        <v>15</v>
      </c>
      <c r="D2625" t="s" s="2">
        <v>16</v>
      </c>
      <c r="E2625" t="s" s="2">
        <v>17</v>
      </c>
      <c r="F2625" t="s" s="2">
        <f>HYPERLINK("http://ts.21cn.com/tousu/show/id/1371283","http://ts.21cn.com/tousu/show/id/1371283")</f>
      </c>
      <c r="G2625" t="s" s="2">
        <v>17</v>
      </c>
      <c r="H2625" t="s" s="2">
        <v>19</v>
      </c>
      <c r="I2625" t="s" s="2">
        <v>10279</v>
      </c>
      <c r="J2625" t="s" s="2">
        <v>10280</v>
      </c>
      <c r="K2625" t="s" s="2">
        <v>22</v>
      </c>
      <c r="L2625" t="s" s="2">
        <v>22</v>
      </c>
      <c r="M2625" t="s" s="2">
        <v>22</v>
      </c>
    </row>
    <row r="2626" ht="25.0" customHeight="true">
      <c r="A2626" t="s" s="2">
        <v>13</v>
      </c>
      <c r="B2626" t="s" s="2">
        <f>HYPERLINK("http://ts.21cn.com/tousu/show/id/1371320","宜信恶意催收打电话骚扰家人同事")</f>
      </c>
      <c r="C2626" t="s" s="2">
        <v>15</v>
      </c>
      <c r="D2626" t="s" s="2">
        <v>16</v>
      </c>
      <c r="E2626" t="s" s="2">
        <v>17</v>
      </c>
      <c r="F2626" t="s" s="2">
        <f>HYPERLINK("http://ts.21cn.com/tousu/show/id/1371320","http://ts.21cn.com/tousu/show/id/1371320")</f>
      </c>
      <c r="G2626" t="s" s="2">
        <v>17</v>
      </c>
      <c r="H2626" t="s" s="2">
        <v>19</v>
      </c>
      <c r="I2626" t="s" s="2">
        <v>10283</v>
      </c>
      <c r="J2626" t="s" s="2">
        <v>10284</v>
      </c>
      <c r="K2626" t="s" s="2">
        <v>22</v>
      </c>
      <c r="L2626" t="s" s="2">
        <v>22</v>
      </c>
      <c r="M2626" t="s" s="2">
        <v>22</v>
      </c>
    </row>
    <row r="2627" ht="25.0" customHeight="true">
      <c r="A2627" t="s" s="2">
        <v>13</v>
      </c>
      <c r="B2627" t="s" s="2">
        <f>HYPERLINK("http://ts.21cn.com/tousu/show/id/1371319","兴业银行信用卡逾期违约金高，申请减免罚息不行")</f>
      </c>
      <c r="C2627" t="s" s="2">
        <v>15</v>
      </c>
      <c r="D2627" t="s" s="2">
        <v>16</v>
      </c>
      <c r="E2627" t="s" s="2">
        <v>17</v>
      </c>
      <c r="F2627" t="s" s="2">
        <f>HYPERLINK("http://ts.21cn.com/tousu/show/id/1371319","http://ts.21cn.com/tousu/show/id/1371319")</f>
      </c>
      <c r="G2627" t="s" s="2">
        <v>17</v>
      </c>
      <c r="H2627" t="s" s="2">
        <v>19</v>
      </c>
      <c r="I2627" t="s" s="2">
        <v>10287</v>
      </c>
      <c r="J2627" t="s" s="2">
        <v>10288</v>
      </c>
      <c r="K2627" t="s" s="2">
        <v>22</v>
      </c>
      <c r="L2627" t="s" s="2">
        <v>22</v>
      </c>
      <c r="M2627" t="s" s="2">
        <v>22</v>
      </c>
    </row>
    <row r="2628" ht="25.0" customHeight="true">
      <c r="A2628" t="s" s="2">
        <v>13</v>
      </c>
      <c r="B2628" t="s" s="2">
        <f>HYPERLINK("http://ts.21cn.com/tousu/show/id/1371317","拍拍拍贷违法违规逼债行为对我造成重大损失")</f>
      </c>
      <c r="C2628" t="s" s="2">
        <v>15</v>
      </c>
      <c r="D2628" t="s" s="2">
        <v>16</v>
      </c>
      <c r="E2628" t="s" s="2">
        <v>17</v>
      </c>
      <c r="F2628" t="s" s="2">
        <f>HYPERLINK("http://ts.21cn.com/tousu/show/id/1371317","http://ts.21cn.com/tousu/show/id/1371317")</f>
      </c>
      <c r="G2628" t="s" s="2">
        <v>17</v>
      </c>
      <c r="H2628" t="s" s="2">
        <v>19</v>
      </c>
      <c r="I2628" t="s" s="2">
        <v>10291</v>
      </c>
      <c r="J2628" t="s" s="2">
        <v>10292</v>
      </c>
      <c r="K2628" t="s" s="2">
        <v>22</v>
      </c>
      <c r="L2628" t="s" s="2">
        <v>22</v>
      </c>
      <c r="M2628" t="s" s="2">
        <v>22</v>
      </c>
    </row>
    <row r="2629" ht="25.0" customHeight="true">
      <c r="A2629" t="s" s="2">
        <v>13</v>
      </c>
      <c r="B2629" t="s" s="2">
        <f>HYPERLINK("http://ts.21cn.com/tousu/show/id/1371316","信用家暴力催收，骚扰威胁恐吓")</f>
      </c>
      <c r="C2629" t="s" s="2">
        <v>15</v>
      </c>
      <c r="D2629" t="s" s="2">
        <v>16</v>
      </c>
      <c r="E2629" t="s" s="2">
        <v>17</v>
      </c>
      <c r="F2629" t="s" s="2">
        <f>HYPERLINK("http://ts.21cn.com/tousu/show/id/1371316","http://ts.21cn.com/tousu/show/id/1371316")</f>
      </c>
      <c r="G2629" t="s" s="2">
        <v>17</v>
      </c>
      <c r="H2629" t="s" s="2">
        <v>19</v>
      </c>
      <c r="I2629" t="s" s="2">
        <v>10295</v>
      </c>
      <c r="J2629" t="s" s="2">
        <v>10296</v>
      </c>
      <c r="K2629" t="s" s="2">
        <v>22</v>
      </c>
      <c r="L2629" t="s" s="2">
        <v>22</v>
      </c>
      <c r="M2629" t="s" s="2">
        <v>22</v>
      </c>
    </row>
    <row r="2630" ht="25.0" customHeight="true">
      <c r="A2630" t="s" s="2">
        <v>13</v>
      </c>
      <c r="B2630" t="s" s="2">
        <f>HYPERLINK("http://ts.21cn.com/tousu/show/id/1371314","玖富万卡阴阳合同，高利贷")</f>
      </c>
      <c r="C2630" t="s" s="2">
        <v>15</v>
      </c>
      <c r="D2630" t="s" s="2">
        <v>16</v>
      </c>
      <c r="E2630" t="s" s="2">
        <v>17</v>
      </c>
      <c r="F2630" t="s" s="2">
        <f>HYPERLINK("http://ts.21cn.com/tousu/show/id/1371314","http://ts.21cn.com/tousu/show/id/1371314")</f>
      </c>
      <c r="G2630" t="s" s="2">
        <v>17</v>
      </c>
      <c r="H2630" t="s" s="2">
        <v>19</v>
      </c>
      <c r="I2630" t="s" s="2">
        <v>10299</v>
      </c>
      <c r="J2630" t="s" s="2">
        <v>10300</v>
      </c>
      <c r="K2630" t="s" s="2">
        <v>22</v>
      </c>
      <c r="L2630" t="s" s="2">
        <v>22</v>
      </c>
      <c r="M2630" t="s" s="2">
        <v>22</v>
      </c>
    </row>
    <row r="2631" ht="25.0" customHeight="true">
      <c r="A2631" t="s" s="2">
        <v>13</v>
      </c>
      <c r="B2631" t="s" s="2">
        <f>HYPERLINK("http://ts.21cn.com/tousu/show/id/1371315","维信卡卡贷暴力催收，威胁，砍头息，利率高")</f>
      </c>
      <c r="C2631" t="s" s="2">
        <v>15</v>
      </c>
      <c r="D2631" t="s" s="2">
        <v>16</v>
      </c>
      <c r="E2631" t="s" s="2">
        <v>17</v>
      </c>
      <c r="F2631" t="s" s="2">
        <f>HYPERLINK("http://ts.21cn.com/tousu/show/id/1371315","http://ts.21cn.com/tousu/show/id/1371315")</f>
      </c>
      <c r="G2631" t="s" s="2">
        <v>17</v>
      </c>
      <c r="H2631" t="s" s="2">
        <v>19</v>
      </c>
      <c r="I2631" t="s" s="2">
        <v>10303</v>
      </c>
      <c r="J2631" t="s" s="2">
        <v>10304</v>
      </c>
      <c r="K2631" t="s" s="2">
        <v>22</v>
      </c>
      <c r="L2631" t="s" s="2">
        <v>22</v>
      </c>
      <c r="M2631" t="s" s="2">
        <v>22</v>
      </c>
    </row>
    <row r="2632" ht="25.0" customHeight="true">
      <c r="A2632" t="s" s="2">
        <v>13</v>
      </c>
      <c r="B2632" t="s" s="2">
        <f>HYPERLINK("http://ts.21cn.com/tousu/show/id/1371313","中信银行信用卡中心发信息骚扰朋友")</f>
      </c>
      <c r="C2632" t="s" s="2">
        <v>15</v>
      </c>
      <c r="D2632" t="s" s="2">
        <v>16</v>
      </c>
      <c r="E2632" t="s" s="2">
        <v>17</v>
      </c>
      <c r="F2632" t="s" s="2">
        <f>HYPERLINK("http://ts.21cn.com/tousu/show/id/1371313","http://ts.21cn.com/tousu/show/id/1371313")</f>
      </c>
      <c r="G2632" t="s" s="2">
        <v>17</v>
      </c>
      <c r="H2632" t="s" s="2">
        <v>19</v>
      </c>
      <c r="I2632" t="s" s="2">
        <v>10307</v>
      </c>
      <c r="J2632" t="s" s="2">
        <v>10308</v>
      </c>
      <c r="K2632" t="s" s="2">
        <v>22</v>
      </c>
      <c r="L2632" t="s" s="2">
        <v>22</v>
      </c>
      <c r="M2632" t="s" s="2">
        <v>22</v>
      </c>
    </row>
    <row r="2633" ht="25.0" customHeight="true">
      <c r="A2633" t="s" s="2">
        <v>13</v>
      </c>
      <c r="B2633" t="s" s="2">
        <f>HYPERLINK("http://ts.21cn.com/tousu/show/id/1371285","钱站阴阳合同")</f>
      </c>
      <c r="C2633" t="s" s="2">
        <v>15</v>
      </c>
      <c r="D2633" t="s" s="2">
        <v>16</v>
      </c>
      <c r="E2633" t="s" s="2">
        <v>17</v>
      </c>
      <c r="F2633" t="s" s="2">
        <f>HYPERLINK("http://ts.21cn.com/tousu/show/id/1371285","http://ts.21cn.com/tousu/show/id/1371285")</f>
      </c>
      <c r="G2633" t="s" s="2">
        <v>17</v>
      </c>
      <c r="H2633" t="s" s="2">
        <v>19</v>
      </c>
      <c r="I2633" t="s" s="2">
        <v>10310</v>
      </c>
      <c r="J2633" t="s" s="2">
        <v>10311</v>
      </c>
      <c r="K2633" t="s" s="2">
        <v>22</v>
      </c>
      <c r="L2633" t="s" s="2">
        <v>22</v>
      </c>
      <c r="M2633" t="s" s="2">
        <v>22</v>
      </c>
    </row>
    <row r="2634" ht="25.0" customHeight="true">
      <c r="A2634" t="s" s="2">
        <v>13</v>
      </c>
      <c r="B2634" t="s" s="2">
        <f>HYPERLINK("http://ts.21cn.com/tousu/show/id/1371312","超高费用现金贷")</f>
      </c>
      <c r="C2634" t="s" s="2">
        <v>15</v>
      </c>
      <c r="D2634" t="s" s="2">
        <v>16</v>
      </c>
      <c r="E2634" t="s" s="2">
        <v>17</v>
      </c>
      <c r="F2634" t="s" s="2">
        <f>HYPERLINK("http://ts.21cn.com/tousu/show/id/1371312","http://ts.21cn.com/tousu/show/id/1371312")</f>
      </c>
      <c r="G2634" t="s" s="2">
        <v>17</v>
      </c>
      <c r="H2634" t="s" s="2">
        <v>19</v>
      </c>
      <c r="I2634" t="s" s="2">
        <v>10314</v>
      </c>
      <c r="J2634" t="s" s="2">
        <v>10315</v>
      </c>
      <c r="K2634" t="s" s="2">
        <v>22</v>
      </c>
      <c r="L2634" t="s" s="2">
        <v>22</v>
      </c>
      <c r="M2634" t="s" s="2">
        <v>22</v>
      </c>
    </row>
    <row r="2635" ht="25.0" customHeight="true">
      <c r="A2635" t="s" s="2">
        <v>13</v>
      </c>
      <c r="B2635" t="s" s="2">
        <f>HYPERLINK("http://ts.21cn.com/tousu/show/id/1371309","还呗高利贷")</f>
      </c>
      <c r="C2635" t="s" s="2">
        <v>15</v>
      </c>
      <c r="D2635" t="s" s="2">
        <v>16</v>
      </c>
      <c r="E2635" t="s" s="2">
        <v>17</v>
      </c>
      <c r="F2635" t="s" s="2">
        <f>HYPERLINK("http://ts.21cn.com/tousu/show/id/1371309","http://ts.21cn.com/tousu/show/id/1371309")</f>
      </c>
      <c r="G2635" t="s" s="2">
        <v>17</v>
      </c>
      <c r="H2635" t="s" s="2">
        <v>19</v>
      </c>
      <c r="I2635" t="s" s="2">
        <v>10318</v>
      </c>
      <c r="J2635" t="s" s="2">
        <v>10319</v>
      </c>
      <c r="K2635" t="s" s="2">
        <v>22</v>
      </c>
      <c r="L2635" t="s" s="2">
        <v>22</v>
      </c>
      <c r="M2635" t="s" s="2">
        <v>22</v>
      </c>
    </row>
    <row r="2636" ht="25.0" customHeight="true">
      <c r="A2636" t="s" s="2">
        <v>13</v>
      </c>
      <c r="B2636" t="s" s="2">
        <f>HYPERLINK("http://ts.21cn.com/tousu/show/id/1371308","平安银行暴击催收，骚扰及恐吓。")</f>
      </c>
      <c r="C2636" t="s" s="2">
        <v>15</v>
      </c>
      <c r="D2636" t="s" s="2">
        <v>16</v>
      </c>
      <c r="E2636" t="s" s="2">
        <v>17</v>
      </c>
      <c r="F2636" t="s" s="2">
        <f>HYPERLINK("http://ts.21cn.com/tousu/show/id/1371308","http://ts.21cn.com/tousu/show/id/1371308")</f>
      </c>
      <c r="G2636" t="s" s="2">
        <v>17</v>
      </c>
      <c r="H2636" t="s" s="2">
        <v>19</v>
      </c>
      <c r="I2636" t="s" s="2">
        <v>10322</v>
      </c>
      <c r="J2636" t="s" s="2">
        <v>10323</v>
      </c>
      <c r="K2636" t="s" s="2">
        <v>22</v>
      </c>
      <c r="L2636" t="s" s="2">
        <v>22</v>
      </c>
      <c r="M2636" t="s" s="2">
        <v>22</v>
      </c>
    </row>
    <row r="2637" ht="25.0" customHeight="true">
      <c r="A2637" t="s" s="2">
        <v>13</v>
      </c>
      <c r="B2637" t="s" s="2">
        <f>HYPERLINK("http://ts.21cn.com/tousu/show/id/1371307","小红书文章关键词搜不到，几万篇辛辛苦苦的文章消失")</f>
      </c>
      <c r="C2637" t="s" s="2">
        <v>52</v>
      </c>
      <c r="D2637" t="s" s="2">
        <v>16</v>
      </c>
      <c r="E2637" t="s" s="2">
        <v>17</v>
      </c>
      <c r="F2637" t="s" s="2">
        <f>HYPERLINK("http://ts.21cn.com/tousu/show/id/1371307","http://ts.21cn.com/tousu/show/id/1371307")</f>
      </c>
      <c r="G2637" t="s" s="2">
        <v>17</v>
      </c>
      <c r="H2637" t="s" s="2">
        <v>19</v>
      </c>
      <c r="I2637" t="s" s="2">
        <v>10326</v>
      </c>
      <c r="J2637" t="s" s="2">
        <v>10327</v>
      </c>
      <c r="K2637" t="s" s="2">
        <v>22</v>
      </c>
      <c r="L2637" t="s" s="2">
        <v>22</v>
      </c>
      <c r="M2637" t="s" s="2">
        <v>22</v>
      </c>
    </row>
    <row r="2638" ht="25.0" customHeight="true">
      <c r="A2638" t="s" s="2">
        <v>13</v>
      </c>
      <c r="B2638" t="s" s="2">
        <f>HYPERLINK("http://ts.21cn.com/tousu/show/id/1371306","平安信用卡故意骚扰我的家人，爆通讯录")</f>
      </c>
      <c r="C2638" t="s" s="2">
        <v>15</v>
      </c>
      <c r="D2638" t="s" s="2">
        <v>16</v>
      </c>
      <c r="E2638" t="s" s="2">
        <v>17</v>
      </c>
      <c r="F2638" t="s" s="2">
        <f>HYPERLINK("http://ts.21cn.com/tousu/show/id/1371306","http://ts.21cn.com/tousu/show/id/1371306")</f>
      </c>
      <c r="G2638" t="s" s="2">
        <v>17</v>
      </c>
      <c r="H2638" t="s" s="2">
        <v>19</v>
      </c>
      <c r="I2638" t="s" s="2">
        <v>10330</v>
      </c>
      <c r="J2638" t="s" s="2">
        <v>10331</v>
      </c>
      <c r="K2638" t="s" s="2">
        <v>22</v>
      </c>
      <c r="L2638" t="s" s="2">
        <v>22</v>
      </c>
      <c r="M2638" t="s" s="2">
        <v>22</v>
      </c>
    </row>
    <row r="2639" ht="25.0" customHeight="true">
      <c r="A2639" t="s" s="2">
        <v>13</v>
      </c>
      <c r="B2639" t="s" s="2">
        <f>HYPERLINK("http://ts.21cn.com/tousu/show/id/1371304","拉卡拉支付无故扣押扫码款")</f>
      </c>
      <c r="C2639" t="s" s="2">
        <v>15</v>
      </c>
      <c r="D2639" t="s" s="2">
        <v>16</v>
      </c>
      <c r="E2639" t="s" s="2">
        <v>17</v>
      </c>
      <c r="F2639" t="s" s="2">
        <f>HYPERLINK("http://ts.21cn.com/tousu/show/id/1371304","http://ts.21cn.com/tousu/show/id/1371304")</f>
      </c>
      <c r="G2639" t="s" s="2">
        <v>17</v>
      </c>
      <c r="H2639" t="s" s="2">
        <v>19</v>
      </c>
      <c r="I2639" t="s" s="2">
        <v>10334</v>
      </c>
      <c r="J2639" t="s" s="2">
        <v>10335</v>
      </c>
      <c r="K2639" t="s" s="2">
        <v>22</v>
      </c>
      <c r="L2639" t="s" s="2">
        <v>22</v>
      </c>
      <c r="M2639" t="s" s="2">
        <v>22</v>
      </c>
    </row>
    <row r="2640" ht="25.0" customHeight="true">
      <c r="A2640" t="s" s="2">
        <v>13</v>
      </c>
      <c r="B2640" t="s" s="2">
        <f>HYPERLINK("http://ts.21cn.com/tousu/show/id/1371305","纵容无良商家，遇事推卸")</f>
      </c>
      <c r="C2640" t="s" s="2">
        <v>15</v>
      </c>
      <c r="D2640" t="s" s="2">
        <v>16</v>
      </c>
      <c r="E2640" t="s" s="2">
        <v>17</v>
      </c>
      <c r="F2640" t="s" s="2">
        <f>HYPERLINK("http://ts.21cn.com/tousu/show/id/1371305","http://ts.21cn.com/tousu/show/id/1371305")</f>
      </c>
      <c r="G2640" t="s" s="2">
        <v>17</v>
      </c>
      <c r="H2640" t="s" s="2">
        <v>19</v>
      </c>
      <c r="I2640" t="s" s="2">
        <v>10338</v>
      </c>
      <c r="J2640" t="s" s="2">
        <v>10339</v>
      </c>
      <c r="K2640" t="s" s="2">
        <v>22</v>
      </c>
      <c r="L2640" t="s" s="2">
        <v>22</v>
      </c>
      <c r="M2640" t="s" s="2">
        <v>22</v>
      </c>
    </row>
    <row r="2641" ht="25.0" customHeight="true">
      <c r="A2641" t="s" s="2">
        <v>13</v>
      </c>
      <c r="B2641" t="s" s="2">
        <f>HYPERLINK("http://ts.21cn.com/tousu/show/id/1371303","聚富分期未通过本人私自在银行卡扣款")</f>
      </c>
      <c r="C2641" t="s" s="2">
        <v>15</v>
      </c>
      <c r="D2641" t="s" s="2">
        <v>16</v>
      </c>
      <c r="E2641" t="s" s="2">
        <v>17</v>
      </c>
      <c r="F2641" t="s" s="2">
        <f>HYPERLINK("http://ts.21cn.com/tousu/show/id/1371303","http://ts.21cn.com/tousu/show/id/1371303")</f>
      </c>
      <c r="G2641" t="s" s="2">
        <v>17</v>
      </c>
      <c r="H2641" t="s" s="2">
        <v>19</v>
      </c>
      <c r="I2641" t="s" s="2">
        <v>10342</v>
      </c>
      <c r="J2641" t="s" s="2">
        <v>10343</v>
      </c>
      <c r="K2641" t="s" s="2">
        <v>22</v>
      </c>
      <c r="L2641" t="s" s="2">
        <v>22</v>
      </c>
      <c r="M2641" t="s" s="2">
        <v>22</v>
      </c>
    </row>
    <row r="2642" ht="25.0" customHeight="true">
      <c r="A2642" t="s" s="2">
        <v>13</v>
      </c>
      <c r="B2642" t="s" s="2">
        <f>HYPERLINK("http://ts.21cn.com/tousu/show/id/1371302","投诉交通银行信用卡")</f>
      </c>
      <c r="C2642" t="s" s="2">
        <v>15</v>
      </c>
      <c r="D2642" t="s" s="2">
        <v>16</v>
      </c>
      <c r="E2642" t="s" s="2">
        <v>17</v>
      </c>
      <c r="F2642" t="s" s="2">
        <f>HYPERLINK("http://ts.21cn.com/tousu/show/id/1371302","http://ts.21cn.com/tousu/show/id/1371302")</f>
      </c>
      <c r="G2642" t="s" s="2">
        <v>17</v>
      </c>
      <c r="H2642" t="s" s="2">
        <v>19</v>
      </c>
      <c r="I2642" t="s" s="2">
        <v>10346</v>
      </c>
      <c r="J2642" t="s" s="2">
        <v>10347</v>
      </c>
      <c r="K2642" t="s" s="2">
        <v>22</v>
      </c>
      <c r="L2642" t="s" s="2">
        <v>22</v>
      </c>
      <c r="M2642" t="s" s="2">
        <v>22</v>
      </c>
    </row>
    <row r="2643" ht="25.0" customHeight="true">
      <c r="A2643" t="s" s="2">
        <v>13</v>
      </c>
      <c r="B2643" t="s" s="2">
        <f>HYPERLINK("http://ts.21cn.com/tousu/show/id/1371276","虚假宣传，诱导消费者")</f>
      </c>
      <c r="C2643" t="s" s="2">
        <v>15</v>
      </c>
      <c r="D2643" t="s" s="2">
        <v>16</v>
      </c>
      <c r="E2643" t="s" s="2">
        <v>17</v>
      </c>
      <c r="F2643" t="s" s="2">
        <f>HYPERLINK("http://ts.21cn.com/tousu/show/id/1371276","http://ts.21cn.com/tousu/show/id/1371276")</f>
      </c>
      <c r="G2643" t="s" s="2">
        <v>17</v>
      </c>
      <c r="H2643" t="s" s="2">
        <v>19</v>
      </c>
      <c r="I2643" t="s" s="2">
        <v>10350</v>
      </c>
      <c r="J2643" t="s" s="2">
        <v>10351</v>
      </c>
      <c r="K2643" t="s" s="2">
        <v>22</v>
      </c>
      <c r="L2643" t="s" s="2">
        <v>22</v>
      </c>
      <c r="M2643" t="s" s="2">
        <v>22</v>
      </c>
    </row>
    <row r="2644" ht="25.0" customHeight="true">
      <c r="A2644" t="s" s="2">
        <v>13</v>
      </c>
      <c r="B2644" t="s" s="2">
        <f>HYPERLINK("http://ts.21cn.com/tousu/show/id/1371300","花转转樱桃小借恶意导致客户逾期收取逾期费用")</f>
      </c>
      <c r="C2644" t="s" s="2">
        <v>15</v>
      </c>
      <c r="D2644" t="s" s="2">
        <v>16</v>
      </c>
      <c r="E2644" t="s" s="2">
        <v>17</v>
      </c>
      <c r="F2644" t="s" s="2">
        <f>HYPERLINK("http://ts.21cn.com/tousu/show/id/1371300","http://ts.21cn.com/tousu/show/id/1371300")</f>
      </c>
      <c r="G2644" t="s" s="2">
        <v>17</v>
      </c>
      <c r="H2644" t="s" s="2">
        <v>19</v>
      </c>
      <c r="I2644" t="s" s="2">
        <v>10350</v>
      </c>
      <c r="J2644" t="s" s="2">
        <v>10354</v>
      </c>
      <c r="K2644" t="s" s="2">
        <v>22</v>
      </c>
      <c r="L2644" t="s" s="2">
        <v>22</v>
      </c>
      <c r="M2644" t="s" s="2">
        <v>22</v>
      </c>
    </row>
    <row r="2645" ht="25.0" customHeight="true">
      <c r="A2645" t="s" s="2">
        <v>13</v>
      </c>
      <c r="B2645" t="s" s="2">
        <f>HYPERLINK("http://ts.21cn.com/tousu/show/id/1371299","快件丢失后多次联系无回复")</f>
      </c>
      <c r="C2645" t="s" s="2">
        <v>15</v>
      </c>
      <c r="D2645" t="s" s="2">
        <v>16</v>
      </c>
      <c r="E2645" t="s" s="2">
        <v>17</v>
      </c>
      <c r="F2645" t="s" s="2">
        <f>HYPERLINK("http://ts.21cn.com/tousu/show/id/1371299","http://ts.21cn.com/tousu/show/id/1371299")</f>
      </c>
      <c r="G2645" t="s" s="2">
        <v>17</v>
      </c>
      <c r="H2645" t="s" s="2">
        <v>19</v>
      </c>
      <c r="I2645" t="s" s="2">
        <v>10357</v>
      </c>
      <c r="J2645" t="s" s="2">
        <v>10358</v>
      </c>
      <c r="K2645" t="s" s="2">
        <v>22</v>
      </c>
      <c r="L2645" t="s" s="2">
        <v>22</v>
      </c>
      <c r="M2645" t="s" s="2">
        <v>22</v>
      </c>
    </row>
    <row r="2646" ht="25.0" customHeight="true">
      <c r="A2646" t="s" s="2">
        <v>13</v>
      </c>
      <c r="B2646" t="s" s="2">
        <f>HYPERLINK("http://ts.21cn.com/tousu/show/id/1371298","交易猫仲裁客服不理")</f>
      </c>
      <c r="C2646" t="s" s="2">
        <v>15</v>
      </c>
      <c r="D2646" t="s" s="2">
        <v>16</v>
      </c>
      <c r="E2646" t="s" s="2">
        <v>17</v>
      </c>
      <c r="F2646" t="s" s="2">
        <f>HYPERLINK("http://ts.21cn.com/tousu/show/id/1371298","http://ts.21cn.com/tousu/show/id/1371298")</f>
      </c>
      <c r="G2646" t="s" s="2">
        <v>17</v>
      </c>
      <c r="H2646" t="s" s="2">
        <v>19</v>
      </c>
      <c r="I2646" t="s" s="2">
        <v>10361</v>
      </c>
      <c r="J2646" t="s" s="2">
        <v>10362</v>
      </c>
      <c r="K2646" t="s" s="2">
        <v>22</v>
      </c>
      <c r="L2646" t="s" s="2">
        <v>22</v>
      </c>
      <c r="M2646" t="s" s="2">
        <v>22</v>
      </c>
    </row>
    <row r="2647" ht="25.0" customHeight="true">
      <c r="A2647" t="s" s="2">
        <v>13</v>
      </c>
      <c r="B2647" t="s" s="2">
        <f>HYPERLINK("http://ts.21cn.com/tousu/show/id/1371296","停止电话骚扰")</f>
      </c>
      <c r="C2647" t="s" s="2">
        <v>15</v>
      </c>
      <c r="D2647" t="s" s="2">
        <v>16</v>
      </c>
      <c r="E2647" t="s" s="2">
        <v>17</v>
      </c>
      <c r="F2647" t="s" s="2">
        <f>HYPERLINK("http://ts.21cn.com/tousu/show/id/1371296","http://ts.21cn.com/tousu/show/id/1371296")</f>
      </c>
      <c r="G2647" t="s" s="2">
        <v>17</v>
      </c>
      <c r="H2647" t="s" s="2">
        <v>19</v>
      </c>
      <c r="I2647" t="s" s="2">
        <v>10365</v>
      </c>
      <c r="J2647" t="s" s="2">
        <v>10366</v>
      </c>
      <c r="K2647" t="s" s="2">
        <v>22</v>
      </c>
      <c r="L2647" t="s" s="2">
        <v>22</v>
      </c>
      <c r="M2647" t="s" s="2">
        <v>22</v>
      </c>
    </row>
    <row r="2648" ht="25.0" customHeight="true">
      <c r="A2648" t="s" s="2">
        <v>13</v>
      </c>
      <c r="B2648" t="s" s="2">
        <f>HYPERLINK("http://ts.21cn.com/tousu/show/id/1371196","合同贷款金额与可使用金额不相符")</f>
      </c>
      <c r="C2648" t="s" s="2">
        <v>52</v>
      </c>
      <c r="D2648" t="s" s="2">
        <v>16</v>
      </c>
      <c r="E2648" t="s" s="2">
        <v>17</v>
      </c>
      <c r="F2648" t="s" s="2">
        <f>HYPERLINK("http://ts.21cn.com/tousu/show/id/1371196","http://ts.21cn.com/tousu/show/id/1371196")</f>
      </c>
      <c r="G2648" t="s" s="2">
        <v>17</v>
      </c>
      <c r="H2648" t="s" s="2">
        <v>19</v>
      </c>
      <c r="I2648" t="s" s="2">
        <v>10369</v>
      </c>
      <c r="J2648" t="s" s="2">
        <v>10370</v>
      </c>
      <c r="K2648" t="s" s="2">
        <v>22</v>
      </c>
      <c r="L2648" t="s" s="2">
        <v>22</v>
      </c>
      <c r="M2648" t="s" s="2">
        <v>22</v>
      </c>
    </row>
    <row r="2649" ht="25.0" customHeight="true">
      <c r="A2649" t="s" s="2">
        <v>13</v>
      </c>
      <c r="B2649" t="s" s="2">
        <f>HYPERLINK("http://ts.21cn.com/tousu/show/id/1371295","高利贷，利率不符合国家标准，砍头息暴力催收")</f>
      </c>
      <c r="C2649" t="s" s="2">
        <v>15</v>
      </c>
      <c r="D2649" t="s" s="2">
        <v>16</v>
      </c>
      <c r="E2649" t="s" s="2">
        <v>17</v>
      </c>
      <c r="F2649" t="s" s="2">
        <f>HYPERLINK("http://ts.21cn.com/tousu/show/id/1371295","http://ts.21cn.com/tousu/show/id/1371295")</f>
      </c>
      <c r="G2649" t="s" s="2">
        <v>17</v>
      </c>
      <c r="H2649" t="s" s="2">
        <v>19</v>
      </c>
      <c r="I2649" t="s" s="2">
        <v>10372</v>
      </c>
      <c r="J2649" t="s" s="2">
        <v>10373</v>
      </c>
      <c r="K2649" t="s" s="2">
        <v>22</v>
      </c>
      <c r="L2649" t="s" s="2">
        <v>22</v>
      </c>
      <c r="M2649" t="s" s="2">
        <v>22</v>
      </c>
    </row>
    <row r="2650" ht="25.0" customHeight="true">
      <c r="A2650" t="s" s="2">
        <v>13</v>
      </c>
      <c r="B2650" t="s" s="2">
        <f>HYPERLINK("http://ts.21cn.com/tousu/show/id/1371294","唯品会投诉专题")</f>
      </c>
      <c r="C2650" t="s" s="2">
        <v>52</v>
      </c>
      <c r="D2650" t="s" s="2">
        <v>16</v>
      </c>
      <c r="E2650" t="s" s="2">
        <v>17</v>
      </c>
      <c r="F2650" t="s" s="2">
        <f>HYPERLINK("http://ts.21cn.com/tousu/show/id/1371294","http://ts.21cn.com/tousu/show/id/1371294")</f>
      </c>
      <c r="G2650" t="s" s="2">
        <v>17</v>
      </c>
      <c r="H2650" t="s" s="2">
        <v>19</v>
      </c>
      <c r="I2650" t="s" s="2">
        <v>10376</v>
      </c>
      <c r="J2650" t="s" s="2">
        <v>10377</v>
      </c>
      <c r="K2650" t="s" s="2">
        <v>22</v>
      </c>
      <c r="L2650" t="s" s="2">
        <v>22</v>
      </c>
      <c r="M2650" t="s" s="2">
        <v>22</v>
      </c>
    </row>
    <row r="2651" ht="25.0" customHeight="true">
      <c r="A2651" t="s" s="2">
        <v>13</v>
      </c>
      <c r="B2651" t="s" s="2">
        <f>HYPERLINK("http://ts.21cn.com/tousu/show/id/1371293","中国建设银行信用卡")</f>
      </c>
      <c r="C2651" t="s" s="2">
        <v>52</v>
      </c>
      <c r="D2651" t="s" s="2">
        <v>16</v>
      </c>
      <c r="E2651" t="s" s="2">
        <v>17</v>
      </c>
      <c r="F2651" t="s" s="2">
        <f>HYPERLINK("http://ts.21cn.com/tousu/show/id/1371293","http://ts.21cn.com/tousu/show/id/1371293")</f>
      </c>
      <c r="G2651" t="s" s="2">
        <v>17</v>
      </c>
      <c r="H2651" t="s" s="2">
        <v>19</v>
      </c>
      <c r="I2651" t="s" s="2">
        <v>10380</v>
      </c>
      <c r="J2651" t="s" s="2">
        <v>10381</v>
      </c>
      <c r="K2651" t="s" s="2">
        <v>22</v>
      </c>
      <c r="L2651" t="s" s="2">
        <v>22</v>
      </c>
      <c r="M2651" t="s" s="2">
        <v>22</v>
      </c>
    </row>
    <row r="2652" ht="25.0" customHeight="true">
      <c r="A2652" t="s" s="2">
        <v>13</v>
      </c>
      <c r="B2652" t="s" s="2">
        <f>HYPERLINK("http://ts.21cn.com/tousu/show/id/1371292","高息")</f>
      </c>
      <c r="C2652" t="s" s="2">
        <v>15</v>
      </c>
      <c r="D2652" t="s" s="2">
        <v>16</v>
      </c>
      <c r="E2652" t="s" s="2">
        <v>17</v>
      </c>
      <c r="F2652" t="s" s="2">
        <f>HYPERLINK("http://ts.21cn.com/tousu/show/id/1371292","http://ts.21cn.com/tousu/show/id/1371292")</f>
      </c>
      <c r="G2652" t="s" s="2">
        <v>17</v>
      </c>
      <c r="H2652" t="s" s="2">
        <v>19</v>
      </c>
      <c r="I2652" t="s" s="2">
        <v>10384</v>
      </c>
      <c r="J2652" t="s" s="2">
        <v>10385</v>
      </c>
      <c r="K2652" t="s" s="2">
        <v>22</v>
      </c>
      <c r="L2652" t="s" s="2">
        <v>22</v>
      </c>
      <c r="M2652" t="s" s="2">
        <v>22</v>
      </c>
    </row>
    <row r="2653" ht="25.0" customHeight="true">
      <c r="A2653" t="s" s="2">
        <v>13</v>
      </c>
      <c r="B2653" t="s" s="2">
        <f>HYPERLINK("http://ts.21cn.com/tousu/show/id/1371291","贷上钱以买游戏豆为由收取高额贷款通过费")</f>
      </c>
      <c r="C2653" t="s" s="2">
        <v>15</v>
      </c>
      <c r="D2653" t="s" s="2">
        <v>16</v>
      </c>
      <c r="E2653" t="s" s="2">
        <v>17</v>
      </c>
      <c r="F2653" t="s" s="2">
        <f>HYPERLINK("http://ts.21cn.com/tousu/show/id/1371291","http://ts.21cn.com/tousu/show/id/1371291")</f>
      </c>
      <c r="G2653" t="s" s="2">
        <v>17</v>
      </c>
      <c r="H2653" t="s" s="2">
        <v>19</v>
      </c>
      <c r="I2653" t="s" s="2">
        <v>10387</v>
      </c>
      <c r="J2653" t="s" s="2">
        <v>10388</v>
      </c>
      <c r="K2653" t="s" s="2">
        <v>22</v>
      </c>
      <c r="L2653" t="s" s="2">
        <v>22</v>
      </c>
      <c r="M2653" t="s" s="2">
        <v>22</v>
      </c>
    </row>
    <row r="2654" ht="25.0" customHeight="true">
      <c r="A2654" t="s" s="2">
        <v>13</v>
      </c>
      <c r="B2654" t="s" s="2">
        <f>HYPERLINK("http://ts.21cn.com/tousu/show/id/1371290","终止合同,取消分期")</f>
      </c>
      <c r="C2654" t="s" s="2">
        <v>15</v>
      </c>
      <c r="D2654" t="s" s="2">
        <v>16</v>
      </c>
      <c r="E2654" t="s" s="2">
        <v>17</v>
      </c>
      <c r="F2654" t="s" s="2">
        <f>HYPERLINK("http://ts.21cn.com/tousu/show/id/1371290","http://ts.21cn.com/tousu/show/id/1371290")</f>
      </c>
      <c r="G2654" t="s" s="2">
        <v>17</v>
      </c>
      <c r="H2654" t="s" s="2">
        <v>19</v>
      </c>
      <c r="I2654" t="s" s="2">
        <v>10391</v>
      </c>
      <c r="J2654" t="s" s="2">
        <v>10392</v>
      </c>
      <c r="K2654" t="s" s="2">
        <v>22</v>
      </c>
      <c r="L2654" t="s" s="2">
        <v>22</v>
      </c>
      <c r="M2654" t="s" s="2">
        <v>22</v>
      </c>
    </row>
    <row r="2655" ht="25.0" customHeight="true">
      <c r="A2655" t="s" s="2">
        <v>13</v>
      </c>
      <c r="B2655" t="s" s="2">
        <f>HYPERLINK("http://ts.21cn.com/tousu/show/id/1371289","在淘集集的2000元保证金退不了")</f>
      </c>
      <c r="C2655" t="s" s="2">
        <v>15</v>
      </c>
      <c r="D2655" t="s" s="2">
        <v>16</v>
      </c>
      <c r="E2655" t="s" s="2">
        <v>17</v>
      </c>
      <c r="F2655" t="s" s="2">
        <f>HYPERLINK("http://ts.21cn.com/tousu/show/id/1371289","http://ts.21cn.com/tousu/show/id/1371289")</f>
      </c>
      <c r="G2655" t="s" s="2">
        <v>17</v>
      </c>
      <c r="H2655" t="s" s="2">
        <v>19</v>
      </c>
      <c r="I2655" t="s" s="2">
        <v>10394</v>
      </c>
      <c r="J2655" t="s" s="2">
        <v>10395</v>
      </c>
      <c r="K2655" t="s" s="2">
        <v>22</v>
      </c>
      <c r="L2655" t="s" s="2">
        <v>22</v>
      </c>
      <c r="M2655" t="s" s="2">
        <v>22</v>
      </c>
    </row>
    <row r="2656" ht="25.0" customHeight="true">
      <c r="A2656" t="s" s="2">
        <v>13</v>
      </c>
      <c r="B2656" t="s" s="2">
        <f>HYPERLINK("http://ts.21cn.com/tousu/show/id/1371287","友信金融借8万还13.4万高利贷")</f>
      </c>
      <c r="C2656" t="s" s="2">
        <v>15</v>
      </c>
      <c r="D2656" t="s" s="2">
        <v>16</v>
      </c>
      <c r="E2656" t="s" s="2">
        <v>17</v>
      </c>
      <c r="F2656" t="s" s="2">
        <f>HYPERLINK("http://ts.21cn.com/tousu/show/id/1371287","http://ts.21cn.com/tousu/show/id/1371287")</f>
      </c>
      <c r="G2656" t="s" s="2">
        <v>17</v>
      </c>
      <c r="H2656" t="s" s="2">
        <v>19</v>
      </c>
      <c r="I2656" t="s" s="2">
        <v>10398</v>
      </c>
      <c r="J2656" t="s" s="2">
        <v>10399</v>
      </c>
      <c r="K2656" t="s" s="2">
        <v>22</v>
      </c>
      <c r="L2656" t="s" s="2">
        <v>22</v>
      </c>
      <c r="M2656" t="s" s="2">
        <v>22</v>
      </c>
    </row>
    <row r="2657" ht="25.0" customHeight="true">
      <c r="A2657" t="s" s="2">
        <v>13</v>
      </c>
      <c r="B2657" t="s" s="2">
        <f>HYPERLINK("http://ts.21cn.com/tousu/show/id/1371286","要求360借条平台停止对紧急联系人以为的联系人进行骚扰")</f>
      </c>
      <c r="C2657" t="s" s="2">
        <v>15</v>
      </c>
      <c r="D2657" t="s" s="2">
        <v>16</v>
      </c>
      <c r="E2657" t="s" s="2">
        <v>17</v>
      </c>
      <c r="F2657" t="s" s="2">
        <f>HYPERLINK("http://ts.21cn.com/tousu/show/id/1371286","http://ts.21cn.com/tousu/show/id/1371286")</f>
      </c>
      <c r="G2657" t="s" s="2">
        <v>17</v>
      </c>
      <c r="H2657" t="s" s="2">
        <v>19</v>
      </c>
      <c r="I2657" t="s" s="2">
        <v>10402</v>
      </c>
      <c r="J2657" t="s" s="2">
        <v>10403</v>
      </c>
      <c r="K2657" t="s" s="2">
        <v>22</v>
      </c>
      <c r="L2657" t="s" s="2">
        <v>22</v>
      </c>
      <c r="M2657" t="s" s="2">
        <v>22</v>
      </c>
    </row>
    <row r="2658" ht="25.0" customHeight="true">
      <c r="A2658" t="s" s="2">
        <v>13</v>
      </c>
      <c r="B2658" t="s" s="2">
        <f>HYPERLINK("http://ts.21cn.com/tousu/show/id/1371284","收取高利贷")</f>
      </c>
      <c r="C2658" t="s" s="2">
        <v>15</v>
      </c>
      <c r="D2658" t="s" s="2">
        <v>16</v>
      </c>
      <c r="E2658" t="s" s="2">
        <v>17</v>
      </c>
      <c r="F2658" t="s" s="2">
        <f>HYPERLINK("http://ts.21cn.com/tousu/show/id/1371284","http://ts.21cn.com/tousu/show/id/1371284")</f>
      </c>
      <c r="G2658" t="s" s="2">
        <v>17</v>
      </c>
      <c r="H2658" t="s" s="2">
        <v>19</v>
      </c>
      <c r="I2658" t="s" s="2">
        <v>10406</v>
      </c>
      <c r="J2658" t="s" s="2">
        <v>10407</v>
      </c>
      <c r="K2658" t="s" s="2">
        <v>22</v>
      </c>
      <c r="L2658" t="s" s="2">
        <v>22</v>
      </c>
      <c r="M2658" t="s" s="2">
        <v>22</v>
      </c>
    </row>
    <row r="2659" ht="25.0" customHeight="true">
      <c r="A2659" t="s" s="2">
        <v>13</v>
      </c>
      <c r="B2659" t="s" s="2">
        <f>HYPERLINK("http://ts.21cn.com/tousu/show/id/1371282","嗨钱砍头息还款不消账资方持续催收")</f>
      </c>
      <c r="C2659" t="s" s="2">
        <v>15</v>
      </c>
      <c r="D2659" t="s" s="2">
        <v>16</v>
      </c>
      <c r="E2659" t="s" s="2">
        <v>17</v>
      </c>
      <c r="F2659" t="s" s="2">
        <f>HYPERLINK("http://ts.21cn.com/tousu/show/id/1371282","http://ts.21cn.com/tousu/show/id/1371282")</f>
      </c>
      <c r="G2659" t="s" s="2">
        <v>17</v>
      </c>
      <c r="H2659" t="s" s="2">
        <v>19</v>
      </c>
      <c r="I2659" t="s" s="2">
        <v>10410</v>
      </c>
      <c r="J2659" t="s" s="2">
        <v>10411</v>
      </c>
      <c r="K2659" t="s" s="2">
        <v>22</v>
      </c>
      <c r="L2659" t="s" s="2">
        <v>22</v>
      </c>
      <c r="M2659" t="s" s="2">
        <v>22</v>
      </c>
    </row>
    <row r="2660" ht="25.0" customHeight="true">
      <c r="A2660" t="s" s="2">
        <v>13</v>
      </c>
      <c r="B2660" t="s" s="2">
        <f>HYPERLINK("http://ts.21cn.com/tousu/show/id/1371280","小花钱包群发短信侮辱骚扰家人")</f>
      </c>
      <c r="C2660" t="s" s="2">
        <v>15</v>
      </c>
      <c r="D2660" t="s" s="2">
        <v>16</v>
      </c>
      <c r="E2660" t="s" s="2">
        <v>17</v>
      </c>
      <c r="F2660" t="s" s="2">
        <f>HYPERLINK("http://ts.21cn.com/tousu/show/id/1371280","http://ts.21cn.com/tousu/show/id/1371280")</f>
      </c>
      <c r="G2660" t="s" s="2">
        <v>17</v>
      </c>
      <c r="H2660" t="s" s="2">
        <v>19</v>
      </c>
      <c r="I2660" t="s" s="2">
        <v>10414</v>
      </c>
      <c r="J2660" t="s" s="2">
        <v>10415</v>
      </c>
      <c r="K2660" t="s" s="2">
        <v>22</v>
      </c>
      <c r="L2660" t="s" s="2">
        <v>22</v>
      </c>
      <c r="M2660" t="s" s="2">
        <v>22</v>
      </c>
    </row>
    <row r="2661" ht="25.0" customHeight="true">
      <c r="A2661" t="s" s="2">
        <v>13</v>
      </c>
      <c r="B2661" t="s" s="2">
        <f>HYPERLINK("http://ts.21cn.com/tousu/show/id/1371281","暴力催收，骚扰联系人")</f>
      </c>
      <c r="C2661" t="s" s="2">
        <v>15</v>
      </c>
      <c r="D2661" t="s" s="2">
        <v>16</v>
      </c>
      <c r="E2661" t="s" s="2">
        <v>17</v>
      </c>
      <c r="F2661" t="s" s="2">
        <f>HYPERLINK("http://ts.21cn.com/tousu/show/id/1371281","http://ts.21cn.com/tousu/show/id/1371281")</f>
      </c>
      <c r="G2661" t="s" s="2">
        <v>17</v>
      </c>
      <c r="H2661" t="s" s="2">
        <v>19</v>
      </c>
      <c r="I2661" t="s" s="2">
        <v>10418</v>
      </c>
      <c r="J2661" t="s" s="2">
        <v>10419</v>
      </c>
      <c r="K2661" t="s" s="2">
        <v>22</v>
      </c>
      <c r="L2661" t="s" s="2">
        <v>22</v>
      </c>
      <c r="M2661" t="s" s="2">
        <v>22</v>
      </c>
    </row>
    <row r="2662" ht="25.0" customHeight="true">
      <c r="A2662" t="s" s="2">
        <v>13</v>
      </c>
      <c r="B2662" t="s" s="2">
        <f>HYPERLINK("http://ts.21cn.com/tousu/show/id/1371278","不正规的服务平台，提前结清乱收费")</f>
      </c>
      <c r="C2662" t="s" s="2">
        <v>15</v>
      </c>
      <c r="D2662" t="s" s="2">
        <v>16</v>
      </c>
      <c r="E2662" t="s" s="2">
        <v>17</v>
      </c>
      <c r="F2662" t="s" s="2">
        <f>HYPERLINK("http://ts.21cn.com/tousu/show/id/1371278","http://ts.21cn.com/tousu/show/id/1371278")</f>
      </c>
      <c r="G2662" t="s" s="2">
        <v>17</v>
      </c>
      <c r="H2662" t="s" s="2">
        <v>19</v>
      </c>
      <c r="I2662" t="s" s="2">
        <v>10422</v>
      </c>
      <c r="J2662" t="s" s="2">
        <v>10423</v>
      </c>
      <c r="K2662" t="s" s="2">
        <v>22</v>
      </c>
      <c r="L2662" t="s" s="2">
        <v>22</v>
      </c>
      <c r="M2662" t="s" s="2">
        <v>22</v>
      </c>
    </row>
    <row r="2663" ht="25.0" customHeight="true">
      <c r="A2663" t="s" s="2">
        <v>13</v>
      </c>
      <c r="B2663" t="s" s="2">
        <f>HYPERLINK("http://ts.21cn.com/tousu/show/id/1371277","本金借的当月已经还清，现在让我还两个月利息")</f>
      </c>
      <c r="C2663" t="s" s="2">
        <v>15</v>
      </c>
      <c r="D2663" t="s" s="2">
        <v>16</v>
      </c>
      <c r="E2663" t="s" s="2">
        <v>17</v>
      </c>
      <c r="F2663" t="s" s="2">
        <f>HYPERLINK("http://ts.21cn.com/tousu/show/id/1371277","http://ts.21cn.com/tousu/show/id/1371277")</f>
      </c>
      <c r="G2663" t="s" s="2">
        <v>17</v>
      </c>
      <c r="H2663" t="s" s="2">
        <v>19</v>
      </c>
      <c r="I2663" t="s" s="2">
        <v>10426</v>
      </c>
      <c r="J2663" t="s" s="2">
        <v>10427</v>
      </c>
      <c r="K2663" t="s" s="2">
        <v>22</v>
      </c>
      <c r="L2663" t="s" s="2">
        <v>22</v>
      </c>
      <c r="M2663" t="s" s="2">
        <v>22</v>
      </c>
    </row>
    <row r="2664" ht="25.0" customHeight="true">
      <c r="A2664" t="s" s="2">
        <v>13</v>
      </c>
      <c r="B2664" t="s" s="2">
        <f>HYPERLINK("http://ts.21cn.com/tousu/show/id/1371275","闪电借款超国家规定收费，暴力催收")</f>
      </c>
      <c r="C2664" t="s" s="2">
        <v>15</v>
      </c>
      <c r="D2664" t="s" s="2">
        <v>16</v>
      </c>
      <c r="E2664" t="s" s="2">
        <v>17</v>
      </c>
      <c r="F2664" t="s" s="2">
        <f>HYPERLINK("http://ts.21cn.com/tousu/show/id/1371275","http://ts.21cn.com/tousu/show/id/1371275")</f>
      </c>
      <c r="G2664" t="s" s="2">
        <v>17</v>
      </c>
      <c r="H2664" t="s" s="2">
        <v>19</v>
      </c>
      <c r="I2664" t="s" s="2">
        <v>10430</v>
      </c>
      <c r="J2664" t="s" s="2">
        <v>10431</v>
      </c>
      <c r="K2664" t="s" s="2">
        <v>22</v>
      </c>
      <c r="L2664" t="s" s="2">
        <v>22</v>
      </c>
      <c r="M2664" t="s" s="2">
        <v>22</v>
      </c>
    </row>
    <row r="2665" ht="25.0" customHeight="true">
      <c r="A2665" t="s" s="2">
        <v>13</v>
      </c>
      <c r="B2665" t="s" s="2">
        <f>HYPERLINK("http://ts.21cn.com/tousu/show/id/1371273","暴击催收，电话轰炸，恐吓")</f>
      </c>
      <c r="C2665" t="s" s="2">
        <v>15</v>
      </c>
      <c r="D2665" t="s" s="2">
        <v>16</v>
      </c>
      <c r="E2665" t="s" s="2">
        <v>17</v>
      </c>
      <c r="F2665" t="s" s="2">
        <f>HYPERLINK("http://ts.21cn.com/tousu/show/id/1371273","http://ts.21cn.com/tousu/show/id/1371273")</f>
      </c>
      <c r="G2665" t="s" s="2">
        <v>17</v>
      </c>
      <c r="H2665" t="s" s="2">
        <v>19</v>
      </c>
      <c r="I2665" t="s" s="2">
        <v>10434</v>
      </c>
      <c r="J2665" t="s" s="2">
        <v>10435</v>
      </c>
      <c r="K2665" t="s" s="2">
        <v>22</v>
      </c>
      <c r="L2665" t="s" s="2">
        <v>22</v>
      </c>
      <c r="M2665" t="s" s="2">
        <v>22</v>
      </c>
    </row>
    <row r="2666" ht="25.0" customHeight="true">
      <c r="A2666" t="s" s="2">
        <v>13</v>
      </c>
      <c r="B2666" t="s" s="2">
        <f>HYPERLINK("http://ts.21cn.com/tousu/show/id/1371272","谩骂威胁")</f>
      </c>
      <c r="C2666" t="s" s="2">
        <v>15</v>
      </c>
      <c r="D2666" t="s" s="2">
        <v>16</v>
      </c>
      <c r="E2666" t="s" s="2">
        <v>17</v>
      </c>
      <c r="F2666" t="s" s="2">
        <f>HYPERLINK("http://ts.21cn.com/tousu/show/id/1371272","http://ts.21cn.com/tousu/show/id/1371272")</f>
      </c>
      <c r="G2666" t="s" s="2">
        <v>17</v>
      </c>
      <c r="H2666" t="s" s="2">
        <v>19</v>
      </c>
      <c r="I2666" t="s" s="2">
        <v>10438</v>
      </c>
      <c r="J2666" t="s" s="2">
        <v>10439</v>
      </c>
      <c r="K2666" t="s" s="2">
        <v>22</v>
      </c>
      <c r="L2666" t="s" s="2">
        <v>22</v>
      </c>
      <c r="M2666" t="s" s="2">
        <v>22</v>
      </c>
    </row>
    <row r="2667" ht="25.0" customHeight="true">
      <c r="A2667" t="s" s="2">
        <v>13</v>
      </c>
      <c r="B2667" t="s" s="2">
        <f>HYPERLINK("http://ts.21cn.com/tousu/show/id/1371271","催收人员威胁爆通讯录")</f>
      </c>
      <c r="C2667" t="s" s="2">
        <v>15</v>
      </c>
      <c r="D2667" t="s" s="2">
        <v>16</v>
      </c>
      <c r="E2667" t="s" s="2">
        <v>17</v>
      </c>
      <c r="F2667" t="s" s="2">
        <f>HYPERLINK("http://ts.21cn.com/tousu/show/id/1371271","http://ts.21cn.com/tousu/show/id/1371271")</f>
      </c>
      <c r="G2667" t="s" s="2">
        <v>17</v>
      </c>
      <c r="H2667" t="s" s="2">
        <v>19</v>
      </c>
      <c r="I2667" t="s" s="2">
        <v>10442</v>
      </c>
      <c r="J2667" t="s" s="2">
        <v>10443</v>
      </c>
      <c r="K2667" t="s" s="2">
        <v>22</v>
      </c>
      <c r="L2667" t="s" s="2">
        <v>22</v>
      </c>
      <c r="M2667" t="s" s="2">
        <v>22</v>
      </c>
    </row>
    <row r="2668" ht="25.0" customHeight="true">
      <c r="A2668" t="s" s="2">
        <v>13</v>
      </c>
      <c r="B2668" t="s" s="2">
        <f>HYPERLINK("http://ts.21cn.com/tousu/show/id/1371270","天天金钱恶意扣款288")</f>
      </c>
      <c r="C2668" t="s" s="2">
        <v>15</v>
      </c>
      <c r="D2668" t="s" s="2">
        <v>16</v>
      </c>
      <c r="E2668" t="s" s="2">
        <v>17</v>
      </c>
      <c r="F2668" t="s" s="2">
        <f>HYPERLINK("http://ts.21cn.com/tousu/show/id/1371270","http://ts.21cn.com/tousu/show/id/1371270")</f>
      </c>
      <c r="G2668" t="s" s="2">
        <v>17</v>
      </c>
      <c r="H2668" t="s" s="2">
        <v>19</v>
      </c>
      <c r="I2668" t="s" s="2">
        <v>10446</v>
      </c>
      <c r="J2668" t="s" s="2">
        <v>10447</v>
      </c>
      <c r="K2668" t="s" s="2">
        <v>22</v>
      </c>
      <c r="L2668" t="s" s="2">
        <v>22</v>
      </c>
      <c r="M2668" t="s" s="2">
        <v>22</v>
      </c>
    </row>
    <row r="2669" ht="25.0" customHeight="true">
      <c r="A2669" t="s" s="2">
        <v>13</v>
      </c>
      <c r="B2669" t="s" s="2">
        <f>HYPERLINK("http://ts.21cn.com/tousu/show/id/1371268","中银消费金融")</f>
      </c>
      <c r="C2669" t="s" s="2">
        <v>15</v>
      </c>
      <c r="D2669" t="s" s="2">
        <v>16</v>
      </c>
      <c r="E2669" t="s" s="2">
        <v>17</v>
      </c>
      <c r="F2669" t="s" s="2">
        <f>HYPERLINK("http://ts.21cn.com/tousu/show/id/1371268","http://ts.21cn.com/tousu/show/id/1371268")</f>
      </c>
      <c r="G2669" t="s" s="2">
        <v>17</v>
      </c>
      <c r="H2669" t="s" s="2">
        <v>19</v>
      </c>
      <c r="I2669" t="s" s="2">
        <v>10449</v>
      </c>
      <c r="J2669" t="s" s="2">
        <v>10450</v>
      </c>
      <c r="K2669" t="s" s="2">
        <v>22</v>
      </c>
      <c r="L2669" t="s" s="2">
        <v>22</v>
      </c>
      <c r="M2669" t="s" s="2">
        <v>22</v>
      </c>
    </row>
    <row r="2670" ht="25.0" customHeight="true">
      <c r="A2670" t="s" s="2">
        <v>13</v>
      </c>
      <c r="B2670" t="s" s="2">
        <f>HYPERLINK("http://ts.21cn.com/tousu/show/id/1371267","骚扰我的家人")</f>
      </c>
      <c r="C2670" t="s" s="2">
        <v>15</v>
      </c>
      <c r="D2670" t="s" s="2">
        <v>16</v>
      </c>
      <c r="E2670" t="s" s="2">
        <v>17</v>
      </c>
      <c r="F2670" t="s" s="2">
        <f>HYPERLINK("http://ts.21cn.com/tousu/show/id/1371267","http://ts.21cn.com/tousu/show/id/1371267")</f>
      </c>
      <c r="G2670" t="s" s="2">
        <v>17</v>
      </c>
      <c r="H2670" t="s" s="2">
        <v>19</v>
      </c>
      <c r="I2670" t="s" s="2">
        <v>10453</v>
      </c>
      <c r="J2670" t="s" s="2">
        <v>10454</v>
      </c>
      <c r="K2670" t="s" s="2">
        <v>22</v>
      </c>
      <c r="L2670" t="s" s="2">
        <v>22</v>
      </c>
      <c r="M2670" t="s" s="2">
        <v>22</v>
      </c>
    </row>
    <row r="2671" ht="25.0" customHeight="true">
      <c r="A2671" t="s" s="2">
        <v>13</v>
      </c>
      <c r="B2671" t="s" s="2">
        <f>HYPERLINK("http://ts.21cn.com/tousu/show/id/1371266","投诉杭州市民卡公司")</f>
      </c>
      <c r="C2671" t="s" s="2">
        <v>15</v>
      </c>
      <c r="D2671" t="s" s="2">
        <v>16</v>
      </c>
      <c r="E2671" t="s" s="2">
        <v>17</v>
      </c>
      <c r="F2671" t="s" s="2">
        <f>HYPERLINK("http://ts.21cn.com/tousu/show/id/1371266","http://ts.21cn.com/tousu/show/id/1371266")</f>
      </c>
      <c r="G2671" t="s" s="2">
        <v>17</v>
      </c>
      <c r="H2671" t="s" s="2">
        <v>19</v>
      </c>
      <c r="I2671" t="s" s="2">
        <v>10457</v>
      </c>
      <c r="J2671" t="s" s="2">
        <v>10458</v>
      </c>
      <c r="K2671" t="s" s="2">
        <v>22</v>
      </c>
      <c r="L2671" t="s" s="2">
        <v>22</v>
      </c>
      <c r="M2671" t="s" s="2">
        <v>22</v>
      </c>
    </row>
    <row r="2672" ht="25.0" customHeight="true">
      <c r="A2672" t="s" s="2">
        <v>13</v>
      </c>
      <c r="B2672" t="s" s="2">
        <f>HYPERLINK("http://ts.21cn.com/tousu/show/id/1371265","马上消费金融，暴力催收，群发短信，恐吓催收")</f>
      </c>
      <c r="C2672" t="s" s="2">
        <v>15</v>
      </c>
      <c r="D2672" t="s" s="2">
        <v>16</v>
      </c>
      <c r="E2672" t="s" s="2">
        <v>17</v>
      </c>
      <c r="F2672" t="s" s="2">
        <f>HYPERLINK("http://ts.21cn.com/tousu/show/id/1371265","http://ts.21cn.com/tousu/show/id/1371265")</f>
      </c>
      <c r="G2672" t="s" s="2">
        <v>17</v>
      </c>
      <c r="H2672" t="s" s="2">
        <v>19</v>
      </c>
      <c r="I2672" t="s" s="2">
        <v>10460</v>
      </c>
      <c r="J2672" t="s" s="2">
        <v>10461</v>
      </c>
      <c r="K2672" t="s" s="2">
        <v>22</v>
      </c>
      <c r="L2672" t="s" s="2">
        <v>22</v>
      </c>
      <c r="M2672" t="s" s="2">
        <v>22</v>
      </c>
    </row>
    <row r="2673" ht="25.0" customHeight="true">
      <c r="A2673" t="s" s="2">
        <v>13</v>
      </c>
      <c r="B2673" t="s" s="2">
        <f>HYPERLINK("http://ts.21cn.com/tousu/show/id/1371264","短信群发骚扰朋友")</f>
      </c>
      <c r="C2673" t="s" s="2">
        <v>15</v>
      </c>
      <c r="D2673" t="s" s="2">
        <v>16</v>
      </c>
      <c r="E2673" t="s" s="2">
        <v>17</v>
      </c>
      <c r="F2673" t="s" s="2">
        <f>HYPERLINK("http://ts.21cn.com/tousu/show/id/1371264","http://ts.21cn.com/tousu/show/id/1371264")</f>
      </c>
      <c r="G2673" t="s" s="2">
        <v>17</v>
      </c>
      <c r="H2673" t="s" s="2">
        <v>19</v>
      </c>
      <c r="I2673" t="s" s="2">
        <v>10464</v>
      </c>
      <c r="J2673" t="s" s="2">
        <v>10465</v>
      </c>
      <c r="K2673" t="s" s="2">
        <v>22</v>
      </c>
      <c r="L2673" t="s" s="2">
        <v>22</v>
      </c>
      <c r="M2673" t="s" s="2">
        <v>22</v>
      </c>
    </row>
    <row r="2674" ht="25.0" customHeight="true">
      <c r="A2674" t="s" s="2">
        <v>13</v>
      </c>
      <c r="B2674" t="s" s="2">
        <f>HYPERLINK("http://ts.21cn.com/tousu/show/id/1371263","凡普金科高利贷")</f>
      </c>
      <c r="C2674" t="s" s="2">
        <v>15</v>
      </c>
      <c r="D2674" t="s" s="2">
        <v>16</v>
      </c>
      <c r="E2674" t="s" s="2">
        <v>17</v>
      </c>
      <c r="F2674" t="s" s="2">
        <f>HYPERLINK("http://ts.21cn.com/tousu/show/id/1371263","http://ts.21cn.com/tousu/show/id/1371263")</f>
      </c>
      <c r="G2674" t="s" s="2">
        <v>17</v>
      </c>
      <c r="H2674" t="s" s="2">
        <v>19</v>
      </c>
      <c r="I2674" t="s" s="2">
        <v>10468</v>
      </c>
      <c r="J2674" t="s" s="2">
        <v>10469</v>
      </c>
      <c r="K2674" t="s" s="2">
        <v>22</v>
      </c>
      <c r="L2674" t="s" s="2">
        <v>22</v>
      </c>
      <c r="M2674" t="s" s="2">
        <v>22</v>
      </c>
    </row>
    <row r="2675" ht="25.0" customHeight="true">
      <c r="A2675" t="s" s="2">
        <v>13</v>
      </c>
      <c r="B2675" t="s" s="2">
        <f>HYPERLINK("http://ts.21cn.com/tousu/show/id/1371262","暴力催收威胁恐吓")</f>
      </c>
      <c r="C2675" t="s" s="2">
        <v>15</v>
      </c>
      <c r="D2675" t="s" s="2">
        <v>16</v>
      </c>
      <c r="E2675" t="s" s="2">
        <v>17</v>
      </c>
      <c r="F2675" t="s" s="2">
        <f>HYPERLINK("http://ts.21cn.com/tousu/show/id/1371262","http://ts.21cn.com/tousu/show/id/1371262")</f>
      </c>
      <c r="G2675" t="s" s="2">
        <v>17</v>
      </c>
      <c r="H2675" t="s" s="2">
        <v>19</v>
      </c>
      <c r="I2675" t="s" s="2">
        <v>10471</v>
      </c>
      <c r="J2675" t="s" s="2">
        <v>10472</v>
      </c>
      <c r="K2675" t="s" s="2">
        <v>22</v>
      </c>
      <c r="L2675" t="s" s="2">
        <v>22</v>
      </c>
      <c r="M2675" t="s" s="2">
        <v>22</v>
      </c>
    </row>
    <row r="2676" ht="25.0" customHeight="true">
      <c r="A2676" t="s" s="2">
        <v>13</v>
      </c>
      <c r="B2676" t="s" s="2">
        <f>HYPERLINK("http://ts.21cn.com/tousu/show/id/1371261","广发银行第三方上门催收")</f>
      </c>
      <c r="C2676" t="s" s="2">
        <v>15</v>
      </c>
      <c r="D2676" t="s" s="2">
        <v>16</v>
      </c>
      <c r="E2676" t="s" s="2">
        <v>17</v>
      </c>
      <c r="F2676" t="s" s="2">
        <f>HYPERLINK("http://ts.21cn.com/tousu/show/id/1371261","http://ts.21cn.com/tousu/show/id/1371261")</f>
      </c>
      <c r="G2676" t="s" s="2">
        <v>17</v>
      </c>
      <c r="H2676" t="s" s="2">
        <v>19</v>
      </c>
      <c r="I2676" t="s" s="2">
        <v>10475</v>
      </c>
      <c r="J2676" t="s" s="2">
        <v>10476</v>
      </c>
      <c r="K2676" t="s" s="2">
        <v>22</v>
      </c>
      <c r="L2676" t="s" s="2">
        <v>22</v>
      </c>
      <c r="M2676" t="s" s="2">
        <v>22</v>
      </c>
    </row>
    <row r="2677" ht="25.0" customHeight="true">
      <c r="A2677" t="s" s="2">
        <v>13</v>
      </c>
      <c r="B2677" t="s" s="2">
        <f>HYPERLINK("http://ts.21cn.com/tousu/show/id/1371260","好分期整改合法利率")</f>
      </c>
      <c r="C2677" t="s" s="2">
        <v>15</v>
      </c>
      <c r="D2677" t="s" s="2">
        <v>16</v>
      </c>
      <c r="E2677" t="s" s="2">
        <v>17</v>
      </c>
      <c r="F2677" t="s" s="2">
        <f>HYPERLINK("http://ts.21cn.com/tousu/show/id/1371260","http://ts.21cn.com/tousu/show/id/1371260")</f>
      </c>
      <c r="G2677" t="s" s="2">
        <v>17</v>
      </c>
      <c r="H2677" t="s" s="2">
        <v>19</v>
      </c>
      <c r="I2677" t="s" s="2">
        <v>10479</v>
      </c>
      <c r="J2677" t="s" s="2">
        <v>10480</v>
      </c>
      <c r="K2677" t="s" s="2">
        <v>22</v>
      </c>
      <c r="L2677" t="s" s="2">
        <v>22</v>
      </c>
      <c r="M2677" t="s" s="2">
        <v>22</v>
      </c>
    </row>
    <row r="2678" ht="25.0" customHeight="true">
      <c r="A2678" t="s" s="2">
        <v>13</v>
      </c>
      <c r="B2678" t="s" s="2">
        <f>HYPERLINK("http://ts.21cn.com/tousu/show/id/1371259","网贷逾期了")</f>
      </c>
      <c r="C2678" t="s" s="2">
        <v>15</v>
      </c>
      <c r="D2678" t="s" s="2">
        <v>16</v>
      </c>
      <c r="E2678" t="s" s="2">
        <v>17</v>
      </c>
      <c r="F2678" t="s" s="2">
        <f>HYPERLINK("http://ts.21cn.com/tousu/show/id/1371259","http://ts.21cn.com/tousu/show/id/1371259")</f>
      </c>
      <c r="G2678" t="s" s="2">
        <v>17</v>
      </c>
      <c r="H2678" t="s" s="2">
        <v>19</v>
      </c>
      <c r="I2678" t="s" s="2">
        <v>10483</v>
      </c>
      <c r="J2678" t="s" s="2">
        <v>10484</v>
      </c>
      <c r="K2678" t="s" s="2">
        <v>22</v>
      </c>
      <c r="L2678" t="s" s="2">
        <v>22</v>
      </c>
      <c r="M2678" t="s" s="2">
        <v>22</v>
      </c>
    </row>
    <row r="2679" ht="25.0" customHeight="true">
      <c r="A2679" t="s" s="2">
        <v>13</v>
      </c>
      <c r="B2679" t="s" s="2">
        <f>HYPERLINK("http://ts.21cn.com/tousu/show/id/1371258","国庆战队组队活动奖励为什么没到账")</f>
      </c>
      <c r="C2679" t="s" s="2">
        <v>15</v>
      </c>
      <c r="D2679" t="s" s="2">
        <v>16</v>
      </c>
      <c r="E2679" t="s" s="2">
        <v>17</v>
      </c>
      <c r="F2679" t="s" s="2">
        <f>HYPERLINK("http://ts.21cn.com/tousu/show/id/1371258","http://ts.21cn.com/tousu/show/id/1371258")</f>
      </c>
      <c r="G2679" t="s" s="2">
        <v>17</v>
      </c>
      <c r="H2679" t="s" s="2">
        <v>19</v>
      </c>
      <c r="I2679" t="s" s="2">
        <v>10487</v>
      </c>
      <c r="J2679" t="s" s="2">
        <v>10488</v>
      </c>
      <c r="K2679" t="s" s="2">
        <v>22</v>
      </c>
      <c r="L2679" t="s" s="2">
        <v>22</v>
      </c>
      <c r="M2679" t="s" s="2">
        <v>22</v>
      </c>
    </row>
    <row r="2680" ht="25.0" customHeight="true">
      <c r="A2680" t="s" s="2">
        <v>13</v>
      </c>
      <c r="B2680" t="s" s="2">
        <f>HYPERLINK("http://ts.21cn.com/tousu/show/id/1371257","中国银行账号被壹钱包无故扣款3笔600元")</f>
      </c>
      <c r="C2680" t="s" s="2">
        <v>52</v>
      </c>
      <c r="D2680" t="s" s="2">
        <v>16</v>
      </c>
      <c r="E2680" t="s" s="2">
        <v>17</v>
      </c>
      <c r="F2680" t="s" s="2">
        <f>HYPERLINK("http://ts.21cn.com/tousu/show/id/1371257","http://ts.21cn.com/tousu/show/id/1371257")</f>
      </c>
      <c r="G2680" t="s" s="2">
        <v>17</v>
      </c>
      <c r="H2680" t="s" s="2">
        <v>19</v>
      </c>
      <c r="I2680" t="s" s="2">
        <v>10491</v>
      </c>
      <c r="J2680" t="s" s="2">
        <v>10492</v>
      </c>
      <c r="K2680" t="s" s="2">
        <v>22</v>
      </c>
      <c r="L2680" t="s" s="2">
        <v>22</v>
      </c>
      <c r="M2680" t="s" s="2">
        <v>22</v>
      </c>
    </row>
    <row r="2681" ht="25.0" customHeight="true">
      <c r="A2681" t="s" s="2">
        <v>13</v>
      </c>
      <c r="B2681" t="s" s="2">
        <f>HYPERLINK("http://ts.21cn.com/tousu/show/id/1371256","钱站贷款隐藏利息，催收暴力")</f>
      </c>
      <c r="C2681" t="s" s="2">
        <v>15</v>
      </c>
      <c r="D2681" t="s" s="2">
        <v>16</v>
      </c>
      <c r="E2681" t="s" s="2">
        <v>17</v>
      </c>
      <c r="F2681" t="s" s="2">
        <f>HYPERLINK("http://ts.21cn.com/tousu/show/id/1371256","http://ts.21cn.com/tousu/show/id/1371256")</f>
      </c>
      <c r="G2681" t="s" s="2">
        <v>17</v>
      </c>
      <c r="H2681" t="s" s="2">
        <v>19</v>
      </c>
      <c r="I2681" t="s" s="2">
        <v>10495</v>
      </c>
      <c r="J2681" t="s" s="2">
        <v>10496</v>
      </c>
      <c r="K2681" t="s" s="2">
        <v>22</v>
      </c>
      <c r="L2681" t="s" s="2">
        <v>22</v>
      </c>
      <c r="M2681" t="s" s="2">
        <v>22</v>
      </c>
    </row>
    <row r="2682" ht="25.0" customHeight="true">
      <c r="A2682" t="s" s="2">
        <v>13</v>
      </c>
      <c r="B2682" t="s" s="2">
        <f>HYPERLINK("http://ts.21cn.com/tousu/show/id/1371255","恐吓收租")</f>
      </c>
      <c r="C2682" t="s" s="2">
        <v>15</v>
      </c>
      <c r="D2682" t="s" s="2">
        <v>16</v>
      </c>
      <c r="E2682" t="s" s="2">
        <v>17</v>
      </c>
      <c r="F2682" t="s" s="2">
        <f>HYPERLINK("http://ts.21cn.com/tousu/show/id/1371255","http://ts.21cn.com/tousu/show/id/1371255")</f>
      </c>
      <c r="G2682" t="s" s="2">
        <v>17</v>
      </c>
      <c r="H2682" t="s" s="2">
        <v>19</v>
      </c>
      <c r="I2682" t="s" s="2">
        <v>10499</v>
      </c>
      <c r="J2682" t="s" s="2">
        <v>10500</v>
      </c>
      <c r="K2682" t="s" s="2">
        <v>22</v>
      </c>
      <c r="L2682" t="s" s="2">
        <v>22</v>
      </c>
      <c r="M2682" t="s" s="2">
        <v>22</v>
      </c>
    </row>
    <row r="2683" ht="25.0" customHeight="true">
      <c r="A2683" t="s" s="2">
        <v>13</v>
      </c>
      <c r="B2683" t="s" s="2">
        <f>HYPERLINK("http://ts.21cn.com/tousu/show/id/1371253","高利贷骚扰威胁")</f>
      </c>
      <c r="C2683" t="s" s="2">
        <v>15</v>
      </c>
      <c r="D2683" t="s" s="2">
        <v>16</v>
      </c>
      <c r="E2683" t="s" s="2">
        <v>17</v>
      </c>
      <c r="F2683" t="s" s="2">
        <f>HYPERLINK("http://ts.21cn.com/tousu/show/id/1371253","http://ts.21cn.com/tousu/show/id/1371253")</f>
      </c>
      <c r="G2683" t="s" s="2">
        <v>17</v>
      </c>
      <c r="H2683" t="s" s="2">
        <v>19</v>
      </c>
      <c r="I2683" t="s" s="2">
        <v>10503</v>
      </c>
      <c r="J2683" t="s" s="2">
        <v>10504</v>
      </c>
      <c r="K2683" t="s" s="2">
        <v>22</v>
      </c>
      <c r="L2683" t="s" s="2">
        <v>22</v>
      </c>
      <c r="M2683" t="s" s="2">
        <v>22</v>
      </c>
    </row>
    <row r="2684" ht="25.0" customHeight="true">
      <c r="A2684" t="s" s="2">
        <v>13</v>
      </c>
      <c r="B2684" t="s" s="2">
        <f>HYPERLINK("http://ts.21cn.com/tousu/show/id/1371252","快贷高利息，恶意催收")</f>
      </c>
      <c r="C2684" t="s" s="2">
        <v>15</v>
      </c>
      <c r="D2684" t="s" s="2">
        <v>16</v>
      </c>
      <c r="E2684" t="s" s="2">
        <v>17</v>
      </c>
      <c r="F2684" t="s" s="2">
        <f>HYPERLINK("http://ts.21cn.com/tousu/show/id/1371252","http://ts.21cn.com/tousu/show/id/1371252")</f>
      </c>
      <c r="G2684" t="s" s="2">
        <v>17</v>
      </c>
      <c r="H2684" t="s" s="2">
        <v>19</v>
      </c>
      <c r="I2684" t="s" s="2">
        <v>10507</v>
      </c>
      <c r="J2684" t="s" s="2">
        <v>10508</v>
      </c>
      <c r="K2684" t="s" s="2">
        <v>22</v>
      </c>
      <c r="L2684" t="s" s="2">
        <v>22</v>
      </c>
      <c r="M2684" t="s" s="2">
        <v>22</v>
      </c>
    </row>
    <row r="2685" ht="25.0" customHeight="true">
      <c r="A2685" t="s" s="2">
        <v>13</v>
      </c>
      <c r="B2685" t="s" s="2">
        <f>HYPERLINK("http://ts.21cn.com/tousu/show/id/1371251","投诉拍拍贷")</f>
      </c>
      <c r="C2685" t="s" s="2">
        <v>15</v>
      </c>
      <c r="D2685" t="s" s="2">
        <v>16</v>
      </c>
      <c r="E2685" t="s" s="2">
        <v>17</v>
      </c>
      <c r="F2685" t="s" s="2">
        <f>HYPERLINK("http://ts.21cn.com/tousu/show/id/1371251","http://ts.21cn.com/tousu/show/id/1371251")</f>
      </c>
      <c r="G2685" t="s" s="2">
        <v>17</v>
      </c>
      <c r="H2685" t="s" s="2">
        <v>19</v>
      </c>
      <c r="I2685" t="s" s="2">
        <v>10510</v>
      </c>
      <c r="J2685" t="s" s="2">
        <v>10511</v>
      </c>
      <c r="K2685" t="s" s="2">
        <v>22</v>
      </c>
      <c r="L2685" t="s" s="2">
        <v>22</v>
      </c>
      <c r="M2685" t="s" s="2">
        <v>22</v>
      </c>
    </row>
    <row r="2686" ht="25.0" customHeight="true">
      <c r="A2686" t="s" s="2">
        <v>13</v>
      </c>
      <c r="B2686" t="s" s="2">
        <f>HYPERLINK("http://ts.21cn.com/tousu/show/id/1371250","及贷暴力催收，对借款人的联系人进行辱骂")</f>
      </c>
      <c r="C2686" t="s" s="2">
        <v>15</v>
      </c>
      <c r="D2686" t="s" s="2">
        <v>16</v>
      </c>
      <c r="E2686" t="s" s="2">
        <v>17</v>
      </c>
      <c r="F2686" t="s" s="2">
        <f>HYPERLINK("http://ts.21cn.com/tousu/show/id/1371250","http://ts.21cn.com/tousu/show/id/1371250")</f>
      </c>
      <c r="G2686" t="s" s="2">
        <v>17</v>
      </c>
      <c r="H2686" t="s" s="2">
        <v>19</v>
      </c>
      <c r="I2686" t="s" s="2">
        <v>10514</v>
      </c>
      <c r="J2686" t="s" s="2">
        <v>10515</v>
      </c>
      <c r="K2686" t="s" s="2">
        <v>22</v>
      </c>
      <c r="L2686" t="s" s="2">
        <v>22</v>
      </c>
      <c r="M2686" t="s" s="2">
        <v>22</v>
      </c>
    </row>
    <row r="2687" ht="25.0" customHeight="true">
      <c r="A2687" t="s" s="2">
        <v>13</v>
      </c>
      <c r="B2687" t="s" s="2">
        <f>HYPERLINK("http://ts.21cn.com/tousu/show/id/1371249","申请了账单分期一次性扣除了所有手续费用不合理")</f>
      </c>
      <c r="C2687" t="s" s="2">
        <v>15</v>
      </c>
      <c r="D2687" t="s" s="2">
        <v>16</v>
      </c>
      <c r="E2687" t="s" s="2">
        <v>17</v>
      </c>
      <c r="F2687" t="s" s="2">
        <f>HYPERLINK("http://ts.21cn.com/tousu/show/id/1371249","http://ts.21cn.com/tousu/show/id/1371249")</f>
      </c>
      <c r="G2687" t="s" s="2">
        <v>17</v>
      </c>
      <c r="H2687" t="s" s="2">
        <v>19</v>
      </c>
      <c r="I2687" t="s" s="2">
        <v>10518</v>
      </c>
      <c r="J2687" t="s" s="2">
        <v>10519</v>
      </c>
      <c r="K2687" t="s" s="2">
        <v>22</v>
      </c>
      <c r="L2687" t="s" s="2">
        <v>22</v>
      </c>
      <c r="M2687" t="s" s="2">
        <v>22</v>
      </c>
    </row>
    <row r="2688" ht="25.0" customHeight="true">
      <c r="A2688" t="s" s="2">
        <v>13</v>
      </c>
      <c r="B2688" t="s" s="2">
        <f>HYPERLINK("http://ts.21cn.com/tousu/show/id/1371248","交通银行不按国家标准收费，拒绝退部分罚金滞纳金和利息")</f>
      </c>
      <c r="C2688" t="s" s="2">
        <v>15</v>
      </c>
      <c r="D2688" t="s" s="2">
        <v>16</v>
      </c>
      <c r="E2688" t="s" s="2">
        <v>17</v>
      </c>
      <c r="F2688" t="s" s="2">
        <f>HYPERLINK("http://ts.21cn.com/tousu/show/id/1371248","http://ts.21cn.com/tousu/show/id/1371248")</f>
      </c>
      <c r="G2688" t="s" s="2">
        <v>17</v>
      </c>
      <c r="H2688" t="s" s="2">
        <v>19</v>
      </c>
      <c r="I2688" t="s" s="2">
        <v>10522</v>
      </c>
      <c r="J2688" t="s" s="2">
        <v>10523</v>
      </c>
      <c r="K2688" t="s" s="2">
        <v>22</v>
      </c>
      <c r="L2688" t="s" s="2">
        <v>22</v>
      </c>
      <c r="M2688" t="s" s="2">
        <v>22</v>
      </c>
    </row>
    <row r="2689" ht="25.0" customHeight="true">
      <c r="A2689" t="s" s="2">
        <v>13</v>
      </c>
      <c r="B2689" t="s" s="2">
        <f>HYPERLINK("http://ts.21cn.com/tousu/show/id/1371247","中信银行信用卡遭集体投诉，三成系盗刷问题")</f>
      </c>
      <c r="C2689" t="s" s="2">
        <v>15</v>
      </c>
      <c r="D2689" t="s" s="2">
        <v>16</v>
      </c>
      <c r="E2689" t="s" s="2">
        <v>17</v>
      </c>
      <c r="F2689" t="s" s="2">
        <f>HYPERLINK("http://ts.21cn.com/tousu/show/id/1371247","http://ts.21cn.com/tousu/show/id/1371247")</f>
      </c>
      <c r="G2689" t="s" s="2">
        <v>17</v>
      </c>
      <c r="H2689" t="s" s="2">
        <v>19</v>
      </c>
      <c r="I2689" t="s" s="2">
        <v>10526</v>
      </c>
      <c r="J2689" t="s" s="2">
        <v>10527</v>
      </c>
      <c r="K2689" t="s" s="2">
        <v>22</v>
      </c>
      <c r="L2689" t="s" s="2">
        <v>22</v>
      </c>
      <c r="M2689" t="s" s="2">
        <v>22</v>
      </c>
    </row>
    <row r="2690" ht="25.0" customHeight="true">
      <c r="A2690" t="s" s="2">
        <v>13</v>
      </c>
      <c r="B2690" t="s" s="2">
        <f>HYPERLINK("http://ts.21cn.com/tousu/show/id/1371246","招联金融态度恶劣。暴力催收")</f>
      </c>
      <c r="C2690" t="s" s="2">
        <v>15</v>
      </c>
      <c r="D2690" t="s" s="2">
        <v>16</v>
      </c>
      <c r="E2690" t="s" s="2">
        <v>17</v>
      </c>
      <c r="F2690" t="s" s="2">
        <f>HYPERLINK("http://ts.21cn.com/tousu/show/id/1371246","http://ts.21cn.com/tousu/show/id/1371246")</f>
      </c>
      <c r="G2690" t="s" s="2">
        <v>17</v>
      </c>
      <c r="H2690" t="s" s="2">
        <v>19</v>
      </c>
      <c r="I2690" t="s" s="2">
        <v>10530</v>
      </c>
      <c r="J2690" t="s" s="2">
        <v>10531</v>
      </c>
      <c r="K2690" t="s" s="2">
        <v>22</v>
      </c>
      <c r="L2690" t="s" s="2">
        <v>22</v>
      </c>
      <c r="M2690" t="s" s="2">
        <v>22</v>
      </c>
    </row>
    <row r="2691" ht="25.0" customHeight="true">
      <c r="A2691" t="s" s="2">
        <v>13</v>
      </c>
      <c r="B2691" t="s" s="2">
        <f>HYPERLINK("http://ts.21cn.com/tousu/show/id/1371245","大量用户无法退还立刻出行499元押金")</f>
      </c>
      <c r="C2691" t="s" s="2">
        <v>15</v>
      </c>
      <c r="D2691" t="s" s="2">
        <v>16</v>
      </c>
      <c r="E2691" t="s" s="2">
        <v>17</v>
      </c>
      <c r="F2691" t="s" s="2">
        <f>HYPERLINK("http://ts.21cn.com/tousu/show/id/1371245","http://ts.21cn.com/tousu/show/id/1371245")</f>
      </c>
      <c r="G2691" t="s" s="2">
        <v>17</v>
      </c>
      <c r="H2691" t="s" s="2">
        <v>19</v>
      </c>
      <c r="I2691" t="s" s="2">
        <v>10533</v>
      </c>
      <c r="J2691" t="s" s="2">
        <v>10534</v>
      </c>
      <c r="K2691" t="s" s="2">
        <v>22</v>
      </c>
      <c r="L2691" t="s" s="2">
        <v>22</v>
      </c>
      <c r="M2691" t="s" s="2">
        <v>22</v>
      </c>
    </row>
    <row r="2692" ht="25.0" customHeight="true">
      <c r="A2692" t="s" s="2">
        <v>13</v>
      </c>
      <c r="B2692" t="s" s="2">
        <f>HYPERLINK("http://ts.21cn.com/tousu/show/id/1371243","来分期拒绝协商还款。高利贷。态度强硬")</f>
      </c>
      <c r="C2692" t="s" s="2">
        <v>15</v>
      </c>
      <c r="D2692" t="s" s="2">
        <v>16</v>
      </c>
      <c r="E2692" t="s" s="2">
        <v>17</v>
      </c>
      <c r="F2692" t="s" s="2">
        <f>HYPERLINK("http://ts.21cn.com/tousu/show/id/1371243","http://ts.21cn.com/tousu/show/id/1371243")</f>
      </c>
      <c r="G2692" t="s" s="2">
        <v>17</v>
      </c>
      <c r="H2692" t="s" s="2">
        <v>19</v>
      </c>
      <c r="I2692" t="s" s="2">
        <v>10537</v>
      </c>
      <c r="J2692" t="s" s="2">
        <v>10538</v>
      </c>
      <c r="K2692" t="s" s="2">
        <v>22</v>
      </c>
      <c r="L2692" t="s" s="2">
        <v>22</v>
      </c>
      <c r="M2692" t="s" s="2">
        <v>22</v>
      </c>
    </row>
    <row r="2693" ht="25.0" customHeight="true">
      <c r="A2693" t="s" s="2">
        <v>13</v>
      </c>
      <c r="B2693" t="s" s="2">
        <f>HYPERLINK("http://ts.21cn.com/tousu/show/id/1371242","百川推客邀请新人不发放奖励")</f>
      </c>
      <c r="C2693" t="s" s="2">
        <v>15</v>
      </c>
      <c r="D2693" t="s" s="2">
        <v>16</v>
      </c>
      <c r="E2693" t="s" s="2">
        <v>17</v>
      </c>
      <c r="F2693" t="s" s="2">
        <f>HYPERLINK("http://ts.21cn.com/tousu/show/id/1371242","http://ts.21cn.com/tousu/show/id/1371242")</f>
      </c>
      <c r="G2693" t="s" s="2">
        <v>17</v>
      </c>
      <c r="H2693" t="s" s="2">
        <v>19</v>
      </c>
      <c r="I2693" t="s" s="2">
        <v>10541</v>
      </c>
      <c r="J2693" t="s" s="2">
        <v>10542</v>
      </c>
      <c r="K2693" t="s" s="2">
        <v>22</v>
      </c>
      <c r="L2693" t="s" s="2">
        <v>22</v>
      </c>
      <c r="M2693" t="s" s="2">
        <v>22</v>
      </c>
    </row>
    <row r="2694" ht="25.0" customHeight="true">
      <c r="A2694" t="s" s="2">
        <v>13</v>
      </c>
      <c r="B2694" t="s" s="2">
        <f>HYPERLINK("http://ts.21cn.com/tousu/show/id/1371240","钱橙无忧随意扣费")</f>
      </c>
      <c r="C2694" t="s" s="2">
        <v>15</v>
      </c>
      <c r="D2694" t="s" s="2">
        <v>16</v>
      </c>
      <c r="E2694" t="s" s="2">
        <v>17</v>
      </c>
      <c r="F2694" t="s" s="2">
        <f>HYPERLINK("http://ts.21cn.com/tousu/show/id/1371240","http://ts.21cn.com/tousu/show/id/1371240")</f>
      </c>
      <c r="G2694" t="s" s="2">
        <v>17</v>
      </c>
      <c r="H2694" t="s" s="2">
        <v>19</v>
      </c>
      <c r="I2694" t="s" s="2">
        <v>10544</v>
      </c>
      <c r="J2694" t="s" s="2">
        <v>10545</v>
      </c>
      <c r="K2694" t="s" s="2">
        <v>22</v>
      </c>
      <c r="L2694" t="s" s="2">
        <v>22</v>
      </c>
      <c r="M2694" t="s" s="2">
        <v>22</v>
      </c>
    </row>
    <row r="2695" ht="25.0" customHeight="true">
      <c r="A2695" t="s" s="2">
        <v>13</v>
      </c>
      <c r="B2695" t="s" s="2">
        <f>HYPERLINK("http://ts.21cn.com/tousu/show/id/1371238","高利贷套路贷")</f>
      </c>
      <c r="C2695" t="s" s="2">
        <v>15</v>
      </c>
      <c r="D2695" t="s" s="2">
        <v>16</v>
      </c>
      <c r="E2695" t="s" s="2">
        <v>17</v>
      </c>
      <c r="F2695" t="s" s="2">
        <f>HYPERLINK("http://ts.21cn.com/tousu/show/id/1371238","http://ts.21cn.com/tousu/show/id/1371238")</f>
      </c>
      <c r="G2695" t="s" s="2">
        <v>17</v>
      </c>
      <c r="H2695" t="s" s="2">
        <v>19</v>
      </c>
      <c r="I2695" t="s" s="2">
        <v>10548</v>
      </c>
      <c r="J2695" t="s" s="2">
        <v>10549</v>
      </c>
      <c r="K2695" t="s" s="2">
        <v>22</v>
      </c>
      <c r="L2695" t="s" s="2">
        <v>22</v>
      </c>
      <c r="M2695" t="s" s="2">
        <v>22</v>
      </c>
    </row>
    <row r="2696" ht="25.0" customHeight="true">
      <c r="A2696" t="s" s="2">
        <v>13</v>
      </c>
      <c r="B2696" t="s" s="2">
        <f>HYPERLINK("http://ts.21cn.com/tousu/show/id/1371239","陌陌币退费")</f>
      </c>
      <c r="C2696" t="s" s="2">
        <v>15</v>
      </c>
      <c r="D2696" t="s" s="2">
        <v>16</v>
      </c>
      <c r="E2696" t="s" s="2">
        <v>17</v>
      </c>
      <c r="F2696" t="s" s="2">
        <f>HYPERLINK("http://ts.21cn.com/tousu/show/id/1371239","http://ts.21cn.com/tousu/show/id/1371239")</f>
      </c>
      <c r="G2696" t="s" s="2">
        <v>17</v>
      </c>
      <c r="H2696" t="s" s="2">
        <v>19</v>
      </c>
      <c r="I2696" t="s" s="2">
        <v>10552</v>
      </c>
      <c r="J2696" t="s" s="2">
        <v>10553</v>
      </c>
      <c r="K2696" t="s" s="2">
        <v>22</v>
      </c>
      <c r="L2696" t="s" s="2">
        <v>22</v>
      </c>
      <c r="M2696" t="s" s="2">
        <v>22</v>
      </c>
    </row>
    <row r="2697" ht="25.0" customHeight="true">
      <c r="A2697" t="s" s="2">
        <v>13</v>
      </c>
      <c r="B2697" t="s" s="2">
        <f>HYPERLINK("http://ts.21cn.com/tousu/show/id/1371237","高息电话骚扰")</f>
      </c>
      <c r="C2697" t="s" s="2">
        <v>15</v>
      </c>
      <c r="D2697" t="s" s="2">
        <v>16</v>
      </c>
      <c r="E2697" t="s" s="2">
        <v>17</v>
      </c>
      <c r="F2697" t="s" s="2">
        <f>HYPERLINK("http://ts.21cn.com/tousu/show/id/1371237","http://ts.21cn.com/tousu/show/id/1371237")</f>
      </c>
      <c r="G2697" t="s" s="2">
        <v>17</v>
      </c>
      <c r="H2697" t="s" s="2">
        <v>19</v>
      </c>
      <c r="I2697" t="s" s="2">
        <v>10556</v>
      </c>
      <c r="J2697" t="s" s="2">
        <v>10557</v>
      </c>
      <c r="K2697" t="s" s="2">
        <v>22</v>
      </c>
      <c r="L2697" t="s" s="2">
        <v>22</v>
      </c>
      <c r="M2697" t="s" s="2">
        <v>22</v>
      </c>
    </row>
    <row r="2698" ht="25.0" customHeight="true">
      <c r="A2698" t="s" s="2">
        <v>13</v>
      </c>
      <c r="B2698" t="s" s="2">
        <f>HYPERLINK("http://ts.21cn.com/tousu/show/id/1371235","利息太高，高过高利贷，骚扰电话，不给协商")</f>
      </c>
      <c r="C2698" t="s" s="2">
        <v>15</v>
      </c>
      <c r="D2698" t="s" s="2">
        <v>16</v>
      </c>
      <c r="E2698" t="s" s="2">
        <v>17</v>
      </c>
      <c r="F2698" t="s" s="2">
        <f>HYPERLINK("http://ts.21cn.com/tousu/show/id/1371235","http://ts.21cn.com/tousu/show/id/1371235")</f>
      </c>
      <c r="G2698" t="s" s="2">
        <v>17</v>
      </c>
      <c r="H2698" t="s" s="2">
        <v>19</v>
      </c>
      <c r="I2698" t="s" s="2">
        <v>10560</v>
      </c>
      <c r="J2698" t="s" s="2">
        <v>10561</v>
      </c>
      <c r="K2698" t="s" s="2">
        <v>22</v>
      </c>
      <c r="L2698" t="s" s="2">
        <v>22</v>
      </c>
      <c r="M2698" t="s" s="2">
        <v>22</v>
      </c>
    </row>
    <row r="2699" ht="25.0" customHeight="true">
      <c r="A2699" t="s" s="2">
        <v>13</v>
      </c>
      <c r="B2699" t="s" s="2">
        <f>HYPERLINK("http://ts.21cn.com/tousu/show/id/1371236","利息高，不协商还款，逾期直接爆通讯录")</f>
      </c>
      <c r="C2699" t="s" s="2">
        <v>15</v>
      </c>
      <c r="D2699" t="s" s="2">
        <v>16</v>
      </c>
      <c r="E2699" t="s" s="2">
        <v>17</v>
      </c>
      <c r="F2699" t="s" s="2">
        <f>HYPERLINK("http://ts.21cn.com/tousu/show/id/1371236","http://ts.21cn.com/tousu/show/id/1371236")</f>
      </c>
      <c r="G2699" t="s" s="2">
        <v>17</v>
      </c>
      <c r="H2699" t="s" s="2">
        <v>19</v>
      </c>
      <c r="I2699" t="s" s="2">
        <v>10564</v>
      </c>
      <c r="J2699" t="s" s="2">
        <v>10565</v>
      </c>
      <c r="K2699" t="s" s="2">
        <v>22</v>
      </c>
      <c r="L2699" t="s" s="2">
        <v>22</v>
      </c>
      <c r="M2699" t="s" s="2">
        <v>22</v>
      </c>
    </row>
    <row r="2700" ht="25.0" customHeight="true">
      <c r="A2700" t="s" s="2">
        <v>13</v>
      </c>
      <c r="B2700" t="s" s="2">
        <f>HYPERLINK("http://ts.21cn.com/tousu/show/id/1371195","捷信变相高息")</f>
      </c>
      <c r="C2700" t="s" s="2">
        <v>15</v>
      </c>
      <c r="D2700" t="s" s="2">
        <v>16</v>
      </c>
      <c r="E2700" t="s" s="2">
        <v>17</v>
      </c>
      <c r="F2700" t="s" s="2">
        <f>HYPERLINK("http://ts.21cn.com/tousu/show/id/1371195","http://ts.21cn.com/tousu/show/id/1371195")</f>
      </c>
      <c r="G2700" t="s" s="2">
        <v>17</v>
      </c>
      <c r="H2700" t="s" s="2">
        <v>19</v>
      </c>
      <c r="I2700" t="s" s="2">
        <v>10568</v>
      </c>
      <c r="J2700" t="s" s="2">
        <v>10569</v>
      </c>
      <c r="K2700" t="s" s="2">
        <v>22</v>
      </c>
      <c r="L2700" t="s" s="2">
        <v>22</v>
      </c>
      <c r="M2700" t="s" s="2">
        <v>22</v>
      </c>
    </row>
    <row r="2701" ht="25.0" customHeight="true">
      <c r="A2701" t="s" s="2">
        <v>13</v>
      </c>
      <c r="B2701" t="s" s="2">
        <f>HYPERLINK("http://ts.21cn.com/tousu/show/id/1371233","暴力催收乱发信息")</f>
      </c>
      <c r="C2701" t="s" s="2">
        <v>15</v>
      </c>
      <c r="D2701" t="s" s="2">
        <v>16</v>
      </c>
      <c r="E2701" t="s" s="2">
        <v>17</v>
      </c>
      <c r="F2701" t="s" s="2">
        <f>HYPERLINK("http://ts.21cn.com/tousu/show/id/1371233","http://ts.21cn.com/tousu/show/id/1371233")</f>
      </c>
      <c r="G2701" t="s" s="2">
        <v>17</v>
      </c>
      <c r="H2701" t="s" s="2">
        <v>19</v>
      </c>
      <c r="I2701" t="s" s="2">
        <v>10572</v>
      </c>
      <c r="J2701" t="s" s="2">
        <v>10573</v>
      </c>
      <c r="K2701" t="s" s="2">
        <v>22</v>
      </c>
      <c r="L2701" t="s" s="2">
        <v>22</v>
      </c>
      <c r="M2701" t="s" s="2">
        <v>22</v>
      </c>
    </row>
    <row r="2702" ht="25.0" customHeight="true">
      <c r="A2702" t="s" s="2">
        <v>13</v>
      </c>
      <c r="B2702" t="s" s="2">
        <f>HYPERLINK("http://ts.21cn.com/tousu/show/id/1371234","捷信金融高利贷，恐吓爆通讯录发假律师函威胁")</f>
      </c>
      <c r="C2702" t="s" s="2">
        <v>15</v>
      </c>
      <c r="D2702" t="s" s="2">
        <v>16</v>
      </c>
      <c r="E2702" t="s" s="2">
        <v>17</v>
      </c>
      <c r="F2702" t="s" s="2">
        <f>HYPERLINK("http://ts.21cn.com/tousu/show/id/1371234","http://ts.21cn.com/tousu/show/id/1371234")</f>
      </c>
      <c r="G2702" t="s" s="2">
        <v>17</v>
      </c>
      <c r="H2702" t="s" s="2">
        <v>19</v>
      </c>
      <c r="I2702" t="s" s="2">
        <v>10576</v>
      </c>
      <c r="J2702" t="s" s="2">
        <v>10577</v>
      </c>
      <c r="K2702" t="s" s="2">
        <v>22</v>
      </c>
      <c r="L2702" t="s" s="2">
        <v>22</v>
      </c>
      <c r="M2702" t="s" s="2">
        <v>22</v>
      </c>
    </row>
    <row r="2703" ht="25.0" customHeight="true">
      <c r="A2703" t="s" s="2">
        <v>13</v>
      </c>
      <c r="B2703" t="s" s="2">
        <f>HYPERLINK("http://ts.21cn.com/tousu/show/id/1371232","安逸花利息罚息不合理跟高利贷一样")</f>
      </c>
      <c r="C2703" t="s" s="2">
        <v>15</v>
      </c>
      <c r="D2703" t="s" s="2">
        <v>16</v>
      </c>
      <c r="E2703" t="s" s="2">
        <v>17</v>
      </c>
      <c r="F2703" t="s" s="2">
        <f>HYPERLINK("http://ts.21cn.com/tousu/show/id/1371232","http://ts.21cn.com/tousu/show/id/1371232")</f>
      </c>
      <c r="G2703" t="s" s="2">
        <v>17</v>
      </c>
      <c r="H2703" t="s" s="2">
        <v>19</v>
      </c>
      <c r="I2703" t="s" s="2">
        <v>10580</v>
      </c>
      <c r="J2703" t="s" s="2">
        <v>10581</v>
      </c>
      <c r="K2703" t="s" s="2">
        <v>22</v>
      </c>
      <c r="L2703" t="s" s="2">
        <v>22</v>
      </c>
      <c r="M2703" t="s" s="2">
        <v>22</v>
      </c>
    </row>
    <row r="2704" ht="25.0" customHeight="true">
      <c r="A2704" t="s" s="2">
        <v>13</v>
      </c>
      <c r="B2704" t="s" s="2">
        <f>HYPERLINK("http://ts.21cn.com/tousu/show/id/1371231","砍头身以保险模式")</f>
      </c>
      <c r="C2704" t="s" s="2">
        <v>15</v>
      </c>
      <c r="D2704" t="s" s="2">
        <v>16</v>
      </c>
      <c r="E2704" t="s" s="2">
        <v>17</v>
      </c>
      <c r="F2704" t="s" s="2">
        <f>HYPERLINK("http://ts.21cn.com/tousu/show/id/1371231","http://ts.21cn.com/tousu/show/id/1371231")</f>
      </c>
      <c r="G2704" t="s" s="2">
        <v>17</v>
      </c>
      <c r="H2704" t="s" s="2">
        <v>19</v>
      </c>
      <c r="I2704" t="s" s="2">
        <v>10584</v>
      </c>
      <c r="J2704" t="s" s="2">
        <v>10585</v>
      </c>
      <c r="K2704" t="s" s="2">
        <v>22</v>
      </c>
      <c r="L2704" t="s" s="2">
        <v>22</v>
      </c>
      <c r="M2704" t="s" s="2">
        <v>22</v>
      </c>
    </row>
    <row r="2705" ht="25.0" customHeight="true">
      <c r="A2705" t="s" s="2">
        <v>13</v>
      </c>
      <c r="B2705" t="s" s="2">
        <f>HYPERLINK("http://ts.21cn.com/tousu/show/id/1371230","软暴力催收")</f>
      </c>
      <c r="C2705" t="s" s="2">
        <v>15</v>
      </c>
      <c r="D2705" t="s" s="2">
        <v>16</v>
      </c>
      <c r="E2705" t="s" s="2">
        <v>17</v>
      </c>
      <c r="F2705" t="s" s="2">
        <f>HYPERLINK("http://ts.21cn.com/tousu/show/id/1371230","http://ts.21cn.com/tousu/show/id/1371230")</f>
      </c>
      <c r="G2705" t="s" s="2">
        <v>17</v>
      </c>
      <c r="H2705" t="s" s="2">
        <v>19</v>
      </c>
      <c r="I2705" t="s" s="2">
        <v>10587</v>
      </c>
      <c r="J2705" t="s" s="2">
        <v>10588</v>
      </c>
      <c r="K2705" t="s" s="2">
        <v>22</v>
      </c>
      <c r="L2705" t="s" s="2">
        <v>22</v>
      </c>
      <c r="M2705" t="s" s="2">
        <v>22</v>
      </c>
    </row>
    <row r="2706" ht="25.0" customHeight="true">
      <c r="A2706" t="s" s="2">
        <v>13</v>
      </c>
      <c r="B2706" t="s" s="2">
        <f>HYPERLINK("http://ts.21cn.com/tousu/show/id/1371229","招联金融威胁通讯录")</f>
      </c>
      <c r="C2706" t="s" s="2">
        <v>15</v>
      </c>
      <c r="D2706" t="s" s="2">
        <v>16</v>
      </c>
      <c r="E2706" t="s" s="2">
        <v>17</v>
      </c>
      <c r="F2706" t="s" s="2">
        <f>HYPERLINK("http://ts.21cn.com/tousu/show/id/1371229","http://ts.21cn.com/tousu/show/id/1371229")</f>
      </c>
      <c r="G2706" t="s" s="2">
        <v>17</v>
      </c>
      <c r="H2706" t="s" s="2">
        <v>19</v>
      </c>
      <c r="I2706" t="s" s="2">
        <v>10591</v>
      </c>
      <c r="J2706" t="s" s="2">
        <v>10592</v>
      </c>
      <c r="K2706" t="s" s="2">
        <v>22</v>
      </c>
      <c r="L2706" t="s" s="2">
        <v>22</v>
      </c>
      <c r="M2706" t="s" s="2">
        <v>22</v>
      </c>
    </row>
    <row r="2707" ht="25.0" customHeight="true">
      <c r="A2707" t="s" s="2">
        <v>13</v>
      </c>
      <c r="B2707" t="s" s="2">
        <f>HYPERLINK("http://ts.21cn.com/tousu/show/id/1371228","退我1800元的砍头费")</f>
      </c>
      <c r="C2707" t="s" s="2">
        <v>52</v>
      </c>
      <c r="D2707" t="s" s="2">
        <v>16</v>
      </c>
      <c r="E2707" t="s" s="2">
        <v>17</v>
      </c>
      <c r="F2707" t="s" s="2">
        <f>HYPERLINK("http://ts.21cn.com/tousu/show/id/1371228","http://ts.21cn.com/tousu/show/id/1371228")</f>
      </c>
      <c r="G2707" t="s" s="2">
        <v>17</v>
      </c>
      <c r="H2707" t="s" s="2">
        <v>19</v>
      </c>
      <c r="I2707" t="s" s="2">
        <v>10595</v>
      </c>
      <c r="J2707" t="s" s="2">
        <v>10596</v>
      </c>
      <c r="K2707" t="s" s="2">
        <v>22</v>
      </c>
      <c r="L2707" t="s" s="2">
        <v>22</v>
      </c>
      <c r="M2707" t="s" s="2">
        <v>22</v>
      </c>
    </row>
    <row r="2708" ht="25.0" customHeight="true">
      <c r="A2708" t="s" s="2">
        <v>13</v>
      </c>
      <c r="B2708" t="s" s="2">
        <f>HYPERLINK("http://ts.21cn.com/tousu/show/id/1371227","遭遇支付宝暴力催收")</f>
      </c>
      <c r="C2708" t="s" s="2">
        <v>15</v>
      </c>
      <c r="D2708" t="s" s="2">
        <v>16</v>
      </c>
      <c r="E2708" t="s" s="2">
        <v>17</v>
      </c>
      <c r="F2708" t="s" s="2">
        <f>HYPERLINK("http://ts.21cn.com/tousu/show/id/1371227","http://ts.21cn.com/tousu/show/id/1371227")</f>
      </c>
      <c r="G2708" t="s" s="2">
        <v>17</v>
      </c>
      <c r="H2708" t="s" s="2">
        <v>19</v>
      </c>
      <c r="I2708" t="s" s="2">
        <v>10599</v>
      </c>
      <c r="J2708" t="s" s="2">
        <v>10600</v>
      </c>
      <c r="K2708" t="s" s="2">
        <v>22</v>
      </c>
      <c r="L2708" t="s" s="2">
        <v>22</v>
      </c>
      <c r="M2708" t="s" s="2">
        <v>22</v>
      </c>
    </row>
    <row r="2709" ht="25.0" customHeight="true">
      <c r="A2709" t="s" s="2">
        <v>13</v>
      </c>
      <c r="B2709" t="s" s="2">
        <f>HYPERLINK("http://ts.21cn.com/tousu/show/id/1371226","自由摩卡信用计划高利贷，威胁暴利催收")</f>
      </c>
      <c r="C2709" t="s" s="2">
        <v>15</v>
      </c>
      <c r="D2709" t="s" s="2">
        <v>16</v>
      </c>
      <c r="E2709" t="s" s="2">
        <v>17</v>
      </c>
      <c r="F2709" t="s" s="2">
        <f>HYPERLINK("http://ts.21cn.com/tousu/show/id/1371226","http://ts.21cn.com/tousu/show/id/1371226")</f>
      </c>
      <c r="G2709" t="s" s="2">
        <v>17</v>
      </c>
      <c r="H2709" t="s" s="2">
        <v>19</v>
      </c>
      <c r="I2709" t="s" s="2">
        <v>10603</v>
      </c>
      <c r="J2709" t="s" s="2">
        <v>10604</v>
      </c>
      <c r="K2709" t="s" s="2">
        <v>22</v>
      </c>
      <c r="L2709" t="s" s="2">
        <v>22</v>
      </c>
      <c r="M2709" t="s" s="2">
        <v>22</v>
      </c>
    </row>
    <row r="2710" ht="25.0" customHeight="true">
      <c r="A2710" t="s" s="2">
        <v>13</v>
      </c>
      <c r="B2710" t="s" s="2">
        <f>HYPERLINK("http://ts.21cn.com/tousu/show/id/1371225","天天打电话")</f>
      </c>
      <c r="C2710" t="s" s="2">
        <v>15</v>
      </c>
      <c r="D2710" t="s" s="2">
        <v>16</v>
      </c>
      <c r="E2710" t="s" s="2">
        <v>17</v>
      </c>
      <c r="F2710" t="s" s="2">
        <f>HYPERLINK("http://ts.21cn.com/tousu/show/id/1371225","http://ts.21cn.com/tousu/show/id/1371225")</f>
      </c>
      <c r="G2710" t="s" s="2">
        <v>17</v>
      </c>
      <c r="H2710" t="s" s="2">
        <v>19</v>
      </c>
      <c r="I2710" t="s" s="2">
        <v>10607</v>
      </c>
      <c r="J2710" t="s" s="2">
        <v>10608</v>
      </c>
      <c r="K2710" t="s" s="2">
        <v>22</v>
      </c>
      <c r="L2710" t="s" s="2">
        <v>22</v>
      </c>
      <c r="M2710" t="s" s="2">
        <v>22</v>
      </c>
    </row>
    <row r="2711" ht="25.0" customHeight="true">
      <c r="A2711" t="s" s="2">
        <v>13</v>
      </c>
      <c r="B2711" t="s" s="2">
        <f>HYPERLINK("http://ts.21cn.com/tousu/show/id/1371224","投诉中腾信委托方鼎泰鑫暴力催收！中腾信高利贷！")</f>
      </c>
      <c r="C2711" t="s" s="2">
        <v>15</v>
      </c>
      <c r="D2711" t="s" s="2">
        <v>16</v>
      </c>
      <c r="E2711" t="s" s="2">
        <v>17</v>
      </c>
      <c r="F2711" t="s" s="2">
        <f>HYPERLINK("http://ts.21cn.com/tousu/show/id/1371224","http://ts.21cn.com/tousu/show/id/1371224")</f>
      </c>
      <c r="G2711" t="s" s="2">
        <v>17</v>
      </c>
      <c r="H2711" t="s" s="2">
        <v>19</v>
      </c>
      <c r="I2711" t="s" s="2">
        <v>10611</v>
      </c>
      <c r="J2711" t="s" s="2">
        <v>10612</v>
      </c>
      <c r="K2711" t="s" s="2">
        <v>22</v>
      </c>
      <c r="L2711" t="s" s="2">
        <v>22</v>
      </c>
      <c r="M2711" t="s" s="2">
        <v>22</v>
      </c>
    </row>
    <row r="2712" ht="25.0" customHeight="true">
      <c r="A2712" t="s" s="2">
        <v>13</v>
      </c>
      <c r="B2712" t="s" s="2">
        <f>HYPERLINK("http://ts.21cn.com/tousu/show/id/1371223","恒易贷套路贷、高利贷、恶性催收、爆通讯录、骚扰亲朋好友")</f>
      </c>
      <c r="C2712" t="s" s="2">
        <v>15</v>
      </c>
      <c r="D2712" t="s" s="2">
        <v>16</v>
      </c>
      <c r="E2712" t="s" s="2">
        <v>17</v>
      </c>
      <c r="F2712" t="s" s="2">
        <f>HYPERLINK("http://ts.21cn.com/tousu/show/id/1371223","http://ts.21cn.com/tousu/show/id/1371223")</f>
      </c>
      <c r="G2712" t="s" s="2">
        <v>17</v>
      </c>
      <c r="H2712" t="s" s="2">
        <v>19</v>
      </c>
      <c r="I2712" t="s" s="2">
        <v>10615</v>
      </c>
      <c r="J2712" t="s" s="2">
        <v>10616</v>
      </c>
      <c r="K2712" t="s" s="2">
        <v>22</v>
      </c>
      <c r="L2712" t="s" s="2">
        <v>22</v>
      </c>
      <c r="M2712" t="s" s="2">
        <v>22</v>
      </c>
    </row>
    <row r="2713" ht="25.0" customHeight="true">
      <c r="A2713" t="s" s="2">
        <v>13</v>
      </c>
      <c r="B2713" t="s" s="2">
        <f>HYPERLINK("http://ts.21cn.com/tousu/show/id/1371220","现金巴士高利贷")</f>
      </c>
      <c r="C2713" t="s" s="2">
        <v>15</v>
      </c>
      <c r="D2713" t="s" s="2">
        <v>16</v>
      </c>
      <c r="E2713" t="s" s="2">
        <v>17</v>
      </c>
      <c r="F2713" t="s" s="2">
        <f>HYPERLINK("http://ts.21cn.com/tousu/show/id/1371220","http://ts.21cn.com/tousu/show/id/1371220")</f>
      </c>
      <c r="G2713" t="s" s="2">
        <v>17</v>
      </c>
      <c r="H2713" t="s" s="2">
        <v>19</v>
      </c>
      <c r="I2713" t="s" s="2">
        <v>10619</v>
      </c>
      <c r="J2713" t="s" s="2">
        <v>10620</v>
      </c>
      <c r="K2713" t="s" s="2">
        <v>22</v>
      </c>
      <c r="L2713" t="s" s="2">
        <v>22</v>
      </c>
      <c r="M2713" t="s" s="2">
        <v>22</v>
      </c>
    </row>
    <row r="2714" ht="25.0" customHeight="true">
      <c r="A2714" t="s" s="2">
        <v>13</v>
      </c>
      <c r="B2714" t="s" s="2">
        <f>HYPERLINK("http://ts.21cn.com/tousu/show/id/1371221","投诉借东风平台")</f>
      </c>
      <c r="C2714" t="s" s="2">
        <v>15</v>
      </c>
      <c r="D2714" t="s" s="2">
        <v>16</v>
      </c>
      <c r="E2714" t="s" s="2">
        <v>17</v>
      </c>
      <c r="F2714" t="s" s="2">
        <f>HYPERLINK("http://ts.21cn.com/tousu/show/id/1371221","http://ts.21cn.com/tousu/show/id/1371221")</f>
      </c>
      <c r="G2714" t="s" s="2">
        <v>17</v>
      </c>
      <c r="H2714" t="s" s="2">
        <v>19</v>
      </c>
      <c r="I2714" t="s" s="2">
        <v>10623</v>
      </c>
      <c r="J2714" t="s" s="2">
        <v>10624</v>
      </c>
      <c r="K2714" t="s" s="2">
        <v>22</v>
      </c>
      <c r="L2714" t="s" s="2">
        <v>22</v>
      </c>
      <c r="M2714" t="s" s="2">
        <v>22</v>
      </c>
    </row>
    <row r="2715" ht="25.0" customHeight="true">
      <c r="A2715" t="s" s="2">
        <v>13</v>
      </c>
      <c r="B2715" t="s" s="2">
        <f>HYPERLINK("http://ts.21cn.com/tousu/show/id/1371222","小花钱包暴力催收威胁恐吓")</f>
      </c>
      <c r="C2715" t="s" s="2">
        <v>15</v>
      </c>
      <c r="D2715" t="s" s="2">
        <v>16</v>
      </c>
      <c r="E2715" t="s" s="2">
        <v>17</v>
      </c>
      <c r="F2715" t="s" s="2">
        <f>HYPERLINK("http://ts.21cn.com/tousu/show/id/1371222","http://ts.21cn.com/tousu/show/id/1371222")</f>
      </c>
      <c r="G2715" t="s" s="2">
        <v>17</v>
      </c>
      <c r="H2715" t="s" s="2">
        <v>19</v>
      </c>
      <c r="I2715" t="s" s="2">
        <v>10627</v>
      </c>
      <c r="J2715" t="s" s="2">
        <v>10628</v>
      </c>
      <c r="K2715" t="s" s="2">
        <v>22</v>
      </c>
      <c r="L2715" t="s" s="2">
        <v>22</v>
      </c>
      <c r="M2715" t="s" s="2">
        <v>22</v>
      </c>
    </row>
    <row r="2716" ht="25.0" customHeight="true">
      <c r="A2716" t="s" s="2">
        <v>13</v>
      </c>
      <c r="B2716" t="s" s="2">
        <f>HYPERLINK("http://ts.21cn.com/tousu/show/id/1371172","分期通恶意收取会员费用")</f>
      </c>
      <c r="C2716" t="s" s="2">
        <v>15</v>
      </c>
      <c r="D2716" t="s" s="2">
        <v>16</v>
      </c>
      <c r="E2716" t="s" s="2">
        <v>17</v>
      </c>
      <c r="F2716" t="s" s="2">
        <f>HYPERLINK("http://ts.21cn.com/tousu/show/id/1371172","http://ts.21cn.com/tousu/show/id/1371172")</f>
      </c>
      <c r="G2716" t="s" s="2">
        <v>17</v>
      </c>
      <c r="H2716" t="s" s="2">
        <v>19</v>
      </c>
      <c r="I2716" t="s" s="2">
        <v>10631</v>
      </c>
      <c r="J2716" t="s" s="2">
        <v>10632</v>
      </c>
      <c r="K2716" t="s" s="2">
        <v>22</v>
      </c>
      <c r="L2716" t="s" s="2">
        <v>22</v>
      </c>
      <c r="M2716" t="s" s="2">
        <v>22</v>
      </c>
    </row>
    <row r="2717" ht="25.0" customHeight="true">
      <c r="A2717" t="s" s="2">
        <v>13</v>
      </c>
      <c r="B2717" t="s" s="2">
        <f>HYPERLINK("http://ts.21cn.com/tousu/show/id/1371218","众安保险捆绑网贷")</f>
      </c>
      <c r="C2717" t="s" s="2">
        <v>15</v>
      </c>
      <c r="D2717" t="s" s="2">
        <v>16</v>
      </c>
      <c r="E2717" t="s" s="2">
        <v>17</v>
      </c>
      <c r="F2717" t="s" s="2">
        <f>HYPERLINK("http://ts.21cn.com/tousu/show/id/1371218","http://ts.21cn.com/tousu/show/id/1371218")</f>
      </c>
      <c r="G2717" t="s" s="2">
        <v>17</v>
      </c>
      <c r="H2717" t="s" s="2">
        <v>19</v>
      </c>
      <c r="I2717" t="s" s="2">
        <v>10635</v>
      </c>
      <c r="J2717" t="s" s="2">
        <v>10636</v>
      </c>
      <c r="K2717" t="s" s="2">
        <v>22</v>
      </c>
      <c r="L2717" t="s" s="2">
        <v>22</v>
      </c>
      <c r="M2717" t="s" s="2">
        <v>22</v>
      </c>
    </row>
    <row r="2718" ht="25.0" customHeight="true">
      <c r="A2718" t="s" s="2">
        <v>13</v>
      </c>
      <c r="B2718" t="s" s="2">
        <f>HYPERLINK("http://ts.21cn.com/tousu/show/id/1371217","最近资金周转不开，商量延期几天，现金巴士不干")</f>
      </c>
      <c r="C2718" t="s" s="2">
        <v>52</v>
      </c>
      <c r="D2718" t="s" s="2">
        <v>16</v>
      </c>
      <c r="E2718" t="s" s="2">
        <v>17</v>
      </c>
      <c r="F2718" t="s" s="2">
        <f>HYPERLINK("http://ts.21cn.com/tousu/show/id/1371217","http://ts.21cn.com/tousu/show/id/1371217")</f>
      </c>
      <c r="G2718" t="s" s="2">
        <v>17</v>
      </c>
      <c r="H2718" t="s" s="2">
        <v>19</v>
      </c>
      <c r="I2718" t="s" s="2">
        <v>10639</v>
      </c>
      <c r="J2718" t="s" s="2">
        <v>10640</v>
      </c>
      <c r="K2718" t="s" s="2">
        <v>22</v>
      </c>
      <c r="L2718" t="s" s="2">
        <v>22</v>
      </c>
      <c r="M2718" t="s" s="2">
        <v>22</v>
      </c>
    </row>
    <row r="2719" ht="25.0" customHeight="true">
      <c r="A2719" t="s" s="2">
        <v>13</v>
      </c>
      <c r="B2719" t="s" s="2">
        <f>HYPERLINK("http://ts.21cn.com/tousu/show/id/1371216","利息高")</f>
      </c>
      <c r="C2719" t="s" s="2">
        <v>15</v>
      </c>
      <c r="D2719" t="s" s="2">
        <v>16</v>
      </c>
      <c r="E2719" t="s" s="2">
        <v>17</v>
      </c>
      <c r="F2719" t="s" s="2">
        <f>HYPERLINK("http://ts.21cn.com/tousu/show/id/1371216","http://ts.21cn.com/tousu/show/id/1371216")</f>
      </c>
      <c r="G2719" t="s" s="2">
        <v>17</v>
      </c>
      <c r="H2719" t="s" s="2">
        <v>19</v>
      </c>
      <c r="I2719" t="s" s="2">
        <v>10642</v>
      </c>
      <c r="J2719" t="s" s="2">
        <v>10643</v>
      </c>
      <c r="K2719" t="s" s="2">
        <v>22</v>
      </c>
      <c r="L2719" t="s" s="2">
        <v>22</v>
      </c>
      <c r="M2719" t="s" s="2">
        <v>22</v>
      </c>
    </row>
    <row r="2720" ht="25.0" customHeight="true">
      <c r="A2720" t="s" s="2">
        <v>13</v>
      </c>
      <c r="B2720" t="s" s="2">
        <f>HYPERLINK("http://ts.21cn.com/tousu/show/id/1371215","58高额利息套路贷")</f>
      </c>
      <c r="C2720" t="s" s="2">
        <v>15</v>
      </c>
      <c r="D2720" t="s" s="2">
        <v>16</v>
      </c>
      <c r="E2720" t="s" s="2">
        <v>17</v>
      </c>
      <c r="F2720" t="s" s="2">
        <f>HYPERLINK("http://ts.21cn.com/tousu/show/id/1371215","http://ts.21cn.com/tousu/show/id/1371215")</f>
      </c>
      <c r="G2720" t="s" s="2">
        <v>17</v>
      </c>
      <c r="H2720" t="s" s="2">
        <v>19</v>
      </c>
      <c r="I2720" t="s" s="2">
        <v>10646</v>
      </c>
      <c r="J2720" t="s" s="2">
        <v>10647</v>
      </c>
      <c r="K2720" t="s" s="2">
        <v>22</v>
      </c>
      <c r="L2720" t="s" s="2">
        <v>22</v>
      </c>
      <c r="M2720" t="s" s="2">
        <v>22</v>
      </c>
    </row>
    <row r="2721" ht="25.0" customHeight="true">
      <c r="A2721" t="s" s="2">
        <v>13</v>
      </c>
      <c r="B2721" t="s" s="2">
        <f>HYPERLINK("http://ts.21cn.com/tousu/show/id/1371214","投诉微博借钱高息，套路式贷款！使人不堪重负")</f>
      </c>
      <c r="C2721" t="s" s="2">
        <v>15</v>
      </c>
      <c r="D2721" t="s" s="2">
        <v>16</v>
      </c>
      <c r="E2721" t="s" s="2">
        <v>17</v>
      </c>
      <c r="F2721" t="s" s="2">
        <f>HYPERLINK("http://ts.21cn.com/tousu/show/id/1371214","http://ts.21cn.com/tousu/show/id/1371214")</f>
      </c>
      <c r="G2721" t="s" s="2">
        <v>17</v>
      </c>
      <c r="H2721" t="s" s="2">
        <v>19</v>
      </c>
      <c r="I2721" t="s" s="2">
        <v>10650</v>
      </c>
      <c r="J2721" t="s" s="2">
        <v>10651</v>
      </c>
      <c r="K2721" t="s" s="2">
        <v>22</v>
      </c>
      <c r="L2721" t="s" s="2">
        <v>22</v>
      </c>
      <c r="M2721" t="s" s="2">
        <v>22</v>
      </c>
    </row>
    <row r="2722" ht="25.0" customHeight="true">
      <c r="A2722" t="s" s="2">
        <v>13</v>
      </c>
      <c r="B2722" t="s" s="2">
        <f>HYPERLINK("http://ts.21cn.com/tousu/show/id/1371213","又来上门威胁")</f>
      </c>
      <c r="C2722" t="s" s="2">
        <v>15</v>
      </c>
      <c r="D2722" t="s" s="2">
        <v>16</v>
      </c>
      <c r="E2722" t="s" s="2">
        <v>17</v>
      </c>
      <c r="F2722" t="s" s="2">
        <f>HYPERLINK("http://ts.21cn.com/tousu/show/id/1371213","http://ts.21cn.com/tousu/show/id/1371213")</f>
      </c>
      <c r="G2722" t="s" s="2">
        <v>17</v>
      </c>
      <c r="H2722" t="s" s="2">
        <v>19</v>
      </c>
      <c r="I2722" t="s" s="2">
        <v>10654</v>
      </c>
      <c r="J2722" t="s" s="2">
        <v>10655</v>
      </c>
      <c r="K2722" t="s" s="2">
        <v>22</v>
      </c>
      <c r="L2722" t="s" s="2">
        <v>22</v>
      </c>
      <c r="M2722" t="s" s="2">
        <v>22</v>
      </c>
    </row>
    <row r="2723" ht="25.0" customHeight="true">
      <c r="A2723" t="s" s="2">
        <v>13</v>
      </c>
      <c r="B2723" t="s" s="2">
        <f>HYPERLINK("http://ts.21cn.com/tousu/show/id/1371212","玖富万卡高利贷")</f>
      </c>
      <c r="C2723" t="s" s="2">
        <v>15</v>
      </c>
      <c r="D2723" t="s" s="2">
        <v>16</v>
      </c>
      <c r="E2723" t="s" s="2">
        <v>17</v>
      </c>
      <c r="F2723" t="s" s="2">
        <f>HYPERLINK("http://ts.21cn.com/tousu/show/id/1371212","http://ts.21cn.com/tousu/show/id/1371212")</f>
      </c>
      <c r="G2723" t="s" s="2">
        <v>17</v>
      </c>
      <c r="H2723" t="s" s="2">
        <v>19</v>
      </c>
      <c r="I2723" t="s" s="2">
        <v>10658</v>
      </c>
      <c r="J2723" t="s" s="2">
        <v>10659</v>
      </c>
      <c r="K2723" t="s" s="2">
        <v>22</v>
      </c>
      <c r="L2723" t="s" s="2">
        <v>22</v>
      </c>
      <c r="M2723" t="s" s="2">
        <v>22</v>
      </c>
    </row>
    <row r="2724" ht="25.0" customHeight="true">
      <c r="A2724" t="s" s="2">
        <v>13</v>
      </c>
      <c r="B2724" t="s" s="2">
        <f>HYPERLINK("http://ts.21cn.com/tousu/show/id/1371211","平台催收恶意骚扰辱骂威胁亲朋好友")</f>
      </c>
      <c r="C2724" t="s" s="2">
        <v>15</v>
      </c>
      <c r="D2724" t="s" s="2">
        <v>16</v>
      </c>
      <c r="E2724" t="s" s="2">
        <v>17</v>
      </c>
      <c r="F2724" t="s" s="2">
        <f>HYPERLINK("http://ts.21cn.com/tousu/show/id/1371211","http://ts.21cn.com/tousu/show/id/1371211")</f>
      </c>
      <c r="G2724" t="s" s="2">
        <v>17</v>
      </c>
      <c r="H2724" t="s" s="2">
        <v>19</v>
      </c>
      <c r="I2724" t="s" s="2">
        <v>10662</v>
      </c>
      <c r="J2724" t="s" s="2">
        <v>10663</v>
      </c>
      <c r="K2724" t="s" s="2">
        <v>22</v>
      </c>
      <c r="L2724" t="s" s="2">
        <v>22</v>
      </c>
      <c r="M2724" t="s" s="2">
        <v>22</v>
      </c>
    </row>
    <row r="2725" ht="25.0" customHeight="true">
      <c r="A2725" t="s" s="2">
        <v>13</v>
      </c>
      <c r="B2725" t="s" s="2">
        <f>HYPERLINK("http://ts.21cn.com/tousu/show/id/1371210","钱站吸血鬼高利贷阴阳合同")</f>
      </c>
      <c r="C2725" t="s" s="2">
        <v>15</v>
      </c>
      <c r="D2725" t="s" s="2">
        <v>16</v>
      </c>
      <c r="E2725" t="s" s="2">
        <v>17</v>
      </c>
      <c r="F2725" t="s" s="2">
        <f>HYPERLINK("http://ts.21cn.com/tousu/show/id/1371210","http://ts.21cn.com/tousu/show/id/1371210")</f>
      </c>
      <c r="G2725" t="s" s="2">
        <v>17</v>
      </c>
      <c r="H2725" t="s" s="2">
        <v>19</v>
      </c>
      <c r="I2725" t="s" s="2">
        <v>10666</v>
      </c>
      <c r="J2725" t="s" s="2">
        <v>10667</v>
      </c>
      <c r="K2725" t="s" s="2">
        <v>22</v>
      </c>
      <c r="L2725" t="s" s="2">
        <v>22</v>
      </c>
      <c r="M2725" t="s" s="2">
        <v>22</v>
      </c>
    </row>
    <row r="2726" ht="25.0" customHeight="true">
      <c r="A2726" t="s" s="2">
        <v>13</v>
      </c>
      <c r="B2726" t="s" s="2">
        <f>HYPERLINK("http://ts.21cn.com/tousu/show/id/1371209","现金巴士砍头息逾期高利息")</f>
      </c>
      <c r="C2726" t="s" s="2">
        <v>15</v>
      </c>
      <c r="D2726" t="s" s="2">
        <v>16</v>
      </c>
      <c r="E2726" t="s" s="2">
        <v>17</v>
      </c>
      <c r="F2726" t="s" s="2">
        <f>HYPERLINK("http://ts.21cn.com/tousu/show/id/1371209","http://ts.21cn.com/tousu/show/id/1371209")</f>
      </c>
      <c r="G2726" t="s" s="2">
        <v>17</v>
      </c>
      <c r="H2726" t="s" s="2">
        <v>19</v>
      </c>
      <c r="I2726" t="s" s="2">
        <v>10670</v>
      </c>
      <c r="J2726" t="s" s="2">
        <v>10671</v>
      </c>
      <c r="K2726" t="s" s="2">
        <v>22</v>
      </c>
      <c r="L2726" t="s" s="2">
        <v>22</v>
      </c>
      <c r="M2726" t="s" s="2">
        <v>22</v>
      </c>
    </row>
    <row r="2727" ht="25.0" customHeight="true">
      <c r="A2727" t="s" s="2">
        <v>13</v>
      </c>
      <c r="B2727" t="s" s="2">
        <f>HYPERLINK("http://ts.21cn.com/tousu/show/id/1371206","服务费高变相高息")</f>
      </c>
      <c r="C2727" t="s" s="2">
        <v>15</v>
      </c>
      <c r="D2727" t="s" s="2">
        <v>16</v>
      </c>
      <c r="E2727" t="s" s="2">
        <v>17</v>
      </c>
      <c r="F2727" t="s" s="2">
        <f>HYPERLINK("http://ts.21cn.com/tousu/show/id/1371206","http://ts.21cn.com/tousu/show/id/1371206")</f>
      </c>
      <c r="G2727" t="s" s="2">
        <v>17</v>
      </c>
      <c r="H2727" t="s" s="2">
        <v>19</v>
      </c>
      <c r="I2727" t="s" s="2">
        <v>10674</v>
      </c>
      <c r="J2727" t="s" s="2">
        <v>10675</v>
      </c>
      <c r="K2727" t="s" s="2">
        <v>22</v>
      </c>
      <c r="L2727" t="s" s="2">
        <v>22</v>
      </c>
      <c r="M2727" t="s" s="2">
        <v>22</v>
      </c>
    </row>
    <row r="2728" ht="25.0" customHeight="true">
      <c r="A2728" t="s" s="2">
        <v>13</v>
      </c>
      <c r="B2728" t="s" s="2">
        <f>HYPERLINK("http://ts.21cn.com/tousu/show/id/1371205","平安普惠骚扰")</f>
      </c>
      <c r="C2728" t="s" s="2">
        <v>52</v>
      </c>
      <c r="D2728" t="s" s="2">
        <v>16</v>
      </c>
      <c r="E2728" t="s" s="2">
        <v>17</v>
      </c>
      <c r="F2728" t="s" s="2">
        <f>HYPERLINK("http://ts.21cn.com/tousu/show/id/1371205","http://ts.21cn.com/tousu/show/id/1371205")</f>
      </c>
      <c r="G2728" t="s" s="2">
        <v>17</v>
      </c>
      <c r="H2728" t="s" s="2">
        <v>19</v>
      </c>
      <c r="I2728" t="s" s="2">
        <v>10678</v>
      </c>
      <c r="J2728" t="s" s="2">
        <v>10679</v>
      </c>
      <c r="K2728" t="s" s="2">
        <v>22</v>
      </c>
      <c r="L2728" t="s" s="2">
        <v>22</v>
      </c>
      <c r="M2728" t="s" s="2">
        <v>22</v>
      </c>
    </row>
    <row r="2729" ht="25.0" customHeight="true">
      <c r="A2729" t="s" s="2">
        <v>13</v>
      </c>
      <c r="B2729" t="s" s="2">
        <f>HYPERLINK("http://ts.21cn.com/tousu/show/id/1371204","借贷宝还款了不给消条")</f>
      </c>
      <c r="C2729" t="s" s="2">
        <v>52</v>
      </c>
      <c r="D2729" t="s" s="2">
        <v>16</v>
      </c>
      <c r="E2729" t="s" s="2">
        <v>17</v>
      </c>
      <c r="F2729" t="s" s="2">
        <f>HYPERLINK("http://ts.21cn.com/tousu/show/id/1371204","http://ts.21cn.com/tousu/show/id/1371204")</f>
      </c>
      <c r="G2729" t="s" s="2">
        <v>17</v>
      </c>
      <c r="H2729" t="s" s="2">
        <v>19</v>
      </c>
      <c r="I2729" t="s" s="2">
        <v>10682</v>
      </c>
      <c r="J2729" t="s" s="2">
        <v>10683</v>
      </c>
      <c r="K2729" t="s" s="2">
        <v>22</v>
      </c>
      <c r="L2729" t="s" s="2">
        <v>22</v>
      </c>
      <c r="M2729" t="s" s="2">
        <v>22</v>
      </c>
    </row>
    <row r="2730" ht="25.0" customHeight="true">
      <c r="A2730" t="s" s="2">
        <v>13</v>
      </c>
      <c r="B2730" t="s" s="2">
        <f>HYPERLINK("http://ts.21cn.com/tousu/show/id/1371203","并不知道什么借款")</f>
      </c>
      <c r="C2730" t="s" s="2">
        <v>15</v>
      </c>
      <c r="D2730" t="s" s="2">
        <v>16</v>
      </c>
      <c r="E2730" t="s" s="2">
        <v>17</v>
      </c>
      <c r="F2730" t="s" s="2">
        <f>HYPERLINK("http://ts.21cn.com/tousu/show/id/1371203","http://ts.21cn.com/tousu/show/id/1371203")</f>
      </c>
      <c r="G2730" t="s" s="2">
        <v>17</v>
      </c>
      <c r="H2730" t="s" s="2">
        <v>19</v>
      </c>
      <c r="I2730" t="s" s="2">
        <v>10686</v>
      </c>
      <c r="J2730" t="s" s="2">
        <v>10687</v>
      </c>
      <c r="K2730" t="s" s="2">
        <v>22</v>
      </c>
      <c r="L2730" t="s" s="2">
        <v>22</v>
      </c>
      <c r="M2730" t="s" s="2">
        <v>22</v>
      </c>
    </row>
    <row r="2731" ht="25.0" customHeight="true">
      <c r="A2731" t="s" s="2">
        <v>13</v>
      </c>
      <c r="B2731" t="s" s="2">
        <f>HYPERLINK("http://ts.21cn.com/tousu/show/id/1371202","暴力催收，辱骂")</f>
      </c>
      <c r="C2731" t="s" s="2">
        <v>15</v>
      </c>
      <c r="D2731" t="s" s="2">
        <v>16</v>
      </c>
      <c r="E2731" t="s" s="2">
        <v>17</v>
      </c>
      <c r="F2731" t="s" s="2">
        <f>HYPERLINK("http://ts.21cn.com/tousu/show/id/1371202","http://ts.21cn.com/tousu/show/id/1371202")</f>
      </c>
      <c r="G2731" t="s" s="2">
        <v>17</v>
      </c>
      <c r="H2731" t="s" s="2">
        <v>19</v>
      </c>
      <c r="I2731" t="s" s="2">
        <v>10690</v>
      </c>
      <c r="J2731" t="s" s="2">
        <v>10691</v>
      </c>
      <c r="K2731" t="s" s="2">
        <v>22</v>
      </c>
      <c r="L2731" t="s" s="2">
        <v>22</v>
      </c>
      <c r="M2731" t="s" s="2">
        <v>22</v>
      </c>
    </row>
    <row r="2732" ht="25.0" customHeight="true">
      <c r="A2732" t="s" s="2">
        <v>13</v>
      </c>
      <c r="B2732" t="s" s="2">
        <f>HYPERLINK("http://ts.21cn.com/tousu/show/id/1371201","女神派单方更改条款")</f>
      </c>
      <c r="C2732" t="s" s="2">
        <v>15</v>
      </c>
      <c r="D2732" t="s" s="2">
        <v>16</v>
      </c>
      <c r="E2732" t="s" s="2">
        <v>17</v>
      </c>
      <c r="F2732" t="s" s="2">
        <f>HYPERLINK("http://ts.21cn.com/tousu/show/id/1371201","http://ts.21cn.com/tousu/show/id/1371201")</f>
      </c>
      <c r="G2732" t="s" s="2">
        <v>17</v>
      </c>
      <c r="H2732" t="s" s="2">
        <v>19</v>
      </c>
      <c r="I2732" t="s" s="2">
        <v>10693</v>
      </c>
      <c r="J2732" t="s" s="2">
        <v>10694</v>
      </c>
      <c r="K2732" t="s" s="2">
        <v>22</v>
      </c>
      <c r="L2732" t="s" s="2">
        <v>22</v>
      </c>
      <c r="M2732" t="s" s="2">
        <v>22</v>
      </c>
    </row>
    <row r="2733" ht="25.0" customHeight="true">
      <c r="A2733" t="s" s="2">
        <v>13</v>
      </c>
      <c r="B2733" t="s" s="2">
        <f>HYPERLINK("http://ts.21cn.com/tousu/show/id/1371200","美团钱袋子乱扣费")</f>
      </c>
      <c r="C2733" t="s" s="2">
        <v>15</v>
      </c>
      <c r="D2733" t="s" s="2">
        <v>16</v>
      </c>
      <c r="E2733" t="s" s="2">
        <v>17</v>
      </c>
      <c r="F2733" t="s" s="2">
        <f>HYPERLINK("http://ts.21cn.com/tousu/show/id/1371200","http://ts.21cn.com/tousu/show/id/1371200")</f>
      </c>
      <c r="G2733" t="s" s="2">
        <v>17</v>
      </c>
      <c r="H2733" t="s" s="2">
        <v>19</v>
      </c>
      <c r="I2733" t="s" s="2">
        <v>10697</v>
      </c>
      <c r="J2733" t="s" s="2">
        <v>10698</v>
      </c>
      <c r="K2733" t="s" s="2">
        <v>22</v>
      </c>
      <c r="L2733" t="s" s="2">
        <v>22</v>
      </c>
      <c r="M2733" t="s" s="2">
        <v>22</v>
      </c>
    </row>
    <row r="2734" ht="25.0" customHeight="true">
      <c r="A2734" t="s" s="2">
        <v>13</v>
      </c>
      <c r="B2734" t="s" s="2">
        <f>HYPERLINK("http://ts.21cn.com/tousu/show/id/1371199","小孩子无意充值，非本人授权操作")</f>
      </c>
      <c r="C2734" t="s" s="2">
        <v>15</v>
      </c>
      <c r="D2734" t="s" s="2">
        <v>16</v>
      </c>
      <c r="E2734" t="s" s="2">
        <v>17</v>
      </c>
      <c r="F2734" t="s" s="2">
        <f>HYPERLINK("http://ts.21cn.com/tousu/show/id/1371199","http://ts.21cn.com/tousu/show/id/1371199")</f>
      </c>
      <c r="G2734" t="s" s="2">
        <v>17</v>
      </c>
      <c r="H2734" t="s" s="2">
        <v>19</v>
      </c>
      <c r="I2734" t="s" s="2">
        <v>10701</v>
      </c>
      <c r="J2734" t="s" s="2">
        <v>10702</v>
      </c>
      <c r="K2734" t="s" s="2">
        <v>22</v>
      </c>
      <c r="L2734" t="s" s="2">
        <v>22</v>
      </c>
      <c r="M2734" t="s" s="2">
        <v>22</v>
      </c>
    </row>
    <row r="2735" ht="25.0" customHeight="true">
      <c r="A2735" t="s" s="2">
        <v>13</v>
      </c>
      <c r="B2735" t="s" s="2">
        <f>HYPERLINK("http://ts.21cn.com/tousu/show/id/1371198","关于美约app乱扣费问题，免费试用后，自动续费会员一年298元")</f>
      </c>
      <c r="C2735" t="s" s="2">
        <v>52</v>
      </c>
      <c r="D2735" t="s" s="2">
        <v>16</v>
      </c>
      <c r="E2735" t="s" s="2">
        <v>17</v>
      </c>
      <c r="F2735" t="s" s="2">
        <f>HYPERLINK("http://ts.21cn.com/tousu/show/id/1371198","http://ts.21cn.com/tousu/show/id/1371198")</f>
      </c>
      <c r="G2735" t="s" s="2">
        <v>17</v>
      </c>
      <c r="H2735" t="s" s="2">
        <v>19</v>
      </c>
      <c r="I2735" t="s" s="2">
        <v>10705</v>
      </c>
      <c r="J2735" t="s" s="2">
        <v>10706</v>
      </c>
      <c r="K2735" t="s" s="2">
        <v>22</v>
      </c>
      <c r="L2735" t="s" s="2">
        <v>22</v>
      </c>
      <c r="M2735" t="s" s="2">
        <v>22</v>
      </c>
    </row>
    <row r="2736" ht="25.0" customHeight="true">
      <c r="A2736" t="s" s="2">
        <v>13</v>
      </c>
      <c r="B2736" t="s" s="2">
        <f>HYPERLINK("http://ts.21cn.com/tousu/show/id/1371197","小花钱包暴力催收，骚扰通讯录好友")</f>
      </c>
      <c r="C2736" t="s" s="2">
        <v>15</v>
      </c>
      <c r="D2736" t="s" s="2">
        <v>16</v>
      </c>
      <c r="E2736" t="s" s="2">
        <v>17</v>
      </c>
      <c r="F2736" t="s" s="2">
        <f>HYPERLINK("http://ts.21cn.com/tousu/show/id/1371197","http://ts.21cn.com/tousu/show/id/1371197")</f>
      </c>
      <c r="G2736" t="s" s="2">
        <v>17</v>
      </c>
      <c r="H2736" t="s" s="2">
        <v>19</v>
      </c>
      <c r="I2736" t="s" s="2">
        <v>10709</v>
      </c>
      <c r="J2736" t="s" s="2">
        <v>10710</v>
      </c>
      <c r="K2736" t="s" s="2">
        <v>22</v>
      </c>
      <c r="L2736" t="s" s="2">
        <v>22</v>
      </c>
      <c r="M2736" t="s" s="2">
        <v>22</v>
      </c>
    </row>
    <row r="2737" ht="25.0" customHeight="true">
      <c r="A2737" t="s" s="2">
        <v>13</v>
      </c>
      <c r="B2737" t="s" s="2">
        <f>HYPERLINK("http://ts.21cn.com/tousu/show/id/1371166","玖富万卡拖延扣款导致增加额外费用，利息隐形费用超过国家标准")</f>
      </c>
      <c r="C2737" t="s" s="2">
        <v>15</v>
      </c>
      <c r="D2737" t="s" s="2">
        <v>16</v>
      </c>
      <c r="E2737" t="s" s="2">
        <v>17</v>
      </c>
      <c r="F2737" t="s" s="2">
        <f>HYPERLINK("http://ts.21cn.com/tousu/show/id/1371166","http://ts.21cn.com/tousu/show/id/1371166")</f>
      </c>
      <c r="G2737" t="s" s="2">
        <v>17</v>
      </c>
      <c r="H2737" t="s" s="2">
        <v>19</v>
      </c>
      <c r="I2737" t="s" s="2">
        <v>10713</v>
      </c>
      <c r="J2737" t="s" s="2">
        <v>10714</v>
      </c>
      <c r="K2737" t="s" s="2">
        <v>22</v>
      </c>
      <c r="L2737" t="s" s="2">
        <v>22</v>
      </c>
      <c r="M2737" t="s" s="2">
        <v>22</v>
      </c>
    </row>
    <row r="2738" ht="25.0" customHeight="true">
      <c r="A2738" t="s" s="2">
        <v>13</v>
      </c>
      <c r="B2738" t="s" s="2">
        <f>HYPERLINK("http://ts.21cn.com/tousu/show/id/1252612","腾诚投资坏我血汗钱")</f>
      </c>
      <c r="C2738" t="s" s="2">
        <v>15</v>
      </c>
      <c r="D2738" t="s" s="2">
        <v>16</v>
      </c>
      <c r="E2738" t="s" s="2">
        <v>17</v>
      </c>
      <c r="F2738" t="s" s="2">
        <f>HYPERLINK("http://ts.21cn.com/tousu/show/id/1252612","http://ts.21cn.com/tousu/show/id/1252612")</f>
      </c>
      <c r="G2738" t="s" s="2">
        <v>17</v>
      </c>
      <c r="H2738" t="s" s="2">
        <v>19</v>
      </c>
      <c r="I2738" t="s" s="2">
        <v>10717</v>
      </c>
      <c r="J2738" t="s" s="2">
        <v>10718</v>
      </c>
      <c r="K2738" t="s" s="2">
        <v>22</v>
      </c>
      <c r="L2738" t="s" s="2">
        <v>22</v>
      </c>
      <c r="M2738" t="s" s="2">
        <v>22</v>
      </c>
    </row>
    <row r="2739" ht="25.0" customHeight="true">
      <c r="A2739" t="s" s="2">
        <v>13</v>
      </c>
      <c r="B2739" t="s" s="2">
        <f>HYPERLINK("http://ts.21cn.com/tousu/show/id/1371194","宜信惠民高额砍头息")</f>
      </c>
      <c r="C2739" t="s" s="2">
        <v>15</v>
      </c>
      <c r="D2739" t="s" s="2">
        <v>16</v>
      </c>
      <c r="E2739" t="s" s="2">
        <v>17</v>
      </c>
      <c r="F2739" t="s" s="2">
        <f>HYPERLINK("http://ts.21cn.com/tousu/show/id/1371194","http://ts.21cn.com/tousu/show/id/1371194")</f>
      </c>
      <c r="G2739" t="s" s="2">
        <v>17</v>
      </c>
      <c r="H2739" t="s" s="2">
        <v>19</v>
      </c>
      <c r="I2739" t="s" s="2">
        <v>10721</v>
      </c>
      <c r="J2739" t="s" s="2">
        <v>10722</v>
      </c>
      <c r="K2739" t="s" s="2">
        <v>22</v>
      </c>
      <c r="L2739" t="s" s="2">
        <v>22</v>
      </c>
      <c r="M2739" t="s" s="2">
        <v>22</v>
      </c>
    </row>
    <row r="2740" ht="25.0" customHeight="true">
      <c r="A2740" t="s" s="2">
        <v>13</v>
      </c>
      <c r="B2740" t="s" s="2">
        <f>HYPERLINK("http://ts.21cn.com/tousu/show/id/1371193","汇潮支付为非法平台提供收赃款服务")</f>
      </c>
      <c r="C2740" t="s" s="2">
        <v>15</v>
      </c>
      <c r="D2740" t="s" s="2">
        <v>16</v>
      </c>
      <c r="E2740" t="s" s="2">
        <v>17</v>
      </c>
      <c r="F2740" t="s" s="2">
        <f>HYPERLINK("http://ts.21cn.com/tousu/show/id/1371193","http://ts.21cn.com/tousu/show/id/1371193")</f>
      </c>
      <c r="G2740" t="s" s="2">
        <v>17</v>
      </c>
      <c r="H2740" t="s" s="2">
        <v>19</v>
      </c>
      <c r="I2740" t="s" s="2">
        <v>10725</v>
      </c>
      <c r="J2740" t="s" s="2">
        <v>10726</v>
      </c>
      <c r="K2740" t="s" s="2">
        <v>22</v>
      </c>
      <c r="L2740" t="s" s="2">
        <v>22</v>
      </c>
      <c r="M2740" t="s" s="2">
        <v>22</v>
      </c>
    </row>
    <row r="2741" ht="25.0" customHeight="true">
      <c r="A2741" t="s" s="2">
        <v>13</v>
      </c>
      <c r="B2741" t="s" s="2">
        <f>HYPERLINK("http://ts.21cn.com/tousu/show/id/1371192","小嬴卡贷销账")</f>
      </c>
      <c r="C2741" t="s" s="2">
        <v>15</v>
      </c>
      <c r="D2741" t="s" s="2">
        <v>16</v>
      </c>
      <c r="E2741" t="s" s="2">
        <v>17</v>
      </c>
      <c r="F2741" t="s" s="2">
        <f>HYPERLINK("http://ts.21cn.com/tousu/show/id/1371192","http://ts.21cn.com/tousu/show/id/1371192")</f>
      </c>
      <c r="G2741" t="s" s="2">
        <v>17</v>
      </c>
      <c r="H2741" t="s" s="2">
        <v>19</v>
      </c>
      <c r="I2741" t="s" s="2">
        <v>10729</v>
      </c>
      <c r="J2741" t="s" s="2">
        <v>10730</v>
      </c>
      <c r="K2741" t="s" s="2">
        <v>22</v>
      </c>
      <c r="L2741" t="s" s="2">
        <v>22</v>
      </c>
      <c r="M2741" t="s" s="2">
        <v>22</v>
      </c>
    </row>
    <row r="2742" ht="25.0" customHeight="true">
      <c r="A2742" t="s" s="2">
        <v>13</v>
      </c>
      <c r="B2742" t="s" s="2">
        <f>HYPERLINK("http://ts.21cn.com/tousu/show/id/1371191","交通银行暴力催收")</f>
      </c>
      <c r="C2742" t="s" s="2">
        <v>15</v>
      </c>
      <c r="D2742" t="s" s="2">
        <v>16</v>
      </c>
      <c r="E2742" t="s" s="2">
        <v>17</v>
      </c>
      <c r="F2742" t="s" s="2">
        <f>HYPERLINK("http://ts.21cn.com/tousu/show/id/1371191","http://ts.21cn.com/tousu/show/id/1371191")</f>
      </c>
      <c r="G2742" t="s" s="2">
        <v>17</v>
      </c>
      <c r="H2742" t="s" s="2">
        <v>19</v>
      </c>
      <c r="I2742" t="s" s="2">
        <v>10732</v>
      </c>
      <c r="J2742" t="s" s="2">
        <v>10733</v>
      </c>
      <c r="K2742" t="s" s="2">
        <v>22</v>
      </c>
      <c r="L2742" t="s" s="2">
        <v>22</v>
      </c>
      <c r="M2742" t="s" s="2">
        <v>22</v>
      </c>
    </row>
    <row r="2743" ht="25.0" customHeight="true">
      <c r="A2743" t="s" s="2">
        <v>13</v>
      </c>
      <c r="B2743" t="s" s="2">
        <f>HYPERLINK("http://ts.21cn.com/tousu/show/id/1371145","通过邮政工作人员办理拉卡拉导致个人信息被不法份子掌握")</f>
      </c>
      <c r="C2743" t="s" s="2">
        <v>15</v>
      </c>
      <c r="D2743" t="s" s="2">
        <v>16</v>
      </c>
      <c r="E2743" t="s" s="2">
        <v>17</v>
      </c>
      <c r="F2743" t="s" s="2">
        <f>HYPERLINK("http://ts.21cn.com/tousu/show/id/1371145","http://ts.21cn.com/tousu/show/id/1371145")</f>
      </c>
      <c r="G2743" t="s" s="2">
        <v>17</v>
      </c>
      <c r="H2743" t="s" s="2">
        <v>19</v>
      </c>
      <c r="I2743" t="s" s="2">
        <v>10736</v>
      </c>
      <c r="J2743" t="s" s="2">
        <v>10737</v>
      </c>
      <c r="K2743" t="s" s="2">
        <v>22</v>
      </c>
      <c r="L2743" t="s" s="2">
        <v>22</v>
      </c>
      <c r="M2743" t="s" s="2">
        <v>22</v>
      </c>
    </row>
    <row r="2744" ht="25.0" customHeight="true">
      <c r="A2744" t="s" s="2">
        <v>13</v>
      </c>
      <c r="B2744" t="s" s="2">
        <f>HYPERLINK("http://ts.21cn.com/tousu/show/id/1371190","暴力催收")</f>
      </c>
      <c r="C2744" t="s" s="2">
        <v>15</v>
      </c>
      <c r="D2744" t="s" s="2">
        <v>16</v>
      </c>
      <c r="E2744" t="s" s="2">
        <v>17</v>
      </c>
      <c r="F2744" t="s" s="2">
        <f>HYPERLINK("http://ts.21cn.com/tousu/show/id/1371190","http://ts.21cn.com/tousu/show/id/1371190")</f>
      </c>
      <c r="G2744" t="s" s="2">
        <v>17</v>
      </c>
      <c r="H2744" t="s" s="2">
        <v>19</v>
      </c>
      <c r="I2744" t="s" s="2">
        <v>10739</v>
      </c>
      <c r="J2744" t="s" s="2">
        <v>10740</v>
      </c>
      <c r="K2744" t="s" s="2">
        <v>22</v>
      </c>
      <c r="L2744" t="s" s="2">
        <v>22</v>
      </c>
      <c r="M2744" t="s" s="2">
        <v>22</v>
      </c>
    </row>
    <row r="2745" ht="25.0" customHeight="true">
      <c r="A2745" t="s" s="2">
        <v>13</v>
      </c>
      <c r="B2745" t="s" s="2">
        <f>HYPERLINK("http://ts.21cn.com/tousu/show/id/1371189","高利贷套路贷")</f>
      </c>
      <c r="C2745" t="s" s="2">
        <v>15</v>
      </c>
      <c r="D2745" t="s" s="2">
        <v>16</v>
      </c>
      <c r="E2745" t="s" s="2">
        <v>17</v>
      </c>
      <c r="F2745" t="s" s="2">
        <f>HYPERLINK("http://ts.21cn.com/tousu/show/id/1371189","http://ts.21cn.com/tousu/show/id/1371189")</f>
      </c>
      <c r="G2745" t="s" s="2">
        <v>17</v>
      </c>
      <c r="H2745" t="s" s="2">
        <v>19</v>
      </c>
      <c r="I2745" t="s" s="2">
        <v>10742</v>
      </c>
      <c r="J2745" t="s" s="2">
        <v>10743</v>
      </c>
      <c r="K2745" t="s" s="2">
        <v>22</v>
      </c>
      <c r="L2745" t="s" s="2">
        <v>22</v>
      </c>
      <c r="M2745" t="s" s="2">
        <v>22</v>
      </c>
    </row>
    <row r="2746" ht="25.0" customHeight="true">
      <c r="A2746" t="s" s="2">
        <v>13</v>
      </c>
      <c r="B2746" t="s" s="2">
        <f>HYPERLINK("http://ts.21cn.com/tousu/show/id/1371188","借款金额和到账金额不符，合同不符")</f>
      </c>
      <c r="C2746" t="s" s="2">
        <v>15</v>
      </c>
      <c r="D2746" t="s" s="2">
        <v>16</v>
      </c>
      <c r="E2746" t="s" s="2">
        <v>17</v>
      </c>
      <c r="F2746" t="s" s="2">
        <f>HYPERLINK("http://ts.21cn.com/tousu/show/id/1371188","http://ts.21cn.com/tousu/show/id/1371188")</f>
      </c>
      <c r="G2746" t="s" s="2">
        <v>17</v>
      </c>
      <c r="H2746" t="s" s="2">
        <v>19</v>
      </c>
      <c r="I2746" t="s" s="2">
        <v>10746</v>
      </c>
      <c r="J2746" t="s" s="2">
        <v>10747</v>
      </c>
      <c r="K2746" t="s" s="2">
        <v>22</v>
      </c>
      <c r="L2746" t="s" s="2">
        <v>22</v>
      </c>
      <c r="M2746" t="s" s="2">
        <v>22</v>
      </c>
    </row>
    <row r="2747" ht="25.0" customHeight="true">
      <c r="A2747" t="s" s="2">
        <v>13</v>
      </c>
      <c r="B2747" t="s" s="2">
        <f>HYPERLINK("http://ts.21cn.com/tousu/show/id/1371187","虚假信息")</f>
      </c>
      <c r="C2747" t="s" s="2">
        <v>15</v>
      </c>
      <c r="D2747" t="s" s="2">
        <v>16</v>
      </c>
      <c r="E2747" t="s" s="2">
        <v>17</v>
      </c>
      <c r="F2747" t="s" s="2">
        <f>HYPERLINK("http://ts.21cn.com/tousu/show/id/1371187","http://ts.21cn.com/tousu/show/id/1371187")</f>
      </c>
      <c r="G2747" t="s" s="2">
        <v>17</v>
      </c>
      <c r="H2747" t="s" s="2">
        <v>19</v>
      </c>
      <c r="I2747" t="s" s="2">
        <v>10750</v>
      </c>
      <c r="J2747" t="s" s="2">
        <v>10751</v>
      </c>
      <c r="K2747" t="s" s="2">
        <v>22</v>
      </c>
      <c r="L2747" t="s" s="2">
        <v>22</v>
      </c>
      <c r="M2747" t="s" s="2">
        <v>22</v>
      </c>
    </row>
    <row r="2748" ht="25.0" customHeight="true">
      <c r="A2748" t="s" s="2">
        <v>13</v>
      </c>
      <c r="B2748" t="s" s="2">
        <f>HYPERLINK("http://ts.21cn.com/tousu/show/id/1371186","遇到套路贷，跪求帮助")</f>
      </c>
      <c r="C2748" t="s" s="2">
        <v>15</v>
      </c>
      <c r="D2748" t="s" s="2">
        <v>16</v>
      </c>
      <c r="E2748" t="s" s="2">
        <v>17</v>
      </c>
      <c r="F2748" t="s" s="2">
        <f>HYPERLINK("http://ts.21cn.com/tousu/show/id/1371186","http://ts.21cn.com/tousu/show/id/1371186")</f>
      </c>
      <c r="G2748" t="s" s="2">
        <v>17</v>
      </c>
      <c r="H2748" t="s" s="2">
        <v>19</v>
      </c>
      <c r="I2748" t="s" s="2">
        <v>10754</v>
      </c>
      <c r="J2748" t="s" s="2">
        <v>10755</v>
      </c>
      <c r="K2748" t="s" s="2">
        <v>22</v>
      </c>
      <c r="L2748" t="s" s="2">
        <v>22</v>
      </c>
      <c r="M2748" t="s" s="2">
        <v>22</v>
      </c>
    </row>
    <row r="2749" ht="25.0" customHeight="true">
      <c r="A2749" t="s" s="2">
        <v>13</v>
      </c>
      <c r="B2749" t="s" s="2">
        <f>HYPERLINK("http://ts.21cn.com/tousu/show/id/1371185","拍拍贷逾期一天罚息二十五")</f>
      </c>
      <c r="C2749" t="s" s="2">
        <v>52</v>
      </c>
      <c r="D2749" t="s" s="2">
        <v>16</v>
      </c>
      <c r="E2749" t="s" s="2">
        <v>17</v>
      </c>
      <c r="F2749" t="s" s="2">
        <f>HYPERLINK("http://ts.21cn.com/tousu/show/id/1371185","http://ts.21cn.com/tousu/show/id/1371185")</f>
      </c>
      <c r="G2749" t="s" s="2">
        <v>17</v>
      </c>
      <c r="H2749" t="s" s="2">
        <v>19</v>
      </c>
      <c r="I2749" t="s" s="2">
        <v>10758</v>
      </c>
      <c r="J2749" t="s" s="2">
        <v>10759</v>
      </c>
      <c r="K2749" t="s" s="2">
        <v>22</v>
      </c>
      <c r="L2749" t="s" s="2">
        <v>22</v>
      </c>
      <c r="M2749" t="s" s="2">
        <v>22</v>
      </c>
    </row>
    <row r="2750" ht="25.0" customHeight="true">
      <c r="A2750" t="s" s="2">
        <v>13</v>
      </c>
      <c r="B2750" t="s" s="2">
        <f>HYPERLINK("http://ts.21cn.com/tousu/show/id/1371184","上海造艺技术不明情况下乱扣款")</f>
      </c>
      <c r="C2750" t="s" s="2">
        <v>15</v>
      </c>
      <c r="D2750" t="s" s="2">
        <v>16</v>
      </c>
      <c r="E2750" t="s" s="2">
        <v>17</v>
      </c>
      <c r="F2750" t="s" s="2">
        <f>HYPERLINK("http://ts.21cn.com/tousu/show/id/1371184","http://ts.21cn.com/tousu/show/id/1371184")</f>
      </c>
      <c r="G2750" t="s" s="2">
        <v>17</v>
      </c>
      <c r="H2750" t="s" s="2">
        <v>19</v>
      </c>
      <c r="I2750" t="s" s="2">
        <v>10762</v>
      </c>
      <c r="J2750" t="s" s="2">
        <v>10763</v>
      </c>
      <c r="K2750" t="s" s="2">
        <v>22</v>
      </c>
      <c r="L2750" t="s" s="2">
        <v>22</v>
      </c>
      <c r="M2750" t="s" s="2">
        <v>22</v>
      </c>
    </row>
    <row r="2751" ht="25.0" customHeight="true">
      <c r="A2751" t="s" s="2">
        <v>13</v>
      </c>
      <c r="B2751" t="s" s="2">
        <f>HYPERLINK("http://ts.21cn.com/tousu/show/id/1371183","一直打搔扰电话")</f>
      </c>
      <c r="C2751" t="s" s="2">
        <v>52</v>
      </c>
      <c r="D2751" t="s" s="2">
        <v>16</v>
      </c>
      <c r="E2751" t="s" s="2">
        <v>17</v>
      </c>
      <c r="F2751" t="s" s="2">
        <f>HYPERLINK("http://ts.21cn.com/tousu/show/id/1371183","http://ts.21cn.com/tousu/show/id/1371183")</f>
      </c>
      <c r="G2751" t="s" s="2">
        <v>17</v>
      </c>
      <c r="H2751" t="s" s="2">
        <v>19</v>
      </c>
      <c r="I2751" t="s" s="2">
        <v>10766</v>
      </c>
      <c r="J2751" t="s" s="2">
        <v>10767</v>
      </c>
      <c r="K2751" t="s" s="2">
        <v>22</v>
      </c>
      <c r="L2751" t="s" s="2">
        <v>22</v>
      </c>
      <c r="M2751" t="s" s="2">
        <v>22</v>
      </c>
    </row>
    <row r="2752" ht="25.0" customHeight="true">
      <c r="A2752" t="s" s="2">
        <v>13</v>
      </c>
      <c r="B2752" t="s" s="2">
        <f>HYPERLINK("http://ts.21cn.com/tousu/show/id/1371181","邮政储蓄银行信用卡在未说清楚具体扣除多少手续费的情况下扣除我1000手续费")</f>
      </c>
      <c r="C2752" t="s" s="2">
        <v>15</v>
      </c>
      <c r="D2752" t="s" s="2">
        <v>16</v>
      </c>
      <c r="E2752" t="s" s="2">
        <v>17</v>
      </c>
      <c r="F2752" t="s" s="2">
        <f>HYPERLINK("http://ts.21cn.com/tousu/show/id/1371181","http://ts.21cn.com/tousu/show/id/1371181")</f>
      </c>
      <c r="G2752" t="s" s="2">
        <v>17</v>
      </c>
      <c r="H2752" t="s" s="2">
        <v>19</v>
      </c>
      <c r="I2752" t="s" s="2">
        <v>10770</v>
      </c>
      <c r="J2752" t="s" s="2">
        <v>10771</v>
      </c>
      <c r="K2752" t="s" s="2">
        <v>22</v>
      </c>
      <c r="L2752" t="s" s="2">
        <v>22</v>
      </c>
      <c r="M2752" t="s" s="2">
        <v>22</v>
      </c>
    </row>
    <row r="2753" ht="25.0" customHeight="true">
      <c r="A2753" t="s" s="2">
        <v>13</v>
      </c>
      <c r="B2753" t="s" s="2">
        <f>HYPERLINK("http://ts.21cn.com/tousu/show/id/1371180","今借到还款不消帐，致我故意逾期")</f>
      </c>
      <c r="C2753" t="s" s="2">
        <v>15</v>
      </c>
      <c r="D2753" t="s" s="2">
        <v>16</v>
      </c>
      <c r="E2753" t="s" s="2">
        <v>17</v>
      </c>
      <c r="F2753" t="s" s="2">
        <f>HYPERLINK("http://ts.21cn.com/tousu/show/id/1371180","http://ts.21cn.com/tousu/show/id/1371180")</f>
      </c>
      <c r="G2753" t="s" s="2">
        <v>17</v>
      </c>
      <c r="H2753" t="s" s="2">
        <v>19</v>
      </c>
      <c r="I2753" t="s" s="2">
        <v>10774</v>
      </c>
      <c r="J2753" t="s" s="2">
        <v>10775</v>
      </c>
      <c r="K2753" t="s" s="2">
        <v>22</v>
      </c>
      <c r="L2753" t="s" s="2">
        <v>22</v>
      </c>
      <c r="M2753" t="s" s="2">
        <v>22</v>
      </c>
    </row>
    <row r="2754" ht="25.0" customHeight="true">
      <c r="A2754" t="s" s="2">
        <v>13</v>
      </c>
      <c r="B2754" t="s" s="2">
        <f>HYPERLINK("http://ts.21cn.com/tousu/show/id/1371179","立借高利贷，提前结清不减免")</f>
      </c>
      <c r="C2754" t="s" s="2">
        <v>52</v>
      </c>
      <c r="D2754" t="s" s="2">
        <v>16</v>
      </c>
      <c r="E2754" t="s" s="2">
        <v>17</v>
      </c>
      <c r="F2754" t="s" s="2">
        <f>HYPERLINK("http://ts.21cn.com/tousu/show/id/1371179","http://ts.21cn.com/tousu/show/id/1371179")</f>
      </c>
      <c r="G2754" t="s" s="2">
        <v>17</v>
      </c>
      <c r="H2754" t="s" s="2">
        <v>19</v>
      </c>
      <c r="I2754" t="s" s="2">
        <v>10778</v>
      </c>
      <c r="J2754" t="s" s="2">
        <v>10779</v>
      </c>
      <c r="K2754" t="s" s="2">
        <v>22</v>
      </c>
      <c r="L2754" t="s" s="2">
        <v>22</v>
      </c>
      <c r="M2754" t="s" s="2">
        <v>22</v>
      </c>
    </row>
    <row r="2755" ht="25.0" customHeight="true">
      <c r="A2755" t="s" s="2">
        <v>13</v>
      </c>
      <c r="B2755" t="s" s="2">
        <f>HYPERLINK("http://ts.21cn.com/tousu/show/id/1371182","零花钱平台恶意扣我199元")</f>
      </c>
      <c r="C2755" t="s" s="2">
        <v>15</v>
      </c>
      <c r="D2755" t="s" s="2">
        <v>16</v>
      </c>
      <c r="E2755" t="s" s="2">
        <v>17</v>
      </c>
      <c r="F2755" t="s" s="2">
        <f>HYPERLINK("http://ts.21cn.com/tousu/show/id/1371182","http://ts.21cn.com/tousu/show/id/1371182")</f>
      </c>
      <c r="G2755" t="s" s="2">
        <v>17</v>
      </c>
      <c r="H2755" t="s" s="2">
        <v>19</v>
      </c>
      <c r="I2755" t="s" s="2">
        <v>10782</v>
      </c>
      <c r="J2755" t="s" s="2">
        <v>10783</v>
      </c>
      <c r="K2755" t="s" s="2">
        <v>22</v>
      </c>
      <c r="L2755" t="s" s="2">
        <v>22</v>
      </c>
      <c r="M2755" t="s" s="2">
        <v>22</v>
      </c>
    </row>
    <row r="2756" ht="25.0" customHeight="true">
      <c r="A2756" t="s" s="2">
        <v>13</v>
      </c>
      <c r="B2756" t="s" s="2">
        <f>HYPERLINK("http://ts.21cn.com/tousu/show/id/1371178","投诉平安银行信用卡")</f>
      </c>
      <c r="C2756" t="s" s="2">
        <v>15</v>
      </c>
      <c r="D2756" t="s" s="2">
        <v>16</v>
      </c>
      <c r="E2756" t="s" s="2">
        <v>17</v>
      </c>
      <c r="F2756" t="s" s="2">
        <f>HYPERLINK("http://ts.21cn.com/tousu/show/id/1371178","http://ts.21cn.com/tousu/show/id/1371178")</f>
      </c>
      <c r="G2756" t="s" s="2">
        <v>17</v>
      </c>
      <c r="H2756" t="s" s="2">
        <v>19</v>
      </c>
      <c r="I2756" t="s" s="2">
        <v>10786</v>
      </c>
      <c r="J2756" t="s" s="2">
        <v>10787</v>
      </c>
      <c r="K2756" t="s" s="2">
        <v>22</v>
      </c>
      <c r="L2756" t="s" s="2">
        <v>22</v>
      </c>
      <c r="M2756" t="s" s="2">
        <v>22</v>
      </c>
    </row>
    <row r="2757" ht="25.0" customHeight="true">
      <c r="A2757" t="s" s="2">
        <v>13</v>
      </c>
      <c r="B2757" t="s" s="2">
        <f>HYPERLINK("http://ts.21cn.com/tousu/show/id/1371177","百万钱包砍头息")</f>
      </c>
      <c r="C2757" t="s" s="2">
        <v>15</v>
      </c>
      <c r="D2757" t="s" s="2">
        <v>16</v>
      </c>
      <c r="E2757" t="s" s="2">
        <v>17</v>
      </c>
      <c r="F2757" t="s" s="2">
        <f>HYPERLINK("http://ts.21cn.com/tousu/show/id/1371177","http://ts.21cn.com/tousu/show/id/1371177")</f>
      </c>
      <c r="G2757" t="s" s="2">
        <v>17</v>
      </c>
      <c r="H2757" t="s" s="2">
        <v>19</v>
      </c>
      <c r="I2757" t="s" s="2">
        <v>10790</v>
      </c>
      <c r="J2757" t="s" s="2">
        <v>10791</v>
      </c>
      <c r="K2757" t="s" s="2">
        <v>22</v>
      </c>
      <c r="L2757" t="s" s="2">
        <v>22</v>
      </c>
      <c r="M2757" t="s" s="2">
        <v>22</v>
      </c>
    </row>
    <row r="2758" ht="25.0" customHeight="true">
      <c r="A2758" t="s" s="2">
        <v>13</v>
      </c>
      <c r="B2758" t="s" s="2">
        <f>HYPERLINK("http://ts.21cn.com/tousu/show/id/1371176","宜信普惠打电话骚扰贷款，")</f>
      </c>
      <c r="C2758" t="s" s="2">
        <v>15</v>
      </c>
      <c r="D2758" t="s" s="2">
        <v>16</v>
      </c>
      <c r="E2758" t="s" s="2">
        <v>17</v>
      </c>
      <c r="F2758" t="s" s="2">
        <f>HYPERLINK("http://ts.21cn.com/tousu/show/id/1371176","http://ts.21cn.com/tousu/show/id/1371176")</f>
      </c>
      <c r="G2758" t="s" s="2">
        <v>17</v>
      </c>
      <c r="H2758" t="s" s="2">
        <v>19</v>
      </c>
      <c r="I2758" t="s" s="2">
        <v>10794</v>
      </c>
      <c r="J2758" t="s" s="2">
        <v>10795</v>
      </c>
      <c r="K2758" t="s" s="2">
        <v>22</v>
      </c>
      <c r="L2758" t="s" s="2">
        <v>22</v>
      </c>
      <c r="M2758" t="s" s="2">
        <v>22</v>
      </c>
    </row>
    <row r="2759" ht="25.0" customHeight="true">
      <c r="A2759" t="s" s="2">
        <v>13</v>
      </c>
      <c r="B2759" t="s" s="2">
        <f>HYPERLINK("http://ts.21cn.com/tousu/show/id/1371174","光大银行客户同一个问题两个客服两个回答")</f>
      </c>
      <c r="C2759" t="s" s="2">
        <v>15</v>
      </c>
      <c r="D2759" t="s" s="2">
        <v>16</v>
      </c>
      <c r="E2759" t="s" s="2">
        <v>17</v>
      </c>
      <c r="F2759" t="s" s="2">
        <f>HYPERLINK("http://ts.21cn.com/tousu/show/id/1371174","http://ts.21cn.com/tousu/show/id/1371174")</f>
      </c>
      <c r="G2759" t="s" s="2">
        <v>17</v>
      </c>
      <c r="H2759" t="s" s="2">
        <v>19</v>
      </c>
      <c r="I2759" t="s" s="2">
        <v>10798</v>
      </c>
      <c r="J2759" t="s" s="2">
        <v>10799</v>
      </c>
      <c r="K2759" t="s" s="2">
        <v>22</v>
      </c>
      <c r="L2759" t="s" s="2">
        <v>22</v>
      </c>
      <c r="M2759" t="s" s="2">
        <v>22</v>
      </c>
    </row>
    <row r="2760" ht="25.0" customHeight="true">
      <c r="A2760" t="s" s="2">
        <v>13</v>
      </c>
      <c r="B2760" t="s" s="2">
        <f>HYPERLINK("http://ts.21cn.com/tousu/show/id/1371173","大白猫平台高额利息")</f>
      </c>
      <c r="C2760" t="s" s="2">
        <v>15</v>
      </c>
      <c r="D2760" t="s" s="2">
        <v>16</v>
      </c>
      <c r="E2760" t="s" s="2">
        <v>17</v>
      </c>
      <c r="F2760" t="s" s="2">
        <f>HYPERLINK("http://ts.21cn.com/tousu/show/id/1371173","http://ts.21cn.com/tousu/show/id/1371173")</f>
      </c>
      <c r="G2760" t="s" s="2">
        <v>17</v>
      </c>
      <c r="H2760" t="s" s="2">
        <v>19</v>
      </c>
      <c r="I2760" t="s" s="2">
        <v>10802</v>
      </c>
      <c r="J2760" t="s" s="2">
        <v>10803</v>
      </c>
      <c r="K2760" t="s" s="2">
        <v>22</v>
      </c>
      <c r="L2760" t="s" s="2">
        <v>22</v>
      </c>
      <c r="M2760" t="s" s="2">
        <v>22</v>
      </c>
    </row>
    <row r="2761" ht="25.0" customHeight="true">
      <c r="A2761" t="s" s="2">
        <v>13</v>
      </c>
      <c r="B2761" t="s" s="2">
        <f>HYPERLINK("http://ts.21cn.com/tousu/show/id/1371171","威胁骚扰非紧急联系人")</f>
      </c>
      <c r="C2761" t="s" s="2">
        <v>15</v>
      </c>
      <c r="D2761" t="s" s="2">
        <v>16</v>
      </c>
      <c r="E2761" t="s" s="2">
        <v>17</v>
      </c>
      <c r="F2761" t="s" s="2">
        <f>HYPERLINK("http://ts.21cn.com/tousu/show/id/1371171","http://ts.21cn.com/tousu/show/id/1371171")</f>
      </c>
      <c r="G2761" t="s" s="2">
        <v>17</v>
      </c>
      <c r="H2761" t="s" s="2">
        <v>19</v>
      </c>
      <c r="I2761" t="s" s="2">
        <v>10806</v>
      </c>
      <c r="J2761" t="s" s="2">
        <v>10807</v>
      </c>
      <c r="K2761" t="s" s="2">
        <v>22</v>
      </c>
      <c r="L2761" t="s" s="2">
        <v>22</v>
      </c>
      <c r="M2761" t="s" s="2">
        <v>22</v>
      </c>
    </row>
    <row r="2762" ht="25.0" customHeight="true">
      <c r="A2762" t="s" s="2">
        <v>13</v>
      </c>
      <c r="B2762" t="s" s="2">
        <f>HYPERLINK("http://ts.21cn.com/tousu/show/id/1371170","你我贷频繁电话轰炸催收")</f>
      </c>
      <c r="C2762" t="s" s="2">
        <v>15</v>
      </c>
      <c r="D2762" t="s" s="2">
        <v>16</v>
      </c>
      <c r="E2762" t="s" s="2">
        <v>17</v>
      </c>
      <c r="F2762" t="s" s="2">
        <f>HYPERLINK("http://ts.21cn.com/tousu/show/id/1371170","http://ts.21cn.com/tousu/show/id/1371170")</f>
      </c>
      <c r="G2762" t="s" s="2">
        <v>17</v>
      </c>
      <c r="H2762" t="s" s="2">
        <v>19</v>
      </c>
      <c r="I2762" t="s" s="2">
        <v>10810</v>
      </c>
      <c r="J2762" t="s" s="2">
        <v>10811</v>
      </c>
      <c r="K2762" t="s" s="2">
        <v>22</v>
      </c>
      <c r="L2762" t="s" s="2">
        <v>22</v>
      </c>
      <c r="M2762" t="s" s="2">
        <v>22</v>
      </c>
    </row>
    <row r="2763" ht="25.0" customHeight="true">
      <c r="A2763" t="s" s="2">
        <v>13</v>
      </c>
      <c r="B2763" t="s" s="2">
        <f>HYPERLINK("http://ts.21cn.com/tousu/show/id/1371169","快闪卡贷不顾国家法律政策违法套路贷")</f>
      </c>
      <c r="C2763" t="s" s="2">
        <v>15</v>
      </c>
      <c r="D2763" t="s" s="2">
        <v>16</v>
      </c>
      <c r="E2763" t="s" s="2">
        <v>17</v>
      </c>
      <c r="F2763" t="s" s="2">
        <f>HYPERLINK("http://ts.21cn.com/tousu/show/id/1371169","http://ts.21cn.com/tousu/show/id/1371169")</f>
      </c>
      <c r="G2763" t="s" s="2">
        <v>17</v>
      </c>
      <c r="H2763" t="s" s="2">
        <v>19</v>
      </c>
      <c r="I2763" t="s" s="2">
        <v>10814</v>
      </c>
      <c r="J2763" t="s" s="2">
        <v>10815</v>
      </c>
      <c r="K2763" t="s" s="2">
        <v>22</v>
      </c>
      <c r="L2763" t="s" s="2">
        <v>22</v>
      </c>
      <c r="M2763" t="s" s="2">
        <v>22</v>
      </c>
    </row>
    <row r="2764" ht="25.0" customHeight="true">
      <c r="A2764" t="s" s="2">
        <v>13</v>
      </c>
      <c r="B2764" t="s" s="2">
        <f>HYPERLINK("http://ts.21cn.com/tousu/show/id/1371168","已经安协商方案还款，剩余的一直不给减免")</f>
      </c>
      <c r="C2764" t="s" s="2">
        <v>15</v>
      </c>
      <c r="D2764" t="s" s="2">
        <v>16</v>
      </c>
      <c r="E2764" t="s" s="2">
        <v>17</v>
      </c>
      <c r="F2764" t="s" s="2">
        <f>HYPERLINK("http://ts.21cn.com/tousu/show/id/1371168","http://ts.21cn.com/tousu/show/id/1371168")</f>
      </c>
      <c r="G2764" t="s" s="2">
        <v>17</v>
      </c>
      <c r="H2764" t="s" s="2">
        <v>19</v>
      </c>
      <c r="I2764" t="s" s="2">
        <v>10818</v>
      </c>
      <c r="J2764" t="s" s="2">
        <v>10819</v>
      </c>
      <c r="K2764" t="s" s="2">
        <v>22</v>
      </c>
      <c r="L2764" t="s" s="2">
        <v>22</v>
      </c>
      <c r="M2764" t="s" s="2">
        <v>22</v>
      </c>
    </row>
    <row r="2765" ht="25.0" customHeight="true">
      <c r="A2765" t="s" s="2">
        <v>13</v>
      </c>
      <c r="B2765" t="s" s="2">
        <f>HYPERLINK("http://ts.21cn.com/tousu/show/id/1371167","苹果充值天龙八部荣耀版显示充值失败钱款却扣走了")</f>
      </c>
      <c r="C2765" t="s" s="2">
        <v>15</v>
      </c>
      <c r="D2765" t="s" s="2">
        <v>16</v>
      </c>
      <c r="E2765" t="s" s="2">
        <v>17</v>
      </c>
      <c r="F2765" t="s" s="2">
        <f>HYPERLINK("http://ts.21cn.com/tousu/show/id/1371167","http://ts.21cn.com/tousu/show/id/1371167")</f>
      </c>
      <c r="G2765" t="s" s="2">
        <v>17</v>
      </c>
      <c r="H2765" t="s" s="2">
        <v>19</v>
      </c>
      <c r="I2765" t="s" s="2">
        <v>10822</v>
      </c>
      <c r="J2765" t="s" s="2">
        <v>10823</v>
      </c>
      <c r="K2765" t="s" s="2">
        <v>22</v>
      </c>
      <c r="L2765" t="s" s="2">
        <v>22</v>
      </c>
      <c r="M2765" t="s" s="2">
        <v>22</v>
      </c>
    </row>
    <row r="2766" ht="25.0" customHeight="true">
      <c r="A2766" t="s" s="2">
        <v>13</v>
      </c>
      <c r="B2766" t="s" s="2">
        <f>HYPERLINK("http://ts.21cn.com/tousu/show/id/1371165","小花钱包短信威胁")</f>
      </c>
      <c r="C2766" t="s" s="2">
        <v>15</v>
      </c>
      <c r="D2766" t="s" s="2">
        <v>16</v>
      </c>
      <c r="E2766" t="s" s="2">
        <v>17</v>
      </c>
      <c r="F2766" t="s" s="2">
        <f>HYPERLINK("http://ts.21cn.com/tousu/show/id/1371165","http://ts.21cn.com/tousu/show/id/1371165")</f>
      </c>
      <c r="G2766" t="s" s="2">
        <v>17</v>
      </c>
      <c r="H2766" t="s" s="2">
        <v>19</v>
      </c>
      <c r="I2766" t="s" s="2">
        <v>10826</v>
      </c>
      <c r="J2766" t="s" s="2">
        <v>10827</v>
      </c>
      <c r="K2766" t="s" s="2">
        <v>22</v>
      </c>
      <c r="L2766" t="s" s="2">
        <v>22</v>
      </c>
      <c r="M2766" t="s" s="2">
        <v>22</v>
      </c>
    </row>
    <row r="2767" ht="25.0" customHeight="true">
      <c r="A2767" t="s" s="2">
        <v>13</v>
      </c>
      <c r="B2767" t="s" s="2">
        <f>HYPERLINK("http://ts.21cn.com/tousu/show/id/1371114","围棋app在卸载后继续扣费")</f>
      </c>
      <c r="C2767" t="s" s="2">
        <v>52</v>
      </c>
      <c r="D2767" t="s" s="2">
        <v>16</v>
      </c>
      <c r="E2767" t="s" s="2">
        <v>17</v>
      </c>
      <c r="F2767" t="s" s="2">
        <f>HYPERLINK("http://ts.21cn.com/tousu/show/id/1371114","http://ts.21cn.com/tousu/show/id/1371114")</f>
      </c>
      <c r="G2767" t="s" s="2">
        <v>17</v>
      </c>
      <c r="H2767" t="s" s="2">
        <v>19</v>
      </c>
      <c r="I2767" t="s" s="2">
        <v>10830</v>
      </c>
      <c r="J2767" t="s" s="2">
        <v>10831</v>
      </c>
      <c r="K2767" t="s" s="2">
        <v>22</v>
      </c>
      <c r="L2767" t="s" s="2">
        <v>22</v>
      </c>
      <c r="M2767" t="s" s="2">
        <v>22</v>
      </c>
    </row>
    <row r="2768" ht="25.0" customHeight="true">
      <c r="A2768" t="s" s="2">
        <v>13</v>
      </c>
      <c r="B2768" t="s" s="2">
        <f>HYPERLINK("http://ts.21cn.com/tousu/show/id/1371163","要求微博钱包暂停催收")</f>
      </c>
      <c r="C2768" t="s" s="2">
        <v>15</v>
      </c>
      <c r="D2768" t="s" s="2">
        <v>16</v>
      </c>
      <c r="E2768" t="s" s="2">
        <v>17</v>
      </c>
      <c r="F2768" t="s" s="2">
        <f>HYPERLINK("http://ts.21cn.com/tousu/show/id/1371163","http://ts.21cn.com/tousu/show/id/1371163")</f>
      </c>
      <c r="G2768" t="s" s="2">
        <v>17</v>
      </c>
      <c r="H2768" t="s" s="2">
        <v>19</v>
      </c>
      <c r="I2768" t="s" s="2">
        <v>10834</v>
      </c>
      <c r="J2768" t="s" s="2">
        <v>10835</v>
      </c>
      <c r="K2768" t="s" s="2">
        <v>22</v>
      </c>
      <c r="L2768" t="s" s="2">
        <v>22</v>
      </c>
      <c r="M2768" t="s" s="2">
        <v>22</v>
      </c>
    </row>
    <row r="2769" ht="25.0" customHeight="true">
      <c r="A2769" t="s" s="2">
        <v>13</v>
      </c>
      <c r="B2769" t="s" s="2">
        <f>HYPERLINK("http://ts.21cn.com/tousu/show/id/1371164","恶意扣款600元")</f>
      </c>
      <c r="C2769" t="s" s="2">
        <v>15</v>
      </c>
      <c r="D2769" t="s" s="2">
        <v>16</v>
      </c>
      <c r="E2769" t="s" s="2">
        <v>17</v>
      </c>
      <c r="F2769" t="s" s="2">
        <f>HYPERLINK("http://ts.21cn.com/tousu/show/id/1371164","http://ts.21cn.com/tousu/show/id/1371164")</f>
      </c>
      <c r="G2769" t="s" s="2">
        <v>17</v>
      </c>
      <c r="H2769" t="s" s="2">
        <v>19</v>
      </c>
      <c r="I2769" t="s" s="2">
        <v>10838</v>
      </c>
      <c r="J2769" t="s" s="2">
        <v>10839</v>
      </c>
      <c r="K2769" t="s" s="2">
        <v>22</v>
      </c>
      <c r="L2769" t="s" s="2">
        <v>22</v>
      </c>
      <c r="M2769" t="s" s="2">
        <v>22</v>
      </c>
    </row>
    <row r="2770" ht="25.0" customHeight="true">
      <c r="A2770" t="s" s="2">
        <v>13</v>
      </c>
      <c r="B2770" t="s" s="2">
        <f>HYPERLINK("http://ts.21cn.com/tousu/show/id/1371162","支付宝花呗——恶意催收")</f>
      </c>
      <c r="C2770" t="s" s="2">
        <v>15</v>
      </c>
      <c r="D2770" t="s" s="2">
        <v>16</v>
      </c>
      <c r="E2770" t="s" s="2">
        <v>17</v>
      </c>
      <c r="F2770" t="s" s="2">
        <f>HYPERLINK("http://ts.21cn.com/tousu/show/id/1371162","http://ts.21cn.com/tousu/show/id/1371162")</f>
      </c>
      <c r="G2770" t="s" s="2">
        <v>17</v>
      </c>
      <c r="H2770" t="s" s="2">
        <v>19</v>
      </c>
      <c r="I2770" t="s" s="2">
        <v>10842</v>
      </c>
      <c r="J2770" t="s" s="2">
        <v>10843</v>
      </c>
      <c r="K2770" t="s" s="2">
        <v>22</v>
      </c>
      <c r="L2770" t="s" s="2">
        <v>22</v>
      </c>
      <c r="M2770" t="s" s="2">
        <v>22</v>
      </c>
    </row>
    <row r="2771" ht="25.0" customHeight="true">
      <c r="A2771" t="s" s="2">
        <v>13</v>
      </c>
      <c r="B2771" t="s" s="2">
        <f>HYPERLINK("http://ts.21cn.com/tousu/show/id/1371161","网贷借条")</f>
      </c>
      <c r="C2771" t="s" s="2">
        <v>15</v>
      </c>
      <c r="D2771" t="s" s="2">
        <v>16</v>
      </c>
      <c r="E2771" t="s" s="2">
        <v>17</v>
      </c>
      <c r="F2771" t="s" s="2">
        <f>HYPERLINK("http://ts.21cn.com/tousu/show/id/1371161","http://ts.21cn.com/tousu/show/id/1371161")</f>
      </c>
      <c r="G2771" t="s" s="2">
        <v>17</v>
      </c>
      <c r="H2771" t="s" s="2">
        <v>19</v>
      </c>
      <c r="I2771" t="s" s="2">
        <v>10846</v>
      </c>
      <c r="J2771" t="s" s="2">
        <v>10847</v>
      </c>
      <c r="K2771" t="s" s="2">
        <v>22</v>
      </c>
      <c r="L2771" t="s" s="2">
        <v>22</v>
      </c>
      <c r="M2771" t="s" s="2">
        <v>22</v>
      </c>
    </row>
    <row r="2772" ht="25.0" customHeight="true">
      <c r="A2772" t="s" s="2">
        <v>13</v>
      </c>
      <c r="B2772" t="s" s="2">
        <f>HYPERLINK("http://ts.21cn.com/tousu/show/id/1371160","平安普惠贷款隐瞒隐藏并强制收取高额保险费管理费投诉事宜")</f>
      </c>
      <c r="C2772" t="s" s="2">
        <v>15</v>
      </c>
      <c r="D2772" t="s" s="2">
        <v>16</v>
      </c>
      <c r="E2772" t="s" s="2">
        <v>17</v>
      </c>
      <c r="F2772" t="s" s="2">
        <f>HYPERLINK("http://ts.21cn.com/tousu/show/id/1371160","http://ts.21cn.com/tousu/show/id/1371160")</f>
      </c>
      <c r="G2772" t="s" s="2">
        <v>17</v>
      </c>
      <c r="H2772" t="s" s="2">
        <v>19</v>
      </c>
      <c r="I2772" t="s" s="2">
        <v>10849</v>
      </c>
      <c r="J2772" t="s" s="2">
        <v>10850</v>
      </c>
      <c r="K2772" t="s" s="2">
        <v>22</v>
      </c>
      <c r="L2772" t="s" s="2">
        <v>22</v>
      </c>
      <c r="M2772" t="s" s="2">
        <v>22</v>
      </c>
    </row>
    <row r="2773" ht="25.0" customHeight="true">
      <c r="A2773" t="s" s="2">
        <v>13</v>
      </c>
      <c r="B2773" t="s" s="2">
        <f>HYPERLINK("http://ts.21cn.com/tousu/show/id/1371157","小象优品高利贷")</f>
      </c>
      <c r="C2773" t="s" s="2">
        <v>15</v>
      </c>
      <c r="D2773" t="s" s="2">
        <v>16</v>
      </c>
      <c r="E2773" t="s" s="2">
        <v>17</v>
      </c>
      <c r="F2773" t="s" s="2">
        <f>HYPERLINK("http://ts.21cn.com/tousu/show/id/1371157","http://ts.21cn.com/tousu/show/id/1371157")</f>
      </c>
      <c r="G2773" t="s" s="2">
        <v>17</v>
      </c>
      <c r="H2773" t="s" s="2">
        <v>19</v>
      </c>
      <c r="I2773" t="s" s="2">
        <v>10852</v>
      </c>
      <c r="J2773" t="s" s="2">
        <v>10853</v>
      </c>
      <c r="K2773" t="s" s="2">
        <v>22</v>
      </c>
      <c r="L2773" t="s" s="2">
        <v>22</v>
      </c>
      <c r="M2773" t="s" s="2">
        <v>22</v>
      </c>
    </row>
    <row r="2774" ht="25.0" customHeight="true">
      <c r="A2774" t="s" s="2">
        <v>13</v>
      </c>
      <c r="B2774" t="s" s="2">
        <f>HYPERLINK("http://ts.21cn.com/tousu/show/id/1371108","爆通讯录")</f>
      </c>
      <c r="C2774" t="s" s="2">
        <v>15</v>
      </c>
      <c r="D2774" t="s" s="2">
        <v>16</v>
      </c>
      <c r="E2774" t="s" s="2">
        <v>17</v>
      </c>
      <c r="F2774" t="s" s="2">
        <f>HYPERLINK("http://ts.21cn.com/tousu/show/id/1371108","http://ts.21cn.com/tousu/show/id/1371108")</f>
      </c>
      <c r="G2774" t="s" s="2">
        <v>17</v>
      </c>
      <c r="H2774" t="s" s="2">
        <v>19</v>
      </c>
      <c r="I2774" t="s" s="2">
        <v>10855</v>
      </c>
      <c r="J2774" t="s" s="2">
        <v>10856</v>
      </c>
      <c r="K2774" t="s" s="2">
        <v>22</v>
      </c>
      <c r="L2774" t="s" s="2">
        <v>22</v>
      </c>
      <c r="M2774" t="s" s="2">
        <v>22</v>
      </c>
    </row>
    <row r="2775" ht="25.0" customHeight="true">
      <c r="A2775" t="s" s="2">
        <v>13</v>
      </c>
      <c r="B2775" t="s" s="2">
        <f>HYPERLINK("http://ts.21cn.com/tousu/show/id/1371156","马上金融套路贷")</f>
      </c>
      <c r="C2775" t="s" s="2">
        <v>15</v>
      </c>
      <c r="D2775" t="s" s="2">
        <v>16</v>
      </c>
      <c r="E2775" t="s" s="2">
        <v>17</v>
      </c>
      <c r="F2775" t="s" s="2">
        <f>HYPERLINK("http://ts.21cn.com/tousu/show/id/1371156","http://ts.21cn.com/tousu/show/id/1371156")</f>
      </c>
      <c r="G2775" t="s" s="2">
        <v>17</v>
      </c>
      <c r="H2775" t="s" s="2">
        <v>19</v>
      </c>
      <c r="I2775" t="s" s="2">
        <v>10859</v>
      </c>
      <c r="J2775" t="s" s="2">
        <v>10860</v>
      </c>
      <c r="K2775" t="s" s="2">
        <v>22</v>
      </c>
      <c r="L2775" t="s" s="2">
        <v>22</v>
      </c>
      <c r="M2775" t="s" s="2">
        <v>22</v>
      </c>
    </row>
    <row r="2776" ht="25.0" customHeight="true">
      <c r="A2776" t="s" s="2">
        <v>13</v>
      </c>
      <c r="B2776" t="s" s="2">
        <f>HYPERLINK("http://ts.21cn.com/tousu/show/id/1371155","豹子贷扣了我299")</f>
      </c>
      <c r="C2776" t="s" s="2">
        <v>15</v>
      </c>
      <c r="D2776" t="s" s="2">
        <v>16</v>
      </c>
      <c r="E2776" t="s" s="2">
        <v>17</v>
      </c>
      <c r="F2776" t="s" s="2">
        <f>HYPERLINK("http://ts.21cn.com/tousu/show/id/1371155","http://ts.21cn.com/tousu/show/id/1371155")</f>
      </c>
      <c r="G2776" t="s" s="2">
        <v>17</v>
      </c>
      <c r="H2776" t="s" s="2">
        <v>19</v>
      </c>
      <c r="I2776" t="s" s="2">
        <v>10863</v>
      </c>
      <c r="J2776" t="s" s="2">
        <v>10864</v>
      </c>
      <c r="K2776" t="s" s="2">
        <v>22</v>
      </c>
      <c r="L2776" t="s" s="2">
        <v>22</v>
      </c>
      <c r="M2776" t="s" s="2">
        <v>22</v>
      </c>
    </row>
    <row r="2777" ht="25.0" customHeight="true">
      <c r="A2777" t="s" s="2">
        <v>13</v>
      </c>
      <c r="B2777" t="s" s="2">
        <f>HYPERLINK("http://ts.21cn.com/tousu/show/id/1371154","频道催收，各种无关费用收取，没有合理解释")</f>
      </c>
      <c r="C2777" t="s" s="2">
        <v>15</v>
      </c>
      <c r="D2777" t="s" s="2">
        <v>16</v>
      </c>
      <c r="E2777" t="s" s="2">
        <v>17</v>
      </c>
      <c r="F2777" t="s" s="2">
        <f>HYPERLINK("http://ts.21cn.com/tousu/show/id/1371154","http://ts.21cn.com/tousu/show/id/1371154")</f>
      </c>
      <c r="G2777" t="s" s="2">
        <v>17</v>
      </c>
      <c r="H2777" t="s" s="2">
        <v>19</v>
      </c>
      <c r="I2777" t="s" s="2">
        <v>10867</v>
      </c>
      <c r="J2777" t="s" s="2">
        <v>10868</v>
      </c>
      <c r="K2777" t="s" s="2">
        <v>22</v>
      </c>
      <c r="L2777" t="s" s="2">
        <v>22</v>
      </c>
      <c r="M2777" t="s" s="2">
        <v>22</v>
      </c>
    </row>
    <row r="2778" ht="25.0" customHeight="true">
      <c r="A2778" t="s" s="2">
        <v>13</v>
      </c>
      <c r="B2778" t="s" s="2">
        <f>HYPERLINK("http://ts.21cn.com/tousu/show/id/1371153","玖富万卡，玖富小蓝卡收服务费，需还费用翻倍")</f>
      </c>
      <c r="C2778" t="s" s="2">
        <v>15</v>
      </c>
      <c r="D2778" t="s" s="2">
        <v>16</v>
      </c>
      <c r="E2778" t="s" s="2">
        <v>17</v>
      </c>
      <c r="F2778" t="s" s="2">
        <f>HYPERLINK("http://ts.21cn.com/tousu/show/id/1371153","http://ts.21cn.com/tousu/show/id/1371153")</f>
      </c>
      <c r="G2778" t="s" s="2">
        <v>17</v>
      </c>
      <c r="H2778" t="s" s="2">
        <v>19</v>
      </c>
      <c r="I2778" t="s" s="2">
        <v>10871</v>
      </c>
      <c r="J2778" t="s" s="2">
        <v>10872</v>
      </c>
      <c r="K2778" t="s" s="2">
        <v>22</v>
      </c>
      <c r="L2778" t="s" s="2">
        <v>22</v>
      </c>
      <c r="M2778" t="s" s="2">
        <v>22</v>
      </c>
    </row>
    <row r="2779" ht="25.0" customHeight="true">
      <c r="A2779" t="s" s="2">
        <v>13</v>
      </c>
      <c r="B2779" t="s" s="2">
        <f>HYPERLINK("http://ts.21cn.com/tousu/show/id/1371152","钱包易贷暴力催收骚扰")</f>
      </c>
      <c r="C2779" t="s" s="2">
        <v>15</v>
      </c>
      <c r="D2779" t="s" s="2">
        <v>16</v>
      </c>
      <c r="E2779" t="s" s="2">
        <v>17</v>
      </c>
      <c r="F2779" t="s" s="2">
        <f>HYPERLINK("http://ts.21cn.com/tousu/show/id/1371152","http://ts.21cn.com/tousu/show/id/1371152")</f>
      </c>
      <c r="G2779" t="s" s="2">
        <v>17</v>
      </c>
      <c r="H2779" t="s" s="2">
        <v>19</v>
      </c>
      <c r="I2779" t="s" s="2">
        <v>10875</v>
      </c>
      <c r="J2779" t="s" s="2">
        <v>10876</v>
      </c>
      <c r="K2779" t="s" s="2">
        <v>22</v>
      </c>
      <c r="L2779" t="s" s="2">
        <v>22</v>
      </c>
      <c r="M2779" t="s" s="2">
        <v>22</v>
      </c>
    </row>
    <row r="2780" ht="25.0" customHeight="true">
      <c r="A2780" t="s" s="2">
        <v>13</v>
      </c>
      <c r="B2780" t="s" s="2">
        <f>HYPERLINK("http://ts.21cn.com/tousu/show/id/1371150","快闪卡贷逾利息高得吓人，逾期利息更高。")</f>
      </c>
      <c r="C2780" t="s" s="2">
        <v>52</v>
      </c>
      <c r="D2780" t="s" s="2">
        <v>16</v>
      </c>
      <c r="E2780" t="s" s="2">
        <v>17</v>
      </c>
      <c r="F2780" t="s" s="2">
        <f>HYPERLINK("http://ts.21cn.com/tousu/show/id/1371150","http://ts.21cn.com/tousu/show/id/1371150")</f>
      </c>
      <c r="G2780" t="s" s="2">
        <v>17</v>
      </c>
      <c r="H2780" t="s" s="2">
        <v>19</v>
      </c>
      <c r="I2780" t="s" s="2">
        <v>10879</v>
      </c>
      <c r="J2780" t="s" s="2">
        <v>10880</v>
      </c>
      <c r="K2780" t="s" s="2">
        <v>22</v>
      </c>
      <c r="L2780" t="s" s="2">
        <v>22</v>
      </c>
      <c r="M2780" t="s" s="2">
        <v>22</v>
      </c>
    </row>
    <row r="2781" ht="25.0" customHeight="true">
      <c r="A2781" t="s" s="2">
        <v>13</v>
      </c>
      <c r="B2781" t="s" s="2">
        <f>HYPERLINK("http://ts.21cn.com/tousu/show/id/1371151","喜鹊快贷暴力催收")</f>
      </c>
      <c r="C2781" t="s" s="2">
        <v>15</v>
      </c>
      <c r="D2781" t="s" s="2">
        <v>16</v>
      </c>
      <c r="E2781" t="s" s="2">
        <v>17</v>
      </c>
      <c r="F2781" t="s" s="2">
        <f>HYPERLINK("http://ts.21cn.com/tousu/show/id/1371151","http://ts.21cn.com/tousu/show/id/1371151")</f>
      </c>
      <c r="G2781" t="s" s="2">
        <v>17</v>
      </c>
      <c r="H2781" t="s" s="2">
        <v>19</v>
      </c>
      <c r="I2781" t="s" s="2">
        <v>10879</v>
      </c>
      <c r="J2781" t="s" s="2">
        <v>10883</v>
      </c>
      <c r="K2781" t="s" s="2">
        <v>22</v>
      </c>
      <c r="L2781" t="s" s="2">
        <v>22</v>
      </c>
      <c r="M2781" t="s" s="2">
        <v>22</v>
      </c>
    </row>
    <row r="2782" ht="25.0" customHeight="true">
      <c r="A2782" t="s" s="2">
        <v>13</v>
      </c>
      <c r="B2782" t="s" s="2">
        <f>HYPERLINK("http://ts.21cn.com/tousu/show/id/1371147","暴力催收，官方消极作为")</f>
      </c>
      <c r="C2782" t="s" s="2">
        <v>15</v>
      </c>
      <c r="D2782" t="s" s="2">
        <v>16</v>
      </c>
      <c r="E2782" t="s" s="2">
        <v>17</v>
      </c>
      <c r="F2782" t="s" s="2">
        <f>HYPERLINK("http://ts.21cn.com/tousu/show/id/1371147","http://ts.21cn.com/tousu/show/id/1371147")</f>
      </c>
      <c r="G2782" t="s" s="2">
        <v>17</v>
      </c>
      <c r="H2782" t="s" s="2">
        <v>19</v>
      </c>
      <c r="I2782" t="s" s="2">
        <v>10886</v>
      </c>
      <c r="J2782" t="s" s="2">
        <v>10887</v>
      </c>
      <c r="K2782" t="s" s="2">
        <v>22</v>
      </c>
      <c r="L2782" t="s" s="2">
        <v>22</v>
      </c>
      <c r="M2782" t="s" s="2">
        <v>22</v>
      </c>
    </row>
    <row r="2783" ht="25.0" customHeight="true">
      <c r="A2783" t="s" s="2">
        <v>13</v>
      </c>
      <c r="B2783" t="s" s="2">
        <f>HYPERLINK("http://ts.21cn.com/tousu/show/id/1371149","现在在家生孩子不方便")</f>
      </c>
      <c r="C2783" t="s" s="2">
        <v>52</v>
      </c>
      <c r="D2783" t="s" s="2">
        <v>16</v>
      </c>
      <c r="E2783" t="s" s="2">
        <v>17</v>
      </c>
      <c r="F2783" t="s" s="2">
        <f>HYPERLINK("http://ts.21cn.com/tousu/show/id/1371149","http://ts.21cn.com/tousu/show/id/1371149")</f>
      </c>
      <c r="G2783" t="s" s="2">
        <v>17</v>
      </c>
      <c r="H2783" t="s" s="2">
        <v>19</v>
      </c>
      <c r="I2783" t="s" s="2">
        <v>10890</v>
      </c>
      <c r="J2783" t="s" s="2">
        <v>10891</v>
      </c>
      <c r="K2783" t="s" s="2">
        <v>22</v>
      </c>
      <c r="L2783" t="s" s="2">
        <v>22</v>
      </c>
      <c r="M2783" t="s" s="2">
        <v>22</v>
      </c>
    </row>
    <row r="2784" ht="25.0" customHeight="true">
      <c r="A2784" t="s" s="2">
        <v>13</v>
      </c>
      <c r="B2784" t="s" s="2">
        <f>HYPERLINK("http://ts.21cn.com/tousu/show/id/1371148","超高利率未逾期威胁爆通讯录")</f>
      </c>
      <c r="C2784" t="s" s="2">
        <v>15</v>
      </c>
      <c r="D2784" t="s" s="2">
        <v>16</v>
      </c>
      <c r="E2784" t="s" s="2">
        <v>17</v>
      </c>
      <c r="F2784" t="s" s="2">
        <f>HYPERLINK("http://ts.21cn.com/tousu/show/id/1371148","http://ts.21cn.com/tousu/show/id/1371148")</f>
      </c>
      <c r="G2784" t="s" s="2">
        <v>17</v>
      </c>
      <c r="H2784" t="s" s="2">
        <v>19</v>
      </c>
      <c r="I2784" t="s" s="2">
        <v>10894</v>
      </c>
      <c r="J2784" t="s" s="2">
        <v>10895</v>
      </c>
      <c r="K2784" t="s" s="2">
        <v>22</v>
      </c>
      <c r="L2784" t="s" s="2">
        <v>22</v>
      </c>
      <c r="M2784" t="s" s="2">
        <v>22</v>
      </c>
    </row>
    <row r="2785" ht="25.0" customHeight="true">
      <c r="A2785" t="s" s="2">
        <v>13</v>
      </c>
      <c r="B2785" t="s" s="2">
        <f>HYPERLINK("http://ts.21cn.com/tousu/show/id/1371146","平安普惠乱扣费")</f>
      </c>
      <c r="C2785" t="s" s="2">
        <v>15</v>
      </c>
      <c r="D2785" t="s" s="2">
        <v>16</v>
      </c>
      <c r="E2785" t="s" s="2">
        <v>17</v>
      </c>
      <c r="F2785" t="s" s="2">
        <f>HYPERLINK("http://ts.21cn.com/tousu/show/id/1371146","http://ts.21cn.com/tousu/show/id/1371146")</f>
      </c>
      <c r="G2785" t="s" s="2">
        <v>17</v>
      </c>
      <c r="H2785" t="s" s="2">
        <v>19</v>
      </c>
      <c r="I2785" t="s" s="2">
        <v>10894</v>
      </c>
      <c r="J2785" t="s" s="2">
        <v>10898</v>
      </c>
      <c r="K2785" t="s" s="2">
        <v>22</v>
      </c>
      <c r="L2785" t="s" s="2">
        <v>22</v>
      </c>
      <c r="M2785" t="s" s="2">
        <v>22</v>
      </c>
    </row>
    <row r="2786" ht="25.0" customHeight="true">
      <c r="A2786" t="s" s="2">
        <v>13</v>
      </c>
      <c r="B2786" t="s" s="2">
        <f>HYPERLINK("http://ts.21cn.com/tousu/show/id/1371144","高利贷套路贷")</f>
      </c>
      <c r="C2786" t="s" s="2">
        <v>15</v>
      </c>
      <c r="D2786" t="s" s="2">
        <v>16</v>
      </c>
      <c r="E2786" t="s" s="2">
        <v>17</v>
      </c>
      <c r="F2786" t="s" s="2">
        <f>HYPERLINK("http://ts.21cn.com/tousu/show/id/1371144","http://ts.21cn.com/tousu/show/id/1371144")</f>
      </c>
      <c r="G2786" t="s" s="2">
        <v>17</v>
      </c>
      <c r="H2786" t="s" s="2">
        <v>19</v>
      </c>
      <c r="I2786" t="s" s="2">
        <v>10900</v>
      </c>
      <c r="J2786" t="s" s="2">
        <v>10901</v>
      </c>
      <c r="K2786" t="s" s="2">
        <v>22</v>
      </c>
      <c r="L2786" t="s" s="2">
        <v>22</v>
      </c>
      <c r="M2786" t="s" s="2">
        <v>22</v>
      </c>
    </row>
    <row r="2787" ht="25.0" customHeight="true">
      <c r="A2787" t="s" s="2">
        <v>13</v>
      </c>
      <c r="B2787" t="s" s="2">
        <f>HYPERLINK("http://ts.21cn.com/tousu/show/id/1371143","pos机刷卡20天没有到账，没有反馈")</f>
      </c>
      <c r="C2787" t="s" s="2">
        <v>15</v>
      </c>
      <c r="D2787" t="s" s="2">
        <v>16</v>
      </c>
      <c r="E2787" t="s" s="2">
        <v>17</v>
      </c>
      <c r="F2787" t="s" s="2">
        <f>HYPERLINK("http://ts.21cn.com/tousu/show/id/1371143","http://ts.21cn.com/tousu/show/id/1371143")</f>
      </c>
      <c r="G2787" t="s" s="2">
        <v>17</v>
      </c>
      <c r="H2787" t="s" s="2">
        <v>19</v>
      </c>
      <c r="I2787" t="s" s="2">
        <v>10904</v>
      </c>
      <c r="J2787" t="s" s="2">
        <v>10905</v>
      </c>
      <c r="K2787" t="s" s="2">
        <v>22</v>
      </c>
      <c r="L2787" t="s" s="2">
        <v>22</v>
      </c>
      <c r="M2787" t="s" s="2">
        <v>22</v>
      </c>
    </row>
    <row r="2788" ht="25.0" customHeight="true">
      <c r="A2788" t="s" s="2">
        <v>13</v>
      </c>
      <c r="B2788" t="s" s="2">
        <f>HYPERLINK("http://ts.21cn.com/tousu/show/id/1371110","莫名其妙乱扣费")</f>
      </c>
      <c r="C2788" t="s" s="2">
        <v>15</v>
      </c>
      <c r="D2788" t="s" s="2">
        <v>16</v>
      </c>
      <c r="E2788" t="s" s="2">
        <v>17</v>
      </c>
      <c r="F2788" t="s" s="2">
        <f>HYPERLINK("http://ts.21cn.com/tousu/show/id/1371110","http://ts.21cn.com/tousu/show/id/1371110")</f>
      </c>
      <c r="G2788" t="s" s="2">
        <v>17</v>
      </c>
      <c r="H2788" t="s" s="2">
        <v>19</v>
      </c>
      <c r="I2788" t="s" s="2">
        <v>10908</v>
      </c>
      <c r="J2788" t="s" s="2">
        <v>10909</v>
      </c>
      <c r="K2788" t="s" s="2">
        <v>22</v>
      </c>
      <c r="L2788" t="s" s="2">
        <v>22</v>
      </c>
      <c r="M2788" t="s" s="2">
        <v>22</v>
      </c>
    </row>
    <row r="2789" ht="25.0" customHeight="true">
      <c r="A2789" t="s" s="2">
        <v>13</v>
      </c>
      <c r="B2789" t="s" s="2">
        <f>HYPERLINK("http://ts.21cn.com/tousu/show/id/1371142","威胁骚扰第三方")</f>
      </c>
      <c r="C2789" t="s" s="2">
        <v>15</v>
      </c>
      <c r="D2789" t="s" s="2">
        <v>16</v>
      </c>
      <c r="E2789" t="s" s="2">
        <v>17</v>
      </c>
      <c r="F2789" t="s" s="2">
        <f>HYPERLINK("http://ts.21cn.com/tousu/show/id/1371142","http://ts.21cn.com/tousu/show/id/1371142")</f>
      </c>
      <c r="G2789" t="s" s="2">
        <v>17</v>
      </c>
      <c r="H2789" t="s" s="2">
        <v>19</v>
      </c>
      <c r="I2789" t="s" s="2">
        <v>10912</v>
      </c>
      <c r="J2789" t="s" s="2">
        <v>10913</v>
      </c>
      <c r="K2789" t="s" s="2">
        <v>22</v>
      </c>
      <c r="L2789" t="s" s="2">
        <v>22</v>
      </c>
      <c r="M2789" t="s" s="2">
        <v>22</v>
      </c>
    </row>
    <row r="2790" ht="25.0" customHeight="true">
      <c r="A2790" t="s" s="2">
        <v>13</v>
      </c>
      <c r="B2790" t="s" s="2">
        <f>HYPERLINK("http://ts.21cn.com/tousu/show/id/1371140","催收")</f>
      </c>
      <c r="C2790" t="s" s="2">
        <v>15</v>
      </c>
      <c r="D2790" t="s" s="2">
        <v>16</v>
      </c>
      <c r="E2790" t="s" s="2">
        <v>17</v>
      </c>
      <c r="F2790" t="s" s="2">
        <f>HYPERLINK("http://ts.21cn.com/tousu/show/id/1371140","http://ts.21cn.com/tousu/show/id/1371140")</f>
      </c>
      <c r="G2790" t="s" s="2">
        <v>17</v>
      </c>
      <c r="H2790" t="s" s="2">
        <v>19</v>
      </c>
      <c r="I2790" t="s" s="2">
        <v>10915</v>
      </c>
      <c r="J2790" t="s" s="2">
        <v>10916</v>
      </c>
      <c r="K2790" t="s" s="2">
        <v>22</v>
      </c>
      <c r="L2790" t="s" s="2">
        <v>22</v>
      </c>
      <c r="M2790" t="s" s="2">
        <v>22</v>
      </c>
    </row>
    <row r="2791" ht="25.0" customHeight="true">
      <c r="A2791" t="s" s="2">
        <v>13</v>
      </c>
      <c r="B2791" t="s" s="2">
        <f>HYPERLINK("http://ts.21cn.com/tousu/show/id/1371141","淘宝网大云电商欺诈消费者只收钱不办事")</f>
      </c>
      <c r="C2791" t="s" s="2">
        <v>15</v>
      </c>
      <c r="D2791" t="s" s="2">
        <v>16</v>
      </c>
      <c r="E2791" t="s" s="2">
        <v>17</v>
      </c>
      <c r="F2791" t="s" s="2">
        <f>HYPERLINK("http://ts.21cn.com/tousu/show/id/1371141","http://ts.21cn.com/tousu/show/id/1371141")</f>
      </c>
      <c r="G2791" t="s" s="2">
        <v>17</v>
      </c>
      <c r="H2791" t="s" s="2">
        <v>19</v>
      </c>
      <c r="I2791" t="s" s="2">
        <v>10919</v>
      </c>
      <c r="J2791" t="s" s="2">
        <v>10920</v>
      </c>
      <c r="K2791" t="s" s="2">
        <v>22</v>
      </c>
      <c r="L2791" t="s" s="2">
        <v>22</v>
      </c>
      <c r="M2791" t="s" s="2">
        <v>22</v>
      </c>
    </row>
    <row r="2792" ht="25.0" customHeight="true">
      <c r="A2792" t="s" s="2">
        <v>13</v>
      </c>
      <c r="B2792" t="s" s="2">
        <f>HYPERLINK("http://ts.21cn.com/tousu/show/id/1371032","你我贷暴力催收高利贷")</f>
      </c>
      <c r="C2792" t="s" s="2">
        <v>15</v>
      </c>
      <c r="D2792" t="s" s="2">
        <v>16</v>
      </c>
      <c r="E2792" t="s" s="2">
        <v>17</v>
      </c>
      <c r="F2792" t="s" s="2">
        <f>HYPERLINK("http://ts.21cn.com/tousu/show/id/1371032","http://ts.21cn.com/tousu/show/id/1371032")</f>
      </c>
      <c r="G2792" t="s" s="2">
        <v>17</v>
      </c>
      <c r="H2792" t="s" s="2">
        <v>19</v>
      </c>
      <c r="I2792" t="s" s="2">
        <v>10922</v>
      </c>
      <c r="J2792" t="s" s="2">
        <v>10923</v>
      </c>
      <c r="K2792" t="s" s="2">
        <v>22</v>
      </c>
      <c r="L2792" t="s" s="2">
        <v>22</v>
      </c>
      <c r="M2792" t="s" s="2">
        <v>22</v>
      </c>
    </row>
    <row r="2793" ht="25.0" customHeight="true">
      <c r="A2793" t="s" s="2">
        <v>13</v>
      </c>
      <c r="B2793" t="s" s="2">
        <f>HYPERLINK("http://ts.21cn.com/tousu/show/id/1371139","多宝分期高利贷")</f>
      </c>
      <c r="C2793" t="s" s="2">
        <v>15</v>
      </c>
      <c r="D2793" t="s" s="2">
        <v>16</v>
      </c>
      <c r="E2793" t="s" s="2">
        <v>17</v>
      </c>
      <c r="F2793" t="s" s="2">
        <f>HYPERLINK("http://ts.21cn.com/tousu/show/id/1371139","http://ts.21cn.com/tousu/show/id/1371139")</f>
      </c>
      <c r="G2793" t="s" s="2">
        <v>17</v>
      </c>
      <c r="H2793" t="s" s="2">
        <v>19</v>
      </c>
      <c r="I2793" t="s" s="2">
        <v>10925</v>
      </c>
      <c r="J2793" t="s" s="2">
        <v>10926</v>
      </c>
      <c r="K2793" t="s" s="2">
        <v>22</v>
      </c>
      <c r="L2793" t="s" s="2">
        <v>22</v>
      </c>
      <c r="M2793" t="s" s="2">
        <v>22</v>
      </c>
    </row>
    <row r="2794" ht="25.0" customHeight="true">
      <c r="A2794" t="s" s="2">
        <v>13</v>
      </c>
      <c r="B2794" t="s" s="2">
        <f>HYPERLINK("http://ts.21cn.com/tousu/show/id/1371138","高利贷，阴阳合同，虚假，误导宣传")</f>
      </c>
      <c r="C2794" t="s" s="2">
        <v>15</v>
      </c>
      <c r="D2794" t="s" s="2">
        <v>16</v>
      </c>
      <c r="E2794" t="s" s="2">
        <v>17</v>
      </c>
      <c r="F2794" t="s" s="2">
        <f>HYPERLINK("http://ts.21cn.com/tousu/show/id/1371138","http://ts.21cn.com/tousu/show/id/1371138")</f>
      </c>
      <c r="G2794" t="s" s="2">
        <v>17</v>
      </c>
      <c r="H2794" t="s" s="2">
        <v>19</v>
      </c>
      <c r="I2794" t="s" s="2">
        <v>10929</v>
      </c>
      <c r="J2794" t="s" s="2">
        <v>10930</v>
      </c>
      <c r="K2794" t="s" s="2">
        <v>22</v>
      </c>
      <c r="L2794" t="s" s="2">
        <v>22</v>
      </c>
      <c r="M2794" t="s" s="2">
        <v>22</v>
      </c>
    </row>
    <row r="2795" ht="25.0" customHeight="true">
      <c r="A2795" t="s" s="2">
        <v>13</v>
      </c>
      <c r="B2795" t="s" s="2">
        <f>HYPERLINK("http://ts.21cn.com/tousu/show/id/1371136","恒昌骚扰前妻的公司电话")</f>
      </c>
      <c r="C2795" t="s" s="2">
        <v>15</v>
      </c>
      <c r="D2795" t="s" s="2">
        <v>16</v>
      </c>
      <c r="E2795" t="s" s="2">
        <v>17</v>
      </c>
      <c r="F2795" t="s" s="2">
        <f>HYPERLINK("http://ts.21cn.com/tousu/show/id/1371136","http://ts.21cn.com/tousu/show/id/1371136")</f>
      </c>
      <c r="G2795" t="s" s="2">
        <v>17</v>
      </c>
      <c r="H2795" t="s" s="2">
        <v>19</v>
      </c>
      <c r="I2795" t="s" s="2">
        <v>10933</v>
      </c>
      <c r="J2795" t="s" s="2">
        <v>10934</v>
      </c>
      <c r="K2795" t="s" s="2">
        <v>22</v>
      </c>
      <c r="L2795" t="s" s="2">
        <v>22</v>
      </c>
      <c r="M2795" t="s" s="2">
        <v>22</v>
      </c>
    </row>
    <row r="2796" ht="25.0" customHeight="true">
      <c r="A2796" t="s" s="2">
        <v>13</v>
      </c>
      <c r="B2796" t="s" s="2">
        <f>HYPERLINK("http://ts.21cn.com/tousu/show/id/1371137","钱站高利贷，阴阳合同")</f>
      </c>
      <c r="C2796" t="s" s="2">
        <v>15</v>
      </c>
      <c r="D2796" t="s" s="2">
        <v>16</v>
      </c>
      <c r="E2796" t="s" s="2">
        <v>17</v>
      </c>
      <c r="F2796" t="s" s="2">
        <f>HYPERLINK("http://ts.21cn.com/tousu/show/id/1371137","http://ts.21cn.com/tousu/show/id/1371137")</f>
      </c>
      <c r="G2796" t="s" s="2">
        <v>17</v>
      </c>
      <c r="H2796" t="s" s="2">
        <v>19</v>
      </c>
      <c r="I2796" t="s" s="2">
        <v>10937</v>
      </c>
      <c r="J2796" t="s" s="2">
        <v>10938</v>
      </c>
      <c r="K2796" t="s" s="2">
        <v>22</v>
      </c>
      <c r="L2796" t="s" s="2">
        <v>22</v>
      </c>
      <c r="M2796" t="s" s="2">
        <v>22</v>
      </c>
    </row>
    <row r="2797" ht="25.0" customHeight="true">
      <c r="A2797" t="s" s="2">
        <v>13</v>
      </c>
      <c r="B2797" t="s" s="2">
        <f>HYPERLINK("http://ts.21cn.com/tousu/show/id/1371135","骚扰家人，恶意群发虚假律师信")</f>
      </c>
      <c r="C2797" t="s" s="2">
        <v>15</v>
      </c>
      <c r="D2797" t="s" s="2">
        <v>16</v>
      </c>
      <c r="E2797" t="s" s="2">
        <v>17</v>
      </c>
      <c r="F2797" t="s" s="2">
        <f>HYPERLINK("http://ts.21cn.com/tousu/show/id/1371135","http://ts.21cn.com/tousu/show/id/1371135")</f>
      </c>
      <c r="G2797" t="s" s="2">
        <v>17</v>
      </c>
      <c r="H2797" t="s" s="2">
        <v>19</v>
      </c>
      <c r="I2797" t="s" s="2">
        <v>10941</v>
      </c>
      <c r="J2797" t="s" s="2">
        <v>10942</v>
      </c>
      <c r="K2797" t="s" s="2">
        <v>22</v>
      </c>
      <c r="L2797" t="s" s="2">
        <v>22</v>
      </c>
      <c r="M2797" t="s" s="2">
        <v>22</v>
      </c>
    </row>
    <row r="2798" ht="25.0" customHeight="true">
      <c r="A2798" t="s" s="2">
        <v>13</v>
      </c>
      <c r="B2798" t="s" s="2">
        <f>HYPERLINK("http://ts.21cn.com/tousu/show/id/1371134","招商银行违规变更信用卡权益")</f>
      </c>
      <c r="C2798" t="s" s="2">
        <v>15</v>
      </c>
      <c r="D2798" t="s" s="2">
        <v>16</v>
      </c>
      <c r="E2798" t="s" s="2">
        <v>17</v>
      </c>
      <c r="F2798" t="s" s="2">
        <f>HYPERLINK("http://ts.21cn.com/tousu/show/id/1371134","http://ts.21cn.com/tousu/show/id/1371134")</f>
      </c>
      <c r="G2798" t="s" s="2">
        <v>17</v>
      </c>
      <c r="H2798" t="s" s="2">
        <v>19</v>
      </c>
      <c r="I2798" t="s" s="2">
        <v>10945</v>
      </c>
      <c r="J2798" t="s" s="2">
        <v>10946</v>
      </c>
      <c r="K2798" t="s" s="2">
        <v>22</v>
      </c>
      <c r="L2798" t="s" s="2">
        <v>22</v>
      </c>
      <c r="M2798" t="s" s="2">
        <v>22</v>
      </c>
    </row>
    <row r="2799" ht="25.0" customHeight="true">
      <c r="A2799" t="s" s="2">
        <v>13</v>
      </c>
      <c r="B2799" t="s" s="2">
        <f>HYPERLINK("http://ts.21cn.com/tousu/show/id/1371133","马上消费金融，暴力催收，恐吓")</f>
      </c>
      <c r="C2799" t="s" s="2">
        <v>15</v>
      </c>
      <c r="D2799" t="s" s="2">
        <v>16</v>
      </c>
      <c r="E2799" t="s" s="2">
        <v>17</v>
      </c>
      <c r="F2799" t="s" s="2">
        <f>HYPERLINK("http://ts.21cn.com/tousu/show/id/1371133","http://ts.21cn.com/tousu/show/id/1371133")</f>
      </c>
      <c r="G2799" t="s" s="2">
        <v>17</v>
      </c>
      <c r="H2799" t="s" s="2">
        <v>19</v>
      </c>
      <c r="I2799" t="s" s="2">
        <v>10949</v>
      </c>
      <c r="J2799" t="s" s="2">
        <v>10950</v>
      </c>
      <c r="K2799" t="s" s="2">
        <v>22</v>
      </c>
      <c r="L2799" t="s" s="2">
        <v>22</v>
      </c>
      <c r="M2799" t="s" s="2">
        <v>22</v>
      </c>
    </row>
    <row r="2800" ht="25.0" customHeight="true">
      <c r="A2800" t="s" s="2">
        <v>13</v>
      </c>
      <c r="B2800" t="s" s="2">
        <f>HYPERLINK("http://ts.21cn.com/tousu/show/id/1371132","招联金融，威胁，恐吓")</f>
      </c>
      <c r="C2800" t="s" s="2">
        <v>15</v>
      </c>
      <c r="D2800" t="s" s="2">
        <v>16</v>
      </c>
      <c r="E2800" t="s" s="2">
        <v>17</v>
      </c>
      <c r="F2800" t="s" s="2">
        <f>HYPERLINK("http://ts.21cn.com/tousu/show/id/1371132","http://ts.21cn.com/tousu/show/id/1371132")</f>
      </c>
      <c r="G2800" t="s" s="2">
        <v>17</v>
      </c>
      <c r="H2800" t="s" s="2">
        <v>19</v>
      </c>
      <c r="I2800" t="s" s="2">
        <v>10953</v>
      </c>
      <c r="J2800" t="s" s="2">
        <v>10954</v>
      </c>
      <c r="K2800" t="s" s="2">
        <v>22</v>
      </c>
      <c r="L2800" t="s" s="2">
        <v>22</v>
      </c>
      <c r="M2800" t="s" s="2">
        <v>22</v>
      </c>
    </row>
    <row r="2801" ht="25.0" customHeight="true">
      <c r="A2801" t="s" s="2">
        <v>13</v>
      </c>
      <c r="B2801" t="s" s="2">
        <f>HYPERLINK("http://ts.21cn.com/tousu/show/id/1371130","美团金融暴力催收")</f>
      </c>
      <c r="C2801" t="s" s="2">
        <v>15</v>
      </c>
      <c r="D2801" t="s" s="2">
        <v>16</v>
      </c>
      <c r="E2801" t="s" s="2">
        <v>17</v>
      </c>
      <c r="F2801" t="s" s="2">
        <f>HYPERLINK("http://ts.21cn.com/tousu/show/id/1371130","http://ts.21cn.com/tousu/show/id/1371130")</f>
      </c>
      <c r="G2801" t="s" s="2">
        <v>17</v>
      </c>
      <c r="H2801" t="s" s="2">
        <v>19</v>
      </c>
      <c r="I2801" t="s" s="2">
        <v>10957</v>
      </c>
      <c r="J2801" t="s" s="2">
        <v>10958</v>
      </c>
      <c r="K2801" t="s" s="2">
        <v>22</v>
      </c>
      <c r="L2801" t="s" s="2">
        <v>22</v>
      </c>
      <c r="M2801" t="s" s="2">
        <v>22</v>
      </c>
    </row>
    <row r="2802" ht="25.0" customHeight="true">
      <c r="A2802" t="s" s="2">
        <v>13</v>
      </c>
      <c r="B2802" t="s" s="2">
        <f>HYPERLINK("http://ts.21cn.com/tousu/show/id/1371129","贷上钱违法收取砍头息暴力催收违法套取用户信息")</f>
      </c>
      <c r="C2802" t="s" s="2">
        <v>15</v>
      </c>
      <c r="D2802" t="s" s="2">
        <v>16</v>
      </c>
      <c r="E2802" t="s" s="2">
        <v>17</v>
      </c>
      <c r="F2802" t="s" s="2">
        <f>HYPERLINK("http://ts.21cn.com/tousu/show/id/1371129","http://ts.21cn.com/tousu/show/id/1371129")</f>
      </c>
      <c r="G2802" t="s" s="2">
        <v>17</v>
      </c>
      <c r="H2802" t="s" s="2">
        <v>19</v>
      </c>
      <c r="I2802" t="s" s="2">
        <v>10961</v>
      </c>
      <c r="J2802" t="s" s="2">
        <v>10388</v>
      </c>
      <c r="K2802" t="s" s="2">
        <v>22</v>
      </c>
      <c r="L2802" t="s" s="2">
        <v>22</v>
      </c>
      <c r="M2802" t="s" s="2">
        <v>22</v>
      </c>
    </row>
    <row r="2803" ht="25.0" customHeight="true">
      <c r="A2803" t="s" s="2">
        <v>13</v>
      </c>
      <c r="B2803" t="s" s="2">
        <f>HYPERLINK("http://ts.21cn.com/tousu/show/id/1371128","高利贷频繁骚扰家人")</f>
      </c>
      <c r="C2803" t="s" s="2">
        <v>15</v>
      </c>
      <c r="D2803" t="s" s="2">
        <v>16</v>
      </c>
      <c r="E2803" t="s" s="2">
        <v>17</v>
      </c>
      <c r="F2803" t="s" s="2">
        <f>HYPERLINK("http://ts.21cn.com/tousu/show/id/1371128","http://ts.21cn.com/tousu/show/id/1371128")</f>
      </c>
      <c r="G2803" t="s" s="2">
        <v>17</v>
      </c>
      <c r="H2803" t="s" s="2">
        <v>19</v>
      </c>
      <c r="I2803" t="s" s="2">
        <v>10964</v>
      </c>
      <c r="J2803" t="s" s="2">
        <v>10965</v>
      </c>
      <c r="K2803" t="s" s="2">
        <v>22</v>
      </c>
      <c r="L2803" t="s" s="2">
        <v>22</v>
      </c>
      <c r="M2803" t="s" s="2">
        <v>22</v>
      </c>
    </row>
    <row r="2804" ht="25.0" customHeight="true">
      <c r="A2804" t="s" s="2">
        <v>13</v>
      </c>
      <c r="B2804" t="s" s="2">
        <f>HYPERLINK("http://ts.21cn.com/tousu/show/id/1371127","停止暴力催收直接与银行联系")</f>
      </c>
      <c r="C2804" t="s" s="2">
        <v>15</v>
      </c>
      <c r="D2804" t="s" s="2">
        <v>16</v>
      </c>
      <c r="E2804" t="s" s="2">
        <v>17</v>
      </c>
      <c r="F2804" t="s" s="2">
        <f>HYPERLINK("http://ts.21cn.com/tousu/show/id/1371127","http://ts.21cn.com/tousu/show/id/1371127")</f>
      </c>
      <c r="G2804" t="s" s="2">
        <v>17</v>
      </c>
      <c r="H2804" t="s" s="2">
        <v>19</v>
      </c>
      <c r="I2804" t="s" s="2">
        <v>10968</v>
      </c>
      <c r="J2804" t="s" s="2">
        <v>10969</v>
      </c>
      <c r="K2804" t="s" s="2">
        <v>22</v>
      </c>
      <c r="L2804" t="s" s="2">
        <v>22</v>
      </c>
      <c r="M2804" t="s" s="2">
        <v>22</v>
      </c>
    </row>
    <row r="2805" ht="25.0" customHeight="true">
      <c r="A2805" t="s" s="2">
        <v>13</v>
      </c>
      <c r="B2805" t="s" s="2">
        <f>HYPERLINK("http://ts.21cn.com/tousu/show/id/1371126","无法偿还高利贷")</f>
      </c>
      <c r="C2805" t="s" s="2">
        <v>15</v>
      </c>
      <c r="D2805" t="s" s="2">
        <v>16</v>
      </c>
      <c r="E2805" t="s" s="2">
        <v>17</v>
      </c>
      <c r="F2805" t="s" s="2">
        <f>HYPERLINK("http://ts.21cn.com/tousu/show/id/1371126","http://ts.21cn.com/tousu/show/id/1371126")</f>
      </c>
      <c r="G2805" t="s" s="2">
        <v>17</v>
      </c>
      <c r="H2805" t="s" s="2">
        <v>19</v>
      </c>
      <c r="I2805" t="s" s="2">
        <v>10972</v>
      </c>
      <c r="J2805" t="s" s="2">
        <v>10973</v>
      </c>
      <c r="K2805" t="s" s="2">
        <v>22</v>
      </c>
      <c r="L2805" t="s" s="2">
        <v>22</v>
      </c>
      <c r="M2805" t="s" s="2">
        <v>22</v>
      </c>
    </row>
    <row r="2806" ht="25.0" customHeight="true">
      <c r="A2806" t="s" s="2">
        <v>13</v>
      </c>
      <c r="B2806" t="s" s="2">
        <f>HYPERLINK("http://ts.21cn.com/tousu/show/id/1371125","投诉哆啦宝（北京）科技有限公司，哆啦宝app扫码取消的订单不返款")</f>
      </c>
      <c r="C2806" t="s" s="2">
        <v>15</v>
      </c>
      <c r="D2806" t="s" s="2">
        <v>16</v>
      </c>
      <c r="E2806" t="s" s="2">
        <v>17</v>
      </c>
      <c r="F2806" t="s" s="2">
        <f>HYPERLINK("http://ts.21cn.com/tousu/show/id/1371125","http://ts.21cn.com/tousu/show/id/1371125")</f>
      </c>
      <c r="G2806" t="s" s="2">
        <v>17</v>
      </c>
      <c r="H2806" t="s" s="2">
        <v>19</v>
      </c>
      <c r="I2806" t="s" s="2">
        <v>10976</v>
      </c>
      <c r="J2806" t="s" s="2">
        <v>10977</v>
      </c>
      <c r="K2806" t="s" s="2">
        <v>22</v>
      </c>
      <c r="L2806" t="s" s="2">
        <v>22</v>
      </c>
      <c r="M2806" t="s" s="2">
        <v>22</v>
      </c>
    </row>
    <row r="2807" ht="25.0" customHeight="true">
      <c r="A2807" t="s" s="2">
        <v>13</v>
      </c>
      <c r="B2807" t="s" s="2">
        <f>HYPERLINK("http://ts.21cn.com/tousu/show/id/1371131","你我贷多扣管理费和贷后服务费")</f>
      </c>
      <c r="C2807" t="s" s="2">
        <v>15</v>
      </c>
      <c r="D2807" t="s" s="2">
        <v>16</v>
      </c>
      <c r="E2807" t="s" s="2">
        <v>17</v>
      </c>
      <c r="F2807" t="s" s="2">
        <f>HYPERLINK("http://ts.21cn.com/tousu/show/id/1371131","http://ts.21cn.com/tousu/show/id/1371131")</f>
      </c>
      <c r="G2807" t="s" s="2">
        <v>17</v>
      </c>
      <c r="H2807" t="s" s="2">
        <v>19</v>
      </c>
      <c r="I2807" t="s" s="2">
        <v>10980</v>
      </c>
      <c r="J2807" t="s" s="2">
        <v>10981</v>
      </c>
      <c r="K2807" t="s" s="2">
        <v>22</v>
      </c>
      <c r="L2807" t="s" s="2">
        <v>22</v>
      </c>
      <c r="M2807" t="s" s="2">
        <v>22</v>
      </c>
    </row>
    <row r="2808" ht="25.0" customHeight="true">
      <c r="A2808" t="s" s="2">
        <v>13</v>
      </c>
      <c r="B2808" t="s" s="2">
        <f>HYPERLINK("http://ts.21cn.com/tousu/show/id/1371123","拼多多每天短信骚扰")</f>
      </c>
      <c r="C2808" t="s" s="2">
        <v>15</v>
      </c>
      <c r="D2808" t="s" s="2">
        <v>16</v>
      </c>
      <c r="E2808" t="s" s="2">
        <v>17</v>
      </c>
      <c r="F2808" t="s" s="2">
        <f>HYPERLINK("http://ts.21cn.com/tousu/show/id/1371123","http://ts.21cn.com/tousu/show/id/1371123")</f>
      </c>
      <c r="G2808" t="s" s="2">
        <v>17</v>
      </c>
      <c r="H2808" t="s" s="2">
        <v>19</v>
      </c>
      <c r="I2808" t="s" s="2">
        <v>10984</v>
      </c>
      <c r="J2808" t="s" s="2">
        <v>10985</v>
      </c>
      <c r="K2808" t="s" s="2">
        <v>22</v>
      </c>
      <c r="L2808" t="s" s="2">
        <v>22</v>
      </c>
      <c r="M2808" t="s" s="2">
        <v>22</v>
      </c>
    </row>
    <row r="2809" ht="25.0" customHeight="true">
      <c r="A2809" t="s" s="2">
        <v>13</v>
      </c>
      <c r="B2809" t="s" s="2">
        <f>HYPERLINK("http://ts.21cn.com/tousu/show/id/1371122","支付宝为什么会显示我在盈盈理财显示逾期，这对我造成了影响")</f>
      </c>
      <c r="C2809" t="s" s="2">
        <v>15</v>
      </c>
      <c r="D2809" t="s" s="2">
        <v>16</v>
      </c>
      <c r="E2809" t="s" s="2">
        <v>17</v>
      </c>
      <c r="F2809" t="s" s="2">
        <f>HYPERLINK("http://ts.21cn.com/tousu/show/id/1371122","http://ts.21cn.com/tousu/show/id/1371122")</f>
      </c>
      <c r="G2809" t="s" s="2">
        <v>17</v>
      </c>
      <c r="H2809" t="s" s="2">
        <v>19</v>
      </c>
      <c r="I2809" t="s" s="2">
        <v>10984</v>
      </c>
      <c r="J2809" t="s" s="2">
        <v>10988</v>
      </c>
      <c r="K2809" t="s" s="2">
        <v>22</v>
      </c>
      <c r="L2809" t="s" s="2">
        <v>22</v>
      </c>
      <c r="M2809" t="s" s="2">
        <v>22</v>
      </c>
    </row>
    <row r="2810" ht="25.0" customHeight="true">
      <c r="A2810" t="s" s="2">
        <v>13</v>
      </c>
      <c r="B2810" t="s" s="2">
        <f>HYPERLINK("http://ts.21cn.com/tousu/show/id/1371121","粉红豹骚扰我通讯录好友")</f>
      </c>
      <c r="C2810" t="s" s="2">
        <v>15</v>
      </c>
      <c r="D2810" t="s" s="2">
        <v>16</v>
      </c>
      <c r="E2810" t="s" s="2">
        <v>17</v>
      </c>
      <c r="F2810" t="s" s="2">
        <f>HYPERLINK("http://ts.21cn.com/tousu/show/id/1371121","http://ts.21cn.com/tousu/show/id/1371121")</f>
      </c>
      <c r="G2810" t="s" s="2">
        <v>17</v>
      </c>
      <c r="H2810" t="s" s="2">
        <v>19</v>
      </c>
      <c r="I2810" t="s" s="2">
        <v>10991</v>
      </c>
      <c r="J2810" t="s" s="2">
        <v>10992</v>
      </c>
      <c r="K2810" t="s" s="2">
        <v>22</v>
      </c>
      <c r="L2810" t="s" s="2">
        <v>22</v>
      </c>
      <c r="M2810" t="s" s="2">
        <v>22</v>
      </c>
    </row>
    <row r="2811" ht="25.0" customHeight="true">
      <c r="A2811" t="s" s="2">
        <v>13</v>
      </c>
      <c r="B2811" t="s" s="2">
        <f>HYPERLINK("http://ts.21cn.com/tousu/show/id/1371119","投诉我来贷以居加管理费强加算为利息")</f>
      </c>
      <c r="C2811" t="s" s="2">
        <v>15</v>
      </c>
      <c r="D2811" t="s" s="2">
        <v>16</v>
      </c>
      <c r="E2811" t="s" s="2">
        <v>17</v>
      </c>
      <c r="F2811" t="s" s="2">
        <f>HYPERLINK("http://ts.21cn.com/tousu/show/id/1371119","http://ts.21cn.com/tousu/show/id/1371119")</f>
      </c>
      <c r="G2811" t="s" s="2">
        <v>17</v>
      </c>
      <c r="H2811" t="s" s="2">
        <v>19</v>
      </c>
      <c r="I2811" t="s" s="2">
        <v>10995</v>
      </c>
      <c r="J2811" t="s" s="2">
        <v>10996</v>
      </c>
      <c r="K2811" t="s" s="2">
        <v>22</v>
      </c>
      <c r="L2811" t="s" s="2">
        <v>22</v>
      </c>
      <c r="M2811" t="s" s="2">
        <v>22</v>
      </c>
    </row>
    <row r="2812" ht="25.0" customHeight="true">
      <c r="A2812" t="s" s="2">
        <v>13</v>
      </c>
      <c r="B2812" t="s" s="2">
        <f>HYPERLINK("http://ts.21cn.com/tousu/show/id/1371118","威胁人身攻击")</f>
      </c>
      <c r="C2812" t="s" s="2">
        <v>15</v>
      </c>
      <c r="D2812" t="s" s="2">
        <v>16</v>
      </c>
      <c r="E2812" t="s" s="2">
        <v>17</v>
      </c>
      <c r="F2812" t="s" s="2">
        <f>HYPERLINK("http://ts.21cn.com/tousu/show/id/1371118","http://ts.21cn.com/tousu/show/id/1371118")</f>
      </c>
      <c r="G2812" t="s" s="2">
        <v>17</v>
      </c>
      <c r="H2812" t="s" s="2">
        <v>19</v>
      </c>
      <c r="I2812" t="s" s="2">
        <v>10999</v>
      </c>
      <c r="J2812" t="s" s="2">
        <v>11000</v>
      </c>
      <c r="K2812" t="s" s="2">
        <v>22</v>
      </c>
      <c r="L2812" t="s" s="2">
        <v>22</v>
      </c>
      <c r="M2812" t="s" s="2">
        <v>22</v>
      </c>
    </row>
    <row r="2813" ht="25.0" customHeight="true">
      <c r="A2813" t="s" s="2">
        <v>13</v>
      </c>
      <c r="B2813" t="s" s="2">
        <f>HYPERLINK("http://ts.21cn.com/tousu/show/id/1371120","快件丢失短少，客服不解决")</f>
      </c>
      <c r="C2813" t="s" s="2">
        <v>15</v>
      </c>
      <c r="D2813" t="s" s="2">
        <v>16</v>
      </c>
      <c r="E2813" t="s" s="2">
        <v>17</v>
      </c>
      <c r="F2813" t="s" s="2">
        <f>HYPERLINK("http://ts.21cn.com/tousu/show/id/1371120","http://ts.21cn.com/tousu/show/id/1371120")</f>
      </c>
      <c r="G2813" t="s" s="2">
        <v>17</v>
      </c>
      <c r="H2813" t="s" s="2">
        <v>19</v>
      </c>
      <c r="I2813" t="s" s="2">
        <v>11003</v>
      </c>
      <c r="J2813" t="s" s="2">
        <v>11004</v>
      </c>
      <c r="K2813" t="s" s="2">
        <v>22</v>
      </c>
      <c r="L2813" t="s" s="2">
        <v>22</v>
      </c>
      <c r="M2813" t="s" s="2">
        <v>22</v>
      </c>
    </row>
    <row r="2814" ht="25.0" customHeight="true">
      <c r="A2814" t="s" s="2">
        <v>13</v>
      </c>
      <c r="B2814" t="s" s="2">
        <f>HYPERLINK("http://ts.21cn.com/tousu/show/id/1371117","暴力催收，态度恶劣")</f>
      </c>
      <c r="C2814" t="s" s="2">
        <v>15</v>
      </c>
      <c r="D2814" t="s" s="2">
        <v>16</v>
      </c>
      <c r="E2814" t="s" s="2">
        <v>17</v>
      </c>
      <c r="F2814" t="s" s="2">
        <f>HYPERLINK("http://ts.21cn.com/tousu/show/id/1371117","http://ts.21cn.com/tousu/show/id/1371117")</f>
      </c>
      <c r="G2814" t="s" s="2">
        <v>17</v>
      </c>
      <c r="H2814" t="s" s="2">
        <v>19</v>
      </c>
      <c r="I2814" t="s" s="2">
        <v>11007</v>
      </c>
      <c r="J2814" t="s" s="2">
        <v>11008</v>
      </c>
      <c r="K2814" t="s" s="2">
        <v>22</v>
      </c>
      <c r="L2814" t="s" s="2">
        <v>22</v>
      </c>
      <c r="M2814" t="s" s="2">
        <v>22</v>
      </c>
    </row>
    <row r="2815" ht="25.0" customHeight="true">
      <c r="A2815" t="s" s="2">
        <v>13</v>
      </c>
      <c r="B2815" t="s" s="2">
        <f>HYPERLINK("http://ts.21cn.com/tousu/show/id/1371116","多次与兴业银行沟通，但第三方仍然威逼一次全额还款")</f>
      </c>
      <c r="C2815" t="s" s="2">
        <v>15</v>
      </c>
      <c r="D2815" t="s" s="2">
        <v>16</v>
      </c>
      <c r="E2815" t="s" s="2">
        <v>17</v>
      </c>
      <c r="F2815" t="s" s="2">
        <f>HYPERLINK("http://ts.21cn.com/tousu/show/id/1371116","http://ts.21cn.com/tousu/show/id/1371116")</f>
      </c>
      <c r="G2815" t="s" s="2">
        <v>17</v>
      </c>
      <c r="H2815" t="s" s="2">
        <v>19</v>
      </c>
      <c r="I2815" t="s" s="2">
        <v>11011</v>
      </c>
      <c r="J2815" t="s" s="2">
        <v>11012</v>
      </c>
      <c r="K2815" t="s" s="2">
        <v>22</v>
      </c>
      <c r="L2815" t="s" s="2">
        <v>22</v>
      </c>
      <c r="M2815" t="s" s="2">
        <v>22</v>
      </c>
    </row>
    <row r="2816" ht="25.0" customHeight="true">
      <c r="A2816" t="s" s="2">
        <v>13</v>
      </c>
      <c r="B2816" t="s" s="2">
        <f>HYPERLINK("http://ts.21cn.com/tousu/show/id/1371115","闪电借款再三上门催收")</f>
      </c>
      <c r="C2816" t="s" s="2">
        <v>15</v>
      </c>
      <c r="D2816" t="s" s="2">
        <v>16</v>
      </c>
      <c r="E2816" t="s" s="2">
        <v>17</v>
      </c>
      <c r="F2816" t="s" s="2">
        <f>HYPERLINK("http://ts.21cn.com/tousu/show/id/1371115","http://ts.21cn.com/tousu/show/id/1371115")</f>
      </c>
      <c r="G2816" t="s" s="2">
        <v>17</v>
      </c>
      <c r="H2816" t="s" s="2">
        <v>19</v>
      </c>
      <c r="I2816" t="s" s="2">
        <v>11015</v>
      </c>
      <c r="J2816" t="s" s="2">
        <v>11016</v>
      </c>
      <c r="K2816" t="s" s="2">
        <v>22</v>
      </c>
      <c r="L2816" t="s" s="2">
        <v>22</v>
      </c>
      <c r="M2816" t="s" s="2">
        <v>22</v>
      </c>
    </row>
    <row r="2817" ht="25.0" customHeight="true">
      <c r="A2817" t="s" s="2">
        <v>13</v>
      </c>
      <c r="B2817" t="s" s="2">
        <f>HYPERLINK("http://ts.21cn.com/tousu/show/id/1371113","卧龙钱包")</f>
      </c>
      <c r="C2817" t="s" s="2">
        <v>15</v>
      </c>
      <c r="D2817" t="s" s="2">
        <v>16</v>
      </c>
      <c r="E2817" t="s" s="2">
        <v>17</v>
      </c>
      <c r="F2817" t="s" s="2">
        <f>HYPERLINK("http://ts.21cn.com/tousu/show/id/1371113","http://ts.21cn.com/tousu/show/id/1371113")</f>
      </c>
      <c r="G2817" t="s" s="2">
        <v>17</v>
      </c>
      <c r="H2817" t="s" s="2">
        <v>19</v>
      </c>
      <c r="I2817" t="s" s="2">
        <v>11019</v>
      </c>
      <c r="J2817" t="s" s="2">
        <v>11020</v>
      </c>
      <c r="K2817" t="s" s="2">
        <v>22</v>
      </c>
      <c r="L2817" t="s" s="2">
        <v>22</v>
      </c>
      <c r="M2817" t="s" s="2">
        <v>22</v>
      </c>
    </row>
    <row r="2818" ht="25.0" customHeight="true">
      <c r="A2818" t="s" s="2">
        <v>13</v>
      </c>
      <c r="B2818" t="s" s="2">
        <f>HYPERLINK("http://ts.21cn.com/tousu/show/id/1371112","投诉北京市渊大教育科技限公司，要求退我学费")</f>
      </c>
      <c r="C2818" t="s" s="2">
        <v>15</v>
      </c>
      <c r="D2818" t="s" s="2">
        <v>16</v>
      </c>
      <c r="E2818" t="s" s="2">
        <v>17</v>
      </c>
      <c r="F2818" t="s" s="2">
        <f>HYPERLINK("http://ts.21cn.com/tousu/show/id/1371112","http://ts.21cn.com/tousu/show/id/1371112")</f>
      </c>
      <c r="G2818" t="s" s="2">
        <v>17</v>
      </c>
      <c r="H2818" t="s" s="2">
        <v>19</v>
      </c>
      <c r="I2818" t="s" s="2">
        <v>11023</v>
      </c>
      <c r="J2818" t="s" s="2">
        <v>11024</v>
      </c>
      <c r="K2818" t="s" s="2">
        <v>22</v>
      </c>
      <c r="L2818" t="s" s="2">
        <v>22</v>
      </c>
      <c r="M2818" t="s" s="2">
        <v>22</v>
      </c>
    </row>
    <row r="2819" ht="25.0" customHeight="true">
      <c r="A2819" t="s" s="2">
        <v>13</v>
      </c>
      <c r="B2819" t="s" s="2">
        <f>HYPERLINK("http://ts.21cn.com/tousu/show/id/1371111","网贷暴力催收")</f>
      </c>
      <c r="C2819" t="s" s="2">
        <v>15</v>
      </c>
      <c r="D2819" t="s" s="2">
        <v>16</v>
      </c>
      <c r="E2819" t="s" s="2">
        <v>17</v>
      </c>
      <c r="F2819" t="s" s="2">
        <f>HYPERLINK("http://ts.21cn.com/tousu/show/id/1371111","http://ts.21cn.com/tousu/show/id/1371111")</f>
      </c>
      <c r="G2819" t="s" s="2">
        <v>17</v>
      </c>
      <c r="H2819" t="s" s="2">
        <v>19</v>
      </c>
      <c r="I2819" t="s" s="2">
        <v>11026</v>
      </c>
      <c r="J2819" t="s" s="2">
        <v>11027</v>
      </c>
      <c r="K2819" t="s" s="2">
        <v>22</v>
      </c>
      <c r="L2819" t="s" s="2">
        <v>22</v>
      </c>
      <c r="M2819" t="s" s="2">
        <v>22</v>
      </c>
    </row>
    <row r="2820" ht="25.0" customHeight="true">
      <c r="A2820" t="s" s="2">
        <v>13</v>
      </c>
      <c r="B2820" t="s" s="2">
        <f>HYPERLINK("http://ts.21cn.com/tousu/show/id/1371109","现金巴士威胁恐吓。无法协商，暴力催收。高利贷。砍头息")</f>
      </c>
      <c r="C2820" t="s" s="2">
        <v>15</v>
      </c>
      <c r="D2820" t="s" s="2">
        <v>16</v>
      </c>
      <c r="E2820" t="s" s="2">
        <v>17</v>
      </c>
      <c r="F2820" t="s" s="2">
        <f>HYPERLINK("http://ts.21cn.com/tousu/show/id/1371109","http://ts.21cn.com/tousu/show/id/1371109")</f>
      </c>
      <c r="G2820" t="s" s="2">
        <v>17</v>
      </c>
      <c r="H2820" t="s" s="2">
        <v>19</v>
      </c>
      <c r="I2820" t="s" s="2">
        <v>11030</v>
      </c>
      <c r="J2820" t="s" s="2">
        <v>11031</v>
      </c>
      <c r="K2820" t="s" s="2">
        <v>22</v>
      </c>
      <c r="L2820" t="s" s="2">
        <v>22</v>
      </c>
      <c r="M2820" t="s" s="2">
        <v>22</v>
      </c>
    </row>
    <row r="2821" ht="25.0" customHeight="true">
      <c r="A2821" t="s" s="2">
        <v>13</v>
      </c>
      <c r="B2821" t="s" s="2">
        <f>HYPERLINK("http://ts.21cn.com/tousu/show/id/1371107","平安普惠氧气袋")</f>
      </c>
      <c r="C2821" t="s" s="2">
        <v>15</v>
      </c>
      <c r="D2821" t="s" s="2">
        <v>16</v>
      </c>
      <c r="E2821" t="s" s="2">
        <v>17</v>
      </c>
      <c r="F2821" t="s" s="2">
        <f>HYPERLINK("http://ts.21cn.com/tousu/show/id/1371107","http://ts.21cn.com/tousu/show/id/1371107")</f>
      </c>
      <c r="G2821" t="s" s="2">
        <v>17</v>
      </c>
      <c r="H2821" t="s" s="2">
        <v>19</v>
      </c>
      <c r="I2821" t="s" s="2">
        <v>11034</v>
      </c>
      <c r="J2821" t="s" s="2">
        <v>11035</v>
      </c>
      <c r="K2821" t="s" s="2">
        <v>22</v>
      </c>
      <c r="L2821" t="s" s="2">
        <v>22</v>
      </c>
      <c r="M2821" t="s" s="2">
        <v>22</v>
      </c>
    </row>
    <row r="2822" ht="25.0" customHeight="true">
      <c r="A2822" t="s" s="2">
        <v>13</v>
      </c>
      <c r="B2822" t="s" s="2">
        <f>HYPERLINK("http://ts.21cn.com/tousu/show/id/1371106","好分期套路贷，高利贷、阴阳合同，暴力催收、爆通讯录，骚扰亲朋好友")</f>
      </c>
      <c r="C2822" t="s" s="2">
        <v>15</v>
      </c>
      <c r="D2822" t="s" s="2">
        <v>16</v>
      </c>
      <c r="E2822" t="s" s="2">
        <v>17</v>
      </c>
      <c r="F2822" t="s" s="2">
        <f>HYPERLINK("http://ts.21cn.com/tousu/show/id/1371106","http://ts.21cn.com/tousu/show/id/1371106")</f>
      </c>
      <c r="G2822" t="s" s="2">
        <v>17</v>
      </c>
      <c r="H2822" t="s" s="2">
        <v>19</v>
      </c>
      <c r="I2822" t="s" s="2">
        <v>11038</v>
      </c>
      <c r="J2822" t="s" s="2">
        <v>11039</v>
      </c>
      <c r="K2822" t="s" s="2">
        <v>22</v>
      </c>
      <c r="L2822" t="s" s="2">
        <v>22</v>
      </c>
      <c r="M2822" t="s" s="2">
        <v>22</v>
      </c>
    </row>
    <row r="2823" ht="25.0" customHeight="true">
      <c r="A2823" t="s" s="2">
        <v>13</v>
      </c>
      <c r="B2823" t="s" s="2">
        <f>HYPERLINK("http://ts.21cn.com/tousu/show/id/1371105","聚福钱包未经许可私自扣款")</f>
      </c>
      <c r="C2823" t="s" s="2">
        <v>15</v>
      </c>
      <c r="D2823" t="s" s="2">
        <v>16</v>
      </c>
      <c r="E2823" t="s" s="2">
        <v>17</v>
      </c>
      <c r="F2823" t="s" s="2">
        <f>HYPERLINK("http://ts.21cn.com/tousu/show/id/1371105","http://ts.21cn.com/tousu/show/id/1371105")</f>
      </c>
      <c r="G2823" t="s" s="2">
        <v>17</v>
      </c>
      <c r="H2823" t="s" s="2">
        <v>19</v>
      </c>
      <c r="I2823" t="s" s="2">
        <v>11041</v>
      </c>
      <c r="J2823" t="s" s="2">
        <v>11042</v>
      </c>
      <c r="K2823" t="s" s="2">
        <v>22</v>
      </c>
      <c r="L2823" t="s" s="2">
        <v>22</v>
      </c>
      <c r="M2823" t="s" s="2">
        <v>22</v>
      </c>
    </row>
    <row r="2824" ht="25.0" customHeight="true">
      <c r="A2824" t="s" s="2">
        <v>13</v>
      </c>
      <c r="B2824" t="s" s="2">
        <f>HYPERLINK("http://ts.21cn.com/tousu/show/id/1371104","浦发万用金浦发信用卡")</f>
      </c>
      <c r="C2824" t="s" s="2">
        <v>15</v>
      </c>
      <c r="D2824" t="s" s="2">
        <v>16</v>
      </c>
      <c r="E2824" t="s" s="2">
        <v>17</v>
      </c>
      <c r="F2824" t="s" s="2">
        <f>HYPERLINK("http://ts.21cn.com/tousu/show/id/1371104","http://ts.21cn.com/tousu/show/id/1371104")</f>
      </c>
      <c r="G2824" t="s" s="2">
        <v>17</v>
      </c>
      <c r="H2824" t="s" s="2">
        <v>19</v>
      </c>
      <c r="I2824" t="s" s="2">
        <v>11045</v>
      </c>
      <c r="J2824" t="s" s="2">
        <v>11046</v>
      </c>
      <c r="K2824" t="s" s="2">
        <v>22</v>
      </c>
      <c r="L2824" t="s" s="2">
        <v>22</v>
      </c>
      <c r="M2824" t="s" s="2">
        <v>22</v>
      </c>
    </row>
    <row r="2825" ht="25.0" customHeight="true">
      <c r="A2825" t="s" s="2">
        <v>13</v>
      </c>
      <c r="B2825" t="s" s="2">
        <f>HYPERLINK("http://ts.21cn.com/tousu/show/id/1371103","马上消费金融高利贷借2万还28800")</f>
      </c>
      <c r="C2825" t="s" s="2">
        <v>15</v>
      </c>
      <c r="D2825" t="s" s="2">
        <v>16</v>
      </c>
      <c r="E2825" t="s" s="2">
        <v>17</v>
      </c>
      <c r="F2825" t="s" s="2">
        <f>HYPERLINK("http://ts.21cn.com/tousu/show/id/1371103","http://ts.21cn.com/tousu/show/id/1371103")</f>
      </c>
      <c r="G2825" t="s" s="2">
        <v>17</v>
      </c>
      <c r="H2825" t="s" s="2">
        <v>19</v>
      </c>
      <c r="I2825" t="s" s="2">
        <v>11049</v>
      </c>
      <c r="J2825" t="s" s="2">
        <v>11050</v>
      </c>
      <c r="K2825" t="s" s="2">
        <v>22</v>
      </c>
      <c r="L2825" t="s" s="2">
        <v>22</v>
      </c>
      <c r="M2825" t="s" s="2">
        <v>22</v>
      </c>
    </row>
    <row r="2826" ht="25.0" customHeight="true">
      <c r="A2826" t="s" s="2">
        <v>13</v>
      </c>
      <c r="B2826" t="s" s="2">
        <f>HYPERLINK("http://ts.21cn.com/tousu/show/id/1371101","滴滴平台乱扣分")</f>
      </c>
      <c r="C2826" t="s" s="2">
        <v>15</v>
      </c>
      <c r="D2826" t="s" s="2">
        <v>16</v>
      </c>
      <c r="E2826" t="s" s="2">
        <v>17</v>
      </c>
      <c r="F2826" t="s" s="2">
        <f>HYPERLINK("http://ts.21cn.com/tousu/show/id/1371101","http://ts.21cn.com/tousu/show/id/1371101")</f>
      </c>
      <c r="G2826" t="s" s="2">
        <v>17</v>
      </c>
      <c r="H2826" t="s" s="2">
        <v>19</v>
      </c>
      <c r="I2826" t="s" s="2">
        <v>11053</v>
      </c>
      <c r="J2826" t="s" s="2">
        <v>11054</v>
      </c>
      <c r="K2826" t="s" s="2">
        <v>22</v>
      </c>
      <c r="L2826" t="s" s="2">
        <v>22</v>
      </c>
      <c r="M2826" t="s" s="2">
        <v>22</v>
      </c>
    </row>
    <row r="2827" ht="25.0" customHeight="true">
      <c r="A2827" t="s" s="2">
        <v>13</v>
      </c>
      <c r="B2827" t="s" s="2">
        <f>HYPERLINK("http://ts.21cn.com/tousu/show/id/1371102","说好的退差价")</f>
      </c>
      <c r="C2827" t="s" s="2">
        <v>52</v>
      </c>
      <c r="D2827" t="s" s="2">
        <v>16</v>
      </c>
      <c r="E2827" t="s" s="2">
        <v>17</v>
      </c>
      <c r="F2827" t="s" s="2">
        <f>HYPERLINK("http://ts.21cn.com/tousu/show/id/1371102","http://ts.21cn.com/tousu/show/id/1371102")</f>
      </c>
      <c r="G2827" t="s" s="2">
        <v>17</v>
      </c>
      <c r="H2827" t="s" s="2">
        <v>19</v>
      </c>
      <c r="I2827" t="s" s="2">
        <v>11057</v>
      </c>
      <c r="J2827" t="s" s="2">
        <v>11058</v>
      </c>
      <c r="K2827" t="s" s="2">
        <v>22</v>
      </c>
      <c r="L2827" t="s" s="2">
        <v>22</v>
      </c>
      <c r="M2827" t="s" s="2">
        <v>22</v>
      </c>
    </row>
    <row r="2828" ht="25.0" customHeight="true">
      <c r="A2828" t="s" s="2">
        <v>13</v>
      </c>
      <c r="B2828" t="s" s="2">
        <f>HYPERLINK("http://ts.21cn.com/tousu/show/id/1371100","龙行管家虚假宣传误导办卡")</f>
      </c>
      <c r="C2828" t="s" s="2">
        <v>15</v>
      </c>
      <c r="D2828" t="s" s="2">
        <v>16</v>
      </c>
      <c r="E2828" t="s" s="2">
        <v>17</v>
      </c>
      <c r="F2828" t="s" s="2">
        <f>HYPERLINK("http://ts.21cn.com/tousu/show/id/1371100","http://ts.21cn.com/tousu/show/id/1371100")</f>
      </c>
      <c r="G2828" t="s" s="2">
        <v>17</v>
      </c>
      <c r="H2828" t="s" s="2">
        <v>19</v>
      </c>
      <c r="I2828" t="s" s="2">
        <v>11061</v>
      </c>
      <c r="J2828" t="s" s="2">
        <v>11062</v>
      </c>
      <c r="K2828" t="s" s="2">
        <v>22</v>
      </c>
      <c r="L2828" t="s" s="2">
        <v>22</v>
      </c>
      <c r="M2828" t="s" s="2">
        <v>22</v>
      </c>
    </row>
    <row r="2829" ht="25.0" customHeight="true">
      <c r="A2829" t="s" s="2">
        <v>13</v>
      </c>
      <c r="B2829" t="s" s="2">
        <f>HYPERLINK("http://ts.21cn.com/tousu/show/id/1371099","上海富友给套路贷提供支付渠道坑害百姓")</f>
      </c>
      <c r="C2829" t="s" s="2">
        <v>15</v>
      </c>
      <c r="D2829" t="s" s="2">
        <v>16</v>
      </c>
      <c r="E2829" t="s" s="2">
        <v>17</v>
      </c>
      <c r="F2829" t="s" s="2">
        <f>HYPERLINK("http://ts.21cn.com/tousu/show/id/1371099","http://ts.21cn.com/tousu/show/id/1371099")</f>
      </c>
      <c r="G2829" t="s" s="2">
        <v>17</v>
      </c>
      <c r="H2829" t="s" s="2">
        <v>19</v>
      </c>
      <c r="I2829" t="s" s="2">
        <v>11065</v>
      </c>
      <c r="J2829" t="s" s="2">
        <v>11066</v>
      </c>
      <c r="K2829" t="s" s="2">
        <v>22</v>
      </c>
      <c r="L2829" t="s" s="2">
        <v>22</v>
      </c>
      <c r="M2829" t="s" s="2">
        <v>22</v>
      </c>
    </row>
    <row r="2830" ht="25.0" customHeight="true">
      <c r="A2830" t="s" s="2">
        <v>13</v>
      </c>
      <c r="B2830" t="s" s="2">
        <f>HYPERLINK("http://ts.21cn.com/tousu/show/id/1371098","苏宁易购361度官方旗舰店售后服务质量差")</f>
      </c>
      <c r="C2830" t="s" s="2">
        <v>15</v>
      </c>
      <c r="D2830" t="s" s="2">
        <v>16</v>
      </c>
      <c r="E2830" t="s" s="2">
        <v>17</v>
      </c>
      <c r="F2830" t="s" s="2">
        <f>HYPERLINK("http://ts.21cn.com/tousu/show/id/1371098","http://ts.21cn.com/tousu/show/id/1371098")</f>
      </c>
      <c r="G2830" t="s" s="2">
        <v>17</v>
      </c>
      <c r="H2830" t="s" s="2">
        <v>19</v>
      </c>
      <c r="I2830" t="s" s="2">
        <v>11069</v>
      </c>
      <c r="J2830" t="s" s="2">
        <v>11070</v>
      </c>
      <c r="K2830" t="s" s="2">
        <v>22</v>
      </c>
      <c r="L2830" t="s" s="2">
        <v>22</v>
      </c>
      <c r="M2830" t="s" s="2">
        <v>22</v>
      </c>
    </row>
    <row r="2831" ht="25.0" customHeight="true">
      <c r="A2831" t="s" s="2">
        <v>13</v>
      </c>
      <c r="B2831" t="s" s="2">
        <f>HYPERLINK("http://ts.21cn.com/tousu/show/id/1371097","捷信超利贷")</f>
      </c>
      <c r="C2831" t="s" s="2">
        <v>15</v>
      </c>
      <c r="D2831" t="s" s="2">
        <v>16</v>
      </c>
      <c r="E2831" t="s" s="2">
        <v>17</v>
      </c>
      <c r="F2831" t="s" s="2">
        <f>HYPERLINK("http://ts.21cn.com/tousu/show/id/1371097","http://ts.21cn.com/tousu/show/id/1371097")</f>
      </c>
      <c r="G2831" t="s" s="2">
        <v>17</v>
      </c>
      <c r="H2831" t="s" s="2">
        <v>19</v>
      </c>
      <c r="I2831" t="s" s="2">
        <v>11073</v>
      </c>
      <c r="J2831" t="s" s="2">
        <v>11074</v>
      </c>
      <c r="K2831" t="s" s="2">
        <v>22</v>
      </c>
      <c r="L2831" t="s" s="2">
        <v>22</v>
      </c>
      <c r="M2831" t="s" s="2">
        <v>22</v>
      </c>
    </row>
    <row r="2832" ht="25.0" customHeight="true">
      <c r="A2832" t="s" s="2">
        <v>13</v>
      </c>
      <c r="B2832" t="s" s="2">
        <f>HYPERLINK("http://ts.21cn.com/tousu/show/id/1371096","该死的国美易卡，之前就投诉了，一直没有回应")</f>
      </c>
      <c r="C2832" t="s" s="2">
        <v>15</v>
      </c>
      <c r="D2832" t="s" s="2">
        <v>16</v>
      </c>
      <c r="E2832" t="s" s="2">
        <v>17</v>
      </c>
      <c r="F2832" t="s" s="2">
        <f>HYPERLINK("http://ts.21cn.com/tousu/show/id/1371096","http://ts.21cn.com/tousu/show/id/1371096")</f>
      </c>
      <c r="G2832" t="s" s="2">
        <v>17</v>
      </c>
      <c r="H2832" t="s" s="2">
        <v>19</v>
      </c>
      <c r="I2832" t="s" s="2">
        <v>11077</v>
      </c>
      <c r="J2832" t="s" s="2">
        <v>11078</v>
      </c>
      <c r="K2832" t="s" s="2">
        <v>22</v>
      </c>
      <c r="L2832" t="s" s="2">
        <v>22</v>
      </c>
      <c r="M2832" t="s" s="2">
        <v>22</v>
      </c>
    </row>
    <row r="2833" ht="25.0" customHeight="true">
      <c r="A2833" t="s" s="2">
        <v>13</v>
      </c>
      <c r="B2833" t="s" s="2">
        <f>HYPERLINK("http://ts.21cn.com/tousu/show/id/1369383","佰悦乐家又坑害消费者")</f>
      </c>
      <c r="C2833" t="s" s="2">
        <v>15</v>
      </c>
      <c r="D2833" t="s" s="2">
        <v>16</v>
      </c>
      <c r="E2833" t="s" s="2">
        <v>17</v>
      </c>
      <c r="F2833" t="s" s="2">
        <f>HYPERLINK("http://ts.21cn.com/tousu/show/id/1369383","http://ts.21cn.com/tousu/show/id/1369383")</f>
      </c>
      <c r="G2833" t="s" s="2">
        <v>17</v>
      </c>
      <c r="H2833" t="s" s="2">
        <v>19</v>
      </c>
      <c r="I2833" t="s" s="2">
        <v>11081</v>
      </c>
      <c r="J2833" t="s" s="2">
        <v>11082</v>
      </c>
      <c r="K2833" t="s" s="2">
        <v>22</v>
      </c>
      <c r="L2833" t="s" s="2">
        <v>22</v>
      </c>
      <c r="M2833" t="s" s="2">
        <v>22</v>
      </c>
    </row>
    <row r="2834" ht="25.0" customHeight="true">
      <c r="A2834" t="s" s="2">
        <v>13</v>
      </c>
      <c r="B2834" t="s" s="2">
        <f>HYPERLINK("http://ts.21cn.com/tousu/show/id/1371095","快卡闪贷暴力催收，未经本人同意拨打通讯录号码")</f>
      </c>
      <c r="C2834" t="s" s="2">
        <v>15</v>
      </c>
      <c r="D2834" t="s" s="2">
        <v>16</v>
      </c>
      <c r="E2834" t="s" s="2">
        <v>17</v>
      </c>
      <c r="F2834" t="s" s="2">
        <f>HYPERLINK("http://ts.21cn.com/tousu/show/id/1371095","http://ts.21cn.com/tousu/show/id/1371095")</f>
      </c>
      <c r="G2834" t="s" s="2">
        <v>17</v>
      </c>
      <c r="H2834" t="s" s="2">
        <v>19</v>
      </c>
      <c r="I2834" t="s" s="2">
        <v>11085</v>
      </c>
      <c r="J2834" t="s" s="2">
        <v>11086</v>
      </c>
      <c r="K2834" t="s" s="2">
        <v>22</v>
      </c>
      <c r="L2834" t="s" s="2">
        <v>22</v>
      </c>
      <c r="M2834" t="s" s="2">
        <v>22</v>
      </c>
    </row>
    <row r="2835" ht="25.0" customHeight="true">
      <c r="A2835" t="s" s="2">
        <v>13</v>
      </c>
      <c r="B2835" t="s" s="2">
        <f>HYPERLINK("http://ts.21cn.com/tousu/show/id/1371094","被暴力催收，语音恐吓。")</f>
      </c>
      <c r="C2835" t="s" s="2">
        <v>15</v>
      </c>
      <c r="D2835" t="s" s="2">
        <v>16</v>
      </c>
      <c r="E2835" t="s" s="2">
        <v>17</v>
      </c>
      <c r="F2835" t="s" s="2">
        <f>HYPERLINK("http://ts.21cn.com/tousu/show/id/1371094","http://ts.21cn.com/tousu/show/id/1371094")</f>
      </c>
      <c r="G2835" t="s" s="2">
        <v>17</v>
      </c>
      <c r="H2835" t="s" s="2">
        <v>19</v>
      </c>
      <c r="I2835" t="s" s="2">
        <v>11089</v>
      </c>
      <c r="J2835" t="s" s="2">
        <v>11090</v>
      </c>
      <c r="K2835" t="s" s="2">
        <v>22</v>
      </c>
      <c r="L2835" t="s" s="2">
        <v>22</v>
      </c>
      <c r="M2835" t="s" s="2">
        <v>22</v>
      </c>
    </row>
    <row r="2836" ht="25.0" customHeight="true">
      <c r="A2836" t="s" s="2">
        <v>13</v>
      </c>
      <c r="B2836" t="s" s="2">
        <f>HYPERLINK("http://ts.21cn.com/tousu/show/id/1371093","辱骂骚扰")</f>
      </c>
      <c r="C2836" t="s" s="2">
        <v>15</v>
      </c>
      <c r="D2836" t="s" s="2">
        <v>16</v>
      </c>
      <c r="E2836" t="s" s="2">
        <v>17</v>
      </c>
      <c r="F2836" t="s" s="2">
        <f>HYPERLINK("http://ts.21cn.com/tousu/show/id/1371093","http://ts.21cn.com/tousu/show/id/1371093")</f>
      </c>
      <c r="G2836" t="s" s="2">
        <v>17</v>
      </c>
      <c r="H2836" t="s" s="2">
        <v>19</v>
      </c>
      <c r="I2836" t="s" s="2">
        <v>11093</v>
      </c>
      <c r="J2836" t="s" s="2">
        <v>11094</v>
      </c>
      <c r="K2836" t="s" s="2">
        <v>22</v>
      </c>
      <c r="L2836" t="s" s="2">
        <v>22</v>
      </c>
      <c r="M2836" t="s" s="2">
        <v>22</v>
      </c>
    </row>
    <row r="2837" ht="25.0" customHeight="true">
      <c r="A2837" t="s" s="2">
        <v>13</v>
      </c>
      <c r="B2837" t="s" s="2">
        <f>HYPERLINK("http://ts.21cn.com/tousu/show/id/1371092","威胁，爆通迅录")</f>
      </c>
      <c r="C2837" t="s" s="2">
        <v>52</v>
      </c>
      <c r="D2837" t="s" s="2">
        <v>16</v>
      </c>
      <c r="E2837" t="s" s="2">
        <v>17</v>
      </c>
      <c r="F2837" t="s" s="2">
        <f>HYPERLINK("http://ts.21cn.com/tousu/show/id/1371092","http://ts.21cn.com/tousu/show/id/1371092")</f>
      </c>
      <c r="G2837" t="s" s="2">
        <v>17</v>
      </c>
      <c r="H2837" t="s" s="2">
        <v>19</v>
      </c>
      <c r="I2837" t="s" s="2">
        <v>11097</v>
      </c>
      <c r="J2837" t="s" s="2">
        <v>11098</v>
      </c>
      <c r="K2837" t="s" s="2">
        <v>22</v>
      </c>
      <c r="L2837" t="s" s="2">
        <v>22</v>
      </c>
      <c r="M2837" t="s" s="2">
        <v>22</v>
      </c>
    </row>
    <row r="2838" ht="25.0" customHeight="true">
      <c r="A2838" t="s" s="2">
        <v>13</v>
      </c>
      <c r="B2838" t="s" s="2">
        <f>HYPERLINK("http://ts.21cn.com/tousu/show/id/1370572","欺诈消费者侵犯消费者权益")</f>
      </c>
      <c r="C2838" t="s" s="2">
        <v>15</v>
      </c>
      <c r="D2838" t="s" s="2">
        <v>16</v>
      </c>
      <c r="E2838" t="s" s="2">
        <v>17</v>
      </c>
      <c r="F2838" t="s" s="2">
        <f>HYPERLINK("http://ts.21cn.com/tousu/show/id/1370572","http://ts.21cn.com/tousu/show/id/1370572")</f>
      </c>
      <c r="G2838" t="s" s="2">
        <v>17</v>
      </c>
      <c r="H2838" t="s" s="2">
        <v>19</v>
      </c>
      <c r="I2838" t="s" s="2">
        <v>11101</v>
      </c>
      <c r="J2838" t="s" s="2">
        <v>11102</v>
      </c>
      <c r="K2838" t="s" s="2">
        <v>22</v>
      </c>
      <c r="L2838" t="s" s="2">
        <v>22</v>
      </c>
      <c r="M2838" t="s" s="2">
        <v>22</v>
      </c>
    </row>
    <row r="2839" ht="25.0" customHeight="true">
      <c r="A2839" t="s" s="2">
        <v>13</v>
      </c>
      <c r="B2839" t="s" s="2">
        <f>HYPERLINK("http://ts.21cn.com/tousu/show/id/1371090","有钱花催收骚扰恐吓")</f>
      </c>
      <c r="C2839" t="s" s="2">
        <v>15</v>
      </c>
      <c r="D2839" t="s" s="2">
        <v>16</v>
      </c>
      <c r="E2839" t="s" s="2">
        <v>17</v>
      </c>
      <c r="F2839" t="s" s="2">
        <f>HYPERLINK("http://ts.21cn.com/tousu/show/id/1371090","http://ts.21cn.com/tousu/show/id/1371090")</f>
      </c>
      <c r="G2839" t="s" s="2">
        <v>17</v>
      </c>
      <c r="H2839" t="s" s="2">
        <v>19</v>
      </c>
      <c r="I2839" t="s" s="2">
        <v>11105</v>
      </c>
      <c r="J2839" t="s" s="2">
        <v>11106</v>
      </c>
      <c r="K2839" t="s" s="2">
        <v>22</v>
      </c>
      <c r="L2839" t="s" s="2">
        <v>22</v>
      </c>
      <c r="M2839" t="s" s="2">
        <v>22</v>
      </c>
    </row>
    <row r="2840" ht="25.0" customHeight="true">
      <c r="A2840" t="s" s="2">
        <v>13</v>
      </c>
      <c r="B2840" t="s" s="2">
        <f>HYPERLINK("http://ts.21cn.com/tousu/show/id/1371089","投诉淘宝：俞兆林中老年官方旗舰店")</f>
      </c>
      <c r="C2840" t="s" s="2">
        <v>52</v>
      </c>
      <c r="D2840" t="s" s="2">
        <v>16</v>
      </c>
      <c r="E2840" t="s" s="2">
        <v>17</v>
      </c>
      <c r="F2840" t="s" s="2">
        <f>HYPERLINK("http://ts.21cn.com/tousu/show/id/1371089","http://ts.21cn.com/tousu/show/id/1371089")</f>
      </c>
      <c r="G2840" t="s" s="2">
        <v>17</v>
      </c>
      <c r="H2840" t="s" s="2">
        <v>19</v>
      </c>
      <c r="I2840" t="s" s="2">
        <v>11105</v>
      </c>
      <c r="J2840" t="s" s="2">
        <v>11109</v>
      </c>
      <c r="K2840" t="s" s="2">
        <v>22</v>
      </c>
      <c r="L2840" t="s" s="2">
        <v>22</v>
      </c>
      <c r="M2840" t="s" s="2">
        <v>22</v>
      </c>
    </row>
    <row r="2841" ht="25.0" customHeight="true">
      <c r="A2841" t="s" s="2">
        <v>13</v>
      </c>
      <c r="B2841" t="s" s="2">
        <f>HYPERLINK("http://ts.21cn.com/tousu/show/id/1371088","中信暴力催收")</f>
      </c>
      <c r="C2841" t="s" s="2">
        <v>15</v>
      </c>
      <c r="D2841" t="s" s="2">
        <v>16</v>
      </c>
      <c r="E2841" t="s" s="2">
        <v>17</v>
      </c>
      <c r="F2841" t="s" s="2">
        <f>HYPERLINK("http://ts.21cn.com/tousu/show/id/1371088","http://ts.21cn.com/tousu/show/id/1371088")</f>
      </c>
      <c r="G2841" t="s" s="2">
        <v>17</v>
      </c>
      <c r="H2841" t="s" s="2">
        <v>19</v>
      </c>
      <c r="I2841" t="s" s="2">
        <v>11112</v>
      </c>
      <c r="J2841" t="s" s="2">
        <v>11113</v>
      </c>
      <c r="K2841" t="s" s="2">
        <v>22</v>
      </c>
      <c r="L2841" t="s" s="2">
        <v>22</v>
      </c>
      <c r="M2841" t="s" s="2">
        <v>22</v>
      </c>
    </row>
    <row r="2842" ht="25.0" customHeight="true">
      <c r="A2842" t="s" s="2">
        <v>13</v>
      </c>
      <c r="B2842" t="s" s="2">
        <f>HYPERLINK("http://ts.21cn.com/tousu/show/id/1371085","格力净水机WTE-PC8-4021虚假宣传高价卖给用户")</f>
      </c>
      <c r="C2842" t="s" s="2">
        <v>15</v>
      </c>
      <c r="D2842" t="s" s="2">
        <v>16</v>
      </c>
      <c r="E2842" t="s" s="2">
        <v>17</v>
      </c>
      <c r="F2842" t="s" s="2">
        <f>HYPERLINK("http://ts.21cn.com/tousu/show/id/1371085","http://ts.21cn.com/tousu/show/id/1371085")</f>
      </c>
      <c r="G2842" t="s" s="2">
        <v>17</v>
      </c>
      <c r="H2842" t="s" s="2">
        <v>19</v>
      </c>
      <c r="I2842" t="s" s="2">
        <v>11116</v>
      </c>
      <c r="J2842" t="s" s="2">
        <v>11117</v>
      </c>
      <c r="K2842" t="s" s="2">
        <v>22</v>
      </c>
      <c r="L2842" t="s" s="2">
        <v>22</v>
      </c>
      <c r="M2842" t="s" s="2">
        <v>22</v>
      </c>
    </row>
    <row r="2843" ht="25.0" customHeight="true">
      <c r="A2843" t="s" s="2">
        <v>13</v>
      </c>
      <c r="B2843" t="s" s="2">
        <f>HYPERLINK("http://ts.21cn.com/tousu/show/id/1371086","你我贷违法查询信息")</f>
      </c>
      <c r="C2843" t="s" s="2">
        <v>15</v>
      </c>
      <c r="D2843" t="s" s="2">
        <v>16</v>
      </c>
      <c r="E2843" t="s" s="2">
        <v>17</v>
      </c>
      <c r="F2843" t="s" s="2">
        <f>HYPERLINK("http://ts.21cn.com/tousu/show/id/1371086","http://ts.21cn.com/tousu/show/id/1371086")</f>
      </c>
      <c r="G2843" t="s" s="2">
        <v>17</v>
      </c>
      <c r="H2843" t="s" s="2">
        <v>19</v>
      </c>
      <c r="I2843" t="s" s="2">
        <v>11120</v>
      </c>
      <c r="J2843" t="s" s="2">
        <v>11121</v>
      </c>
      <c r="K2843" t="s" s="2">
        <v>22</v>
      </c>
      <c r="L2843" t="s" s="2">
        <v>22</v>
      </c>
      <c r="M2843" t="s" s="2">
        <v>22</v>
      </c>
    </row>
    <row r="2844" ht="25.0" customHeight="true">
      <c r="A2844" t="s" s="2">
        <v>13</v>
      </c>
      <c r="B2844" t="s" s="2">
        <f>HYPERLINK("http://ts.21cn.com/tousu/show/id/1371087","蟹老弟无法还款")</f>
      </c>
      <c r="C2844" t="s" s="2">
        <v>52</v>
      </c>
      <c r="D2844" t="s" s="2">
        <v>16</v>
      </c>
      <c r="E2844" t="s" s="2">
        <v>17</v>
      </c>
      <c r="F2844" t="s" s="2">
        <f>HYPERLINK("http://ts.21cn.com/tousu/show/id/1371087","http://ts.21cn.com/tousu/show/id/1371087")</f>
      </c>
      <c r="G2844" t="s" s="2">
        <v>17</v>
      </c>
      <c r="H2844" t="s" s="2">
        <v>19</v>
      </c>
      <c r="I2844" t="s" s="2">
        <v>11124</v>
      </c>
      <c r="J2844" t="s" s="2">
        <v>11125</v>
      </c>
      <c r="K2844" t="s" s="2">
        <v>22</v>
      </c>
      <c r="L2844" t="s" s="2">
        <v>22</v>
      </c>
      <c r="M2844" t="s" s="2">
        <v>22</v>
      </c>
    </row>
    <row r="2845" ht="25.0" customHeight="true">
      <c r="A2845" t="s" s="2">
        <v>13</v>
      </c>
      <c r="B2845" t="s" s="2">
        <f>HYPERLINK("http://ts.21cn.com/tousu/show/id/1371084","交通银行区别对待")</f>
      </c>
      <c r="C2845" t="s" s="2">
        <v>15</v>
      </c>
      <c r="D2845" t="s" s="2">
        <v>16</v>
      </c>
      <c r="E2845" t="s" s="2">
        <v>17</v>
      </c>
      <c r="F2845" t="s" s="2">
        <f>HYPERLINK("http://ts.21cn.com/tousu/show/id/1371084","http://ts.21cn.com/tousu/show/id/1371084")</f>
      </c>
      <c r="G2845" t="s" s="2">
        <v>17</v>
      </c>
      <c r="H2845" t="s" s="2">
        <v>19</v>
      </c>
      <c r="I2845" t="s" s="2">
        <v>11128</v>
      </c>
      <c r="J2845" t="s" s="2">
        <v>11129</v>
      </c>
      <c r="K2845" t="s" s="2">
        <v>22</v>
      </c>
      <c r="L2845" t="s" s="2">
        <v>22</v>
      </c>
      <c r="M2845" t="s" s="2">
        <v>22</v>
      </c>
    </row>
    <row r="2846" ht="25.0" customHeight="true">
      <c r="A2846" t="s" s="2">
        <v>13</v>
      </c>
      <c r="B2846" t="s" s="2">
        <f>HYPERLINK("http://ts.21cn.com/tousu/show/id/1371083","白条分期私自扣我银行卡里199元钱，说是会员费")</f>
      </c>
      <c r="C2846" t="s" s="2">
        <v>15</v>
      </c>
      <c r="D2846" t="s" s="2">
        <v>16</v>
      </c>
      <c r="E2846" t="s" s="2">
        <v>17</v>
      </c>
      <c r="F2846" t="s" s="2">
        <f>HYPERLINK("http://ts.21cn.com/tousu/show/id/1371083","http://ts.21cn.com/tousu/show/id/1371083")</f>
      </c>
      <c r="G2846" t="s" s="2">
        <v>17</v>
      </c>
      <c r="H2846" t="s" s="2">
        <v>19</v>
      </c>
      <c r="I2846" t="s" s="2">
        <v>11132</v>
      </c>
      <c r="J2846" t="s" s="2">
        <v>11133</v>
      </c>
      <c r="K2846" t="s" s="2">
        <v>22</v>
      </c>
      <c r="L2846" t="s" s="2">
        <v>22</v>
      </c>
      <c r="M2846" t="s" s="2">
        <v>22</v>
      </c>
    </row>
    <row r="2847" ht="25.0" customHeight="true">
      <c r="A2847" t="s" s="2">
        <v>13</v>
      </c>
      <c r="B2847" t="s" s="2">
        <f>HYPERLINK("http://ts.21cn.com/tousu/show/id/1371082","快钱支付与714套路贷抱金猪勾结谋取坎头息")</f>
      </c>
      <c r="C2847" t="s" s="2">
        <v>15</v>
      </c>
      <c r="D2847" t="s" s="2">
        <v>16</v>
      </c>
      <c r="E2847" t="s" s="2">
        <v>17</v>
      </c>
      <c r="F2847" t="s" s="2">
        <f>HYPERLINK("http://ts.21cn.com/tousu/show/id/1371082","http://ts.21cn.com/tousu/show/id/1371082")</f>
      </c>
      <c r="G2847" t="s" s="2">
        <v>17</v>
      </c>
      <c r="H2847" t="s" s="2">
        <v>19</v>
      </c>
      <c r="I2847" t="s" s="2">
        <v>11136</v>
      </c>
      <c r="J2847" t="s" s="2">
        <v>11137</v>
      </c>
      <c r="K2847" t="s" s="2">
        <v>22</v>
      </c>
      <c r="L2847" t="s" s="2">
        <v>22</v>
      </c>
      <c r="M2847" t="s" s="2">
        <v>22</v>
      </c>
    </row>
    <row r="2848" ht="25.0" customHeight="true">
      <c r="A2848" t="s" s="2">
        <v>13</v>
      </c>
      <c r="B2848" t="s" s="2">
        <f>HYPERLINK("http://ts.21cn.com/tousu/show/id/1371081","侵犯我隐私")</f>
      </c>
      <c r="C2848" t="s" s="2">
        <v>15</v>
      </c>
      <c r="D2848" t="s" s="2">
        <v>16</v>
      </c>
      <c r="E2848" t="s" s="2">
        <v>17</v>
      </c>
      <c r="F2848" t="s" s="2">
        <f>HYPERLINK("http://ts.21cn.com/tousu/show/id/1371081","http://ts.21cn.com/tousu/show/id/1371081")</f>
      </c>
      <c r="G2848" t="s" s="2">
        <v>17</v>
      </c>
      <c r="H2848" t="s" s="2">
        <v>19</v>
      </c>
      <c r="I2848" t="s" s="2">
        <v>11140</v>
      </c>
      <c r="J2848" t="s" s="2">
        <v>11141</v>
      </c>
      <c r="K2848" t="s" s="2">
        <v>22</v>
      </c>
      <c r="L2848" t="s" s="2">
        <v>22</v>
      </c>
      <c r="M2848" t="s" s="2">
        <v>22</v>
      </c>
    </row>
    <row r="2849" ht="25.0" customHeight="true">
      <c r="A2849" t="s" s="2">
        <v>13</v>
      </c>
      <c r="B2849" t="s" s="2">
        <f>HYPERLINK("http://ts.21cn.com/tousu/show/id/1371080","交通银行恶意联系通讯录")</f>
      </c>
      <c r="C2849" t="s" s="2">
        <v>15</v>
      </c>
      <c r="D2849" t="s" s="2">
        <v>16</v>
      </c>
      <c r="E2849" t="s" s="2">
        <v>17</v>
      </c>
      <c r="F2849" t="s" s="2">
        <f>HYPERLINK("http://ts.21cn.com/tousu/show/id/1371080","http://ts.21cn.com/tousu/show/id/1371080")</f>
      </c>
      <c r="G2849" t="s" s="2">
        <v>17</v>
      </c>
      <c r="H2849" t="s" s="2">
        <v>19</v>
      </c>
      <c r="I2849" t="s" s="2">
        <v>11144</v>
      </c>
      <c r="J2849" t="s" s="2">
        <v>11145</v>
      </c>
      <c r="K2849" t="s" s="2">
        <v>22</v>
      </c>
      <c r="L2849" t="s" s="2">
        <v>22</v>
      </c>
      <c r="M2849" t="s" s="2">
        <v>22</v>
      </c>
    </row>
    <row r="2850" ht="25.0" customHeight="true">
      <c r="A2850" t="s" s="2">
        <v>13</v>
      </c>
      <c r="B2850" t="s" s="2">
        <f>HYPERLINK("http://ts.21cn.com/tousu/show/id/1371079","强制扣掉610保险费")</f>
      </c>
      <c r="C2850" t="s" s="2">
        <v>15</v>
      </c>
      <c r="D2850" t="s" s="2">
        <v>16</v>
      </c>
      <c r="E2850" t="s" s="2">
        <v>17</v>
      </c>
      <c r="F2850" t="s" s="2">
        <f>HYPERLINK("http://ts.21cn.com/tousu/show/id/1371079","http://ts.21cn.com/tousu/show/id/1371079")</f>
      </c>
      <c r="G2850" t="s" s="2">
        <v>17</v>
      </c>
      <c r="H2850" t="s" s="2">
        <v>19</v>
      </c>
      <c r="I2850" t="s" s="2">
        <v>11148</v>
      </c>
      <c r="J2850" t="s" s="2">
        <v>11149</v>
      </c>
      <c r="K2850" t="s" s="2">
        <v>22</v>
      </c>
      <c r="L2850" t="s" s="2">
        <v>22</v>
      </c>
      <c r="M2850" t="s" s="2">
        <v>22</v>
      </c>
    </row>
    <row r="2851" ht="25.0" customHeight="true">
      <c r="A2851" t="s" s="2">
        <v>13</v>
      </c>
      <c r="B2851" t="s" s="2">
        <f>HYPERLINK("http://ts.21cn.com/tousu/show/id/1371077","高利贷暴力催收")</f>
      </c>
      <c r="C2851" t="s" s="2">
        <v>15</v>
      </c>
      <c r="D2851" t="s" s="2">
        <v>16</v>
      </c>
      <c r="E2851" t="s" s="2">
        <v>17</v>
      </c>
      <c r="F2851" t="s" s="2">
        <f>HYPERLINK("http://ts.21cn.com/tousu/show/id/1371077","http://ts.21cn.com/tousu/show/id/1371077")</f>
      </c>
      <c r="G2851" t="s" s="2">
        <v>17</v>
      </c>
      <c r="H2851" t="s" s="2">
        <v>19</v>
      </c>
      <c r="I2851" t="s" s="2">
        <v>11151</v>
      </c>
      <c r="J2851" t="s" s="2">
        <v>11152</v>
      </c>
      <c r="K2851" t="s" s="2">
        <v>22</v>
      </c>
      <c r="L2851" t="s" s="2">
        <v>22</v>
      </c>
      <c r="M2851" t="s" s="2">
        <v>22</v>
      </c>
    </row>
    <row r="2852" ht="25.0" customHeight="true">
      <c r="A2852" t="s" s="2">
        <v>13</v>
      </c>
      <c r="B2852" t="s" s="2">
        <f>HYPERLINK("http://ts.21cn.com/tousu/show/id/1371075","豆豆钱暴力催收")</f>
      </c>
      <c r="C2852" t="s" s="2">
        <v>15</v>
      </c>
      <c r="D2852" t="s" s="2">
        <v>16</v>
      </c>
      <c r="E2852" t="s" s="2">
        <v>17</v>
      </c>
      <c r="F2852" t="s" s="2">
        <f>HYPERLINK("http://ts.21cn.com/tousu/show/id/1371075","http://ts.21cn.com/tousu/show/id/1371075")</f>
      </c>
      <c r="G2852" t="s" s="2">
        <v>17</v>
      </c>
      <c r="H2852" t="s" s="2">
        <v>19</v>
      </c>
      <c r="I2852" t="s" s="2">
        <v>11155</v>
      </c>
      <c r="J2852" t="s" s="2">
        <v>11156</v>
      </c>
      <c r="K2852" t="s" s="2">
        <v>22</v>
      </c>
      <c r="L2852" t="s" s="2">
        <v>22</v>
      </c>
      <c r="M2852" t="s" s="2">
        <v>22</v>
      </c>
    </row>
    <row r="2853" ht="25.0" customHeight="true">
      <c r="A2853" t="s" s="2">
        <v>13</v>
      </c>
      <c r="B2853" t="s" s="2">
        <f>HYPERLINK("http://ts.21cn.com/tousu/show/id/1371076","兑现承诺或者全额退款")</f>
      </c>
      <c r="C2853" t="s" s="2">
        <v>52</v>
      </c>
      <c r="D2853" t="s" s="2">
        <v>16</v>
      </c>
      <c r="E2853" t="s" s="2">
        <v>17</v>
      </c>
      <c r="F2853" t="s" s="2">
        <f>HYPERLINK("http://ts.21cn.com/tousu/show/id/1371076","http://ts.21cn.com/tousu/show/id/1371076")</f>
      </c>
      <c r="G2853" t="s" s="2">
        <v>17</v>
      </c>
      <c r="H2853" t="s" s="2">
        <v>19</v>
      </c>
      <c r="I2853" t="s" s="2">
        <v>11159</v>
      </c>
      <c r="J2853" t="s" s="2">
        <v>11160</v>
      </c>
      <c r="K2853" t="s" s="2">
        <v>22</v>
      </c>
      <c r="L2853" t="s" s="2">
        <v>22</v>
      </c>
      <c r="M2853" t="s" s="2">
        <v>22</v>
      </c>
    </row>
    <row r="2854" ht="25.0" customHeight="true">
      <c r="A2854" t="s" s="2">
        <v>13</v>
      </c>
      <c r="B2854" t="s" s="2">
        <f>HYPERLINK("http://ts.21cn.com/tousu/show/id/1371074","U钱包暴力催收威胁辱骂本人于家人")</f>
      </c>
      <c r="C2854" t="s" s="2">
        <v>15</v>
      </c>
      <c r="D2854" t="s" s="2">
        <v>16</v>
      </c>
      <c r="E2854" t="s" s="2">
        <v>17</v>
      </c>
      <c r="F2854" t="s" s="2">
        <f>HYPERLINK("http://ts.21cn.com/tousu/show/id/1371074","http://ts.21cn.com/tousu/show/id/1371074")</f>
      </c>
      <c r="G2854" t="s" s="2">
        <v>17</v>
      </c>
      <c r="H2854" t="s" s="2">
        <v>19</v>
      </c>
      <c r="I2854" t="s" s="2">
        <v>11163</v>
      </c>
      <c r="J2854" t="s" s="2">
        <v>11164</v>
      </c>
      <c r="K2854" t="s" s="2">
        <v>22</v>
      </c>
      <c r="L2854" t="s" s="2">
        <v>22</v>
      </c>
      <c r="M2854" t="s" s="2">
        <v>22</v>
      </c>
    </row>
    <row r="2855" ht="25.0" customHeight="true">
      <c r="A2855" t="s" s="2">
        <v>13</v>
      </c>
      <c r="B2855" t="s" s="2">
        <f>HYPERLINK("http://ts.21cn.com/tousu/show/id/1371073","2019.10.17在同程艺龙买了票退不了")</f>
      </c>
      <c r="C2855" t="s" s="2">
        <v>52</v>
      </c>
      <c r="D2855" t="s" s="2">
        <v>16</v>
      </c>
      <c r="E2855" t="s" s="2">
        <v>17</v>
      </c>
      <c r="F2855" t="s" s="2">
        <f>HYPERLINK("http://ts.21cn.com/tousu/show/id/1371073","http://ts.21cn.com/tousu/show/id/1371073")</f>
      </c>
      <c r="G2855" t="s" s="2">
        <v>17</v>
      </c>
      <c r="H2855" t="s" s="2">
        <v>19</v>
      </c>
      <c r="I2855" t="s" s="2">
        <v>11167</v>
      </c>
      <c r="J2855" t="s" s="2">
        <v>11168</v>
      </c>
      <c r="K2855" t="s" s="2">
        <v>22</v>
      </c>
      <c r="L2855" t="s" s="2">
        <v>22</v>
      </c>
      <c r="M2855" t="s" s="2">
        <v>22</v>
      </c>
    </row>
    <row r="2856" ht="25.0" customHeight="true">
      <c r="A2856" t="s" s="2">
        <v>13</v>
      </c>
      <c r="B2856" t="s" s="2">
        <f>HYPERLINK("http://ts.21cn.com/tousu/show/id/1371072","天猫恶意损害消费者权益")</f>
      </c>
      <c r="C2856" t="s" s="2">
        <v>15</v>
      </c>
      <c r="D2856" t="s" s="2">
        <v>16</v>
      </c>
      <c r="E2856" t="s" s="2">
        <v>17</v>
      </c>
      <c r="F2856" t="s" s="2">
        <f>HYPERLINK("http://ts.21cn.com/tousu/show/id/1371072","http://ts.21cn.com/tousu/show/id/1371072")</f>
      </c>
      <c r="G2856" t="s" s="2">
        <v>17</v>
      </c>
      <c r="H2856" t="s" s="2">
        <v>19</v>
      </c>
      <c r="I2856" t="s" s="2">
        <v>11171</v>
      </c>
      <c r="J2856" t="s" s="2">
        <v>11172</v>
      </c>
      <c r="K2856" t="s" s="2">
        <v>22</v>
      </c>
      <c r="L2856" t="s" s="2">
        <v>22</v>
      </c>
      <c r="M2856" t="s" s="2">
        <v>22</v>
      </c>
    </row>
    <row r="2857" ht="25.0" customHeight="true">
      <c r="A2857" t="s" s="2">
        <v>13</v>
      </c>
      <c r="B2857" t="s" s="2">
        <f>HYPERLINK("http://ts.21cn.com/tousu/show/id/1371070","网贷平台恶意催收")</f>
      </c>
      <c r="C2857" t="s" s="2">
        <v>15</v>
      </c>
      <c r="D2857" t="s" s="2">
        <v>16</v>
      </c>
      <c r="E2857" t="s" s="2">
        <v>17</v>
      </c>
      <c r="F2857" t="s" s="2">
        <f>HYPERLINK("http://ts.21cn.com/tousu/show/id/1371070","http://ts.21cn.com/tousu/show/id/1371070")</f>
      </c>
      <c r="G2857" t="s" s="2">
        <v>17</v>
      </c>
      <c r="H2857" t="s" s="2">
        <v>19</v>
      </c>
      <c r="I2857" t="s" s="2">
        <v>11175</v>
      </c>
      <c r="J2857" t="s" s="2">
        <v>11176</v>
      </c>
      <c r="K2857" t="s" s="2">
        <v>22</v>
      </c>
      <c r="L2857" t="s" s="2">
        <v>22</v>
      </c>
      <c r="M2857" t="s" s="2">
        <v>22</v>
      </c>
    </row>
    <row r="2858" ht="25.0" customHeight="true">
      <c r="A2858" t="s" s="2">
        <v>13</v>
      </c>
      <c r="B2858" t="s" s="2">
        <f>HYPERLINK("http://ts.21cn.com/tousu/show/id/1371069","乱扣费会员智商费99元")</f>
      </c>
      <c r="C2858" t="s" s="2">
        <v>15</v>
      </c>
      <c r="D2858" t="s" s="2">
        <v>16</v>
      </c>
      <c r="E2858" t="s" s="2">
        <v>17</v>
      </c>
      <c r="F2858" t="s" s="2">
        <f>HYPERLINK("http://ts.21cn.com/tousu/show/id/1371069","http://ts.21cn.com/tousu/show/id/1371069")</f>
      </c>
      <c r="G2858" t="s" s="2">
        <v>17</v>
      </c>
      <c r="H2858" t="s" s="2">
        <v>19</v>
      </c>
      <c r="I2858" t="s" s="2">
        <v>11179</v>
      </c>
      <c r="J2858" t="s" s="2">
        <v>11180</v>
      </c>
      <c r="K2858" t="s" s="2">
        <v>22</v>
      </c>
      <c r="L2858" t="s" s="2">
        <v>22</v>
      </c>
      <c r="M2858" t="s" s="2">
        <v>22</v>
      </c>
    </row>
    <row r="2859" ht="25.0" customHeight="true">
      <c r="A2859" t="s" s="2">
        <v>13</v>
      </c>
      <c r="B2859" t="s" s="2">
        <f>HYPERLINK("http://ts.21cn.com/tousu/show/id/1371068","恶意催收")</f>
      </c>
      <c r="C2859" t="s" s="2">
        <v>15</v>
      </c>
      <c r="D2859" t="s" s="2">
        <v>16</v>
      </c>
      <c r="E2859" t="s" s="2">
        <v>17</v>
      </c>
      <c r="F2859" t="s" s="2">
        <f>HYPERLINK("http://ts.21cn.com/tousu/show/id/1371068","http://ts.21cn.com/tousu/show/id/1371068")</f>
      </c>
      <c r="G2859" t="s" s="2">
        <v>17</v>
      </c>
      <c r="H2859" t="s" s="2">
        <v>19</v>
      </c>
      <c r="I2859" t="s" s="2">
        <v>11182</v>
      </c>
      <c r="J2859" t="s" s="2">
        <v>11183</v>
      </c>
      <c r="K2859" t="s" s="2">
        <v>22</v>
      </c>
      <c r="L2859" t="s" s="2">
        <v>22</v>
      </c>
      <c r="M2859" t="s" s="2">
        <v>22</v>
      </c>
    </row>
    <row r="2860" ht="25.0" customHeight="true">
      <c r="A2860" t="s" s="2">
        <v>13</v>
      </c>
      <c r="B2860" t="s" s="2">
        <f>HYPERLINK("http://ts.21cn.com/tousu/show/id/1371067","我来贷高利贷高额服务费")</f>
      </c>
      <c r="C2860" t="s" s="2">
        <v>15</v>
      </c>
      <c r="D2860" t="s" s="2">
        <v>16</v>
      </c>
      <c r="E2860" t="s" s="2">
        <v>17</v>
      </c>
      <c r="F2860" t="s" s="2">
        <f>HYPERLINK("http://ts.21cn.com/tousu/show/id/1371067","http://ts.21cn.com/tousu/show/id/1371067")</f>
      </c>
      <c r="G2860" t="s" s="2">
        <v>17</v>
      </c>
      <c r="H2860" t="s" s="2">
        <v>19</v>
      </c>
      <c r="I2860" t="s" s="2">
        <v>11186</v>
      </c>
      <c r="J2860" t="s" s="2">
        <v>11187</v>
      </c>
      <c r="K2860" t="s" s="2">
        <v>22</v>
      </c>
      <c r="L2860" t="s" s="2">
        <v>22</v>
      </c>
      <c r="M2860" t="s" s="2">
        <v>22</v>
      </c>
    </row>
    <row r="2861" ht="25.0" customHeight="true">
      <c r="A2861" t="s" s="2">
        <v>13</v>
      </c>
      <c r="B2861" t="s" s="2">
        <f>HYPERLINK("http://ts.21cn.com/tousu/show/id/1371066","招联金融使用软暴力进行恐吓家人")</f>
      </c>
      <c r="C2861" t="s" s="2">
        <v>15</v>
      </c>
      <c r="D2861" t="s" s="2">
        <v>16</v>
      </c>
      <c r="E2861" t="s" s="2">
        <v>17</v>
      </c>
      <c r="F2861" t="s" s="2">
        <f>HYPERLINK("http://ts.21cn.com/tousu/show/id/1371066","http://ts.21cn.com/tousu/show/id/1371066")</f>
      </c>
      <c r="G2861" t="s" s="2">
        <v>17</v>
      </c>
      <c r="H2861" t="s" s="2">
        <v>19</v>
      </c>
      <c r="I2861" t="s" s="2">
        <v>11190</v>
      </c>
      <c r="J2861" t="s" s="2">
        <v>11191</v>
      </c>
      <c r="K2861" t="s" s="2">
        <v>22</v>
      </c>
      <c r="L2861" t="s" s="2">
        <v>22</v>
      </c>
      <c r="M2861" t="s" s="2">
        <v>22</v>
      </c>
    </row>
    <row r="2862" ht="25.0" customHeight="true">
      <c r="A2862" t="s" s="2">
        <v>13</v>
      </c>
      <c r="B2862" t="s" s="2">
        <f>HYPERLINK("http://ts.21cn.com/tousu/show/id/1371051","聚福钱包乱扣我299")</f>
      </c>
      <c r="C2862" t="s" s="2">
        <v>15</v>
      </c>
      <c r="D2862" t="s" s="2">
        <v>16</v>
      </c>
      <c r="E2862" t="s" s="2">
        <v>17</v>
      </c>
      <c r="F2862" t="s" s="2">
        <f>HYPERLINK("http://ts.21cn.com/tousu/show/id/1371051","http://ts.21cn.com/tousu/show/id/1371051")</f>
      </c>
      <c r="G2862" t="s" s="2">
        <v>17</v>
      </c>
      <c r="H2862" t="s" s="2">
        <v>19</v>
      </c>
      <c r="I2862" t="s" s="2">
        <v>11194</v>
      </c>
      <c r="J2862" t="s" s="2">
        <v>11195</v>
      </c>
      <c r="K2862" t="s" s="2">
        <v>22</v>
      </c>
      <c r="L2862" t="s" s="2">
        <v>22</v>
      </c>
      <c r="M2862" t="s" s="2">
        <v>22</v>
      </c>
    </row>
    <row r="2863" ht="25.0" customHeight="true">
      <c r="A2863" t="s" s="2">
        <v>13</v>
      </c>
      <c r="B2863" t="s" s="2">
        <f>HYPERLINK("http://ts.21cn.com/tousu/show/id/1371065","维信卡卡贷高利贷恶意扣款")</f>
      </c>
      <c r="C2863" t="s" s="2">
        <v>15</v>
      </c>
      <c r="D2863" t="s" s="2">
        <v>16</v>
      </c>
      <c r="E2863" t="s" s="2">
        <v>17</v>
      </c>
      <c r="F2863" t="s" s="2">
        <f>HYPERLINK("http://ts.21cn.com/tousu/show/id/1371065","http://ts.21cn.com/tousu/show/id/1371065")</f>
      </c>
      <c r="G2863" t="s" s="2">
        <v>17</v>
      </c>
      <c r="H2863" t="s" s="2">
        <v>19</v>
      </c>
      <c r="I2863" t="s" s="2">
        <v>11198</v>
      </c>
      <c r="J2863" t="s" s="2">
        <v>11199</v>
      </c>
      <c r="K2863" t="s" s="2">
        <v>22</v>
      </c>
      <c r="L2863" t="s" s="2">
        <v>22</v>
      </c>
      <c r="M2863" t="s" s="2">
        <v>22</v>
      </c>
    </row>
    <row r="2864" ht="25.0" customHeight="true">
      <c r="A2864" t="s" s="2">
        <v>13</v>
      </c>
      <c r="B2864" t="s" s="2">
        <f>HYPERLINK("http://ts.21cn.com/tousu/show/id/1371064","快闪卡贷砍头息高利息")</f>
      </c>
      <c r="C2864" t="s" s="2">
        <v>15</v>
      </c>
      <c r="D2864" t="s" s="2">
        <v>16</v>
      </c>
      <c r="E2864" t="s" s="2">
        <v>17</v>
      </c>
      <c r="F2864" t="s" s="2">
        <f>HYPERLINK("http://ts.21cn.com/tousu/show/id/1371064","http://ts.21cn.com/tousu/show/id/1371064")</f>
      </c>
      <c r="G2864" t="s" s="2">
        <v>17</v>
      </c>
      <c r="H2864" t="s" s="2">
        <v>19</v>
      </c>
      <c r="I2864" t="s" s="2">
        <v>11202</v>
      </c>
      <c r="J2864" t="s" s="2">
        <v>11203</v>
      </c>
      <c r="K2864" t="s" s="2">
        <v>22</v>
      </c>
      <c r="L2864" t="s" s="2">
        <v>22</v>
      </c>
      <c r="M2864" t="s" s="2">
        <v>22</v>
      </c>
    </row>
    <row r="2865" ht="25.0" customHeight="true">
      <c r="A2865" t="s" s="2">
        <v>13</v>
      </c>
      <c r="B2865" t="s" s="2">
        <f>HYPERLINK("http://ts.21cn.com/tousu/show/id/1371063","深圳市有信网络技术有限公司恶意循环扣费")</f>
      </c>
      <c r="C2865" t="s" s="2">
        <v>15</v>
      </c>
      <c r="D2865" t="s" s="2">
        <v>16</v>
      </c>
      <c r="E2865" t="s" s="2">
        <v>17</v>
      </c>
      <c r="F2865" t="s" s="2">
        <f>HYPERLINK("http://ts.21cn.com/tousu/show/id/1371063","http://ts.21cn.com/tousu/show/id/1371063")</f>
      </c>
      <c r="G2865" t="s" s="2">
        <v>17</v>
      </c>
      <c r="H2865" t="s" s="2">
        <v>19</v>
      </c>
      <c r="I2865" t="s" s="2">
        <v>11206</v>
      </c>
      <c r="J2865" t="s" s="2">
        <v>11207</v>
      </c>
      <c r="K2865" t="s" s="2">
        <v>22</v>
      </c>
      <c r="L2865" t="s" s="2">
        <v>22</v>
      </c>
      <c r="M2865" t="s" s="2">
        <v>22</v>
      </c>
    </row>
    <row r="2866" ht="25.0" customHeight="true">
      <c r="A2866" t="s" s="2">
        <v>13</v>
      </c>
      <c r="B2866" t="s" s="2">
        <f>HYPERLINK("http://ts.21cn.com/tousu/show/id/1371061","没有还款提醒短信")</f>
      </c>
      <c r="C2866" t="s" s="2">
        <v>15</v>
      </c>
      <c r="D2866" t="s" s="2">
        <v>16</v>
      </c>
      <c r="E2866" t="s" s="2">
        <v>17</v>
      </c>
      <c r="F2866" t="s" s="2">
        <f>HYPERLINK("http://ts.21cn.com/tousu/show/id/1371061","http://ts.21cn.com/tousu/show/id/1371061")</f>
      </c>
      <c r="G2866" t="s" s="2">
        <v>17</v>
      </c>
      <c r="H2866" t="s" s="2">
        <v>19</v>
      </c>
      <c r="I2866" t="s" s="2">
        <v>11210</v>
      </c>
      <c r="J2866" t="s" s="2">
        <v>11211</v>
      </c>
      <c r="K2866" t="s" s="2">
        <v>22</v>
      </c>
      <c r="L2866" t="s" s="2">
        <v>22</v>
      </c>
      <c r="M2866" t="s" s="2">
        <v>22</v>
      </c>
    </row>
    <row r="2867" ht="25.0" customHeight="true">
      <c r="A2867" t="s" s="2">
        <v>13</v>
      </c>
      <c r="B2867" t="s" s="2">
        <f>HYPERLINK("http://ts.21cn.com/tousu/show/id/1370962","云南寓小七长沙分公司，使用房东个人资料进行网络借贷")</f>
      </c>
      <c r="C2867" t="s" s="2">
        <v>15</v>
      </c>
      <c r="D2867" t="s" s="2">
        <v>16</v>
      </c>
      <c r="E2867" t="s" s="2">
        <v>17</v>
      </c>
      <c r="F2867" t="s" s="2">
        <f>HYPERLINK("http://ts.21cn.com/tousu/show/id/1370962","http://ts.21cn.com/tousu/show/id/1370962")</f>
      </c>
      <c r="G2867" t="s" s="2">
        <v>17</v>
      </c>
      <c r="H2867" t="s" s="2">
        <v>19</v>
      </c>
      <c r="I2867" t="s" s="2">
        <v>11214</v>
      </c>
      <c r="J2867" t="s" s="2">
        <v>11215</v>
      </c>
      <c r="K2867" t="s" s="2">
        <v>22</v>
      </c>
      <c r="L2867" t="s" s="2">
        <v>22</v>
      </c>
      <c r="M2867" t="s" s="2">
        <v>22</v>
      </c>
    </row>
    <row r="2868" ht="25.0" customHeight="true">
      <c r="A2868" t="s" s="2">
        <v>13</v>
      </c>
      <c r="B2868" t="s" s="2">
        <f>HYPERLINK("http://ts.21cn.com/tousu/show/id/1371060","网贷到手2500，已还1300，现在催收要求还2305。怎么解决")</f>
      </c>
      <c r="C2868" t="s" s="2">
        <v>52</v>
      </c>
      <c r="D2868" t="s" s="2">
        <v>16</v>
      </c>
      <c r="E2868" t="s" s="2">
        <v>17</v>
      </c>
      <c r="F2868" t="s" s="2">
        <f>HYPERLINK("http://ts.21cn.com/tousu/show/id/1371060","http://ts.21cn.com/tousu/show/id/1371060")</f>
      </c>
      <c r="G2868" t="s" s="2">
        <v>17</v>
      </c>
      <c r="H2868" t="s" s="2">
        <v>19</v>
      </c>
      <c r="I2868" t="s" s="2">
        <v>11218</v>
      </c>
      <c r="J2868" t="s" s="2">
        <v>11219</v>
      </c>
      <c r="K2868" t="s" s="2">
        <v>22</v>
      </c>
      <c r="L2868" t="s" s="2">
        <v>22</v>
      </c>
      <c r="M2868" t="s" s="2">
        <v>22</v>
      </c>
    </row>
    <row r="2869" ht="25.0" customHeight="true">
      <c r="A2869" t="s" s="2">
        <v>13</v>
      </c>
      <c r="B2869" t="s" s="2">
        <f>HYPERLINK("http://ts.21cn.com/tousu/show/id/1371059","钱橙无忧随意扣费")</f>
      </c>
      <c r="C2869" t="s" s="2">
        <v>15</v>
      </c>
      <c r="D2869" t="s" s="2">
        <v>16</v>
      </c>
      <c r="E2869" t="s" s="2">
        <v>17</v>
      </c>
      <c r="F2869" t="s" s="2">
        <f>HYPERLINK("http://ts.21cn.com/tousu/show/id/1371059","http://ts.21cn.com/tousu/show/id/1371059")</f>
      </c>
      <c r="G2869" t="s" s="2">
        <v>17</v>
      </c>
      <c r="H2869" t="s" s="2">
        <v>19</v>
      </c>
      <c r="I2869" t="s" s="2">
        <v>11218</v>
      </c>
      <c r="J2869" t="s" s="2">
        <v>11221</v>
      </c>
      <c r="K2869" t="s" s="2">
        <v>22</v>
      </c>
      <c r="L2869" t="s" s="2">
        <v>22</v>
      </c>
      <c r="M2869" t="s" s="2">
        <v>22</v>
      </c>
    </row>
    <row r="2870" ht="25.0" customHeight="true">
      <c r="A2870" t="s" s="2">
        <v>13</v>
      </c>
      <c r="B2870" t="s" s="2">
        <f>HYPERLINK("http://ts.21cn.com/tousu/show/id/1371057","威胁恐吓态度恶劣")</f>
      </c>
      <c r="C2870" t="s" s="2">
        <v>15</v>
      </c>
      <c r="D2870" t="s" s="2">
        <v>16</v>
      </c>
      <c r="E2870" t="s" s="2">
        <v>17</v>
      </c>
      <c r="F2870" t="s" s="2">
        <f>HYPERLINK("http://ts.21cn.com/tousu/show/id/1371057","http://ts.21cn.com/tousu/show/id/1371057")</f>
      </c>
      <c r="G2870" t="s" s="2">
        <v>17</v>
      </c>
      <c r="H2870" t="s" s="2">
        <v>19</v>
      </c>
      <c r="I2870" t="s" s="2">
        <v>11224</v>
      </c>
      <c r="J2870" t="s" s="2">
        <v>11225</v>
      </c>
      <c r="K2870" t="s" s="2">
        <v>22</v>
      </c>
      <c r="L2870" t="s" s="2">
        <v>22</v>
      </c>
      <c r="M2870" t="s" s="2">
        <v>22</v>
      </c>
    </row>
    <row r="2871" ht="25.0" customHeight="true">
      <c r="A2871" t="s" s="2">
        <v>13</v>
      </c>
      <c r="B2871" t="s" s="2">
        <f>HYPERLINK("http://ts.21cn.com/tousu/show/id/1371058","高利贷并且暴力催收，该如何解决")</f>
      </c>
      <c r="C2871" t="s" s="2">
        <v>15</v>
      </c>
      <c r="D2871" t="s" s="2">
        <v>16</v>
      </c>
      <c r="E2871" t="s" s="2">
        <v>17</v>
      </c>
      <c r="F2871" t="s" s="2">
        <f>HYPERLINK("http://ts.21cn.com/tousu/show/id/1371058","http://ts.21cn.com/tousu/show/id/1371058")</f>
      </c>
      <c r="G2871" t="s" s="2">
        <v>17</v>
      </c>
      <c r="H2871" t="s" s="2">
        <v>19</v>
      </c>
      <c r="I2871" t="s" s="2">
        <v>11228</v>
      </c>
      <c r="J2871" t="s" s="2">
        <v>11229</v>
      </c>
      <c r="K2871" t="s" s="2">
        <v>22</v>
      </c>
      <c r="L2871" t="s" s="2">
        <v>22</v>
      </c>
      <c r="M2871" t="s" s="2">
        <v>22</v>
      </c>
    </row>
    <row r="2872" ht="25.0" customHeight="true">
      <c r="A2872" t="s" s="2">
        <v>13</v>
      </c>
      <c r="B2872" t="s" s="2">
        <f>HYPERLINK("http://ts.21cn.com/tousu/show/id/1371056","被威胁被骚扰")</f>
      </c>
      <c r="C2872" t="s" s="2">
        <v>15</v>
      </c>
      <c r="D2872" t="s" s="2">
        <v>16</v>
      </c>
      <c r="E2872" t="s" s="2">
        <v>17</v>
      </c>
      <c r="F2872" t="s" s="2">
        <f>HYPERLINK("http://ts.21cn.com/tousu/show/id/1371056","http://ts.21cn.com/tousu/show/id/1371056")</f>
      </c>
      <c r="G2872" t="s" s="2">
        <v>17</v>
      </c>
      <c r="H2872" t="s" s="2">
        <v>19</v>
      </c>
      <c r="I2872" t="s" s="2">
        <v>11232</v>
      </c>
      <c r="J2872" t="s" s="2">
        <v>11233</v>
      </c>
      <c r="K2872" t="s" s="2">
        <v>22</v>
      </c>
      <c r="L2872" t="s" s="2">
        <v>22</v>
      </c>
      <c r="M2872" t="s" s="2">
        <v>22</v>
      </c>
    </row>
    <row r="2873" ht="25.0" customHeight="true">
      <c r="A2873" t="s" s="2">
        <v>13</v>
      </c>
      <c r="B2873" t="s" s="2">
        <f>HYPERLINK("http://ts.21cn.com/tousu/show/id/1371053","苏宁任性付非法催收")</f>
      </c>
      <c r="C2873" t="s" s="2">
        <v>15</v>
      </c>
      <c r="D2873" t="s" s="2">
        <v>16</v>
      </c>
      <c r="E2873" t="s" s="2">
        <v>17</v>
      </c>
      <c r="F2873" t="s" s="2">
        <f>HYPERLINK("http://ts.21cn.com/tousu/show/id/1371053","http://ts.21cn.com/tousu/show/id/1371053")</f>
      </c>
      <c r="G2873" t="s" s="2">
        <v>17</v>
      </c>
      <c r="H2873" t="s" s="2">
        <v>19</v>
      </c>
      <c r="I2873" t="s" s="2">
        <v>11236</v>
      </c>
      <c r="J2873" t="s" s="2">
        <v>11237</v>
      </c>
      <c r="K2873" t="s" s="2">
        <v>22</v>
      </c>
      <c r="L2873" t="s" s="2">
        <v>22</v>
      </c>
      <c r="M2873" t="s" s="2">
        <v>22</v>
      </c>
    </row>
    <row r="2874" ht="25.0" customHeight="true">
      <c r="A2874" t="s" s="2">
        <v>13</v>
      </c>
      <c r="B2874" t="s" s="2">
        <f>HYPERLINK("http://ts.21cn.com/tousu/show/id/1371054","骚扰家人，乱发虚假律师信")</f>
      </c>
      <c r="C2874" t="s" s="2">
        <v>15</v>
      </c>
      <c r="D2874" t="s" s="2">
        <v>16</v>
      </c>
      <c r="E2874" t="s" s="2">
        <v>17</v>
      </c>
      <c r="F2874" t="s" s="2">
        <f>HYPERLINK("http://ts.21cn.com/tousu/show/id/1371054","http://ts.21cn.com/tousu/show/id/1371054")</f>
      </c>
      <c r="G2874" t="s" s="2">
        <v>17</v>
      </c>
      <c r="H2874" t="s" s="2">
        <v>19</v>
      </c>
      <c r="I2874" t="s" s="2">
        <v>11240</v>
      </c>
      <c r="J2874" t="s" s="2">
        <v>11241</v>
      </c>
      <c r="K2874" t="s" s="2">
        <v>22</v>
      </c>
      <c r="L2874" t="s" s="2">
        <v>22</v>
      </c>
      <c r="M2874" t="s" s="2">
        <v>22</v>
      </c>
    </row>
    <row r="2875" ht="25.0" customHeight="true">
      <c r="A2875" t="s" s="2">
        <v>13</v>
      </c>
      <c r="B2875" t="s" s="2">
        <f>HYPERLINK("http://ts.21cn.com/tousu/show/id/1371052","乱打通讯录电话")</f>
      </c>
      <c r="C2875" t="s" s="2">
        <v>52</v>
      </c>
      <c r="D2875" t="s" s="2">
        <v>16</v>
      </c>
      <c r="E2875" t="s" s="2">
        <v>17</v>
      </c>
      <c r="F2875" t="s" s="2">
        <f>HYPERLINK("http://ts.21cn.com/tousu/show/id/1371052","http://ts.21cn.com/tousu/show/id/1371052")</f>
      </c>
      <c r="G2875" t="s" s="2">
        <v>17</v>
      </c>
      <c r="H2875" t="s" s="2">
        <v>19</v>
      </c>
      <c r="I2875" t="s" s="2">
        <v>11244</v>
      </c>
      <c r="J2875" t="s" s="2">
        <v>11245</v>
      </c>
      <c r="K2875" t="s" s="2">
        <v>22</v>
      </c>
      <c r="L2875" t="s" s="2">
        <v>22</v>
      </c>
      <c r="M2875" t="s" s="2">
        <v>22</v>
      </c>
    </row>
    <row r="2876" ht="25.0" customHeight="true">
      <c r="A2876" t="s" s="2">
        <v>13</v>
      </c>
      <c r="B2876" t="s" s="2">
        <f>HYPERLINK("http://ts.21cn.com/tousu/show/id/1371049","恶意骚扰")</f>
      </c>
      <c r="C2876" t="s" s="2">
        <v>15</v>
      </c>
      <c r="D2876" t="s" s="2">
        <v>16</v>
      </c>
      <c r="E2876" t="s" s="2">
        <v>17</v>
      </c>
      <c r="F2876" t="s" s="2">
        <f>HYPERLINK("http://ts.21cn.com/tousu/show/id/1371049","http://ts.21cn.com/tousu/show/id/1371049")</f>
      </c>
      <c r="G2876" t="s" s="2">
        <v>17</v>
      </c>
      <c r="H2876" t="s" s="2">
        <v>19</v>
      </c>
      <c r="I2876" t="s" s="2">
        <v>11247</v>
      </c>
      <c r="J2876" t="s" s="2">
        <v>11248</v>
      </c>
      <c r="K2876" t="s" s="2">
        <v>22</v>
      </c>
      <c r="L2876" t="s" s="2">
        <v>22</v>
      </c>
      <c r="M2876" t="s" s="2">
        <v>22</v>
      </c>
    </row>
    <row r="2877" ht="25.0" customHeight="true">
      <c r="A2877" t="s" s="2">
        <v>13</v>
      </c>
      <c r="B2877" t="s" s="2">
        <f>HYPERLINK("http://ts.21cn.com/tousu/show/id/1371050","阳光保险贷款软暴力催收威胁")</f>
      </c>
      <c r="C2877" t="s" s="2">
        <v>15</v>
      </c>
      <c r="D2877" t="s" s="2">
        <v>16</v>
      </c>
      <c r="E2877" t="s" s="2">
        <v>17</v>
      </c>
      <c r="F2877" t="s" s="2">
        <f>HYPERLINK("http://ts.21cn.com/tousu/show/id/1371050","http://ts.21cn.com/tousu/show/id/1371050")</f>
      </c>
      <c r="G2877" t="s" s="2">
        <v>17</v>
      </c>
      <c r="H2877" t="s" s="2">
        <v>19</v>
      </c>
      <c r="I2877" t="s" s="2">
        <v>11247</v>
      </c>
      <c r="J2877" t="s" s="2">
        <v>11251</v>
      </c>
      <c r="K2877" t="s" s="2">
        <v>22</v>
      </c>
      <c r="L2877" t="s" s="2">
        <v>22</v>
      </c>
      <c r="M2877" t="s" s="2">
        <v>22</v>
      </c>
    </row>
    <row r="2878" ht="25.0" customHeight="true">
      <c r="A2878" t="s" s="2">
        <v>13</v>
      </c>
      <c r="B2878" t="s" s="2">
        <f>HYPERLINK("http://ts.21cn.com/tousu/show/id/1371048","魅族手机摄像头进灰，客服推脱责任")</f>
      </c>
      <c r="C2878" t="s" s="2">
        <v>15</v>
      </c>
      <c r="D2878" t="s" s="2">
        <v>16</v>
      </c>
      <c r="E2878" t="s" s="2">
        <v>17</v>
      </c>
      <c r="F2878" t="s" s="2">
        <f>HYPERLINK("http://ts.21cn.com/tousu/show/id/1371048","http://ts.21cn.com/tousu/show/id/1371048")</f>
      </c>
      <c r="G2878" t="s" s="2">
        <v>17</v>
      </c>
      <c r="H2878" t="s" s="2">
        <v>19</v>
      </c>
      <c r="I2878" t="s" s="2">
        <v>11254</v>
      </c>
      <c r="J2878" t="s" s="2">
        <v>11255</v>
      </c>
      <c r="K2878" t="s" s="2">
        <v>22</v>
      </c>
      <c r="L2878" t="s" s="2">
        <v>22</v>
      </c>
      <c r="M2878" t="s" s="2">
        <v>22</v>
      </c>
    </row>
    <row r="2879" ht="25.0" customHeight="true">
      <c r="A2879" t="s" s="2">
        <v>13</v>
      </c>
      <c r="B2879" t="s" s="2">
        <f>HYPERLINK("http://ts.21cn.com/tousu/show/id/1371047","处处软件涉嫌引导诱惑消费者消费")</f>
      </c>
      <c r="C2879" t="s" s="2">
        <v>15</v>
      </c>
      <c r="D2879" t="s" s="2">
        <v>16</v>
      </c>
      <c r="E2879" t="s" s="2">
        <v>17</v>
      </c>
      <c r="F2879" t="s" s="2">
        <f>HYPERLINK("http://ts.21cn.com/tousu/show/id/1371047","http://ts.21cn.com/tousu/show/id/1371047")</f>
      </c>
      <c r="G2879" t="s" s="2">
        <v>17</v>
      </c>
      <c r="H2879" t="s" s="2">
        <v>19</v>
      </c>
      <c r="I2879" t="s" s="2">
        <v>11258</v>
      </c>
      <c r="J2879" t="s" s="2">
        <v>11259</v>
      </c>
      <c r="K2879" t="s" s="2">
        <v>22</v>
      </c>
      <c r="L2879" t="s" s="2">
        <v>22</v>
      </c>
      <c r="M2879" t="s" s="2">
        <v>22</v>
      </c>
    </row>
    <row r="2880" ht="25.0" customHeight="true">
      <c r="A2880" t="s" s="2">
        <v>13</v>
      </c>
      <c r="B2880" t="s" s="2">
        <f>HYPERLINK("http://ts.21cn.com/tousu/show/id/1371046","马上金融暴力催收")</f>
      </c>
      <c r="C2880" t="s" s="2">
        <v>15</v>
      </c>
      <c r="D2880" t="s" s="2">
        <v>16</v>
      </c>
      <c r="E2880" t="s" s="2">
        <v>17</v>
      </c>
      <c r="F2880" t="s" s="2">
        <f>HYPERLINK("http://ts.21cn.com/tousu/show/id/1371046","http://ts.21cn.com/tousu/show/id/1371046")</f>
      </c>
      <c r="G2880" t="s" s="2">
        <v>17</v>
      </c>
      <c r="H2880" t="s" s="2">
        <v>19</v>
      </c>
      <c r="I2880" t="s" s="2">
        <v>11261</v>
      </c>
      <c r="J2880" t="s" s="2">
        <v>11262</v>
      </c>
      <c r="K2880" t="s" s="2">
        <v>22</v>
      </c>
      <c r="L2880" t="s" s="2">
        <v>22</v>
      </c>
      <c r="M2880" t="s" s="2">
        <v>22</v>
      </c>
    </row>
    <row r="2881" ht="25.0" customHeight="true">
      <c r="A2881" t="s" s="2">
        <v>13</v>
      </c>
      <c r="B2881" t="s" s="2">
        <f>HYPERLINK("http://ts.21cn.com/tousu/show/id/1371045","YY信用暴力催收")</f>
      </c>
      <c r="C2881" t="s" s="2">
        <v>15</v>
      </c>
      <c r="D2881" t="s" s="2">
        <v>16</v>
      </c>
      <c r="E2881" t="s" s="2">
        <v>17</v>
      </c>
      <c r="F2881" t="s" s="2">
        <f>HYPERLINK("http://ts.21cn.com/tousu/show/id/1371045","http://ts.21cn.com/tousu/show/id/1371045")</f>
      </c>
      <c r="G2881" t="s" s="2">
        <v>17</v>
      </c>
      <c r="H2881" t="s" s="2">
        <v>19</v>
      </c>
      <c r="I2881" t="s" s="2">
        <v>11265</v>
      </c>
      <c r="J2881" t="s" s="2">
        <v>11266</v>
      </c>
      <c r="K2881" t="s" s="2">
        <v>22</v>
      </c>
      <c r="L2881" t="s" s="2">
        <v>22</v>
      </c>
      <c r="M2881" t="s" s="2">
        <v>22</v>
      </c>
    </row>
    <row r="2882" ht="25.0" customHeight="true">
      <c r="A2882" t="s" s="2">
        <v>13</v>
      </c>
      <c r="B2882" t="s" s="2">
        <f>HYPERLINK("http://ts.21cn.com/tousu/show/id/1370060","微信交友")</f>
      </c>
      <c r="C2882" t="s" s="2">
        <v>15</v>
      </c>
      <c r="D2882" t="s" s="2">
        <v>16</v>
      </c>
      <c r="E2882" t="s" s="2">
        <v>17</v>
      </c>
      <c r="F2882" t="s" s="2">
        <f>HYPERLINK("http://ts.21cn.com/tousu/show/id/1370060","http://ts.21cn.com/tousu/show/id/1370060")</f>
      </c>
      <c r="G2882" t="s" s="2">
        <v>17</v>
      </c>
      <c r="H2882" t="s" s="2">
        <v>19</v>
      </c>
      <c r="I2882" t="s" s="2">
        <v>11269</v>
      </c>
      <c r="J2882" t="s" s="2">
        <v>11270</v>
      </c>
      <c r="K2882" t="s" s="2">
        <v>22</v>
      </c>
      <c r="L2882" t="s" s="2">
        <v>22</v>
      </c>
      <c r="M2882" t="s" s="2">
        <v>22</v>
      </c>
    </row>
    <row r="2883" ht="25.0" customHeight="true">
      <c r="A2883" t="s" s="2">
        <v>13</v>
      </c>
      <c r="B2883" t="s" s="2">
        <f>HYPERLINK("http://ts.21cn.com/tousu/show/id/1371043","百度有钱花高利贷")</f>
      </c>
      <c r="C2883" t="s" s="2">
        <v>15</v>
      </c>
      <c r="D2883" t="s" s="2">
        <v>16</v>
      </c>
      <c r="E2883" t="s" s="2">
        <v>17</v>
      </c>
      <c r="F2883" t="s" s="2">
        <f>HYPERLINK("http://ts.21cn.com/tousu/show/id/1371043","http://ts.21cn.com/tousu/show/id/1371043")</f>
      </c>
      <c r="G2883" t="s" s="2">
        <v>17</v>
      </c>
      <c r="H2883" t="s" s="2">
        <v>19</v>
      </c>
      <c r="I2883" t="s" s="2">
        <v>11272</v>
      </c>
      <c r="J2883" t="s" s="2">
        <v>11273</v>
      </c>
      <c r="K2883" t="s" s="2">
        <v>22</v>
      </c>
      <c r="L2883" t="s" s="2">
        <v>22</v>
      </c>
      <c r="M2883" t="s" s="2">
        <v>22</v>
      </c>
    </row>
    <row r="2884" ht="25.0" customHeight="true">
      <c r="A2884" t="s" s="2">
        <v>13</v>
      </c>
      <c r="B2884" t="s" s="2">
        <f>HYPERLINK("http://ts.21cn.com/tousu/show/id/1371044","马上消费金融，暴力催收，群发短信，恐吓催收")</f>
      </c>
      <c r="C2884" t="s" s="2">
        <v>15</v>
      </c>
      <c r="D2884" t="s" s="2">
        <v>16</v>
      </c>
      <c r="E2884" t="s" s="2">
        <v>17</v>
      </c>
      <c r="F2884" t="s" s="2">
        <f>HYPERLINK("http://ts.21cn.com/tousu/show/id/1371044","http://ts.21cn.com/tousu/show/id/1371044")</f>
      </c>
      <c r="G2884" t="s" s="2">
        <v>17</v>
      </c>
      <c r="H2884" t="s" s="2">
        <v>19</v>
      </c>
      <c r="I2884" t="s" s="2">
        <v>11275</v>
      </c>
      <c r="J2884" t="s" s="2">
        <v>11276</v>
      </c>
      <c r="K2884" t="s" s="2">
        <v>22</v>
      </c>
      <c r="L2884" t="s" s="2">
        <v>22</v>
      </c>
      <c r="M2884" t="s" s="2">
        <v>22</v>
      </c>
    </row>
    <row r="2885" ht="25.0" customHeight="true">
      <c r="A2885" t="s" s="2">
        <v>13</v>
      </c>
      <c r="B2885" t="s" s="2">
        <f>HYPERLINK("http://ts.21cn.com/tousu/show/id/1371042","月光侠分期app打不开不能还款")</f>
      </c>
      <c r="C2885" t="s" s="2">
        <v>15</v>
      </c>
      <c r="D2885" t="s" s="2">
        <v>16</v>
      </c>
      <c r="E2885" t="s" s="2">
        <v>17</v>
      </c>
      <c r="F2885" t="s" s="2">
        <f>HYPERLINK("http://ts.21cn.com/tousu/show/id/1371042","http://ts.21cn.com/tousu/show/id/1371042")</f>
      </c>
      <c r="G2885" t="s" s="2">
        <v>17</v>
      </c>
      <c r="H2885" t="s" s="2">
        <v>19</v>
      </c>
      <c r="I2885" t="s" s="2">
        <v>11279</v>
      </c>
      <c r="J2885" t="s" s="2">
        <v>11280</v>
      </c>
      <c r="K2885" t="s" s="2">
        <v>22</v>
      </c>
      <c r="L2885" t="s" s="2">
        <v>22</v>
      </c>
      <c r="M2885" t="s" s="2">
        <v>22</v>
      </c>
    </row>
    <row r="2886" ht="25.0" customHeight="true">
      <c r="A2886" t="s" s="2">
        <v>13</v>
      </c>
      <c r="B2886" t="s" s="2">
        <f>HYPERLINK("http://ts.21cn.com/tousu/show/id/1371041","暴力催收，")</f>
      </c>
      <c r="C2886" t="s" s="2">
        <v>15</v>
      </c>
      <c r="D2886" t="s" s="2">
        <v>16</v>
      </c>
      <c r="E2886" t="s" s="2">
        <v>17</v>
      </c>
      <c r="F2886" t="s" s="2">
        <f>HYPERLINK("http://ts.21cn.com/tousu/show/id/1371041","http://ts.21cn.com/tousu/show/id/1371041")</f>
      </c>
      <c r="G2886" t="s" s="2">
        <v>17</v>
      </c>
      <c r="H2886" t="s" s="2">
        <v>19</v>
      </c>
      <c r="I2886" t="s" s="2">
        <v>11283</v>
      </c>
      <c r="J2886" t="s" s="2">
        <v>11284</v>
      </c>
      <c r="K2886" t="s" s="2">
        <v>22</v>
      </c>
      <c r="L2886" t="s" s="2">
        <v>22</v>
      </c>
      <c r="M2886" t="s" s="2">
        <v>22</v>
      </c>
    </row>
    <row r="2887" ht="25.0" customHeight="true">
      <c r="A2887" t="s" s="2">
        <v>13</v>
      </c>
      <c r="B2887" t="s" s="2">
        <f>HYPERLINK("http://ts.21cn.com/tousu/show/id/1371040","北京月租宝科技有限公司退还套路贷砍头息")</f>
      </c>
      <c r="C2887" t="s" s="2">
        <v>15</v>
      </c>
      <c r="D2887" t="s" s="2">
        <v>16</v>
      </c>
      <c r="E2887" t="s" s="2">
        <v>17</v>
      </c>
      <c r="F2887" t="s" s="2">
        <f>HYPERLINK("http://ts.21cn.com/tousu/show/id/1371040","http://ts.21cn.com/tousu/show/id/1371040")</f>
      </c>
      <c r="G2887" t="s" s="2">
        <v>17</v>
      </c>
      <c r="H2887" t="s" s="2">
        <v>19</v>
      </c>
      <c r="I2887" t="s" s="2">
        <v>11287</v>
      </c>
      <c r="J2887" t="s" s="2">
        <v>11288</v>
      </c>
      <c r="K2887" t="s" s="2">
        <v>22</v>
      </c>
      <c r="L2887" t="s" s="2">
        <v>22</v>
      </c>
      <c r="M2887" t="s" s="2">
        <v>22</v>
      </c>
    </row>
    <row r="2888" ht="25.0" customHeight="true">
      <c r="A2888" t="s" s="2">
        <v>13</v>
      </c>
      <c r="B2888" t="s" s="2">
        <f>HYPERLINK("http://ts.21cn.com/tousu/show/id/1371039","小狮子趣花分期高利贷")</f>
      </c>
      <c r="C2888" t="s" s="2">
        <v>15</v>
      </c>
      <c r="D2888" t="s" s="2">
        <v>16</v>
      </c>
      <c r="E2888" t="s" s="2">
        <v>17</v>
      </c>
      <c r="F2888" t="s" s="2">
        <f>HYPERLINK("http://ts.21cn.com/tousu/show/id/1371039","http://ts.21cn.com/tousu/show/id/1371039")</f>
      </c>
      <c r="G2888" t="s" s="2">
        <v>17</v>
      </c>
      <c r="H2888" t="s" s="2">
        <v>19</v>
      </c>
      <c r="I2888" t="s" s="2">
        <v>11291</v>
      </c>
      <c r="J2888" t="s" s="2">
        <v>11292</v>
      </c>
      <c r="K2888" t="s" s="2">
        <v>22</v>
      </c>
      <c r="L2888" t="s" s="2">
        <v>22</v>
      </c>
      <c r="M2888" t="s" s="2">
        <v>22</v>
      </c>
    </row>
    <row r="2889" ht="25.0" customHeight="true">
      <c r="A2889" t="s" s="2">
        <v>13</v>
      </c>
      <c r="B2889" t="s" s="2">
        <f>HYPERLINK("http://ts.21cn.com/tousu/show/id/1371038","及贷高利贷暴力催收辱骂通讯录电话")</f>
      </c>
      <c r="C2889" t="s" s="2">
        <v>15</v>
      </c>
      <c r="D2889" t="s" s="2">
        <v>16</v>
      </c>
      <c r="E2889" t="s" s="2">
        <v>17</v>
      </c>
      <c r="F2889" t="s" s="2">
        <f>HYPERLINK("http://ts.21cn.com/tousu/show/id/1371038","http://ts.21cn.com/tousu/show/id/1371038")</f>
      </c>
      <c r="G2889" t="s" s="2">
        <v>17</v>
      </c>
      <c r="H2889" t="s" s="2">
        <v>19</v>
      </c>
      <c r="I2889" t="s" s="2">
        <v>11295</v>
      </c>
      <c r="J2889" t="s" s="2">
        <v>11296</v>
      </c>
      <c r="K2889" t="s" s="2">
        <v>22</v>
      </c>
      <c r="L2889" t="s" s="2">
        <v>22</v>
      </c>
      <c r="M2889" t="s" s="2">
        <v>22</v>
      </c>
    </row>
    <row r="2890" ht="25.0" customHeight="true">
      <c r="A2890" t="s" s="2">
        <v>13</v>
      </c>
      <c r="B2890" t="s" s="2">
        <f>HYPERLINK("http://ts.21cn.com/tousu/show/id/1371036","滴滴服务分问题")</f>
      </c>
      <c r="C2890" t="s" s="2">
        <v>15</v>
      </c>
      <c r="D2890" t="s" s="2">
        <v>16</v>
      </c>
      <c r="E2890" t="s" s="2">
        <v>17</v>
      </c>
      <c r="F2890" t="s" s="2">
        <f>HYPERLINK("http://ts.21cn.com/tousu/show/id/1371036","http://ts.21cn.com/tousu/show/id/1371036")</f>
      </c>
      <c r="G2890" t="s" s="2">
        <v>17</v>
      </c>
      <c r="H2890" t="s" s="2">
        <v>19</v>
      </c>
      <c r="I2890" t="s" s="2">
        <v>11299</v>
      </c>
      <c r="J2890" t="s" s="2">
        <v>11300</v>
      </c>
      <c r="K2890" t="s" s="2">
        <v>22</v>
      </c>
      <c r="L2890" t="s" s="2">
        <v>22</v>
      </c>
      <c r="M2890" t="s" s="2">
        <v>22</v>
      </c>
    </row>
    <row r="2891" ht="25.0" customHeight="true">
      <c r="A2891" t="s" s="2">
        <v>13</v>
      </c>
      <c r="B2891" t="s" s="2">
        <f>HYPERLINK("http://ts.21cn.com/tousu/show/id/1371037","淘宝店铺购买了假的博朗耳温枪，卖家不予退货")</f>
      </c>
      <c r="C2891" t="s" s="2">
        <v>15</v>
      </c>
      <c r="D2891" t="s" s="2">
        <v>16</v>
      </c>
      <c r="E2891" t="s" s="2">
        <v>17</v>
      </c>
      <c r="F2891" t="s" s="2">
        <f>HYPERLINK("http://ts.21cn.com/tousu/show/id/1371037","http://ts.21cn.com/tousu/show/id/1371037")</f>
      </c>
      <c r="G2891" t="s" s="2">
        <v>17</v>
      </c>
      <c r="H2891" t="s" s="2">
        <v>19</v>
      </c>
      <c r="I2891" t="s" s="2">
        <v>11303</v>
      </c>
      <c r="J2891" t="s" s="2">
        <v>11304</v>
      </c>
      <c r="K2891" t="s" s="2">
        <v>22</v>
      </c>
      <c r="L2891" t="s" s="2">
        <v>22</v>
      </c>
      <c r="M2891" t="s" s="2">
        <v>22</v>
      </c>
    </row>
    <row r="2892" ht="25.0" customHeight="true">
      <c r="A2892" t="s" s="2">
        <v>13</v>
      </c>
      <c r="B2892" t="s" s="2">
        <f>HYPERLINK("http://ts.21cn.com/tousu/show/id/1371035","麦子金服白领贷利率过高超过国家标准36%")</f>
      </c>
      <c r="C2892" t="s" s="2">
        <v>15</v>
      </c>
      <c r="D2892" t="s" s="2">
        <v>16</v>
      </c>
      <c r="E2892" t="s" s="2">
        <v>17</v>
      </c>
      <c r="F2892" t="s" s="2">
        <f>HYPERLINK("http://ts.21cn.com/tousu/show/id/1371035","http://ts.21cn.com/tousu/show/id/1371035")</f>
      </c>
      <c r="G2892" t="s" s="2">
        <v>17</v>
      </c>
      <c r="H2892" t="s" s="2">
        <v>19</v>
      </c>
      <c r="I2892" t="s" s="2">
        <v>11307</v>
      </c>
      <c r="J2892" t="s" s="2">
        <v>11308</v>
      </c>
      <c r="K2892" t="s" s="2">
        <v>22</v>
      </c>
      <c r="L2892" t="s" s="2">
        <v>22</v>
      </c>
      <c r="M2892" t="s" s="2">
        <v>22</v>
      </c>
    </row>
    <row r="2893" ht="25.0" customHeight="true">
      <c r="A2893" t="s" s="2">
        <v>13</v>
      </c>
      <c r="B2893" t="s" s="2">
        <f>HYPERLINK("http://ts.21cn.com/tousu/show/id/1371033","网络借贷误导性虚假信息")</f>
      </c>
      <c r="C2893" t="s" s="2">
        <v>15</v>
      </c>
      <c r="D2893" t="s" s="2">
        <v>16</v>
      </c>
      <c r="E2893" t="s" s="2">
        <v>17</v>
      </c>
      <c r="F2893" t="s" s="2">
        <f>HYPERLINK("http://ts.21cn.com/tousu/show/id/1371033","http://ts.21cn.com/tousu/show/id/1371033")</f>
      </c>
      <c r="G2893" t="s" s="2">
        <v>17</v>
      </c>
      <c r="H2893" t="s" s="2">
        <v>19</v>
      </c>
      <c r="I2893" t="s" s="2">
        <v>11310</v>
      </c>
      <c r="J2893" t="s" s="2">
        <v>11311</v>
      </c>
      <c r="K2893" t="s" s="2">
        <v>22</v>
      </c>
      <c r="L2893" t="s" s="2">
        <v>22</v>
      </c>
      <c r="M2893" t="s" s="2">
        <v>22</v>
      </c>
    </row>
    <row r="2894" ht="25.0" customHeight="true">
      <c r="A2894" t="s" s="2">
        <v>13</v>
      </c>
      <c r="B2894" t="s" s="2">
        <f>HYPERLINK("http://ts.21cn.com/tousu/show/id/1371030","扣费不明")</f>
      </c>
      <c r="C2894" t="s" s="2">
        <v>15</v>
      </c>
      <c r="D2894" t="s" s="2">
        <v>16</v>
      </c>
      <c r="E2894" t="s" s="2">
        <v>17</v>
      </c>
      <c r="F2894" t="s" s="2">
        <f>HYPERLINK("http://ts.21cn.com/tousu/show/id/1371030","http://ts.21cn.com/tousu/show/id/1371030")</f>
      </c>
      <c r="G2894" t="s" s="2">
        <v>17</v>
      </c>
      <c r="H2894" t="s" s="2">
        <v>19</v>
      </c>
      <c r="I2894" t="s" s="2">
        <v>11314</v>
      </c>
      <c r="J2894" t="s" s="2">
        <v>11315</v>
      </c>
      <c r="K2894" t="s" s="2">
        <v>22</v>
      </c>
      <c r="L2894" t="s" s="2">
        <v>22</v>
      </c>
      <c r="M2894" t="s" s="2">
        <v>22</v>
      </c>
    </row>
    <row r="2895" ht="25.0" customHeight="true">
      <c r="A2895" t="s" s="2">
        <v>13</v>
      </c>
      <c r="B2895" t="s" s="2">
        <f>HYPERLINK("http://ts.21cn.com/tousu/show/id/1371029","小花钱包爆力摧收")</f>
      </c>
      <c r="C2895" t="s" s="2">
        <v>15</v>
      </c>
      <c r="D2895" t="s" s="2">
        <v>16</v>
      </c>
      <c r="E2895" t="s" s="2">
        <v>17</v>
      </c>
      <c r="F2895" t="s" s="2">
        <f>HYPERLINK("http://ts.21cn.com/tousu/show/id/1371029","http://ts.21cn.com/tousu/show/id/1371029")</f>
      </c>
      <c r="G2895" t="s" s="2">
        <v>17</v>
      </c>
      <c r="H2895" t="s" s="2">
        <v>19</v>
      </c>
      <c r="I2895" t="s" s="2">
        <v>11318</v>
      </c>
      <c r="J2895" t="s" s="2">
        <v>11319</v>
      </c>
      <c r="K2895" t="s" s="2">
        <v>22</v>
      </c>
      <c r="L2895" t="s" s="2">
        <v>22</v>
      </c>
      <c r="M2895" t="s" s="2">
        <v>22</v>
      </c>
    </row>
    <row r="2896" ht="25.0" customHeight="true">
      <c r="A2896" t="s" s="2">
        <v>13</v>
      </c>
      <c r="B2896" t="s" s="2">
        <f>HYPERLINK("http://ts.21cn.com/tousu/show/id/1371028","已经无力偿还，协商早日解决，停止骚扰")</f>
      </c>
      <c r="C2896" t="s" s="2">
        <v>15</v>
      </c>
      <c r="D2896" t="s" s="2">
        <v>16</v>
      </c>
      <c r="E2896" t="s" s="2">
        <v>17</v>
      </c>
      <c r="F2896" t="s" s="2">
        <f>HYPERLINK("http://ts.21cn.com/tousu/show/id/1371028","http://ts.21cn.com/tousu/show/id/1371028")</f>
      </c>
      <c r="G2896" t="s" s="2">
        <v>17</v>
      </c>
      <c r="H2896" t="s" s="2">
        <v>19</v>
      </c>
      <c r="I2896" t="s" s="2">
        <v>11322</v>
      </c>
      <c r="J2896" t="s" s="2">
        <v>11323</v>
      </c>
      <c r="K2896" t="s" s="2">
        <v>22</v>
      </c>
      <c r="L2896" t="s" s="2">
        <v>22</v>
      </c>
      <c r="M2896" t="s" s="2">
        <v>22</v>
      </c>
    </row>
    <row r="2897" ht="25.0" customHeight="true">
      <c r="A2897" t="s" s="2">
        <v>13</v>
      </c>
      <c r="B2897" t="s" s="2">
        <f>HYPERLINK("http://ts.21cn.com/tousu/show/id/1371026","高利贷，高额违约金")</f>
      </c>
      <c r="C2897" t="s" s="2">
        <v>15</v>
      </c>
      <c r="D2897" t="s" s="2">
        <v>16</v>
      </c>
      <c r="E2897" t="s" s="2">
        <v>17</v>
      </c>
      <c r="F2897" t="s" s="2">
        <f>HYPERLINK("http://ts.21cn.com/tousu/show/id/1371026","http://ts.21cn.com/tousu/show/id/1371026")</f>
      </c>
      <c r="G2897" t="s" s="2">
        <v>17</v>
      </c>
      <c r="H2897" t="s" s="2">
        <v>19</v>
      </c>
      <c r="I2897" t="s" s="2">
        <v>11326</v>
      </c>
      <c r="J2897" t="s" s="2">
        <v>11327</v>
      </c>
      <c r="K2897" t="s" s="2">
        <v>22</v>
      </c>
      <c r="L2897" t="s" s="2">
        <v>22</v>
      </c>
      <c r="M2897" t="s" s="2">
        <v>22</v>
      </c>
    </row>
    <row r="2898" ht="25.0" customHeight="true">
      <c r="A2898" t="s" s="2">
        <v>13</v>
      </c>
      <c r="B2898" t="s" s="2">
        <f>HYPERLINK("http://ts.21cn.com/tousu/show/id/1371025","腾讯VIP会员自动续费提前扣款不给停止")</f>
      </c>
      <c r="C2898" t="s" s="2">
        <v>15</v>
      </c>
      <c r="D2898" t="s" s="2">
        <v>16</v>
      </c>
      <c r="E2898" t="s" s="2">
        <v>17</v>
      </c>
      <c r="F2898" t="s" s="2">
        <f>HYPERLINK("http://ts.21cn.com/tousu/show/id/1371025","http://ts.21cn.com/tousu/show/id/1371025")</f>
      </c>
      <c r="G2898" t="s" s="2">
        <v>17</v>
      </c>
      <c r="H2898" t="s" s="2">
        <v>19</v>
      </c>
      <c r="I2898" t="s" s="2">
        <v>11330</v>
      </c>
      <c r="J2898" t="s" s="2">
        <v>11331</v>
      </c>
      <c r="K2898" t="s" s="2">
        <v>22</v>
      </c>
      <c r="L2898" t="s" s="2">
        <v>22</v>
      </c>
      <c r="M2898" t="s" s="2">
        <v>22</v>
      </c>
    </row>
    <row r="2899" ht="25.0" customHeight="true">
      <c r="A2899" t="s" s="2">
        <v>13</v>
      </c>
      <c r="B2899" t="s" s="2">
        <f>HYPERLINK("http://ts.21cn.com/tousu/show/id/1371027","欠债还钱天经地义拒绝暴力催收！爆通信录是违法的！")</f>
      </c>
      <c r="C2899" t="s" s="2">
        <v>15</v>
      </c>
      <c r="D2899" t="s" s="2">
        <v>16</v>
      </c>
      <c r="E2899" t="s" s="2">
        <v>17</v>
      </c>
      <c r="F2899" t="s" s="2">
        <f>HYPERLINK("http://ts.21cn.com/tousu/show/id/1371027","http://ts.21cn.com/tousu/show/id/1371027")</f>
      </c>
      <c r="G2899" t="s" s="2">
        <v>17</v>
      </c>
      <c r="H2899" t="s" s="2">
        <v>19</v>
      </c>
      <c r="I2899" t="s" s="2">
        <v>11334</v>
      </c>
      <c r="J2899" t="s" s="2">
        <v>11335</v>
      </c>
      <c r="K2899" t="s" s="2">
        <v>22</v>
      </c>
      <c r="L2899" t="s" s="2">
        <v>22</v>
      </c>
      <c r="M2899" t="s" s="2">
        <v>22</v>
      </c>
    </row>
    <row r="2900" ht="25.0" customHeight="true">
      <c r="A2900" t="s" s="2">
        <v>13</v>
      </c>
      <c r="B2900" t="s" s="2">
        <f>HYPERLINK("http://ts.21cn.com/tousu/show/id/1371024","美团")</f>
      </c>
      <c r="C2900" t="s" s="2">
        <v>15</v>
      </c>
      <c r="D2900" t="s" s="2">
        <v>16</v>
      </c>
      <c r="E2900" t="s" s="2">
        <v>17</v>
      </c>
      <c r="F2900" t="s" s="2">
        <f>HYPERLINK("http://ts.21cn.com/tousu/show/id/1371024","http://ts.21cn.com/tousu/show/id/1371024")</f>
      </c>
      <c r="G2900" t="s" s="2">
        <v>17</v>
      </c>
      <c r="H2900" t="s" s="2">
        <v>19</v>
      </c>
      <c r="I2900" t="s" s="2">
        <v>11338</v>
      </c>
      <c r="J2900" t="s" s="2">
        <v>11339</v>
      </c>
      <c r="K2900" t="s" s="2">
        <v>22</v>
      </c>
      <c r="L2900" t="s" s="2">
        <v>22</v>
      </c>
      <c r="M2900" t="s" s="2">
        <v>22</v>
      </c>
    </row>
    <row r="2901" ht="25.0" customHeight="true">
      <c r="A2901" t="s" s="2">
        <v>13</v>
      </c>
      <c r="B2901" t="s" s="2">
        <f>HYPERLINK("http://ts.21cn.com/tousu/show/id/1371023","信用管家客服电话打不通")</f>
      </c>
      <c r="C2901" t="s" s="2">
        <v>15</v>
      </c>
      <c r="D2901" t="s" s="2">
        <v>16</v>
      </c>
      <c r="E2901" t="s" s="2">
        <v>17</v>
      </c>
      <c r="F2901" t="s" s="2">
        <f>HYPERLINK("http://ts.21cn.com/tousu/show/id/1371023","http://ts.21cn.com/tousu/show/id/1371023")</f>
      </c>
      <c r="G2901" t="s" s="2">
        <v>17</v>
      </c>
      <c r="H2901" t="s" s="2">
        <v>19</v>
      </c>
      <c r="I2901" t="s" s="2">
        <v>11342</v>
      </c>
      <c r="J2901" t="s" s="2">
        <v>11343</v>
      </c>
      <c r="K2901" t="s" s="2">
        <v>22</v>
      </c>
      <c r="L2901" t="s" s="2">
        <v>22</v>
      </c>
      <c r="M2901" t="s" s="2">
        <v>22</v>
      </c>
    </row>
    <row r="2902" ht="25.0" customHeight="true">
      <c r="A2902" t="s" s="2">
        <v>13</v>
      </c>
      <c r="B2902" t="s" s="2">
        <f>HYPERLINK("http://ts.21cn.com/tousu/show/id/1370953","捷信金融公司变相高利贷")</f>
      </c>
      <c r="C2902" t="s" s="2">
        <v>15</v>
      </c>
      <c r="D2902" t="s" s="2">
        <v>16</v>
      </c>
      <c r="E2902" t="s" s="2">
        <v>17</v>
      </c>
      <c r="F2902" t="s" s="2">
        <f>HYPERLINK("http://ts.21cn.com/tousu/show/id/1370953","http://ts.21cn.com/tousu/show/id/1370953")</f>
      </c>
      <c r="G2902" t="s" s="2">
        <v>17</v>
      </c>
      <c r="H2902" t="s" s="2">
        <v>19</v>
      </c>
      <c r="I2902" t="s" s="2">
        <v>11345</v>
      </c>
      <c r="J2902" t="s" s="2">
        <v>11346</v>
      </c>
      <c r="K2902" t="s" s="2">
        <v>22</v>
      </c>
      <c r="L2902" t="s" s="2">
        <v>22</v>
      </c>
      <c r="M2902" t="s" s="2">
        <v>22</v>
      </c>
    </row>
    <row r="2903" ht="25.0" customHeight="true">
      <c r="A2903" t="s" s="2">
        <v>13</v>
      </c>
      <c r="B2903" t="s" s="2">
        <f>HYPERLINK("http://ts.21cn.com/tousu/show/id/1370854","快捷通支付违规为高炮提供放款通道")</f>
      </c>
      <c r="C2903" t="s" s="2">
        <v>15</v>
      </c>
      <c r="D2903" t="s" s="2">
        <v>16</v>
      </c>
      <c r="E2903" t="s" s="2">
        <v>17</v>
      </c>
      <c r="F2903" t="s" s="2">
        <f>HYPERLINK("http://ts.21cn.com/tousu/show/id/1370854","http://ts.21cn.com/tousu/show/id/1370854")</f>
      </c>
      <c r="G2903" t="s" s="2">
        <v>17</v>
      </c>
      <c r="H2903" t="s" s="2">
        <v>19</v>
      </c>
      <c r="I2903" t="s" s="2">
        <v>11349</v>
      </c>
      <c r="J2903" t="s" s="2">
        <v>11350</v>
      </c>
      <c r="K2903" t="s" s="2">
        <v>22</v>
      </c>
      <c r="L2903" t="s" s="2">
        <v>22</v>
      </c>
      <c r="M2903" t="s" s="2">
        <v>22</v>
      </c>
    </row>
    <row r="2904" ht="25.0" customHeight="true">
      <c r="A2904" t="s" s="2">
        <v>13</v>
      </c>
      <c r="B2904" t="s" s="2">
        <f>HYPERLINK("http://ts.21cn.com/tousu/show/id/1371022","工商银行暴力催收，辱骂持卡人")</f>
      </c>
      <c r="C2904" t="s" s="2">
        <v>15</v>
      </c>
      <c r="D2904" t="s" s="2">
        <v>16</v>
      </c>
      <c r="E2904" t="s" s="2">
        <v>17</v>
      </c>
      <c r="F2904" t="s" s="2">
        <f>HYPERLINK("http://ts.21cn.com/tousu/show/id/1371022","http://ts.21cn.com/tousu/show/id/1371022")</f>
      </c>
      <c r="G2904" t="s" s="2">
        <v>17</v>
      </c>
      <c r="H2904" t="s" s="2">
        <v>19</v>
      </c>
      <c r="I2904" t="s" s="2">
        <v>11353</v>
      </c>
      <c r="J2904" t="s" s="2">
        <v>11354</v>
      </c>
      <c r="K2904" t="s" s="2">
        <v>22</v>
      </c>
      <c r="L2904" t="s" s="2">
        <v>22</v>
      </c>
      <c r="M2904" t="s" s="2">
        <v>22</v>
      </c>
    </row>
    <row r="2905" ht="25.0" customHeight="true">
      <c r="A2905" t="s" s="2">
        <v>13</v>
      </c>
      <c r="B2905" t="s" s="2">
        <f>HYPERLINK("http://ts.21cn.com/tousu/show/id/1371020","交易猫客服不理人")</f>
      </c>
      <c r="C2905" t="s" s="2">
        <v>15</v>
      </c>
      <c r="D2905" t="s" s="2">
        <v>16</v>
      </c>
      <c r="E2905" t="s" s="2">
        <v>17</v>
      </c>
      <c r="F2905" t="s" s="2">
        <f>HYPERLINK("http://ts.21cn.com/tousu/show/id/1371020","http://ts.21cn.com/tousu/show/id/1371020")</f>
      </c>
      <c r="G2905" t="s" s="2">
        <v>17</v>
      </c>
      <c r="H2905" t="s" s="2">
        <v>19</v>
      </c>
      <c r="I2905" t="s" s="2">
        <v>11357</v>
      </c>
      <c r="J2905" t="s" s="2">
        <v>11358</v>
      </c>
      <c r="K2905" t="s" s="2">
        <v>22</v>
      </c>
      <c r="L2905" t="s" s="2">
        <v>22</v>
      </c>
      <c r="M2905" t="s" s="2">
        <v>22</v>
      </c>
    </row>
    <row r="2906" ht="25.0" customHeight="true">
      <c r="A2906" t="s" s="2">
        <v>13</v>
      </c>
      <c r="B2906" t="s" s="2">
        <f>HYPERLINK("http://ts.21cn.com/tousu/show/id/1371021","尚德机构霸王条款，不退费")</f>
      </c>
      <c r="C2906" t="s" s="2">
        <v>15</v>
      </c>
      <c r="D2906" t="s" s="2">
        <v>16</v>
      </c>
      <c r="E2906" t="s" s="2">
        <v>17</v>
      </c>
      <c r="F2906" t="s" s="2">
        <f>HYPERLINK("http://ts.21cn.com/tousu/show/id/1371021","http://ts.21cn.com/tousu/show/id/1371021")</f>
      </c>
      <c r="G2906" t="s" s="2">
        <v>17</v>
      </c>
      <c r="H2906" t="s" s="2">
        <v>19</v>
      </c>
      <c r="I2906" t="s" s="2">
        <v>11361</v>
      </c>
      <c r="J2906" t="s" s="2">
        <v>11362</v>
      </c>
      <c r="K2906" t="s" s="2">
        <v>22</v>
      </c>
      <c r="L2906" t="s" s="2">
        <v>22</v>
      </c>
      <c r="M2906" t="s" s="2">
        <v>22</v>
      </c>
    </row>
    <row r="2907" ht="25.0" customHeight="true">
      <c r="A2907" t="s" s="2">
        <v>13</v>
      </c>
      <c r="B2907" t="s" s="2">
        <f>HYPERLINK("http://ts.21cn.com/tousu/show/id/1371019","捷信高利贷")</f>
      </c>
      <c r="C2907" t="s" s="2">
        <v>15</v>
      </c>
      <c r="D2907" t="s" s="2">
        <v>16</v>
      </c>
      <c r="E2907" t="s" s="2">
        <v>17</v>
      </c>
      <c r="F2907" t="s" s="2">
        <f>HYPERLINK("http://ts.21cn.com/tousu/show/id/1371019","http://ts.21cn.com/tousu/show/id/1371019")</f>
      </c>
      <c r="G2907" t="s" s="2">
        <v>17</v>
      </c>
      <c r="H2907" t="s" s="2">
        <v>19</v>
      </c>
      <c r="I2907" t="s" s="2">
        <v>11364</v>
      </c>
      <c r="J2907" t="s" s="2">
        <v>11365</v>
      </c>
      <c r="K2907" t="s" s="2">
        <v>22</v>
      </c>
      <c r="L2907" t="s" s="2">
        <v>22</v>
      </c>
      <c r="M2907" t="s" s="2">
        <v>22</v>
      </c>
    </row>
    <row r="2908" ht="25.0" customHeight="true">
      <c r="A2908" t="s" s="2">
        <v>13</v>
      </c>
      <c r="B2908" t="s" s="2">
        <f>HYPERLINK("http://ts.21cn.com/tousu/show/id/1371018","协商")</f>
      </c>
      <c r="C2908" t="s" s="2">
        <v>15</v>
      </c>
      <c r="D2908" t="s" s="2">
        <v>16</v>
      </c>
      <c r="E2908" t="s" s="2">
        <v>17</v>
      </c>
      <c r="F2908" t="s" s="2">
        <f>HYPERLINK("http://ts.21cn.com/tousu/show/id/1371018","http://ts.21cn.com/tousu/show/id/1371018")</f>
      </c>
      <c r="G2908" t="s" s="2">
        <v>17</v>
      </c>
      <c r="H2908" t="s" s="2">
        <v>19</v>
      </c>
      <c r="I2908" t="s" s="2">
        <v>11368</v>
      </c>
      <c r="J2908" t="s" s="2">
        <v>11369</v>
      </c>
      <c r="K2908" t="s" s="2">
        <v>22</v>
      </c>
      <c r="L2908" t="s" s="2">
        <v>22</v>
      </c>
      <c r="M2908" t="s" s="2">
        <v>22</v>
      </c>
    </row>
    <row r="2909" ht="25.0" customHeight="true">
      <c r="A2909" t="s" s="2">
        <v>13</v>
      </c>
      <c r="B2909" t="s" s="2">
        <f>HYPERLINK("http://ts.21cn.com/tousu/show/id/1371015","乱扣费")</f>
      </c>
      <c r="C2909" t="s" s="2">
        <v>15</v>
      </c>
      <c r="D2909" t="s" s="2">
        <v>16</v>
      </c>
      <c r="E2909" t="s" s="2">
        <v>17</v>
      </c>
      <c r="F2909" t="s" s="2">
        <f>HYPERLINK("http://ts.21cn.com/tousu/show/id/1371015","http://ts.21cn.com/tousu/show/id/1371015")</f>
      </c>
      <c r="G2909" t="s" s="2">
        <v>17</v>
      </c>
      <c r="H2909" t="s" s="2">
        <v>19</v>
      </c>
      <c r="I2909" t="s" s="2">
        <v>11371</v>
      </c>
      <c r="J2909" t="s" s="2">
        <v>11372</v>
      </c>
      <c r="K2909" t="s" s="2">
        <v>22</v>
      </c>
      <c r="L2909" t="s" s="2">
        <v>22</v>
      </c>
      <c r="M2909" t="s" s="2">
        <v>22</v>
      </c>
    </row>
    <row r="2910" ht="25.0" customHeight="true">
      <c r="A2910" t="s" s="2">
        <v>13</v>
      </c>
      <c r="B2910" t="s" s="2">
        <f>HYPERLINK("http://ts.21cn.com/tousu/show/id/1371016","中信银行信用卡辱骂威胁家人还款")</f>
      </c>
      <c r="C2910" t="s" s="2">
        <v>15</v>
      </c>
      <c r="D2910" t="s" s="2">
        <v>16</v>
      </c>
      <c r="E2910" t="s" s="2">
        <v>17</v>
      </c>
      <c r="F2910" t="s" s="2">
        <f>HYPERLINK("http://ts.21cn.com/tousu/show/id/1371016","http://ts.21cn.com/tousu/show/id/1371016")</f>
      </c>
      <c r="G2910" t="s" s="2">
        <v>17</v>
      </c>
      <c r="H2910" t="s" s="2">
        <v>19</v>
      </c>
      <c r="I2910" t="s" s="2">
        <v>11375</v>
      </c>
      <c r="J2910" t="s" s="2">
        <v>11376</v>
      </c>
      <c r="K2910" t="s" s="2">
        <v>22</v>
      </c>
      <c r="L2910" t="s" s="2">
        <v>22</v>
      </c>
      <c r="M2910" t="s" s="2">
        <v>22</v>
      </c>
    </row>
    <row r="2911" ht="25.0" customHeight="true">
      <c r="A2911" t="s" s="2">
        <v>13</v>
      </c>
      <c r="B2911" t="s" s="2">
        <f>HYPERLINK("http://ts.21cn.com/tousu/show/id/1371014","华夏银行信用卡电话骚扰")</f>
      </c>
      <c r="C2911" t="s" s="2">
        <v>15</v>
      </c>
      <c r="D2911" t="s" s="2">
        <v>16</v>
      </c>
      <c r="E2911" t="s" s="2">
        <v>17</v>
      </c>
      <c r="F2911" t="s" s="2">
        <f>HYPERLINK("http://ts.21cn.com/tousu/show/id/1371014","http://ts.21cn.com/tousu/show/id/1371014")</f>
      </c>
      <c r="G2911" t="s" s="2">
        <v>17</v>
      </c>
      <c r="H2911" t="s" s="2">
        <v>19</v>
      </c>
      <c r="I2911" t="s" s="2">
        <v>11379</v>
      </c>
      <c r="J2911" t="s" s="2">
        <v>11380</v>
      </c>
      <c r="K2911" t="s" s="2">
        <v>22</v>
      </c>
      <c r="L2911" t="s" s="2">
        <v>22</v>
      </c>
      <c r="M2911" t="s" s="2">
        <v>22</v>
      </c>
    </row>
    <row r="2912" ht="25.0" customHeight="true">
      <c r="A2912" t="s" s="2">
        <v>13</v>
      </c>
      <c r="B2912" t="s" s="2">
        <f>HYPERLINK("http://ts.21cn.com/tousu/show/id/1371013","易办事无缘无故扣款")</f>
      </c>
      <c r="C2912" t="s" s="2">
        <v>15</v>
      </c>
      <c r="D2912" t="s" s="2">
        <v>16</v>
      </c>
      <c r="E2912" t="s" s="2">
        <v>17</v>
      </c>
      <c r="F2912" t="s" s="2">
        <f>HYPERLINK("http://ts.21cn.com/tousu/show/id/1371013","http://ts.21cn.com/tousu/show/id/1371013")</f>
      </c>
      <c r="G2912" t="s" s="2">
        <v>17</v>
      </c>
      <c r="H2912" t="s" s="2">
        <v>19</v>
      </c>
      <c r="I2912" t="s" s="2">
        <v>11383</v>
      </c>
      <c r="J2912" t="s" s="2">
        <v>11384</v>
      </c>
      <c r="K2912" t="s" s="2">
        <v>22</v>
      </c>
      <c r="L2912" t="s" s="2">
        <v>22</v>
      </c>
      <c r="M2912" t="s" s="2">
        <v>22</v>
      </c>
    </row>
    <row r="2913" ht="25.0" customHeight="true">
      <c r="A2913" t="s" s="2">
        <v>13</v>
      </c>
      <c r="B2913" t="s" s="2">
        <f>HYPERLINK("http://ts.21cn.com/tousu/show/id/1371012","高利贷暴力催收恐吓威胁")</f>
      </c>
      <c r="C2913" t="s" s="2">
        <v>15</v>
      </c>
      <c r="D2913" t="s" s="2">
        <v>16</v>
      </c>
      <c r="E2913" t="s" s="2">
        <v>17</v>
      </c>
      <c r="F2913" t="s" s="2">
        <f>HYPERLINK("http://ts.21cn.com/tousu/show/id/1371012","http://ts.21cn.com/tousu/show/id/1371012")</f>
      </c>
      <c r="G2913" t="s" s="2">
        <v>17</v>
      </c>
      <c r="H2913" t="s" s="2">
        <v>19</v>
      </c>
      <c r="I2913" t="s" s="2">
        <v>11387</v>
      </c>
      <c r="J2913" t="s" s="2">
        <v>11388</v>
      </c>
      <c r="K2913" t="s" s="2">
        <v>22</v>
      </c>
      <c r="L2913" t="s" s="2">
        <v>22</v>
      </c>
      <c r="M2913" t="s" s="2">
        <v>22</v>
      </c>
    </row>
    <row r="2914" ht="25.0" customHeight="true">
      <c r="A2914" t="s" s="2">
        <v>13</v>
      </c>
      <c r="B2914" t="s" s="2">
        <f>HYPERLINK("http://ts.21cn.com/tousu/show/id/1371011","短信骚扰")</f>
      </c>
      <c r="C2914" t="s" s="2">
        <v>15</v>
      </c>
      <c r="D2914" t="s" s="2">
        <v>16</v>
      </c>
      <c r="E2914" t="s" s="2">
        <v>17</v>
      </c>
      <c r="F2914" t="s" s="2">
        <f>HYPERLINK("http://ts.21cn.com/tousu/show/id/1371011","http://ts.21cn.com/tousu/show/id/1371011")</f>
      </c>
      <c r="G2914" t="s" s="2">
        <v>17</v>
      </c>
      <c r="H2914" t="s" s="2">
        <v>19</v>
      </c>
      <c r="I2914" t="s" s="2">
        <v>11390</v>
      </c>
      <c r="J2914" t="s" s="2">
        <v>11391</v>
      </c>
      <c r="K2914" t="s" s="2">
        <v>22</v>
      </c>
      <c r="L2914" t="s" s="2">
        <v>22</v>
      </c>
      <c r="M2914" t="s" s="2">
        <v>22</v>
      </c>
    </row>
    <row r="2915" ht="25.0" customHeight="true">
      <c r="A2915" t="s" s="2">
        <v>13</v>
      </c>
      <c r="B2915" t="s" s="2">
        <f>HYPERLINK("http://ts.21cn.com/tousu/show/id/1371008","黄河农村商业银行不给开还款证明")</f>
      </c>
      <c r="C2915" t="s" s="2">
        <v>15</v>
      </c>
      <c r="D2915" t="s" s="2">
        <v>16</v>
      </c>
      <c r="E2915" t="s" s="2">
        <v>17</v>
      </c>
      <c r="F2915" t="s" s="2">
        <f>HYPERLINK("http://ts.21cn.com/tousu/show/id/1371008","http://ts.21cn.com/tousu/show/id/1371008")</f>
      </c>
      <c r="G2915" t="s" s="2">
        <v>17</v>
      </c>
      <c r="H2915" t="s" s="2">
        <v>19</v>
      </c>
      <c r="I2915" t="s" s="2">
        <v>11394</v>
      </c>
      <c r="J2915" t="s" s="2">
        <v>11395</v>
      </c>
      <c r="K2915" t="s" s="2">
        <v>22</v>
      </c>
      <c r="L2915" t="s" s="2">
        <v>22</v>
      </c>
      <c r="M2915" t="s" s="2">
        <v>22</v>
      </c>
    </row>
    <row r="2916" ht="25.0" customHeight="true">
      <c r="A2916" t="s" s="2">
        <v>13</v>
      </c>
      <c r="B2916" t="s" s="2">
        <f>HYPERLINK("http://ts.21cn.com/tousu/show/id/1371007","贷上钱暴力催收态度恶劣严重影响我和家人朋友的正常生活")</f>
      </c>
      <c r="C2916" t="s" s="2">
        <v>15</v>
      </c>
      <c r="D2916" t="s" s="2">
        <v>16</v>
      </c>
      <c r="E2916" t="s" s="2">
        <v>17</v>
      </c>
      <c r="F2916" t="s" s="2">
        <f>HYPERLINK("http://ts.21cn.com/tousu/show/id/1371007","http://ts.21cn.com/tousu/show/id/1371007")</f>
      </c>
      <c r="G2916" t="s" s="2">
        <v>17</v>
      </c>
      <c r="H2916" t="s" s="2">
        <v>19</v>
      </c>
      <c r="I2916" t="s" s="2">
        <v>11398</v>
      </c>
      <c r="J2916" t="s" s="2">
        <v>11399</v>
      </c>
      <c r="K2916" t="s" s="2">
        <v>22</v>
      </c>
      <c r="L2916" t="s" s="2">
        <v>22</v>
      </c>
      <c r="M2916" t="s" s="2">
        <v>22</v>
      </c>
    </row>
    <row r="2917" ht="25.0" customHeight="true">
      <c r="A2917" t="s" s="2">
        <v>13</v>
      </c>
      <c r="B2917" t="s" s="2">
        <f>HYPERLINK("http://ts.21cn.com/tousu/show/id/1371005","平安普惠骚扰联系人")</f>
      </c>
      <c r="C2917" t="s" s="2">
        <v>52</v>
      </c>
      <c r="D2917" t="s" s="2">
        <v>16</v>
      </c>
      <c r="E2917" t="s" s="2">
        <v>17</v>
      </c>
      <c r="F2917" t="s" s="2">
        <f>HYPERLINK("http://ts.21cn.com/tousu/show/id/1371005","http://ts.21cn.com/tousu/show/id/1371005")</f>
      </c>
      <c r="G2917" t="s" s="2">
        <v>17</v>
      </c>
      <c r="H2917" t="s" s="2">
        <v>19</v>
      </c>
      <c r="I2917" t="s" s="2">
        <v>11402</v>
      </c>
      <c r="J2917" t="s" s="2">
        <v>11403</v>
      </c>
      <c r="K2917" t="s" s="2">
        <v>22</v>
      </c>
      <c r="L2917" t="s" s="2">
        <v>22</v>
      </c>
      <c r="M2917" t="s" s="2">
        <v>22</v>
      </c>
    </row>
    <row r="2918" ht="25.0" customHeight="true">
      <c r="A2918" t="s" s="2">
        <v>13</v>
      </c>
      <c r="B2918" t="s" s="2">
        <f>HYPERLINK("http://ts.21cn.com/tousu/show/id/1371004","恶意催收，骚扰家人朋友")</f>
      </c>
      <c r="C2918" t="s" s="2">
        <v>15</v>
      </c>
      <c r="D2918" t="s" s="2">
        <v>16</v>
      </c>
      <c r="E2918" t="s" s="2">
        <v>17</v>
      </c>
      <c r="F2918" t="s" s="2">
        <f>HYPERLINK("http://ts.21cn.com/tousu/show/id/1371004","http://ts.21cn.com/tousu/show/id/1371004")</f>
      </c>
      <c r="G2918" t="s" s="2">
        <v>17</v>
      </c>
      <c r="H2918" t="s" s="2">
        <v>19</v>
      </c>
      <c r="I2918" t="s" s="2">
        <v>11406</v>
      </c>
      <c r="J2918" t="s" s="2">
        <v>11407</v>
      </c>
      <c r="K2918" t="s" s="2">
        <v>22</v>
      </c>
      <c r="L2918" t="s" s="2">
        <v>22</v>
      </c>
      <c r="M2918" t="s" s="2">
        <v>22</v>
      </c>
    </row>
    <row r="2919" ht="25.0" customHeight="true">
      <c r="A2919" t="s" s="2">
        <v>13</v>
      </c>
      <c r="B2919" t="s" s="2">
        <f>HYPERLINK("http://ts.21cn.com/tousu/show/id/1371003","一期多次收款高息还贷")</f>
      </c>
      <c r="C2919" t="s" s="2">
        <v>15</v>
      </c>
      <c r="D2919" t="s" s="2">
        <v>16</v>
      </c>
      <c r="E2919" t="s" s="2">
        <v>17</v>
      </c>
      <c r="F2919" t="s" s="2">
        <f>HYPERLINK("http://ts.21cn.com/tousu/show/id/1371003","http://ts.21cn.com/tousu/show/id/1371003")</f>
      </c>
      <c r="G2919" t="s" s="2">
        <v>17</v>
      </c>
      <c r="H2919" t="s" s="2">
        <v>19</v>
      </c>
      <c r="I2919" t="s" s="2">
        <v>11410</v>
      </c>
      <c r="J2919" t="s" s="2">
        <v>11411</v>
      </c>
      <c r="K2919" t="s" s="2">
        <v>22</v>
      </c>
      <c r="L2919" t="s" s="2">
        <v>22</v>
      </c>
      <c r="M2919" t="s" s="2">
        <v>22</v>
      </c>
    </row>
    <row r="2920" ht="25.0" customHeight="true">
      <c r="A2920" t="s" s="2">
        <v>13</v>
      </c>
      <c r="B2920" t="s" s="2">
        <f>HYPERLINK("http://ts.21cn.com/tousu/show/id/1371001","玖富万卡还是坚持它自己的想法，根本不理会我们的意见")</f>
      </c>
      <c r="C2920" t="s" s="2">
        <v>52</v>
      </c>
      <c r="D2920" t="s" s="2">
        <v>16</v>
      </c>
      <c r="E2920" t="s" s="2">
        <v>17</v>
      </c>
      <c r="F2920" t="s" s="2">
        <f>HYPERLINK("http://ts.21cn.com/tousu/show/id/1371001","http://ts.21cn.com/tousu/show/id/1371001")</f>
      </c>
      <c r="G2920" t="s" s="2">
        <v>17</v>
      </c>
      <c r="H2920" t="s" s="2">
        <v>19</v>
      </c>
      <c r="I2920" t="s" s="2">
        <v>11414</v>
      </c>
      <c r="J2920" t="s" s="2">
        <v>11415</v>
      </c>
      <c r="K2920" t="s" s="2">
        <v>22</v>
      </c>
      <c r="L2920" t="s" s="2">
        <v>22</v>
      </c>
      <c r="M2920" t="s" s="2">
        <v>22</v>
      </c>
    </row>
    <row r="2921" ht="25.0" customHeight="true">
      <c r="A2921" t="s" s="2">
        <v>13</v>
      </c>
      <c r="B2921" t="s" s="2">
        <f>HYPERLINK("http://ts.21cn.com/tousu/show/id/1371000","爱又米威胁恐吓")</f>
      </c>
      <c r="C2921" t="s" s="2">
        <v>15</v>
      </c>
      <c r="D2921" t="s" s="2">
        <v>16</v>
      </c>
      <c r="E2921" t="s" s="2">
        <v>17</v>
      </c>
      <c r="F2921" t="s" s="2">
        <f>HYPERLINK("http://ts.21cn.com/tousu/show/id/1371000","http://ts.21cn.com/tousu/show/id/1371000")</f>
      </c>
      <c r="G2921" t="s" s="2">
        <v>17</v>
      </c>
      <c r="H2921" t="s" s="2">
        <v>19</v>
      </c>
      <c r="I2921" t="s" s="2">
        <v>11418</v>
      </c>
      <c r="J2921" t="s" s="2">
        <v>11419</v>
      </c>
      <c r="K2921" t="s" s="2">
        <v>22</v>
      </c>
      <c r="L2921" t="s" s="2">
        <v>22</v>
      </c>
      <c r="M2921" t="s" s="2">
        <v>22</v>
      </c>
    </row>
    <row r="2922" ht="25.0" customHeight="true">
      <c r="A2922" t="s" s="2">
        <v>13</v>
      </c>
      <c r="B2922" t="s" s="2">
        <f>HYPERLINK("http://ts.21cn.com/tousu/show/id/1370999","创客工具无缘无故放任商家给我打标")</f>
      </c>
      <c r="C2922" t="s" s="2">
        <v>15</v>
      </c>
      <c r="D2922" t="s" s="2">
        <v>16</v>
      </c>
      <c r="E2922" t="s" s="2">
        <v>17</v>
      </c>
      <c r="F2922" t="s" s="2">
        <f>HYPERLINK("http://ts.21cn.com/tousu/show/id/1370999","http://ts.21cn.com/tousu/show/id/1370999")</f>
      </c>
      <c r="G2922" t="s" s="2">
        <v>17</v>
      </c>
      <c r="H2922" t="s" s="2">
        <v>19</v>
      </c>
      <c r="I2922" t="s" s="2">
        <v>11422</v>
      </c>
      <c r="J2922" t="s" s="2">
        <v>11423</v>
      </c>
      <c r="K2922" t="s" s="2">
        <v>22</v>
      </c>
      <c r="L2922" t="s" s="2">
        <v>22</v>
      </c>
      <c r="M2922" t="s" s="2">
        <v>22</v>
      </c>
    </row>
    <row r="2923" ht="25.0" customHeight="true">
      <c r="A2923" t="s" s="2">
        <v>13</v>
      </c>
      <c r="B2923" t="s" s="2">
        <f>HYPERLINK("http://ts.21cn.com/tousu/show/id/1370998","网贷")</f>
      </c>
      <c r="C2923" t="s" s="2">
        <v>15</v>
      </c>
      <c r="D2923" t="s" s="2">
        <v>16</v>
      </c>
      <c r="E2923" t="s" s="2">
        <v>17</v>
      </c>
      <c r="F2923" t="s" s="2">
        <f>HYPERLINK("http://ts.21cn.com/tousu/show/id/1370998","http://ts.21cn.com/tousu/show/id/1370998")</f>
      </c>
      <c r="G2923" t="s" s="2">
        <v>17</v>
      </c>
      <c r="H2923" t="s" s="2">
        <v>19</v>
      </c>
      <c r="I2923" t="s" s="2">
        <v>11425</v>
      </c>
      <c r="J2923" t="s" s="2">
        <v>11426</v>
      </c>
      <c r="K2923" t="s" s="2">
        <v>22</v>
      </c>
      <c r="L2923" t="s" s="2">
        <v>22</v>
      </c>
      <c r="M2923" t="s" s="2">
        <v>22</v>
      </c>
    </row>
    <row r="2924" ht="25.0" customHeight="true">
      <c r="A2924" t="s" s="2">
        <v>13</v>
      </c>
      <c r="B2924" t="s" s="2">
        <f>HYPERLINK("http://ts.21cn.com/tousu/show/id/1370996","读秒超高利息")</f>
      </c>
      <c r="C2924" t="s" s="2">
        <v>52</v>
      </c>
      <c r="D2924" t="s" s="2">
        <v>16</v>
      </c>
      <c r="E2924" t="s" s="2">
        <v>17</v>
      </c>
      <c r="F2924" t="s" s="2">
        <f>HYPERLINK("http://ts.21cn.com/tousu/show/id/1370996","http://ts.21cn.com/tousu/show/id/1370996")</f>
      </c>
      <c r="G2924" t="s" s="2">
        <v>17</v>
      </c>
      <c r="H2924" t="s" s="2">
        <v>19</v>
      </c>
      <c r="I2924" t="s" s="2">
        <v>11429</v>
      </c>
      <c r="J2924" t="s" s="2">
        <v>11430</v>
      </c>
      <c r="K2924" t="s" s="2">
        <v>22</v>
      </c>
      <c r="L2924" t="s" s="2">
        <v>22</v>
      </c>
      <c r="M2924" t="s" s="2">
        <v>22</v>
      </c>
    </row>
    <row r="2925" ht="25.0" customHeight="true">
      <c r="A2925" t="s" s="2">
        <v>13</v>
      </c>
      <c r="B2925" t="s" s="2">
        <f>HYPERLINK("http://ts.21cn.com/tousu/show/id/1370997","百事普惠恶意扣钱")</f>
      </c>
      <c r="C2925" t="s" s="2">
        <v>15</v>
      </c>
      <c r="D2925" t="s" s="2">
        <v>16</v>
      </c>
      <c r="E2925" t="s" s="2">
        <v>17</v>
      </c>
      <c r="F2925" t="s" s="2">
        <f>HYPERLINK("http://ts.21cn.com/tousu/show/id/1370997","http://ts.21cn.com/tousu/show/id/1370997")</f>
      </c>
      <c r="G2925" t="s" s="2">
        <v>17</v>
      </c>
      <c r="H2925" t="s" s="2">
        <v>19</v>
      </c>
      <c r="I2925" t="s" s="2">
        <v>11429</v>
      </c>
      <c r="J2925" t="s" s="2">
        <v>11433</v>
      </c>
      <c r="K2925" t="s" s="2">
        <v>22</v>
      </c>
      <c r="L2925" t="s" s="2">
        <v>22</v>
      </c>
      <c r="M2925" t="s" s="2">
        <v>22</v>
      </c>
    </row>
    <row r="2926" ht="25.0" customHeight="true">
      <c r="A2926" t="s" s="2">
        <v>13</v>
      </c>
      <c r="B2926" t="s" s="2">
        <f>HYPERLINK("http://ts.21cn.com/tousu/show/id/1370995","闪银至尊借款催收录音威胁联系人")</f>
      </c>
      <c r="C2926" t="s" s="2">
        <v>15</v>
      </c>
      <c r="D2926" t="s" s="2">
        <v>16</v>
      </c>
      <c r="E2926" t="s" s="2">
        <v>17</v>
      </c>
      <c r="F2926" t="s" s="2">
        <f>HYPERLINK("http://ts.21cn.com/tousu/show/id/1370995","http://ts.21cn.com/tousu/show/id/1370995")</f>
      </c>
      <c r="G2926" t="s" s="2">
        <v>17</v>
      </c>
      <c r="H2926" t="s" s="2">
        <v>19</v>
      </c>
      <c r="I2926" t="s" s="2">
        <v>11436</v>
      </c>
      <c r="J2926" t="s" s="2">
        <v>11437</v>
      </c>
      <c r="K2926" t="s" s="2">
        <v>22</v>
      </c>
      <c r="L2926" t="s" s="2">
        <v>22</v>
      </c>
      <c r="M2926" t="s" s="2">
        <v>22</v>
      </c>
    </row>
    <row r="2927" ht="25.0" customHeight="true">
      <c r="A2927" t="s" s="2">
        <v>13</v>
      </c>
      <c r="B2927" t="s" s="2">
        <f>HYPERLINK("http://ts.21cn.com/tousu/show/id/1370994","小象优品")</f>
      </c>
      <c r="C2927" t="s" s="2">
        <v>15</v>
      </c>
      <c r="D2927" t="s" s="2">
        <v>16</v>
      </c>
      <c r="E2927" t="s" s="2">
        <v>17</v>
      </c>
      <c r="F2927" t="s" s="2">
        <f>HYPERLINK("http://ts.21cn.com/tousu/show/id/1370994","http://ts.21cn.com/tousu/show/id/1370994")</f>
      </c>
      <c r="G2927" t="s" s="2">
        <v>17</v>
      </c>
      <c r="H2927" t="s" s="2">
        <v>19</v>
      </c>
      <c r="I2927" t="s" s="2">
        <v>11440</v>
      </c>
      <c r="J2927" t="s" s="2">
        <v>11441</v>
      </c>
      <c r="K2927" t="s" s="2">
        <v>22</v>
      </c>
      <c r="L2927" t="s" s="2">
        <v>22</v>
      </c>
      <c r="M2927" t="s" s="2">
        <v>22</v>
      </c>
    </row>
    <row r="2928" ht="25.0" customHeight="true">
      <c r="A2928" t="s" s="2">
        <v>13</v>
      </c>
      <c r="B2928" t="s" s="2">
        <f>HYPERLINK("http://ts.21cn.com/tousu/show/id/1370993","白领贷扣服务费，变相砍头息，阴阳合同")</f>
      </c>
      <c r="C2928" t="s" s="2">
        <v>15</v>
      </c>
      <c r="D2928" t="s" s="2">
        <v>16</v>
      </c>
      <c r="E2928" t="s" s="2">
        <v>17</v>
      </c>
      <c r="F2928" t="s" s="2">
        <f>HYPERLINK("http://ts.21cn.com/tousu/show/id/1370993","http://ts.21cn.com/tousu/show/id/1370993")</f>
      </c>
      <c r="G2928" t="s" s="2">
        <v>17</v>
      </c>
      <c r="H2928" t="s" s="2">
        <v>19</v>
      </c>
      <c r="I2928" t="s" s="2">
        <v>11444</v>
      </c>
      <c r="J2928" t="s" s="2">
        <v>11445</v>
      </c>
      <c r="K2928" t="s" s="2">
        <v>22</v>
      </c>
      <c r="L2928" t="s" s="2">
        <v>22</v>
      </c>
      <c r="M2928" t="s" s="2">
        <v>22</v>
      </c>
    </row>
    <row r="2929" ht="25.0" customHeight="true">
      <c r="A2929" t="s" s="2">
        <v>13</v>
      </c>
      <c r="B2929" t="s" s="2">
        <f>HYPERLINK("http://ts.21cn.com/tousu/show/id/1370992","新网银行和小米金融利罚息太高")</f>
      </c>
      <c r="C2929" t="s" s="2">
        <v>52</v>
      </c>
      <c r="D2929" t="s" s="2">
        <v>16</v>
      </c>
      <c r="E2929" t="s" s="2">
        <v>17</v>
      </c>
      <c r="F2929" t="s" s="2">
        <f>HYPERLINK("http://ts.21cn.com/tousu/show/id/1370992","http://ts.21cn.com/tousu/show/id/1370992")</f>
      </c>
      <c r="G2929" t="s" s="2">
        <v>17</v>
      </c>
      <c r="H2929" t="s" s="2">
        <v>19</v>
      </c>
      <c r="I2929" t="s" s="2">
        <v>11448</v>
      </c>
      <c r="J2929" t="s" s="2">
        <v>11449</v>
      </c>
      <c r="K2929" t="s" s="2">
        <v>22</v>
      </c>
      <c r="L2929" t="s" s="2">
        <v>22</v>
      </c>
      <c r="M2929" t="s" s="2">
        <v>22</v>
      </c>
    </row>
    <row r="2930" ht="25.0" customHeight="true">
      <c r="A2930" t="s" s="2">
        <v>13</v>
      </c>
      <c r="B2930" t="s" s="2">
        <f>HYPERLINK("http://ts.21cn.com/tousu/show/id/1370991","提前还款高额违约金")</f>
      </c>
      <c r="C2930" t="s" s="2">
        <v>15</v>
      </c>
      <c r="D2930" t="s" s="2">
        <v>16</v>
      </c>
      <c r="E2930" t="s" s="2">
        <v>17</v>
      </c>
      <c r="F2930" t="s" s="2">
        <f>HYPERLINK("http://ts.21cn.com/tousu/show/id/1370991","http://ts.21cn.com/tousu/show/id/1370991")</f>
      </c>
      <c r="G2930" t="s" s="2">
        <v>17</v>
      </c>
      <c r="H2930" t="s" s="2">
        <v>19</v>
      </c>
      <c r="I2930" t="s" s="2">
        <v>11452</v>
      </c>
      <c r="J2930" t="s" s="2">
        <v>11453</v>
      </c>
      <c r="K2930" t="s" s="2">
        <v>22</v>
      </c>
      <c r="L2930" t="s" s="2">
        <v>22</v>
      </c>
      <c r="M2930" t="s" s="2">
        <v>22</v>
      </c>
    </row>
    <row r="2931" ht="25.0" customHeight="true">
      <c r="A2931" t="s" s="2">
        <v>13</v>
      </c>
      <c r="B2931" t="s" s="2">
        <f>HYPERLINK("http://ts.21cn.com/tousu/show/id/1370990","玖富高利贷")</f>
      </c>
      <c r="C2931" t="s" s="2">
        <v>15</v>
      </c>
      <c r="D2931" t="s" s="2">
        <v>16</v>
      </c>
      <c r="E2931" t="s" s="2">
        <v>17</v>
      </c>
      <c r="F2931" t="s" s="2">
        <f>HYPERLINK("http://ts.21cn.com/tousu/show/id/1370990","http://ts.21cn.com/tousu/show/id/1370990")</f>
      </c>
      <c r="G2931" t="s" s="2">
        <v>17</v>
      </c>
      <c r="H2931" t="s" s="2">
        <v>19</v>
      </c>
      <c r="I2931" t="s" s="2">
        <v>11455</v>
      </c>
      <c r="J2931" t="s" s="2">
        <v>11456</v>
      </c>
      <c r="K2931" t="s" s="2">
        <v>22</v>
      </c>
      <c r="L2931" t="s" s="2">
        <v>22</v>
      </c>
      <c r="M2931" t="s" s="2">
        <v>22</v>
      </c>
    </row>
    <row r="2932" ht="25.0" customHeight="true">
      <c r="A2932" t="s" s="2">
        <v>13</v>
      </c>
      <c r="B2932" t="s" s="2">
        <f>HYPERLINK("http://ts.21cn.com/tousu/show/id/1370989","马上金融安逸花退还不合理费用")</f>
      </c>
      <c r="C2932" t="s" s="2">
        <v>15</v>
      </c>
      <c r="D2932" t="s" s="2">
        <v>16</v>
      </c>
      <c r="E2932" t="s" s="2">
        <v>17</v>
      </c>
      <c r="F2932" t="s" s="2">
        <f>HYPERLINK("http://ts.21cn.com/tousu/show/id/1370989","http://ts.21cn.com/tousu/show/id/1370989")</f>
      </c>
      <c r="G2932" t="s" s="2">
        <v>17</v>
      </c>
      <c r="H2932" t="s" s="2">
        <v>19</v>
      </c>
      <c r="I2932" t="s" s="2">
        <v>11459</v>
      </c>
      <c r="J2932" t="s" s="2">
        <v>11460</v>
      </c>
      <c r="K2932" t="s" s="2">
        <v>22</v>
      </c>
      <c r="L2932" t="s" s="2">
        <v>22</v>
      </c>
      <c r="M2932" t="s" s="2">
        <v>22</v>
      </c>
    </row>
    <row r="2933" ht="25.0" customHeight="true">
      <c r="A2933" t="s" s="2">
        <v>13</v>
      </c>
      <c r="B2933" t="s" s="2">
        <f>HYPERLINK("http://ts.21cn.com/tousu/show/id/1370988","钱站催收恶意骚扰恐吓")</f>
      </c>
      <c r="C2933" t="s" s="2">
        <v>15</v>
      </c>
      <c r="D2933" t="s" s="2">
        <v>16</v>
      </c>
      <c r="E2933" t="s" s="2">
        <v>17</v>
      </c>
      <c r="F2933" t="s" s="2">
        <f>HYPERLINK("http://ts.21cn.com/tousu/show/id/1370988","http://ts.21cn.com/tousu/show/id/1370988")</f>
      </c>
      <c r="G2933" t="s" s="2">
        <v>17</v>
      </c>
      <c r="H2933" t="s" s="2">
        <v>19</v>
      </c>
      <c r="I2933" t="s" s="2">
        <v>11463</v>
      </c>
      <c r="J2933" t="s" s="2">
        <v>11464</v>
      </c>
      <c r="K2933" t="s" s="2">
        <v>22</v>
      </c>
      <c r="L2933" t="s" s="2">
        <v>22</v>
      </c>
      <c r="M2933" t="s" s="2">
        <v>22</v>
      </c>
    </row>
    <row r="2934" ht="25.0" customHeight="true">
      <c r="A2934" t="s" s="2">
        <v>13</v>
      </c>
      <c r="B2934" t="s" s="2">
        <f>HYPERLINK("http://ts.21cn.com/tousu/show/id/1370986","米米罐变相收取超高利息，远超国家规定的年化率，要求协商还款金额，日期，提供结清证明，删除不良记录")</f>
      </c>
      <c r="C2934" t="s" s="2">
        <v>15</v>
      </c>
      <c r="D2934" t="s" s="2">
        <v>16</v>
      </c>
      <c r="E2934" t="s" s="2">
        <v>17</v>
      </c>
      <c r="F2934" t="s" s="2">
        <f>HYPERLINK("http://ts.21cn.com/tousu/show/id/1370986","http://ts.21cn.com/tousu/show/id/1370986")</f>
      </c>
      <c r="G2934" t="s" s="2">
        <v>17</v>
      </c>
      <c r="H2934" t="s" s="2">
        <v>19</v>
      </c>
      <c r="I2934" t="s" s="2">
        <v>11467</v>
      </c>
      <c r="J2934" t="s" s="2">
        <v>11468</v>
      </c>
      <c r="K2934" t="s" s="2">
        <v>22</v>
      </c>
      <c r="L2934" t="s" s="2">
        <v>22</v>
      </c>
      <c r="M2934" t="s" s="2">
        <v>22</v>
      </c>
    </row>
    <row r="2935" ht="25.0" customHeight="true">
      <c r="A2935" t="s" s="2">
        <v>13</v>
      </c>
      <c r="B2935" t="s" s="2">
        <f>HYPERLINK("http://ts.21cn.com/tousu/show/id/1370987","拼多多收取未知款项")</f>
      </c>
      <c r="C2935" t="s" s="2">
        <v>15</v>
      </c>
      <c r="D2935" t="s" s="2">
        <v>16</v>
      </c>
      <c r="E2935" t="s" s="2">
        <v>17</v>
      </c>
      <c r="F2935" t="s" s="2">
        <f>HYPERLINK("http://ts.21cn.com/tousu/show/id/1370987","http://ts.21cn.com/tousu/show/id/1370987")</f>
      </c>
      <c r="G2935" t="s" s="2">
        <v>17</v>
      </c>
      <c r="H2935" t="s" s="2">
        <v>19</v>
      </c>
      <c r="I2935" t="s" s="2">
        <v>11471</v>
      </c>
      <c r="J2935" t="s" s="2">
        <v>11472</v>
      </c>
      <c r="K2935" t="s" s="2">
        <v>22</v>
      </c>
      <c r="L2935" t="s" s="2">
        <v>22</v>
      </c>
      <c r="M2935" t="s" s="2">
        <v>22</v>
      </c>
    </row>
    <row r="2936" ht="25.0" customHeight="true">
      <c r="A2936" t="s" s="2">
        <v>13</v>
      </c>
      <c r="B2936" t="s" s="2">
        <f>HYPERLINK("http://ts.21cn.com/tousu/show/id/1370985","闪银违规收取服务费高利贷")</f>
      </c>
      <c r="C2936" t="s" s="2">
        <v>15</v>
      </c>
      <c r="D2936" t="s" s="2">
        <v>16</v>
      </c>
      <c r="E2936" t="s" s="2">
        <v>17</v>
      </c>
      <c r="F2936" t="s" s="2">
        <f>HYPERLINK("http://ts.21cn.com/tousu/show/id/1370985","http://ts.21cn.com/tousu/show/id/1370985")</f>
      </c>
      <c r="G2936" t="s" s="2">
        <v>17</v>
      </c>
      <c r="H2936" t="s" s="2">
        <v>19</v>
      </c>
      <c r="I2936" t="s" s="2">
        <v>11475</v>
      </c>
      <c r="J2936" t="s" s="2">
        <v>11476</v>
      </c>
      <c r="K2936" t="s" s="2">
        <v>22</v>
      </c>
      <c r="L2936" t="s" s="2">
        <v>22</v>
      </c>
      <c r="M2936" t="s" s="2">
        <v>22</v>
      </c>
    </row>
    <row r="2937" ht="25.0" customHeight="true">
      <c r="A2937" t="s" s="2">
        <v>13</v>
      </c>
      <c r="B2937" t="s" s="2">
        <f>HYPERLINK("http://ts.21cn.com/tousu/show/id/1370983","爆力催收")</f>
      </c>
      <c r="C2937" t="s" s="2">
        <v>15</v>
      </c>
      <c r="D2937" t="s" s="2">
        <v>16</v>
      </c>
      <c r="E2937" t="s" s="2">
        <v>17</v>
      </c>
      <c r="F2937" t="s" s="2">
        <f>HYPERLINK("http://ts.21cn.com/tousu/show/id/1370983","http://ts.21cn.com/tousu/show/id/1370983")</f>
      </c>
      <c r="G2937" t="s" s="2">
        <v>17</v>
      </c>
      <c r="H2937" t="s" s="2">
        <v>19</v>
      </c>
      <c r="I2937" t="s" s="2">
        <v>11479</v>
      </c>
      <c r="J2937" t="s" s="2">
        <v>11480</v>
      </c>
      <c r="K2937" t="s" s="2">
        <v>22</v>
      </c>
      <c r="L2937" t="s" s="2">
        <v>22</v>
      </c>
      <c r="M2937" t="s" s="2">
        <v>22</v>
      </c>
    </row>
    <row r="2938" ht="25.0" customHeight="true">
      <c r="A2938" t="s" s="2">
        <v>13</v>
      </c>
      <c r="B2938" t="s" s="2">
        <f>HYPERLINK("http://ts.21cn.com/tousu/show/id/1370984","浦发信用卡，扣款无扣款信息")</f>
      </c>
      <c r="C2938" t="s" s="2">
        <v>15</v>
      </c>
      <c r="D2938" t="s" s="2">
        <v>16</v>
      </c>
      <c r="E2938" t="s" s="2">
        <v>17</v>
      </c>
      <c r="F2938" t="s" s="2">
        <f>HYPERLINK("http://ts.21cn.com/tousu/show/id/1370984","http://ts.21cn.com/tousu/show/id/1370984")</f>
      </c>
      <c r="G2938" t="s" s="2">
        <v>17</v>
      </c>
      <c r="H2938" t="s" s="2">
        <v>19</v>
      </c>
      <c r="I2938" t="s" s="2">
        <v>11483</v>
      </c>
      <c r="J2938" t="s" s="2">
        <v>11484</v>
      </c>
      <c r="K2938" t="s" s="2">
        <v>22</v>
      </c>
      <c r="L2938" t="s" s="2">
        <v>22</v>
      </c>
      <c r="M2938" t="s" s="2">
        <v>22</v>
      </c>
    </row>
    <row r="2939" ht="25.0" customHeight="true">
      <c r="A2939" t="s" s="2">
        <v>13</v>
      </c>
      <c r="B2939" t="s" s="2">
        <f>HYPERLINK("http://ts.21cn.com/tousu/show/id/1370982","维信豆豆钱")</f>
      </c>
      <c r="C2939" t="s" s="2">
        <v>15</v>
      </c>
      <c r="D2939" t="s" s="2">
        <v>16</v>
      </c>
      <c r="E2939" t="s" s="2">
        <v>17</v>
      </c>
      <c r="F2939" t="s" s="2">
        <f>HYPERLINK("http://ts.21cn.com/tousu/show/id/1370982","http://ts.21cn.com/tousu/show/id/1370982")</f>
      </c>
      <c r="G2939" t="s" s="2">
        <v>17</v>
      </c>
      <c r="H2939" t="s" s="2">
        <v>19</v>
      </c>
      <c r="I2939" t="s" s="2">
        <v>11487</v>
      </c>
      <c r="J2939" t="s" s="2">
        <v>11488</v>
      </c>
      <c r="K2939" t="s" s="2">
        <v>22</v>
      </c>
      <c r="L2939" t="s" s="2">
        <v>22</v>
      </c>
      <c r="M2939" t="s" s="2">
        <v>22</v>
      </c>
    </row>
    <row r="2940" ht="25.0" customHeight="true">
      <c r="A2940" t="s" s="2">
        <v>13</v>
      </c>
      <c r="B2940" t="s" s="2">
        <f>HYPERLINK("http://ts.21cn.com/tousu/show/id/1370979","注销如家酒店会员")</f>
      </c>
      <c r="C2940" t="s" s="2">
        <v>15</v>
      </c>
      <c r="D2940" t="s" s="2">
        <v>16</v>
      </c>
      <c r="E2940" t="s" s="2">
        <v>17</v>
      </c>
      <c r="F2940" t="s" s="2">
        <f>HYPERLINK("http://ts.21cn.com/tousu/show/id/1370979","http://ts.21cn.com/tousu/show/id/1370979")</f>
      </c>
      <c r="G2940" t="s" s="2">
        <v>17</v>
      </c>
      <c r="H2940" t="s" s="2">
        <v>19</v>
      </c>
      <c r="I2940" t="s" s="2">
        <v>11491</v>
      </c>
      <c r="J2940" t="s" s="2">
        <v>11492</v>
      </c>
      <c r="K2940" t="s" s="2">
        <v>22</v>
      </c>
      <c r="L2940" t="s" s="2">
        <v>22</v>
      </c>
      <c r="M2940" t="s" s="2">
        <v>22</v>
      </c>
    </row>
    <row r="2941" ht="25.0" customHeight="true">
      <c r="A2941" t="s" s="2">
        <v>13</v>
      </c>
      <c r="B2941" t="s" s="2">
        <f>HYPERLINK("http://ts.21cn.com/tousu/show/id/1370978","被电信诈骗协商延期免息还款")</f>
      </c>
      <c r="C2941" t="s" s="2">
        <v>15</v>
      </c>
      <c r="D2941" t="s" s="2">
        <v>16</v>
      </c>
      <c r="E2941" t="s" s="2">
        <v>17</v>
      </c>
      <c r="F2941" t="s" s="2">
        <f>HYPERLINK("http://ts.21cn.com/tousu/show/id/1370978","http://ts.21cn.com/tousu/show/id/1370978")</f>
      </c>
      <c r="G2941" t="s" s="2">
        <v>17</v>
      </c>
      <c r="H2941" t="s" s="2">
        <v>19</v>
      </c>
      <c r="I2941" t="s" s="2">
        <v>11495</v>
      </c>
      <c r="J2941" t="s" s="2">
        <v>11496</v>
      </c>
      <c r="K2941" t="s" s="2">
        <v>22</v>
      </c>
      <c r="L2941" t="s" s="2">
        <v>22</v>
      </c>
      <c r="M2941" t="s" s="2">
        <v>22</v>
      </c>
    </row>
    <row r="2942" ht="25.0" customHeight="true">
      <c r="A2942" t="s" s="2">
        <v>13</v>
      </c>
      <c r="B2942" t="s" s="2">
        <f>HYPERLINK("http://ts.21cn.com/tousu/show/id/1370980","MerryU拒绝退款")</f>
      </c>
      <c r="C2942" t="s" s="2">
        <v>15</v>
      </c>
      <c r="D2942" t="s" s="2">
        <v>16</v>
      </c>
      <c r="E2942" t="s" s="2">
        <v>17</v>
      </c>
      <c r="F2942" t="s" s="2">
        <f>HYPERLINK("http://ts.21cn.com/tousu/show/id/1370980","http://ts.21cn.com/tousu/show/id/1370980")</f>
      </c>
      <c r="G2942" t="s" s="2">
        <v>17</v>
      </c>
      <c r="H2942" t="s" s="2">
        <v>19</v>
      </c>
      <c r="I2942" t="s" s="2">
        <v>11499</v>
      </c>
      <c r="J2942" t="s" s="2">
        <v>11500</v>
      </c>
      <c r="K2942" t="s" s="2">
        <v>22</v>
      </c>
      <c r="L2942" t="s" s="2">
        <v>22</v>
      </c>
      <c r="M2942" t="s" s="2">
        <v>22</v>
      </c>
    </row>
    <row r="2943" ht="25.0" customHeight="true">
      <c r="A2943" t="s" s="2">
        <v>13</v>
      </c>
      <c r="B2943" t="s" s="2">
        <f>HYPERLINK("http://ts.21cn.com/tousu/show/id/1370981","京东金融银行增仓活动奖励不符，涉嫌虚假宣传")</f>
      </c>
      <c r="C2943" t="s" s="2">
        <v>15</v>
      </c>
      <c r="D2943" t="s" s="2">
        <v>16</v>
      </c>
      <c r="E2943" t="s" s="2">
        <v>17</v>
      </c>
      <c r="F2943" t="s" s="2">
        <f>HYPERLINK("http://ts.21cn.com/tousu/show/id/1370981","http://ts.21cn.com/tousu/show/id/1370981")</f>
      </c>
      <c r="G2943" t="s" s="2">
        <v>17</v>
      </c>
      <c r="H2943" t="s" s="2">
        <v>19</v>
      </c>
      <c r="I2943" t="s" s="2">
        <v>11503</v>
      </c>
      <c r="J2943" t="s" s="2">
        <v>11504</v>
      </c>
      <c r="K2943" t="s" s="2">
        <v>22</v>
      </c>
      <c r="L2943" t="s" s="2">
        <v>22</v>
      </c>
      <c r="M2943" t="s" s="2">
        <v>22</v>
      </c>
    </row>
    <row r="2944" ht="25.0" customHeight="true">
      <c r="A2944" t="s" s="2">
        <v>13</v>
      </c>
      <c r="B2944" t="s" s="2">
        <f>HYPERLINK("http://ts.21cn.com/tousu/show/id/1370977","恶意扣款")</f>
      </c>
      <c r="C2944" t="s" s="2">
        <v>15</v>
      </c>
      <c r="D2944" t="s" s="2">
        <v>16</v>
      </c>
      <c r="E2944" t="s" s="2">
        <v>17</v>
      </c>
      <c r="F2944" t="s" s="2">
        <f>HYPERLINK("http://ts.21cn.com/tousu/show/id/1370977","http://ts.21cn.com/tousu/show/id/1370977")</f>
      </c>
      <c r="G2944" t="s" s="2">
        <v>17</v>
      </c>
      <c r="H2944" t="s" s="2">
        <v>19</v>
      </c>
      <c r="I2944" t="s" s="2">
        <v>11506</v>
      </c>
      <c r="J2944" t="s" s="2">
        <v>11507</v>
      </c>
      <c r="K2944" t="s" s="2">
        <v>22</v>
      </c>
      <c r="L2944" t="s" s="2">
        <v>22</v>
      </c>
      <c r="M2944" t="s" s="2">
        <v>22</v>
      </c>
    </row>
    <row r="2945" ht="25.0" customHeight="true">
      <c r="A2945" t="s" s="2">
        <v>13</v>
      </c>
      <c r="B2945" t="s" s="2">
        <f>HYPERLINK("http://ts.21cn.com/tousu/show/id/1370976","51人品贷黑心高利贷，暴利催收骚扰联系人")</f>
      </c>
      <c r="C2945" t="s" s="2">
        <v>15</v>
      </c>
      <c r="D2945" t="s" s="2">
        <v>16</v>
      </c>
      <c r="E2945" t="s" s="2">
        <v>17</v>
      </c>
      <c r="F2945" t="s" s="2">
        <f>HYPERLINK("http://ts.21cn.com/tousu/show/id/1370976","http://ts.21cn.com/tousu/show/id/1370976")</f>
      </c>
      <c r="G2945" t="s" s="2">
        <v>17</v>
      </c>
      <c r="H2945" t="s" s="2">
        <v>19</v>
      </c>
      <c r="I2945" t="s" s="2">
        <v>11509</v>
      </c>
      <c r="J2945" t="s" s="2">
        <v>11510</v>
      </c>
      <c r="K2945" t="s" s="2">
        <v>22</v>
      </c>
      <c r="L2945" t="s" s="2">
        <v>22</v>
      </c>
      <c r="M2945" t="s" s="2">
        <v>22</v>
      </c>
    </row>
    <row r="2946" ht="25.0" customHeight="true">
      <c r="A2946" t="s" s="2">
        <v>13</v>
      </c>
      <c r="B2946" t="s" s="2">
        <f>HYPERLINK("http://ts.21cn.com/tousu/show/id/1370975","上海造艺科技乱扣费")</f>
      </c>
      <c r="C2946" t="s" s="2">
        <v>15</v>
      </c>
      <c r="D2946" t="s" s="2">
        <v>16</v>
      </c>
      <c r="E2946" t="s" s="2">
        <v>17</v>
      </c>
      <c r="F2946" t="s" s="2">
        <f>HYPERLINK("http://ts.21cn.com/tousu/show/id/1370975","http://ts.21cn.com/tousu/show/id/1370975")</f>
      </c>
      <c r="G2946" t="s" s="2">
        <v>17</v>
      </c>
      <c r="H2946" t="s" s="2">
        <v>19</v>
      </c>
      <c r="I2946" t="s" s="2">
        <v>11513</v>
      </c>
      <c r="J2946" t="s" s="2">
        <v>11514</v>
      </c>
      <c r="K2946" t="s" s="2">
        <v>22</v>
      </c>
      <c r="L2946" t="s" s="2">
        <v>22</v>
      </c>
      <c r="M2946" t="s" s="2">
        <v>22</v>
      </c>
    </row>
    <row r="2947" ht="25.0" customHeight="true">
      <c r="A2947" t="s" s="2">
        <v>13</v>
      </c>
      <c r="B2947" t="s" s="2">
        <f>HYPERLINK("http://ts.21cn.com/tousu/show/id/1370974","捷信现金贷年利率超过24%，月利息3.1分")</f>
      </c>
      <c r="C2947" t="s" s="2">
        <v>15</v>
      </c>
      <c r="D2947" t="s" s="2">
        <v>16</v>
      </c>
      <c r="E2947" t="s" s="2">
        <v>17</v>
      </c>
      <c r="F2947" t="s" s="2">
        <f>HYPERLINK("http://ts.21cn.com/tousu/show/id/1370974","http://ts.21cn.com/tousu/show/id/1370974")</f>
      </c>
      <c r="G2947" t="s" s="2">
        <v>17</v>
      </c>
      <c r="H2947" t="s" s="2">
        <v>19</v>
      </c>
      <c r="I2947" t="s" s="2">
        <v>11517</v>
      </c>
      <c r="J2947" t="s" s="2">
        <v>11518</v>
      </c>
      <c r="K2947" t="s" s="2">
        <v>22</v>
      </c>
      <c r="L2947" t="s" s="2">
        <v>22</v>
      </c>
      <c r="M2947" t="s" s="2">
        <v>22</v>
      </c>
    </row>
    <row r="2948" ht="25.0" customHeight="true">
      <c r="A2948" t="s" s="2">
        <v>13</v>
      </c>
      <c r="B2948" t="s" s="2">
        <f>HYPERLINK("http://ts.21cn.com/tousu/show/id/1370973","极速有钱高利贷")</f>
      </c>
      <c r="C2948" t="s" s="2">
        <v>15</v>
      </c>
      <c r="D2948" t="s" s="2">
        <v>16</v>
      </c>
      <c r="E2948" t="s" s="2">
        <v>17</v>
      </c>
      <c r="F2948" t="s" s="2">
        <f>HYPERLINK("http://ts.21cn.com/tousu/show/id/1370973","http://ts.21cn.com/tousu/show/id/1370973")</f>
      </c>
      <c r="G2948" t="s" s="2">
        <v>17</v>
      </c>
      <c r="H2948" t="s" s="2">
        <v>19</v>
      </c>
      <c r="I2948" t="s" s="2">
        <v>11521</v>
      </c>
      <c r="J2948" t="s" s="2">
        <v>11522</v>
      </c>
      <c r="K2948" t="s" s="2">
        <v>22</v>
      </c>
      <c r="L2948" t="s" s="2">
        <v>22</v>
      </c>
      <c r="M2948" t="s" s="2">
        <v>22</v>
      </c>
    </row>
    <row r="2949" ht="25.0" customHeight="true">
      <c r="A2949" t="s" s="2">
        <v>13</v>
      </c>
      <c r="B2949" t="s" s="2">
        <f>HYPERLINK("http://ts.21cn.com/tousu/show/id/1370970","强行扣保险")</f>
      </c>
      <c r="C2949" t="s" s="2">
        <v>15</v>
      </c>
      <c r="D2949" t="s" s="2">
        <v>16</v>
      </c>
      <c r="E2949" t="s" s="2">
        <v>17</v>
      </c>
      <c r="F2949" t="s" s="2">
        <f>HYPERLINK("http://ts.21cn.com/tousu/show/id/1370970","http://ts.21cn.com/tousu/show/id/1370970")</f>
      </c>
      <c r="G2949" t="s" s="2">
        <v>17</v>
      </c>
      <c r="H2949" t="s" s="2">
        <v>19</v>
      </c>
      <c r="I2949" t="s" s="2">
        <v>11525</v>
      </c>
      <c r="J2949" t="s" s="2">
        <v>11526</v>
      </c>
      <c r="K2949" t="s" s="2">
        <v>22</v>
      </c>
      <c r="L2949" t="s" s="2">
        <v>22</v>
      </c>
      <c r="M2949" t="s" s="2">
        <v>22</v>
      </c>
    </row>
    <row r="2950" ht="25.0" customHeight="true">
      <c r="A2950" t="s" s="2">
        <v>13</v>
      </c>
      <c r="B2950" t="s" s="2">
        <f>HYPERLINK("http://ts.21cn.com/tousu/show/id/1370972","砍头息，714高炮")</f>
      </c>
      <c r="C2950" t="s" s="2">
        <v>15</v>
      </c>
      <c r="D2950" t="s" s="2">
        <v>16</v>
      </c>
      <c r="E2950" t="s" s="2">
        <v>17</v>
      </c>
      <c r="F2950" t="s" s="2">
        <f>HYPERLINK("http://ts.21cn.com/tousu/show/id/1370972","http://ts.21cn.com/tousu/show/id/1370972")</f>
      </c>
      <c r="G2950" t="s" s="2">
        <v>17</v>
      </c>
      <c r="H2950" t="s" s="2">
        <v>19</v>
      </c>
      <c r="I2950" t="s" s="2">
        <v>11529</v>
      </c>
      <c r="J2950" t="s" s="2">
        <v>11530</v>
      </c>
      <c r="K2950" t="s" s="2">
        <v>22</v>
      </c>
      <c r="L2950" t="s" s="2">
        <v>22</v>
      </c>
      <c r="M2950" t="s" s="2">
        <v>22</v>
      </c>
    </row>
    <row r="2951" ht="25.0" customHeight="true">
      <c r="A2951" t="s" s="2">
        <v>13</v>
      </c>
      <c r="B2951" t="s" s="2">
        <f>HYPERLINK("http://ts.21cn.com/tousu/show/id/1370969","国美易卡强行保留客户账户，不给注销")</f>
      </c>
      <c r="C2951" t="s" s="2">
        <v>15</v>
      </c>
      <c r="D2951" t="s" s="2">
        <v>16</v>
      </c>
      <c r="E2951" t="s" s="2">
        <v>17</v>
      </c>
      <c r="F2951" t="s" s="2">
        <f>HYPERLINK("http://ts.21cn.com/tousu/show/id/1370969","http://ts.21cn.com/tousu/show/id/1370969")</f>
      </c>
      <c r="G2951" t="s" s="2">
        <v>17</v>
      </c>
      <c r="H2951" t="s" s="2">
        <v>19</v>
      </c>
      <c r="I2951" t="s" s="2">
        <v>11533</v>
      </c>
      <c r="J2951" t="s" s="2">
        <v>11534</v>
      </c>
      <c r="K2951" t="s" s="2">
        <v>22</v>
      </c>
      <c r="L2951" t="s" s="2">
        <v>22</v>
      </c>
      <c r="M2951" t="s" s="2">
        <v>22</v>
      </c>
    </row>
    <row r="2952" ht="25.0" customHeight="true">
      <c r="A2952" t="s" s="2">
        <v>13</v>
      </c>
      <c r="B2952" t="s" s="2">
        <f>HYPERLINK("http://ts.21cn.com/tousu/show/id/1370968","注销账号联系不到客服")</f>
      </c>
      <c r="C2952" t="s" s="2">
        <v>15</v>
      </c>
      <c r="D2952" t="s" s="2">
        <v>16</v>
      </c>
      <c r="E2952" t="s" s="2">
        <v>17</v>
      </c>
      <c r="F2952" t="s" s="2">
        <f>HYPERLINK("http://ts.21cn.com/tousu/show/id/1370968","http://ts.21cn.com/tousu/show/id/1370968")</f>
      </c>
      <c r="G2952" t="s" s="2">
        <v>17</v>
      </c>
      <c r="H2952" t="s" s="2">
        <v>19</v>
      </c>
      <c r="I2952" t="s" s="2">
        <v>11537</v>
      </c>
      <c r="J2952" t="s" s="2">
        <v>11538</v>
      </c>
      <c r="K2952" t="s" s="2">
        <v>22</v>
      </c>
      <c r="L2952" t="s" s="2">
        <v>22</v>
      </c>
      <c r="M2952" t="s" s="2">
        <v>22</v>
      </c>
    </row>
    <row r="2953" ht="25.0" customHeight="true">
      <c r="A2953" t="s" s="2">
        <v>13</v>
      </c>
      <c r="B2953" t="s" s="2">
        <f>HYPERLINK("http://ts.21cn.com/tousu/show/id/1370967","包商信用卡暴力催收")</f>
      </c>
      <c r="C2953" t="s" s="2">
        <v>15</v>
      </c>
      <c r="D2953" t="s" s="2">
        <v>16</v>
      </c>
      <c r="E2953" t="s" s="2">
        <v>17</v>
      </c>
      <c r="F2953" t="s" s="2">
        <f>HYPERLINK("http://ts.21cn.com/tousu/show/id/1370967","http://ts.21cn.com/tousu/show/id/1370967")</f>
      </c>
      <c r="G2953" t="s" s="2">
        <v>17</v>
      </c>
      <c r="H2953" t="s" s="2">
        <v>19</v>
      </c>
      <c r="I2953" t="s" s="2">
        <v>11541</v>
      </c>
      <c r="J2953" t="s" s="2">
        <v>11542</v>
      </c>
      <c r="K2953" t="s" s="2">
        <v>22</v>
      </c>
      <c r="L2953" t="s" s="2">
        <v>22</v>
      </c>
      <c r="M2953" t="s" s="2">
        <v>22</v>
      </c>
    </row>
    <row r="2954" ht="25.0" customHeight="true">
      <c r="A2954" t="s" s="2">
        <v>13</v>
      </c>
      <c r="B2954" t="s" s="2">
        <f>HYPERLINK("http://ts.21cn.com/tousu/show/id/1370966","闪掌柜违规收取砍头息")</f>
      </c>
      <c r="C2954" t="s" s="2">
        <v>15</v>
      </c>
      <c r="D2954" t="s" s="2">
        <v>16</v>
      </c>
      <c r="E2954" t="s" s="2">
        <v>17</v>
      </c>
      <c r="F2954" t="s" s="2">
        <f>HYPERLINK("http://ts.21cn.com/tousu/show/id/1370966","http://ts.21cn.com/tousu/show/id/1370966")</f>
      </c>
      <c r="G2954" t="s" s="2">
        <v>17</v>
      </c>
      <c r="H2954" t="s" s="2">
        <v>19</v>
      </c>
      <c r="I2954" t="s" s="2">
        <v>11545</v>
      </c>
      <c r="J2954" t="s" s="2">
        <v>11546</v>
      </c>
      <c r="K2954" t="s" s="2">
        <v>22</v>
      </c>
      <c r="L2954" t="s" s="2">
        <v>22</v>
      </c>
      <c r="M2954" t="s" s="2">
        <v>22</v>
      </c>
    </row>
    <row r="2955" ht="25.0" customHeight="true">
      <c r="A2955" t="s" s="2">
        <v>13</v>
      </c>
      <c r="B2955" t="s" s="2">
        <f>HYPERLINK("http://ts.21cn.com/tousu/show/id/1370965","注销账号和信息问题都无法解决")</f>
      </c>
      <c r="C2955" t="s" s="2">
        <v>15</v>
      </c>
      <c r="D2955" t="s" s="2">
        <v>16</v>
      </c>
      <c r="E2955" t="s" s="2">
        <v>17</v>
      </c>
      <c r="F2955" t="s" s="2">
        <f>HYPERLINK("http://ts.21cn.com/tousu/show/id/1370965","http://ts.21cn.com/tousu/show/id/1370965")</f>
      </c>
      <c r="G2955" t="s" s="2">
        <v>17</v>
      </c>
      <c r="H2955" t="s" s="2">
        <v>19</v>
      </c>
      <c r="I2955" t="s" s="2">
        <v>11549</v>
      </c>
      <c r="J2955" t="s" s="2">
        <v>11550</v>
      </c>
      <c r="K2955" t="s" s="2">
        <v>22</v>
      </c>
      <c r="L2955" t="s" s="2">
        <v>22</v>
      </c>
      <c r="M2955" t="s" s="2">
        <v>22</v>
      </c>
    </row>
    <row r="2956" ht="25.0" customHeight="true">
      <c r="A2956" t="s" s="2">
        <v>13</v>
      </c>
      <c r="B2956" t="s" s="2">
        <f>HYPERLINK("http://ts.21cn.com/tousu/show/id/1370964","人保财险联合玖富集团强制扣保险")</f>
      </c>
      <c r="C2956" t="s" s="2">
        <v>15</v>
      </c>
      <c r="D2956" t="s" s="2">
        <v>16</v>
      </c>
      <c r="E2956" t="s" s="2">
        <v>17</v>
      </c>
      <c r="F2956" t="s" s="2">
        <f>HYPERLINK("http://ts.21cn.com/tousu/show/id/1370964","http://ts.21cn.com/tousu/show/id/1370964")</f>
      </c>
      <c r="G2956" t="s" s="2">
        <v>17</v>
      </c>
      <c r="H2956" t="s" s="2">
        <v>19</v>
      </c>
      <c r="I2956" t="s" s="2">
        <v>11553</v>
      </c>
      <c r="J2956" t="s" s="2">
        <v>11554</v>
      </c>
      <c r="K2956" t="s" s="2">
        <v>22</v>
      </c>
      <c r="L2956" t="s" s="2">
        <v>22</v>
      </c>
      <c r="M2956" t="s" s="2">
        <v>22</v>
      </c>
    </row>
    <row r="2957" ht="25.0" customHeight="true">
      <c r="A2957" t="s" s="2">
        <v>13</v>
      </c>
      <c r="B2957" t="s" s="2">
        <f>HYPERLINK("http://ts.21cn.com/tousu/show/id/1370963","还款了不销账")</f>
      </c>
      <c r="C2957" t="s" s="2">
        <v>15</v>
      </c>
      <c r="D2957" t="s" s="2">
        <v>16</v>
      </c>
      <c r="E2957" t="s" s="2">
        <v>17</v>
      </c>
      <c r="F2957" t="s" s="2">
        <f>HYPERLINK("http://ts.21cn.com/tousu/show/id/1370963","http://ts.21cn.com/tousu/show/id/1370963")</f>
      </c>
      <c r="G2957" t="s" s="2">
        <v>17</v>
      </c>
      <c r="H2957" t="s" s="2">
        <v>19</v>
      </c>
      <c r="I2957" t="s" s="2">
        <v>11557</v>
      </c>
      <c r="J2957" t="s" s="2">
        <v>11558</v>
      </c>
      <c r="K2957" t="s" s="2">
        <v>22</v>
      </c>
      <c r="L2957" t="s" s="2">
        <v>22</v>
      </c>
      <c r="M2957" t="s" s="2">
        <v>22</v>
      </c>
    </row>
    <row r="2958" ht="25.0" customHeight="true">
      <c r="A2958" t="s" s="2">
        <v>13</v>
      </c>
      <c r="B2958" t="s" s="2">
        <f>HYPERLINK("http://ts.21cn.com/tousu/show/id/1370960","松紧贷高利贷砍头息")</f>
      </c>
      <c r="C2958" t="s" s="2">
        <v>15</v>
      </c>
      <c r="D2958" t="s" s="2">
        <v>16</v>
      </c>
      <c r="E2958" t="s" s="2">
        <v>17</v>
      </c>
      <c r="F2958" t="s" s="2">
        <f>HYPERLINK("http://ts.21cn.com/tousu/show/id/1370960","http://ts.21cn.com/tousu/show/id/1370960")</f>
      </c>
      <c r="G2958" t="s" s="2">
        <v>17</v>
      </c>
      <c r="H2958" t="s" s="2">
        <v>19</v>
      </c>
      <c r="I2958" t="s" s="2">
        <v>11561</v>
      </c>
      <c r="J2958" t="s" s="2">
        <v>11562</v>
      </c>
      <c r="K2958" t="s" s="2">
        <v>22</v>
      </c>
      <c r="L2958" t="s" s="2">
        <v>22</v>
      </c>
      <c r="M2958" t="s" s="2">
        <v>22</v>
      </c>
    </row>
    <row r="2959" ht="25.0" customHeight="true">
      <c r="A2959" t="s" s="2">
        <v>13</v>
      </c>
      <c r="B2959" t="s" s="2">
        <f>HYPERLINK("http://ts.21cn.com/tousu/show/id/1370961","美团生活费催款爆通讯录")</f>
      </c>
      <c r="C2959" t="s" s="2">
        <v>15</v>
      </c>
      <c r="D2959" t="s" s="2">
        <v>16</v>
      </c>
      <c r="E2959" t="s" s="2">
        <v>17</v>
      </c>
      <c r="F2959" t="s" s="2">
        <f>HYPERLINK("http://ts.21cn.com/tousu/show/id/1370961","http://ts.21cn.com/tousu/show/id/1370961")</f>
      </c>
      <c r="G2959" t="s" s="2">
        <v>17</v>
      </c>
      <c r="H2959" t="s" s="2">
        <v>19</v>
      </c>
      <c r="I2959" t="s" s="2">
        <v>11565</v>
      </c>
      <c r="J2959" t="s" s="2">
        <v>11566</v>
      </c>
      <c r="K2959" t="s" s="2">
        <v>22</v>
      </c>
      <c r="L2959" t="s" s="2">
        <v>22</v>
      </c>
      <c r="M2959" t="s" s="2">
        <v>22</v>
      </c>
    </row>
    <row r="2960" ht="25.0" customHeight="true">
      <c r="A2960" t="s" s="2">
        <v>13</v>
      </c>
      <c r="B2960" t="s" s="2">
        <f>HYPERLINK("http://ts.21cn.com/tousu/show/id/1370959","催收乱打电话")</f>
      </c>
      <c r="C2960" t="s" s="2">
        <v>15</v>
      </c>
      <c r="D2960" t="s" s="2">
        <v>16</v>
      </c>
      <c r="E2960" t="s" s="2">
        <v>17</v>
      </c>
      <c r="F2960" t="s" s="2">
        <f>HYPERLINK("http://ts.21cn.com/tousu/show/id/1370959","http://ts.21cn.com/tousu/show/id/1370959")</f>
      </c>
      <c r="G2960" t="s" s="2">
        <v>17</v>
      </c>
      <c r="H2960" t="s" s="2">
        <v>19</v>
      </c>
      <c r="I2960" t="s" s="2">
        <v>11569</v>
      </c>
      <c r="J2960" t="s" s="2">
        <v>11570</v>
      </c>
      <c r="K2960" t="s" s="2">
        <v>22</v>
      </c>
      <c r="L2960" t="s" s="2">
        <v>22</v>
      </c>
      <c r="M2960" t="s" s="2">
        <v>22</v>
      </c>
    </row>
    <row r="2961" ht="25.0" customHeight="true">
      <c r="A2961" t="s" s="2">
        <v>13</v>
      </c>
      <c r="B2961" t="s" s="2">
        <f>HYPERLINK("http://ts.21cn.com/tousu/show/id/1370957","拼多多商家商家导流量")</f>
      </c>
      <c r="C2961" t="s" s="2">
        <v>15</v>
      </c>
      <c r="D2961" t="s" s="2">
        <v>16</v>
      </c>
      <c r="E2961" t="s" s="2">
        <v>17</v>
      </c>
      <c r="F2961" t="s" s="2">
        <f>HYPERLINK("http://ts.21cn.com/tousu/show/id/1370957","http://ts.21cn.com/tousu/show/id/1370957")</f>
      </c>
      <c r="G2961" t="s" s="2">
        <v>17</v>
      </c>
      <c r="H2961" t="s" s="2">
        <v>19</v>
      </c>
      <c r="I2961" t="s" s="2">
        <v>11573</v>
      </c>
      <c r="J2961" t="s" s="2">
        <v>9576</v>
      </c>
      <c r="K2961" t="s" s="2">
        <v>22</v>
      </c>
      <c r="L2961" t="s" s="2">
        <v>22</v>
      </c>
      <c r="M2961" t="s" s="2">
        <v>22</v>
      </c>
    </row>
    <row r="2962" ht="25.0" customHeight="true">
      <c r="A2962" t="s" s="2">
        <v>13</v>
      </c>
      <c r="B2962" t="s" s="2">
        <f>HYPERLINK("http://ts.21cn.com/tousu/show/id/1370956","西部明珠会员卡虚假宣传诱导消费")</f>
      </c>
      <c r="C2962" t="s" s="2">
        <v>15</v>
      </c>
      <c r="D2962" t="s" s="2">
        <v>16</v>
      </c>
      <c r="E2962" t="s" s="2">
        <v>17</v>
      </c>
      <c r="F2962" t="s" s="2">
        <f>HYPERLINK("http://ts.21cn.com/tousu/show/id/1370956","http://ts.21cn.com/tousu/show/id/1370956")</f>
      </c>
      <c r="G2962" t="s" s="2">
        <v>17</v>
      </c>
      <c r="H2962" t="s" s="2">
        <v>19</v>
      </c>
      <c r="I2962" t="s" s="2">
        <v>11576</v>
      </c>
      <c r="J2962" t="s" s="2">
        <v>11577</v>
      </c>
      <c r="K2962" t="s" s="2">
        <v>22</v>
      </c>
      <c r="L2962" t="s" s="2">
        <v>22</v>
      </c>
      <c r="M2962" t="s" s="2">
        <v>22</v>
      </c>
    </row>
    <row r="2963" ht="25.0" customHeight="true">
      <c r="A2963" t="s" s="2">
        <v>13</v>
      </c>
      <c r="B2963" t="s" s="2">
        <f>HYPERLINK("http://ts.21cn.com/tousu/show/id/1370955","和信贷恶意催收")</f>
      </c>
      <c r="C2963" t="s" s="2">
        <v>15</v>
      </c>
      <c r="D2963" t="s" s="2">
        <v>16</v>
      </c>
      <c r="E2963" t="s" s="2">
        <v>17</v>
      </c>
      <c r="F2963" t="s" s="2">
        <f>HYPERLINK("http://ts.21cn.com/tousu/show/id/1370955","http://ts.21cn.com/tousu/show/id/1370955")</f>
      </c>
      <c r="G2963" t="s" s="2">
        <v>17</v>
      </c>
      <c r="H2963" t="s" s="2">
        <v>19</v>
      </c>
      <c r="I2963" t="s" s="2">
        <v>11580</v>
      </c>
      <c r="J2963" t="s" s="2">
        <v>11581</v>
      </c>
      <c r="K2963" t="s" s="2">
        <v>22</v>
      </c>
      <c r="L2963" t="s" s="2">
        <v>22</v>
      </c>
      <c r="M2963" t="s" s="2">
        <v>22</v>
      </c>
    </row>
    <row r="2964" ht="25.0" customHeight="true">
      <c r="A2964" t="s" s="2">
        <v>13</v>
      </c>
      <c r="B2964" t="s" s="2">
        <f>HYPERLINK("http://ts.21cn.com/tousu/show/id/1370954","恶意骚扰")</f>
      </c>
      <c r="C2964" t="s" s="2">
        <v>15</v>
      </c>
      <c r="D2964" t="s" s="2">
        <v>16</v>
      </c>
      <c r="E2964" t="s" s="2">
        <v>17</v>
      </c>
      <c r="F2964" t="s" s="2">
        <f>HYPERLINK("http://ts.21cn.com/tousu/show/id/1370954","http://ts.21cn.com/tousu/show/id/1370954")</f>
      </c>
      <c r="G2964" t="s" s="2">
        <v>17</v>
      </c>
      <c r="H2964" t="s" s="2">
        <v>19</v>
      </c>
      <c r="I2964" t="s" s="2">
        <v>11583</v>
      </c>
      <c r="J2964" t="s" s="2">
        <v>11584</v>
      </c>
      <c r="K2964" t="s" s="2">
        <v>22</v>
      </c>
      <c r="L2964" t="s" s="2">
        <v>22</v>
      </c>
      <c r="M2964" t="s" s="2">
        <v>22</v>
      </c>
    </row>
    <row r="2965" ht="25.0" customHeight="true">
      <c r="A2965" t="s" s="2">
        <v>13</v>
      </c>
      <c r="B2965" t="s" s="2">
        <f>HYPERLINK("http://ts.21cn.com/tousu/show/id/1370921","华融消费无法还款导致逾期客服打不通")</f>
      </c>
      <c r="C2965" t="s" s="2">
        <v>15</v>
      </c>
      <c r="D2965" t="s" s="2">
        <v>16</v>
      </c>
      <c r="E2965" t="s" s="2">
        <v>17</v>
      </c>
      <c r="F2965" t="s" s="2">
        <f>HYPERLINK("http://ts.21cn.com/tousu/show/id/1370921","http://ts.21cn.com/tousu/show/id/1370921")</f>
      </c>
      <c r="G2965" t="s" s="2">
        <v>17</v>
      </c>
      <c r="H2965" t="s" s="2">
        <v>19</v>
      </c>
      <c r="I2965" t="s" s="2">
        <v>11587</v>
      </c>
      <c r="J2965" t="s" s="2">
        <v>11588</v>
      </c>
      <c r="K2965" t="s" s="2">
        <v>22</v>
      </c>
      <c r="L2965" t="s" s="2">
        <v>22</v>
      </c>
      <c r="M2965" t="s" s="2">
        <v>22</v>
      </c>
    </row>
    <row r="2966" ht="25.0" customHeight="true">
      <c r="A2966" t="s" s="2">
        <v>13</v>
      </c>
      <c r="B2966" t="s" s="2">
        <f>HYPERLINK("http://ts.21cn.com/tousu/show/id/1370951","百万钱包协商")</f>
      </c>
      <c r="C2966" t="s" s="2">
        <v>15</v>
      </c>
      <c r="D2966" t="s" s="2">
        <v>16</v>
      </c>
      <c r="E2966" t="s" s="2">
        <v>17</v>
      </c>
      <c r="F2966" t="s" s="2">
        <f>HYPERLINK("http://ts.21cn.com/tousu/show/id/1370951","http://ts.21cn.com/tousu/show/id/1370951")</f>
      </c>
      <c r="G2966" t="s" s="2">
        <v>17</v>
      </c>
      <c r="H2966" t="s" s="2">
        <v>19</v>
      </c>
      <c r="I2966" t="s" s="2">
        <v>11591</v>
      </c>
      <c r="J2966" t="s" s="2">
        <v>11592</v>
      </c>
      <c r="K2966" t="s" s="2">
        <v>22</v>
      </c>
      <c r="L2966" t="s" s="2">
        <v>22</v>
      </c>
      <c r="M2966" t="s" s="2">
        <v>22</v>
      </c>
    </row>
    <row r="2967" ht="25.0" customHeight="true">
      <c r="A2967" t="s" s="2">
        <v>13</v>
      </c>
      <c r="B2967" t="s" s="2">
        <f>HYPERLINK("http://ts.21cn.com/tousu/show/id/1370935","钱站超高利息")</f>
      </c>
      <c r="C2967" t="s" s="2">
        <v>15</v>
      </c>
      <c r="D2967" t="s" s="2">
        <v>16</v>
      </c>
      <c r="E2967" t="s" s="2">
        <v>17</v>
      </c>
      <c r="F2967" t="s" s="2">
        <f>HYPERLINK("http://ts.21cn.com/tousu/show/id/1370935","http://ts.21cn.com/tousu/show/id/1370935")</f>
      </c>
      <c r="G2967" t="s" s="2">
        <v>17</v>
      </c>
      <c r="H2967" t="s" s="2">
        <v>19</v>
      </c>
      <c r="I2967" t="s" s="2">
        <v>11595</v>
      </c>
      <c r="J2967" t="s" s="2">
        <v>11596</v>
      </c>
      <c r="K2967" t="s" s="2">
        <v>22</v>
      </c>
      <c r="L2967" t="s" s="2">
        <v>22</v>
      </c>
      <c r="M2967" t="s" s="2">
        <v>22</v>
      </c>
    </row>
    <row r="2968" ht="25.0" customHeight="true">
      <c r="A2968" t="s" s="2">
        <v>13</v>
      </c>
      <c r="B2968" t="s" s="2">
        <f>HYPERLINK("http://ts.21cn.com/tousu/show/id/1370950","好易贷app发放高利贷")</f>
      </c>
      <c r="C2968" t="s" s="2">
        <v>15</v>
      </c>
      <c r="D2968" t="s" s="2">
        <v>16</v>
      </c>
      <c r="E2968" t="s" s="2">
        <v>17</v>
      </c>
      <c r="F2968" t="s" s="2">
        <f>HYPERLINK("http://ts.21cn.com/tousu/show/id/1370950","http://ts.21cn.com/tousu/show/id/1370950")</f>
      </c>
      <c r="G2968" t="s" s="2">
        <v>17</v>
      </c>
      <c r="H2968" t="s" s="2">
        <v>19</v>
      </c>
      <c r="I2968" t="s" s="2">
        <v>11599</v>
      </c>
      <c r="J2968" t="s" s="2">
        <v>11600</v>
      </c>
      <c r="K2968" t="s" s="2">
        <v>22</v>
      </c>
      <c r="L2968" t="s" s="2">
        <v>22</v>
      </c>
      <c r="M2968" t="s" s="2">
        <v>22</v>
      </c>
    </row>
    <row r="2969" ht="25.0" customHeight="true">
      <c r="A2969" t="s" s="2">
        <v>13</v>
      </c>
      <c r="B2969" t="s" s="2">
        <f>HYPERLINK("http://ts.21cn.com/tousu/show/id/1370949","捷信金融真黑啊逼死人算了")</f>
      </c>
      <c r="C2969" t="s" s="2">
        <v>15</v>
      </c>
      <c r="D2969" t="s" s="2">
        <v>16</v>
      </c>
      <c r="E2969" t="s" s="2">
        <v>17</v>
      </c>
      <c r="F2969" t="s" s="2">
        <f>HYPERLINK("http://ts.21cn.com/tousu/show/id/1370949","http://ts.21cn.com/tousu/show/id/1370949")</f>
      </c>
      <c r="G2969" t="s" s="2">
        <v>17</v>
      </c>
      <c r="H2969" t="s" s="2">
        <v>19</v>
      </c>
      <c r="I2969" t="s" s="2">
        <v>11603</v>
      </c>
      <c r="J2969" t="s" s="2">
        <v>11604</v>
      </c>
      <c r="K2969" t="s" s="2">
        <v>22</v>
      </c>
      <c r="L2969" t="s" s="2">
        <v>22</v>
      </c>
      <c r="M2969" t="s" s="2">
        <v>22</v>
      </c>
    </row>
    <row r="2970" ht="25.0" customHeight="true">
      <c r="A2970" t="s" s="2">
        <v>13</v>
      </c>
      <c r="B2970" t="s" s="2">
        <f>HYPERLINK("http://ts.21cn.com/tousu/show/id/1370948","恶意骚扰")</f>
      </c>
      <c r="C2970" t="s" s="2">
        <v>15</v>
      </c>
      <c r="D2970" t="s" s="2">
        <v>16</v>
      </c>
      <c r="E2970" t="s" s="2">
        <v>17</v>
      </c>
      <c r="F2970" t="s" s="2">
        <f>HYPERLINK("http://ts.21cn.com/tousu/show/id/1370948","http://ts.21cn.com/tousu/show/id/1370948")</f>
      </c>
      <c r="G2970" t="s" s="2">
        <v>17</v>
      </c>
      <c r="H2970" t="s" s="2">
        <v>19</v>
      </c>
      <c r="I2970" t="s" s="2">
        <v>11606</v>
      </c>
      <c r="J2970" t="s" s="2">
        <v>11607</v>
      </c>
      <c r="K2970" t="s" s="2">
        <v>22</v>
      </c>
      <c r="L2970" t="s" s="2">
        <v>22</v>
      </c>
      <c r="M2970" t="s" s="2">
        <v>22</v>
      </c>
    </row>
    <row r="2971" ht="25.0" customHeight="true">
      <c r="A2971" t="s" s="2">
        <v>13</v>
      </c>
      <c r="B2971" t="s" s="2">
        <f>HYPERLINK("http://ts.21cn.com/tousu/show/id/1370947","淘宝客服包庇天猫，对延迟发货引起红包过期对消费者造成的损失不予处理")</f>
      </c>
      <c r="C2971" t="s" s="2">
        <v>15</v>
      </c>
      <c r="D2971" t="s" s="2">
        <v>16</v>
      </c>
      <c r="E2971" t="s" s="2">
        <v>17</v>
      </c>
      <c r="F2971" t="s" s="2">
        <f>HYPERLINK("http://ts.21cn.com/tousu/show/id/1370947","http://ts.21cn.com/tousu/show/id/1370947")</f>
      </c>
      <c r="G2971" t="s" s="2">
        <v>17</v>
      </c>
      <c r="H2971" t="s" s="2">
        <v>19</v>
      </c>
      <c r="I2971" t="s" s="2">
        <v>11610</v>
      </c>
      <c r="J2971" t="s" s="2">
        <v>11611</v>
      </c>
      <c r="K2971" t="s" s="2">
        <v>22</v>
      </c>
      <c r="L2971" t="s" s="2">
        <v>22</v>
      </c>
      <c r="M2971" t="s" s="2">
        <v>22</v>
      </c>
    </row>
    <row r="2972" ht="25.0" customHeight="true">
      <c r="A2972" t="s" s="2">
        <v>13</v>
      </c>
      <c r="B2972" t="s" s="2">
        <f>HYPERLINK("http://ts.21cn.com/tousu/show/id/1370827","打不通客服电话沟通")</f>
      </c>
      <c r="C2972" t="s" s="2">
        <v>15</v>
      </c>
      <c r="D2972" t="s" s="2">
        <v>16</v>
      </c>
      <c r="E2972" t="s" s="2">
        <v>17</v>
      </c>
      <c r="F2972" t="s" s="2">
        <f>HYPERLINK("http://ts.21cn.com/tousu/show/id/1370827","http://ts.21cn.com/tousu/show/id/1370827")</f>
      </c>
      <c r="G2972" t="s" s="2">
        <v>17</v>
      </c>
      <c r="H2972" t="s" s="2">
        <v>19</v>
      </c>
      <c r="I2972" t="s" s="2">
        <v>11610</v>
      </c>
      <c r="J2972" t="s" s="2">
        <v>11614</v>
      </c>
      <c r="K2972" t="s" s="2">
        <v>22</v>
      </c>
      <c r="L2972" t="s" s="2">
        <v>22</v>
      </c>
      <c r="M2972" t="s" s="2">
        <v>22</v>
      </c>
    </row>
    <row r="2973" ht="25.0" customHeight="true">
      <c r="A2973" t="s" s="2">
        <v>13</v>
      </c>
      <c r="B2973" t="s" s="2">
        <f>HYPERLINK("http://ts.21cn.com/tousu/show/id/1370946","不符合报名条件，不退费")</f>
      </c>
      <c r="C2973" t="s" s="2">
        <v>15</v>
      </c>
      <c r="D2973" t="s" s="2">
        <v>16</v>
      </c>
      <c r="E2973" t="s" s="2">
        <v>17</v>
      </c>
      <c r="F2973" t="s" s="2">
        <f>HYPERLINK("http://ts.21cn.com/tousu/show/id/1370946","http://ts.21cn.com/tousu/show/id/1370946")</f>
      </c>
      <c r="G2973" t="s" s="2">
        <v>17</v>
      </c>
      <c r="H2973" t="s" s="2">
        <v>19</v>
      </c>
      <c r="I2973" t="s" s="2">
        <v>11617</v>
      </c>
      <c r="J2973" t="s" s="2">
        <v>11618</v>
      </c>
      <c r="K2973" t="s" s="2">
        <v>22</v>
      </c>
      <c r="L2973" t="s" s="2">
        <v>22</v>
      </c>
      <c r="M2973" t="s" s="2">
        <v>22</v>
      </c>
    </row>
    <row r="2974" ht="25.0" customHeight="true">
      <c r="A2974" t="s" s="2">
        <v>13</v>
      </c>
      <c r="B2974" t="s" s="2">
        <f>HYPERLINK("http://ts.21cn.com/tousu/show/id/1370944","云闪付为违法赌博网站提供支付通道")</f>
      </c>
      <c r="C2974" t="s" s="2">
        <v>15</v>
      </c>
      <c r="D2974" t="s" s="2">
        <v>16</v>
      </c>
      <c r="E2974" t="s" s="2">
        <v>17</v>
      </c>
      <c r="F2974" t="s" s="2">
        <f>HYPERLINK("http://ts.21cn.com/tousu/show/id/1370944","http://ts.21cn.com/tousu/show/id/1370944")</f>
      </c>
      <c r="G2974" t="s" s="2">
        <v>17</v>
      </c>
      <c r="H2974" t="s" s="2">
        <v>19</v>
      </c>
      <c r="I2974" t="s" s="2">
        <v>11621</v>
      </c>
      <c r="J2974" t="s" s="2">
        <v>11622</v>
      </c>
      <c r="K2974" t="s" s="2">
        <v>22</v>
      </c>
      <c r="L2974" t="s" s="2">
        <v>22</v>
      </c>
      <c r="M2974" t="s" s="2">
        <v>22</v>
      </c>
    </row>
    <row r="2975" ht="25.0" customHeight="true">
      <c r="A2975" t="s" s="2">
        <v>13</v>
      </c>
      <c r="B2975" t="s" s="2">
        <f>HYPERLINK("http://ts.21cn.com/tousu/show/id/1370945","融360平台瑞丽随薪贷收取断头息，78元本金收取利息2314元暴力催收")</f>
      </c>
      <c r="C2975" t="s" s="2">
        <v>15</v>
      </c>
      <c r="D2975" t="s" s="2">
        <v>16</v>
      </c>
      <c r="E2975" t="s" s="2">
        <v>17</v>
      </c>
      <c r="F2975" t="s" s="2">
        <f>HYPERLINK("http://ts.21cn.com/tousu/show/id/1370945","http://ts.21cn.com/tousu/show/id/1370945")</f>
      </c>
      <c r="G2975" t="s" s="2">
        <v>17</v>
      </c>
      <c r="H2975" t="s" s="2">
        <v>19</v>
      </c>
      <c r="I2975" t="s" s="2">
        <v>11621</v>
      </c>
      <c r="J2975" t="s" s="2">
        <v>11625</v>
      </c>
      <c r="K2975" t="s" s="2">
        <v>22</v>
      </c>
      <c r="L2975" t="s" s="2">
        <v>22</v>
      </c>
      <c r="M2975" t="s" s="2">
        <v>22</v>
      </c>
    </row>
    <row r="2976" ht="25.0" customHeight="true">
      <c r="A2976" t="s" s="2">
        <v>13</v>
      </c>
      <c r="B2976" t="s" s="2">
        <f>HYPERLINK("http://ts.21cn.com/tousu/show/id/1370896","网络赌博")</f>
      </c>
      <c r="C2976" t="s" s="2">
        <v>15</v>
      </c>
      <c r="D2976" t="s" s="2">
        <v>16</v>
      </c>
      <c r="E2976" t="s" s="2">
        <v>17</v>
      </c>
      <c r="F2976" t="s" s="2">
        <f>HYPERLINK("http://ts.21cn.com/tousu/show/id/1370896","http://ts.21cn.com/tousu/show/id/1370896")</f>
      </c>
      <c r="G2976" t="s" s="2">
        <v>17</v>
      </c>
      <c r="H2976" t="s" s="2">
        <v>19</v>
      </c>
      <c r="I2976" t="s" s="2">
        <v>11628</v>
      </c>
      <c r="J2976" t="s" s="2">
        <v>11629</v>
      </c>
      <c r="K2976" t="s" s="2">
        <v>22</v>
      </c>
      <c r="L2976" t="s" s="2">
        <v>22</v>
      </c>
      <c r="M2976" t="s" s="2">
        <v>22</v>
      </c>
    </row>
    <row r="2977" ht="25.0" customHeight="true">
      <c r="A2977" t="s" s="2">
        <v>13</v>
      </c>
      <c r="B2977" t="s" s="2">
        <f>HYPERLINK("http://ts.21cn.com/tousu/show/id/1370942","高利贷砍头息")</f>
      </c>
      <c r="C2977" t="s" s="2">
        <v>15</v>
      </c>
      <c r="D2977" t="s" s="2">
        <v>16</v>
      </c>
      <c r="E2977" t="s" s="2">
        <v>17</v>
      </c>
      <c r="F2977" t="s" s="2">
        <f>HYPERLINK("http://ts.21cn.com/tousu/show/id/1370942","http://ts.21cn.com/tousu/show/id/1370942")</f>
      </c>
      <c r="G2977" t="s" s="2">
        <v>17</v>
      </c>
      <c r="H2977" t="s" s="2">
        <v>19</v>
      </c>
      <c r="I2977" t="s" s="2">
        <v>11631</v>
      </c>
      <c r="J2977" t="s" s="2">
        <v>11632</v>
      </c>
      <c r="K2977" t="s" s="2">
        <v>22</v>
      </c>
      <c r="L2977" t="s" s="2">
        <v>22</v>
      </c>
      <c r="M2977" t="s" s="2">
        <v>22</v>
      </c>
    </row>
    <row r="2978" ht="25.0" customHeight="true">
      <c r="A2978" t="s" s="2">
        <v>13</v>
      </c>
      <c r="B2978" t="s" s="2">
        <f>HYPERLINK("http://ts.21cn.com/tousu/show/id/1370943","京东白条委托第三方催收，威胁恐吓，电话轰炸")</f>
      </c>
      <c r="C2978" t="s" s="2">
        <v>15</v>
      </c>
      <c r="D2978" t="s" s="2">
        <v>16</v>
      </c>
      <c r="E2978" t="s" s="2">
        <v>17</v>
      </c>
      <c r="F2978" t="s" s="2">
        <f>HYPERLINK("http://ts.21cn.com/tousu/show/id/1370943","http://ts.21cn.com/tousu/show/id/1370943")</f>
      </c>
      <c r="G2978" t="s" s="2">
        <v>17</v>
      </c>
      <c r="H2978" t="s" s="2">
        <v>19</v>
      </c>
      <c r="I2978" t="s" s="2">
        <v>11635</v>
      </c>
      <c r="J2978" t="s" s="2">
        <v>11636</v>
      </c>
      <c r="K2978" t="s" s="2">
        <v>22</v>
      </c>
      <c r="L2978" t="s" s="2">
        <v>22</v>
      </c>
      <c r="M2978" t="s" s="2">
        <v>22</v>
      </c>
    </row>
    <row r="2979" ht="25.0" customHeight="true">
      <c r="A2979" t="s" s="2">
        <v>13</v>
      </c>
      <c r="B2979" t="s" s="2">
        <f>HYPERLINK("http://ts.21cn.com/tousu/show/id/1370941","阴阳合同、套路贷、违法违规暴力催收、侮辱人格，砍头息")</f>
      </c>
      <c r="C2979" t="s" s="2">
        <v>15</v>
      </c>
      <c r="D2979" t="s" s="2">
        <v>16</v>
      </c>
      <c r="E2979" t="s" s="2">
        <v>17</v>
      </c>
      <c r="F2979" t="s" s="2">
        <f>HYPERLINK("http://ts.21cn.com/tousu/show/id/1370941","http://ts.21cn.com/tousu/show/id/1370941")</f>
      </c>
      <c r="G2979" t="s" s="2">
        <v>17</v>
      </c>
      <c r="H2979" t="s" s="2">
        <v>19</v>
      </c>
      <c r="I2979" t="s" s="2">
        <v>11639</v>
      </c>
      <c r="J2979" t="s" s="2">
        <v>11640</v>
      </c>
      <c r="K2979" t="s" s="2">
        <v>22</v>
      </c>
      <c r="L2979" t="s" s="2">
        <v>22</v>
      </c>
      <c r="M2979" t="s" s="2">
        <v>22</v>
      </c>
    </row>
    <row r="2980" ht="25.0" customHeight="true">
      <c r="A2980" t="s" s="2">
        <v>13</v>
      </c>
      <c r="B2980" t="s" s="2">
        <f>HYPERLINK("http://ts.21cn.com/tousu/show/id/1370939","我来数科暴力催收")</f>
      </c>
      <c r="C2980" t="s" s="2">
        <v>15</v>
      </c>
      <c r="D2980" t="s" s="2">
        <v>16</v>
      </c>
      <c r="E2980" t="s" s="2">
        <v>17</v>
      </c>
      <c r="F2980" t="s" s="2">
        <f>HYPERLINK("http://ts.21cn.com/tousu/show/id/1370939","http://ts.21cn.com/tousu/show/id/1370939")</f>
      </c>
      <c r="G2980" t="s" s="2">
        <v>17</v>
      </c>
      <c r="H2980" t="s" s="2">
        <v>19</v>
      </c>
      <c r="I2980" t="s" s="2">
        <v>11642</v>
      </c>
      <c r="J2980" t="s" s="2">
        <v>11643</v>
      </c>
      <c r="K2980" t="s" s="2">
        <v>22</v>
      </c>
      <c r="L2980" t="s" s="2">
        <v>22</v>
      </c>
      <c r="M2980" t="s" s="2">
        <v>22</v>
      </c>
    </row>
    <row r="2981" ht="25.0" customHeight="true">
      <c r="A2981" t="s" s="2">
        <v>13</v>
      </c>
      <c r="B2981" t="s" s="2">
        <f>HYPERLINK("http://ts.21cn.com/tousu/show/id/1370938","朵朵金融理财到期不还本金")</f>
      </c>
      <c r="C2981" t="s" s="2">
        <v>52</v>
      </c>
      <c r="D2981" t="s" s="2">
        <v>16</v>
      </c>
      <c r="E2981" t="s" s="2">
        <v>17</v>
      </c>
      <c r="F2981" t="s" s="2">
        <f>HYPERLINK("http://ts.21cn.com/tousu/show/id/1370938","http://ts.21cn.com/tousu/show/id/1370938")</f>
      </c>
      <c r="G2981" t="s" s="2">
        <v>17</v>
      </c>
      <c r="H2981" t="s" s="2">
        <v>19</v>
      </c>
      <c r="I2981" t="s" s="2">
        <v>11646</v>
      </c>
      <c r="J2981" t="s" s="2">
        <v>11647</v>
      </c>
      <c r="K2981" t="s" s="2">
        <v>22</v>
      </c>
      <c r="L2981" t="s" s="2">
        <v>22</v>
      </c>
      <c r="M2981" t="s" s="2">
        <v>22</v>
      </c>
    </row>
    <row r="2982" ht="25.0" customHeight="true">
      <c r="A2982" t="s" s="2">
        <v>13</v>
      </c>
      <c r="B2982" t="s" s="2">
        <f>HYPERLINK("http://ts.21cn.com/tousu/show/id/1370936","京东金融支持不合法砍头高利贷新橙优品，借一万，京东金融立马扣除我1500左右砍头等等")</f>
      </c>
      <c r="C2982" t="s" s="2">
        <v>52</v>
      </c>
      <c r="D2982" t="s" s="2">
        <v>16</v>
      </c>
      <c r="E2982" t="s" s="2">
        <v>17</v>
      </c>
      <c r="F2982" t="s" s="2">
        <f>HYPERLINK("http://ts.21cn.com/tousu/show/id/1370936","http://ts.21cn.com/tousu/show/id/1370936")</f>
      </c>
      <c r="G2982" t="s" s="2">
        <v>17</v>
      </c>
      <c r="H2982" t="s" s="2">
        <v>19</v>
      </c>
      <c r="I2982" t="s" s="2">
        <v>11650</v>
      </c>
      <c r="J2982" t="s" s="2">
        <v>11651</v>
      </c>
      <c r="K2982" t="s" s="2">
        <v>22</v>
      </c>
      <c r="L2982" t="s" s="2">
        <v>22</v>
      </c>
      <c r="M2982" t="s" s="2">
        <v>22</v>
      </c>
    </row>
    <row r="2983" ht="25.0" customHeight="true">
      <c r="A2983" t="s" s="2">
        <v>13</v>
      </c>
      <c r="B2983" t="s" s="2">
        <f>HYPERLINK("http://ts.21cn.com/tousu/show/id/1370937","高利贷，有砍头息")</f>
      </c>
      <c r="C2983" t="s" s="2">
        <v>15</v>
      </c>
      <c r="D2983" t="s" s="2">
        <v>16</v>
      </c>
      <c r="E2983" t="s" s="2">
        <v>17</v>
      </c>
      <c r="F2983" t="s" s="2">
        <f>HYPERLINK("http://ts.21cn.com/tousu/show/id/1370937","http://ts.21cn.com/tousu/show/id/1370937")</f>
      </c>
      <c r="G2983" t="s" s="2">
        <v>17</v>
      </c>
      <c r="H2983" t="s" s="2">
        <v>19</v>
      </c>
      <c r="I2983" t="s" s="2">
        <v>11654</v>
      </c>
      <c r="J2983" t="s" s="2">
        <v>11655</v>
      </c>
      <c r="K2983" t="s" s="2">
        <v>22</v>
      </c>
      <c r="L2983" t="s" s="2">
        <v>22</v>
      </c>
      <c r="M2983" t="s" s="2">
        <v>22</v>
      </c>
    </row>
    <row r="2984" ht="25.0" customHeight="true">
      <c r="A2984" t="s" s="2">
        <v>13</v>
      </c>
      <c r="B2984" t="s" s="2">
        <f>HYPERLINK("http://ts.21cn.com/tousu/show/id/1370934","中汇支付刷卡未到账，客户无人接听")</f>
      </c>
      <c r="C2984" t="s" s="2">
        <v>15</v>
      </c>
      <c r="D2984" t="s" s="2">
        <v>16</v>
      </c>
      <c r="E2984" t="s" s="2">
        <v>17</v>
      </c>
      <c r="F2984" t="s" s="2">
        <f>HYPERLINK("http://ts.21cn.com/tousu/show/id/1370934","http://ts.21cn.com/tousu/show/id/1370934")</f>
      </c>
      <c r="G2984" t="s" s="2">
        <v>17</v>
      </c>
      <c r="H2984" t="s" s="2">
        <v>19</v>
      </c>
      <c r="I2984" t="s" s="2">
        <v>11658</v>
      </c>
      <c r="J2984" t="s" s="2">
        <v>11659</v>
      </c>
      <c r="K2984" t="s" s="2">
        <v>22</v>
      </c>
      <c r="L2984" t="s" s="2">
        <v>22</v>
      </c>
      <c r="M2984" t="s" s="2">
        <v>22</v>
      </c>
    </row>
    <row r="2985" ht="25.0" customHeight="true">
      <c r="A2985" t="s" s="2">
        <v>13</v>
      </c>
      <c r="B2985" t="s" s="2">
        <f>HYPERLINK("http://ts.21cn.com/tousu/show/id/1370933","我来贷威胁我")</f>
      </c>
      <c r="C2985" t="s" s="2">
        <v>15</v>
      </c>
      <c r="D2985" t="s" s="2">
        <v>16</v>
      </c>
      <c r="E2985" t="s" s="2">
        <v>17</v>
      </c>
      <c r="F2985" t="s" s="2">
        <f>HYPERLINK("http://ts.21cn.com/tousu/show/id/1370933","http://ts.21cn.com/tousu/show/id/1370933")</f>
      </c>
      <c r="G2985" t="s" s="2">
        <v>17</v>
      </c>
      <c r="H2985" t="s" s="2">
        <v>19</v>
      </c>
      <c r="I2985" t="s" s="2">
        <v>11662</v>
      </c>
      <c r="J2985" t="s" s="2">
        <v>11663</v>
      </c>
      <c r="K2985" t="s" s="2">
        <v>22</v>
      </c>
      <c r="L2985" t="s" s="2">
        <v>22</v>
      </c>
      <c r="M2985" t="s" s="2">
        <v>22</v>
      </c>
    </row>
    <row r="2986" ht="25.0" customHeight="true">
      <c r="A2986" t="s" s="2">
        <v>13</v>
      </c>
      <c r="B2986" t="s" s="2">
        <f>HYPERLINK("http://ts.21cn.com/tousu/show/id/1370932","美团生活费暴力催收")</f>
      </c>
      <c r="C2986" t="s" s="2">
        <v>15</v>
      </c>
      <c r="D2986" t="s" s="2">
        <v>16</v>
      </c>
      <c r="E2986" t="s" s="2">
        <v>17</v>
      </c>
      <c r="F2986" t="s" s="2">
        <f>HYPERLINK("http://ts.21cn.com/tousu/show/id/1370932","http://ts.21cn.com/tousu/show/id/1370932")</f>
      </c>
      <c r="G2986" t="s" s="2">
        <v>17</v>
      </c>
      <c r="H2986" t="s" s="2">
        <v>19</v>
      </c>
      <c r="I2986" t="s" s="2">
        <v>11665</v>
      </c>
      <c r="J2986" t="s" s="2">
        <v>11666</v>
      </c>
      <c r="K2986" t="s" s="2">
        <v>22</v>
      </c>
      <c r="L2986" t="s" s="2">
        <v>22</v>
      </c>
      <c r="M2986" t="s" s="2">
        <v>22</v>
      </c>
    </row>
    <row r="2987" ht="25.0" customHeight="true">
      <c r="A2987" t="s" s="2">
        <v>13</v>
      </c>
      <c r="B2987" t="s" s="2">
        <f>HYPERLINK("http://ts.21cn.com/tousu/show/id/1370931","尚诚消费金融频繁骚扰公司电话导致公司无法运营！")</f>
      </c>
      <c r="C2987" t="s" s="2">
        <v>15</v>
      </c>
      <c r="D2987" t="s" s="2">
        <v>16</v>
      </c>
      <c r="E2987" t="s" s="2">
        <v>17</v>
      </c>
      <c r="F2987" t="s" s="2">
        <f>HYPERLINK("http://ts.21cn.com/tousu/show/id/1370931","http://ts.21cn.com/tousu/show/id/1370931")</f>
      </c>
      <c r="G2987" t="s" s="2">
        <v>17</v>
      </c>
      <c r="H2987" t="s" s="2">
        <v>19</v>
      </c>
      <c r="I2987" t="s" s="2">
        <v>11669</v>
      </c>
      <c r="J2987" t="s" s="2">
        <v>11670</v>
      </c>
      <c r="K2987" t="s" s="2">
        <v>22</v>
      </c>
      <c r="L2987" t="s" s="2">
        <v>22</v>
      </c>
      <c r="M2987" t="s" s="2">
        <v>22</v>
      </c>
    </row>
    <row r="2988" ht="25.0" customHeight="true">
      <c r="A2988" t="s" s="2">
        <v>13</v>
      </c>
      <c r="B2988" t="s" s="2">
        <f>HYPERLINK("http://ts.21cn.com/tousu/show/id/1370930","希望可以协商解决，停止催收")</f>
      </c>
      <c r="C2988" t="s" s="2">
        <v>15</v>
      </c>
      <c r="D2988" t="s" s="2">
        <v>16</v>
      </c>
      <c r="E2988" t="s" s="2">
        <v>17</v>
      </c>
      <c r="F2988" t="s" s="2">
        <f>HYPERLINK("http://ts.21cn.com/tousu/show/id/1370930","http://ts.21cn.com/tousu/show/id/1370930")</f>
      </c>
      <c r="G2988" t="s" s="2">
        <v>17</v>
      </c>
      <c r="H2988" t="s" s="2">
        <v>19</v>
      </c>
      <c r="I2988" t="s" s="2">
        <v>11673</v>
      </c>
      <c r="J2988" t="s" s="2">
        <v>11674</v>
      </c>
      <c r="K2988" t="s" s="2">
        <v>22</v>
      </c>
      <c r="L2988" t="s" s="2">
        <v>22</v>
      </c>
      <c r="M2988" t="s" s="2">
        <v>22</v>
      </c>
    </row>
    <row r="2989" ht="25.0" customHeight="true">
      <c r="A2989" t="s" s="2">
        <v>13</v>
      </c>
      <c r="B2989" t="s" s="2">
        <f>HYPERLINK("http://ts.21cn.com/tousu/show/id/1370929","购买黑卡，借不了款")</f>
      </c>
      <c r="C2989" t="s" s="2">
        <v>52</v>
      </c>
      <c r="D2989" t="s" s="2">
        <v>16</v>
      </c>
      <c r="E2989" t="s" s="2">
        <v>17</v>
      </c>
      <c r="F2989" t="s" s="2">
        <f>HYPERLINK("http://ts.21cn.com/tousu/show/id/1370929","http://ts.21cn.com/tousu/show/id/1370929")</f>
      </c>
      <c r="G2989" t="s" s="2">
        <v>17</v>
      </c>
      <c r="H2989" t="s" s="2">
        <v>19</v>
      </c>
      <c r="I2989" t="s" s="2">
        <v>11677</v>
      </c>
      <c r="J2989" t="s" s="2">
        <v>11678</v>
      </c>
      <c r="K2989" t="s" s="2">
        <v>22</v>
      </c>
      <c r="L2989" t="s" s="2">
        <v>22</v>
      </c>
      <c r="M2989" t="s" s="2">
        <v>22</v>
      </c>
    </row>
    <row r="2990" ht="25.0" customHeight="true">
      <c r="A2990" t="s" s="2">
        <v>13</v>
      </c>
      <c r="B2990" t="s" s="2">
        <f>HYPERLINK("http://ts.21cn.com/tousu/show/id/1370928","众安无良在未通知用户的情况下，购买保险，代偿")</f>
      </c>
      <c r="C2990" t="s" s="2">
        <v>15</v>
      </c>
      <c r="D2990" t="s" s="2">
        <v>16</v>
      </c>
      <c r="E2990" t="s" s="2">
        <v>17</v>
      </c>
      <c r="F2990" t="s" s="2">
        <f>HYPERLINK("http://ts.21cn.com/tousu/show/id/1370928","http://ts.21cn.com/tousu/show/id/1370928")</f>
      </c>
      <c r="G2990" t="s" s="2">
        <v>17</v>
      </c>
      <c r="H2990" t="s" s="2">
        <v>19</v>
      </c>
      <c r="I2990" t="s" s="2">
        <v>11681</v>
      </c>
      <c r="J2990" t="s" s="2">
        <v>11682</v>
      </c>
      <c r="K2990" t="s" s="2">
        <v>22</v>
      </c>
      <c r="L2990" t="s" s="2">
        <v>22</v>
      </c>
      <c r="M2990" t="s" s="2">
        <v>22</v>
      </c>
    </row>
    <row r="2991" ht="25.0" customHeight="true">
      <c r="A2991" t="s" s="2">
        <v>13</v>
      </c>
      <c r="B2991" t="s" s="2">
        <f>HYPERLINK("http://ts.21cn.com/tousu/show/id/1370926","贷款大师樱桃贷违法高利贷多次骚扰朋友")</f>
      </c>
      <c r="C2991" t="s" s="2">
        <v>15</v>
      </c>
      <c r="D2991" t="s" s="2">
        <v>16</v>
      </c>
      <c r="E2991" t="s" s="2">
        <v>17</v>
      </c>
      <c r="F2991" t="s" s="2">
        <f>HYPERLINK("http://ts.21cn.com/tousu/show/id/1370926","http://ts.21cn.com/tousu/show/id/1370926")</f>
      </c>
      <c r="G2991" t="s" s="2">
        <v>17</v>
      </c>
      <c r="H2991" t="s" s="2">
        <v>19</v>
      </c>
      <c r="I2991" t="s" s="2">
        <v>11685</v>
      </c>
      <c r="J2991" t="s" s="2">
        <v>11686</v>
      </c>
      <c r="K2991" t="s" s="2">
        <v>22</v>
      </c>
      <c r="L2991" t="s" s="2">
        <v>22</v>
      </c>
      <c r="M2991" t="s" s="2">
        <v>22</v>
      </c>
    </row>
    <row r="2992" ht="25.0" customHeight="true">
      <c r="A2992" t="s" s="2">
        <v>13</v>
      </c>
      <c r="B2992" t="s" s="2">
        <f>HYPERLINK("http://ts.21cn.com/tousu/show/id/1370927","因本人哥哥患尿毒症，所以无法偿还玖富万卡高额利息，希望可以协商下还本金")</f>
      </c>
      <c r="C2992" t="s" s="2">
        <v>52</v>
      </c>
      <c r="D2992" t="s" s="2">
        <v>16</v>
      </c>
      <c r="E2992" t="s" s="2">
        <v>17</v>
      </c>
      <c r="F2992" t="s" s="2">
        <f>HYPERLINK("http://ts.21cn.com/tousu/show/id/1370927","http://ts.21cn.com/tousu/show/id/1370927")</f>
      </c>
      <c r="G2992" t="s" s="2">
        <v>17</v>
      </c>
      <c r="H2992" t="s" s="2">
        <v>19</v>
      </c>
      <c r="I2992" t="s" s="2">
        <v>11689</v>
      </c>
      <c r="J2992" t="s" s="2">
        <v>11690</v>
      </c>
      <c r="K2992" t="s" s="2">
        <v>22</v>
      </c>
      <c r="L2992" t="s" s="2">
        <v>22</v>
      </c>
      <c r="M2992" t="s" s="2">
        <v>22</v>
      </c>
    </row>
    <row r="2993" ht="25.0" customHeight="true">
      <c r="A2993" t="s" s="2">
        <v>13</v>
      </c>
      <c r="B2993" t="s" s="2">
        <f>HYPERLINK("http://ts.21cn.com/tousu/show/id/1370925","小当家登录不上无法还款")</f>
      </c>
      <c r="C2993" t="s" s="2">
        <v>15</v>
      </c>
      <c r="D2993" t="s" s="2">
        <v>16</v>
      </c>
      <c r="E2993" t="s" s="2">
        <v>17</v>
      </c>
      <c r="F2993" t="s" s="2">
        <f>HYPERLINK("http://ts.21cn.com/tousu/show/id/1370925","http://ts.21cn.com/tousu/show/id/1370925")</f>
      </c>
      <c r="G2993" t="s" s="2">
        <v>17</v>
      </c>
      <c r="H2993" t="s" s="2">
        <v>19</v>
      </c>
      <c r="I2993" t="s" s="2">
        <v>11693</v>
      </c>
      <c r="J2993" t="s" s="2">
        <v>11694</v>
      </c>
      <c r="K2993" t="s" s="2">
        <v>22</v>
      </c>
      <c r="L2993" t="s" s="2">
        <v>22</v>
      </c>
      <c r="M2993" t="s" s="2">
        <v>22</v>
      </c>
    </row>
    <row r="2994" ht="25.0" customHeight="true">
      <c r="A2994" t="s" s="2">
        <v>13</v>
      </c>
      <c r="B2994" t="s" s="2">
        <f>HYPERLINK("http://ts.21cn.com/tousu/show/id/1370923","支付宝花呗罚息")</f>
      </c>
      <c r="C2994" t="s" s="2">
        <v>15</v>
      </c>
      <c r="D2994" t="s" s="2">
        <v>16</v>
      </c>
      <c r="E2994" t="s" s="2">
        <v>17</v>
      </c>
      <c r="F2994" t="s" s="2">
        <f>HYPERLINK("http://ts.21cn.com/tousu/show/id/1370923","http://ts.21cn.com/tousu/show/id/1370923")</f>
      </c>
      <c r="G2994" t="s" s="2">
        <v>17</v>
      </c>
      <c r="H2994" t="s" s="2">
        <v>19</v>
      </c>
      <c r="I2994" t="s" s="2">
        <v>11697</v>
      </c>
      <c r="J2994" t="s" s="2">
        <v>11698</v>
      </c>
      <c r="K2994" t="s" s="2">
        <v>22</v>
      </c>
      <c r="L2994" t="s" s="2">
        <v>22</v>
      </c>
      <c r="M2994" t="s" s="2">
        <v>22</v>
      </c>
    </row>
    <row r="2995" ht="25.0" customHeight="true">
      <c r="A2995" t="s" s="2">
        <v>13</v>
      </c>
      <c r="B2995" t="s" s="2">
        <f>HYPERLINK("http://ts.21cn.com/tousu/show/id/1370922","招商闪电贷催收员工态度恶劣")</f>
      </c>
      <c r="C2995" t="s" s="2">
        <v>15</v>
      </c>
      <c r="D2995" t="s" s="2">
        <v>16</v>
      </c>
      <c r="E2995" t="s" s="2">
        <v>17</v>
      </c>
      <c r="F2995" t="s" s="2">
        <f>HYPERLINK("http://ts.21cn.com/tousu/show/id/1370922","http://ts.21cn.com/tousu/show/id/1370922")</f>
      </c>
      <c r="G2995" t="s" s="2">
        <v>17</v>
      </c>
      <c r="H2995" t="s" s="2">
        <v>19</v>
      </c>
      <c r="I2995" t="s" s="2">
        <v>11701</v>
      </c>
      <c r="J2995" t="s" s="2">
        <v>11702</v>
      </c>
      <c r="K2995" t="s" s="2">
        <v>22</v>
      </c>
      <c r="L2995" t="s" s="2">
        <v>22</v>
      </c>
      <c r="M2995" t="s" s="2">
        <v>22</v>
      </c>
    </row>
    <row r="2996" ht="25.0" customHeight="true">
      <c r="A2996" t="s" s="2">
        <v>13</v>
      </c>
      <c r="B2996" t="s" s="2">
        <f>HYPERLINK("http://ts.21cn.com/tousu/show/id/1370840","平安普惠i袋高额利息和服务费保险费。")</f>
      </c>
      <c r="C2996" t="s" s="2">
        <v>15</v>
      </c>
      <c r="D2996" t="s" s="2">
        <v>16</v>
      </c>
      <c r="E2996" t="s" s="2">
        <v>17</v>
      </c>
      <c r="F2996" t="s" s="2">
        <f>HYPERLINK("http://ts.21cn.com/tousu/show/id/1370840","http://ts.21cn.com/tousu/show/id/1370840")</f>
      </c>
      <c r="G2996" t="s" s="2">
        <v>17</v>
      </c>
      <c r="H2996" t="s" s="2">
        <v>19</v>
      </c>
      <c r="I2996" t="s" s="2">
        <v>11705</v>
      </c>
      <c r="J2996" t="s" s="2">
        <v>11706</v>
      </c>
      <c r="K2996" t="s" s="2">
        <v>22</v>
      </c>
      <c r="L2996" t="s" s="2">
        <v>22</v>
      </c>
      <c r="M2996" t="s" s="2">
        <v>22</v>
      </c>
    </row>
    <row r="2997" ht="25.0" customHeight="true">
      <c r="A2997" t="s" s="2">
        <v>13</v>
      </c>
      <c r="B2997" t="s" s="2">
        <f>HYPERLINK("http://ts.21cn.com/tousu/show/id/1370920","未借钱却催债")</f>
      </c>
      <c r="C2997" t="s" s="2">
        <v>52</v>
      </c>
      <c r="D2997" t="s" s="2">
        <v>16</v>
      </c>
      <c r="E2997" t="s" s="2">
        <v>17</v>
      </c>
      <c r="F2997" t="s" s="2">
        <f>HYPERLINK("http://ts.21cn.com/tousu/show/id/1370920","http://ts.21cn.com/tousu/show/id/1370920")</f>
      </c>
      <c r="G2997" t="s" s="2">
        <v>17</v>
      </c>
      <c r="H2997" t="s" s="2">
        <v>19</v>
      </c>
      <c r="I2997" t="s" s="2">
        <v>11709</v>
      </c>
      <c r="J2997" t="s" s="2">
        <v>11710</v>
      </c>
      <c r="K2997" t="s" s="2">
        <v>22</v>
      </c>
      <c r="L2997" t="s" s="2">
        <v>22</v>
      </c>
      <c r="M2997" t="s" s="2">
        <v>22</v>
      </c>
    </row>
    <row r="2998" ht="25.0" customHeight="true">
      <c r="A2998" t="s" s="2">
        <v>13</v>
      </c>
      <c r="B2998" t="s" s="2">
        <f>HYPERLINK("http://ts.21cn.com/tousu/show/id/1370918","高炮套路贷")</f>
      </c>
      <c r="C2998" t="s" s="2">
        <v>15</v>
      </c>
      <c r="D2998" t="s" s="2">
        <v>16</v>
      </c>
      <c r="E2998" t="s" s="2">
        <v>17</v>
      </c>
      <c r="F2998" t="s" s="2">
        <f>HYPERLINK("http://ts.21cn.com/tousu/show/id/1370918","http://ts.21cn.com/tousu/show/id/1370918")</f>
      </c>
      <c r="G2998" t="s" s="2">
        <v>17</v>
      </c>
      <c r="H2998" t="s" s="2">
        <v>19</v>
      </c>
      <c r="I2998" t="s" s="2">
        <v>11713</v>
      </c>
      <c r="J2998" t="s" s="2">
        <v>11714</v>
      </c>
      <c r="K2998" t="s" s="2">
        <v>22</v>
      </c>
      <c r="L2998" t="s" s="2">
        <v>22</v>
      </c>
      <c r="M2998" t="s" s="2">
        <v>22</v>
      </c>
    </row>
    <row r="2999" ht="25.0" customHeight="true">
      <c r="A2999" t="s" s="2">
        <v>13</v>
      </c>
      <c r="B2999" t="s" s="2">
        <f>HYPERLINK("http://ts.21cn.com/tousu/show/id/1370917","高利贷")</f>
      </c>
      <c r="C2999" t="s" s="2">
        <v>15</v>
      </c>
      <c r="D2999" t="s" s="2">
        <v>16</v>
      </c>
      <c r="E2999" t="s" s="2">
        <v>17</v>
      </c>
      <c r="F2999" t="s" s="2">
        <f>HYPERLINK("http://ts.21cn.com/tousu/show/id/1370917","http://ts.21cn.com/tousu/show/id/1370917")</f>
      </c>
      <c r="G2999" t="s" s="2">
        <v>17</v>
      </c>
      <c r="H2999" t="s" s="2">
        <v>19</v>
      </c>
      <c r="I2999" t="s" s="2">
        <v>11716</v>
      </c>
      <c r="J2999" t="s" s="2">
        <v>11717</v>
      </c>
      <c r="K2999" t="s" s="2">
        <v>22</v>
      </c>
      <c r="L2999" t="s" s="2">
        <v>22</v>
      </c>
      <c r="M2999" t="s" s="2">
        <v>22</v>
      </c>
    </row>
    <row r="3000" ht="25.0" customHeight="true">
      <c r="A3000" t="s" s="2">
        <v>13</v>
      </c>
      <c r="B3000" t="s" s="2">
        <f>HYPERLINK("http://ts.21cn.com/tousu/show/id/1370919","平台故障导致逾期，并非个人原因现要求减免逾期费用")</f>
      </c>
      <c r="C3000" t="s" s="2">
        <v>15</v>
      </c>
      <c r="D3000" t="s" s="2">
        <v>16</v>
      </c>
      <c r="E3000" t="s" s="2">
        <v>17</v>
      </c>
      <c r="F3000" t="s" s="2">
        <f>HYPERLINK("http://ts.21cn.com/tousu/show/id/1370919","http://ts.21cn.com/tousu/show/id/1370919")</f>
      </c>
      <c r="G3000" t="s" s="2">
        <v>17</v>
      </c>
      <c r="H3000" t="s" s="2">
        <v>19</v>
      </c>
      <c r="I3000" t="s" s="2">
        <v>11720</v>
      </c>
      <c r="J3000" t="s" s="2">
        <v>11721</v>
      </c>
      <c r="K3000" t="s" s="2">
        <v>22</v>
      </c>
      <c r="L3000" t="s" s="2">
        <v>22</v>
      </c>
      <c r="M3000" t="s" s="2">
        <v>22</v>
      </c>
    </row>
    <row r="3001" ht="25.0" customHeight="true">
      <c r="A3001" t="s" s="2">
        <v>13</v>
      </c>
      <c r="B3001" t="s" s="2">
        <f>HYPERLINK("http://ts.21cn.com/tousu/show/id/1370916","高利贷，砍头息")</f>
      </c>
      <c r="C3001" t="s" s="2">
        <v>15</v>
      </c>
      <c r="D3001" t="s" s="2">
        <v>16</v>
      </c>
      <c r="E3001" t="s" s="2">
        <v>17</v>
      </c>
      <c r="F3001" t="s" s="2">
        <f>HYPERLINK("http://ts.21cn.com/tousu/show/id/1370916","http://ts.21cn.com/tousu/show/id/1370916")</f>
      </c>
      <c r="G3001" t="s" s="2">
        <v>17</v>
      </c>
      <c r="H3001" t="s" s="2">
        <v>19</v>
      </c>
      <c r="I3001" t="s" s="2">
        <v>11723</v>
      </c>
      <c r="J3001" t="s" s="2">
        <v>11724</v>
      </c>
      <c r="K3001" t="s" s="2">
        <v>22</v>
      </c>
      <c r="L3001" t="s" s="2">
        <v>22</v>
      </c>
      <c r="M3001" t="s" s="2">
        <v>22</v>
      </c>
    </row>
    <row r="3002" ht="25.0" customHeight="true">
      <c r="A3002" t="s" s="2">
        <v>13</v>
      </c>
      <c r="B3002" t="s" s="2">
        <f>HYPERLINK("http://ts.21cn.com/tousu/show/id/1370915","信用管家小花呗高利贷")</f>
      </c>
      <c r="C3002" t="s" s="2">
        <v>15</v>
      </c>
      <c r="D3002" t="s" s="2">
        <v>16</v>
      </c>
      <c r="E3002" t="s" s="2">
        <v>17</v>
      </c>
      <c r="F3002" t="s" s="2">
        <f>HYPERLINK("http://ts.21cn.com/tousu/show/id/1370915","http://ts.21cn.com/tousu/show/id/1370915")</f>
      </c>
      <c r="G3002" t="s" s="2">
        <v>17</v>
      </c>
      <c r="H3002" t="s" s="2">
        <v>19</v>
      </c>
      <c r="I3002" t="s" s="2">
        <v>11727</v>
      </c>
      <c r="J3002" t="s" s="2">
        <v>11728</v>
      </c>
      <c r="K3002" t="s" s="2">
        <v>22</v>
      </c>
      <c r="L3002" t="s" s="2">
        <v>22</v>
      </c>
      <c r="M3002" t="s" s="2">
        <v>22</v>
      </c>
    </row>
    <row r="3003" ht="25.0" customHeight="true">
      <c r="A3003" t="s" s="2">
        <v>13</v>
      </c>
      <c r="B3003" t="s" s="2">
        <f>HYPERLINK("http://ts.21cn.com/tousu/show/id/1370913","长安标致雪铁龙DS6前轴和后减震器多处漏油")</f>
      </c>
      <c r="C3003" t="s" s="2">
        <v>15</v>
      </c>
      <c r="D3003" t="s" s="2">
        <v>16</v>
      </c>
      <c r="E3003" t="s" s="2">
        <v>17</v>
      </c>
      <c r="F3003" t="s" s="2">
        <f>HYPERLINK("http://ts.21cn.com/tousu/show/id/1370913","http://ts.21cn.com/tousu/show/id/1370913")</f>
      </c>
      <c r="G3003" t="s" s="2">
        <v>17</v>
      </c>
      <c r="H3003" t="s" s="2">
        <v>19</v>
      </c>
      <c r="I3003" t="s" s="2">
        <v>11731</v>
      </c>
      <c r="J3003" t="s" s="2">
        <v>11732</v>
      </c>
      <c r="K3003" t="s" s="2">
        <v>22</v>
      </c>
      <c r="L3003" t="s" s="2">
        <v>22</v>
      </c>
      <c r="M3003" t="s" s="2">
        <v>22</v>
      </c>
    </row>
    <row r="3004" ht="25.0" customHeight="true">
      <c r="A3004" t="s" s="2">
        <v>13</v>
      </c>
      <c r="B3004" t="s" s="2">
        <f>HYPERLINK("http://ts.21cn.com/tousu/show/id/1370912","砍口息，714高炮")</f>
      </c>
      <c r="C3004" t="s" s="2">
        <v>15</v>
      </c>
      <c r="D3004" t="s" s="2">
        <v>16</v>
      </c>
      <c r="E3004" t="s" s="2">
        <v>17</v>
      </c>
      <c r="F3004" t="s" s="2">
        <f>HYPERLINK("http://ts.21cn.com/tousu/show/id/1370912","http://ts.21cn.com/tousu/show/id/1370912")</f>
      </c>
      <c r="G3004" t="s" s="2">
        <v>17</v>
      </c>
      <c r="H3004" t="s" s="2">
        <v>19</v>
      </c>
      <c r="I3004" t="s" s="2">
        <v>11735</v>
      </c>
      <c r="J3004" t="s" s="2">
        <v>11736</v>
      </c>
      <c r="K3004" t="s" s="2">
        <v>22</v>
      </c>
      <c r="L3004" t="s" s="2">
        <v>22</v>
      </c>
      <c r="M3004" t="s" s="2">
        <v>22</v>
      </c>
    </row>
    <row r="3005" ht="25.0" customHeight="true">
      <c r="A3005" t="s" s="2">
        <v>13</v>
      </c>
      <c r="B3005" t="s" s="2">
        <f>HYPERLINK("http://ts.21cn.com/tousu/show/id/1370910","米米罐暴力催收，高额利息")</f>
      </c>
      <c r="C3005" t="s" s="2">
        <v>15</v>
      </c>
      <c r="D3005" t="s" s="2">
        <v>16</v>
      </c>
      <c r="E3005" t="s" s="2">
        <v>17</v>
      </c>
      <c r="F3005" t="s" s="2">
        <f>HYPERLINK("http://ts.21cn.com/tousu/show/id/1370910","http://ts.21cn.com/tousu/show/id/1370910")</f>
      </c>
      <c r="G3005" t="s" s="2">
        <v>17</v>
      </c>
      <c r="H3005" t="s" s="2">
        <v>19</v>
      </c>
      <c r="I3005" t="s" s="2">
        <v>11739</v>
      </c>
      <c r="J3005" t="s" s="2">
        <v>11740</v>
      </c>
      <c r="K3005" t="s" s="2">
        <v>22</v>
      </c>
      <c r="L3005" t="s" s="2">
        <v>22</v>
      </c>
      <c r="M3005" t="s" s="2">
        <v>22</v>
      </c>
    </row>
    <row r="3006" ht="25.0" customHeight="true">
      <c r="A3006" t="s" s="2">
        <v>13</v>
      </c>
      <c r="B3006" t="s" s="2">
        <f>HYPERLINK("http://ts.21cn.com/tousu/show/id/1370909","恐吓威胁")</f>
      </c>
      <c r="C3006" t="s" s="2">
        <v>15</v>
      </c>
      <c r="D3006" t="s" s="2">
        <v>16</v>
      </c>
      <c r="E3006" t="s" s="2">
        <v>17</v>
      </c>
      <c r="F3006" t="s" s="2">
        <f>HYPERLINK("http://ts.21cn.com/tousu/show/id/1370909","http://ts.21cn.com/tousu/show/id/1370909")</f>
      </c>
      <c r="G3006" t="s" s="2">
        <v>17</v>
      </c>
      <c r="H3006" t="s" s="2">
        <v>19</v>
      </c>
      <c r="I3006" t="s" s="2">
        <v>11742</v>
      </c>
      <c r="J3006" t="s" s="2">
        <v>11743</v>
      </c>
      <c r="K3006" t="s" s="2">
        <v>22</v>
      </c>
      <c r="L3006" t="s" s="2">
        <v>22</v>
      </c>
      <c r="M3006" t="s" s="2">
        <v>22</v>
      </c>
    </row>
    <row r="3007" ht="25.0" customHeight="true">
      <c r="A3007" t="s" s="2">
        <v>13</v>
      </c>
      <c r="B3007" t="s" s="2">
        <f>HYPERLINK("http://ts.21cn.com/tousu/show/id/1370911","微粒贷恶意纵容催收人员骚扰本人所在公司电话")</f>
      </c>
      <c r="C3007" t="s" s="2">
        <v>15</v>
      </c>
      <c r="D3007" t="s" s="2">
        <v>16</v>
      </c>
      <c r="E3007" t="s" s="2">
        <v>17</v>
      </c>
      <c r="F3007" t="s" s="2">
        <f>HYPERLINK("http://ts.21cn.com/tousu/show/id/1370911","http://ts.21cn.com/tousu/show/id/1370911")</f>
      </c>
      <c r="G3007" t="s" s="2">
        <v>17</v>
      </c>
      <c r="H3007" t="s" s="2">
        <v>19</v>
      </c>
      <c r="I3007" t="s" s="2">
        <v>11746</v>
      </c>
      <c r="J3007" t="s" s="2">
        <v>11747</v>
      </c>
      <c r="K3007" t="s" s="2">
        <v>22</v>
      </c>
      <c r="L3007" t="s" s="2">
        <v>22</v>
      </c>
      <c r="M3007" t="s" s="2">
        <v>22</v>
      </c>
    </row>
    <row r="3008" ht="25.0" customHeight="true">
      <c r="A3008" t="s" s="2">
        <v>13</v>
      </c>
      <c r="B3008" t="s" s="2">
        <f>HYPERLINK("http://ts.21cn.com/tousu/show/id/1370908","携程购票扣除服务费")</f>
      </c>
      <c r="C3008" t="s" s="2">
        <v>52</v>
      </c>
      <c r="D3008" t="s" s="2">
        <v>16</v>
      </c>
      <c r="E3008" t="s" s="2">
        <v>17</v>
      </c>
      <c r="F3008" t="s" s="2">
        <f>HYPERLINK("http://ts.21cn.com/tousu/show/id/1370908","http://ts.21cn.com/tousu/show/id/1370908")</f>
      </c>
      <c r="G3008" t="s" s="2">
        <v>17</v>
      </c>
      <c r="H3008" t="s" s="2">
        <v>19</v>
      </c>
      <c r="I3008" t="s" s="2">
        <v>11750</v>
      </c>
      <c r="J3008" t="s" s="2">
        <v>11751</v>
      </c>
      <c r="K3008" t="s" s="2">
        <v>22</v>
      </c>
      <c r="L3008" t="s" s="2">
        <v>22</v>
      </c>
      <c r="M3008" t="s" s="2">
        <v>22</v>
      </c>
    </row>
    <row r="3009" ht="25.0" customHeight="true">
      <c r="A3009" t="s" s="2">
        <v>13</v>
      </c>
      <c r="B3009" t="s" s="2">
        <f>HYPERLINK("http://ts.21cn.com/tousu/show/id/1370907","立刻出行退押金难，已经申请两个多月了还未到账。客服无人接听。")</f>
      </c>
      <c r="C3009" t="s" s="2">
        <v>15</v>
      </c>
      <c r="D3009" t="s" s="2">
        <v>16</v>
      </c>
      <c r="E3009" t="s" s="2">
        <v>17</v>
      </c>
      <c r="F3009" t="s" s="2">
        <f>HYPERLINK("http://ts.21cn.com/tousu/show/id/1370907","http://ts.21cn.com/tousu/show/id/1370907")</f>
      </c>
      <c r="G3009" t="s" s="2">
        <v>17</v>
      </c>
      <c r="H3009" t="s" s="2">
        <v>19</v>
      </c>
      <c r="I3009" t="s" s="2">
        <v>11754</v>
      </c>
      <c r="J3009" t="s" s="2">
        <v>11755</v>
      </c>
      <c r="K3009" t="s" s="2">
        <v>22</v>
      </c>
      <c r="L3009" t="s" s="2">
        <v>22</v>
      </c>
      <c r="M3009" t="s" s="2">
        <v>22</v>
      </c>
    </row>
    <row r="3010" ht="25.0" customHeight="true">
      <c r="A3010" t="s" s="2">
        <v>13</v>
      </c>
      <c r="B3010" t="s" s="2">
        <f>HYPERLINK("http://ts.21cn.com/tousu/show/id/1370906","百度有钱花恶意催收影响朋友家属工作生活")</f>
      </c>
      <c r="C3010" t="s" s="2">
        <v>15</v>
      </c>
      <c r="D3010" t="s" s="2">
        <v>16</v>
      </c>
      <c r="E3010" t="s" s="2">
        <v>17</v>
      </c>
      <c r="F3010" t="s" s="2">
        <f>HYPERLINK("http://ts.21cn.com/tousu/show/id/1370906","http://ts.21cn.com/tousu/show/id/1370906")</f>
      </c>
      <c r="G3010" t="s" s="2">
        <v>17</v>
      </c>
      <c r="H3010" t="s" s="2">
        <v>19</v>
      </c>
      <c r="I3010" t="s" s="2">
        <v>11754</v>
      </c>
      <c r="J3010" t="s" s="2">
        <v>11758</v>
      </c>
      <c r="K3010" t="s" s="2">
        <v>22</v>
      </c>
      <c r="L3010" t="s" s="2">
        <v>22</v>
      </c>
      <c r="M3010" t="s" s="2">
        <v>22</v>
      </c>
    </row>
    <row r="3011" ht="25.0" customHeight="true">
      <c r="A3011" t="s" s="2">
        <v>13</v>
      </c>
      <c r="B3011" t="s" s="2">
        <f>HYPERLINK("http://ts.21cn.com/tousu/show/id/1370905","海南圣云可网络有限公司恶意盗走我298.5元")</f>
      </c>
      <c r="C3011" t="s" s="2">
        <v>15</v>
      </c>
      <c r="D3011" t="s" s="2">
        <v>16</v>
      </c>
      <c r="E3011" t="s" s="2">
        <v>17</v>
      </c>
      <c r="F3011" t="s" s="2">
        <f>HYPERLINK("http://ts.21cn.com/tousu/show/id/1370905","http://ts.21cn.com/tousu/show/id/1370905")</f>
      </c>
      <c r="G3011" t="s" s="2">
        <v>17</v>
      </c>
      <c r="H3011" t="s" s="2">
        <v>19</v>
      </c>
      <c r="I3011" t="s" s="2">
        <v>11761</v>
      </c>
      <c r="J3011" t="s" s="2">
        <v>11762</v>
      </c>
      <c r="K3011" t="s" s="2">
        <v>22</v>
      </c>
      <c r="L3011" t="s" s="2">
        <v>22</v>
      </c>
      <c r="M3011" t="s" s="2">
        <v>22</v>
      </c>
    </row>
    <row r="3012" ht="25.0" customHeight="true">
      <c r="A3012" t="s" s="2">
        <v>13</v>
      </c>
      <c r="B3012" t="s" s="2">
        <f>HYPERLINK("http://ts.21cn.com/tousu/show/id/1370881","开三云匠网诱导缴费，过度成都，签订霸王条款")</f>
      </c>
      <c r="C3012" t="s" s="2">
        <v>15</v>
      </c>
      <c r="D3012" t="s" s="2">
        <v>16</v>
      </c>
      <c r="E3012" t="s" s="2">
        <v>17</v>
      </c>
      <c r="F3012" t="s" s="2">
        <f>HYPERLINK("http://ts.21cn.com/tousu/show/id/1370881","http://ts.21cn.com/tousu/show/id/1370881")</f>
      </c>
      <c r="G3012" t="s" s="2">
        <v>17</v>
      </c>
      <c r="H3012" t="s" s="2">
        <v>19</v>
      </c>
      <c r="I3012" t="s" s="2">
        <v>11765</v>
      </c>
      <c r="J3012" t="s" s="2">
        <v>11766</v>
      </c>
      <c r="K3012" t="s" s="2">
        <v>22</v>
      </c>
      <c r="L3012" t="s" s="2">
        <v>22</v>
      </c>
      <c r="M3012" t="s" s="2">
        <v>22</v>
      </c>
    </row>
    <row r="3013" ht="25.0" customHeight="true">
      <c r="A3013" t="s" s="2">
        <v>13</v>
      </c>
      <c r="B3013" t="s" s="2">
        <f>HYPERLINK("http://ts.21cn.com/tousu/show/id/1370904","捷信催收骚扰电话每天几十个")</f>
      </c>
      <c r="C3013" t="s" s="2">
        <v>15</v>
      </c>
      <c r="D3013" t="s" s="2">
        <v>16</v>
      </c>
      <c r="E3013" t="s" s="2">
        <v>17</v>
      </c>
      <c r="F3013" t="s" s="2">
        <f>HYPERLINK("http://ts.21cn.com/tousu/show/id/1370904","http://ts.21cn.com/tousu/show/id/1370904")</f>
      </c>
      <c r="G3013" t="s" s="2">
        <v>17</v>
      </c>
      <c r="H3013" t="s" s="2">
        <v>19</v>
      </c>
      <c r="I3013" t="s" s="2">
        <v>11769</v>
      </c>
      <c r="J3013" t="s" s="2">
        <v>11770</v>
      </c>
      <c r="K3013" t="s" s="2">
        <v>22</v>
      </c>
      <c r="L3013" t="s" s="2">
        <v>22</v>
      </c>
      <c r="M3013" t="s" s="2">
        <v>22</v>
      </c>
    </row>
    <row r="3014" ht="25.0" customHeight="true">
      <c r="A3014" t="s" s="2">
        <v>13</v>
      </c>
      <c r="B3014" t="s" s="2">
        <f>HYPERLINK("http://ts.21cn.com/tousu/show/id/1370903","取消订单不退款")</f>
      </c>
      <c r="C3014" t="s" s="2">
        <v>15</v>
      </c>
      <c r="D3014" t="s" s="2">
        <v>16</v>
      </c>
      <c r="E3014" t="s" s="2">
        <v>17</v>
      </c>
      <c r="F3014" t="s" s="2">
        <f>HYPERLINK("http://ts.21cn.com/tousu/show/id/1370903","http://ts.21cn.com/tousu/show/id/1370903")</f>
      </c>
      <c r="G3014" t="s" s="2">
        <v>17</v>
      </c>
      <c r="H3014" t="s" s="2">
        <v>19</v>
      </c>
      <c r="I3014" t="s" s="2">
        <v>11773</v>
      </c>
      <c r="J3014" t="s" s="2">
        <v>11774</v>
      </c>
      <c r="K3014" t="s" s="2">
        <v>22</v>
      </c>
      <c r="L3014" t="s" s="2">
        <v>22</v>
      </c>
      <c r="M3014" t="s" s="2">
        <v>22</v>
      </c>
    </row>
    <row r="3015" ht="25.0" customHeight="true">
      <c r="A3015" t="s" s="2">
        <v>13</v>
      </c>
      <c r="B3015" t="s" s="2">
        <f>HYPERLINK("http://ts.21cn.com/tousu/show/id/1369622","要求苹果按照三包法规定提供三包服务，五角场直营店为拒保、敷衍等行为道歉")</f>
      </c>
      <c r="C3015" t="s" s="2">
        <v>15</v>
      </c>
      <c r="D3015" t="s" s="2">
        <v>16</v>
      </c>
      <c r="E3015" t="s" s="2">
        <v>17</v>
      </c>
      <c r="F3015" t="s" s="2">
        <f>HYPERLINK("http://ts.21cn.com/tousu/show/id/1369622","http://ts.21cn.com/tousu/show/id/1369622")</f>
      </c>
      <c r="G3015" t="s" s="2">
        <v>17</v>
      </c>
      <c r="H3015" t="s" s="2">
        <v>19</v>
      </c>
      <c r="I3015" t="s" s="2">
        <v>11777</v>
      </c>
      <c r="J3015" t="s" s="2">
        <v>11778</v>
      </c>
      <c r="K3015" t="s" s="2">
        <v>22</v>
      </c>
      <c r="L3015" t="s" s="2">
        <v>22</v>
      </c>
      <c r="M3015" t="s" s="2">
        <v>22</v>
      </c>
    </row>
    <row r="3016" ht="25.0" customHeight="true">
      <c r="A3016" t="s" s="2">
        <v>13</v>
      </c>
      <c r="B3016" t="s" s="2">
        <f>HYPERLINK("http://ts.21cn.com/tousu/show/id/1370900","智行火车票app买完会员不能更换手机号，而且手机号下面的会员不能转到其他手机号")</f>
      </c>
      <c r="C3016" t="s" s="2">
        <v>15</v>
      </c>
      <c r="D3016" t="s" s="2">
        <v>16</v>
      </c>
      <c r="E3016" t="s" s="2">
        <v>17</v>
      </c>
      <c r="F3016" t="s" s="2">
        <f>HYPERLINK("http://ts.21cn.com/tousu/show/id/1370900","http://ts.21cn.com/tousu/show/id/1370900")</f>
      </c>
      <c r="G3016" t="s" s="2">
        <v>17</v>
      </c>
      <c r="H3016" t="s" s="2">
        <v>19</v>
      </c>
      <c r="I3016" t="s" s="2">
        <v>11781</v>
      </c>
      <c r="J3016" t="s" s="2">
        <v>11782</v>
      </c>
      <c r="K3016" t="s" s="2">
        <v>22</v>
      </c>
      <c r="L3016" t="s" s="2">
        <v>22</v>
      </c>
      <c r="M3016" t="s" s="2">
        <v>22</v>
      </c>
    </row>
    <row r="3017" ht="25.0" customHeight="true">
      <c r="A3017" t="s" s="2">
        <v>13</v>
      </c>
      <c r="B3017" t="s" s="2">
        <f>HYPERLINK("http://ts.21cn.com/tousu/show/id/1370901","钱站，套路借款人威胁")</f>
      </c>
      <c r="C3017" t="s" s="2">
        <v>15</v>
      </c>
      <c r="D3017" t="s" s="2">
        <v>16</v>
      </c>
      <c r="E3017" t="s" s="2">
        <v>17</v>
      </c>
      <c r="F3017" t="s" s="2">
        <f>HYPERLINK("http://ts.21cn.com/tousu/show/id/1370901","http://ts.21cn.com/tousu/show/id/1370901")</f>
      </c>
      <c r="G3017" t="s" s="2">
        <v>17</v>
      </c>
      <c r="H3017" t="s" s="2">
        <v>19</v>
      </c>
      <c r="I3017" t="s" s="2">
        <v>11785</v>
      </c>
      <c r="J3017" t="s" s="2">
        <v>11786</v>
      </c>
      <c r="K3017" t="s" s="2">
        <v>22</v>
      </c>
      <c r="L3017" t="s" s="2">
        <v>22</v>
      </c>
      <c r="M3017" t="s" s="2">
        <v>22</v>
      </c>
    </row>
    <row r="3018" ht="25.0" customHeight="true">
      <c r="A3018" t="s" s="2">
        <v>13</v>
      </c>
      <c r="B3018" t="s" s="2">
        <f>HYPERLINK("http://ts.21cn.com/tousu/show/id/1370897","拍拍贷骚扰通讯录联系人")</f>
      </c>
      <c r="C3018" t="s" s="2">
        <v>15</v>
      </c>
      <c r="D3018" t="s" s="2">
        <v>16</v>
      </c>
      <c r="E3018" t="s" s="2">
        <v>17</v>
      </c>
      <c r="F3018" t="s" s="2">
        <f>HYPERLINK("http://ts.21cn.com/tousu/show/id/1370897","http://ts.21cn.com/tousu/show/id/1370897")</f>
      </c>
      <c r="G3018" t="s" s="2">
        <v>17</v>
      </c>
      <c r="H3018" t="s" s="2">
        <v>19</v>
      </c>
      <c r="I3018" t="s" s="2">
        <v>11789</v>
      </c>
      <c r="J3018" t="s" s="2">
        <v>11790</v>
      </c>
      <c r="K3018" t="s" s="2">
        <v>22</v>
      </c>
      <c r="L3018" t="s" s="2">
        <v>22</v>
      </c>
      <c r="M3018" t="s" s="2">
        <v>22</v>
      </c>
    </row>
    <row r="3019" ht="25.0" customHeight="true">
      <c r="A3019" t="s" s="2">
        <v>13</v>
      </c>
      <c r="B3019" t="s" s="2">
        <f>HYPERLINK("http://ts.21cn.com/tousu/show/id/1370898","京东白条")</f>
      </c>
      <c r="C3019" t="s" s="2">
        <v>15</v>
      </c>
      <c r="D3019" t="s" s="2">
        <v>16</v>
      </c>
      <c r="E3019" t="s" s="2">
        <v>17</v>
      </c>
      <c r="F3019" t="s" s="2">
        <f>HYPERLINK("http://ts.21cn.com/tousu/show/id/1370898","http://ts.21cn.com/tousu/show/id/1370898")</f>
      </c>
      <c r="G3019" t="s" s="2">
        <v>17</v>
      </c>
      <c r="H3019" t="s" s="2">
        <v>19</v>
      </c>
      <c r="I3019" t="s" s="2">
        <v>11793</v>
      </c>
      <c r="J3019" t="s" s="2">
        <v>11794</v>
      </c>
      <c r="K3019" t="s" s="2">
        <v>22</v>
      </c>
      <c r="L3019" t="s" s="2">
        <v>22</v>
      </c>
      <c r="M3019" t="s" s="2">
        <v>22</v>
      </c>
    </row>
    <row r="3020" ht="25.0" customHeight="true">
      <c r="A3020" t="s" s="2">
        <v>13</v>
      </c>
      <c r="B3020" t="s" s="2">
        <f>HYPERLINK("http://ts.21cn.com/tousu/show/id/1370861","高利贷")</f>
      </c>
      <c r="C3020" t="s" s="2">
        <v>15</v>
      </c>
      <c r="D3020" t="s" s="2">
        <v>16</v>
      </c>
      <c r="E3020" t="s" s="2">
        <v>17</v>
      </c>
      <c r="F3020" t="s" s="2">
        <f>HYPERLINK("http://ts.21cn.com/tousu/show/id/1370861","http://ts.21cn.com/tousu/show/id/1370861")</f>
      </c>
      <c r="G3020" t="s" s="2">
        <v>17</v>
      </c>
      <c r="H3020" t="s" s="2">
        <v>19</v>
      </c>
      <c r="I3020" t="s" s="2">
        <v>11796</v>
      </c>
      <c r="J3020" t="s" s="2">
        <v>11797</v>
      </c>
      <c r="K3020" t="s" s="2">
        <v>22</v>
      </c>
      <c r="L3020" t="s" s="2">
        <v>22</v>
      </c>
      <c r="M3020" t="s" s="2">
        <v>22</v>
      </c>
    </row>
    <row r="3021" ht="25.0" customHeight="true">
      <c r="A3021" t="s" s="2">
        <v>13</v>
      </c>
      <c r="B3021" t="s" s="2">
        <f>HYPERLINK("http://ts.21cn.com/tousu/show/id/1370895","招行信用卡收取高额利息以及滞纳金")</f>
      </c>
      <c r="C3021" t="s" s="2">
        <v>15</v>
      </c>
      <c r="D3021" t="s" s="2">
        <v>16</v>
      </c>
      <c r="E3021" t="s" s="2">
        <v>17</v>
      </c>
      <c r="F3021" t="s" s="2">
        <f>HYPERLINK("http://ts.21cn.com/tousu/show/id/1370895","http://ts.21cn.com/tousu/show/id/1370895")</f>
      </c>
      <c r="G3021" t="s" s="2">
        <v>17</v>
      </c>
      <c r="H3021" t="s" s="2">
        <v>19</v>
      </c>
      <c r="I3021" t="s" s="2">
        <v>11800</v>
      </c>
      <c r="J3021" t="s" s="2">
        <v>11801</v>
      </c>
      <c r="K3021" t="s" s="2">
        <v>22</v>
      </c>
      <c r="L3021" t="s" s="2">
        <v>22</v>
      </c>
      <c r="M3021" t="s" s="2">
        <v>22</v>
      </c>
    </row>
    <row r="3022" ht="25.0" customHeight="true">
      <c r="A3022" t="s" s="2">
        <v>13</v>
      </c>
      <c r="B3022" t="s" s="2">
        <f>HYPERLINK("http://ts.21cn.com/tousu/show/id/1370894","招联金融暴力催收")</f>
      </c>
      <c r="C3022" t="s" s="2">
        <v>15</v>
      </c>
      <c r="D3022" t="s" s="2">
        <v>16</v>
      </c>
      <c r="E3022" t="s" s="2">
        <v>17</v>
      </c>
      <c r="F3022" t="s" s="2">
        <f>HYPERLINK("http://ts.21cn.com/tousu/show/id/1370894","http://ts.21cn.com/tousu/show/id/1370894")</f>
      </c>
      <c r="G3022" t="s" s="2">
        <v>17</v>
      </c>
      <c r="H3022" t="s" s="2">
        <v>19</v>
      </c>
      <c r="I3022" t="s" s="2">
        <v>11803</v>
      </c>
      <c r="J3022" t="s" s="2">
        <v>11804</v>
      </c>
      <c r="K3022" t="s" s="2">
        <v>22</v>
      </c>
      <c r="L3022" t="s" s="2">
        <v>22</v>
      </c>
      <c r="M3022" t="s" s="2">
        <v>22</v>
      </c>
    </row>
    <row r="3023" ht="25.0" customHeight="true">
      <c r="A3023" t="s" s="2">
        <v>13</v>
      </c>
      <c r="B3023" t="s" s="2">
        <f>HYPERLINK("http://ts.21cn.com/tousu/show/id/1370893","714高炮，高利贷")</f>
      </c>
      <c r="C3023" t="s" s="2">
        <v>15</v>
      </c>
      <c r="D3023" t="s" s="2">
        <v>16</v>
      </c>
      <c r="E3023" t="s" s="2">
        <v>17</v>
      </c>
      <c r="F3023" t="s" s="2">
        <f>HYPERLINK("http://ts.21cn.com/tousu/show/id/1370893","http://ts.21cn.com/tousu/show/id/1370893")</f>
      </c>
      <c r="G3023" t="s" s="2">
        <v>17</v>
      </c>
      <c r="H3023" t="s" s="2">
        <v>19</v>
      </c>
      <c r="I3023" t="s" s="2">
        <v>11807</v>
      </c>
      <c r="J3023" t="s" s="2">
        <v>11808</v>
      </c>
      <c r="K3023" t="s" s="2">
        <v>22</v>
      </c>
      <c r="L3023" t="s" s="2">
        <v>22</v>
      </c>
      <c r="M3023" t="s" s="2">
        <v>22</v>
      </c>
    </row>
    <row r="3024" ht="25.0" customHeight="true">
      <c r="A3024" t="s" s="2">
        <v>13</v>
      </c>
      <c r="B3024" t="s" s="2">
        <f>HYPERLINK("http://ts.21cn.com/tousu/show/id/1370892","虫虫快借4天超利贷")</f>
      </c>
      <c r="C3024" t="s" s="2">
        <v>15</v>
      </c>
      <c r="D3024" t="s" s="2">
        <v>16</v>
      </c>
      <c r="E3024" t="s" s="2">
        <v>17</v>
      </c>
      <c r="F3024" t="s" s="2">
        <f>HYPERLINK("http://ts.21cn.com/tousu/show/id/1370892","http://ts.21cn.com/tousu/show/id/1370892")</f>
      </c>
      <c r="G3024" t="s" s="2">
        <v>17</v>
      </c>
      <c r="H3024" t="s" s="2">
        <v>19</v>
      </c>
      <c r="I3024" t="s" s="2">
        <v>11811</v>
      </c>
      <c r="J3024" t="s" s="2">
        <v>11812</v>
      </c>
      <c r="K3024" t="s" s="2">
        <v>22</v>
      </c>
      <c r="L3024" t="s" s="2">
        <v>22</v>
      </c>
      <c r="M3024" t="s" s="2">
        <v>22</v>
      </c>
    </row>
    <row r="3025" ht="25.0" customHeight="true">
      <c r="A3025" t="s" s="2">
        <v>13</v>
      </c>
      <c r="B3025" t="s" s="2">
        <f>HYPERLINK("http://ts.21cn.com/tousu/show/id/1370891","希望工商信用卡能给我时间周转还款")</f>
      </c>
      <c r="C3025" t="s" s="2">
        <v>15</v>
      </c>
      <c r="D3025" t="s" s="2">
        <v>16</v>
      </c>
      <c r="E3025" t="s" s="2">
        <v>17</v>
      </c>
      <c r="F3025" t="s" s="2">
        <f>HYPERLINK("http://ts.21cn.com/tousu/show/id/1370891","http://ts.21cn.com/tousu/show/id/1370891")</f>
      </c>
      <c r="G3025" t="s" s="2">
        <v>17</v>
      </c>
      <c r="H3025" t="s" s="2">
        <v>19</v>
      </c>
      <c r="I3025" t="s" s="2">
        <v>11815</v>
      </c>
      <c r="J3025" t="s" s="2">
        <v>11816</v>
      </c>
      <c r="K3025" t="s" s="2">
        <v>22</v>
      </c>
      <c r="L3025" t="s" s="2">
        <v>22</v>
      </c>
      <c r="M3025" t="s" s="2">
        <v>22</v>
      </c>
    </row>
    <row r="3026" ht="25.0" customHeight="true">
      <c r="A3026" t="s" s="2">
        <v>13</v>
      </c>
      <c r="B3026" t="s" s="2">
        <f>HYPERLINK("http://ts.21cn.com/tousu/show/id/1370889","My钱包骚扰催收")</f>
      </c>
      <c r="C3026" t="s" s="2">
        <v>15</v>
      </c>
      <c r="D3026" t="s" s="2">
        <v>16</v>
      </c>
      <c r="E3026" t="s" s="2">
        <v>17</v>
      </c>
      <c r="F3026" t="s" s="2">
        <f>HYPERLINK("http://ts.21cn.com/tousu/show/id/1370889","http://ts.21cn.com/tousu/show/id/1370889")</f>
      </c>
      <c r="G3026" t="s" s="2">
        <v>17</v>
      </c>
      <c r="H3026" t="s" s="2">
        <v>19</v>
      </c>
      <c r="I3026" t="s" s="2">
        <v>11819</v>
      </c>
      <c r="J3026" t="s" s="2">
        <v>11820</v>
      </c>
      <c r="K3026" t="s" s="2">
        <v>22</v>
      </c>
      <c r="L3026" t="s" s="2">
        <v>22</v>
      </c>
      <c r="M3026" t="s" s="2">
        <v>22</v>
      </c>
    </row>
    <row r="3027" ht="25.0" customHeight="true">
      <c r="A3027" t="s" s="2">
        <v>13</v>
      </c>
      <c r="B3027" t="s" s="2">
        <f>HYPERLINK("http://ts.21cn.com/tousu/show/id/1370888","你我贷")</f>
      </c>
      <c r="C3027" t="s" s="2">
        <v>15</v>
      </c>
      <c r="D3027" t="s" s="2">
        <v>16</v>
      </c>
      <c r="E3027" t="s" s="2">
        <v>17</v>
      </c>
      <c r="F3027" t="s" s="2">
        <f>HYPERLINK("http://ts.21cn.com/tousu/show/id/1370888","http://ts.21cn.com/tousu/show/id/1370888")</f>
      </c>
      <c r="G3027" t="s" s="2">
        <v>17</v>
      </c>
      <c r="H3027" t="s" s="2">
        <v>19</v>
      </c>
      <c r="I3027" t="s" s="2">
        <v>11822</v>
      </c>
      <c r="J3027" t="s" s="2">
        <v>11823</v>
      </c>
      <c r="K3027" t="s" s="2">
        <v>22</v>
      </c>
      <c r="L3027" t="s" s="2">
        <v>22</v>
      </c>
      <c r="M3027" t="s" s="2">
        <v>22</v>
      </c>
    </row>
    <row r="3028" ht="25.0" customHeight="true">
      <c r="A3028" t="s" s="2">
        <v>13</v>
      </c>
      <c r="B3028" t="s" s="2">
        <f>HYPERLINK("http://ts.21cn.com/tousu/show/id/1370886","拇指下款恶意扣款")</f>
      </c>
      <c r="C3028" t="s" s="2">
        <v>15</v>
      </c>
      <c r="D3028" t="s" s="2">
        <v>16</v>
      </c>
      <c r="E3028" t="s" s="2">
        <v>17</v>
      </c>
      <c r="F3028" t="s" s="2">
        <f>HYPERLINK("http://ts.21cn.com/tousu/show/id/1370886","http://ts.21cn.com/tousu/show/id/1370886")</f>
      </c>
      <c r="G3028" t="s" s="2">
        <v>17</v>
      </c>
      <c r="H3028" t="s" s="2">
        <v>19</v>
      </c>
      <c r="I3028" t="s" s="2">
        <v>11826</v>
      </c>
      <c r="J3028" t="s" s="2">
        <v>11827</v>
      </c>
      <c r="K3028" t="s" s="2">
        <v>22</v>
      </c>
      <c r="L3028" t="s" s="2">
        <v>22</v>
      </c>
      <c r="M3028" t="s" s="2">
        <v>22</v>
      </c>
    </row>
    <row r="3029" ht="25.0" customHeight="true">
      <c r="A3029" t="s" s="2">
        <v>13</v>
      </c>
      <c r="B3029" t="s" s="2">
        <f>HYPERLINK("http://ts.21cn.com/tousu/show/id/1370885","去哪儿旅行设置酒店不可取消霸王条款，严重违反消费者权益保护法第二十五条及第二十六条，要求退还预付款停止侵害者消费者权益。")</f>
      </c>
      <c r="C3029" t="s" s="2">
        <v>15</v>
      </c>
      <c r="D3029" t="s" s="2">
        <v>16</v>
      </c>
      <c r="E3029" t="s" s="2">
        <v>17</v>
      </c>
      <c r="F3029" t="s" s="2">
        <f>HYPERLINK("http://ts.21cn.com/tousu/show/id/1370885","http://ts.21cn.com/tousu/show/id/1370885")</f>
      </c>
      <c r="G3029" t="s" s="2">
        <v>17</v>
      </c>
      <c r="H3029" t="s" s="2">
        <v>19</v>
      </c>
      <c r="I3029" t="s" s="2">
        <v>11830</v>
      </c>
      <c r="J3029" t="s" s="2">
        <v>11831</v>
      </c>
      <c r="K3029" t="s" s="2">
        <v>22</v>
      </c>
      <c r="L3029" t="s" s="2">
        <v>22</v>
      </c>
      <c r="M3029" t="s" s="2">
        <v>22</v>
      </c>
    </row>
    <row r="3030" ht="25.0" customHeight="true">
      <c r="A3030" t="s" s="2">
        <v>13</v>
      </c>
      <c r="B3030" t="s" s="2">
        <f>HYPERLINK("http://ts.21cn.com/tousu/show/id/1370887","万达普惠暴力骚犹")</f>
      </c>
      <c r="C3030" t="s" s="2">
        <v>15</v>
      </c>
      <c r="D3030" t="s" s="2">
        <v>16</v>
      </c>
      <c r="E3030" t="s" s="2">
        <v>17</v>
      </c>
      <c r="F3030" t="s" s="2">
        <f>HYPERLINK("http://ts.21cn.com/tousu/show/id/1370887","http://ts.21cn.com/tousu/show/id/1370887")</f>
      </c>
      <c r="G3030" t="s" s="2">
        <v>17</v>
      </c>
      <c r="H3030" t="s" s="2">
        <v>19</v>
      </c>
      <c r="I3030" t="s" s="2">
        <v>11834</v>
      </c>
      <c r="J3030" t="s" s="2">
        <v>11835</v>
      </c>
      <c r="K3030" t="s" s="2">
        <v>22</v>
      </c>
      <c r="L3030" t="s" s="2">
        <v>22</v>
      </c>
      <c r="M3030" t="s" s="2">
        <v>22</v>
      </c>
    </row>
    <row r="3031" ht="25.0" customHeight="true">
      <c r="A3031" t="s" s="2">
        <v>13</v>
      </c>
      <c r="B3031" t="s" s="2">
        <f>HYPERLINK("http://ts.21cn.com/tousu/show/id/1370884","钱站阴阳合同高利贷")</f>
      </c>
      <c r="C3031" t="s" s="2">
        <v>15</v>
      </c>
      <c r="D3031" t="s" s="2">
        <v>16</v>
      </c>
      <c r="E3031" t="s" s="2">
        <v>17</v>
      </c>
      <c r="F3031" t="s" s="2">
        <f>HYPERLINK("http://ts.21cn.com/tousu/show/id/1370884","http://ts.21cn.com/tousu/show/id/1370884")</f>
      </c>
      <c r="G3031" t="s" s="2">
        <v>17</v>
      </c>
      <c r="H3031" t="s" s="2">
        <v>19</v>
      </c>
      <c r="I3031" t="s" s="2">
        <v>11837</v>
      </c>
      <c r="J3031" t="s" s="2">
        <v>11838</v>
      </c>
      <c r="K3031" t="s" s="2">
        <v>22</v>
      </c>
      <c r="L3031" t="s" s="2">
        <v>22</v>
      </c>
      <c r="M3031" t="s" s="2">
        <v>22</v>
      </c>
    </row>
    <row r="3032" ht="25.0" customHeight="true">
      <c r="A3032" t="s" s="2">
        <v>13</v>
      </c>
      <c r="B3032" t="s" s="2">
        <f>HYPERLINK("http://ts.21cn.com/tousu/show/id/1370882","请求招商银行信用卡协商还款")</f>
      </c>
      <c r="C3032" t="s" s="2">
        <v>15</v>
      </c>
      <c r="D3032" t="s" s="2">
        <v>16</v>
      </c>
      <c r="E3032" t="s" s="2">
        <v>17</v>
      </c>
      <c r="F3032" t="s" s="2">
        <f>HYPERLINK("http://ts.21cn.com/tousu/show/id/1370882","http://ts.21cn.com/tousu/show/id/1370882")</f>
      </c>
      <c r="G3032" t="s" s="2">
        <v>17</v>
      </c>
      <c r="H3032" t="s" s="2">
        <v>19</v>
      </c>
      <c r="I3032" t="s" s="2">
        <v>11841</v>
      </c>
      <c r="J3032" t="s" s="2">
        <v>11842</v>
      </c>
      <c r="K3032" t="s" s="2">
        <v>22</v>
      </c>
      <c r="L3032" t="s" s="2">
        <v>22</v>
      </c>
      <c r="M3032" t="s" s="2">
        <v>22</v>
      </c>
    </row>
    <row r="3033" ht="25.0" customHeight="true">
      <c r="A3033" t="s" s="2">
        <v>13</v>
      </c>
      <c r="B3033" t="s" s="2">
        <f>HYPERLINK("http://ts.21cn.com/tousu/show/id/1370883","海钜信达天价服务费变相高利贷")</f>
      </c>
      <c r="C3033" t="s" s="2">
        <v>15</v>
      </c>
      <c r="D3033" t="s" s="2">
        <v>16</v>
      </c>
      <c r="E3033" t="s" s="2">
        <v>17</v>
      </c>
      <c r="F3033" t="s" s="2">
        <f>HYPERLINK("http://ts.21cn.com/tousu/show/id/1370883","http://ts.21cn.com/tousu/show/id/1370883")</f>
      </c>
      <c r="G3033" t="s" s="2">
        <v>17</v>
      </c>
      <c r="H3033" t="s" s="2">
        <v>19</v>
      </c>
      <c r="I3033" t="s" s="2">
        <v>11845</v>
      </c>
      <c r="J3033" t="s" s="2">
        <v>11846</v>
      </c>
      <c r="K3033" t="s" s="2">
        <v>22</v>
      </c>
      <c r="L3033" t="s" s="2">
        <v>22</v>
      </c>
      <c r="M3033" t="s" s="2">
        <v>22</v>
      </c>
    </row>
    <row r="3034" ht="25.0" customHeight="true">
      <c r="A3034" t="s" s="2">
        <v>13</v>
      </c>
      <c r="B3034" t="s" s="2">
        <f>HYPERLINK("http://ts.21cn.com/tousu/show/id/1370880","及贷黄金会员费")</f>
      </c>
      <c r="C3034" t="s" s="2">
        <v>52</v>
      </c>
      <c r="D3034" t="s" s="2">
        <v>16</v>
      </c>
      <c r="E3034" t="s" s="2">
        <v>17</v>
      </c>
      <c r="F3034" t="s" s="2">
        <f>HYPERLINK("http://ts.21cn.com/tousu/show/id/1370880","http://ts.21cn.com/tousu/show/id/1370880")</f>
      </c>
      <c r="G3034" t="s" s="2">
        <v>17</v>
      </c>
      <c r="H3034" t="s" s="2">
        <v>19</v>
      </c>
      <c r="I3034" t="s" s="2">
        <v>11849</v>
      </c>
      <c r="J3034" t="s" s="2">
        <v>11850</v>
      </c>
      <c r="K3034" t="s" s="2">
        <v>22</v>
      </c>
      <c r="L3034" t="s" s="2">
        <v>22</v>
      </c>
      <c r="M3034" t="s" s="2">
        <v>22</v>
      </c>
    </row>
    <row r="3035" ht="25.0" customHeight="true">
      <c r="A3035" t="s" s="2">
        <v>13</v>
      </c>
      <c r="B3035" t="s" s="2">
        <f>HYPERLINK("http://ts.21cn.com/tousu/show/id/1370879","要求协商延期")</f>
      </c>
      <c r="C3035" t="s" s="2">
        <v>15</v>
      </c>
      <c r="D3035" t="s" s="2">
        <v>16</v>
      </c>
      <c r="E3035" t="s" s="2">
        <v>17</v>
      </c>
      <c r="F3035" t="s" s="2">
        <f>HYPERLINK("http://ts.21cn.com/tousu/show/id/1370879","http://ts.21cn.com/tousu/show/id/1370879")</f>
      </c>
      <c r="G3035" t="s" s="2">
        <v>17</v>
      </c>
      <c r="H3035" t="s" s="2">
        <v>19</v>
      </c>
      <c r="I3035" t="s" s="2">
        <v>11853</v>
      </c>
      <c r="J3035" t="s" s="2">
        <v>11854</v>
      </c>
      <c r="K3035" t="s" s="2">
        <v>22</v>
      </c>
      <c r="L3035" t="s" s="2">
        <v>22</v>
      </c>
      <c r="M3035" t="s" s="2">
        <v>22</v>
      </c>
    </row>
    <row r="3036" ht="25.0" customHeight="true">
      <c r="A3036" t="s" s="2">
        <v>13</v>
      </c>
      <c r="B3036" t="s" s="2">
        <f>HYPERLINK("http://ts.21cn.com/tousu/show/id/1370878","易美健网贷收取三方服务费")</f>
      </c>
      <c r="C3036" t="s" s="2">
        <v>52</v>
      </c>
      <c r="D3036" t="s" s="2">
        <v>16</v>
      </c>
      <c r="E3036" t="s" s="2">
        <v>17</v>
      </c>
      <c r="F3036" t="s" s="2">
        <f>HYPERLINK("http://ts.21cn.com/tousu/show/id/1370878","http://ts.21cn.com/tousu/show/id/1370878")</f>
      </c>
      <c r="G3036" t="s" s="2">
        <v>17</v>
      </c>
      <c r="H3036" t="s" s="2">
        <v>19</v>
      </c>
      <c r="I3036" t="s" s="2">
        <v>11857</v>
      </c>
      <c r="J3036" t="s" s="2">
        <v>11858</v>
      </c>
      <c r="K3036" t="s" s="2">
        <v>22</v>
      </c>
      <c r="L3036" t="s" s="2">
        <v>22</v>
      </c>
      <c r="M3036" t="s" s="2">
        <v>22</v>
      </c>
    </row>
    <row r="3037" ht="25.0" customHeight="true">
      <c r="A3037" t="s" s="2">
        <v>13</v>
      </c>
      <c r="B3037" t="s" s="2">
        <f>HYPERLINK("http://ts.21cn.com/tousu/show/id/1370876","平安银行信用卡恶意催收，假冒国家公务人员催收，恐吓")</f>
      </c>
      <c r="C3037" t="s" s="2">
        <v>15</v>
      </c>
      <c r="D3037" t="s" s="2">
        <v>16</v>
      </c>
      <c r="E3037" t="s" s="2">
        <v>17</v>
      </c>
      <c r="F3037" t="s" s="2">
        <f>HYPERLINK("http://ts.21cn.com/tousu/show/id/1370876","http://ts.21cn.com/tousu/show/id/1370876")</f>
      </c>
      <c r="G3037" t="s" s="2">
        <v>17</v>
      </c>
      <c r="H3037" t="s" s="2">
        <v>19</v>
      </c>
      <c r="I3037" t="s" s="2">
        <v>11861</v>
      </c>
      <c r="J3037" t="s" s="2">
        <v>11862</v>
      </c>
      <c r="K3037" t="s" s="2">
        <v>22</v>
      </c>
      <c r="L3037" t="s" s="2">
        <v>22</v>
      </c>
      <c r="M3037" t="s" s="2">
        <v>22</v>
      </c>
    </row>
    <row r="3038" ht="25.0" customHeight="true">
      <c r="A3038" t="s" s="2">
        <v>13</v>
      </c>
      <c r="B3038" t="s" s="2">
        <f>HYPERLINK("http://ts.21cn.com/tousu/show/id/1370875","作为淘宝网购交易平台，应履行对商家约束，配合商家玩弄买家，关闭我的七天无理由退货")</f>
      </c>
      <c r="C3038" t="s" s="2">
        <v>15</v>
      </c>
      <c r="D3038" t="s" s="2">
        <v>16</v>
      </c>
      <c r="E3038" t="s" s="2">
        <v>17</v>
      </c>
      <c r="F3038" t="s" s="2">
        <f>HYPERLINK("http://ts.21cn.com/tousu/show/id/1370875","http://ts.21cn.com/tousu/show/id/1370875")</f>
      </c>
      <c r="G3038" t="s" s="2">
        <v>17</v>
      </c>
      <c r="H3038" t="s" s="2">
        <v>19</v>
      </c>
      <c r="I3038" t="s" s="2">
        <v>11865</v>
      </c>
      <c r="J3038" t="s" s="2">
        <v>11866</v>
      </c>
      <c r="K3038" t="s" s="2">
        <v>22</v>
      </c>
      <c r="L3038" t="s" s="2">
        <v>22</v>
      </c>
      <c r="M3038" t="s" s="2">
        <v>22</v>
      </c>
    </row>
    <row r="3039" ht="25.0" customHeight="true">
      <c r="A3039" t="s" s="2">
        <v>13</v>
      </c>
      <c r="B3039" t="s" s="2">
        <f>HYPERLINK("http://ts.21cn.com/tousu/show/id/1370874","暴力催收")</f>
      </c>
      <c r="C3039" t="s" s="2">
        <v>15</v>
      </c>
      <c r="D3039" t="s" s="2">
        <v>16</v>
      </c>
      <c r="E3039" t="s" s="2">
        <v>17</v>
      </c>
      <c r="F3039" t="s" s="2">
        <f>HYPERLINK("http://ts.21cn.com/tousu/show/id/1370874","http://ts.21cn.com/tousu/show/id/1370874")</f>
      </c>
      <c r="G3039" t="s" s="2">
        <v>17</v>
      </c>
      <c r="H3039" t="s" s="2">
        <v>19</v>
      </c>
      <c r="I3039" t="s" s="2">
        <v>11868</v>
      </c>
      <c r="J3039" t="s" s="2">
        <v>11869</v>
      </c>
      <c r="K3039" t="s" s="2">
        <v>22</v>
      </c>
      <c r="L3039" t="s" s="2">
        <v>22</v>
      </c>
      <c r="M3039" t="s" s="2">
        <v>22</v>
      </c>
    </row>
    <row r="3040" ht="25.0" customHeight="true">
      <c r="A3040" t="s" s="2">
        <v>13</v>
      </c>
      <c r="B3040" t="s" s="2">
        <f>HYPERLINK("http://ts.21cn.com/tousu/show/id/1370873","充值错误不允许推荐")</f>
      </c>
      <c r="C3040" t="s" s="2">
        <v>15</v>
      </c>
      <c r="D3040" t="s" s="2">
        <v>16</v>
      </c>
      <c r="E3040" t="s" s="2">
        <v>17</v>
      </c>
      <c r="F3040" t="s" s="2">
        <f>HYPERLINK("http://ts.21cn.com/tousu/show/id/1370873","http://ts.21cn.com/tousu/show/id/1370873")</f>
      </c>
      <c r="G3040" t="s" s="2">
        <v>17</v>
      </c>
      <c r="H3040" t="s" s="2">
        <v>19</v>
      </c>
      <c r="I3040" t="s" s="2">
        <v>11872</v>
      </c>
      <c r="J3040" t="s" s="2">
        <v>11873</v>
      </c>
      <c r="K3040" t="s" s="2">
        <v>22</v>
      </c>
      <c r="L3040" t="s" s="2">
        <v>22</v>
      </c>
      <c r="M3040" t="s" s="2">
        <v>22</v>
      </c>
    </row>
    <row r="3041" ht="25.0" customHeight="true">
      <c r="A3041" t="s" s="2">
        <v>13</v>
      </c>
      <c r="B3041" t="s" s="2">
        <f>HYPERLINK("http://ts.21cn.com/tousu/show/id/1370872","钱站高利贷阴阳合同拖时间不正面解决")</f>
      </c>
      <c r="C3041" t="s" s="2">
        <v>15</v>
      </c>
      <c r="D3041" t="s" s="2">
        <v>16</v>
      </c>
      <c r="E3041" t="s" s="2">
        <v>17</v>
      </c>
      <c r="F3041" t="s" s="2">
        <f>HYPERLINK("http://ts.21cn.com/tousu/show/id/1370872","http://ts.21cn.com/tousu/show/id/1370872")</f>
      </c>
      <c r="G3041" t="s" s="2">
        <v>17</v>
      </c>
      <c r="H3041" t="s" s="2">
        <v>19</v>
      </c>
      <c r="I3041" t="s" s="2">
        <v>11876</v>
      </c>
      <c r="J3041" t="s" s="2">
        <v>11877</v>
      </c>
      <c r="K3041" t="s" s="2">
        <v>22</v>
      </c>
      <c r="L3041" t="s" s="2">
        <v>22</v>
      </c>
      <c r="M3041" t="s" s="2">
        <v>22</v>
      </c>
    </row>
    <row r="3042" ht="25.0" customHeight="true">
      <c r="A3042" t="s" s="2">
        <v>13</v>
      </c>
      <c r="B3042" t="s" s="2">
        <f>HYPERLINK("http://ts.21cn.com/tousu/show/id/1370871","钱伴不同意延期还款")</f>
      </c>
      <c r="C3042" t="s" s="2">
        <v>52</v>
      </c>
      <c r="D3042" t="s" s="2">
        <v>16</v>
      </c>
      <c r="E3042" t="s" s="2">
        <v>17</v>
      </c>
      <c r="F3042" t="s" s="2">
        <f>HYPERLINK("http://ts.21cn.com/tousu/show/id/1370871","http://ts.21cn.com/tousu/show/id/1370871")</f>
      </c>
      <c r="G3042" t="s" s="2">
        <v>17</v>
      </c>
      <c r="H3042" t="s" s="2">
        <v>19</v>
      </c>
      <c r="I3042" t="s" s="2">
        <v>11880</v>
      </c>
      <c r="J3042" t="s" s="2">
        <v>11881</v>
      </c>
      <c r="K3042" t="s" s="2">
        <v>22</v>
      </c>
      <c r="L3042" t="s" s="2">
        <v>22</v>
      </c>
      <c r="M3042" t="s" s="2">
        <v>22</v>
      </c>
    </row>
    <row r="3043" ht="25.0" customHeight="true">
      <c r="A3043" t="s" s="2">
        <v>13</v>
      </c>
      <c r="B3043" t="s" s="2">
        <f>HYPERLINK("http://ts.21cn.com/tousu/show/id/1370869","来分期高额利息，不能查看借款记录")</f>
      </c>
      <c r="C3043" t="s" s="2">
        <v>15</v>
      </c>
      <c r="D3043" t="s" s="2">
        <v>16</v>
      </c>
      <c r="E3043" t="s" s="2">
        <v>17</v>
      </c>
      <c r="F3043" t="s" s="2">
        <f>HYPERLINK("http://ts.21cn.com/tousu/show/id/1370869","http://ts.21cn.com/tousu/show/id/1370869")</f>
      </c>
      <c r="G3043" t="s" s="2">
        <v>17</v>
      </c>
      <c r="H3043" t="s" s="2">
        <v>19</v>
      </c>
      <c r="I3043" t="s" s="2">
        <v>11884</v>
      </c>
      <c r="J3043" t="s" s="2">
        <v>11885</v>
      </c>
      <c r="K3043" t="s" s="2">
        <v>22</v>
      </c>
      <c r="L3043" t="s" s="2">
        <v>22</v>
      </c>
      <c r="M3043" t="s" s="2">
        <v>22</v>
      </c>
    </row>
    <row r="3044" ht="25.0" customHeight="true">
      <c r="A3044" t="s" s="2">
        <v>13</v>
      </c>
      <c r="B3044" t="s" s="2">
        <f>HYPERLINK("http://ts.21cn.com/tousu/show/id/1370868","贷上钱以买游戏豆为由收取高额贷款通过费")</f>
      </c>
      <c r="C3044" t="s" s="2">
        <v>52</v>
      </c>
      <c r="D3044" t="s" s="2">
        <v>16</v>
      </c>
      <c r="E3044" t="s" s="2">
        <v>17</v>
      </c>
      <c r="F3044" t="s" s="2">
        <f>HYPERLINK("http://ts.21cn.com/tousu/show/id/1370868","http://ts.21cn.com/tousu/show/id/1370868")</f>
      </c>
      <c r="G3044" t="s" s="2">
        <v>17</v>
      </c>
      <c r="H3044" t="s" s="2">
        <v>19</v>
      </c>
      <c r="I3044" t="s" s="2">
        <v>11887</v>
      </c>
      <c r="J3044" t="s" s="2">
        <v>11888</v>
      </c>
      <c r="K3044" t="s" s="2">
        <v>22</v>
      </c>
      <c r="L3044" t="s" s="2">
        <v>22</v>
      </c>
      <c r="M3044" t="s" s="2">
        <v>22</v>
      </c>
    </row>
    <row r="3045" ht="25.0" customHeight="true">
      <c r="A3045" t="s" s="2">
        <v>13</v>
      </c>
      <c r="B3045" t="s" s="2">
        <f>HYPERLINK("http://ts.21cn.com/tousu/show/id/1370870","及贷阴阳合同高额利息砍头息")</f>
      </c>
      <c r="C3045" t="s" s="2">
        <v>15</v>
      </c>
      <c r="D3045" t="s" s="2">
        <v>16</v>
      </c>
      <c r="E3045" t="s" s="2">
        <v>17</v>
      </c>
      <c r="F3045" t="s" s="2">
        <f>HYPERLINK("http://ts.21cn.com/tousu/show/id/1370870","http://ts.21cn.com/tousu/show/id/1370870")</f>
      </c>
      <c r="G3045" t="s" s="2">
        <v>17</v>
      </c>
      <c r="H3045" t="s" s="2">
        <v>19</v>
      </c>
      <c r="I3045" t="s" s="2">
        <v>11891</v>
      </c>
      <c r="J3045" t="s" s="2">
        <v>11892</v>
      </c>
      <c r="K3045" t="s" s="2">
        <v>22</v>
      </c>
      <c r="L3045" t="s" s="2">
        <v>22</v>
      </c>
      <c r="M3045" t="s" s="2">
        <v>22</v>
      </c>
    </row>
    <row r="3046" ht="25.0" customHeight="true">
      <c r="A3046" t="s" s="2">
        <v>13</v>
      </c>
      <c r="B3046" t="s" s="2">
        <f>HYPERLINK("http://ts.21cn.com/tousu/show/id/1370866","没带来权益，还不给退会员费")</f>
      </c>
      <c r="C3046" t="s" s="2">
        <v>15</v>
      </c>
      <c r="D3046" t="s" s="2">
        <v>16</v>
      </c>
      <c r="E3046" t="s" s="2">
        <v>17</v>
      </c>
      <c r="F3046" t="s" s="2">
        <f>HYPERLINK("http://ts.21cn.com/tousu/show/id/1370866","http://ts.21cn.com/tousu/show/id/1370866")</f>
      </c>
      <c r="G3046" t="s" s="2">
        <v>17</v>
      </c>
      <c r="H3046" t="s" s="2">
        <v>19</v>
      </c>
      <c r="I3046" t="s" s="2">
        <v>11895</v>
      </c>
      <c r="J3046" t="s" s="2">
        <v>11896</v>
      </c>
      <c r="K3046" t="s" s="2">
        <v>22</v>
      </c>
      <c r="L3046" t="s" s="2">
        <v>22</v>
      </c>
      <c r="M3046" t="s" s="2">
        <v>22</v>
      </c>
    </row>
    <row r="3047" ht="25.0" customHeight="true">
      <c r="A3047" t="s" s="2">
        <v>13</v>
      </c>
      <c r="B3047" t="s" s="2">
        <f>HYPERLINK("http://ts.21cn.com/tousu/show/id/1370865","微粒贷没完没了找不同的催收公司骚扰")</f>
      </c>
      <c r="C3047" t="s" s="2">
        <v>15</v>
      </c>
      <c r="D3047" t="s" s="2">
        <v>16</v>
      </c>
      <c r="E3047" t="s" s="2">
        <v>17</v>
      </c>
      <c r="F3047" t="s" s="2">
        <f>HYPERLINK("http://ts.21cn.com/tousu/show/id/1370865","http://ts.21cn.com/tousu/show/id/1370865")</f>
      </c>
      <c r="G3047" t="s" s="2">
        <v>17</v>
      </c>
      <c r="H3047" t="s" s="2">
        <v>19</v>
      </c>
      <c r="I3047" t="s" s="2">
        <v>11899</v>
      </c>
      <c r="J3047" t="s" s="2">
        <v>11900</v>
      </c>
      <c r="K3047" t="s" s="2">
        <v>22</v>
      </c>
      <c r="L3047" t="s" s="2">
        <v>22</v>
      </c>
      <c r="M3047" t="s" s="2">
        <v>22</v>
      </c>
    </row>
    <row r="3048" ht="25.0" customHeight="true">
      <c r="A3048" t="s" s="2">
        <v>13</v>
      </c>
      <c r="B3048" t="s" s="2">
        <f>HYPERLINK("http://ts.21cn.com/tousu/show/id/1370867","电话暴力催收")</f>
      </c>
      <c r="C3048" t="s" s="2">
        <v>15</v>
      </c>
      <c r="D3048" t="s" s="2">
        <v>16</v>
      </c>
      <c r="E3048" t="s" s="2">
        <v>17</v>
      </c>
      <c r="F3048" t="s" s="2">
        <f>HYPERLINK("http://ts.21cn.com/tousu/show/id/1370867","http://ts.21cn.com/tousu/show/id/1370867")</f>
      </c>
      <c r="G3048" t="s" s="2">
        <v>17</v>
      </c>
      <c r="H3048" t="s" s="2">
        <v>19</v>
      </c>
      <c r="I3048" t="s" s="2">
        <v>11903</v>
      </c>
      <c r="J3048" t="s" s="2">
        <v>11904</v>
      </c>
      <c r="K3048" t="s" s="2">
        <v>22</v>
      </c>
      <c r="L3048" t="s" s="2">
        <v>22</v>
      </c>
      <c r="M3048" t="s" s="2">
        <v>22</v>
      </c>
    </row>
    <row r="3049" ht="25.0" customHeight="true">
      <c r="A3049" t="s" s="2">
        <v>13</v>
      </c>
      <c r="B3049" t="s" s="2">
        <f>HYPERLINK("http://ts.21cn.com/tousu/show/id/1370862","360借条随便打我通讯录电话")</f>
      </c>
      <c r="C3049" t="s" s="2">
        <v>15</v>
      </c>
      <c r="D3049" t="s" s="2">
        <v>16</v>
      </c>
      <c r="E3049" t="s" s="2">
        <v>17</v>
      </c>
      <c r="F3049" t="s" s="2">
        <f>HYPERLINK("http://ts.21cn.com/tousu/show/id/1370862","http://ts.21cn.com/tousu/show/id/1370862")</f>
      </c>
      <c r="G3049" t="s" s="2">
        <v>17</v>
      </c>
      <c r="H3049" t="s" s="2">
        <v>19</v>
      </c>
      <c r="I3049" t="s" s="2">
        <v>11907</v>
      </c>
      <c r="J3049" t="s" s="2">
        <v>11908</v>
      </c>
      <c r="K3049" t="s" s="2">
        <v>22</v>
      </c>
      <c r="L3049" t="s" s="2">
        <v>22</v>
      </c>
      <c r="M3049" t="s" s="2">
        <v>22</v>
      </c>
    </row>
    <row r="3050" ht="25.0" customHeight="true">
      <c r="A3050" t="s" s="2">
        <v>13</v>
      </c>
      <c r="B3050" t="s" s="2">
        <f>HYPERLINK("http://ts.21cn.com/tousu/show/id/1370864","捷信金融这到底算不算高利贷，如何解决")</f>
      </c>
      <c r="C3050" t="s" s="2">
        <v>15</v>
      </c>
      <c r="D3050" t="s" s="2">
        <v>16</v>
      </c>
      <c r="E3050" t="s" s="2">
        <v>17</v>
      </c>
      <c r="F3050" t="s" s="2">
        <f>HYPERLINK("http://ts.21cn.com/tousu/show/id/1370864","http://ts.21cn.com/tousu/show/id/1370864")</f>
      </c>
      <c r="G3050" t="s" s="2">
        <v>17</v>
      </c>
      <c r="H3050" t="s" s="2">
        <v>19</v>
      </c>
      <c r="I3050" t="s" s="2">
        <v>11911</v>
      </c>
      <c r="J3050" t="s" s="2">
        <v>11912</v>
      </c>
      <c r="K3050" t="s" s="2">
        <v>22</v>
      </c>
      <c r="L3050" t="s" s="2">
        <v>22</v>
      </c>
      <c r="M3050" t="s" s="2">
        <v>22</v>
      </c>
    </row>
    <row r="3051" ht="25.0" customHeight="true">
      <c r="A3051" t="s" s="2">
        <v>13</v>
      </c>
      <c r="B3051" t="s" s="2">
        <f>HYPERLINK("http://ts.21cn.com/tousu/show/id/1370863","贷上钱无视聚投诉协商继续暴力催收")</f>
      </c>
      <c r="C3051" t="s" s="2">
        <v>15</v>
      </c>
      <c r="D3051" t="s" s="2">
        <v>16</v>
      </c>
      <c r="E3051" t="s" s="2">
        <v>17</v>
      </c>
      <c r="F3051" t="s" s="2">
        <f>HYPERLINK("http://ts.21cn.com/tousu/show/id/1370863","http://ts.21cn.com/tousu/show/id/1370863")</f>
      </c>
      <c r="G3051" t="s" s="2">
        <v>17</v>
      </c>
      <c r="H3051" t="s" s="2">
        <v>19</v>
      </c>
      <c r="I3051" t="s" s="2">
        <v>11915</v>
      </c>
      <c r="J3051" t="s" s="2">
        <v>11916</v>
      </c>
      <c r="K3051" t="s" s="2">
        <v>22</v>
      </c>
      <c r="L3051" t="s" s="2">
        <v>22</v>
      </c>
      <c r="M3051" t="s" s="2">
        <v>22</v>
      </c>
    </row>
    <row r="3052" ht="25.0" customHeight="true">
      <c r="A3052" t="s" s="2">
        <v>13</v>
      </c>
      <c r="B3052" t="s" s="2">
        <f>HYPERLINK("http://ts.21cn.com/tousu/show/id/1370860","马上消费金融恶意欺诈")</f>
      </c>
      <c r="C3052" t="s" s="2">
        <v>15</v>
      </c>
      <c r="D3052" t="s" s="2">
        <v>16</v>
      </c>
      <c r="E3052" t="s" s="2">
        <v>17</v>
      </c>
      <c r="F3052" t="s" s="2">
        <f>HYPERLINK("http://ts.21cn.com/tousu/show/id/1370860","http://ts.21cn.com/tousu/show/id/1370860")</f>
      </c>
      <c r="G3052" t="s" s="2">
        <v>17</v>
      </c>
      <c r="H3052" t="s" s="2">
        <v>19</v>
      </c>
      <c r="I3052" t="s" s="2">
        <v>11919</v>
      </c>
      <c r="J3052" t="s" s="2">
        <v>11920</v>
      </c>
      <c r="K3052" t="s" s="2">
        <v>22</v>
      </c>
      <c r="L3052" t="s" s="2">
        <v>22</v>
      </c>
      <c r="M3052" t="s" s="2">
        <v>22</v>
      </c>
    </row>
    <row r="3053" ht="25.0" customHeight="true">
      <c r="A3053" t="s" s="2">
        <v>13</v>
      </c>
      <c r="B3053" t="s" s="2">
        <f>HYPERLINK("http://ts.21cn.com/tousu/show/id/1370859","恶意扣款")</f>
      </c>
      <c r="C3053" t="s" s="2">
        <v>15</v>
      </c>
      <c r="D3053" t="s" s="2">
        <v>16</v>
      </c>
      <c r="E3053" t="s" s="2">
        <v>17</v>
      </c>
      <c r="F3053" t="s" s="2">
        <f>HYPERLINK("http://ts.21cn.com/tousu/show/id/1370859","http://ts.21cn.com/tousu/show/id/1370859")</f>
      </c>
      <c r="G3053" t="s" s="2">
        <v>17</v>
      </c>
      <c r="H3053" t="s" s="2">
        <v>19</v>
      </c>
      <c r="I3053" t="s" s="2">
        <v>11922</v>
      </c>
      <c r="J3053" t="s" s="2">
        <v>11923</v>
      </c>
      <c r="K3053" t="s" s="2">
        <v>22</v>
      </c>
      <c r="L3053" t="s" s="2">
        <v>22</v>
      </c>
      <c r="M3053" t="s" s="2">
        <v>22</v>
      </c>
    </row>
    <row r="3054" ht="25.0" customHeight="true">
      <c r="A3054" t="s" s="2">
        <v>13</v>
      </c>
      <c r="B3054" t="s" s="2">
        <f>HYPERLINK("http://ts.21cn.com/tousu/show/id/1370858","米米罐无视法律法规，变相收取高额征信报告费用")</f>
      </c>
      <c r="C3054" t="s" s="2">
        <v>15</v>
      </c>
      <c r="D3054" t="s" s="2">
        <v>16</v>
      </c>
      <c r="E3054" t="s" s="2">
        <v>17</v>
      </c>
      <c r="F3054" t="s" s="2">
        <f>HYPERLINK("http://ts.21cn.com/tousu/show/id/1370858","http://ts.21cn.com/tousu/show/id/1370858")</f>
      </c>
      <c r="G3054" t="s" s="2">
        <v>17</v>
      </c>
      <c r="H3054" t="s" s="2">
        <v>19</v>
      </c>
      <c r="I3054" t="s" s="2">
        <v>11926</v>
      </c>
      <c r="J3054" t="s" s="2">
        <v>11927</v>
      </c>
      <c r="K3054" t="s" s="2">
        <v>22</v>
      </c>
      <c r="L3054" t="s" s="2">
        <v>22</v>
      </c>
      <c r="M3054" t="s" s="2">
        <v>22</v>
      </c>
    </row>
    <row r="3055" ht="25.0" customHeight="true">
      <c r="A3055" t="s" s="2">
        <v>13</v>
      </c>
      <c r="B3055" t="s" s="2">
        <f>HYPERLINK("http://ts.21cn.com/tousu/show/id/1370857","易鑫车贷未告知服务为，GPS安装费。提前还款违约金，高额砍头息。")</f>
      </c>
      <c r="C3055" t="s" s="2">
        <v>15</v>
      </c>
      <c r="D3055" t="s" s="2">
        <v>16</v>
      </c>
      <c r="E3055" t="s" s="2">
        <v>17</v>
      </c>
      <c r="F3055" t="s" s="2">
        <f>HYPERLINK("http://ts.21cn.com/tousu/show/id/1370857","http://ts.21cn.com/tousu/show/id/1370857")</f>
      </c>
      <c r="G3055" t="s" s="2">
        <v>17</v>
      </c>
      <c r="H3055" t="s" s="2">
        <v>19</v>
      </c>
      <c r="I3055" t="s" s="2">
        <v>11930</v>
      </c>
      <c r="J3055" t="s" s="2">
        <v>11931</v>
      </c>
      <c r="K3055" t="s" s="2">
        <v>22</v>
      </c>
      <c r="L3055" t="s" s="2">
        <v>22</v>
      </c>
      <c r="M3055" t="s" s="2">
        <v>22</v>
      </c>
    </row>
    <row r="3056" ht="25.0" customHeight="true">
      <c r="A3056" t="s" s="2">
        <v>13</v>
      </c>
      <c r="B3056" t="s" s="2">
        <f>HYPERLINK("http://ts.21cn.com/tousu/show/id/1370856","360借条暴力催收，恐吓我的家人")</f>
      </c>
      <c r="C3056" t="s" s="2">
        <v>15</v>
      </c>
      <c r="D3056" t="s" s="2">
        <v>16</v>
      </c>
      <c r="E3056" t="s" s="2">
        <v>17</v>
      </c>
      <c r="F3056" t="s" s="2">
        <f>HYPERLINK("http://ts.21cn.com/tousu/show/id/1370856","http://ts.21cn.com/tousu/show/id/1370856")</f>
      </c>
      <c r="G3056" t="s" s="2">
        <v>17</v>
      </c>
      <c r="H3056" t="s" s="2">
        <v>19</v>
      </c>
      <c r="I3056" t="s" s="2">
        <v>11934</v>
      </c>
      <c r="J3056" t="s" s="2">
        <v>11935</v>
      </c>
      <c r="K3056" t="s" s="2">
        <v>22</v>
      </c>
      <c r="L3056" t="s" s="2">
        <v>22</v>
      </c>
      <c r="M3056" t="s" s="2">
        <v>22</v>
      </c>
    </row>
    <row r="3057" ht="25.0" customHeight="true">
      <c r="A3057" t="s" s="2">
        <v>13</v>
      </c>
      <c r="B3057" t="s" s="2">
        <f>HYPERLINK("http://ts.21cn.com/tousu/show/id/1370855","淘宝卖家上线销售无任何专利的产品")</f>
      </c>
      <c r="C3057" t="s" s="2">
        <v>15</v>
      </c>
      <c r="D3057" t="s" s="2">
        <v>16</v>
      </c>
      <c r="E3057" t="s" s="2">
        <v>17</v>
      </c>
      <c r="F3057" t="s" s="2">
        <f>HYPERLINK("http://ts.21cn.com/tousu/show/id/1370855","http://ts.21cn.com/tousu/show/id/1370855")</f>
      </c>
      <c r="G3057" t="s" s="2">
        <v>17</v>
      </c>
      <c r="H3057" t="s" s="2">
        <v>19</v>
      </c>
      <c r="I3057" t="s" s="2">
        <v>11938</v>
      </c>
      <c r="J3057" t="s" s="2">
        <v>11939</v>
      </c>
      <c r="K3057" t="s" s="2">
        <v>22</v>
      </c>
      <c r="L3057" t="s" s="2">
        <v>22</v>
      </c>
      <c r="M3057" t="s" s="2">
        <v>22</v>
      </c>
    </row>
    <row r="3058" ht="25.0" customHeight="true">
      <c r="A3058" t="s" s="2">
        <v>13</v>
      </c>
      <c r="B3058" t="s" s="2">
        <f>HYPERLINK("http://ts.21cn.com/tousu/show/id/1370853","万达快易花")</f>
      </c>
      <c r="C3058" t="s" s="2">
        <v>15</v>
      </c>
      <c r="D3058" t="s" s="2">
        <v>16</v>
      </c>
      <c r="E3058" t="s" s="2">
        <v>17</v>
      </c>
      <c r="F3058" t="s" s="2">
        <f>HYPERLINK("http://ts.21cn.com/tousu/show/id/1370853","http://ts.21cn.com/tousu/show/id/1370853")</f>
      </c>
      <c r="G3058" t="s" s="2">
        <v>17</v>
      </c>
      <c r="H3058" t="s" s="2">
        <v>19</v>
      </c>
      <c r="I3058" t="s" s="2">
        <v>11942</v>
      </c>
      <c r="J3058" t="s" s="2">
        <v>11943</v>
      </c>
      <c r="K3058" t="s" s="2">
        <v>22</v>
      </c>
      <c r="L3058" t="s" s="2">
        <v>22</v>
      </c>
      <c r="M3058" t="s" s="2">
        <v>22</v>
      </c>
    </row>
    <row r="3059" ht="25.0" customHeight="true">
      <c r="A3059" t="s" s="2">
        <v>13</v>
      </c>
      <c r="B3059" t="s" s="2">
        <f>HYPERLINK("http://ts.21cn.com/tousu/show/id/1370852","快贷宝（月光宝库）类似714现金贷，找商户客服沟通不给处理，借的4000元实际到账才3150元分成4期，收我利息和会员费")</f>
      </c>
      <c r="C3059" t="s" s="2">
        <v>15</v>
      </c>
      <c r="D3059" t="s" s="2">
        <v>16</v>
      </c>
      <c r="E3059" t="s" s="2">
        <v>17</v>
      </c>
      <c r="F3059" t="s" s="2">
        <f>HYPERLINK("http://ts.21cn.com/tousu/show/id/1370852","http://ts.21cn.com/tousu/show/id/1370852")</f>
      </c>
      <c r="G3059" t="s" s="2">
        <v>17</v>
      </c>
      <c r="H3059" t="s" s="2">
        <v>19</v>
      </c>
      <c r="I3059" t="s" s="2">
        <v>11946</v>
      </c>
      <c r="J3059" t="s" s="2">
        <v>11947</v>
      </c>
      <c r="K3059" t="s" s="2">
        <v>22</v>
      </c>
      <c r="L3059" t="s" s="2">
        <v>22</v>
      </c>
      <c r="M3059" t="s" s="2">
        <v>22</v>
      </c>
    </row>
    <row r="3060" ht="25.0" customHeight="true">
      <c r="A3060" t="s" s="2">
        <v>13</v>
      </c>
      <c r="B3060" t="s" s="2">
        <f>HYPERLINK("http://ts.21cn.com/tousu/show/id/1370851","百事普惠恶意扣款")</f>
      </c>
      <c r="C3060" t="s" s="2">
        <v>15</v>
      </c>
      <c r="D3060" t="s" s="2">
        <v>16</v>
      </c>
      <c r="E3060" t="s" s="2">
        <v>17</v>
      </c>
      <c r="F3060" t="s" s="2">
        <f>HYPERLINK("http://ts.21cn.com/tousu/show/id/1370851","http://ts.21cn.com/tousu/show/id/1370851")</f>
      </c>
      <c r="G3060" t="s" s="2">
        <v>17</v>
      </c>
      <c r="H3060" t="s" s="2">
        <v>19</v>
      </c>
      <c r="I3060" t="s" s="2">
        <v>11949</v>
      </c>
      <c r="J3060" t="s" s="2">
        <v>11950</v>
      </c>
      <c r="K3060" t="s" s="2">
        <v>22</v>
      </c>
      <c r="L3060" t="s" s="2">
        <v>22</v>
      </c>
      <c r="M3060" t="s" s="2">
        <v>22</v>
      </c>
    </row>
    <row r="3061" ht="25.0" customHeight="true">
      <c r="A3061" t="s" s="2">
        <v>13</v>
      </c>
      <c r="B3061" t="s" s="2">
        <f>HYPERLINK("http://ts.21cn.com/tousu/show/id/1370850","高利贷申请延期还款减免利息协商还款")</f>
      </c>
      <c r="C3061" t="s" s="2">
        <v>15</v>
      </c>
      <c r="D3061" t="s" s="2">
        <v>16</v>
      </c>
      <c r="E3061" t="s" s="2">
        <v>17</v>
      </c>
      <c r="F3061" t="s" s="2">
        <f>HYPERLINK("http://ts.21cn.com/tousu/show/id/1370850","http://ts.21cn.com/tousu/show/id/1370850")</f>
      </c>
      <c r="G3061" t="s" s="2">
        <v>17</v>
      </c>
      <c r="H3061" t="s" s="2">
        <v>19</v>
      </c>
      <c r="I3061" t="s" s="2">
        <v>11953</v>
      </c>
      <c r="J3061" t="s" s="2">
        <v>11954</v>
      </c>
      <c r="K3061" t="s" s="2">
        <v>22</v>
      </c>
      <c r="L3061" t="s" s="2">
        <v>22</v>
      </c>
      <c r="M3061" t="s" s="2">
        <v>22</v>
      </c>
    </row>
    <row r="3062" ht="25.0" customHeight="true">
      <c r="A3062" t="s" s="2">
        <v>13</v>
      </c>
      <c r="B3062" t="s" s="2">
        <f>HYPERLINK("http://ts.21cn.com/tousu/show/id/1370849","砍头息，高利贷")</f>
      </c>
      <c r="C3062" t="s" s="2">
        <v>15</v>
      </c>
      <c r="D3062" t="s" s="2">
        <v>16</v>
      </c>
      <c r="E3062" t="s" s="2">
        <v>17</v>
      </c>
      <c r="F3062" t="s" s="2">
        <f>HYPERLINK("http://ts.21cn.com/tousu/show/id/1370849","http://ts.21cn.com/tousu/show/id/1370849")</f>
      </c>
      <c r="G3062" t="s" s="2">
        <v>17</v>
      </c>
      <c r="H3062" t="s" s="2">
        <v>19</v>
      </c>
      <c r="I3062" t="s" s="2">
        <v>11957</v>
      </c>
      <c r="J3062" t="s" s="2">
        <v>11958</v>
      </c>
      <c r="K3062" t="s" s="2">
        <v>22</v>
      </c>
      <c r="L3062" t="s" s="2">
        <v>22</v>
      </c>
      <c r="M3062" t="s" s="2">
        <v>22</v>
      </c>
    </row>
    <row r="3063" ht="25.0" customHeight="true">
      <c r="A3063" t="s" s="2">
        <v>13</v>
      </c>
      <c r="B3063" t="s" s="2">
        <f>HYPERLINK("http://ts.21cn.com/tousu/show/id/1370848","在淘集集的2000元保证金退不了")</f>
      </c>
      <c r="C3063" t="s" s="2">
        <v>15</v>
      </c>
      <c r="D3063" t="s" s="2">
        <v>16</v>
      </c>
      <c r="E3063" t="s" s="2">
        <v>17</v>
      </c>
      <c r="F3063" t="s" s="2">
        <f>HYPERLINK("http://ts.21cn.com/tousu/show/id/1370848","http://ts.21cn.com/tousu/show/id/1370848")</f>
      </c>
      <c r="G3063" t="s" s="2">
        <v>17</v>
      </c>
      <c r="H3063" t="s" s="2">
        <v>19</v>
      </c>
      <c r="I3063" t="s" s="2">
        <v>11960</v>
      </c>
      <c r="J3063" t="s" s="2">
        <v>11961</v>
      </c>
      <c r="K3063" t="s" s="2">
        <v>22</v>
      </c>
      <c r="L3063" t="s" s="2">
        <v>22</v>
      </c>
      <c r="M3063" t="s" s="2">
        <v>22</v>
      </c>
    </row>
    <row r="3064" ht="25.0" customHeight="true">
      <c r="A3064" t="s" s="2">
        <v>13</v>
      </c>
      <c r="B3064" t="s" s="2">
        <f>HYPERLINK("http://ts.21cn.com/tousu/show/id/1370812","已经还款，却显示未还款且进行催收")</f>
      </c>
      <c r="C3064" t="s" s="2">
        <v>15</v>
      </c>
      <c r="D3064" t="s" s="2">
        <v>16</v>
      </c>
      <c r="E3064" t="s" s="2">
        <v>17</v>
      </c>
      <c r="F3064" t="s" s="2">
        <f>HYPERLINK("http://ts.21cn.com/tousu/show/id/1370812","http://ts.21cn.com/tousu/show/id/1370812")</f>
      </c>
      <c r="G3064" t="s" s="2">
        <v>17</v>
      </c>
      <c r="H3064" t="s" s="2">
        <v>19</v>
      </c>
      <c r="I3064" t="s" s="2">
        <v>11964</v>
      </c>
      <c r="J3064" t="s" s="2">
        <v>11965</v>
      </c>
      <c r="K3064" t="s" s="2">
        <v>22</v>
      </c>
      <c r="L3064" t="s" s="2">
        <v>22</v>
      </c>
      <c r="M3064" t="s" s="2">
        <v>22</v>
      </c>
    </row>
    <row r="3065" ht="25.0" customHeight="true">
      <c r="A3065" t="s" s="2">
        <v>13</v>
      </c>
      <c r="B3065" t="s" s="2">
        <f>HYPERLINK("http://ts.21cn.com/tousu/show/id/1370847","信用飞砍头息")</f>
      </c>
      <c r="C3065" t="s" s="2">
        <v>52</v>
      </c>
      <c r="D3065" t="s" s="2">
        <v>16</v>
      </c>
      <c r="E3065" t="s" s="2">
        <v>17</v>
      </c>
      <c r="F3065" t="s" s="2">
        <f>HYPERLINK("http://ts.21cn.com/tousu/show/id/1370847","http://ts.21cn.com/tousu/show/id/1370847")</f>
      </c>
      <c r="G3065" t="s" s="2">
        <v>17</v>
      </c>
      <c r="H3065" t="s" s="2">
        <v>19</v>
      </c>
      <c r="I3065" t="s" s="2">
        <v>11968</v>
      </c>
      <c r="J3065" t="s" s="2">
        <v>11969</v>
      </c>
      <c r="K3065" t="s" s="2">
        <v>22</v>
      </c>
      <c r="L3065" t="s" s="2">
        <v>22</v>
      </c>
      <c r="M3065" t="s" s="2">
        <v>22</v>
      </c>
    </row>
    <row r="3066" ht="25.0" customHeight="true">
      <c r="A3066" t="s" s="2">
        <v>13</v>
      </c>
      <c r="B3066" t="s" s="2">
        <f>HYPERLINK("http://ts.21cn.com/tousu/show/id/1370845","有用分期高额利息")</f>
      </c>
      <c r="C3066" t="s" s="2">
        <v>15</v>
      </c>
      <c r="D3066" t="s" s="2">
        <v>16</v>
      </c>
      <c r="E3066" t="s" s="2">
        <v>17</v>
      </c>
      <c r="F3066" t="s" s="2">
        <f>HYPERLINK("http://ts.21cn.com/tousu/show/id/1370845","http://ts.21cn.com/tousu/show/id/1370845")</f>
      </c>
      <c r="G3066" t="s" s="2">
        <v>17</v>
      </c>
      <c r="H3066" t="s" s="2">
        <v>19</v>
      </c>
      <c r="I3066" t="s" s="2">
        <v>11972</v>
      </c>
      <c r="J3066" t="s" s="2">
        <v>11973</v>
      </c>
      <c r="K3066" t="s" s="2">
        <v>22</v>
      </c>
      <c r="L3066" t="s" s="2">
        <v>22</v>
      </c>
      <c r="M3066" t="s" s="2">
        <v>22</v>
      </c>
    </row>
    <row r="3067" ht="25.0" customHeight="true">
      <c r="A3067" t="s" s="2">
        <v>13</v>
      </c>
      <c r="B3067" t="s" s="2">
        <f>HYPERLINK("http://ts.21cn.com/tousu/show/id/1370846","拼多多商家发货虚拟签收虚拟物流不退款")</f>
      </c>
      <c r="C3067" t="s" s="2">
        <v>15</v>
      </c>
      <c r="D3067" t="s" s="2">
        <v>16</v>
      </c>
      <c r="E3067" t="s" s="2">
        <v>17</v>
      </c>
      <c r="F3067" t="s" s="2">
        <f>HYPERLINK("http://ts.21cn.com/tousu/show/id/1370846","http://ts.21cn.com/tousu/show/id/1370846")</f>
      </c>
      <c r="G3067" t="s" s="2">
        <v>17</v>
      </c>
      <c r="H3067" t="s" s="2">
        <v>19</v>
      </c>
      <c r="I3067" t="s" s="2">
        <v>11976</v>
      </c>
      <c r="J3067" t="s" s="2">
        <v>11977</v>
      </c>
      <c r="K3067" t="s" s="2">
        <v>22</v>
      </c>
      <c r="L3067" t="s" s="2">
        <v>22</v>
      </c>
      <c r="M3067" t="s" s="2">
        <v>22</v>
      </c>
    </row>
    <row r="3068" ht="25.0" customHeight="true">
      <c r="A3068" t="s" s="2">
        <v>13</v>
      </c>
      <c r="B3068" t="s" s="2">
        <f>HYPERLINK("http://ts.21cn.com/tousu/show/id/1370844","好易贷涉嫌高利贷")</f>
      </c>
      <c r="C3068" t="s" s="2">
        <v>15</v>
      </c>
      <c r="D3068" t="s" s="2">
        <v>16</v>
      </c>
      <c r="E3068" t="s" s="2">
        <v>17</v>
      </c>
      <c r="F3068" t="s" s="2">
        <f>HYPERLINK("http://ts.21cn.com/tousu/show/id/1370844","http://ts.21cn.com/tousu/show/id/1370844")</f>
      </c>
      <c r="G3068" t="s" s="2">
        <v>17</v>
      </c>
      <c r="H3068" t="s" s="2">
        <v>19</v>
      </c>
      <c r="I3068" t="s" s="2">
        <v>11980</v>
      </c>
      <c r="J3068" t="s" s="2">
        <v>11981</v>
      </c>
      <c r="K3068" t="s" s="2">
        <v>22</v>
      </c>
      <c r="L3068" t="s" s="2">
        <v>22</v>
      </c>
      <c r="M3068" t="s" s="2">
        <v>22</v>
      </c>
    </row>
    <row r="3069" ht="25.0" customHeight="true">
      <c r="A3069" t="s" s="2">
        <v>13</v>
      </c>
      <c r="B3069" t="s" s="2">
        <f>HYPERLINK("http://ts.21cn.com/tousu/show/id/1370843","罗汉分期恶意收所谓得会员费")</f>
      </c>
      <c r="C3069" t="s" s="2">
        <v>15</v>
      </c>
      <c r="D3069" t="s" s="2">
        <v>16</v>
      </c>
      <c r="E3069" t="s" s="2">
        <v>17</v>
      </c>
      <c r="F3069" t="s" s="2">
        <f>HYPERLINK("http://ts.21cn.com/tousu/show/id/1370843","http://ts.21cn.com/tousu/show/id/1370843")</f>
      </c>
      <c r="G3069" t="s" s="2">
        <v>17</v>
      </c>
      <c r="H3069" t="s" s="2">
        <v>19</v>
      </c>
      <c r="I3069" t="s" s="2">
        <v>11984</v>
      </c>
      <c r="J3069" t="s" s="2">
        <v>11985</v>
      </c>
      <c r="K3069" t="s" s="2">
        <v>22</v>
      </c>
      <c r="L3069" t="s" s="2">
        <v>22</v>
      </c>
      <c r="M3069" t="s" s="2">
        <v>22</v>
      </c>
    </row>
    <row r="3070" ht="25.0" customHeight="true">
      <c r="A3070" t="s" s="2">
        <v>13</v>
      </c>
      <c r="B3070" t="s" s="2">
        <f>HYPERLINK("http://ts.21cn.com/tousu/show/id/1370841","宜人贷砍头息，收取高额手续费，利息高")</f>
      </c>
      <c r="C3070" t="s" s="2">
        <v>15</v>
      </c>
      <c r="D3070" t="s" s="2">
        <v>16</v>
      </c>
      <c r="E3070" t="s" s="2">
        <v>17</v>
      </c>
      <c r="F3070" t="s" s="2">
        <f>HYPERLINK("http://ts.21cn.com/tousu/show/id/1370841","http://ts.21cn.com/tousu/show/id/1370841")</f>
      </c>
      <c r="G3070" t="s" s="2">
        <v>17</v>
      </c>
      <c r="H3070" t="s" s="2">
        <v>19</v>
      </c>
      <c r="I3070" t="s" s="2">
        <v>11988</v>
      </c>
      <c r="J3070" t="s" s="2">
        <v>11989</v>
      </c>
      <c r="K3070" t="s" s="2">
        <v>22</v>
      </c>
      <c r="L3070" t="s" s="2">
        <v>22</v>
      </c>
      <c r="M3070" t="s" s="2">
        <v>22</v>
      </c>
    </row>
    <row r="3071" ht="25.0" customHeight="true">
      <c r="A3071" t="s" s="2">
        <v>13</v>
      </c>
      <c r="B3071" t="s" s="2">
        <f>HYPERLINK("http://ts.21cn.com/tousu/show/id/1370842","高利砍头息，请协商退换本金")</f>
      </c>
      <c r="C3071" t="s" s="2">
        <v>15</v>
      </c>
      <c r="D3071" t="s" s="2">
        <v>16</v>
      </c>
      <c r="E3071" t="s" s="2">
        <v>17</v>
      </c>
      <c r="F3071" t="s" s="2">
        <f>HYPERLINK("http://ts.21cn.com/tousu/show/id/1370842","http://ts.21cn.com/tousu/show/id/1370842")</f>
      </c>
      <c r="G3071" t="s" s="2">
        <v>17</v>
      </c>
      <c r="H3071" t="s" s="2">
        <v>19</v>
      </c>
      <c r="I3071" t="s" s="2">
        <v>11992</v>
      </c>
      <c r="J3071" t="s" s="2">
        <v>11993</v>
      </c>
      <c r="K3071" t="s" s="2">
        <v>22</v>
      </c>
      <c r="L3071" t="s" s="2">
        <v>22</v>
      </c>
      <c r="M3071" t="s" s="2">
        <v>22</v>
      </c>
    </row>
    <row r="3072" ht="25.0" customHeight="true">
      <c r="A3072" t="s" s="2">
        <v>13</v>
      </c>
      <c r="B3072" t="s" s="2">
        <f>HYPERLINK("http://ts.21cn.com/tousu/show/id/1370839","胡乱扣费")</f>
      </c>
      <c r="C3072" t="s" s="2">
        <v>15</v>
      </c>
      <c r="D3072" t="s" s="2">
        <v>16</v>
      </c>
      <c r="E3072" t="s" s="2">
        <v>17</v>
      </c>
      <c r="F3072" t="s" s="2">
        <f>HYPERLINK("http://ts.21cn.com/tousu/show/id/1370839","http://ts.21cn.com/tousu/show/id/1370839")</f>
      </c>
      <c r="G3072" t="s" s="2">
        <v>17</v>
      </c>
      <c r="H3072" t="s" s="2">
        <v>19</v>
      </c>
      <c r="I3072" t="s" s="2">
        <v>11996</v>
      </c>
      <c r="J3072" t="s" s="2">
        <v>11997</v>
      </c>
      <c r="K3072" t="s" s="2">
        <v>22</v>
      </c>
      <c r="L3072" t="s" s="2">
        <v>22</v>
      </c>
      <c r="M3072" t="s" s="2">
        <v>22</v>
      </c>
    </row>
    <row r="3073" ht="25.0" customHeight="true">
      <c r="A3073" t="s" s="2">
        <v>13</v>
      </c>
      <c r="B3073" t="s" s="2">
        <f>HYPERLINK("http://ts.21cn.com/tousu/show/id/1370837","玖富第三次投诉了，借15000还了20000。天天骚扰")</f>
      </c>
      <c r="C3073" t="s" s="2">
        <v>15</v>
      </c>
      <c r="D3073" t="s" s="2">
        <v>16</v>
      </c>
      <c r="E3073" t="s" s="2">
        <v>17</v>
      </c>
      <c r="F3073" t="s" s="2">
        <f>HYPERLINK("http://ts.21cn.com/tousu/show/id/1370837","http://ts.21cn.com/tousu/show/id/1370837")</f>
      </c>
      <c r="G3073" t="s" s="2">
        <v>17</v>
      </c>
      <c r="H3073" t="s" s="2">
        <v>19</v>
      </c>
      <c r="I3073" t="s" s="2">
        <v>12000</v>
      </c>
      <c r="J3073" t="s" s="2">
        <v>12001</v>
      </c>
      <c r="K3073" t="s" s="2">
        <v>22</v>
      </c>
      <c r="L3073" t="s" s="2">
        <v>22</v>
      </c>
      <c r="M3073" t="s" s="2">
        <v>22</v>
      </c>
    </row>
    <row r="3074" ht="25.0" customHeight="true">
      <c r="A3074" t="s" s="2">
        <v>13</v>
      </c>
      <c r="B3074" t="s" s="2">
        <f>HYPERLINK("http://ts.21cn.com/tousu/show/id/1370836","钱站高利贷砍头息阴阳合同")</f>
      </c>
      <c r="C3074" t="s" s="2">
        <v>15</v>
      </c>
      <c r="D3074" t="s" s="2">
        <v>16</v>
      </c>
      <c r="E3074" t="s" s="2">
        <v>17</v>
      </c>
      <c r="F3074" t="s" s="2">
        <f>HYPERLINK("http://ts.21cn.com/tousu/show/id/1370836","http://ts.21cn.com/tousu/show/id/1370836")</f>
      </c>
      <c r="G3074" t="s" s="2">
        <v>17</v>
      </c>
      <c r="H3074" t="s" s="2">
        <v>19</v>
      </c>
      <c r="I3074" t="s" s="2">
        <v>12004</v>
      </c>
      <c r="J3074" t="s" s="2">
        <v>12005</v>
      </c>
      <c r="K3074" t="s" s="2">
        <v>22</v>
      </c>
      <c r="L3074" t="s" s="2">
        <v>22</v>
      </c>
      <c r="M3074" t="s" s="2">
        <v>22</v>
      </c>
    </row>
    <row r="3075" ht="25.0" customHeight="true">
      <c r="A3075" t="s" s="2">
        <v>13</v>
      </c>
      <c r="B3075" t="s" s="2">
        <f>HYPERLINK("http://ts.21cn.com/tousu/show/id/1370833","为自己消费权利申冤")</f>
      </c>
      <c r="C3075" t="s" s="2">
        <v>15</v>
      </c>
      <c r="D3075" t="s" s="2">
        <v>16</v>
      </c>
      <c r="E3075" t="s" s="2">
        <v>17</v>
      </c>
      <c r="F3075" t="s" s="2">
        <f>HYPERLINK("http://ts.21cn.com/tousu/show/id/1370833","http://ts.21cn.com/tousu/show/id/1370833")</f>
      </c>
      <c r="G3075" t="s" s="2">
        <v>17</v>
      </c>
      <c r="H3075" t="s" s="2">
        <v>19</v>
      </c>
      <c r="I3075" t="s" s="2">
        <v>12008</v>
      </c>
      <c r="J3075" t="s" s="2">
        <v>12009</v>
      </c>
      <c r="K3075" t="s" s="2">
        <v>22</v>
      </c>
      <c r="L3075" t="s" s="2">
        <v>22</v>
      </c>
      <c r="M3075" t="s" s="2">
        <v>22</v>
      </c>
    </row>
    <row r="3076" ht="25.0" customHeight="true">
      <c r="A3076" t="s" s="2">
        <v>13</v>
      </c>
      <c r="B3076" t="s" s="2">
        <f>HYPERLINK("http://ts.21cn.com/tousu/show/id/1370834","中汇掌付通扫码收款两天未到账")</f>
      </c>
      <c r="C3076" t="s" s="2">
        <v>52</v>
      </c>
      <c r="D3076" t="s" s="2">
        <v>16</v>
      </c>
      <c r="E3076" t="s" s="2">
        <v>17</v>
      </c>
      <c r="F3076" t="s" s="2">
        <f>HYPERLINK("http://ts.21cn.com/tousu/show/id/1370834","http://ts.21cn.com/tousu/show/id/1370834")</f>
      </c>
      <c r="G3076" t="s" s="2">
        <v>17</v>
      </c>
      <c r="H3076" t="s" s="2">
        <v>19</v>
      </c>
      <c r="I3076" t="s" s="2">
        <v>12012</v>
      </c>
      <c r="J3076" t="s" s="2">
        <v>12013</v>
      </c>
      <c r="K3076" t="s" s="2">
        <v>22</v>
      </c>
      <c r="L3076" t="s" s="2">
        <v>22</v>
      </c>
      <c r="M3076" t="s" s="2">
        <v>22</v>
      </c>
    </row>
    <row r="3077" ht="25.0" customHeight="true">
      <c r="A3077" t="s" s="2">
        <v>13</v>
      </c>
      <c r="B3077" t="s" s="2">
        <f>HYPERLINK("http://ts.21cn.com/tousu/show/id/1370832","我来贷，我来数科")</f>
      </c>
      <c r="C3077" t="s" s="2">
        <v>15</v>
      </c>
      <c r="D3077" t="s" s="2">
        <v>16</v>
      </c>
      <c r="E3077" t="s" s="2">
        <v>17</v>
      </c>
      <c r="F3077" t="s" s="2">
        <f>HYPERLINK("http://ts.21cn.com/tousu/show/id/1370832","http://ts.21cn.com/tousu/show/id/1370832")</f>
      </c>
      <c r="G3077" t="s" s="2">
        <v>17</v>
      </c>
      <c r="H3077" t="s" s="2">
        <v>19</v>
      </c>
      <c r="I3077" t="s" s="2">
        <v>12016</v>
      </c>
      <c r="J3077" t="s" s="2">
        <v>12017</v>
      </c>
      <c r="K3077" t="s" s="2">
        <v>22</v>
      </c>
      <c r="L3077" t="s" s="2">
        <v>22</v>
      </c>
      <c r="M3077" t="s" s="2">
        <v>22</v>
      </c>
    </row>
    <row r="3078" ht="25.0" customHeight="true">
      <c r="A3078" t="s" s="2">
        <v>13</v>
      </c>
      <c r="B3078" t="s" s="2">
        <f>HYPERLINK("http://ts.21cn.com/tousu/show/id/1370831","广发银行信用卡疯狂暴力催收，骚扰家人和通讯录好友，多次故意激怒朋友")</f>
      </c>
      <c r="C3078" t="s" s="2">
        <v>15</v>
      </c>
      <c r="D3078" t="s" s="2">
        <v>16</v>
      </c>
      <c r="E3078" t="s" s="2">
        <v>17</v>
      </c>
      <c r="F3078" t="s" s="2">
        <f>HYPERLINK("http://ts.21cn.com/tousu/show/id/1370831","http://ts.21cn.com/tousu/show/id/1370831")</f>
      </c>
      <c r="G3078" t="s" s="2">
        <v>17</v>
      </c>
      <c r="H3078" t="s" s="2">
        <v>19</v>
      </c>
      <c r="I3078" t="s" s="2">
        <v>12020</v>
      </c>
      <c r="J3078" t="s" s="2">
        <v>12021</v>
      </c>
      <c r="K3078" t="s" s="2">
        <v>22</v>
      </c>
      <c r="L3078" t="s" s="2">
        <v>22</v>
      </c>
      <c r="M3078" t="s" s="2">
        <v>22</v>
      </c>
    </row>
    <row r="3079" ht="25.0" customHeight="true">
      <c r="A3079" t="s" s="2">
        <v>13</v>
      </c>
      <c r="B3079" t="s" s="2">
        <f>HYPERLINK("http://ts.21cn.com/tousu/show/id/1370830","投诉联通和银盈通两家第三方支付与非法公司合作")</f>
      </c>
      <c r="C3079" t="s" s="2">
        <v>15</v>
      </c>
      <c r="D3079" t="s" s="2">
        <v>16</v>
      </c>
      <c r="E3079" t="s" s="2">
        <v>17</v>
      </c>
      <c r="F3079" t="s" s="2">
        <f>HYPERLINK("http://ts.21cn.com/tousu/show/id/1370830","http://ts.21cn.com/tousu/show/id/1370830")</f>
      </c>
      <c r="G3079" t="s" s="2">
        <v>17</v>
      </c>
      <c r="H3079" t="s" s="2">
        <v>19</v>
      </c>
      <c r="I3079" t="s" s="2">
        <v>12024</v>
      </c>
      <c r="J3079" t="s" s="2">
        <v>12025</v>
      </c>
      <c r="K3079" t="s" s="2">
        <v>22</v>
      </c>
      <c r="L3079" t="s" s="2">
        <v>22</v>
      </c>
      <c r="M3079" t="s" s="2">
        <v>22</v>
      </c>
    </row>
    <row r="3080" ht="25.0" customHeight="true">
      <c r="A3080" t="s" s="2">
        <v>13</v>
      </c>
      <c r="B3080" t="s" s="2">
        <f>HYPERLINK("http://ts.21cn.com/tousu/show/id/1370829","OFO小黄车余额退款一直无法联系上客服")</f>
      </c>
      <c r="C3080" t="s" s="2">
        <v>15</v>
      </c>
      <c r="D3080" t="s" s="2">
        <v>16</v>
      </c>
      <c r="E3080" t="s" s="2">
        <v>17</v>
      </c>
      <c r="F3080" t="s" s="2">
        <f>HYPERLINK("http://ts.21cn.com/tousu/show/id/1370829","http://ts.21cn.com/tousu/show/id/1370829")</f>
      </c>
      <c r="G3080" t="s" s="2">
        <v>17</v>
      </c>
      <c r="H3080" t="s" s="2">
        <v>19</v>
      </c>
      <c r="I3080" t="s" s="2">
        <v>12028</v>
      </c>
      <c r="J3080" t="s" s="2">
        <v>12029</v>
      </c>
      <c r="K3080" t="s" s="2">
        <v>22</v>
      </c>
      <c r="L3080" t="s" s="2">
        <v>22</v>
      </c>
      <c r="M3080" t="s" s="2">
        <v>22</v>
      </c>
    </row>
    <row r="3081" ht="25.0" customHeight="true">
      <c r="A3081" t="s" s="2">
        <v>13</v>
      </c>
      <c r="B3081" t="s" s="2">
        <f>HYPERLINK("http://ts.21cn.com/tousu/show/id/1370828","新橙优品暴力催收，恐吓侮辱")</f>
      </c>
      <c r="C3081" t="s" s="2">
        <v>15</v>
      </c>
      <c r="D3081" t="s" s="2">
        <v>16</v>
      </c>
      <c r="E3081" t="s" s="2">
        <v>17</v>
      </c>
      <c r="F3081" t="s" s="2">
        <f>HYPERLINK("http://ts.21cn.com/tousu/show/id/1370828","http://ts.21cn.com/tousu/show/id/1370828")</f>
      </c>
      <c r="G3081" t="s" s="2">
        <v>17</v>
      </c>
      <c r="H3081" t="s" s="2">
        <v>19</v>
      </c>
      <c r="I3081" t="s" s="2">
        <v>12032</v>
      </c>
      <c r="J3081" t="s" s="2">
        <v>12033</v>
      </c>
      <c r="K3081" t="s" s="2">
        <v>22</v>
      </c>
      <c r="L3081" t="s" s="2">
        <v>22</v>
      </c>
      <c r="M3081" t="s" s="2">
        <v>22</v>
      </c>
    </row>
    <row r="3082" ht="25.0" customHeight="true">
      <c r="A3082" t="s" s="2">
        <v>13</v>
      </c>
      <c r="B3082" t="s" s="2">
        <f>HYPERLINK("http://ts.21cn.com/tousu/show/id/1169289","网站推广服务没有履行合同，追究责任")</f>
      </c>
      <c r="C3082" t="s" s="2">
        <v>15</v>
      </c>
      <c r="D3082" t="s" s="2">
        <v>16</v>
      </c>
      <c r="E3082" t="s" s="2">
        <v>17</v>
      </c>
      <c r="F3082" t="s" s="2">
        <f>HYPERLINK("http://ts.21cn.com/tousu/show/id/1169289","http://ts.21cn.com/tousu/show/id/1169289")</f>
      </c>
      <c r="G3082" t="s" s="2">
        <v>17</v>
      </c>
      <c r="H3082" t="s" s="2">
        <v>19</v>
      </c>
      <c r="I3082" t="s" s="2">
        <v>12036</v>
      </c>
      <c r="J3082" t="s" s="2">
        <v>12037</v>
      </c>
      <c r="K3082" t="s" s="2">
        <v>22</v>
      </c>
      <c r="L3082" t="s" s="2">
        <v>22</v>
      </c>
      <c r="M3082" t="s" s="2">
        <v>22</v>
      </c>
    </row>
    <row r="3083" ht="25.0" customHeight="true">
      <c r="A3083" t="s" s="2">
        <v>13</v>
      </c>
      <c r="B3083" t="s" s="2">
        <f>HYPERLINK("http://ts.21cn.com/tousu/show/id/1370825","充话费不到账")</f>
      </c>
      <c r="C3083" t="s" s="2">
        <v>15</v>
      </c>
      <c r="D3083" t="s" s="2">
        <v>16</v>
      </c>
      <c r="E3083" t="s" s="2">
        <v>17</v>
      </c>
      <c r="F3083" t="s" s="2">
        <f>HYPERLINK("http://ts.21cn.com/tousu/show/id/1370825","http://ts.21cn.com/tousu/show/id/1370825")</f>
      </c>
      <c r="G3083" t="s" s="2">
        <v>17</v>
      </c>
      <c r="H3083" t="s" s="2">
        <v>19</v>
      </c>
      <c r="I3083" t="s" s="2">
        <v>12040</v>
      </c>
      <c r="J3083" t="s" s="2">
        <v>12041</v>
      </c>
      <c r="K3083" t="s" s="2">
        <v>22</v>
      </c>
      <c r="L3083" t="s" s="2">
        <v>22</v>
      </c>
      <c r="M3083" t="s" s="2">
        <v>22</v>
      </c>
    </row>
    <row r="3084" ht="25.0" customHeight="true">
      <c r="A3084" t="s" s="2">
        <v>13</v>
      </c>
      <c r="B3084" t="s" s="2">
        <f>HYPERLINK("http://ts.21cn.com/tousu/show/id/1370826","钱站收取高额利息")</f>
      </c>
      <c r="C3084" t="s" s="2">
        <v>15</v>
      </c>
      <c r="D3084" t="s" s="2">
        <v>16</v>
      </c>
      <c r="E3084" t="s" s="2">
        <v>17</v>
      </c>
      <c r="F3084" t="s" s="2">
        <f>HYPERLINK("http://ts.21cn.com/tousu/show/id/1370826","http://ts.21cn.com/tousu/show/id/1370826")</f>
      </c>
      <c r="G3084" t="s" s="2">
        <v>17</v>
      </c>
      <c r="H3084" t="s" s="2">
        <v>19</v>
      </c>
      <c r="I3084" t="s" s="2">
        <v>12044</v>
      </c>
      <c r="J3084" t="s" s="2">
        <v>12045</v>
      </c>
      <c r="K3084" t="s" s="2">
        <v>22</v>
      </c>
      <c r="L3084" t="s" s="2">
        <v>22</v>
      </c>
      <c r="M3084" t="s" s="2">
        <v>22</v>
      </c>
    </row>
    <row r="3085" ht="25.0" customHeight="true">
      <c r="A3085" t="s" s="2">
        <v>13</v>
      </c>
      <c r="B3085" t="s" s="2">
        <f>HYPERLINK("http://ts.21cn.com/tousu/show/id/1370824","没有提示就扣了会员费")</f>
      </c>
      <c r="C3085" t="s" s="2">
        <v>15</v>
      </c>
      <c r="D3085" t="s" s="2">
        <v>16</v>
      </c>
      <c r="E3085" t="s" s="2">
        <v>17</v>
      </c>
      <c r="F3085" t="s" s="2">
        <f>HYPERLINK("http://ts.21cn.com/tousu/show/id/1370824","http://ts.21cn.com/tousu/show/id/1370824")</f>
      </c>
      <c r="G3085" t="s" s="2">
        <v>17</v>
      </c>
      <c r="H3085" t="s" s="2">
        <v>19</v>
      </c>
      <c r="I3085" t="s" s="2">
        <v>12048</v>
      </c>
      <c r="J3085" t="s" s="2">
        <v>12049</v>
      </c>
      <c r="K3085" t="s" s="2">
        <v>22</v>
      </c>
      <c r="L3085" t="s" s="2">
        <v>22</v>
      </c>
      <c r="M3085" t="s" s="2">
        <v>22</v>
      </c>
    </row>
    <row r="3086" ht="25.0" customHeight="true">
      <c r="A3086" t="s" s="2">
        <v>13</v>
      </c>
      <c r="B3086" t="s" s="2">
        <f>HYPERLINK("http://ts.21cn.com/tousu/show/id/1370823","平安普惠i贷恶意催收威胁家人到处都坏别人名声")</f>
      </c>
      <c r="C3086" t="s" s="2">
        <v>15</v>
      </c>
      <c r="D3086" t="s" s="2">
        <v>16</v>
      </c>
      <c r="E3086" t="s" s="2">
        <v>17</v>
      </c>
      <c r="F3086" t="s" s="2">
        <f>HYPERLINK("http://ts.21cn.com/tousu/show/id/1370823","http://ts.21cn.com/tousu/show/id/1370823")</f>
      </c>
      <c r="G3086" t="s" s="2">
        <v>17</v>
      </c>
      <c r="H3086" t="s" s="2">
        <v>19</v>
      </c>
      <c r="I3086" t="s" s="2">
        <v>12052</v>
      </c>
      <c r="J3086" t="s" s="2">
        <v>12053</v>
      </c>
      <c r="K3086" t="s" s="2">
        <v>22</v>
      </c>
      <c r="L3086" t="s" s="2">
        <v>22</v>
      </c>
      <c r="M3086" t="s" s="2">
        <v>22</v>
      </c>
    </row>
    <row r="3087" ht="25.0" customHeight="true">
      <c r="A3087" t="s" s="2">
        <v>13</v>
      </c>
      <c r="B3087" t="s" s="2">
        <f>HYPERLINK("http://ts.21cn.com/tousu/show/id/1370821","宜人贷未借款，超级多诱导借款电话")</f>
      </c>
      <c r="C3087" t="s" s="2">
        <v>15</v>
      </c>
      <c r="D3087" t="s" s="2">
        <v>16</v>
      </c>
      <c r="E3087" t="s" s="2">
        <v>17</v>
      </c>
      <c r="F3087" t="s" s="2">
        <f>HYPERLINK("http://ts.21cn.com/tousu/show/id/1370821","http://ts.21cn.com/tousu/show/id/1370821")</f>
      </c>
      <c r="G3087" t="s" s="2">
        <v>17</v>
      </c>
      <c r="H3087" t="s" s="2">
        <v>19</v>
      </c>
      <c r="I3087" t="s" s="2">
        <v>12056</v>
      </c>
      <c r="J3087" t="s" s="2">
        <v>12057</v>
      </c>
      <c r="K3087" t="s" s="2">
        <v>22</v>
      </c>
      <c r="L3087" t="s" s="2">
        <v>22</v>
      </c>
      <c r="M3087" t="s" s="2">
        <v>22</v>
      </c>
    </row>
    <row r="3088" ht="25.0" customHeight="true">
      <c r="A3088" t="s" s="2">
        <v>13</v>
      </c>
      <c r="B3088" t="s" s="2">
        <f>HYPERLINK("http://ts.21cn.com/tousu/show/id/1370820","小赢卡贷暴力催收，往公司打电话导致被公司开除")</f>
      </c>
      <c r="C3088" t="s" s="2">
        <v>15</v>
      </c>
      <c r="D3088" t="s" s="2">
        <v>16</v>
      </c>
      <c r="E3088" t="s" s="2">
        <v>17</v>
      </c>
      <c r="F3088" t="s" s="2">
        <f>HYPERLINK("http://ts.21cn.com/tousu/show/id/1370820","http://ts.21cn.com/tousu/show/id/1370820")</f>
      </c>
      <c r="G3088" t="s" s="2">
        <v>17</v>
      </c>
      <c r="H3088" t="s" s="2">
        <v>19</v>
      </c>
      <c r="I3088" t="s" s="2">
        <v>12060</v>
      </c>
      <c r="J3088" t="s" s="2">
        <v>12061</v>
      </c>
      <c r="K3088" t="s" s="2">
        <v>22</v>
      </c>
      <c r="L3088" t="s" s="2">
        <v>22</v>
      </c>
      <c r="M3088" t="s" s="2">
        <v>22</v>
      </c>
    </row>
    <row r="3089" ht="25.0" customHeight="true">
      <c r="A3089" t="s" s="2">
        <v>13</v>
      </c>
      <c r="B3089" t="s" s="2">
        <f>HYPERLINK("http://ts.21cn.com/tousu/show/id/1370822","高利贷")</f>
      </c>
      <c r="C3089" t="s" s="2">
        <v>15</v>
      </c>
      <c r="D3089" t="s" s="2">
        <v>16</v>
      </c>
      <c r="E3089" t="s" s="2">
        <v>17</v>
      </c>
      <c r="F3089" t="s" s="2">
        <f>HYPERLINK("http://ts.21cn.com/tousu/show/id/1370822","http://ts.21cn.com/tousu/show/id/1370822")</f>
      </c>
      <c r="G3089" t="s" s="2">
        <v>17</v>
      </c>
      <c r="H3089" t="s" s="2">
        <v>19</v>
      </c>
      <c r="I3089" t="s" s="2">
        <v>12063</v>
      </c>
      <c r="J3089" t="s" s="2">
        <v>12064</v>
      </c>
      <c r="K3089" t="s" s="2">
        <v>22</v>
      </c>
      <c r="L3089" t="s" s="2">
        <v>22</v>
      </c>
      <c r="M3089" t="s" s="2">
        <v>22</v>
      </c>
    </row>
    <row r="3090" ht="25.0" customHeight="true">
      <c r="A3090" t="s" s="2">
        <v>13</v>
      </c>
      <c r="B3090" t="s" s="2">
        <f>HYPERLINK("http://ts.21cn.com/tousu/show/id/1370818","暴力催收")</f>
      </c>
      <c r="C3090" t="s" s="2">
        <v>15</v>
      </c>
      <c r="D3090" t="s" s="2">
        <v>16</v>
      </c>
      <c r="E3090" t="s" s="2">
        <v>17</v>
      </c>
      <c r="F3090" t="s" s="2">
        <f>HYPERLINK("http://ts.21cn.com/tousu/show/id/1370818","http://ts.21cn.com/tousu/show/id/1370818")</f>
      </c>
      <c r="G3090" t="s" s="2">
        <v>17</v>
      </c>
      <c r="H3090" t="s" s="2">
        <v>19</v>
      </c>
      <c r="I3090" t="s" s="2">
        <v>12066</v>
      </c>
      <c r="J3090" t="s" s="2">
        <v>12067</v>
      </c>
      <c r="K3090" t="s" s="2">
        <v>22</v>
      </c>
      <c r="L3090" t="s" s="2">
        <v>22</v>
      </c>
      <c r="M3090" t="s" s="2">
        <v>22</v>
      </c>
    </row>
    <row r="3091" ht="25.0" customHeight="true">
      <c r="A3091" t="s" s="2">
        <v>13</v>
      </c>
      <c r="B3091" t="s" s="2">
        <f>HYPERLINK("http://ts.21cn.com/tousu/show/id/1370817","你我贷暴力催收")</f>
      </c>
      <c r="C3091" t="s" s="2">
        <v>15</v>
      </c>
      <c r="D3091" t="s" s="2">
        <v>16</v>
      </c>
      <c r="E3091" t="s" s="2">
        <v>17</v>
      </c>
      <c r="F3091" t="s" s="2">
        <f>HYPERLINK("http://ts.21cn.com/tousu/show/id/1370817","http://ts.21cn.com/tousu/show/id/1370817")</f>
      </c>
      <c r="G3091" t="s" s="2">
        <v>17</v>
      </c>
      <c r="H3091" t="s" s="2">
        <v>19</v>
      </c>
      <c r="I3091" t="s" s="2">
        <v>12069</v>
      </c>
      <c r="J3091" t="s" s="2">
        <v>12070</v>
      </c>
      <c r="K3091" t="s" s="2">
        <v>22</v>
      </c>
      <c r="L3091" t="s" s="2">
        <v>22</v>
      </c>
      <c r="M3091" t="s" s="2">
        <v>22</v>
      </c>
    </row>
    <row r="3092" ht="25.0" customHeight="true">
      <c r="A3092" t="s" s="2">
        <v>13</v>
      </c>
      <c r="B3092" t="s" s="2">
        <f>HYPERLINK("http://ts.21cn.com/tousu/show/id/1370819","合理协商不要一味恐吓威胁")</f>
      </c>
      <c r="C3092" t="s" s="2">
        <v>15</v>
      </c>
      <c r="D3092" t="s" s="2">
        <v>16</v>
      </c>
      <c r="E3092" t="s" s="2">
        <v>17</v>
      </c>
      <c r="F3092" t="s" s="2">
        <f>HYPERLINK("http://ts.21cn.com/tousu/show/id/1370819","http://ts.21cn.com/tousu/show/id/1370819")</f>
      </c>
      <c r="G3092" t="s" s="2">
        <v>17</v>
      </c>
      <c r="H3092" t="s" s="2">
        <v>19</v>
      </c>
      <c r="I3092" t="s" s="2">
        <v>12073</v>
      </c>
      <c r="J3092" t="s" s="2">
        <v>12074</v>
      </c>
      <c r="K3092" t="s" s="2">
        <v>22</v>
      </c>
      <c r="L3092" t="s" s="2">
        <v>22</v>
      </c>
      <c r="M3092" t="s" s="2">
        <v>22</v>
      </c>
    </row>
    <row r="3093" ht="25.0" customHeight="true">
      <c r="A3093" t="s" s="2">
        <v>13</v>
      </c>
      <c r="B3093" t="s" s="2">
        <f>HYPERLINK("http://ts.21cn.com/tousu/show/id/1370815","中信银行暴力催收")</f>
      </c>
      <c r="C3093" t="s" s="2">
        <v>15</v>
      </c>
      <c r="D3093" t="s" s="2">
        <v>16</v>
      </c>
      <c r="E3093" t="s" s="2">
        <v>17</v>
      </c>
      <c r="F3093" t="s" s="2">
        <f>HYPERLINK("http://ts.21cn.com/tousu/show/id/1370815","http://ts.21cn.com/tousu/show/id/1370815")</f>
      </c>
      <c r="G3093" t="s" s="2">
        <v>17</v>
      </c>
      <c r="H3093" t="s" s="2">
        <v>19</v>
      </c>
      <c r="I3093" t="s" s="2">
        <v>12077</v>
      </c>
      <c r="J3093" t="s" s="2">
        <v>12078</v>
      </c>
      <c r="K3093" t="s" s="2">
        <v>22</v>
      </c>
      <c r="L3093" t="s" s="2">
        <v>22</v>
      </c>
      <c r="M3093" t="s" s="2">
        <v>22</v>
      </c>
    </row>
    <row r="3094" ht="25.0" customHeight="true">
      <c r="A3094" t="s" s="2">
        <v>13</v>
      </c>
      <c r="B3094" t="s" s="2">
        <f>HYPERLINK("http://ts.21cn.com/tousu/show/id/1370814","投诉苏宁拒绝履行承诺")</f>
      </c>
      <c r="C3094" t="s" s="2">
        <v>15</v>
      </c>
      <c r="D3094" t="s" s="2">
        <v>16</v>
      </c>
      <c r="E3094" t="s" s="2">
        <v>17</v>
      </c>
      <c r="F3094" t="s" s="2">
        <f>HYPERLINK("http://ts.21cn.com/tousu/show/id/1370814","http://ts.21cn.com/tousu/show/id/1370814")</f>
      </c>
      <c r="G3094" t="s" s="2">
        <v>17</v>
      </c>
      <c r="H3094" t="s" s="2">
        <v>19</v>
      </c>
      <c r="I3094" t="s" s="2">
        <v>12081</v>
      </c>
      <c r="J3094" t="s" s="2">
        <v>12082</v>
      </c>
      <c r="K3094" t="s" s="2">
        <v>22</v>
      </c>
      <c r="L3094" t="s" s="2">
        <v>22</v>
      </c>
      <c r="M3094" t="s" s="2">
        <v>22</v>
      </c>
    </row>
    <row r="3095" ht="25.0" customHeight="true">
      <c r="A3095" t="s" s="2">
        <v>13</v>
      </c>
      <c r="B3095" t="s" s="2">
        <f>HYPERLINK("http://ts.21cn.com/tousu/show/id/1370813","收费不放款！")</f>
      </c>
      <c r="C3095" t="s" s="2">
        <v>15</v>
      </c>
      <c r="D3095" t="s" s="2">
        <v>16</v>
      </c>
      <c r="E3095" t="s" s="2">
        <v>17</v>
      </c>
      <c r="F3095" t="s" s="2">
        <f>HYPERLINK("http://ts.21cn.com/tousu/show/id/1370813","http://ts.21cn.com/tousu/show/id/1370813")</f>
      </c>
      <c r="G3095" t="s" s="2">
        <v>17</v>
      </c>
      <c r="H3095" t="s" s="2">
        <v>19</v>
      </c>
      <c r="I3095" t="s" s="2">
        <v>12085</v>
      </c>
      <c r="J3095" t="s" s="2">
        <v>12086</v>
      </c>
      <c r="K3095" t="s" s="2">
        <v>22</v>
      </c>
      <c r="L3095" t="s" s="2">
        <v>22</v>
      </c>
      <c r="M3095" t="s" s="2">
        <v>22</v>
      </c>
    </row>
    <row r="3096" ht="25.0" customHeight="true">
      <c r="A3096" t="s" s="2">
        <v>13</v>
      </c>
      <c r="B3096" t="s" s="2">
        <f>HYPERLINK("http://ts.21cn.com/tousu/show/id/1370811","洋钱罐现金借款一直打电话逼我，刚才有给我打了。我都录音了")</f>
      </c>
      <c r="C3096" t="s" s="2">
        <v>15</v>
      </c>
      <c r="D3096" t="s" s="2">
        <v>16</v>
      </c>
      <c r="E3096" t="s" s="2">
        <v>17</v>
      </c>
      <c r="F3096" t="s" s="2">
        <f>HYPERLINK("http://ts.21cn.com/tousu/show/id/1370811","http://ts.21cn.com/tousu/show/id/1370811")</f>
      </c>
      <c r="G3096" t="s" s="2">
        <v>17</v>
      </c>
      <c r="H3096" t="s" s="2">
        <v>19</v>
      </c>
      <c r="I3096" t="s" s="2">
        <v>12089</v>
      </c>
      <c r="J3096" t="s" s="2">
        <v>12090</v>
      </c>
      <c r="K3096" t="s" s="2">
        <v>22</v>
      </c>
      <c r="L3096" t="s" s="2">
        <v>22</v>
      </c>
      <c r="M3096" t="s" s="2">
        <v>22</v>
      </c>
    </row>
    <row r="3097" ht="25.0" customHeight="true">
      <c r="A3097" t="s" s="2">
        <v>13</v>
      </c>
      <c r="B3097" t="s" s="2">
        <f>HYPERLINK("http://ts.21cn.com/tousu/show/id/1370810","拍拍贷收取高额利息")</f>
      </c>
      <c r="C3097" t="s" s="2">
        <v>15</v>
      </c>
      <c r="D3097" t="s" s="2">
        <v>16</v>
      </c>
      <c r="E3097" t="s" s="2">
        <v>17</v>
      </c>
      <c r="F3097" t="s" s="2">
        <f>HYPERLINK("http://ts.21cn.com/tousu/show/id/1370810","http://ts.21cn.com/tousu/show/id/1370810")</f>
      </c>
      <c r="G3097" t="s" s="2">
        <v>17</v>
      </c>
      <c r="H3097" t="s" s="2">
        <v>19</v>
      </c>
      <c r="I3097" t="s" s="2">
        <v>12093</v>
      </c>
      <c r="J3097" t="s" s="2">
        <v>12094</v>
      </c>
      <c r="K3097" t="s" s="2">
        <v>22</v>
      </c>
      <c r="L3097" t="s" s="2">
        <v>22</v>
      </c>
      <c r="M3097" t="s" s="2">
        <v>22</v>
      </c>
    </row>
    <row r="3098" ht="25.0" customHeight="true">
      <c r="A3098" t="s" s="2">
        <v>13</v>
      </c>
      <c r="B3098" t="s" s="2">
        <f>HYPERLINK("http://ts.21cn.com/tousu/show/id/1370809","好分期阴阳合同高利贷")</f>
      </c>
      <c r="C3098" t="s" s="2">
        <v>15</v>
      </c>
      <c r="D3098" t="s" s="2">
        <v>16</v>
      </c>
      <c r="E3098" t="s" s="2">
        <v>17</v>
      </c>
      <c r="F3098" t="s" s="2">
        <f>HYPERLINK("http://ts.21cn.com/tousu/show/id/1370809","http://ts.21cn.com/tousu/show/id/1370809")</f>
      </c>
      <c r="G3098" t="s" s="2">
        <v>17</v>
      </c>
      <c r="H3098" t="s" s="2">
        <v>19</v>
      </c>
      <c r="I3098" t="s" s="2">
        <v>12097</v>
      </c>
      <c r="J3098" t="s" s="2">
        <v>12098</v>
      </c>
      <c r="K3098" t="s" s="2">
        <v>22</v>
      </c>
      <c r="L3098" t="s" s="2">
        <v>22</v>
      </c>
      <c r="M3098" t="s" s="2">
        <v>22</v>
      </c>
    </row>
    <row r="3099" ht="25.0" customHeight="true">
      <c r="A3099" t="s" s="2">
        <v>13</v>
      </c>
      <c r="B3099" t="s" s="2">
        <f>HYPERLINK("http://ts.21cn.com/tousu/show/id/1370808","高利贷")</f>
      </c>
      <c r="C3099" t="s" s="2">
        <v>15</v>
      </c>
      <c r="D3099" t="s" s="2">
        <v>16</v>
      </c>
      <c r="E3099" t="s" s="2">
        <v>17</v>
      </c>
      <c r="F3099" t="s" s="2">
        <f>HYPERLINK("http://ts.21cn.com/tousu/show/id/1370808","http://ts.21cn.com/tousu/show/id/1370808")</f>
      </c>
      <c r="G3099" t="s" s="2">
        <v>17</v>
      </c>
      <c r="H3099" t="s" s="2">
        <v>19</v>
      </c>
      <c r="I3099" t="s" s="2">
        <v>12100</v>
      </c>
      <c r="J3099" t="s" s="2">
        <v>12101</v>
      </c>
      <c r="K3099" t="s" s="2">
        <v>22</v>
      </c>
      <c r="L3099" t="s" s="2">
        <v>22</v>
      </c>
      <c r="M3099" t="s" s="2">
        <v>22</v>
      </c>
    </row>
    <row r="3100" ht="25.0" customHeight="true">
      <c r="A3100" t="s" s="2">
        <v>13</v>
      </c>
      <c r="B3100" t="s" s="2">
        <f>HYPERLINK("http://ts.21cn.com/tousu/show/id/1370807","变相收取保险费利息费")</f>
      </c>
      <c r="C3100" t="s" s="2">
        <v>15</v>
      </c>
      <c r="D3100" t="s" s="2">
        <v>16</v>
      </c>
      <c r="E3100" t="s" s="2">
        <v>17</v>
      </c>
      <c r="F3100" t="s" s="2">
        <f>HYPERLINK("http://ts.21cn.com/tousu/show/id/1370807","http://ts.21cn.com/tousu/show/id/1370807")</f>
      </c>
      <c r="G3100" t="s" s="2">
        <v>17</v>
      </c>
      <c r="H3100" t="s" s="2">
        <v>19</v>
      </c>
      <c r="I3100" t="s" s="2">
        <v>12104</v>
      </c>
      <c r="J3100" t="s" s="2">
        <v>12105</v>
      </c>
      <c r="K3100" t="s" s="2">
        <v>22</v>
      </c>
      <c r="L3100" t="s" s="2">
        <v>22</v>
      </c>
      <c r="M3100" t="s" s="2">
        <v>22</v>
      </c>
    </row>
    <row r="3101" ht="25.0" customHeight="true">
      <c r="A3101" t="s" s="2">
        <v>13</v>
      </c>
      <c r="B3101" t="s" s="2">
        <f>HYPERLINK("http://ts.21cn.com/tousu/show/id/1370806","恒昌公司旗下恒易贷合同金额远高于实际借款金额")</f>
      </c>
      <c r="C3101" t="s" s="2">
        <v>15</v>
      </c>
      <c r="D3101" t="s" s="2">
        <v>16</v>
      </c>
      <c r="E3101" t="s" s="2">
        <v>17</v>
      </c>
      <c r="F3101" t="s" s="2">
        <f>HYPERLINK("http://ts.21cn.com/tousu/show/id/1370806","http://ts.21cn.com/tousu/show/id/1370806")</f>
      </c>
      <c r="G3101" t="s" s="2">
        <v>17</v>
      </c>
      <c r="H3101" t="s" s="2">
        <v>19</v>
      </c>
      <c r="I3101" t="s" s="2">
        <v>12107</v>
      </c>
      <c r="J3101" t="s" s="2">
        <v>12108</v>
      </c>
      <c r="K3101" t="s" s="2">
        <v>22</v>
      </c>
      <c r="L3101" t="s" s="2">
        <v>22</v>
      </c>
      <c r="M3101" t="s" s="2">
        <v>22</v>
      </c>
    </row>
    <row r="3102" ht="25.0" customHeight="true">
      <c r="A3102" t="s" s="2">
        <v>13</v>
      </c>
      <c r="B3102" t="s" s="2">
        <f>HYPERLINK("http://ts.21cn.com/tousu/show/id/1370803","立借今天是还款日，就开始给通讯录打电话")</f>
      </c>
      <c r="C3102" t="s" s="2">
        <v>15</v>
      </c>
      <c r="D3102" t="s" s="2">
        <v>16</v>
      </c>
      <c r="E3102" t="s" s="2">
        <v>17</v>
      </c>
      <c r="F3102" t="s" s="2">
        <f>HYPERLINK("http://ts.21cn.com/tousu/show/id/1370803","http://ts.21cn.com/tousu/show/id/1370803")</f>
      </c>
      <c r="G3102" t="s" s="2">
        <v>17</v>
      </c>
      <c r="H3102" t="s" s="2">
        <v>19</v>
      </c>
      <c r="I3102" t="s" s="2">
        <v>12111</v>
      </c>
      <c r="J3102" t="s" s="2">
        <v>12112</v>
      </c>
      <c r="K3102" t="s" s="2">
        <v>22</v>
      </c>
      <c r="L3102" t="s" s="2">
        <v>22</v>
      </c>
      <c r="M3102" t="s" s="2">
        <v>22</v>
      </c>
    </row>
    <row r="3103" ht="25.0" customHeight="true">
      <c r="A3103" t="s" s="2">
        <v>13</v>
      </c>
      <c r="B3103" t="s" s="2">
        <f>HYPERLINK("http://ts.21cn.com/tousu/show/id/1370805","我来贷平台高利息")</f>
      </c>
      <c r="C3103" t="s" s="2">
        <v>52</v>
      </c>
      <c r="D3103" t="s" s="2">
        <v>16</v>
      </c>
      <c r="E3103" t="s" s="2">
        <v>17</v>
      </c>
      <c r="F3103" t="s" s="2">
        <f>HYPERLINK("http://ts.21cn.com/tousu/show/id/1370805","http://ts.21cn.com/tousu/show/id/1370805")</f>
      </c>
      <c r="G3103" t="s" s="2">
        <v>17</v>
      </c>
      <c r="H3103" t="s" s="2">
        <v>19</v>
      </c>
      <c r="I3103" t="s" s="2">
        <v>12115</v>
      </c>
      <c r="J3103" t="s" s="2">
        <v>12116</v>
      </c>
      <c r="K3103" t="s" s="2">
        <v>22</v>
      </c>
      <c r="L3103" t="s" s="2">
        <v>22</v>
      </c>
      <c r="M3103" t="s" s="2">
        <v>22</v>
      </c>
    </row>
    <row r="3104" ht="25.0" customHeight="true">
      <c r="A3104" t="s" s="2">
        <v>13</v>
      </c>
      <c r="B3104" t="s" s="2">
        <f>HYPERLINK("http://ts.21cn.com/tousu/show/id/1370804","网约车驾驶员证，滴滴超过14个工作日不给审核验真通过")</f>
      </c>
      <c r="C3104" t="s" s="2">
        <v>15</v>
      </c>
      <c r="D3104" t="s" s="2">
        <v>16</v>
      </c>
      <c r="E3104" t="s" s="2">
        <v>17</v>
      </c>
      <c r="F3104" t="s" s="2">
        <f>HYPERLINK("http://ts.21cn.com/tousu/show/id/1370804","http://ts.21cn.com/tousu/show/id/1370804")</f>
      </c>
      <c r="G3104" t="s" s="2">
        <v>17</v>
      </c>
      <c r="H3104" t="s" s="2">
        <v>19</v>
      </c>
      <c r="I3104" t="s" s="2">
        <v>12119</v>
      </c>
      <c r="J3104" t="s" s="2">
        <v>12120</v>
      </c>
      <c r="K3104" t="s" s="2">
        <v>22</v>
      </c>
      <c r="L3104" t="s" s="2">
        <v>22</v>
      </c>
      <c r="M3104" t="s" s="2">
        <v>22</v>
      </c>
    </row>
    <row r="3105" ht="25.0" customHeight="true">
      <c r="A3105" t="s" s="2">
        <v>13</v>
      </c>
      <c r="B3105" t="s" s="2">
        <f>HYPERLINK("http://ts.21cn.com/tousu/show/id/1370802","拍拍贷暴力催收")</f>
      </c>
      <c r="C3105" t="s" s="2">
        <v>15</v>
      </c>
      <c r="D3105" t="s" s="2">
        <v>16</v>
      </c>
      <c r="E3105" t="s" s="2">
        <v>17</v>
      </c>
      <c r="F3105" t="s" s="2">
        <f>HYPERLINK("http://ts.21cn.com/tousu/show/id/1370802","http://ts.21cn.com/tousu/show/id/1370802")</f>
      </c>
      <c r="G3105" t="s" s="2">
        <v>17</v>
      </c>
      <c r="H3105" t="s" s="2">
        <v>19</v>
      </c>
      <c r="I3105" t="s" s="2">
        <v>12122</v>
      </c>
      <c r="J3105" t="s" s="2">
        <v>12123</v>
      </c>
      <c r="K3105" t="s" s="2">
        <v>22</v>
      </c>
      <c r="L3105" t="s" s="2">
        <v>22</v>
      </c>
      <c r="M3105" t="s" s="2">
        <v>22</v>
      </c>
    </row>
    <row r="3106" ht="25.0" customHeight="true">
      <c r="A3106" t="s" s="2">
        <v>13</v>
      </c>
      <c r="B3106" t="s" s="2">
        <f>HYPERLINK("http://ts.21cn.com/tousu/show/id/1370800","office365家庭版试用结束后，自动扣费498元")</f>
      </c>
      <c r="C3106" t="s" s="2">
        <v>15</v>
      </c>
      <c r="D3106" t="s" s="2">
        <v>16</v>
      </c>
      <c r="E3106" t="s" s="2">
        <v>17</v>
      </c>
      <c r="F3106" t="s" s="2">
        <f>HYPERLINK("http://ts.21cn.com/tousu/show/id/1370800","http://ts.21cn.com/tousu/show/id/1370800")</f>
      </c>
      <c r="G3106" t="s" s="2">
        <v>17</v>
      </c>
      <c r="H3106" t="s" s="2">
        <v>19</v>
      </c>
      <c r="I3106" t="s" s="2">
        <v>12126</v>
      </c>
      <c r="J3106" t="s" s="2">
        <v>12127</v>
      </c>
      <c r="K3106" t="s" s="2">
        <v>22</v>
      </c>
      <c r="L3106" t="s" s="2">
        <v>22</v>
      </c>
      <c r="M3106" t="s" s="2">
        <v>22</v>
      </c>
    </row>
    <row r="3107" ht="25.0" customHeight="true">
      <c r="A3107" t="s" s="2">
        <v>13</v>
      </c>
      <c r="B3107" t="s" s="2">
        <f>HYPERLINK("http://ts.21cn.com/tousu/show/id/1370801","拍拍贷骚扰无关人员")</f>
      </c>
      <c r="C3107" t="s" s="2">
        <v>15</v>
      </c>
      <c r="D3107" t="s" s="2">
        <v>16</v>
      </c>
      <c r="E3107" t="s" s="2">
        <v>17</v>
      </c>
      <c r="F3107" t="s" s="2">
        <f>HYPERLINK("http://ts.21cn.com/tousu/show/id/1370801","http://ts.21cn.com/tousu/show/id/1370801")</f>
      </c>
      <c r="G3107" t="s" s="2">
        <v>17</v>
      </c>
      <c r="H3107" t="s" s="2">
        <v>19</v>
      </c>
      <c r="I3107" t="s" s="2">
        <v>12130</v>
      </c>
      <c r="J3107" t="s" s="2">
        <v>12131</v>
      </c>
      <c r="K3107" t="s" s="2">
        <v>22</v>
      </c>
      <c r="L3107" t="s" s="2">
        <v>22</v>
      </c>
      <c r="M3107" t="s" s="2">
        <v>22</v>
      </c>
    </row>
    <row r="3108" ht="25.0" customHeight="true">
      <c r="A3108" t="s" s="2">
        <v>13</v>
      </c>
      <c r="B3108" t="s" s="2">
        <f>HYPERLINK("http://ts.21cn.com/tousu/show/id/1370799","my钱包高利贷威胁，高额利息")</f>
      </c>
      <c r="C3108" t="s" s="2">
        <v>15</v>
      </c>
      <c r="D3108" t="s" s="2">
        <v>16</v>
      </c>
      <c r="E3108" t="s" s="2">
        <v>17</v>
      </c>
      <c r="F3108" t="s" s="2">
        <f>HYPERLINK("http://ts.21cn.com/tousu/show/id/1370799","http://ts.21cn.com/tousu/show/id/1370799")</f>
      </c>
      <c r="G3108" t="s" s="2">
        <v>17</v>
      </c>
      <c r="H3108" t="s" s="2">
        <v>19</v>
      </c>
      <c r="I3108" t="s" s="2">
        <v>12134</v>
      </c>
      <c r="J3108" t="s" s="2">
        <v>12135</v>
      </c>
      <c r="K3108" t="s" s="2">
        <v>22</v>
      </c>
      <c r="L3108" t="s" s="2">
        <v>22</v>
      </c>
      <c r="M3108" t="s" s="2">
        <v>22</v>
      </c>
    </row>
    <row r="3109" ht="25.0" customHeight="true">
      <c r="A3109" t="s" s="2">
        <v>13</v>
      </c>
      <c r="B3109" t="s" s="2">
        <f>HYPERLINK("http://ts.21cn.com/tousu/show/id/1370797","闪电借款恶意性骚扰")</f>
      </c>
      <c r="C3109" t="s" s="2">
        <v>15</v>
      </c>
      <c r="D3109" t="s" s="2">
        <v>16</v>
      </c>
      <c r="E3109" t="s" s="2">
        <v>17</v>
      </c>
      <c r="F3109" t="s" s="2">
        <f>HYPERLINK("http://ts.21cn.com/tousu/show/id/1370797","http://ts.21cn.com/tousu/show/id/1370797")</f>
      </c>
      <c r="G3109" t="s" s="2">
        <v>17</v>
      </c>
      <c r="H3109" t="s" s="2">
        <v>19</v>
      </c>
      <c r="I3109" t="s" s="2">
        <v>12137</v>
      </c>
      <c r="J3109" t="s" s="2">
        <v>12138</v>
      </c>
      <c r="K3109" t="s" s="2">
        <v>22</v>
      </c>
      <c r="L3109" t="s" s="2">
        <v>22</v>
      </c>
      <c r="M3109" t="s" s="2">
        <v>22</v>
      </c>
    </row>
    <row r="3110" ht="25.0" customHeight="true">
      <c r="A3110" t="s" s="2">
        <v>13</v>
      </c>
      <c r="B3110" t="s" s="2">
        <f>HYPERLINK("http://ts.21cn.com/tousu/show/id/1370796","你我贷给大学生放款暴力催收高利贷")</f>
      </c>
      <c r="C3110" t="s" s="2">
        <v>15</v>
      </c>
      <c r="D3110" t="s" s="2">
        <v>16</v>
      </c>
      <c r="E3110" t="s" s="2">
        <v>17</v>
      </c>
      <c r="F3110" t="s" s="2">
        <f>HYPERLINK("http://ts.21cn.com/tousu/show/id/1370796","http://ts.21cn.com/tousu/show/id/1370796")</f>
      </c>
      <c r="G3110" t="s" s="2">
        <v>17</v>
      </c>
      <c r="H3110" t="s" s="2">
        <v>19</v>
      </c>
      <c r="I3110" t="s" s="2">
        <v>12141</v>
      </c>
      <c r="J3110" t="s" s="2">
        <v>12142</v>
      </c>
      <c r="K3110" t="s" s="2">
        <v>22</v>
      </c>
      <c r="L3110" t="s" s="2">
        <v>22</v>
      </c>
      <c r="M3110" t="s" s="2">
        <v>22</v>
      </c>
    </row>
    <row r="3111" ht="25.0" customHeight="true">
      <c r="A3111" t="s" s="2">
        <v>13</v>
      </c>
      <c r="B3111" t="s" s="2">
        <f>HYPERLINK("http://ts.21cn.com/tousu/show/id/1370795","交通银行窃取隐私")</f>
      </c>
      <c r="C3111" t="s" s="2">
        <v>15</v>
      </c>
      <c r="D3111" t="s" s="2">
        <v>16</v>
      </c>
      <c r="E3111" t="s" s="2">
        <v>17</v>
      </c>
      <c r="F3111" t="s" s="2">
        <f>HYPERLINK("http://ts.21cn.com/tousu/show/id/1370795","http://ts.21cn.com/tousu/show/id/1370795")</f>
      </c>
      <c r="G3111" t="s" s="2">
        <v>17</v>
      </c>
      <c r="H3111" t="s" s="2">
        <v>19</v>
      </c>
      <c r="I3111" t="s" s="2">
        <v>12145</v>
      </c>
      <c r="J3111" t="s" s="2">
        <v>12146</v>
      </c>
      <c r="K3111" t="s" s="2">
        <v>22</v>
      </c>
      <c r="L3111" t="s" s="2">
        <v>22</v>
      </c>
      <c r="M3111" t="s" s="2">
        <v>22</v>
      </c>
    </row>
    <row r="3112" ht="25.0" customHeight="true">
      <c r="A3112" t="s" s="2">
        <v>13</v>
      </c>
      <c r="B3112" t="s" s="2">
        <f>HYPERLINK("http://ts.21cn.com/tousu/show/id/1370756","富勤金融汽车抵押贷款砍头息")</f>
      </c>
      <c r="C3112" t="s" s="2">
        <v>15</v>
      </c>
      <c r="D3112" t="s" s="2">
        <v>16</v>
      </c>
      <c r="E3112" t="s" s="2">
        <v>17</v>
      </c>
      <c r="F3112" t="s" s="2">
        <f>HYPERLINK("http://ts.21cn.com/tousu/show/id/1370756","http://ts.21cn.com/tousu/show/id/1370756")</f>
      </c>
      <c r="G3112" t="s" s="2">
        <v>17</v>
      </c>
      <c r="H3112" t="s" s="2">
        <v>19</v>
      </c>
      <c r="I3112" t="s" s="2">
        <v>12149</v>
      </c>
      <c r="J3112" t="s" s="2">
        <v>12150</v>
      </c>
      <c r="K3112" t="s" s="2">
        <v>22</v>
      </c>
      <c r="L3112" t="s" s="2">
        <v>22</v>
      </c>
      <c r="M3112" t="s" s="2">
        <v>22</v>
      </c>
    </row>
    <row r="3113" ht="25.0" customHeight="true">
      <c r="A3113" t="s" s="2">
        <v>13</v>
      </c>
      <c r="B3113" t="s" s="2">
        <f>HYPERLINK("http://ts.21cn.com/tousu/show/id/1370794","嗨包爆我通讯录，发短信威胁")</f>
      </c>
      <c r="C3113" t="s" s="2">
        <v>15</v>
      </c>
      <c r="D3113" t="s" s="2">
        <v>16</v>
      </c>
      <c r="E3113" t="s" s="2">
        <v>17</v>
      </c>
      <c r="F3113" t="s" s="2">
        <f>HYPERLINK("http://ts.21cn.com/tousu/show/id/1370794","http://ts.21cn.com/tousu/show/id/1370794")</f>
      </c>
      <c r="G3113" t="s" s="2">
        <v>17</v>
      </c>
      <c r="H3113" t="s" s="2">
        <v>19</v>
      </c>
      <c r="I3113" t="s" s="2">
        <v>12153</v>
      </c>
      <c r="J3113" t="s" s="2">
        <v>12154</v>
      </c>
      <c r="K3113" t="s" s="2">
        <v>22</v>
      </c>
      <c r="L3113" t="s" s="2">
        <v>22</v>
      </c>
      <c r="M3113" t="s" s="2">
        <v>22</v>
      </c>
    </row>
    <row r="3114" ht="25.0" customHeight="true">
      <c r="A3114" t="s" s="2">
        <v>13</v>
      </c>
      <c r="B3114" t="s" s="2">
        <f>HYPERLINK("http://ts.21cn.com/tousu/show/id/1370792","黑心网贷，轻周转")</f>
      </c>
      <c r="C3114" t="s" s="2">
        <v>15</v>
      </c>
      <c r="D3114" t="s" s="2">
        <v>16</v>
      </c>
      <c r="E3114" t="s" s="2">
        <v>17</v>
      </c>
      <c r="F3114" t="s" s="2">
        <f>HYPERLINK("http://ts.21cn.com/tousu/show/id/1370792","http://ts.21cn.com/tousu/show/id/1370792")</f>
      </c>
      <c r="G3114" t="s" s="2">
        <v>17</v>
      </c>
      <c r="H3114" t="s" s="2">
        <v>19</v>
      </c>
      <c r="I3114" t="s" s="2">
        <v>12157</v>
      </c>
      <c r="J3114" t="s" s="2">
        <v>12158</v>
      </c>
      <c r="K3114" t="s" s="2">
        <v>22</v>
      </c>
      <c r="L3114" t="s" s="2">
        <v>22</v>
      </c>
      <c r="M3114" t="s" s="2">
        <v>22</v>
      </c>
    </row>
    <row r="3115" ht="25.0" customHeight="true">
      <c r="A3115" t="s" s="2">
        <v>13</v>
      </c>
      <c r="B3115" t="s" s="2">
        <f>HYPERLINK("http://ts.21cn.com/tousu/show/id/1370793","黑心商家蜗牛移动下单买卡一个月不发货，公众号不回复，客服打不进去，")</f>
      </c>
      <c r="C3115" t="s" s="2">
        <v>15</v>
      </c>
      <c r="D3115" t="s" s="2">
        <v>16</v>
      </c>
      <c r="E3115" t="s" s="2">
        <v>17</v>
      </c>
      <c r="F3115" t="s" s="2">
        <f>HYPERLINK("http://ts.21cn.com/tousu/show/id/1370793","http://ts.21cn.com/tousu/show/id/1370793")</f>
      </c>
      <c r="G3115" t="s" s="2">
        <v>17</v>
      </c>
      <c r="H3115" t="s" s="2">
        <v>19</v>
      </c>
      <c r="I3115" t="s" s="2">
        <v>12161</v>
      </c>
      <c r="J3115" t="s" s="2">
        <v>12162</v>
      </c>
      <c r="K3115" t="s" s="2">
        <v>22</v>
      </c>
      <c r="L3115" t="s" s="2">
        <v>22</v>
      </c>
      <c r="M3115" t="s" s="2">
        <v>22</v>
      </c>
    </row>
    <row r="3116" ht="25.0" customHeight="true">
      <c r="A3116" t="s" s="2">
        <v>13</v>
      </c>
      <c r="B3116" t="s" s="2">
        <f>HYPERLINK("http://ts.21cn.com/tousu/show/id/1370791","叉叉ipa精灵不退款,退款难")</f>
      </c>
      <c r="C3116" t="s" s="2">
        <v>15</v>
      </c>
      <c r="D3116" t="s" s="2">
        <v>16</v>
      </c>
      <c r="E3116" t="s" s="2">
        <v>17</v>
      </c>
      <c r="F3116" t="s" s="2">
        <f>HYPERLINK("http://ts.21cn.com/tousu/show/id/1370791","http://ts.21cn.com/tousu/show/id/1370791")</f>
      </c>
      <c r="G3116" t="s" s="2">
        <v>17</v>
      </c>
      <c r="H3116" t="s" s="2">
        <v>19</v>
      </c>
      <c r="I3116" t="s" s="2">
        <v>12164</v>
      </c>
      <c r="J3116" t="s" s="2">
        <v>12165</v>
      </c>
      <c r="K3116" t="s" s="2">
        <v>22</v>
      </c>
      <c r="L3116" t="s" s="2">
        <v>22</v>
      </c>
      <c r="M3116" t="s" s="2">
        <v>22</v>
      </c>
    </row>
    <row r="3117" ht="25.0" customHeight="true">
      <c r="A3117" t="s" s="2">
        <v>13</v>
      </c>
      <c r="B3117" t="s" s="2">
        <f>HYPERLINK("http://ts.21cn.com/tousu/show/id/1370790","及贷无缘无故买了个会员，不解决会员问题，一直给我算逾期费，打人工服务没有人")</f>
      </c>
      <c r="C3117" t="s" s="2">
        <v>15</v>
      </c>
      <c r="D3117" t="s" s="2">
        <v>16</v>
      </c>
      <c r="E3117" t="s" s="2">
        <v>17</v>
      </c>
      <c r="F3117" t="s" s="2">
        <f>HYPERLINK("http://ts.21cn.com/tousu/show/id/1370790","http://ts.21cn.com/tousu/show/id/1370790")</f>
      </c>
      <c r="G3117" t="s" s="2">
        <v>17</v>
      </c>
      <c r="H3117" t="s" s="2">
        <v>19</v>
      </c>
      <c r="I3117" t="s" s="2">
        <v>12168</v>
      </c>
      <c r="J3117" t="s" s="2">
        <v>12169</v>
      </c>
      <c r="K3117" t="s" s="2">
        <v>22</v>
      </c>
      <c r="L3117" t="s" s="2">
        <v>22</v>
      </c>
      <c r="M3117" t="s" s="2">
        <v>22</v>
      </c>
    </row>
    <row r="3118" ht="25.0" customHeight="true">
      <c r="A3118" t="s" s="2">
        <v>13</v>
      </c>
      <c r="B3118" t="s" s="2">
        <f>HYPERLINK("http://ts.21cn.com/tousu/show/id/1370789","智行火车票误导人使用加速包")</f>
      </c>
      <c r="C3118" t="s" s="2">
        <v>15</v>
      </c>
      <c r="D3118" t="s" s="2">
        <v>16</v>
      </c>
      <c r="E3118" t="s" s="2">
        <v>17</v>
      </c>
      <c r="F3118" t="s" s="2">
        <f>HYPERLINK("http://ts.21cn.com/tousu/show/id/1370789","http://ts.21cn.com/tousu/show/id/1370789")</f>
      </c>
      <c r="G3118" t="s" s="2">
        <v>17</v>
      </c>
      <c r="H3118" t="s" s="2">
        <v>19</v>
      </c>
      <c r="I3118" t="s" s="2">
        <v>12172</v>
      </c>
      <c r="J3118" t="s" s="2">
        <v>12173</v>
      </c>
      <c r="K3118" t="s" s="2">
        <v>22</v>
      </c>
      <c r="L3118" t="s" s="2">
        <v>22</v>
      </c>
      <c r="M3118" t="s" s="2">
        <v>22</v>
      </c>
    </row>
    <row r="3119" ht="25.0" customHeight="true">
      <c r="A3119" t="s" s="2">
        <v>13</v>
      </c>
      <c r="B3119" t="s" s="2">
        <f>HYPERLINK("http://ts.21cn.com/tousu/show/id/1370788","凡普金科旗下钱站app暴力催收")</f>
      </c>
      <c r="C3119" t="s" s="2">
        <v>15</v>
      </c>
      <c r="D3119" t="s" s="2">
        <v>16</v>
      </c>
      <c r="E3119" t="s" s="2">
        <v>17</v>
      </c>
      <c r="F3119" t="s" s="2">
        <f>HYPERLINK("http://ts.21cn.com/tousu/show/id/1370788","http://ts.21cn.com/tousu/show/id/1370788")</f>
      </c>
      <c r="G3119" t="s" s="2">
        <v>17</v>
      </c>
      <c r="H3119" t="s" s="2">
        <v>19</v>
      </c>
      <c r="I3119" t="s" s="2">
        <v>12176</v>
      </c>
      <c r="J3119" t="s" s="2">
        <v>12177</v>
      </c>
      <c r="K3119" t="s" s="2">
        <v>22</v>
      </c>
      <c r="L3119" t="s" s="2">
        <v>22</v>
      </c>
      <c r="M3119" t="s" s="2">
        <v>22</v>
      </c>
    </row>
    <row r="3120" ht="25.0" customHeight="true">
      <c r="A3120" t="s" s="2">
        <v>13</v>
      </c>
      <c r="B3120" t="s" s="2">
        <f>HYPERLINK("http://ts.21cn.com/tousu/show/id/1370787","钱掌柜暴力催收态度极其恶劣")</f>
      </c>
      <c r="C3120" t="s" s="2">
        <v>15</v>
      </c>
      <c r="D3120" t="s" s="2">
        <v>16</v>
      </c>
      <c r="E3120" t="s" s="2">
        <v>17</v>
      </c>
      <c r="F3120" t="s" s="2">
        <f>HYPERLINK("http://ts.21cn.com/tousu/show/id/1370787","http://ts.21cn.com/tousu/show/id/1370787")</f>
      </c>
      <c r="G3120" t="s" s="2">
        <v>17</v>
      </c>
      <c r="H3120" t="s" s="2">
        <v>19</v>
      </c>
      <c r="I3120" t="s" s="2">
        <v>12180</v>
      </c>
      <c r="J3120" t="s" s="2">
        <v>7613</v>
      </c>
      <c r="K3120" t="s" s="2">
        <v>22</v>
      </c>
      <c r="L3120" t="s" s="2">
        <v>22</v>
      </c>
      <c r="M3120" t="s" s="2">
        <v>22</v>
      </c>
    </row>
    <row r="3121" ht="25.0" customHeight="true">
      <c r="A3121" t="s" s="2">
        <v>13</v>
      </c>
      <c r="B3121" t="s" s="2">
        <f>HYPERLINK("http://ts.21cn.com/tousu/show/id/1370785","现金巴士暴力催收，态度恶略")</f>
      </c>
      <c r="C3121" t="s" s="2">
        <v>15</v>
      </c>
      <c r="D3121" t="s" s="2">
        <v>16</v>
      </c>
      <c r="E3121" t="s" s="2">
        <v>17</v>
      </c>
      <c r="F3121" t="s" s="2">
        <f>HYPERLINK("http://ts.21cn.com/tousu/show/id/1370785","http://ts.21cn.com/tousu/show/id/1370785")</f>
      </c>
      <c r="G3121" t="s" s="2">
        <v>17</v>
      </c>
      <c r="H3121" t="s" s="2">
        <v>19</v>
      </c>
      <c r="I3121" t="s" s="2">
        <v>12183</v>
      </c>
      <c r="J3121" t="s" s="2">
        <v>12184</v>
      </c>
      <c r="K3121" t="s" s="2">
        <v>22</v>
      </c>
      <c r="L3121" t="s" s="2">
        <v>22</v>
      </c>
      <c r="M3121" t="s" s="2">
        <v>22</v>
      </c>
    </row>
    <row r="3122" ht="25.0" customHeight="true">
      <c r="A3122" t="s" s="2">
        <v>13</v>
      </c>
      <c r="B3122" t="s" s="2">
        <f>HYPERLINK("http://ts.21cn.com/tousu/show/id/1370786","普惠分期乱扣款")</f>
      </c>
      <c r="C3122" t="s" s="2">
        <v>15</v>
      </c>
      <c r="D3122" t="s" s="2">
        <v>16</v>
      </c>
      <c r="E3122" t="s" s="2">
        <v>17</v>
      </c>
      <c r="F3122" t="s" s="2">
        <f>HYPERLINK("http://ts.21cn.com/tousu/show/id/1370786","http://ts.21cn.com/tousu/show/id/1370786")</f>
      </c>
      <c r="G3122" t="s" s="2">
        <v>17</v>
      </c>
      <c r="H3122" t="s" s="2">
        <v>19</v>
      </c>
      <c r="I3122" t="s" s="2">
        <v>12187</v>
      </c>
      <c r="J3122" t="s" s="2">
        <v>12188</v>
      </c>
      <c r="K3122" t="s" s="2">
        <v>22</v>
      </c>
      <c r="L3122" t="s" s="2">
        <v>22</v>
      </c>
      <c r="M3122" t="s" s="2">
        <v>22</v>
      </c>
    </row>
    <row r="3123" ht="25.0" customHeight="true">
      <c r="A3123" t="s" s="2">
        <v>13</v>
      </c>
      <c r="B3123" t="s" s="2">
        <f>HYPERLINK("http://ts.21cn.com/tousu/show/id/1370784","催收骚扰公司同事，朋友，家人")</f>
      </c>
      <c r="C3123" t="s" s="2">
        <v>15</v>
      </c>
      <c r="D3123" t="s" s="2">
        <v>16</v>
      </c>
      <c r="E3123" t="s" s="2">
        <v>17</v>
      </c>
      <c r="F3123" t="s" s="2">
        <f>HYPERLINK("http://ts.21cn.com/tousu/show/id/1370784","http://ts.21cn.com/tousu/show/id/1370784")</f>
      </c>
      <c r="G3123" t="s" s="2">
        <v>17</v>
      </c>
      <c r="H3123" t="s" s="2">
        <v>19</v>
      </c>
      <c r="I3123" t="s" s="2">
        <v>12191</v>
      </c>
      <c r="J3123" t="s" s="2">
        <v>12192</v>
      </c>
      <c r="K3123" t="s" s="2">
        <v>22</v>
      </c>
      <c r="L3123" t="s" s="2">
        <v>22</v>
      </c>
      <c r="M3123" t="s" s="2">
        <v>22</v>
      </c>
    </row>
    <row r="3124" ht="25.0" customHeight="true">
      <c r="A3124" t="s" s="2">
        <v>13</v>
      </c>
      <c r="B3124" t="s" s="2">
        <f>HYPERLINK("http://ts.21cn.com/tousu/show/id/1370783","支付宝，群利花，高利贷")</f>
      </c>
      <c r="C3124" t="s" s="2">
        <v>15</v>
      </c>
      <c r="D3124" t="s" s="2">
        <v>16</v>
      </c>
      <c r="E3124" t="s" s="2">
        <v>17</v>
      </c>
      <c r="F3124" t="s" s="2">
        <f>HYPERLINK("http://ts.21cn.com/tousu/show/id/1370783","http://ts.21cn.com/tousu/show/id/1370783")</f>
      </c>
      <c r="G3124" t="s" s="2">
        <v>17</v>
      </c>
      <c r="H3124" t="s" s="2">
        <v>19</v>
      </c>
      <c r="I3124" t="s" s="2">
        <v>12195</v>
      </c>
      <c r="J3124" t="s" s="2">
        <v>12196</v>
      </c>
      <c r="K3124" t="s" s="2">
        <v>22</v>
      </c>
      <c r="L3124" t="s" s="2">
        <v>22</v>
      </c>
      <c r="M3124" t="s" s="2">
        <v>22</v>
      </c>
    </row>
    <row r="3125" ht="25.0" customHeight="true">
      <c r="A3125" t="s" s="2">
        <v>13</v>
      </c>
      <c r="B3125" t="s" s="2">
        <f>HYPERLINK("http://ts.21cn.com/tousu/show/id/1370782","及贷收取抢额费")</f>
      </c>
      <c r="C3125" t="s" s="2">
        <v>52</v>
      </c>
      <c r="D3125" t="s" s="2">
        <v>16</v>
      </c>
      <c r="E3125" t="s" s="2">
        <v>17</v>
      </c>
      <c r="F3125" t="s" s="2">
        <f>HYPERLINK("http://ts.21cn.com/tousu/show/id/1370782","http://ts.21cn.com/tousu/show/id/1370782")</f>
      </c>
      <c r="G3125" t="s" s="2">
        <v>17</v>
      </c>
      <c r="H3125" t="s" s="2">
        <v>19</v>
      </c>
      <c r="I3125" t="s" s="2">
        <v>12199</v>
      </c>
      <c r="J3125" t="s" s="2">
        <v>12200</v>
      </c>
      <c r="K3125" t="s" s="2">
        <v>22</v>
      </c>
      <c r="L3125" t="s" s="2">
        <v>22</v>
      </c>
      <c r="M3125" t="s" s="2">
        <v>22</v>
      </c>
    </row>
    <row r="3126" ht="25.0" customHeight="true">
      <c r="A3126" t="s" s="2">
        <v>13</v>
      </c>
      <c r="B3126" t="s" s="2">
        <f>HYPERLINK("http://ts.21cn.com/tousu/show/id/1370780","捷信暴力倾向")</f>
      </c>
      <c r="C3126" t="s" s="2">
        <v>15</v>
      </c>
      <c r="D3126" t="s" s="2">
        <v>16</v>
      </c>
      <c r="E3126" t="s" s="2">
        <v>17</v>
      </c>
      <c r="F3126" t="s" s="2">
        <f>HYPERLINK("http://ts.21cn.com/tousu/show/id/1370780","http://ts.21cn.com/tousu/show/id/1370780")</f>
      </c>
      <c r="G3126" t="s" s="2">
        <v>17</v>
      </c>
      <c r="H3126" t="s" s="2">
        <v>19</v>
      </c>
      <c r="I3126" t="s" s="2">
        <v>12203</v>
      </c>
      <c r="J3126" t="s" s="2">
        <v>12204</v>
      </c>
      <c r="K3126" t="s" s="2">
        <v>22</v>
      </c>
      <c r="L3126" t="s" s="2">
        <v>22</v>
      </c>
      <c r="M3126" t="s" s="2">
        <v>22</v>
      </c>
    </row>
    <row r="3127" ht="25.0" customHeight="true">
      <c r="A3127" t="s" s="2">
        <v>13</v>
      </c>
      <c r="B3127" t="s" s="2">
        <f>HYPERLINK("http://ts.21cn.com/tousu/show/id/1370779","情人花胡乱扣取费用")</f>
      </c>
      <c r="C3127" t="s" s="2">
        <v>15</v>
      </c>
      <c r="D3127" t="s" s="2">
        <v>16</v>
      </c>
      <c r="E3127" t="s" s="2">
        <v>17</v>
      </c>
      <c r="F3127" t="s" s="2">
        <f>HYPERLINK("http://ts.21cn.com/tousu/show/id/1370779","http://ts.21cn.com/tousu/show/id/1370779")</f>
      </c>
      <c r="G3127" t="s" s="2">
        <v>17</v>
      </c>
      <c r="H3127" t="s" s="2">
        <v>19</v>
      </c>
      <c r="I3127" t="s" s="2">
        <v>12207</v>
      </c>
      <c r="J3127" t="s" s="2">
        <v>12208</v>
      </c>
      <c r="K3127" t="s" s="2">
        <v>22</v>
      </c>
      <c r="L3127" t="s" s="2">
        <v>22</v>
      </c>
      <c r="M3127" t="s" s="2">
        <v>22</v>
      </c>
    </row>
    <row r="3128" ht="25.0" customHeight="true">
      <c r="A3128" t="s" s="2">
        <v>13</v>
      </c>
      <c r="B3128" t="s" s="2">
        <f>HYPERLINK("http://ts.21cn.com/tousu/show/id/1370778","崔收态度恶劣")</f>
      </c>
      <c r="C3128" t="s" s="2">
        <v>15</v>
      </c>
      <c r="D3128" t="s" s="2">
        <v>16</v>
      </c>
      <c r="E3128" t="s" s="2">
        <v>17</v>
      </c>
      <c r="F3128" t="s" s="2">
        <f>HYPERLINK("http://ts.21cn.com/tousu/show/id/1370778","http://ts.21cn.com/tousu/show/id/1370778")</f>
      </c>
      <c r="G3128" t="s" s="2">
        <v>17</v>
      </c>
      <c r="H3128" t="s" s="2">
        <v>19</v>
      </c>
      <c r="I3128" t="s" s="2">
        <v>12211</v>
      </c>
      <c r="J3128" t="s" s="2">
        <v>12212</v>
      </c>
      <c r="K3128" t="s" s="2">
        <v>22</v>
      </c>
      <c r="L3128" t="s" s="2">
        <v>22</v>
      </c>
      <c r="M3128" t="s" s="2">
        <v>22</v>
      </c>
    </row>
    <row r="3129" ht="25.0" customHeight="true">
      <c r="A3129" t="s" s="2">
        <v>13</v>
      </c>
      <c r="B3129" t="s" s="2">
        <f>HYPERLINK("http://ts.21cn.com/tousu/show/id/1370758","捷信金融套路收取放款前费用")</f>
      </c>
      <c r="C3129" t="s" s="2">
        <v>15</v>
      </c>
      <c r="D3129" t="s" s="2">
        <v>16</v>
      </c>
      <c r="E3129" t="s" s="2">
        <v>17</v>
      </c>
      <c r="F3129" t="s" s="2">
        <f>HYPERLINK("http://ts.21cn.com/tousu/show/id/1370758","http://ts.21cn.com/tousu/show/id/1370758")</f>
      </c>
      <c r="G3129" t="s" s="2">
        <v>17</v>
      </c>
      <c r="H3129" t="s" s="2">
        <v>19</v>
      </c>
      <c r="I3129" t="s" s="2">
        <v>12215</v>
      </c>
      <c r="J3129" t="s" s="2">
        <v>12216</v>
      </c>
      <c r="K3129" t="s" s="2">
        <v>22</v>
      </c>
      <c r="L3129" t="s" s="2">
        <v>22</v>
      </c>
      <c r="M3129" t="s" s="2">
        <v>22</v>
      </c>
    </row>
    <row r="3130" ht="25.0" customHeight="true">
      <c r="A3130" t="s" s="2">
        <v>13</v>
      </c>
      <c r="B3130" t="s" s="2">
        <f>HYPERLINK("http://ts.21cn.com/tousu/show/id/1370777","还完款还进行催收")</f>
      </c>
      <c r="C3130" t="s" s="2">
        <v>15</v>
      </c>
      <c r="D3130" t="s" s="2">
        <v>16</v>
      </c>
      <c r="E3130" t="s" s="2">
        <v>17</v>
      </c>
      <c r="F3130" t="s" s="2">
        <f>HYPERLINK("http://ts.21cn.com/tousu/show/id/1370777","http://ts.21cn.com/tousu/show/id/1370777")</f>
      </c>
      <c r="G3130" t="s" s="2">
        <v>17</v>
      </c>
      <c r="H3130" t="s" s="2">
        <v>19</v>
      </c>
      <c r="I3130" t="s" s="2">
        <v>12219</v>
      </c>
      <c r="J3130" t="s" s="2">
        <v>12220</v>
      </c>
      <c r="K3130" t="s" s="2">
        <v>22</v>
      </c>
      <c r="L3130" t="s" s="2">
        <v>22</v>
      </c>
      <c r="M3130" t="s" s="2">
        <v>22</v>
      </c>
    </row>
    <row r="3131" ht="25.0" customHeight="true">
      <c r="A3131" t="s" s="2">
        <v>13</v>
      </c>
      <c r="B3131" t="s" s="2">
        <f>HYPERLINK("http://ts.21cn.com/tousu/show/id/1370775","迅捷视频转换器转换不了格式")</f>
      </c>
      <c r="C3131" t="s" s="2">
        <v>52</v>
      </c>
      <c r="D3131" t="s" s="2">
        <v>16</v>
      </c>
      <c r="E3131" t="s" s="2">
        <v>17</v>
      </c>
      <c r="F3131" t="s" s="2">
        <f>HYPERLINK("http://ts.21cn.com/tousu/show/id/1370775","http://ts.21cn.com/tousu/show/id/1370775")</f>
      </c>
      <c r="G3131" t="s" s="2">
        <v>17</v>
      </c>
      <c r="H3131" t="s" s="2">
        <v>19</v>
      </c>
      <c r="I3131" t="s" s="2">
        <v>12223</v>
      </c>
      <c r="J3131" t="s" s="2">
        <v>12224</v>
      </c>
      <c r="K3131" t="s" s="2">
        <v>22</v>
      </c>
      <c r="L3131" t="s" s="2">
        <v>22</v>
      </c>
      <c r="M3131" t="s" s="2">
        <v>22</v>
      </c>
    </row>
    <row r="3132" ht="25.0" customHeight="true">
      <c r="A3132" t="s" s="2">
        <v>13</v>
      </c>
      <c r="B3132" t="s" s="2">
        <f>HYPERLINK("http://ts.21cn.com/tousu/show/id/1370774","互金公司霸道无比，无视法纪法规")</f>
      </c>
      <c r="C3132" t="s" s="2">
        <v>15</v>
      </c>
      <c r="D3132" t="s" s="2">
        <v>16</v>
      </c>
      <c r="E3132" t="s" s="2">
        <v>17</v>
      </c>
      <c r="F3132" t="s" s="2">
        <f>HYPERLINK("http://ts.21cn.com/tousu/show/id/1370774","http://ts.21cn.com/tousu/show/id/1370774")</f>
      </c>
      <c r="G3132" t="s" s="2">
        <v>17</v>
      </c>
      <c r="H3132" t="s" s="2">
        <v>19</v>
      </c>
      <c r="I3132" t="s" s="2">
        <v>12227</v>
      </c>
      <c r="J3132" t="s" s="2">
        <v>12228</v>
      </c>
      <c r="K3132" t="s" s="2">
        <v>22</v>
      </c>
      <c r="L3132" t="s" s="2">
        <v>22</v>
      </c>
      <c r="M3132" t="s" s="2">
        <v>22</v>
      </c>
    </row>
    <row r="3133" ht="25.0" customHeight="true">
      <c r="A3133" t="s" s="2">
        <v>13</v>
      </c>
      <c r="B3133" t="s" s="2">
        <f>HYPERLINK("http://ts.21cn.com/tousu/show/id/1370776","魅族售后拖延，保内变保外收费")</f>
      </c>
      <c r="C3133" t="s" s="2">
        <v>15</v>
      </c>
      <c r="D3133" t="s" s="2">
        <v>16</v>
      </c>
      <c r="E3133" t="s" s="2">
        <v>17</v>
      </c>
      <c r="F3133" t="s" s="2">
        <f>HYPERLINK("http://ts.21cn.com/tousu/show/id/1370776","http://ts.21cn.com/tousu/show/id/1370776")</f>
      </c>
      <c r="G3133" t="s" s="2">
        <v>17</v>
      </c>
      <c r="H3133" t="s" s="2">
        <v>19</v>
      </c>
      <c r="I3133" t="s" s="2">
        <v>12231</v>
      </c>
      <c r="J3133" t="s" s="2">
        <v>12232</v>
      </c>
      <c r="K3133" t="s" s="2">
        <v>22</v>
      </c>
      <c r="L3133" t="s" s="2">
        <v>22</v>
      </c>
      <c r="M3133" t="s" s="2">
        <v>22</v>
      </c>
    </row>
    <row r="3134" ht="25.0" customHeight="true">
      <c r="A3134" t="s" s="2">
        <v>13</v>
      </c>
      <c r="B3134" t="s" s="2">
        <f>HYPERLINK("http://ts.21cn.com/tousu/show/id/1370772","360借条提前还款高额付费用")</f>
      </c>
      <c r="C3134" t="s" s="2">
        <v>52</v>
      </c>
      <c r="D3134" t="s" s="2">
        <v>16</v>
      </c>
      <c r="E3134" t="s" s="2">
        <v>17</v>
      </c>
      <c r="F3134" t="s" s="2">
        <f>HYPERLINK("http://ts.21cn.com/tousu/show/id/1370772","http://ts.21cn.com/tousu/show/id/1370772")</f>
      </c>
      <c r="G3134" t="s" s="2">
        <v>17</v>
      </c>
      <c r="H3134" t="s" s="2">
        <v>19</v>
      </c>
      <c r="I3134" t="s" s="2">
        <v>12235</v>
      </c>
      <c r="J3134" t="s" s="2">
        <v>12236</v>
      </c>
      <c r="K3134" t="s" s="2">
        <v>22</v>
      </c>
      <c r="L3134" t="s" s="2">
        <v>22</v>
      </c>
      <c r="M3134" t="s" s="2">
        <v>22</v>
      </c>
    </row>
    <row r="3135" ht="25.0" customHeight="true">
      <c r="A3135" t="s" s="2">
        <v>13</v>
      </c>
      <c r="B3135" t="s" s="2">
        <f>HYPERLINK("http://ts.21cn.com/tousu/show/id/1370770","聚福钱包未经许可私自扣款")</f>
      </c>
      <c r="C3135" t="s" s="2">
        <v>15</v>
      </c>
      <c r="D3135" t="s" s="2">
        <v>16</v>
      </c>
      <c r="E3135" t="s" s="2">
        <v>17</v>
      </c>
      <c r="F3135" t="s" s="2">
        <f>HYPERLINK("http://ts.21cn.com/tousu/show/id/1370770","http://ts.21cn.com/tousu/show/id/1370770")</f>
      </c>
      <c r="G3135" t="s" s="2">
        <v>17</v>
      </c>
      <c r="H3135" t="s" s="2">
        <v>19</v>
      </c>
      <c r="I3135" t="s" s="2">
        <v>12238</v>
      </c>
      <c r="J3135" t="s" s="2">
        <v>12239</v>
      </c>
      <c r="K3135" t="s" s="2">
        <v>22</v>
      </c>
      <c r="L3135" t="s" s="2">
        <v>22</v>
      </c>
      <c r="M3135" t="s" s="2">
        <v>22</v>
      </c>
    </row>
    <row r="3136" ht="25.0" customHeight="true">
      <c r="A3136" t="s" s="2">
        <v>13</v>
      </c>
      <c r="B3136" t="s" s="2">
        <f>HYPERLINK("http://ts.21cn.com/tousu/show/id/1370773","多宝分期")</f>
      </c>
      <c r="C3136" t="s" s="2">
        <v>52</v>
      </c>
      <c r="D3136" t="s" s="2">
        <v>16</v>
      </c>
      <c r="E3136" t="s" s="2">
        <v>17</v>
      </c>
      <c r="F3136" t="s" s="2">
        <f>HYPERLINK("http://ts.21cn.com/tousu/show/id/1370773","http://ts.21cn.com/tousu/show/id/1370773")</f>
      </c>
      <c r="G3136" t="s" s="2">
        <v>17</v>
      </c>
      <c r="H3136" t="s" s="2">
        <v>19</v>
      </c>
      <c r="I3136" t="s" s="2">
        <v>12242</v>
      </c>
      <c r="J3136" t="s" s="2">
        <v>12243</v>
      </c>
      <c r="K3136" t="s" s="2">
        <v>22</v>
      </c>
      <c r="L3136" t="s" s="2">
        <v>22</v>
      </c>
      <c r="M3136" t="s" s="2">
        <v>22</v>
      </c>
    </row>
    <row r="3137" ht="25.0" customHeight="true">
      <c r="A3137" t="s" s="2">
        <v>13</v>
      </c>
      <c r="B3137" t="s" s="2">
        <f>HYPERLINK("http://ts.21cn.com/tousu/show/id/1370769","催收人员说话态度不好并且不理解")</f>
      </c>
      <c r="C3137" t="s" s="2">
        <v>15</v>
      </c>
      <c r="D3137" t="s" s="2">
        <v>16</v>
      </c>
      <c r="E3137" t="s" s="2">
        <v>17</v>
      </c>
      <c r="F3137" t="s" s="2">
        <f>HYPERLINK("http://ts.21cn.com/tousu/show/id/1370769","http://ts.21cn.com/tousu/show/id/1370769")</f>
      </c>
      <c r="G3137" t="s" s="2">
        <v>17</v>
      </c>
      <c r="H3137" t="s" s="2">
        <v>19</v>
      </c>
      <c r="I3137" t="s" s="2">
        <v>12246</v>
      </c>
      <c r="J3137" t="s" s="2">
        <v>12247</v>
      </c>
      <c r="K3137" t="s" s="2">
        <v>22</v>
      </c>
      <c r="L3137" t="s" s="2">
        <v>22</v>
      </c>
      <c r="M3137" t="s" s="2">
        <v>22</v>
      </c>
    </row>
    <row r="3138" ht="25.0" customHeight="true">
      <c r="A3138" t="s" s="2">
        <v>13</v>
      </c>
      <c r="B3138" t="s" s="2">
        <f>HYPERLINK("http://ts.21cn.com/tousu/show/id/1370768","拍拍贷，暴力催收，辱骂，恶意骚扰")</f>
      </c>
      <c r="C3138" t="s" s="2">
        <v>15</v>
      </c>
      <c r="D3138" t="s" s="2">
        <v>16</v>
      </c>
      <c r="E3138" t="s" s="2">
        <v>17</v>
      </c>
      <c r="F3138" t="s" s="2">
        <f>HYPERLINK("http://ts.21cn.com/tousu/show/id/1370768","http://ts.21cn.com/tousu/show/id/1370768")</f>
      </c>
      <c r="G3138" t="s" s="2">
        <v>17</v>
      </c>
      <c r="H3138" t="s" s="2">
        <v>19</v>
      </c>
      <c r="I3138" t="s" s="2">
        <v>12250</v>
      </c>
      <c r="J3138" t="s" s="2">
        <v>12251</v>
      </c>
      <c r="K3138" t="s" s="2">
        <v>22</v>
      </c>
      <c r="L3138" t="s" s="2">
        <v>22</v>
      </c>
      <c r="M3138" t="s" s="2">
        <v>22</v>
      </c>
    </row>
    <row r="3139" ht="25.0" customHeight="true">
      <c r="A3139" t="s" s="2">
        <v>13</v>
      </c>
      <c r="B3139" t="s" s="2">
        <f>HYPERLINK("http://ts.21cn.com/tousu/show/id/1370767","记得花高额砍头息高利贷")</f>
      </c>
      <c r="C3139" t="s" s="2">
        <v>15</v>
      </c>
      <c r="D3139" t="s" s="2">
        <v>16</v>
      </c>
      <c r="E3139" t="s" s="2">
        <v>17</v>
      </c>
      <c r="F3139" t="s" s="2">
        <f>HYPERLINK("http://ts.21cn.com/tousu/show/id/1370767","http://ts.21cn.com/tousu/show/id/1370767")</f>
      </c>
      <c r="G3139" t="s" s="2">
        <v>17</v>
      </c>
      <c r="H3139" t="s" s="2">
        <v>19</v>
      </c>
      <c r="I3139" t="s" s="2">
        <v>12254</v>
      </c>
      <c r="J3139" t="s" s="2">
        <v>12255</v>
      </c>
      <c r="K3139" t="s" s="2">
        <v>22</v>
      </c>
      <c r="L3139" t="s" s="2">
        <v>22</v>
      </c>
      <c r="M3139" t="s" s="2">
        <v>22</v>
      </c>
    </row>
    <row r="3140" ht="25.0" customHeight="true">
      <c r="A3140" t="s" s="2">
        <v>13</v>
      </c>
      <c r="B3140" t="s" s="2">
        <f>HYPERLINK("http://ts.21cn.com/tousu/show/id/1370766","京东活力花暴力催收！")</f>
      </c>
      <c r="C3140" t="s" s="2">
        <v>15</v>
      </c>
      <c r="D3140" t="s" s="2">
        <v>16</v>
      </c>
      <c r="E3140" t="s" s="2">
        <v>17</v>
      </c>
      <c r="F3140" t="s" s="2">
        <f>HYPERLINK("http://ts.21cn.com/tousu/show/id/1370766","http://ts.21cn.com/tousu/show/id/1370766")</f>
      </c>
      <c r="G3140" t="s" s="2">
        <v>17</v>
      </c>
      <c r="H3140" t="s" s="2">
        <v>19</v>
      </c>
      <c r="I3140" t="s" s="2">
        <v>12258</v>
      </c>
      <c r="J3140" t="s" s="2">
        <v>12259</v>
      </c>
      <c r="K3140" t="s" s="2">
        <v>22</v>
      </c>
      <c r="L3140" t="s" s="2">
        <v>22</v>
      </c>
      <c r="M3140" t="s" s="2">
        <v>22</v>
      </c>
    </row>
    <row r="3141" ht="25.0" customHeight="true">
      <c r="A3141" t="s" s="2">
        <v>13</v>
      </c>
      <c r="B3141" t="s" s="2">
        <f>HYPERLINK("http://ts.21cn.com/tousu/show/id/1370765","钱站阴阳合同、高利贷")</f>
      </c>
      <c r="C3141" t="s" s="2">
        <v>15</v>
      </c>
      <c r="D3141" t="s" s="2">
        <v>16</v>
      </c>
      <c r="E3141" t="s" s="2">
        <v>17</v>
      </c>
      <c r="F3141" t="s" s="2">
        <f>HYPERLINK("http://ts.21cn.com/tousu/show/id/1370765","http://ts.21cn.com/tousu/show/id/1370765")</f>
      </c>
      <c r="G3141" t="s" s="2">
        <v>17</v>
      </c>
      <c r="H3141" t="s" s="2">
        <v>19</v>
      </c>
      <c r="I3141" t="s" s="2">
        <v>12262</v>
      </c>
      <c r="J3141" t="s" s="2">
        <v>12263</v>
      </c>
      <c r="K3141" t="s" s="2">
        <v>22</v>
      </c>
      <c r="L3141" t="s" s="2">
        <v>22</v>
      </c>
      <c r="M3141" t="s" s="2">
        <v>22</v>
      </c>
    </row>
    <row r="3142" ht="25.0" customHeight="true">
      <c r="A3142" t="s" s="2">
        <v>13</v>
      </c>
      <c r="B3142" t="s" s="2">
        <f>HYPERLINK("http://ts.21cn.com/tousu/show/id/1370764","天天发骚扰信息")</f>
      </c>
      <c r="C3142" t="s" s="2">
        <v>52</v>
      </c>
      <c r="D3142" t="s" s="2">
        <v>16</v>
      </c>
      <c r="E3142" t="s" s="2">
        <v>17</v>
      </c>
      <c r="F3142" t="s" s="2">
        <f>HYPERLINK("http://ts.21cn.com/tousu/show/id/1370764","http://ts.21cn.com/tousu/show/id/1370764")</f>
      </c>
      <c r="G3142" t="s" s="2">
        <v>17</v>
      </c>
      <c r="H3142" t="s" s="2">
        <v>19</v>
      </c>
      <c r="I3142" t="s" s="2">
        <v>12266</v>
      </c>
      <c r="J3142" t="s" s="2">
        <v>12267</v>
      </c>
      <c r="K3142" t="s" s="2">
        <v>22</v>
      </c>
      <c r="L3142" t="s" s="2">
        <v>22</v>
      </c>
      <c r="M3142" t="s" s="2">
        <v>22</v>
      </c>
    </row>
    <row r="3143" ht="25.0" customHeight="true">
      <c r="A3143" t="s" s="2">
        <v>13</v>
      </c>
      <c r="B3143" t="s" s="2">
        <f>HYPERLINK("http://ts.21cn.com/tousu/show/id/1370763","高利贷阴阳合同")</f>
      </c>
      <c r="C3143" t="s" s="2">
        <v>15</v>
      </c>
      <c r="D3143" t="s" s="2">
        <v>16</v>
      </c>
      <c r="E3143" t="s" s="2">
        <v>17</v>
      </c>
      <c r="F3143" t="s" s="2">
        <f>HYPERLINK("http://ts.21cn.com/tousu/show/id/1370763","http://ts.21cn.com/tousu/show/id/1370763")</f>
      </c>
      <c r="G3143" t="s" s="2">
        <v>17</v>
      </c>
      <c r="H3143" t="s" s="2">
        <v>19</v>
      </c>
      <c r="I3143" t="s" s="2">
        <v>12270</v>
      </c>
      <c r="J3143" t="s" s="2">
        <v>12271</v>
      </c>
      <c r="K3143" t="s" s="2">
        <v>22</v>
      </c>
      <c r="L3143" t="s" s="2">
        <v>22</v>
      </c>
      <c r="M3143" t="s" s="2">
        <v>22</v>
      </c>
    </row>
    <row r="3144" ht="25.0" customHeight="true">
      <c r="A3144" t="s" s="2">
        <v>13</v>
      </c>
      <c r="B3144" t="s" s="2">
        <f>HYPERLINK("http://ts.21cn.com/tousu/show/id/1370762","马上消费金融群发短信，恶心催收")</f>
      </c>
      <c r="C3144" t="s" s="2">
        <v>15</v>
      </c>
      <c r="D3144" t="s" s="2">
        <v>16</v>
      </c>
      <c r="E3144" t="s" s="2">
        <v>17</v>
      </c>
      <c r="F3144" t="s" s="2">
        <f>HYPERLINK("http://ts.21cn.com/tousu/show/id/1370762","http://ts.21cn.com/tousu/show/id/1370762")</f>
      </c>
      <c r="G3144" t="s" s="2">
        <v>17</v>
      </c>
      <c r="H3144" t="s" s="2">
        <v>19</v>
      </c>
      <c r="I3144" t="s" s="2">
        <v>12274</v>
      </c>
      <c r="J3144" t="s" s="2">
        <v>12275</v>
      </c>
      <c r="K3144" t="s" s="2">
        <v>22</v>
      </c>
      <c r="L3144" t="s" s="2">
        <v>22</v>
      </c>
      <c r="M3144" t="s" s="2">
        <v>22</v>
      </c>
    </row>
    <row r="3145" ht="25.0" customHeight="true">
      <c r="A3145" t="s" s="2">
        <v>13</v>
      </c>
      <c r="B3145" t="s" s="2">
        <f>HYPERLINK("http://ts.21cn.com/tousu/show/id/1370760","暴力催收，骚扰通讯录联系人")</f>
      </c>
      <c r="C3145" t="s" s="2">
        <v>15</v>
      </c>
      <c r="D3145" t="s" s="2">
        <v>16</v>
      </c>
      <c r="E3145" t="s" s="2">
        <v>17</v>
      </c>
      <c r="F3145" t="s" s="2">
        <f>HYPERLINK("http://ts.21cn.com/tousu/show/id/1370760","http://ts.21cn.com/tousu/show/id/1370760")</f>
      </c>
      <c r="G3145" t="s" s="2">
        <v>17</v>
      </c>
      <c r="H3145" t="s" s="2">
        <v>19</v>
      </c>
      <c r="I3145" t="s" s="2">
        <v>12278</v>
      </c>
      <c r="J3145" t="s" s="2">
        <v>12279</v>
      </c>
      <c r="K3145" t="s" s="2">
        <v>22</v>
      </c>
      <c r="L3145" t="s" s="2">
        <v>22</v>
      </c>
      <c r="M3145" t="s" s="2">
        <v>22</v>
      </c>
    </row>
    <row r="3146" ht="25.0" customHeight="true">
      <c r="A3146" t="s" s="2">
        <v>13</v>
      </c>
      <c r="B3146" t="s" s="2">
        <f>HYPERLINK("http://ts.21cn.com/tousu/show/id/1370761","广发信用卡高利贷好高额违约金和利息")</f>
      </c>
      <c r="C3146" t="s" s="2">
        <v>15</v>
      </c>
      <c r="D3146" t="s" s="2">
        <v>16</v>
      </c>
      <c r="E3146" t="s" s="2">
        <v>17</v>
      </c>
      <c r="F3146" t="s" s="2">
        <f>HYPERLINK("http://ts.21cn.com/tousu/show/id/1370761","http://ts.21cn.com/tousu/show/id/1370761")</f>
      </c>
      <c r="G3146" t="s" s="2">
        <v>17</v>
      </c>
      <c r="H3146" t="s" s="2">
        <v>19</v>
      </c>
      <c r="I3146" t="s" s="2">
        <v>12282</v>
      </c>
      <c r="J3146" t="s" s="2">
        <v>12283</v>
      </c>
      <c r="K3146" t="s" s="2">
        <v>22</v>
      </c>
      <c r="L3146" t="s" s="2">
        <v>22</v>
      </c>
      <c r="M3146" t="s" s="2">
        <v>22</v>
      </c>
    </row>
    <row r="3147" ht="25.0" customHeight="true">
      <c r="A3147" t="s" s="2">
        <v>13</v>
      </c>
      <c r="B3147" t="s" s="2">
        <f>HYPERLINK("http://ts.21cn.com/tousu/show/id/1370759","享换机账单已还完，但是不撤销")</f>
      </c>
      <c r="C3147" t="s" s="2">
        <v>15</v>
      </c>
      <c r="D3147" t="s" s="2">
        <v>16</v>
      </c>
      <c r="E3147" t="s" s="2">
        <v>17</v>
      </c>
      <c r="F3147" t="s" s="2">
        <f>HYPERLINK("http://ts.21cn.com/tousu/show/id/1370759","http://ts.21cn.com/tousu/show/id/1370759")</f>
      </c>
      <c r="G3147" t="s" s="2">
        <v>17</v>
      </c>
      <c r="H3147" t="s" s="2">
        <v>19</v>
      </c>
      <c r="I3147" t="s" s="2">
        <v>12286</v>
      </c>
      <c r="J3147" t="s" s="2">
        <v>12287</v>
      </c>
      <c r="K3147" t="s" s="2">
        <v>22</v>
      </c>
      <c r="L3147" t="s" s="2">
        <v>22</v>
      </c>
      <c r="M3147" t="s" s="2">
        <v>22</v>
      </c>
    </row>
    <row r="3148" ht="25.0" customHeight="true">
      <c r="A3148" t="s" s="2">
        <v>13</v>
      </c>
      <c r="B3148" t="s" s="2">
        <f>HYPERLINK("http://ts.21cn.com/tousu/show/id/1370757","暴力催收")</f>
      </c>
      <c r="C3148" t="s" s="2">
        <v>15</v>
      </c>
      <c r="D3148" t="s" s="2">
        <v>16</v>
      </c>
      <c r="E3148" t="s" s="2">
        <v>17</v>
      </c>
      <c r="F3148" t="s" s="2">
        <f>HYPERLINK("http://ts.21cn.com/tousu/show/id/1370757","http://ts.21cn.com/tousu/show/id/1370757")</f>
      </c>
      <c r="G3148" t="s" s="2">
        <v>17</v>
      </c>
      <c r="H3148" t="s" s="2">
        <v>19</v>
      </c>
      <c r="I3148" t="s" s="2">
        <v>12289</v>
      </c>
      <c r="J3148" t="s" s="2">
        <v>12290</v>
      </c>
      <c r="K3148" t="s" s="2">
        <v>22</v>
      </c>
      <c r="L3148" t="s" s="2">
        <v>22</v>
      </c>
      <c r="M3148" t="s" s="2">
        <v>22</v>
      </c>
    </row>
    <row r="3149" ht="25.0" customHeight="true">
      <c r="A3149" t="s" s="2">
        <v>13</v>
      </c>
      <c r="B3149" t="s" s="2">
        <f>HYPERLINK("http://ts.21cn.com/tousu/show/id/1370755","百度催收发送恐吓短信，联系我通讯录人员，大晚上打电话催收")</f>
      </c>
      <c r="C3149" t="s" s="2">
        <v>15</v>
      </c>
      <c r="D3149" t="s" s="2">
        <v>16</v>
      </c>
      <c r="E3149" t="s" s="2">
        <v>17</v>
      </c>
      <c r="F3149" t="s" s="2">
        <f>HYPERLINK("http://ts.21cn.com/tousu/show/id/1370755","http://ts.21cn.com/tousu/show/id/1370755")</f>
      </c>
      <c r="G3149" t="s" s="2">
        <v>17</v>
      </c>
      <c r="H3149" t="s" s="2">
        <v>19</v>
      </c>
      <c r="I3149" t="s" s="2">
        <v>12293</v>
      </c>
      <c r="J3149" t="s" s="2">
        <v>12294</v>
      </c>
      <c r="K3149" t="s" s="2">
        <v>22</v>
      </c>
      <c r="L3149" t="s" s="2">
        <v>22</v>
      </c>
      <c r="M3149" t="s" s="2">
        <v>22</v>
      </c>
    </row>
    <row r="3150" ht="25.0" customHeight="true">
      <c r="A3150" t="s" s="2">
        <v>13</v>
      </c>
      <c r="B3150" t="s" s="2">
        <f>HYPERLINK("http://ts.21cn.com/tousu/show/id/1370754","微粒贷催收骚扰接了电话故意说联系不到人")</f>
      </c>
      <c r="C3150" t="s" s="2">
        <v>15</v>
      </c>
      <c r="D3150" t="s" s="2">
        <v>16</v>
      </c>
      <c r="E3150" t="s" s="2">
        <v>17</v>
      </c>
      <c r="F3150" t="s" s="2">
        <f>HYPERLINK("http://ts.21cn.com/tousu/show/id/1370754","http://ts.21cn.com/tousu/show/id/1370754")</f>
      </c>
      <c r="G3150" t="s" s="2">
        <v>17</v>
      </c>
      <c r="H3150" t="s" s="2">
        <v>19</v>
      </c>
      <c r="I3150" t="s" s="2">
        <v>12297</v>
      </c>
      <c r="J3150" t="s" s="2">
        <v>12298</v>
      </c>
      <c r="K3150" t="s" s="2">
        <v>22</v>
      </c>
      <c r="L3150" t="s" s="2">
        <v>22</v>
      </c>
      <c r="M3150" t="s" s="2">
        <v>22</v>
      </c>
    </row>
    <row r="3151" ht="25.0" customHeight="true">
      <c r="A3151" t="s" s="2">
        <v>13</v>
      </c>
      <c r="B3151" t="s" s="2">
        <f>HYPERLINK("http://ts.21cn.com/tousu/show/id/1370752","钱站高利贷阴阳合同希望有关部门处理")</f>
      </c>
      <c r="C3151" t="s" s="2">
        <v>15</v>
      </c>
      <c r="D3151" t="s" s="2">
        <v>16</v>
      </c>
      <c r="E3151" t="s" s="2">
        <v>17</v>
      </c>
      <c r="F3151" t="s" s="2">
        <f>HYPERLINK("http://ts.21cn.com/tousu/show/id/1370752","http://ts.21cn.com/tousu/show/id/1370752")</f>
      </c>
      <c r="G3151" t="s" s="2">
        <v>17</v>
      </c>
      <c r="H3151" t="s" s="2">
        <v>19</v>
      </c>
      <c r="I3151" t="s" s="2">
        <v>12301</v>
      </c>
      <c r="J3151" t="s" s="2">
        <v>12302</v>
      </c>
      <c r="K3151" t="s" s="2">
        <v>22</v>
      </c>
      <c r="L3151" t="s" s="2">
        <v>22</v>
      </c>
      <c r="M3151" t="s" s="2">
        <v>22</v>
      </c>
    </row>
    <row r="3152" ht="25.0" customHeight="true">
      <c r="A3152" t="s" s="2">
        <v>13</v>
      </c>
      <c r="B3152" t="s" s="2">
        <f>HYPERLINK("http://ts.21cn.com/tousu/show/id/1370753","分期乐违法乱纪")</f>
      </c>
      <c r="C3152" t="s" s="2">
        <v>15</v>
      </c>
      <c r="D3152" t="s" s="2">
        <v>16</v>
      </c>
      <c r="E3152" t="s" s="2">
        <v>17</v>
      </c>
      <c r="F3152" t="s" s="2">
        <f>HYPERLINK("http://ts.21cn.com/tousu/show/id/1370753","http://ts.21cn.com/tousu/show/id/1370753")</f>
      </c>
      <c r="G3152" t="s" s="2">
        <v>17</v>
      </c>
      <c r="H3152" t="s" s="2">
        <v>19</v>
      </c>
      <c r="I3152" t="s" s="2">
        <v>12305</v>
      </c>
      <c r="J3152" t="s" s="2">
        <v>12306</v>
      </c>
      <c r="K3152" t="s" s="2">
        <v>22</v>
      </c>
      <c r="L3152" t="s" s="2">
        <v>22</v>
      </c>
      <c r="M3152" t="s" s="2">
        <v>22</v>
      </c>
    </row>
    <row r="3153" ht="25.0" customHeight="true">
      <c r="A3153" t="s" s="2">
        <v>13</v>
      </c>
      <c r="B3153" t="s" s="2">
        <f>HYPERLINK("http://ts.21cn.com/tousu/show/id/1370751","信而富承诺的退款迟迟不到账")</f>
      </c>
      <c r="C3153" t="s" s="2">
        <v>15</v>
      </c>
      <c r="D3153" t="s" s="2">
        <v>16</v>
      </c>
      <c r="E3153" t="s" s="2">
        <v>17</v>
      </c>
      <c r="F3153" t="s" s="2">
        <f>HYPERLINK("http://ts.21cn.com/tousu/show/id/1370751","http://ts.21cn.com/tousu/show/id/1370751")</f>
      </c>
      <c r="G3153" t="s" s="2">
        <v>17</v>
      </c>
      <c r="H3153" t="s" s="2">
        <v>19</v>
      </c>
      <c r="I3153" t="s" s="2">
        <v>12309</v>
      </c>
      <c r="J3153" t="s" s="2">
        <v>12310</v>
      </c>
      <c r="K3153" t="s" s="2">
        <v>22</v>
      </c>
      <c r="L3153" t="s" s="2">
        <v>22</v>
      </c>
      <c r="M3153" t="s" s="2">
        <v>22</v>
      </c>
    </row>
    <row r="3154" ht="25.0" customHeight="true">
      <c r="A3154" t="s" s="2">
        <v>13</v>
      </c>
      <c r="B3154" t="s" s="2">
        <f>HYPERLINK("http://ts.21cn.com/tousu/show/id/1370750","钱包易贷暴力催收，逾期一天骚扰通讯录，收取高额利息")</f>
      </c>
      <c r="C3154" t="s" s="2">
        <v>15</v>
      </c>
      <c r="D3154" t="s" s="2">
        <v>16</v>
      </c>
      <c r="E3154" t="s" s="2">
        <v>17</v>
      </c>
      <c r="F3154" t="s" s="2">
        <f>HYPERLINK("http://ts.21cn.com/tousu/show/id/1370750","http://ts.21cn.com/tousu/show/id/1370750")</f>
      </c>
      <c r="G3154" t="s" s="2">
        <v>17</v>
      </c>
      <c r="H3154" t="s" s="2">
        <v>19</v>
      </c>
      <c r="I3154" t="s" s="2">
        <v>12313</v>
      </c>
      <c r="J3154" t="s" s="2">
        <v>12314</v>
      </c>
      <c r="K3154" t="s" s="2">
        <v>22</v>
      </c>
      <c r="L3154" t="s" s="2">
        <v>22</v>
      </c>
      <c r="M3154" t="s" s="2">
        <v>22</v>
      </c>
    </row>
    <row r="3155" ht="25.0" customHeight="true">
      <c r="A3155" t="s" s="2">
        <v>13</v>
      </c>
      <c r="B3155" t="s" s="2">
        <f>HYPERLINK("http://ts.21cn.com/tousu/show/id/1370749","万惠及贷变相收取高额息费以及暴力催收")</f>
      </c>
      <c r="C3155" t="s" s="2">
        <v>15</v>
      </c>
      <c r="D3155" t="s" s="2">
        <v>16</v>
      </c>
      <c r="E3155" t="s" s="2">
        <v>17</v>
      </c>
      <c r="F3155" t="s" s="2">
        <f>HYPERLINK("http://ts.21cn.com/tousu/show/id/1370749","http://ts.21cn.com/tousu/show/id/1370749")</f>
      </c>
      <c r="G3155" t="s" s="2">
        <v>17</v>
      </c>
      <c r="H3155" t="s" s="2">
        <v>19</v>
      </c>
      <c r="I3155" t="s" s="2">
        <v>12316</v>
      </c>
      <c r="J3155" t="s" s="2">
        <v>12317</v>
      </c>
      <c r="K3155" t="s" s="2">
        <v>22</v>
      </c>
      <c r="L3155" t="s" s="2">
        <v>22</v>
      </c>
      <c r="M3155" t="s" s="2">
        <v>22</v>
      </c>
    </row>
    <row r="3156" ht="25.0" customHeight="true">
      <c r="A3156" t="s" s="2">
        <v>13</v>
      </c>
      <c r="B3156" t="s" s="2">
        <f>HYPERLINK("http://ts.21cn.com/tousu/show/id/1370246","骑驴游虚假宣传虚假销售")</f>
      </c>
      <c r="C3156" t="s" s="2">
        <v>15</v>
      </c>
      <c r="D3156" t="s" s="2">
        <v>16</v>
      </c>
      <c r="E3156" t="s" s="2">
        <v>17</v>
      </c>
      <c r="F3156" t="s" s="2">
        <f>HYPERLINK("http://ts.21cn.com/tousu/show/id/1370246","http://ts.21cn.com/tousu/show/id/1370246")</f>
      </c>
      <c r="G3156" t="s" s="2">
        <v>17</v>
      </c>
      <c r="H3156" t="s" s="2">
        <v>19</v>
      </c>
      <c r="I3156" t="s" s="2">
        <v>12320</v>
      </c>
      <c r="J3156" t="s" s="2">
        <v>12321</v>
      </c>
      <c r="K3156" t="s" s="2">
        <v>22</v>
      </c>
      <c r="L3156" t="s" s="2">
        <v>22</v>
      </c>
      <c r="M3156" t="s" s="2">
        <v>22</v>
      </c>
    </row>
    <row r="3157" ht="25.0" customHeight="true">
      <c r="A3157" t="s" s="2">
        <v>13</v>
      </c>
      <c r="B3157" t="s" s="2">
        <f>HYPERLINK("http://ts.21cn.com/tousu/show/id/1370747","闪银哼哼恶意打电话骚扰家人")</f>
      </c>
      <c r="C3157" t="s" s="2">
        <v>15</v>
      </c>
      <c r="D3157" t="s" s="2">
        <v>16</v>
      </c>
      <c r="E3157" t="s" s="2">
        <v>17</v>
      </c>
      <c r="F3157" t="s" s="2">
        <f>HYPERLINK("http://ts.21cn.com/tousu/show/id/1370747","http://ts.21cn.com/tousu/show/id/1370747")</f>
      </c>
      <c r="G3157" t="s" s="2">
        <v>17</v>
      </c>
      <c r="H3157" t="s" s="2">
        <v>19</v>
      </c>
      <c r="I3157" t="s" s="2">
        <v>12324</v>
      </c>
      <c r="J3157" t="s" s="2">
        <v>12325</v>
      </c>
      <c r="K3157" t="s" s="2">
        <v>22</v>
      </c>
      <c r="L3157" t="s" s="2">
        <v>22</v>
      </c>
      <c r="M3157" t="s" s="2">
        <v>22</v>
      </c>
    </row>
    <row r="3158" ht="25.0" customHeight="true">
      <c r="A3158" t="s" s="2">
        <v>13</v>
      </c>
      <c r="B3158" t="s" s="2">
        <f>HYPERLINK("http://ts.21cn.com/tousu/show/id/1370746","闪银第三方催收态度恶劣，闪银贷款加收手续费")</f>
      </c>
      <c r="C3158" t="s" s="2">
        <v>15</v>
      </c>
      <c r="D3158" t="s" s="2">
        <v>16</v>
      </c>
      <c r="E3158" t="s" s="2">
        <v>17</v>
      </c>
      <c r="F3158" t="s" s="2">
        <f>HYPERLINK("http://ts.21cn.com/tousu/show/id/1370746","http://ts.21cn.com/tousu/show/id/1370746")</f>
      </c>
      <c r="G3158" t="s" s="2">
        <v>17</v>
      </c>
      <c r="H3158" t="s" s="2">
        <v>19</v>
      </c>
      <c r="I3158" t="s" s="2">
        <v>12328</v>
      </c>
      <c r="J3158" t="s" s="2">
        <v>12329</v>
      </c>
      <c r="K3158" t="s" s="2">
        <v>22</v>
      </c>
      <c r="L3158" t="s" s="2">
        <v>22</v>
      </c>
      <c r="M3158" t="s" s="2">
        <v>22</v>
      </c>
    </row>
    <row r="3159" ht="25.0" customHeight="true">
      <c r="A3159" t="s" s="2">
        <v>13</v>
      </c>
      <c r="B3159" t="s" s="2">
        <f>HYPERLINK("http://ts.21cn.com/tousu/show/id/1370745","办理了联通的合约套餐把欠了的话费交了，马上消费金融还是说我逾期一直发短信打电话")</f>
      </c>
      <c r="C3159" t="s" s="2">
        <v>15</v>
      </c>
      <c r="D3159" t="s" s="2">
        <v>16</v>
      </c>
      <c r="E3159" t="s" s="2">
        <v>17</v>
      </c>
      <c r="F3159" t="s" s="2">
        <f>HYPERLINK("http://ts.21cn.com/tousu/show/id/1370745","http://ts.21cn.com/tousu/show/id/1370745")</f>
      </c>
      <c r="G3159" t="s" s="2">
        <v>17</v>
      </c>
      <c r="H3159" t="s" s="2">
        <v>19</v>
      </c>
      <c r="I3159" t="s" s="2">
        <v>12332</v>
      </c>
      <c r="J3159" t="s" s="2">
        <v>12333</v>
      </c>
      <c r="K3159" t="s" s="2">
        <v>22</v>
      </c>
      <c r="L3159" t="s" s="2">
        <v>22</v>
      </c>
      <c r="M3159" t="s" s="2">
        <v>22</v>
      </c>
    </row>
    <row r="3160" ht="25.0" customHeight="true">
      <c r="A3160" t="s" s="2">
        <v>13</v>
      </c>
      <c r="B3160" t="s" s="2">
        <f>HYPERLINK("http://ts.21cn.com/tousu/show/id/1370744","交通信用卡处处逼人")</f>
      </c>
      <c r="C3160" t="s" s="2">
        <v>15</v>
      </c>
      <c r="D3160" t="s" s="2">
        <v>16</v>
      </c>
      <c r="E3160" t="s" s="2">
        <v>17</v>
      </c>
      <c r="F3160" t="s" s="2">
        <f>HYPERLINK("http://ts.21cn.com/tousu/show/id/1370744","http://ts.21cn.com/tousu/show/id/1370744")</f>
      </c>
      <c r="G3160" t="s" s="2">
        <v>17</v>
      </c>
      <c r="H3160" t="s" s="2">
        <v>19</v>
      </c>
      <c r="I3160" t="s" s="2">
        <v>12336</v>
      </c>
      <c r="J3160" t="s" s="2">
        <v>12337</v>
      </c>
      <c r="K3160" t="s" s="2">
        <v>22</v>
      </c>
      <c r="L3160" t="s" s="2">
        <v>22</v>
      </c>
      <c r="M3160" t="s" s="2">
        <v>22</v>
      </c>
    </row>
    <row r="3161" ht="25.0" customHeight="true">
      <c r="A3161" t="s" s="2">
        <v>13</v>
      </c>
      <c r="B3161" t="s" s="2">
        <f>HYPERLINK("http://ts.21cn.com/tousu/show/id/1370743","月光侠分期高利贷")</f>
      </c>
      <c r="C3161" t="s" s="2">
        <v>15</v>
      </c>
      <c r="D3161" t="s" s="2">
        <v>16</v>
      </c>
      <c r="E3161" t="s" s="2">
        <v>17</v>
      </c>
      <c r="F3161" t="s" s="2">
        <f>HYPERLINK("http://ts.21cn.com/tousu/show/id/1370743","http://ts.21cn.com/tousu/show/id/1370743")</f>
      </c>
      <c r="G3161" t="s" s="2">
        <v>17</v>
      </c>
      <c r="H3161" t="s" s="2">
        <v>19</v>
      </c>
      <c r="I3161" t="s" s="2">
        <v>12339</v>
      </c>
      <c r="J3161" t="s" s="2">
        <v>12340</v>
      </c>
      <c r="K3161" t="s" s="2">
        <v>22</v>
      </c>
      <c r="L3161" t="s" s="2">
        <v>22</v>
      </c>
      <c r="M3161" t="s" s="2">
        <v>22</v>
      </c>
    </row>
    <row r="3162" ht="25.0" customHeight="true">
      <c r="A3162" t="s" s="2">
        <v>13</v>
      </c>
      <c r="B3162" t="s" s="2">
        <f>HYPERLINK("http://ts.21cn.com/tousu/show/id/1370742","小赢卡贷借款强制购买众安保险")</f>
      </c>
      <c r="C3162" t="s" s="2">
        <v>15</v>
      </c>
      <c r="D3162" t="s" s="2">
        <v>16</v>
      </c>
      <c r="E3162" t="s" s="2">
        <v>17</v>
      </c>
      <c r="F3162" t="s" s="2">
        <f>HYPERLINK("http://ts.21cn.com/tousu/show/id/1370742","http://ts.21cn.com/tousu/show/id/1370742")</f>
      </c>
      <c r="G3162" t="s" s="2">
        <v>17</v>
      </c>
      <c r="H3162" t="s" s="2">
        <v>19</v>
      </c>
      <c r="I3162" t="s" s="2">
        <v>12343</v>
      </c>
      <c r="J3162" t="s" s="2">
        <v>12344</v>
      </c>
      <c r="K3162" t="s" s="2">
        <v>22</v>
      </c>
      <c r="L3162" t="s" s="2">
        <v>22</v>
      </c>
      <c r="M3162" t="s" s="2">
        <v>22</v>
      </c>
    </row>
    <row r="3163" ht="25.0" customHeight="true">
      <c r="A3163" t="s" s="2">
        <v>13</v>
      </c>
      <c r="B3163" t="s" s="2">
        <f>HYPERLINK("http://ts.21cn.com/tousu/show/id/1370741","马上消费的安逸花，正常还款却无法使用")</f>
      </c>
      <c r="C3163" t="s" s="2">
        <v>52</v>
      </c>
      <c r="D3163" t="s" s="2">
        <v>16</v>
      </c>
      <c r="E3163" t="s" s="2">
        <v>17</v>
      </c>
      <c r="F3163" t="s" s="2">
        <f>HYPERLINK("http://ts.21cn.com/tousu/show/id/1370741","http://ts.21cn.com/tousu/show/id/1370741")</f>
      </c>
      <c r="G3163" t="s" s="2">
        <v>17</v>
      </c>
      <c r="H3163" t="s" s="2">
        <v>19</v>
      </c>
      <c r="I3163" t="s" s="2">
        <v>12347</v>
      </c>
      <c r="J3163" t="s" s="2">
        <v>12348</v>
      </c>
      <c r="K3163" t="s" s="2">
        <v>22</v>
      </c>
      <c r="L3163" t="s" s="2">
        <v>22</v>
      </c>
      <c r="M3163" t="s" s="2">
        <v>22</v>
      </c>
    </row>
    <row r="3164" ht="25.0" customHeight="true">
      <c r="A3164" t="s" s="2">
        <v>13</v>
      </c>
      <c r="B3164" t="s" s="2">
        <f>HYPERLINK("http://ts.21cn.com/tousu/show/id/1370740","兴业银行信用卡暴力催收")</f>
      </c>
      <c r="C3164" t="s" s="2">
        <v>15</v>
      </c>
      <c r="D3164" t="s" s="2">
        <v>16</v>
      </c>
      <c r="E3164" t="s" s="2">
        <v>17</v>
      </c>
      <c r="F3164" t="s" s="2">
        <f>HYPERLINK("http://ts.21cn.com/tousu/show/id/1370740","http://ts.21cn.com/tousu/show/id/1370740")</f>
      </c>
      <c r="G3164" t="s" s="2">
        <v>17</v>
      </c>
      <c r="H3164" t="s" s="2">
        <v>19</v>
      </c>
      <c r="I3164" t="s" s="2">
        <v>12351</v>
      </c>
      <c r="J3164" t="s" s="2">
        <v>12352</v>
      </c>
      <c r="K3164" t="s" s="2">
        <v>22</v>
      </c>
      <c r="L3164" t="s" s="2">
        <v>22</v>
      </c>
      <c r="M3164" t="s" s="2">
        <v>22</v>
      </c>
    </row>
    <row r="3165" ht="25.0" customHeight="true">
      <c r="A3165" t="s" s="2">
        <v>13</v>
      </c>
      <c r="B3165" t="s" s="2">
        <f>HYPERLINK("http://ts.21cn.com/tousu/show/id/1370739","闪管家暴力催收态度极其恶劣")</f>
      </c>
      <c r="C3165" t="s" s="2">
        <v>15</v>
      </c>
      <c r="D3165" t="s" s="2">
        <v>16</v>
      </c>
      <c r="E3165" t="s" s="2">
        <v>17</v>
      </c>
      <c r="F3165" t="s" s="2">
        <f>HYPERLINK("http://ts.21cn.com/tousu/show/id/1370739","http://ts.21cn.com/tousu/show/id/1370739")</f>
      </c>
      <c r="G3165" t="s" s="2">
        <v>17</v>
      </c>
      <c r="H3165" t="s" s="2">
        <v>19</v>
      </c>
      <c r="I3165" t="s" s="2">
        <v>12355</v>
      </c>
      <c r="J3165" t="s" s="2">
        <v>12356</v>
      </c>
      <c r="K3165" t="s" s="2">
        <v>22</v>
      </c>
      <c r="L3165" t="s" s="2">
        <v>22</v>
      </c>
      <c r="M3165" t="s" s="2">
        <v>22</v>
      </c>
    </row>
    <row r="3166" ht="25.0" customHeight="true">
      <c r="A3166" t="s" s="2">
        <v>13</v>
      </c>
      <c r="B3166" t="s" s="2">
        <f>HYPERLINK("http://ts.21cn.com/tousu/show/id/1370737","小花钱包恶意催收不停止")</f>
      </c>
      <c r="C3166" t="s" s="2">
        <v>15</v>
      </c>
      <c r="D3166" t="s" s="2">
        <v>16</v>
      </c>
      <c r="E3166" t="s" s="2">
        <v>17</v>
      </c>
      <c r="F3166" t="s" s="2">
        <f>HYPERLINK("http://ts.21cn.com/tousu/show/id/1370737","http://ts.21cn.com/tousu/show/id/1370737")</f>
      </c>
      <c r="G3166" t="s" s="2">
        <v>17</v>
      </c>
      <c r="H3166" t="s" s="2">
        <v>19</v>
      </c>
      <c r="I3166" t="s" s="2">
        <v>12359</v>
      </c>
      <c r="J3166" t="s" s="2">
        <v>12360</v>
      </c>
      <c r="K3166" t="s" s="2">
        <v>22</v>
      </c>
      <c r="L3166" t="s" s="2">
        <v>22</v>
      </c>
      <c r="M3166" t="s" s="2">
        <v>22</v>
      </c>
    </row>
    <row r="3167" ht="25.0" customHeight="true">
      <c r="A3167" t="s" s="2">
        <v>13</v>
      </c>
      <c r="B3167" t="s" s="2">
        <f>HYPERLINK("http://ts.21cn.com/tousu/show/id/1370736","资金不明情况被转走")</f>
      </c>
      <c r="C3167" t="s" s="2">
        <v>52</v>
      </c>
      <c r="D3167" t="s" s="2">
        <v>16</v>
      </c>
      <c r="E3167" t="s" s="2">
        <v>17</v>
      </c>
      <c r="F3167" t="s" s="2">
        <f>HYPERLINK("http://ts.21cn.com/tousu/show/id/1370736","http://ts.21cn.com/tousu/show/id/1370736")</f>
      </c>
      <c r="G3167" t="s" s="2">
        <v>17</v>
      </c>
      <c r="H3167" t="s" s="2">
        <v>19</v>
      </c>
      <c r="I3167" t="s" s="2">
        <v>12363</v>
      </c>
      <c r="J3167" t="s" s="2">
        <v>12364</v>
      </c>
      <c r="K3167" t="s" s="2">
        <v>22</v>
      </c>
      <c r="L3167" t="s" s="2">
        <v>22</v>
      </c>
      <c r="M3167" t="s" s="2">
        <v>22</v>
      </c>
    </row>
    <row r="3168" ht="25.0" customHeight="true">
      <c r="A3168" t="s" s="2">
        <v>13</v>
      </c>
      <c r="B3168" t="s" s="2">
        <f>HYPERLINK("http://ts.21cn.com/tousu/show/id/1370735","钱站阴阳合同变相收取高额利息")</f>
      </c>
      <c r="C3168" t="s" s="2">
        <v>15</v>
      </c>
      <c r="D3168" t="s" s="2">
        <v>16</v>
      </c>
      <c r="E3168" t="s" s="2">
        <v>17</v>
      </c>
      <c r="F3168" t="s" s="2">
        <f>HYPERLINK("http://ts.21cn.com/tousu/show/id/1370735","http://ts.21cn.com/tousu/show/id/1370735")</f>
      </c>
      <c r="G3168" t="s" s="2">
        <v>17</v>
      </c>
      <c r="H3168" t="s" s="2">
        <v>19</v>
      </c>
      <c r="I3168" t="s" s="2">
        <v>12367</v>
      </c>
      <c r="J3168" t="s" s="2">
        <v>12368</v>
      </c>
      <c r="K3168" t="s" s="2">
        <v>22</v>
      </c>
      <c r="L3168" t="s" s="2">
        <v>22</v>
      </c>
      <c r="M3168" t="s" s="2">
        <v>22</v>
      </c>
    </row>
    <row r="3169" ht="25.0" customHeight="true">
      <c r="A3169" t="s" s="2">
        <v>13</v>
      </c>
      <c r="B3169" t="s" s="2">
        <f>HYPERLINK("http://ts.21cn.com/tousu/show/id/1370734","快贷暴力催收爆通讯录，")</f>
      </c>
      <c r="C3169" t="s" s="2">
        <v>15</v>
      </c>
      <c r="D3169" t="s" s="2">
        <v>16</v>
      </c>
      <c r="E3169" t="s" s="2">
        <v>17</v>
      </c>
      <c r="F3169" t="s" s="2">
        <f>HYPERLINK("http://ts.21cn.com/tousu/show/id/1370734","http://ts.21cn.com/tousu/show/id/1370734")</f>
      </c>
      <c r="G3169" t="s" s="2">
        <v>17</v>
      </c>
      <c r="H3169" t="s" s="2">
        <v>19</v>
      </c>
      <c r="I3169" t="s" s="2">
        <v>12371</v>
      </c>
      <c r="J3169" t="s" s="2">
        <v>12372</v>
      </c>
      <c r="K3169" t="s" s="2">
        <v>22</v>
      </c>
      <c r="L3169" t="s" s="2">
        <v>22</v>
      </c>
      <c r="M3169" t="s" s="2">
        <v>22</v>
      </c>
    </row>
    <row r="3170" ht="25.0" customHeight="true">
      <c r="A3170" t="s" s="2">
        <v>13</v>
      </c>
      <c r="B3170" t="s" s="2">
        <f>HYPERLINK("http://ts.21cn.com/tousu/show/id/1370733","捷信公司乱崔帐打扰我正常生活秩序")</f>
      </c>
      <c r="C3170" t="s" s="2">
        <v>15</v>
      </c>
      <c r="D3170" t="s" s="2">
        <v>16</v>
      </c>
      <c r="E3170" t="s" s="2">
        <v>17</v>
      </c>
      <c r="F3170" t="s" s="2">
        <f>HYPERLINK("http://ts.21cn.com/tousu/show/id/1370733","http://ts.21cn.com/tousu/show/id/1370733")</f>
      </c>
      <c r="G3170" t="s" s="2">
        <v>17</v>
      </c>
      <c r="H3170" t="s" s="2">
        <v>19</v>
      </c>
      <c r="I3170" t="s" s="2">
        <v>12375</v>
      </c>
      <c r="J3170" t="s" s="2">
        <v>12376</v>
      </c>
      <c r="K3170" t="s" s="2">
        <v>22</v>
      </c>
      <c r="L3170" t="s" s="2">
        <v>22</v>
      </c>
      <c r="M3170" t="s" s="2">
        <v>22</v>
      </c>
    </row>
    <row r="3171" ht="25.0" customHeight="true">
      <c r="A3171" t="s" s="2">
        <v>13</v>
      </c>
      <c r="B3171" t="s" s="2">
        <f>HYPERLINK("http://ts.21cn.com/tousu/show/id/1370731","京东白条委托第三方骚扰")</f>
      </c>
      <c r="C3171" t="s" s="2">
        <v>15</v>
      </c>
      <c r="D3171" t="s" s="2">
        <v>16</v>
      </c>
      <c r="E3171" t="s" s="2">
        <v>17</v>
      </c>
      <c r="F3171" t="s" s="2">
        <f>HYPERLINK("http://ts.21cn.com/tousu/show/id/1370731","http://ts.21cn.com/tousu/show/id/1370731")</f>
      </c>
      <c r="G3171" t="s" s="2">
        <v>17</v>
      </c>
      <c r="H3171" t="s" s="2">
        <v>19</v>
      </c>
      <c r="I3171" t="s" s="2">
        <v>12379</v>
      </c>
      <c r="J3171" t="s" s="2">
        <v>12380</v>
      </c>
      <c r="K3171" t="s" s="2">
        <v>22</v>
      </c>
      <c r="L3171" t="s" s="2">
        <v>22</v>
      </c>
      <c r="M3171" t="s" s="2">
        <v>22</v>
      </c>
    </row>
    <row r="3172" ht="25.0" customHeight="true">
      <c r="A3172" t="s" s="2">
        <v>13</v>
      </c>
      <c r="B3172" t="s" s="2">
        <f>HYPERLINK("http://ts.21cn.com/tousu/show/id/1370730","闪电借款购买黑卡借款失败")</f>
      </c>
      <c r="C3172" t="s" s="2">
        <v>52</v>
      </c>
      <c r="D3172" t="s" s="2">
        <v>16</v>
      </c>
      <c r="E3172" t="s" s="2">
        <v>17</v>
      </c>
      <c r="F3172" t="s" s="2">
        <f>HYPERLINK("http://ts.21cn.com/tousu/show/id/1370730","http://ts.21cn.com/tousu/show/id/1370730")</f>
      </c>
      <c r="G3172" t="s" s="2">
        <v>17</v>
      </c>
      <c r="H3172" t="s" s="2">
        <v>19</v>
      </c>
      <c r="I3172" t="s" s="2">
        <v>12379</v>
      </c>
      <c r="J3172" t="s" s="2">
        <v>12383</v>
      </c>
      <c r="K3172" t="s" s="2">
        <v>22</v>
      </c>
      <c r="L3172" t="s" s="2">
        <v>22</v>
      </c>
      <c r="M3172" t="s" s="2">
        <v>22</v>
      </c>
    </row>
    <row r="3173" ht="25.0" customHeight="true">
      <c r="A3173" t="s" s="2">
        <v>13</v>
      </c>
      <c r="B3173" t="s" s="2">
        <f>HYPERLINK("http://ts.21cn.com/tousu/show/id/1370732","欠款已结清，但我的损失，请马上消费金融负责")</f>
      </c>
      <c r="C3173" t="s" s="2">
        <v>15</v>
      </c>
      <c r="D3173" t="s" s="2">
        <v>16</v>
      </c>
      <c r="E3173" t="s" s="2">
        <v>17</v>
      </c>
      <c r="F3173" t="s" s="2">
        <f>HYPERLINK("http://ts.21cn.com/tousu/show/id/1370732","http://ts.21cn.com/tousu/show/id/1370732")</f>
      </c>
      <c r="G3173" t="s" s="2">
        <v>17</v>
      </c>
      <c r="H3173" t="s" s="2">
        <v>19</v>
      </c>
      <c r="I3173" t="s" s="2">
        <v>12386</v>
      </c>
      <c r="J3173" t="s" s="2">
        <v>12387</v>
      </c>
      <c r="K3173" t="s" s="2">
        <v>22</v>
      </c>
      <c r="L3173" t="s" s="2">
        <v>22</v>
      </c>
      <c r="M3173" t="s" s="2">
        <v>22</v>
      </c>
    </row>
    <row r="3174" ht="25.0" customHeight="true">
      <c r="A3174" t="s" s="2">
        <v>13</v>
      </c>
      <c r="B3174" t="s" s="2">
        <f>HYPERLINK("http://ts.21cn.com/tousu/show/id/1370729","钱包易贷催收")</f>
      </c>
      <c r="C3174" t="s" s="2">
        <v>15</v>
      </c>
      <c r="D3174" t="s" s="2">
        <v>16</v>
      </c>
      <c r="E3174" t="s" s="2">
        <v>17</v>
      </c>
      <c r="F3174" t="s" s="2">
        <f>HYPERLINK("http://ts.21cn.com/tousu/show/id/1370729","http://ts.21cn.com/tousu/show/id/1370729")</f>
      </c>
      <c r="G3174" t="s" s="2">
        <v>17</v>
      </c>
      <c r="H3174" t="s" s="2">
        <v>19</v>
      </c>
      <c r="I3174" t="s" s="2">
        <v>12390</v>
      </c>
      <c r="J3174" t="s" s="2">
        <v>12391</v>
      </c>
      <c r="K3174" t="s" s="2">
        <v>22</v>
      </c>
      <c r="L3174" t="s" s="2">
        <v>22</v>
      </c>
      <c r="M3174" t="s" s="2">
        <v>22</v>
      </c>
    </row>
    <row r="3175" ht="25.0" customHeight="true">
      <c r="A3175" t="s" s="2">
        <v>13</v>
      </c>
      <c r="B3175" t="s" s="2">
        <f>HYPERLINK("http://ts.21cn.com/tousu/show/id/1370738","申通快递恶意不配送")</f>
      </c>
      <c r="C3175" t="s" s="2">
        <v>15</v>
      </c>
      <c r="D3175" t="s" s="2">
        <v>16</v>
      </c>
      <c r="E3175" t="s" s="2">
        <v>17</v>
      </c>
      <c r="F3175" t="s" s="2">
        <f>HYPERLINK("http://ts.21cn.com/tousu/show/id/1370738","http://ts.21cn.com/tousu/show/id/1370738")</f>
      </c>
      <c r="G3175" t="s" s="2">
        <v>17</v>
      </c>
      <c r="H3175" t="s" s="2">
        <v>19</v>
      </c>
      <c r="I3175" t="s" s="2">
        <v>12394</v>
      </c>
      <c r="J3175" t="s" s="2">
        <v>12395</v>
      </c>
      <c r="K3175" t="s" s="2">
        <v>22</v>
      </c>
      <c r="L3175" t="s" s="2">
        <v>22</v>
      </c>
      <c r="M3175" t="s" s="2">
        <v>22</v>
      </c>
    </row>
    <row r="3176" ht="25.0" customHeight="true">
      <c r="A3176" t="s" s="2">
        <v>13</v>
      </c>
      <c r="B3176" t="s" s="2">
        <f>HYPERLINK("http://ts.21cn.com/tousu/show/id/1370728","上海昶昱黄金股份有限公司非法股权代持")</f>
      </c>
      <c r="C3176" t="s" s="2">
        <v>15</v>
      </c>
      <c r="D3176" t="s" s="2">
        <v>16</v>
      </c>
      <c r="E3176" t="s" s="2">
        <v>17</v>
      </c>
      <c r="F3176" t="s" s="2">
        <f>HYPERLINK("http://ts.21cn.com/tousu/show/id/1370728","http://ts.21cn.com/tousu/show/id/1370728")</f>
      </c>
      <c r="G3176" t="s" s="2">
        <v>17</v>
      </c>
      <c r="H3176" t="s" s="2">
        <v>19</v>
      </c>
      <c r="I3176" t="s" s="2">
        <v>12398</v>
      </c>
      <c r="J3176" t="s" s="2">
        <v>12399</v>
      </c>
      <c r="K3176" t="s" s="2">
        <v>22</v>
      </c>
      <c r="L3176" t="s" s="2">
        <v>22</v>
      </c>
      <c r="M3176" t="s" s="2">
        <v>22</v>
      </c>
    </row>
    <row r="3177" ht="25.0" customHeight="true">
      <c r="A3177" t="s" s="2">
        <v>13</v>
      </c>
      <c r="B3177" t="s" s="2">
        <f>HYPERLINK("http://ts.21cn.com/tousu/show/id/1370727","威胁，不给予商量余地")</f>
      </c>
      <c r="C3177" t="s" s="2">
        <v>15</v>
      </c>
      <c r="D3177" t="s" s="2">
        <v>16</v>
      </c>
      <c r="E3177" t="s" s="2">
        <v>17</v>
      </c>
      <c r="F3177" t="s" s="2">
        <f>HYPERLINK("http://ts.21cn.com/tousu/show/id/1370727","http://ts.21cn.com/tousu/show/id/1370727")</f>
      </c>
      <c r="G3177" t="s" s="2">
        <v>17</v>
      </c>
      <c r="H3177" t="s" s="2">
        <v>19</v>
      </c>
      <c r="I3177" t="s" s="2">
        <v>12402</v>
      </c>
      <c r="J3177" t="s" s="2">
        <v>12403</v>
      </c>
      <c r="K3177" t="s" s="2">
        <v>22</v>
      </c>
      <c r="L3177" t="s" s="2">
        <v>22</v>
      </c>
      <c r="M3177" t="s" s="2">
        <v>22</v>
      </c>
    </row>
    <row r="3178" ht="25.0" customHeight="true">
      <c r="A3178" t="s" s="2">
        <v>13</v>
      </c>
      <c r="B3178" t="s" s="2">
        <f>HYPERLINK("http://ts.21cn.com/tousu/show/id/1370726","拼多多第三方软件与宣传不符")</f>
      </c>
      <c r="C3178" t="s" s="2">
        <v>15</v>
      </c>
      <c r="D3178" t="s" s="2">
        <v>16</v>
      </c>
      <c r="E3178" t="s" s="2">
        <v>17</v>
      </c>
      <c r="F3178" t="s" s="2">
        <f>HYPERLINK("http://ts.21cn.com/tousu/show/id/1370726","http://ts.21cn.com/tousu/show/id/1370726")</f>
      </c>
      <c r="G3178" t="s" s="2">
        <v>17</v>
      </c>
      <c r="H3178" t="s" s="2">
        <v>19</v>
      </c>
      <c r="I3178" t="s" s="2">
        <v>12406</v>
      </c>
      <c r="J3178" t="s" s="2">
        <v>12407</v>
      </c>
      <c r="K3178" t="s" s="2">
        <v>22</v>
      </c>
      <c r="L3178" t="s" s="2">
        <v>22</v>
      </c>
      <c r="M3178" t="s" s="2">
        <v>22</v>
      </c>
    </row>
    <row r="3179" ht="25.0" customHeight="true">
      <c r="A3179" t="s" s="2">
        <v>13</v>
      </c>
      <c r="B3179" t="s" s="2">
        <f>HYPERLINK("http://ts.21cn.com/tousu/show/id/1370725","维信金科")</f>
      </c>
      <c r="C3179" t="s" s="2">
        <v>52</v>
      </c>
      <c r="D3179" t="s" s="2">
        <v>16</v>
      </c>
      <c r="E3179" t="s" s="2">
        <v>17</v>
      </c>
      <c r="F3179" t="s" s="2">
        <f>HYPERLINK("http://ts.21cn.com/tousu/show/id/1370725","http://ts.21cn.com/tousu/show/id/1370725")</f>
      </c>
      <c r="G3179" t="s" s="2">
        <v>17</v>
      </c>
      <c r="H3179" t="s" s="2">
        <v>19</v>
      </c>
      <c r="I3179" t="s" s="2">
        <v>12410</v>
      </c>
      <c r="J3179" t="s" s="2">
        <v>12411</v>
      </c>
      <c r="K3179" t="s" s="2">
        <v>22</v>
      </c>
      <c r="L3179" t="s" s="2">
        <v>22</v>
      </c>
      <c r="M3179" t="s" s="2">
        <v>22</v>
      </c>
    </row>
    <row r="3180" ht="25.0" customHeight="true">
      <c r="A3180" t="s" s="2">
        <v>13</v>
      </c>
      <c r="B3180" t="s" s="2">
        <f>HYPERLINK("http://ts.21cn.com/tousu/show/id/1370724","白领贷麦子金服暴力催收")</f>
      </c>
      <c r="C3180" t="s" s="2">
        <v>15</v>
      </c>
      <c r="D3180" t="s" s="2">
        <v>16</v>
      </c>
      <c r="E3180" t="s" s="2">
        <v>17</v>
      </c>
      <c r="F3180" t="s" s="2">
        <f>HYPERLINK("http://ts.21cn.com/tousu/show/id/1370724","http://ts.21cn.com/tousu/show/id/1370724")</f>
      </c>
      <c r="G3180" t="s" s="2">
        <v>17</v>
      </c>
      <c r="H3180" t="s" s="2">
        <v>19</v>
      </c>
      <c r="I3180" t="s" s="2">
        <v>12414</v>
      </c>
      <c r="J3180" t="s" s="2">
        <v>12415</v>
      </c>
      <c r="K3180" t="s" s="2">
        <v>22</v>
      </c>
      <c r="L3180" t="s" s="2">
        <v>22</v>
      </c>
      <c r="M3180" t="s" s="2">
        <v>22</v>
      </c>
    </row>
    <row r="3181" ht="25.0" customHeight="true">
      <c r="A3181" t="s" s="2">
        <v>13</v>
      </c>
      <c r="B3181" t="s" s="2">
        <f>HYPERLINK("http://ts.21cn.com/tousu/show/id/1370723","招联金融暴力催收")</f>
      </c>
      <c r="C3181" t="s" s="2">
        <v>15</v>
      </c>
      <c r="D3181" t="s" s="2">
        <v>16</v>
      </c>
      <c r="E3181" t="s" s="2">
        <v>17</v>
      </c>
      <c r="F3181" t="s" s="2">
        <f>HYPERLINK("http://ts.21cn.com/tousu/show/id/1370723","http://ts.21cn.com/tousu/show/id/1370723")</f>
      </c>
      <c r="G3181" t="s" s="2">
        <v>17</v>
      </c>
      <c r="H3181" t="s" s="2">
        <v>19</v>
      </c>
      <c r="I3181" t="s" s="2">
        <v>12417</v>
      </c>
      <c r="J3181" t="s" s="2">
        <v>12418</v>
      </c>
      <c r="K3181" t="s" s="2">
        <v>22</v>
      </c>
      <c r="L3181" t="s" s="2">
        <v>22</v>
      </c>
      <c r="M3181" t="s" s="2">
        <v>22</v>
      </c>
    </row>
    <row r="3182" ht="25.0" customHeight="true">
      <c r="A3182" t="s" s="2">
        <v>13</v>
      </c>
      <c r="B3182" t="s" s="2">
        <f>HYPERLINK("http://ts.21cn.com/tousu/show/id/1370722","借款没到账就显示放款成功")</f>
      </c>
      <c r="C3182" t="s" s="2">
        <v>15</v>
      </c>
      <c r="D3182" t="s" s="2">
        <v>16</v>
      </c>
      <c r="E3182" t="s" s="2">
        <v>17</v>
      </c>
      <c r="F3182" t="s" s="2">
        <f>HYPERLINK("http://ts.21cn.com/tousu/show/id/1370722","http://ts.21cn.com/tousu/show/id/1370722")</f>
      </c>
      <c r="G3182" t="s" s="2">
        <v>17</v>
      </c>
      <c r="H3182" t="s" s="2">
        <v>19</v>
      </c>
      <c r="I3182" t="s" s="2">
        <v>12421</v>
      </c>
      <c r="J3182" t="s" s="2">
        <v>12422</v>
      </c>
      <c r="K3182" t="s" s="2">
        <v>22</v>
      </c>
      <c r="L3182" t="s" s="2">
        <v>22</v>
      </c>
      <c r="M3182" t="s" s="2">
        <v>22</v>
      </c>
    </row>
    <row r="3183" ht="25.0" customHeight="true">
      <c r="A3183" t="s" s="2">
        <v>13</v>
      </c>
      <c r="B3183" t="s" s="2">
        <f>HYPERLINK("http://ts.21cn.com/tousu/show/id/1370720","玖富万卡高利贷，砍头息，阴阳合同")</f>
      </c>
      <c r="C3183" t="s" s="2">
        <v>15</v>
      </c>
      <c r="D3183" t="s" s="2">
        <v>16</v>
      </c>
      <c r="E3183" t="s" s="2">
        <v>17</v>
      </c>
      <c r="F3183" t="s" s="2">
        <f>HYPERLINK("http://ts.21cn.com/tousu/show/id/1370720","http://ts.21cn.com/tousu/show/id/1370720")</f>
      </c>
      <c r="G3183" t="s" s="2">
        <v>17</v>
      </c>
      <c r="H3183" t="s" s="2">
        <v>19</v>
      </c>
      <c r="I3183" t="s" s="2">
        <v>12425</v>
      </c>
      <c r="J3183" t="s" s="2">
        <v>12426</v>
      </c>
      <c r="K3183" t="s" s="2">
        <v>22</v>
      </c>
      <c r="L3183" t="s" s="2">
        <v>22</v>
      </c>
      <c r="M3183" t="s" s="2">
        <v>22</v>
      </c>
    </row>
    <row r="3184" ht="25.0" customHeight="true">
      <c r="A3184" t="s" s="2">
        <v>13</v>
      </c>
      <c r="B3184" t="s" s="2">
        <f>HYPERLINK("http://ts.21cn.com/tousu/show/id/1370719","拍拍贷")</f>
      </c>
      <c r="C3184" t="s" s="2">
        <v>15</v>
      </c>
      <c r="D3184" t="s" s="2">
        <v>16</v>
      </c>
      <c r="E3184" t="s" s="2">
        <v>17</v>
      </c>
      <c r="F3184" t="s" s="2">
        <f>HYPERLINK("http://ts.21cn.com/tousu/show/id/1370719","http://ts.21cn.com/tousu/show/id/1370719")</f>
      </c>
      <c r="G3184" t="s" s="2">
        <v>17</v>
      </c>
      <c r="H3184" t="s" s="2">
        <v>19</v>
      </c>
      <c r="I3184" t="s" s="2">
        <v>12429</v>
      </c>
      <c r="J3184" t="s" s="2">
        <v>12430</v>
      </c>
      <c r="K3184" t="s" s="2">
        <v>22</v>
      </c>
      <c r="L3184" t="s" s="2">
        <v>22</v>
      </c>
      <c r="M3184" t="s" s="2">
        <v>22</v>
      </c>
    </row>
    <row r="3185" ht="25.0" customHeight="true">
      <c r="A3185" t="s" s="2">
        <v>13</v>
      </c>
      <c r="B3185" t="s" s="2">
        <f>HYPERLINK("http://ts.21cn.com/tousu/show/id/1370717","现在的移动客服有什么用")</f>
      </c>
      <c r="C3185" t="s" s="2">
        <v>15</v>
      </c>
      <c r="D3185" t="s" s="2">
        <v>16</v>
      </c>
      <c r="E3185" t="s" s="2">
        <v>17</v>
      </c>
      <c r="F3185" t="s" s="2">
        <f>HYPERLINK("http://ts.21cn.com/tousu/show/id/1370717","http://ts.21cn.com/tousu/show/id/1370717")</f>
      </c>
      <c r="G3185" t="s" s="2">
        <v>17</v>
      </c>
      <c r="H3185" t="s" s="2">
        <v>19</v>
      </c>
      <c r="I3185" t="s" s="2">
        <v>12433</v>
      </c>
      <c r="J3185" t="s" s="2">
        <v>12434</v>
      </c>
      <c r="K3185" t="s" s="2">
        <v>22</v>
      </c>
      <c r="L3185" t="s" s="2">
        <v>22</v>
      </c>
      <c r="M3185" t="s" s="2">
        <v>22</v>
      </c>
    </row>
    <row r="3186" ht="25.0" customHeight="true">
      <c r="A3186" t="s" s="2">
        <v>13</v>
      </c>
      <c r="B3186" t="s" s="2">
        <f>HYPERLINK("http://ts.21cn.com/tousu/show/id/1370718","减免超利，逾期费。")</f>
      </c>
      <c r="C3186" t="s" s="2">
        <v>52</v>
      </c>
      <c r="D3186" t="s" s="2">
        <v>16</v>
      </c>
      <c r="E3186" t="s" s="2">
        <v>17</v>
      </c>
      <c r="F3186" t="s" s="2">
        <f>HYPERLINK("http://ts.21cn.com/tousu/show/id/1370718","http://ts.21cn.com/tousu/show/id/1370718")</f>
      </c>
      <c r="G3186" t="s" s="2">
        <v>17</v>
      </c>
      <c r="H3186" t="s" s="2">
        <v>19</v>
      </c>
      <c r="I3186" t="s" s="2">
        <v>12437</v>
      </c>
      <c r="J3186" t="s" s="2">
        <v>12438</v>
      </c>
      <c r="K3186" t="s" s="2">
        <v>22</v>
      </c>
      <c r="L3186" t="s" s="2">
        <v>22</v>
      </c>
      <c r="M3186" t="s" s="2">
        <v>22</v>
      </c>
    </row>
    <row r="3187" ht="25.0" customHeight="true">
      <c r="A3187" t="s" s="2">
        <v>13</v>
      </c>
      <c r="B3187" t="s" s="2">
        <f>HYPERLINK("http://ts.21cn.com/tousu/show/id/1370716","不给派订单。")</f>
      </c>
      <c r="C3187" t="s" s="2">
        <v>52</v>
      </c>
      <c r="D3187" t="s" s="2">
        <v>16</v>
      </c>
      <c r="E3187" t="s" s="2">
        <v>17</v>
      </c>
      <c r="F3187" t="s" s="2">
        <f>HYPERLINK("http://ts.21cn.com/tousu/show/id/1370716","http://ts.21cn.com/tousu/show/id/1370716")</f>
      </c>
      <c r="G3187" t="s" s="2">
        <v>17</v>
      </c>
      <c r="H3187" t="s" s="2">
        <v>19</v>
      </c>
      <c r="I3187" t="s" s="2">
        <v>12441</v>
      </c>
      <c r="J3187" t="s" s="2">
        <v>12442</v>
      </c>
      <c r="K3187" t="s" s="2">
        <v>22</v>
      </c>
      <c r="L3187" t="s" s="2">
        <v>22</v>
      </c>
      <c r="M3187" t="s" s="2">
        <v>22</v>
      </c>
    </row>
    <row r="3188" ht="25.0" customHeight="true">
      <c r="A3188" t="s" s="2">
        <v>13</v>
      </c>
      <c r="B3188" t="s" s="2">
        <f>HYPERLINK("http://ts.21cn.com/tousu/show/id/1370715","暴力催收")</f>
      </c>
      <c r="C3188" t="s" s="2">
        <v>15</v>
      </c>
      <c r="D3188" t="s" s="2">
        <v>16</v>
      </c>
      <c r="E3188" t="s" s="2">
        <v>17</v>
      </c>
      <c r="F3188" t="s" s="2">
        <f>HYPERLINK("http://ts.21cn.com/tousu/show/id/1370715","http://ts.21cn.com/tousu/show/id/1370715")</f>
      </c>
      <c r="G3188" t="s" s="2">
        <v>17</v>
      </c>
      <c r="H3188" t="s" s="2">
        <v>19</v>
      </c>
      <c r="I3188" t="s" s="2">
        <v>12444</v>
      </c>
      <c r="J3188" t="s" s="2">
        <v>12445</v>
      </c>
      <c r="K3188" t="s" s="2">
        <v>22</v>
      </c>
      <c r="L3188" t="s" s="2">
        <v>22</v>
      </c>
      <c r="M3188" t="s" s="2">
        <v>22</v>
      </c>
    </row>
    <row r="3189" ht="25.0" customHeight="true">
      <c r="A3189" t="s" s="2">
        <v>13</v>
      </c>
      <c r="B3189" t="s" s="2">
        <f>HYPERLINK("http://ts.21cn.com/tousu/show/id/1370714","建设银行信用卡收取高额违约金")</f>
      </c>
      <c r="C3189" t="s" s="2">
        <v>15</v>
      </c>
      <c r="D3189" t="s" s="2">
        <v>16</v>
      </c>
      <c r="E3189" t="s" s="2">
        <v>17</v>
      </c>
      <c r="F3189" t="s" s="2">
        <f>HYPERLINK("http://ts.21cn.com/tousu/show/id/1370714","http://ts.21cn.com/tousu/show/id/1370714")</f>
      </c>
      <c r="G3189" t="s" s="2">
        <v>17</v>
      </c>
      <c r="H3189" t="s" s="2">
        <v>19</v>
      </c>
      <c r="I3189" t="s" s="2">
        <v>12444</v>
      </c>
      <c r="J3189" t="s" s="2">
        <v>12448</v>
      </c>
      <c r="K3189" t="s" s="2">
        <v>22</v>
      </c>
      <c r="L3189" t="s" s="2">
        <v>22</v>
      </c>
      <c r="M3189" t="s" s="2">
        <v>22</v>
      </c>
    </row>
    <row r="3190" ht="25.0" customHeight="true">
      <c r="A3190" t="s" s="2">
        <v>13</v>
      </c>
      <c r="B3190" t="s" s="2">
        <f>HYPERLINK("http://ts.21cn.com/tousu/show/id/1370702","投诉万和利用客户答谢会套路销售净水器。")</f>
      </c>
      <c r="C3190" t="s" s="2">
        <v>15</v>
      </c>
      <c r="D3190" t="s" s="2">
        <v>16</v>
      </c>
      <c r="E3190" t="s" s="2">
        <v>17</v>
      </c>
      <c r="F3190" t="s" s="2">
        <f>HYPERLINK("http://ts.21cn.com/tousu/show/id/1370702","http://ts.21cn.com/tousu/show/id/1370702")</f>
      </c>
      <c r="G3190" t="s" s="2">
        <v>17</v>
      </c>
      <c r="H3190" t="s" s="2">
        <v>19</v>
      </c>
      <c r="I3190" t="s" s="2">
        <v>12451</v>
      </c>
      <c r="J3190" t="s" s="2">
        <v>12452</v>
      </c>
      <c r="K3190" t="s" s="2">
        <v>22</v>
      </c>
      <c r="L3190" t="s" s="2">
        <v>22</v>
      </c>
      <c r="M3190" t="s" s="2">
        <v>22</v>
      </c>
    </row>
    <row r="3191" ht="25.0" customHeight="true">
      <c r="A3191" t="s" s="2">
        <v>13</v>
      </c>
      <c r="B3191" t="s" s="2">
        <f>HYPERLINK("http://ts.21cn.com/tousu/show/id/1370713","电话骚扰")</f>
      </c>
      <c r="C3191" t="s" s="2">
        <v>15</v>
      </c>
      <c r="D3191" t="s" s="2">
        <v>16</v>
      </c>
      <c r="E3191" t="s" s="2">
        <v>17</v>
      </c>
      <c r="F3191" t="s" s="2">
        <f>HYPERLINK("http://ts.21cn.com/tousu/show/id/1370713","http://ts.21cn.com/tousu/show/id/1370713")</f>
      </c>
      <c r="G3191" t="s" s="2">
        <v>17</v>
      </c>
      <c r="H3191" t="s" s="2">
        <v>19</v>
      </c>
      <c r="I3191" t="s" s="2">
        <v>12454</v>
      </c>
      <c r="J3191" t="s" s="2">
        <v>12455</v>
      </c>
      <c r="K3191" t="s" s="2">
        <v>22</v>
      </c>
      <c r="L3191" t="s" s="2">
        <v>22</v>
      </c>
      <c r="M3191" t="s" s="2">
        <v>22</v>
      </c>
    </row>
    <row r="3192" ht="25.0" customHeight="true">
      <c r="A3192" t="s" s="2">
        <v>13</v>
      </c>
      <c r="B3192" t="s" s="2">
        <f>HYPERLINK("http://ts.21cn.com/tousu/show/id/1370712","易鑫车贷黑心车贷")</f>
      </c>
      <c r="C3192" t="s" s="2">
        <v>15</v>
      </c>
      <c r="D3192" t="s" s="2">
        <v>16</v>
      </c>
      <c r="E3192" t="s" s="2">
        <v>17</v>
      </c>
      <c r="F3192" t="s" s="2">
        <f>HYPERLINK("http://ts.21cn.com/tousu/show/id/1370712","http://ts.21cn.com/tousu/show/id/1370712")</f>
      </c>
      <c r="G3192" t="s" s="2">
        <v>17</v>
      </c>
      <c r="H3192" t="s" s="2">
        <v>19</v>
      </c>
      <c r="I3192" t="s" s="2">
        <v>12458</v>
      </c>
      <c r="J3192" t="s" s="2">
        <v>12459</v>
      </c>
      <c r="K3192" t="s" s="2">
        <v>22</v>
      </c>
      <c r="L3192" t="s" s="2">
        <v>22</v>
      </c>
      <c r="M3192" t="s" s="2">
        <v>22</v>
      </c>
    </row>
    <row r="3193" ht="25.0" customHeight="true">
      <c r="A3193" t="s" s="2">
        <v>13</v>
      </c>
      <c r="B3193" t="s" s="2">
        <f>HYPERLINK("http://ts.21cn.com/tousu/show/id/1370711","民生银行暴力催收")</f>
      </c>
      <c r="C3193" t="s" s="2">
        <v>15</v>
      </c>
      <c r="D3193" t="s" s="2">
        <v>16</v>
      </c>
      <c r="E3193" t="s" s="2">
        <v>17</v>
      </c>
      <c r="F3193" t="s" s="2">
        <f>HYPERLINK("http://ts.21cn.com/tousu/show/id/1370711","http://ts.21cn.com/tousu/show/id/1370711")</f>
      </c>
      <c r="G3193" t="s" s="2">
        <v>17</v>
      </c>
      <c r="H3193" t="s" s="2">
        <v>19</v>
      </c>
      <c r="I3193" t="s" s="2">
        <v>12462</v>
      </c>
      <c r="J3193" t="s" s="2">
        <v>12463</v>
      </c>
      <c r="K3193" t="s" s="2">
        <v>22</v>
      </c>
      <c r="L3193" t="s" s="2">
        <v>22</v>
      </c>
      <c r="M3193" t="s" s="2">
        <v>22</v>
      </c>
    </row>
    <row r="3194" ht="25.0" customHeight="true">
      <c r="A3194" t="s" s="2">
        <v>13</v>
      </c>
      <c r="B3194" t="s" s="2">
        <f>HYPERLINK("http://ts.21cn.com/tousu/show/id/1370710","百世普惠乱扣钱")</f>
      </c>
      <c r="C3194" t="s" s="2">
        <v>15</v>
      </c>
      <c r="D3194" t="s" s="2">
        <v>16</v>
      </c>
      <c r="E3194" t="s" s="2">
        <v>17</v>
      </c>
      <c r="F3194" t="s" s="2">
        <f>HYPERLINK("http://ts.21cn.com/tousu/show/id/1370710","http://ts.21cn.com/tousu/show/id/1370710")</f>
      </c>
      <c r="G3194" t="s" s="2">
        <v>17</v>
      </c>
      <c r="H3194" t="s" s="2">
        <v>19</v>
      </c>
      <c r="I3194" t="s" s="2">
        <v>12466</v>
      </c>
      <c r="J3194" t="s" s="2">
        <v>12467</v>
      </c>
      <c r="K3194" t="s" s="2">
        <v>22</v>
      </c>
      <c r="L3194" t="s" s="2">
        <v>22</v>
      </c>
      <c r="M3194" t="s" s="2">
        <v>22</v>
      </c>
    </row>
    <row r="3195" ht="25.0" customHeight="true">
      <c r="A3195" t="s" s="2">
        <v>13</v>
      </c>
      <c r="B3195" t="s" s="2">
        <f>HYPERLINK("http://ts.21cn.com/tousu/show/id/1370708","高利贷")</f>
      </c>
      <c r="C3195" t="s" s="2">
        <v>15</v>
      </c>
      <c r="D3195" t="s" s="2">
        <v>16</v>
      </c>
      <c r="E3195" t="s" s="2">
        <v>17</v>
      </c>
      <c r="F3195" t="s" s="2">
        <f>HYPERLINK("http://ts.21cn.com/tousu/show/id/1370708","http://ts.21cn.com/tousu/show/id/1370708")</f>
      </c>
      <c r="G3195" t="s" s="2">
        <v>17</v>
      </c>
      <c r="H3195" t="s" s="2">
        <v>19</v>
      </c>
      <c r="I3195" t="s" s="2">
        <v>12469</v>
      </c>
      <c r="J3195" t="s" s="2">
        <v>12470</v>
      </c>
      <c r="K3195" t="s" s="2">
        <v>22</v>
      </c>
      <c r="L3195" t="s" s="2">
        <v>22</v>
      </c>
      <c r="M3195" t="s" s="2">
        <v>22</v>
      </c>
    </row>
    <row r="3196" ht="25.0" customHeight="true">
      <c r="A3196" t="s" s="2">
        <v>13</v>
      </c>
      <c r="B3196" t="s" s="2">
        <f>HYPERLINK("http://ts.21cn.com/tousu/show/id/1370709","趣花分期")</f>
      </c>
      <c r="C3196" t="s" s="2">
        <v>15</v>
      </c>
      <c r="D3196" t="s" s="2">
        <v>16</v>
      </c>
      <c r="E3196" t="s" s="2">
        <v>17</v>
      </c>
      <c r="F3196" t="s" s="2">
        <f>HYPERLINK("http://ts.21cn.com/tousu/show/id/1370709","http://ts.21cn.com/tousu/show/id/1370709")</f>
      </c>
      <c r="G3196" t="s" s="2">
        <v>17</v>
      </c>
      <c r="H3196" t="s" s="2">
        <v>19</v>
      </c>
      <c r="I3196" t="s" s="2">
        <v>12469</v>
      </c>
      <c r="J3196" t="s" s="2">
        <v>12473</v>
      </c>
      <c r="K3196" t="s" s="2">
        <v>22</v>
      </c>
      <c r="L3196" t="s" s="2">
        <v>22</v>
      </c>
      <c r="M3196" t="s" s="2">
        <v>22</v>
      </c>
    </row>
    <row r="3197" ht="25.0" customHeight="true">
      <c r="A3197" t="s" s="2">
        <v>13</v>
      </c>
      <c r="B3197" t="s" s="2">
        <f>HYPERLINK("http://ts.21cn.com/tousu/show/id/1370707","恶意骚扰，恐吓，曝光通讯录")</f>
      </c>
      <c r="C3197" t="s" s="2">
        <v>15</v>
      </c>
      <c r="D3197" t="s" s="2">
        <v>16</v>
      </c>
      <c r="E3197" t="s" s="2">
        <v>17</v>
      </c>
      <c r="F3197" t="s" s="2">
        <f>HYPERLINK("http://ts.21cn.com/tousu/show/id/1370707","http://ts.21cn.com/tousu/show/id/1370707")</f>
      </c>
      <c r="G3197" t="s" s="2">
        <v>17</v>
      </c>
      <c r="H3197" t="s" s="2">
        <v>19</v>
      </c>
      <c r="I3197" t="s" s="2">
        <v>12476</v>
      </c>
      <c r="J3197" t="s" s="2">
        <v>12477</v>
      </c>
      <c r="K3197" t="s" s="2">
        <v>22</v>
      </c>
      <c r="L3197" t="s" s="2">
        <v>22</v>
      </c>
      <c r="M3197" t="s" s="2">
        <v>22</v>
      </c>
    </row>
    <row r="3198" ht="25.0" customHeight="true">
      <c r="A3198" t="s" s="2">
        <v>13</v>
      </c>
      <c r="B3198" t="s" s="2">
        <f>HYPERLINK("http://ts.21cn.com/tousu/show/id/1370706","不处理客户问题，非法占用他人钱财，贪污挪用资金")</f>
      </c>
      <c r="C3198" t="s" s="2">
        <v>15</v>
      </c>
      <c r="D3198" t="s" s="2">
        <v>16</v>
      </c>
      <c r="E3198" t="s" s="2">
        <v>17</v>
      </c>
      <c r="F3198" t="s" s="2">
        <f>HYPERLINK("http://ts.21cn.com/tousu/show/id/1370706","http://ts.21cn.com/tousu/show/id/1370706")</f>
      </c>
      <c r="G3198" t="s" s="2">
        <v>17</v>
      </c>
      <c r="H3198" t="s" s="2">
        <v>19</v>
      </c>
      <c r="I3198" t="s" s="2">
        <v>12480</v>
      </c>
      <c r="J3198" t="s" s="2">
        <v>12481</v>
      </c>
      <c r="K3198" t="s" s="2">
        <v>22</v>
      </c>
      <c r="L3198" t="s" s="2">
        <v>22</v>
      </c>
      <c r="M3198" t="s" s="2">
        <v>22</v>
      </c>
    </row>
    <row r="3199" ht="25.0" customHeight="true">
      <c r="A3199" t="s" s="2">
        <v>13</v>
      </c>
      <c r="B3199" t="s" s="2">
        <f>HYPERLINK("http://ts.21cn.com/tousu/show/id/1370705","拼多多商家拒开发票，拼多多平台不给解决")</f>
      </c>
      <c r="C3199" t="s" s="2">
        <v>15</v>
      </c>
      <c r="D3199" t="s" s="2">
        <v>16</v>
      </c>
      <c r="E3199" t="s" s="2">
        <v>17</v>
      </c>
      <c r="F3199" t="s" s="2">
        <f>HYPERLINK("http://ts.21cn.com/tousu/show/id/1370705","http://ts.21cn.com/tousu/show/id/1370705")</f>
      </c>
      <c r="G3199" t="s" s="2">
        <v>17</v>
      </c>
      <c r="H3199" t="s" s="2">
        <v>19</v>
      </c>
      <c r="I3199" t="s" s="2">
        <v>12484</v>
      </c>
      <c r="J3199" t="s" s="2">
        <v>12485</v>
      </c>
      <c r="K3199" t="s" s="2">
        <v>22</v>
      </c>
      <c r="L3199" t="s" s="2">
        <v>22</v>
      </c>
      <c r="M3199" t="s" s="2">
        <v>22</v>
      </c>
    </row>
    <row r="3200" ht="25.0" customHeight="true">
      <c r="A3200" t="s" s="2">
        <v>13</v>
      </c>
      <c r="B3200" t="s" s="2">
        <f>HYPERLINK("http://ts.21cn.com/tousu/show/id/1370704","京东售后不理，没到货，一直不退款")</f>
      </c>
      <c r="C3200" t="s" s="2">
        <v>15</v>
      </c>
      <c r="D3200" t="s" s="2">
        <v>16</v>
      </c>
      <c r="E3200" t="s" s="2">
        <v>17</v>
      </c>
      <c r="F3200" t="s" s="2">
        <f>HYPERLINK("http://ts.21cn.com/tousu/show/id/1370704","http://ts.21cn.com/tousu/show/id/1370704")</f>
      </c>
      <c r="G3200" t="s" s="2">
        <v>17</v>
      </c>
      <c r="H3200" t="s" s="2">
        <v>19</v>
      </c>
      <c r="I3200" t="s" s="2">
        <v>12488</v>
      </c>
      <c r="J3200" t="s" s="2">
        <v>12489</v>
      </c>
      <c r="K3200" t="s" s="2">
        <v>22</v>
      </c>
      <c r="L3200" t="s" s="2">
        <v>22</v>
      </c>
      <c r="M3200" t="s" s="2">
        <v>22</v>
      </c>
    </row>
    <row r="3201" ht="25.0" customHeight="true">
      <c r="A3201" t="s" s="2">
        <v>13</v>
      </c>
      <c r="B3201" t="s" s="2">
        <f>HYPERLINK("http://ts.21cn.com/tousu/show/id/1370701","尚德机构退费销售虚假宣传，售后态度恶劣")</f>
      </c>
      <c r="C3201" t="s" s="2">
        <v>15</v>
      </c>
      <c r="D3201" t="s" s="2">
        <v>16</v>
      </c>
      <c r="E3201" t="s" s="2">
        <v>17</v>
      </c>
      <c r="F3201" t="s" s="2">
        <f>HYPERLINK("http://ts.21cn.com/tousu/show/id/1370701","http://ts.21cn.com/tousu/show/id/1370701")</f>
      </c>
      <c r="G3201" t="s" s="2">
        <v>17</v>
      </c>
      <c r="H3201" t="s" s="2">
        <v>19</v>
      </c>
      <c r="I3201" t="s" s="2">
        <v>12492</v>
      </c>
      <c r="J3201" t="s" s="2">
        <v>12493</v>
      </c>
      <c r="K3201" t="s" s="2">
        <v>22</v>
      </c>
      <c r="L3201" t="s" s="2">
        <v>22</v>
      </c>
      <c r="M3201" t="s" s="2">
        <v>22</v>
      </c>
    </row>
    <row r="3202" ht="25.0" customHeight="true">
      <c r="A3202" t="s" s="2">
        <v>13</v>
      </c>
      <c r="B3202" t="s" s="2">
        <f>HYPERLINK("http://ts.21cn.com/tousu/show/id/1370703","捷信催收威胁我，要对我进行人身攻击")</f>
      </c>
      <c r="C3202" t="s" s="2">
        <v>15</v>
      </c>
      <c r="D3202" t="s" s="2">
        <v>16</v>
      </c>
      <c r="E3202" t="s" s="2">
        <v>17</v>
      </c>
      <c r="F3202" t="s" s="2">
        <f>HYPERLINK("http://ts.21cn.com/tousu/show/id/1370703","http://ts.21cn.com/tousu/show/id/1370703")</f>
      </c>
      <c r="G3202" t="s" s="2">
        <v>17</v>
      </c>
      <c r="H3202" t="s" s="2">
        <v>19</v>
      </c>
      <c r="I3202" t="s" s="2">
        <v>12496</v>
      </c>
      <c r="J3202" t="s" s="2">
        <v>12497</v>
      </c>
      <c r="K3202" t="s" s="2">
        <v>22</v>
      </c>
      <c r="L3202" t="s" s="2">
        <v>22</v>
      </c>
      <c r="M3202" t="s" s="2">
        <v>22</v>
      </c>
    </row>
    <row r="3203" ht="25.0" customHeight="true">
      <c r="A3203" t="s" s="2">
        <v>13</v>
      </c>
      <c r="B3203" t="s" s="2">
        <f>HYPERLINK("http://ts.21cn.com/tousu/show/id/1370698","拍拍贷称要联系亲戚朋友然后直接挂了")</f>
      </c>
      <c r="C3203" t="s" s="2">
        <v>15</v>
      </c>
      <c r="D3203" t="s" s="2">
        <v>16</v>
      </c>
      <c r="E3203" t="s" s="2">
        <v>17</v>
      </c>
      <c r="F3203" t="s" s="2">
        <f>HYPERLINK("http://ts.21cn.com/tousu/show/id/1370698","http://ts.21cn.com/tousu/show/id/1370698")</f>
      </c>
      <c r="G3203" t="s" s="2">
        <v>17</v>
      </c>
      <c r="H3203" t="s" s="2">
        <v>19</v>
      </c>
      <c r="I3203" t="s" s="2">
        <v>12500</v>
      </c>
      <c r="J3203" t="s" s="2">
        <v>12501</v>
      </c>
      <c r="K3203" t="s" s="2">
        <v>22</v>
      </c>
      <c r="L3203" t="s" s="2">
        <v>22</v>
      </c>
      <c r="M3203" t="s" s="2">
        <v>22</v>
      </c>
    </row>
    <row r="3204" ht="25.0" customHeight="true">
      <c r="A3204" t="s" s="2">
        <v>13</v>
      </c>
      <c r="B3204" t="s" s="2">
        <f>HYPERLINK("http://ts.21cn.com/tousu/show/id/1370695","安逸花暴力骚扰")</f>
      </c>
      <c r="C3204" t="s" s="2">
        <v>15</v>
      </c>
      <c r="D3204" t="s" s="2">
        <v>16</v>
      </c>
      <c r="E3204" t="s" s="2">
        <v>17</v>
      </c>
      <c r="F3204" t="s" s="2">
        <f>HYPERLINK("http://ts.21cn.com/tousu/show/id/1370695","http://ts.21cn.com/tousu/show/id/1370695")</f>
      </c>
      <c r="G3204" t="s" s="2">
        <v>17</v>
      </c>
      <c r="H3204" t="s" s="2">
        <v>19</v>
      </c>
      <c r="I3204" t="s" s="2">
        <v>12504</v>
      </c>
      <c r="J3204" t="s" s="2">
        <v>12505</v>
      </c>
      <c r="K3204" t="s" s="2">
        <v>22</v>
      </c>
      <c r="L3204" t="s" s="2">
        <v>22</v>
      </c>
      <c r="M3204" t="s" s="2">
        <v>22</v>
      </c>
    </row>
    <row r="3205" ht="25.0" customHeight="true">
      <c r="A3205" t="s" s="2">
        <v>13</v>
      </c>
      <c r="B3205" t="s" s="2">
        <f>HYPERLINK("http://ts.21cn.com/tousu/show/id/1370699","威胁")</f>
      </c>
      <c r="C3205" t="s" s="2">
        <v>15</v>
      </c>
      <c r="D3205" t="s" s="2">
        <v>16</v>
      </c>
      <c r="E3205" t="s" s="2">
        <v>17</v>
      </c>
      <c r="F3205" t="s" s="2">
        <f>HYPERLINK("http://ts.21cn.com/tousu/show/id/1370699","http://ts.21cn.com/tousu/show/id/1370699")</f>
      </c>
      <c r="G3205" t="s" s="2">
        <v>17</v>
      </c>
      <c r="H3205" t="s" s="2">
        <v>19</v>
      </c>
      <c r="I3205" t="s" s="2">
        <v>12507</v>
      </c>
      <c r="J3205" t="s" s="2">
        <v>12508</v>
      </c>
      <c r="K3205" t="s" s="2">
        <v>22</v>
      </c>
      <c r="L3205" t="s" s="2">
        <v>22</v>
      </c>
      <c r="M3205" t="s" s="2">
        <v>22</v>
      </c>
    </row>
    <row r="3206" ht="25.0" customHeight="true">
      <c r="A3206" t="s" s="2">
        <v>13</v>
      </c>
      <c r="B3206" t="s" s="2">
        <f>HYPERLINK("http://ts.21cn.com/tousu/show/id/1370697","有用分期（有钱用）变相高利贷")</f>
      </c>
      <c r="C3206" t="s" s="2">
        <v>15</v>
      </c>
      <c r="D3206" t="s" s="2">
        <v>16</v>
      </c>
      <c r="E3206" t="s" s="2">
        <v>17</v>
      </c>
      <c r="F3206" t="s" s="2">
        <f>HYPERLINK("http://ts.21cn.com/tousu/show/id/1370697","http://ts.21cn.com/tousu/show/id/1370697")</f>
      </c>
      <c r="G3206" t="s" s="2">
        <v>17</v>
      </c>
      <c r="H3206" t="s" s="2">
        <v>19</v>
      </c>
      <c r="I3206" t="s" s="2">
        <v>12507</v>
      </c>
      <c r="J3206" t="s" s="2">
        <v>12511</v>
      </c>
      <c r="K3206" t="s" s="2">
        <v>22</v>
      </c>
      <c r="L3206" t="s" s="2">
        <v>22</v>
      </c>
      <c r="M3206" t="s" s="2">
        <v>22</v>
      </c>
    </row>
    <row r="3207" ht="25.0" customHeight="true">
      <c r="A3207" t="s" s="2">
        <v>13</v>
      </c>
      <c r="B3207" t="s" s="2">
        <f>HYPERLINK("http://ts.21cn.com/tousu/show/id/1370696","易安保险拨打客服退保一直没人联系")</f>
      </c>
      <c r="C3207" t="s" s="2">
        <v>52</v>
      </c>
      <c r="D3207" t="s" s="2">
        <v>16</v>
      </c>
      <c r="E3207" t="s" s="2">
        <v>17</v>
      </c>
      <c r="F3207" t="s" s="2">
        <f>HYPERLINK("http://ts.21cn.com/tousu/show/id/1370696","http://ts.21cn.com/tousu/show/id/1370696")</f>
      </c>
      <c r="G3207" t="s" s="2">
        <v>17</v>
      </c>
      <c r="H3207" t="s" s="2">
        <v>19</v>
      </c>
      <c r="I3207" t="s" s="2">
        <v>12514</v>
      </c>
      <c r="J3207" t="s" s="2">
        <v>12515</v>
      </c>
      <c r="K3207" t="s" s="2">
        <v>22</v>
      </c>
      <c r="L3207" t="s" s="2">
        <v>22</v>
      </c>
      <c r="M3207" t="s" s="2">
        <v>22</v>
      </c>
    </row>
    <row r="3208" ht="25.0" customHeight="true">
      <c r="A3208" t="s" s="2">
        <v>13</v>
      </c>
      <c r="B3208" t="s" s="2">
        <f>HYPERLINK("http://ts.21cn.com/tousu/show/id/1370694","打电话发短信威胁我家人")</f>
      </c>
      <c r="C3208" t="s" s="2">
        <v>15</v>
      </c>
      <c r="D3208" t="s" s="2">
        <v>16</v>
      </c>
      <c r="E3208" t="s" s="2">
        <v>17</v>
      </c>
      <c r="F3208" t="s" s="2">
        <f>HYPERLINK("http://ts.21cn.com/tousu/show/id/1370694","http://ts.21cn.com/tousu/show/id/1370694")</f>
      </c>
      <c r="G3208" t="s" s="2">
        <v>17</v>
      </c>
      <c r="H3208" t="s" s="2">
        <v>19</v>
      </c>
      <c r="I3208" t="s" s="2">
        <v>12518</v>
      </c>
      <c r="J3208" t="s" s="2">
        <v>12519</v>
      </c>
      <c r="K3208" t="s" s="2">
        <v>22</v>
      </c>
      <c r="L3208" t="s" s="2">
        <v>22</v>
      </c>
      <c r="M3208" t="s" s="2">
        <v>22</v>
      </c>
    </row>
    <row r="3209" ht="25.0" customHeight="true">
      <c r="A3209" t="s" s="2">
        <v>13</v>
      </c>
      <c r="B3209" t="s" s="2">
        <f>HYPERLINK("http://ts.21cn.com/tousu/show/id/1370693","你我贷暴力催收")</f>
      </c>
      <c r="C3209" t="s" s="2">
        <v>15</v>
      </c>
      <c r="D3209" t="s" s="2">
        <v>16</v>
      </c>
      <c r="E3209" t="s" s="2">
        <v>17</v>
      </c>
      <c r="F3209" t="s" s="2">
        <f>HYPERLINK("http://ts.21cn.com/tousu/show/id/1370693","http://ts.21cn.com/tousu/show/id/1370693")</f>
      </c>
      <c r="G3209" t="s" s="2">
        <v>17</v>
      </c>
      <c r="H3209" t="s" s="2">
        <v>19</v>
      </c>
      <c r="I3209" t="s" s="2">
        <v>12521</v>
      </c>
      <c r="J3209" t="s" s="2">
        <v>12522</v>
      </c>
      <c r="K3209" t="s" s="2">
        <v>22</v>
      </c>
      <c r="L3209" t="s" s="2">
        <v>22</v>
      </c>
      <c r="M3209" t="s" s="2">
        <v>22</v>
      </c>
    </row>
    <row r="3210" ht="25.0" customHeight="true">
      <c r="A3210" t="s" s="2">
        <v>13</v>
      </c>
      <c r="B3210" t="s" s="2">
        <f>HYPERLINK("http://ts.21cn.com/tousu/show/id/1370692","钱伴暴力催收泄漏隐私")</f>
      </c>
      <c r="C3210" t="s" s="2">
        <v>15</v>
      </c>
      <c r="D3210" t="s" s="2">
        <v>16</v>
      </c>
      <c r="E3210" t="s" s="2">
        <v>17</v>
      </c>
      <c r="F3210" t="s" s="2">
        <f>HYPERLINK("http://ts.21cn.com/tousu/show/id/1370692","http://ts.21cn.com/tousu/show/id/1370692")</f>
      </c>
      <c r="G3210" t="s" s="2">
        <v>17</v>
      </c>
      <c r="H3210" t="s" s="2">
        <v>19</v>
      </c>
      <c r="I3210" t="s" s="2">
        <v>12525</v>
      </c>
      <c r="J3210" t="s" s="2">
        <v>12526</v>
      </c>
      <c r="K3210" t="s" s="2">
        <v>22</v>
      </c>
      <c r="L3210" t="s" s="2">
        <v>22</v>
      </c>
      <c r="M3210" t="s" s="2">
        <v>22</v>
      </c>
    </row>
    <row r="3211" ht="25.0" customHeight="true">
      <c r="A3211" t="s" s="2">
        <v>13</v>
      </c>
      <c r="B3211" t="s" s="2">
        <f>HYPERLINK("http://ts.21cn.com/tousu/show/id/1370691","并未欠钱，然后一直爆我通讯录，外加群发，还想上门，")</f>
      </c>
      <c r="C3211" t="s" s="2">
        <v>15</v>
      </c>
      <c r="D3211" t="s" s="2">
        <v>16</v>
      </c>
      <c r="E3211" t="s" s="2">
        <v>17</v>
      </c>
      <c r="F3211" t="s" s="2">
        <f>HYPERLINK("http://ts.21cn.com/tousu/show/id/1370691","http://ts.21cn.com/tousu/show/id/1370691")</f>
      </c>
      <c r="G3211" t="s" s="2">
        <v>17</v>
      </c>
      <c r="H3211" t="s" s="2">
        <v>19</v>
      </c>
      <c r="I3211" t="s" s="2">
        <v>12529</v>
      </c>
      <c r="J3211" t="s" s="2">
        <v>12530</v>
      </c>
      <c r="K3211" t="s" s="2">
        <v>22</v>
      </c>
      <c r="L3211" t="s" s="2">
        <v>22</v>
      </c>
      <c r="M3211" t="s" s="2">
        <v>22</v>
      </c>
    </row>
    <row r="3212" ht="25.0" customHeight="true">
      <c r="A3212" t="s" s="2">
        <v>13</v>
      </c>
      <c r="B3212" t="s" s="2">
        <f>HYPERLINK("http://ts.21cn.com/tousu/show/id/1370690","指上旅行暴力催收")</f>
      </c>
      <c r="C3212" t="s" s="2">
        <v>15</v>
      </c>
      <c r="D3212" t="s" s="2">
        <v>16</v>
      </c>
      <c r="E3212" t="s" s="2">
        <v>17</v>
      </c>
      <c r="F3212" t="s" s="2">
        <f>HYPERLINK("http://ts.21cn.com/tousu/show/id/1370690","http://ts.21cn.com/tousu/show/id/1370690")</f>
      </c>
      <c r="G3212" t="s" s="2">
        <v>17</v>
      </c>
      <c r="H3212" t="s" s="2">
        <v>19</v>
      </c>
      <c r="I3212" t="s" s="2">
        <v>12533</v>
      </c>
      <c r="J3212" t="s" s="2">
        <v>12534</v>
      </c>
      <c r="K3212" t="s" s="2">
        <v>22</v>
      </c>
      <c r="L3212" t="s" s="2">
        <v>22</v>
      </c>
      <c r="M3212" t="s" s="2">
        <v>22</v>
      </c>
    </row>
    <row r="3213" ht="25.0" customHeight="true">
      <c r="A3213" t="s" s="2">
        <v>13</v>
      </c>
      <c r="B3213" t="s" s="2">
        <f>HYPERLINK("http://ts.21cn.com/tousu/show/id/1370689","翼支付不当催收，软暴力催收")</f>
      </c>
      <c r="C3213" t="s" s="2">
        <v>15</v>
      </c>
      <c r="D3213" t="s" s="2">
        <v>16</v>
      </c>
      <c r="E3213" t="s" s="2">
        <v>17</v>
      </c>
      <c r="F3213" t="s" s="2">
        <f>HYPERLINK("http://ts.21cn.com/tousu/show/id/1370689","http://ts.21cn.com/tousu/show/id/1370689")</f>
      </c>
      <c r="G3213" t="s" s="2">
        <v>17</v>
      </c>
      <c r="H3213" t="s" s="2">
        <v>19</v>
      </c>
      <c r="I3213" t="s" s="2">
        <v>12537</v>
      </c>
      <c r="J3213" t="s" s="2">
        <v>12538</v>
      </c>
      <c r="K3213" t="s" s="2">
        <v>22</v>
      </c>
      <c r="L3213" t="s" s="2">
        <v>22</v>
      </c>
      <c r="M3213" t="s" s="2">
        <v>22</v>
      </c>
    </row>
    <row r="3214" ht="25.0" customHeight="true">
      <c r="A3214" t="s" s="2">
        <v>13</v>
      </c>
      <c r="B3214" t="s" s="2">
        <f>HYPERLINK("http://ts.21cn.com/tousu/show/id/1370664","众人帮包庇商家")</f>
      </c>
      <c r="C3214" t="s" s="2">
        <v>15</v>
      </c>
      <c r="D3214" t="s" s="2">
        <v>16</v>
      </c>
      <c r="E3214" t="s" s="2">
        <v>17</v>
      </c>
      <c r="F3214" t="s" s="2">
        <f>HYPERLINK("http://ts.21cn.com/tousu/show/id/1370664","http://ts.21cn.com/tousu/show/id/1370664")</f>
      </c>
      <c r="G3214" t="s" s="2">
        <v>17</v>
      </c>
      <c r="H3214" t="s" s="2">
        <v>19</v>
      </c>
      <c r="I3214" t="s" s="2">
        <v>12541</v>
      </c>
      <c r="J3214" t="s" s="2">
        <v>12542</v>
      </c>
      <c r="K3214" t="s" s="2">
        <v>22</v>
      </c>
      <c r="L3214" t="s" s="2">
        <v>22</v>
      </c>
      <c r="M3214" t="s" s="2">
        <v>22</v>
      </c>
    </row>
    <row r="3215" ht="25.0" customHeight="true">
      <c r="A3215" t="s" s="2">
        <v>13</v>
      </c>
      <c r="B3215" t="s" s="2">
        <f>HYPERLINK("http://ts.21cn.com/tousu/show/id/1370688","大米花花高额的砍头息逾期费")</f>
      </c>
      <c r="C3215" t="s" s="2">
        <v>52</v>
      </c>
      <c r="D3215" t="s" s="2">
        <v>16</v>
      </c>
      <c r="E3215" t="s" s="2">
        <v>17</v>
      </c>
      <c r="F3215" t="s" s="2">
        <f>HYPERLINK("http://ts.21cn.com/tousu/show/id/1370688","http://ts.21cn.com/tousu/show/id/1370688")</f>
      </c>
      <c r="G3215" t="s" s="2">
        <v>17</v>
      </c>
      <c r="H3215" t="s" s="2">
        <v>19</v>
      </c>
      <c r="I3215" t="s" s="2">
        <v>12545</v>
      </c>
      <c r="J3215" t="s" s="2">
        <v>12546</v>
      </c>
      <c r="K3215" t="s" s="2">
        <v>22</v>
      </c>
      <c r="L3215" t="s" s="2">
        <v>22</v>
      </c>
      <c r="M3215" t="s" s="2">
        <v>22</v>
      </c>
    </row>
    <row r="3216" ht="25.0" customHeight="true">
      <c r="A3216" t="s" s="2">
        <v>13</v>
      </c>
      <c r="B3216" t="s" s="2">
        <f>HYPERLINK("http://ts.21cn.com/tousu/show/id/1370686","高利贷恶意催收")</f>
      </c>
      <c r="C3216" t="s" s="2">
        <v>15</v>
      </c>
      <c r="D3216" t="s" s="2">
        <v>16</v>
      </c>
      <c r="E3216" t="s" s="2">
        <v>17</v>
      </c>
      <c r="F3216" t="s" s="2">
        <f>HYPERLINK("http://ts.21cn.com/tousu/show/id/1370686","http://ts.21cn.com/tousu/show/id/1370686")</f>
      </c>
      <c r="G3216" t="s" s="2">
        <v>17</v>
      </c>
      <c r="H3216" t="s" s="2">
        <v>19</v>
      </c>
      <c r="I3216" t="s" s="2">
        <v>12549</v>
      </c>
      <c r="J3216" t="s" s="2">
        <v>12550</v>
      </c>
      <c r="K3216" t="s" s="2">
        <v>22</v>
      </c>
      <c r="L3216" t="s" s="2">
        <v>22</v>
      </c>
      <c r="M3216" t="s" s="2">
        <v>22</v>
      </c>
    </row>
    <row r="3217" ht="25.0" customHeight="true">
      <c r="A3217" t="s" s="2">
        <v>13</v>
      </c>
      <c r="B3217" t="s" s="2">
        <f>HYPERLINK("http://ts.21cn.com/tousu/show/id/1370674","汇潮支付为714提供贷款支付")</f>
      </c>
      <c r="C3217" t="s" s="2">
        <v>15</v>
      </c>
      <c r="D3217" t="s" s="2">
        <v>16</v>
      </c>
      <c r="E3217" t="s" s="2">
        <v>17</v>
      </c>
      <c r="F3217" t="s" s="2">
        <f>HYPERLINK("http://ts.21cn.com/tousu/show/id/1370674","http://ts.21cn.com/tousu/show/id/1370674")</f>
      </c>
      <c r="G3217" t="s" s="2">
        <v>17</v>
      </c>
      <c r="H3217" t="s" s="2">
        <v>19</v>
      </c>
      <c r="I3217" t="s" s="2">
        <v>12553</v>
      </c>
      <c r="J3217" t="s" s="2">
        <v>12554</v>
      </c>
      <c r="K3217" t="s" s="2">
        <v>22</v>
      </c>
      <c r="L3217" t="s" s="2">
        <v>22</v>
      </c>
      <c r="M3217" t="s" s="2">
        <v>22</v>
      </c>
    </row>
    <row r="3218" ht="25.0" customHeight="true">
      <c r="A3218" t="s" s="2">
        <v>13</v>
      </c>
      <c r="B3218" t="s" s="2">
        <f>HYPERLINK("http://ts.21cn.com/tousu/show/id/1370687","你我贷威胁发照片")</f>
      </c>
      <c r="C3218" t="s" s="2">
        <v>15</v>
      </c>
      <c r="D3218" t="s" s="2">
        <v>16</v>
      </c>
      <c r="E3218" t="s" s="2">
        <v>17</v>
      </c>
      <c r="F3218" t="s" s="2">
        <f>HYPERLINK("http://ts.21cn.com/tousu/show/id/1370687","http://ts.21cn.com/tousu/show/id/1370687")</f>
      </c>
      <c r="G3218" t="s" s="2">
        <v>17</v>
      </c>
      <c r="H3218" t="s" s="2">
        <v>19</v>
      </c>
      <c r="I3218" t="s" s="2">
        <v>12557</v>
      </c>
      <c r="J3218" t="s" s="2">
        <v>12558</v>
      </c>
      <c r="K3218" t="s" s="2">
        <v>22</v>
      </c>
      <c r="L3218" t="s" s="2">
        <v>22</v>
      </c>
      <c r="M3218" t="s" s="2">
        <v>22</v>
      </c>
    </row>
    <row r="3219" ht="25.0" customHeight="true">
      <c r="A3219" t="s" s="2">
        <v>13</v>
      </c>
      <c r="B3219" t="s" s="2">
        <f>HYPERLINK("http://ts.21cn.com/tousu/show/id/1370685","跟男生见一面，不合适，要退款，却收我高达六千八的费用")</f>
      </c>
      <c r="C3219" t="s" s="2">
        <v>15</v>
      </c>
      <c r="D3219" t="s" s="2">
        <v>16</v>
      </c>
      <c r="E3219" t="s" s="2">
        <v>17</v>
      </c>
      <c r="F3219" t="s" s="2">
        <f>HYPERLINK("http://ts.21cn.com/tousu/show/id/1370685","http://ts.21cn.com/tousu/show/id/1370685")</f>
      </c>
      <c r="G3219" t="s" s="2">
        <v>17</v>
      </c>
      <c r="H3219" t="s" s="2">
        <v>19</v>
      </c>
      <c r="I3219" t="s" s="2">
        <v>12561</v>
      </c>
      <c r="J3219" t="s" s="2">
        <v>12562</v>
      </c>
      <c r="K3219" t="s" s="2">
        <v>22</v>
      </c>
      <c r="L3219" t="s" s="2">
        <v>22</v>
      </c>
      <c r="M3219" t="s" s="2">
        <v>22</v>
      </c>
    </row>
    <row r="3220" ht="25.0" customHeight="true">
      <c r="A3220" t="s" s="2">
        <v>13</v>
      </c>
      <c r="B3220" t="s" s="2">
        <f>HYPERLINK("http://ts.21cn.com/tousu/show/id/1370684","还没到还款日就开始打骚扰电话")</f>
      </c>
      <c r="C3220" t="s" s="2">
        <v>15</v>
      </c>
      <c r="D3220" t="s" s="2">
        <v>16</v>
      </c>
      <c r="E3220" t="s" s="2">
        <v>17</v>
      </c>
      <c r="F3220" t="s" s="2">
        <f>HYPERLINK("http://ts.21cn.com/tousu/show/id/1370684","http://ts.21cn.com/tousu/show/id/1370684")</f>
      </c>
      <c r="G3220" t="s" s="2">
        <v>17</v>
      </c>
      <c r="H3220" t="s" s="2">
        <v>19</v>
      </c>
      <c r="I3220" t="s" s="2">
        <v>12565</v>
      </c>
      <c r="J3220" t="s" s="2">
        <v>12566</v>
      </c>
      <c r="K3220" t="s" s="2">
        <v>22</v>
      </c>
      <c r="L3220" t="s" s="2">
        <v>22</v>
      </c>
      <c r="M3220" t="s" s="2">
        <v>22</v>
      </c>
    </row>
    <row r="3221" ht="25.0" customHeight="true">
      <c r="A3221" t="s" s="2">
        <v>13</v>
      </c>
      <c r="B3221" t="s" s="2">
        <f>HYPERLINK("http://ts.21cn.com/tousu/show/id/1370682","投诉中国招商银行信用卡")</f>
      </c>
      <c r="C3221" t="s" s="2">
        <v>15</v>
      </c>
      <c r="D3221" t="s" s="2">
        <v>16</v>
      </c>
      <c r="E3221" t="s" s="2">
        <v>17</v>
      </c>
      <c r="F3221" t="s" s="2">
        <f>HYPERLINK("http://ts.21cn.com/tousu/show/id/1370682","http://ts.21cn.com/tousu/show/id/1370682")</f>
      </c>
      <c r="G3221" t="s" s="2">
        <v>17</v>
      </c>
      <c r="H3221" t="s" s="2">
        <v>19</v>
      </c>
      <c r="I3221" t="s" s="2">
        <v>12569</v>
      </c>
      <c r="J3221" t="s" s="2">
        <v>12570</v>
      </c>
      <c r="K3221" t="s" s="2">
        <v>22</v>
      </c>
      <c r="L3221" t="s" s="2">
        <v>22</v>
      </c>
      <c r="M3221" t="s" s="2">
        <v>22</v>
      </c>
    </row>
    <row r="3222" ht="25.0" customHeight="true">
      <c r="A3222" t="s" s="2">
        <v>13</v>
      </c>
      <c r="B3222" t="s" s="2">
        <f>HYPERLINK("http://ts.21cn.com/tousu/show/id/1370683","协商还款")</f>
      </c>
      <c r="C3222" t="s" s="2">
        <v>15</v>
      </c>
      <c r="D3222" t="s" s="2">
        <v>16</v>
      </c>
      <c r="E3222" t="s" s="2">
        <v>17</v>
      </c>
      <c r="F3222" t="s" s="2">
        <f>HYPERLINK("http://ts.21cn.com/tousu/show/id/1370683","http://ts.21cn.com/tousu/show/id/1370683")</f>
      </c>
      <c r="G3222" t="s" s="2">
        <v>17</v>
      </c>
      <c r="H3222" t="s" s="2">
        <v>19</v>
      </c>
      <c r="I3222" t="s" s="2">
        <v>12572</v>
      </c>
      <c r="J3222" t="s" s="2">
        <v>12573</v>
      </c>
      <c r="K3222" t="s" s="2">
        <v>22</v>
      </c>
      <c r="L3222" t="s" s="2">
        <v>22</v>
      </c>
      <c r="M3222" t="s" s="2">
        <v>22</v>
      </c>
    </row>
    <row r="3223" ht="25.0" customHeight="true">
      <c r="A3223" t="s" s="2">
        <v>13</v>
      </c>
      <c r="B3223" t="s" s="2">
        <f>HYPERLINK("http://ts.21cn.com/tousu/show/id/1370662","御剑飞行高利息砍头息，强制放款，还款日不停骚扰，要求退还砍头息")</f>
      </c>
      <c r="C3223" t="s" s="2">
        <v>15</v>
      </c>
      <c r="D3223" t="s" s="2">
        <v>16</v>
      </c>
      <c r="E3223" t="s" s="2">
        <v>17</v>
      </c>
      <c r="F3223" t="s" s="2">
        <f>HYPERLINK("http://ts.21cn.com/tousu/show/id/1370662","http://ts.21cn.com/tousu/show/id/1370662")</f>
      </c>
      <c r="G3223" t="s" s="2">
        <v>17</v>
      </c>
      <c r="H3223" t="s" s="2">
        <v>19</v>
      </c>
      <c r="I3223" t="s" s="2">
        <v>12576</v>
      </c>
      <c r="J3223" t="s" s="2">
        <v>12577</v>
      </c>
      <c r="K3223" t="s" s="2">
        <v>22</v>
      </c>
      <c r="L3223" t="s" s="2">
        <v>22</v>
      </c>
      <c r="M3223" t="s" s="2">
        <v>22</v>
      </c>
    </row>
    <row r="3224" ht="25.0" customHeight="true">
      <c r="A3224" t="s" s="2">
        <v>13</v>
      </c>
      <c r="B3224" t="s" s="2">
        <f>HYPERLINK("http://ts.21cn.com/tousu/show/id/1370681","天下信用给高炮平台变相收取砍头息费用")</f>
      </c>
      <c r="C3224" t="s" s="2">
        <v>15</v>
      </c>
      <c r="D3224" t="s" s="2">
        <v>16</v>
      </c>
      <c r="E3224" t="s" s="2">
        <v>17</v>
      </c>
      <c r="F3224" t="s" s="2">
        <f>HYPERLINK("http://ts.21cn.com/tousu/show/id/1370681","http://ts.21cn.com/tousu/show/id/1370681")</f>
      </c>
      <c r="G3224" t="s" s="2">
        <v>17</v>
      </c>
      <c r="H3224" t="s" s="2">
        <v>19</v>
      </c>
      <c r="I3224" t="s" s="2">
        <v>12580</v>
      </c>
      <c r="J3224" t="s" s="2">
        <v>12581</v>
      </c>
      <c r="K3224" t="s" s="2">
        <v>22</v>
      </c>
      <c r="L3224" t="s" s="2">
        <v>22</v>
      </c>
      <c r="M3224" t="s" s="2">
        <v>22</v>
      </c>
    </row>
    <row r="3225" ht="25.0" customHeight="true">
      <c r="A3225" t="s" s="2">
        <v>13</v>
      </c>
      <c r="B3225" t="s" s="2">
        <f>HYPERLINK("http://ts.21cn.com/tousu/show/id/1370679","网贷平台工作人员对贷款人威胁恐吓")</f>
      </c>
      <c r="C3225" t="s" s="2">
        <v>15</v>
      </c>
      <c r="D3225" t="s" s="2">
        <v>16</v>
      </c>
      <c r="E3225" t="s" s="2">
        <v>17</v>
      </c>
      <c r="F3225" t="s" s="2">
        <f>HYPERLINK("http://ts.21cn.com/tousu/show/id/1370679","http://ts.21cn.com/tousu/show/id/1370679")</f>
      </c>
      <c r="G3225" t="s" s="2">
        <v>17</v>
      </c>
      <c r="H3225" t="s" s="2">
        <v>19</v>
      </c>
      <c r="I3225" t="s" s="2">
        <v>12584</v>
      </c>
      <c r="J3225" t="s" s="2">
        <v>12585</v>
      </c>
      <c r="K3225" t="s" s="2">
        <v>22</v>
      </c>
      <c r="L3225" t="s" s="2">
        <v>22</v>
      </c>
      <c r="M3225" t="s" s="2">
        <v>22</v>
      </c>
    </row>
    <row r="3226" ht="25.0" customHeight="true">
      <c r="A3226" t="s" s="2">
        <v>13</v>
      </c>
      <c r="B3226" t="s" s="2">
        <f>HYPERLINK("http://ts.21cn.com/tousu/show/id/1370680","口袋有米高利贷")</f>
      </c>
      <c r="C3226" t="s" s="2">
        <v>15</v>
      </c>
      <c r="D3226" t="s" s="2">
        <v>16</v>
      </c>
      <c r="E3226" t="s" s="2">
        <v>17</v>
      </c>
      <c r="F3226" t="s" s="2">
        <f>HYPERLINK("http://ts.21cn.com/tousu/show/id/1370680","http://ts.21cn.com/tousu/show/id/1370680")</f>
      </c>
      <c r="G3226" t="s" s="2">
        <v>17</v>
      </c>
      <c r="H3226" t="s" s="2">
        <v>19</v>
      </c>
      <c r="I3226" t="s" s="2">
        <v>12588</v>
      </c>
      <c r="J3226" t="s" s="2">
        <v>12589</v>
      </c>
      <c r="K3226" t="s" s="2">
        <v>22</v>
      </c>
      <c r="L3226" t="s" s="2">
        <v>22</v>
      </c>
      <c r="M3226" t="s" s="2">
        <v>22</v>
      </c>
    </row>
    <row r="3227" ht="25.0" customHeight="true">
      <c r="A3227" t="s" s="2">
        <v>13</v>
      </c>
      <c r="B3227" t="s" s="2">
        <f>HYPERLINK("http://ts.21cn.com/tousu/show/id/1370678","你我贷恶意催收，骚扰")</f>
      </c>
      <c r="C3227" t="s" s="2">
        <v>15</v>
      </c>
      <c r="D3227" t="s" s="2">
        <v>16</v>
      </c>
      <c r="E3227" t="s" s="2">
        <v>17</v>
      </c>
      <c r="F3227" t="s" s="2">
        <f>HYPERLINK("http://ts.21cn.com/tousu/show/id/1370678","http://ts.21cn.com/tousu/show/id/1370678")</f>
      </c>
      <c r="G3227" t="s" s="2">
        <v>17</v>
      </c>
      <c r="H3227" t="s" s="2">
        <v>19</v>
      </c>
      <c r="I3227" t="s" s="2">
        <v>12592</v>
      </c>
      <c r="J3227" t="s" s="2">
        <v>12593</v>
      </c>
      <c r="K3227" t="s" s="2">
        <v>22</v>
      </c>
      <c r="L3227" t="s" s="2">
        <v>22</v>
      </c>
      <c r="M3227" t="s" s="2">
        <v>22</v>
      </c>
    </row>
    <row r="3228" ht="25.0" customHeight="true">
      <c r="A3228" t="s" s="2">
        <v>13</v>
      </c>
      <c r="B3228" t="s" s="2">
        <f>HYPERLINK("http://ts.21cn.com/tousu/show/id/1370677","钱站和凡普信贷阴阳合同")</f>
      </c>
      <c r="C3228" t="s" s="2">
        <v>15</v>
      </c>
      <c r="D3228" t="s" s="2">
        <v>16</v>
      </c>
      <c r="E3228" t="s" s="2">
        <v>17</v>
      </c>
      <c r="F3228" t="s" s="2">
        <f>HYPERLINK("http://ts.21cn.com/tousu/show/id/1370677","http://ts.21cn.com/tousu/show/id/1370677")</f>
      </c>
      <c r="G3228" t="s" s="2">
        <v>17</v>
      </c>
      <c r="H3228" t="s" s="2">
        <v>19</v>
      </c>
      <c r="I3228" t="s" s="2">
        <v>12596</v>
      </c>
      <c r="J3228" t="s" s="2">
        <v>12597</v>
      </c>
      <c r="K3228" t="s" s="2">
        <v>22</v>
      </c>
      <c r="L3228" t="s" s="2">
        <v>22</v>
      </c>
      <c r="M3228" t="s" s="2">
        <v>22</v>
      </c>
    </row>
    <row r="3229" ht="25.0" customHeight="true">
      <c r="A3229" t="s" s="2">
        <v>13</v>
      </c>
      <c r="B3229" t="s" s="2">
        <f>HYPERLINK("http://ts.21cn.com/tousu/show/id/1370676","高利贷！714高炮！套路贷")</f>
      </c>
      <c r="C3229" t="s" s="2">
        <v>15</v>
      </c>
      <c r="D3229" t="s" s="2">
        <v>16</v>
      </c>
      <c r="E3229" t="s" s="2">
        <v>17</v>
      </c>
      <c r="F3229" t="s" s="2">
        <f>HYPERLINK("http://ts.21cn.com/tousu/show/id/1370676","http://ts.21cn.com/tousu/show/id/1370676")</f>
      </c>
      <c r="G3229" t="s" s="2">
        <v>17</v>
      </c>
      <c r="H3229" t="s" s="2">
        <v>19</v>
      </c>
      <c r="I3229" t="s" s="2">
        <v>12600</v>
      </c>
      <c r="J3229" t="s" s="2">
        <v>12601</v>
      </c>
      <c r="K3229" t="s" s="2">
        <v>22</v>
      </c>
      <c r="L3229" t="s" s="2">
        <v>22</v>
      </c>
      <c r="M3229" t="s" s="2">
        <v>22</v>
      </c>
    </row>
    <row r="3230" ht="25.0" customHeight="true">
      <c r="A3230" t="s" s="2">
        <v>13</v>
      </c>
      <c r="B3230" t="s" s="2">
        <f>HYPERLINK("http://ts.21cn.com/tousu/show/id/1370309","闪电微商坑消费者")</f>
      </c>
      <c r="C3230" t="s" s="2">
        <v>15</v>
      </c>
      <c r="D3230" t="s" s="2">
        <v>16</v>
      </c>
      <c r="E3230" t="s" s="2">
        <v>17</v>
      </c>
      <c r="F3230" t="s" s="2">
        <f>HYPERLINK("http://ts.21cn.com/tousu/show/id/1370309","http://ts.21cn.com/tousu/show/id/1370309")</f>
      </c>
      <c r="G3230" t="s" s="2">
        <v>17</v>
      </c>
      <c r="H3230" t="s" s="2">
        <v>19</v>
      </c>
      <c r="I3230" t="s" s="2">
        <v>12604</v>
      </c>
      <c r="J3230" t="s" s="2">
        <v>12605</v>
      </c>
      <c r="K3230" t="s" s="2">
        <v>22</v>
      </c>
      <c r="L3230" t="s" s="2">
        <v>22</v>
      </c>
      <c r="M3230" t="s" s="2">
        <v>22</v>
      </c>
    </row>
    <row r="3231" ht="25.0" customHeight="true">
      <c r="A3231" t="s" s="2">
        <v>13</v>
      </c>
      <c r="B3231" t="s" s="2">
        <f>HYPERLINK("http://ts.21cn.com/tousu/show/id/1370675","去花花砍头息高利贷")</f>
      </c>
      <c r="C3231" t="s" s="2">
        <v>15</v>
      </c>
      <c r="D3231" t="s" s="2">
        <v>16</v>
      </c>
      <c r="E3231" t="s" s="2">
        <v>17</v>
      </c>
      <c r="F3231" t="s" s="2">
        <f>HYPERLINK("http://ts.21cn.com/tousu/show/id/1370675","http://ts.21cn.com/tousu/show/id/1370675")</f>
      </c>
      <c r="G3231" t="s" s="2">
        <v>17</v>
      </c>
      <c r="H3231" t="s" s="2">
        <v>19</v>
      </c>
      <c r="I3231" t="s" s="2">
        <v>12607</v>
      </c>
      <c r="J3231" t="s" s="2">
        <v>12608</v>
      </c>
      <c r="K3231" t="s" s="2">
        <v>22</v>
      </c>
      <c r="L3231" t="s" s="2">
        <v>22</v>
      </c>
      <c r="M3231" t="s" s="2">
        <v>22</v>
      </c>
    </row>
    <row r="3232" ht="25.0" customHeight="true">
      <c r="A3232" t="s" s="2">
        <v>13</v>
      </c>
      <c r="B3232" t="s" s="2">
        <f>HYPERLINK("http://ts.21cn.com/tousu/show/id/1370672","上海昶昱黄金股份有限公司非法股权代持")</f>
      </c>
      <c r="C3232" t="s" s="2">
        <v>15</v>
      </c>
      <c r="D3232" t="s" s="2">
        <v>16</v>
      </c>
      <c r="E3232" t="s" s="2">
        <v>17</v>
      </c>
      <c r="F3232" t="s" s="2">
        <f>HYPERLINK("http://ts.21cn.com/tousu/show/id/1370672","http://ts.21cn.com/tousu/show/id/1370672")</f>
      </c>
      <c r="G3232" t="s" s="2">
        <v>17</v>
      </c>
      <c r="H3232" t="s" s="2">
        <v>19</v>
      </c>
      <c r="I3232" t="s" s="2">
        <v>12610</v>
      </c>
      <c r="J3232" t="s" s="2">
        <v>12399</v>
      </c>
      <c r="K3232" t="s" s="2">
        <v>22</v>
      </c>
      <c r="L3232" t="s" s="2">
        <v>22</v>
      </c>
      <c r="M3232" t="s" s="2">
        <v>22</v>
      </c>
    </row>
    <row r="3233" ht="25.0" customHeight="true">
      <c r="A3233" t="s" s="2">
        <v>13</v>
      </c>
      <c r="B3233" t="s" s="2">
        <f>HYPERLINK("http://ts.21cn.com/tousu/show/id/1370673","华农钱庄汇潮以后高利贷砍头息")</f>
      </c>
      <c r="C3233" t="s" s="2">
        <v>15</v>
      </c>
      <c r="D3233" t="s" s="2">
        <v>16</v>
      </c>
      <c r="E3233" t="s" s="2">
        <v>17</v>
      </c>
      <c r="F3233" t="s" s="2">
        <f>HYPERLINK("http://ts.21cn.com/tousu/show/id/1370673","http://ts.21cn.com/tousu/show/id/1370673")</f>
      </c>
      <c r="G3233" t="s" s="2">
        <v>17</v>
      </c>
      <c r="H3233" t="s" s="2">
        <v>19</v>
      </c>
      <c r="I3233" t="s" s="2">
        <v>12613</v>
      </c>
      <c r="J3233" t="s" s="2">
        <v>12614</v>
      </c>
      <c r="K3233" t="s" s="2">
        <v>22</v>
      </c>
      <c r="L3233" t="s" s="2">
        <v>22</v>
      </c>
      <c r="M3233" t="s" s="2">
        <v>22</v>
      </c>
    </row>
    <row r="3234" ht="25.0" customHeight="true">
      <c r="A3234" t="s" s="2">
        <v>13</v>
      </c>
      <c r="B3234" t="s" s="2">
        <f>HYPERLINK("http://ts.21cn.com/tousu/show/id/1370670","京东白条窃取个人信息")</f>
      </c>
      <c r="C3234" t="s" s="2">
        <v>15</v>
      </c>
      <c r="D3234" t="s" s="2">
        <v>16</v>
      </c>
      <c r="E3234" t="s" s="2">
        <v>17</v>
      </c>
      <c r="F3234" t="s" s="2">
        <f>HYPERLINK("http://ts.21cn.com/tousu/show/id/1370670","http://ts.21cn.com/tousu/show/id/1370670")</f>
      </c>
      <c r="G3234" t="s" s="2">
        <v>17</v>
      </c>
      <c r="H3234" t="s" s="2">
        <v>19</v>
      </c>
      <c r="I3234" t="s" s="2">
        <v>12617</v>
      </c>
      <c r="J3234" t="s" s="2">
        <v>12618</v>
      </c>
      <c r="K3234" t="s" s="2">
        <v>22</v>
      </c>
      <c r="L3234" t="s" s="2">
        <v>22</v>
      </c>
      <c r="M3234" t="s" s="2">
        <v>22</v>
      </c>
    </row>
    <row r="3235" ht="25.0" customHeight="true">
      <c r="A3235" t="s" s="2">
        <v>13</v>
      </c>
      <c r="B3235" t="s" s="2">
        <f>HYPERLINK("http://ts.21cn.com/tousu/show/id/1370671","闪银套路强制扣除500元服务费")</f>
      </c>
      <c r="C3235" t="s" s="2">
        <v>15</v>
      </c>
      <c r="D3235" t="s" s="2">
        <v>16</v>
      </c>
      <c r="E3235" t="s" s="2">
        <v>17</v>
      </c>
      <c r="F3235" t="s" s="2">
        <f>HYPERLINK("http://ts.21cn.com/tousu/show/id/1370671","http://ts.21cn.com/tousu/show/id/1370671")</f>
      </c>
      <c r="G3235" t="s" s="2">
        <v>17</v>
      </c>
      <c r="H3235" t="s" s="2">
        <v>19</v>
      </c>
      <c r="I3235" t="s" s="2">
        <v>12621</v>
      </c>
      <c r="J3235" t="s" s="2">
        <v>12622</v>
      </c>
      <c r="K3235" t="s" s="2">
        <v>22</v>
      </c>
      <c r="L3235" t="s" s="2">
        <v>22</v>
      </c>
      <c r="M3235" t="s" s="2">
        <v>22</v>
      </c>
    </row>
    <row r="3236" ht="25.0" customHeight="true">
      <c r="A3236" t="s" s="2">
        <v>13</v>
      </c>
      <c r="B3236" t="s" s="2">
        <f>HYPERLINK("http://ts.21cn.com/tousu/show/id/1370669","高额利息，不符合规定")</f>
      </c>
      <c r="C3236" t="s" s="2">
        <v>15</v>
      </c>
      <c r="D3236" t="s" s="2">
        <v>16</v>
      </c>
      <c r="E3236" t="s" s="2">
        <v>17</v>
      </c>
      <c r="F3236" t="s" s="2">
        <f>HYPERLINK("http://ts.21cn.com/tousu/show/id/1370669","http://ts.21cn.com/tousu/show/id/1370669")</f>
      </c>
      <c r="G3236" t="s" s="2">
        <v>17</v>
      </c>
      <c r="H3236" t="s" s="2">
        <v>19</v>
      </c>
      <c r="I3236" t="s" s="2">
        <v>12625</v>
      </c>
      <c r="J3236" t="s" s="2">
        <v>12626</v>
      </c>
      <c r="K3236" t="s" s="2">
        <v>22</v>
      </c>
      <c r="L3236" t="s" s="2">
        <v>22</v>
      </c>
      <c r="M3236" t="s" s="2">
        <v>22</v>
      </c>
    </row>
    <row r="3237" ht="25.0" customHeight="true">
      <c r="A3237" t="s" s="2">
        <v>13</v>
      </c>
      <c r="B3237" t="s" s="2">
        <f>HYPERLINK("http://ts.21cn.com/tousu/show/id/1370668","快贷钱伴恐吓催收")</f>
      </c>
      <c r="C3237" t="s" s="2">
        <v>15</v>
      </c>
      <c r="D3237" t="s" s="2">
        <v>16</v>
      </c>
      <c r="E3237" t="s" s="2">
        <v>17</v>
      </c>
      <c r="F3237" t="s" s="2">
        <f>HYPERLINK("http://ts.21cn.com/tousu/show/id/1370668","http://ts.21cn.com/tousu/show/id/1370668")</f>
      </c>
      <c r="G3237" t="s" s="2">
        <v>17</v>
      </c>
      <c r="H3237" t="s" s="2">
        <v>19</v>
      </c>
      <c r="I3237" t="s" s="2">
        <v>12629</v>
      </c>
      <c r="J3237" t="s" s="2">
        <v>12630</v>
      </c>
      <c r="K3237" t="s" s="2">
        <v>22</v>
      </c>
      <c r="L3237" t="s" s="2">
        <v>22</v>
      </c>
      <c r="M3237" t="s" s="2">
        <v>22</v>
      </c>
    </row>
    <row r="3238" ht="25.0" customHeight="true">
      <c r="A3238" t="s" s="2">
        <v>13</v>
      </c>
      <c r="B3238" t="s" s="2">
        <f>HYPERLINK("http://ts.21cn.com/tousu/show/id/1370667","永恒优享714高炮高利贷，快到期了还不了款，恶意收逾期费还")</f>
      </c>
      <c r="C3238" t="s" s="2">
        <v>15</v>
      </c>
      <c r="D3238" t="s" s="2">
        <v>16</v>
      </c>
      <c r="E3238" t="s" s="2">
        <v>17</v>
      </c>
      <c r="F3238" t="s" s="2">
        <f>HYPERLINK("http://ts.21cn.com/tousu/show/id/1370667","http://ts.21cn.com/tousu/show/id/1370667")</f>
      </c>
      <c r="G3238" t="s" s="2">
        <v>17</v>
      </c>
      <c r="H3238" t="s" s="2">
        <v>19</v>
      </c>
      <c r="I3238" t="s" s="2">
        <v>12633</v>
      </c>
      <c r="J3238" t="s" s="2">
        <v>12634</v>
      </c>
      <c r="K3238" t="s" s="2">
        <v>22</v>
      </c>
      <c r="L3238" t="s" s="2">
        <v>22</v>
      </c>
      <c r="M3238" t="s" s="2">
        <v>22</v>
      </c>
    </row>
    <row r="3239" ht="25.0" customHeight="true">
      <c r="A3239" t="s" s="2">
        <v>13</v>
      </c>
      <c r="B3239" t="s" s="2">
        <f>HYPERLINK("http://ts.21cn.com/tousu/show/id/1370666","wecash闪银高利贷")</f>
      </c>
      <c r="C3239" t="s" s="2">
        <v>15</v>
      </c>
      <c r="D3239" t="s" s="2">
        <v>16</v>
      </c>
      <c r="E3239" t="s" s="2">
        <v>17</v>
      </c>
      <c r="F3239" t="s" s="2">
        <f>HYPERLINK("http://ts.21cn.com/tousu/show/id/1370666","http://ts.21cn.com/tousu/show/id/1370666")</f>
      </c>
      <c r="G3239" t="s" s="2">
        <v>17</v>
      </c>
      <c r="H3239" t="s" s="2">
        <v>19</v>
      </c>
      <c r="I3239" t="s" s="2">
        <v>12637</v>
      </c>
      <c r="J3239" t="s" s="2">
        <v>12638</v>
      </c>
      <c r="K3239" t="s" s="2">
        <v>22</v>
      </c>
      <c r="L3239" t="s" s="2">
        <v>22</v>
      </c>
      <c r="M3239" t="s" s="2">
        <v>22</v>
      </c>
    </row>
    <row r="3240" ht="25.0" customHeight="true">
      <c r="A3240" t="s" s="2">
        <v>13</v>
      </c>
      <c r="B3240" t="s" s="2">
        <f>HYPERLINK("http://ts.21cn.com/tousu/show/id/1370665","诱导签定霸王合同，服务与描述不符")</f>
      </c>
      <c r="C3240" t="s" s="2">
        <v>15</v>
      </c>
      <c r="D3240" t="s" s="2">
        <v>16</v>
      </c>
      <c r="E3240" t="s" s="2">
        <v>17</v>
      </c>
      <c r="F3240" t="s" s="2">
        <f>HYPERLINK("http://ts.21cn.com/tousu/show/id/1370665","http://ts.21cn.com/tousu/show/id/1370665")</f>
      </c>
      <c r="G3240" t="s" s="2">
        <v>17</v>
      </c>
      <c r="H3240" t="s" s="2">
        <v>19</v>
      </c>
      <c r="I3240" t="s" s="2">
        <v>12641</v>
      </c>
      <c r="J3240" t="s" s="2">
        <v>12642</v>
      </c>
      <c r="K3240" t="s" s="2">
        <v>22</v>
      </c>
      <c r="L3240" t="s" s="2">
        <v>22</v>
      </c>
      <c r="M3240" t="s" s="2">
        <v>22</v>
      </c>
    </row>
    <row r="3241" ht="25.0" customHeight="true">
      <c r="A3241" t="s" s="2">
        <v>13</v>
      </c>
      <c r="B3241" t="s" s="2">
        <f>HYPERLINK("http://ts.21cn.com/tousu/show/id/1370661","移动流量扣费不提前通知")</f>
      </c>
      <c r="C3241" t="s" s="2">
        <v>52</v>
      </c>
      <c r="D3241" t="s" s="2">
        <v>16</v>
      </c>
      <c r="E3241" t="s" s="2">
        <v>17</v>
      </c>
      <c r="F3241" t="s" s="2">
        <f>HYPERLINK("http://ts.21cn.com/tousu/show/id/1370661","http://ts.21cn.com/tousu/show/id/1370661")</f>
      </c>
      <c r="G3241" t="s" s="2">
        <v>17</v>
      </c>
      <c r="H3241" t="s" s="2">
        <v>19</v>
      </c>
      <c r="I3241" t="s" s="2">
        <v>12645</v>
      </c>
      <c r="J3241" t="s" s="2">
        <v>12646</v>
      </c>
      <c r="K3241" t="s" s="2">
        <v>22</v>
      </c>
      <c r="L3241" t="s" s="2">
        <v>22</v>
      </c>
      <c r="M3241" t="s" s="2">
        <v>22</v>
      </c>
    </row>
    <row r="3242" ht="25.0" customHeight="true">
      <c r="A3242" t="s" s="2">
        <v>13</v>
      </c>
      <c r="B3242" t="s" s="2">
        <f>HYPERLINK("http://ts.21cn.com/tousu/show/id/1370660","闪电借款骚扰暴力无法正常工作")</f>
      </c>
      <c r="C3242" t="s" s="2">
        <v>15</v>
      </c>
      <c r="D3242" t="s" s="2">
        <v>16</v>
      </c>
      <c r="E3242" t="s" s="2">
        <v>17</v>
      </c>
      <c r="F3242" t="s" s="2">
        <f>HYPERLINK("http://ts.21cn.com/tousu/show/id/1370660","http://ts.21cn.com/tousu/show/id/1370660")</f>
      </c>
      <c r="G3242" t="s" s="2">
        <v>17</v>
      </c>
      <c r="H3242" t="s" s="2">
        <v>19</v>
      </c>
      <c r="I3242" t="s" s="2">
        <v>12649</v>
      </c>
      <c r="J3242" t="s" s="2">
        <v>12650</v>
      </c>
      <c r="K3242" t="s" s="2">
        <v>22</v>
      </c>
      <c r="L3242" t="s" s="2">
        <v>22</v>
      </c>
      <c r="M3242" t="s" s="2">
        <v>22</v>
      </c>
    </row>
    <row r="3243" ht="25.0" customHeight="true">
      <c r="A3243" t="s" s="2">
        <v>13</v>
      </c>
      <c r="B3243" t="s" s="2">
        <f>HYPERLINK("http://ts.21cn.com/tousu/show/id/1370663","发送威胁短信")</f>
      </c>
      <c r="C3243" t="s" s="2">
        <v>15</v>
      </c>
      <c r="D3243" t="s" s="2">
        <v>16</v>
      </c>
      <c r="E3243" t="s" s="2">
        <v>17</v>
      </c>
      <c r="F3243" t="s" s="2">
        <f>HYPERLINK("http://ts.21cn.com/tousu/show/id/1370663","http://ts.21cn.com/tousu/show/id/1370663")</f>
      </c>
      <c r="G3243" t="s" s="2">
        <v>17</v>
      </c>
      <c r="H3243" t="s" s="2">
        <v>19</v>
      </c>
      <c r="I3243" t="s" s="2">
        <v>12653</v>
      </c>
      <c r="J3243" t="s" s="2">
        <v>12654</v>
      </c>
      <c r="K3243" t="s" s="2">
        <v>22</v>
      </c>
      <c r="L3243" t="s" s="2">
        <v>22</v>
      </c>
      <c r="M3243" t="s" s="2">
        <v>22</v>
      </c>
    </row>
    <row r="3244" ht="25.0" customHeight="true">
      <c r="A3244" t="s" s="2">
        <v>13</v>
      </c>
      <c r="B3244" t="s" s="2">
        <f>HYPERLINK("http://ts.21cn.com/tousu/show/id/1370659","砍头息高利贷套路贷暴力催收")</f>
      </c>
      <c r="C3244" t="s" s="2">
        <v>15</v>
      </c>
      <c r="D3244" t="s" s="2">
        <v>16</v>
      </c>
      <c r="E3244" t="s" s="2">
        <v>17</v>
      </c>
      <c r="F3244" t="s" s="2">
        <f>HYPERLINK("http://ts.21cn.com/tousu/show/id/1370659","http://ts.21cn.com/tousu/show/id/1370659")</f>
      </c>
      <c r="G3244" t="s" s="2">
        <v>17</v>
      </c>
      <c r="H3244" t="s" s="2">
        <v>19</v>
      </c>
      <c r="I3244" t="s" s="2">
        <v>12657</v>
      </c>
      <c r="J3244" t="s" s="2">
        <v>12658</v>
      </c>
      <c r="K3244" t="s" s="2">
        <v>22</v>
      </c>
      <c r="L3244" t="s" s="2">
        <v>22</v>
      </c>
      <c r="M3244" t="s" s="2">
        <v>22</v>
      </c>
    </row>
    <row r="3245" ht="25.0" customHeight="true">
      <c r="A3245" t="s" s="2">
        <v>13</v>
      </c>
      <c r="B3245" t="s" s="2">
        <f>HYPERLINK("http://ts.21cn.com/tousu/show/id/1370658","青岛联信公司受美团公司上门催收")</f>
      </c>
      <c r="C3245" t="s" s="2">
        <v>15</v>
      </c>
      <c r="D3245" t="s" s="2">
        <v>16</v>
      </c>
      <c r="E3245" t="s" s="2">
        <v>17</v>
      </c>
      <c r="F3245" t="s" s="2">
        <f>HYPERLINK("http://ts.21cn.com/tousu/show/id/1370658","http://ts.21cn.com/tousu/show/id/1370658")</f>
      </c>
      <c r="G3245" t="s" s="2">
        <v>17</v>
      </c>
      <c r="H3245" t="s" s="2">
        <v>19</v>
      </c>
      <c r="I3245" t="s" s="2">
        <v>12661</v>
      </c>
      <c r="J3245" t="s" s="2">
        <v>12662</v>
      </c>
      <c r="K3245" t="s" s="2">
        <v>22</v>
      </c>
      <c r="L3245" t="s" s="2">
        <v>22</v>
      </c>
      <c r="M3245" t="s" s="2">
        <v>22</v>
      </c>
    </row>
    <row r="3246" ht="25.0" customHeight="true">
      <c r="A3246" t="s" s="2">
        <v>13</v>
      </c>
      <c r="B3246" t="s" s="2">
        <f>HYPERLINK("http://ts.21cn.com/tousu/show/id/1370657","芒果旺卡快乐通宝小额贷款有限公司")</f>
      </c>
      <c r="C3246" t="s" s="2">
        <v>15</v>
      </c>
      <c r="D3246" t="s" s="2">
        <v>16</v>
      </c>
      <c r="E3246" t="s" s="2">
        <v>17</v>
      </c>
      <c r="F3246" t="s" s="2">
        <f>HYPERLINK("http://ts.21cn.com/tousu/show/id/1370657","http://ts.21cn.com/tousu/show/id/1370657")</f>
      </c>
      <c r="G3246" t="s" s="2">
        <v>17</v>
      </c>
      <c r="H3246" t="s" s="2">
        <v>19</v>
      </c>
      <c r="I3246" t="s" s="2">
        <v>12665</v>
      </c>
      <c r="J3246" t="s" s="2">
        <v>12666</v>
      </c>
      <c r="K3246" t="s" s="2">
        <v>22</v>
      </c>
      <c r="L3246" t="s" s="2">
        <v>22</v>
      </c>
      <c r="M3246" t="s" s="2">
        <v>22</v>
      </c>
    </row>
    <row r="3247" ht="25.0" customHeight="true">
      <c r="A3247" t="s" s="2">
        <v>13</v>
      </c>
      <c r="B3247" t="s" s="2">
        <f>HYPERLINK("http://ts.21cn.com/tousu/show/id/1370656","龙分期还款不销账还登陆不上")</f>
      </c>
      <c r="C3247" t="s" s="2">
        <v>15</v>
      </c>
      <c r="D3247" t="s" s="2">
        <v>16</v>
      </c>
      <c r="E3247" t="s" s="2">
        <v>17</v>
      </c>
      <c r="F3247" t="s" s="2">
        <f>HYPERLINK("http://ts.21cn.com/tousu/show/id/1370656","http://ts.21cn.com/tousu/show/id/1370656")</f>
      </c>
      <c r="G3247" t="s" s="2">
        <v>17</v>
      </c>
      <c r="H3247" t="s" s="2">
        <v>19</v>
      </c>
      <c r="I3247" t="s" s="2">
        <v>12669</v>
      </c>
      <c r="J3247" t="s" s="2">
        <v>12670</v>
      </c>
      <c r="K3247" t="s" s="2">
        <v>22</v>
      </c>
      <c r="L3247" t="s" s="2">
        <v>22</v>
      </c>
      <c r="M3247" t="s" s="2">
        <v>22</v>
      </c>
    </row>
    <row r="3248" ht="25.0" customHeight="true">
      <c r="A3248" t="s" s="2">
        <v>13</v>
      </c>
      <c r="B3248" t="s" s="2">
        <f>HYPERLINK("http://ts.21cn.com/tousu/show/id/1370655","摇钱花协商一次性还清")</f>
      </c>
      <c r="C3248" t="s" s="2">
        <v>15</v>
      </c>
      <c r="D3248" t="s" s="2">
        <v>16</v>
      </c>
      <c r="E3248" t="s" s="2">
        <v>17</v>
      </c>
      <c r="F3248" t="s" s="2">
        <f>HYPERLINK("http://ts.21cn.com/tousu/show/id/1370655","http://ts.21cn.com/tousu/show/id/1370655")</f>
      </c>
      <c r="G3248" t="s" s="2">
        <v>17</v>
      </c>
      <c r="H3248" t="s" s="2">
        <v>19</v>
      </c>
      <c r="I3248" t="s" s="2">
        <v>12673</v>
      </c>
      <c r="J3248" t="s" s="2">
        <v>12674</v>
      </c>
      <c r="K3248" t="s" s="2">
        <v>22</v>
      </c>
      <c r="L3248" t="s" s="2">
        <v>22</v>
      </c>
      <c r="M3248" t="s" s="2">
        <v>22</v>
      </c>
    </row>
    <row r="3249" ht="25.0" customHeight="true">
      <c r="A3249" t="s" s="2">
        <v>13</v>
      </c>
      <c r="B3249" t="s" s="2">
        <f>HYPERLINK("http://ts.21cn.com/tousu/show/id/1370653","来分期利息别那么高好不好？我也要生活")</f>
      </c>
      <c r="C3249" t="s" s="2">
        <v>52</v>
      </c>
      <c r="D3249" t="s" s="2">
        <v>16</v>
      </c>
      <c r="E3249" t="s" s="2">
        <v>17</v>
      </c>
      <c r="F3249" t="s" s="2">
        <f>HYPERLINK("http://ts.21cn.com/tousu/show/id/1370653","http://ts.21cn.com/tousu/show/id/1370653")</f>
      </c>
      <c r="G3249" t="s" s="2">
        <v>17</v>
      </c>
      <c r="H3249" t="s" s="2">
        <v>19</v>
      </c>
      <c r="I3249" t="s" s="2">
        <v>12677</v>
      </c>
      <c r="J3249" t="s" s="2">
        <v>12678</v>
      </c>
      <c r="K3249" t="s" s="2">
        <v>22</v>
      </c>
      <c r="L3249" t="s" s="2">
        <v>22</v>
      </c>
      <c r="M3249" t="s" s="2">
        <v>22</v>
      </c>
    </row>
    <row r="3250" ht="25.0" customHeight="true">
      <c r="A3250" t="s" s="2">
        <v>13</v>
      </c>
      <c r="B3250" t="s" s="2">
        <f>HYPERLINK("http://ts.21cn.com/tousu/show/id/1370654","请求延期还款")</f>
      </c>
      <c r="C3250" t="s" s="2">
        <v>52</v>
      </c>
      <c r="D3250" t="s" s="2">
        <v>16</v>
      </c>
      <c r="E3250" t="s" s="2">
        <v>17</v>
      </c>
      <c r="F3250" t="s" s="2">
        <f>HYPERLINK("http://ts.21cn.com/tousu/show/id/1370654","http://ts.21cn.com/tousu/show/id/1370654")</f>
      </c>
      <c r="G3250" t="s" s="2">
        <v>17</v>
      </c>
      <c r="H3250" t="s" s="2">
        <v>19</v>
      </c>
      <c r="I3250" t="s" s="2">
        <v>12681</v>
      </c>
      <c r="J3250" t="s" s="2">
        <v>12682</v>
      </c>
      <c r="K3250" t="s" s="2">
        <v>22</v>
      </c>
      <c r="L3250" t="s" s="2">
        <v>22</v>
      </c>
      <c r="M3250" t="s" s="2">
        <v>22</v>
      </c>
    </row>
    <row r="3251" ht="25.0" customHeight="true">
      <c r="A3251" t="s" s="2">
        <v>13</v>
      </c>
      <c r="B3251" t="s" s="2">
        <f>HYPERLINK("http://ts.21cn.com/tousu/show/id/1370651","信用钱包高利贷，暴力催收")</f>
      </c>
      <c r="C3251" t="s" s="2">
        <v>15</v>
      </c>
      <c r="D3251" t="s" s="2">
        <v>16</v>
      </c>
      <c r="E3251" t="s" s="2">
        <v>17</v>
      </c>
      <c r="F3251" t="s" s="2">
        <f>HYPERLINK("http://ts.21cn.com/tousu/show/id/1370651","http://ts.21cn.com/tousu/show/id/1370651")</f>
      </c>
      <c r="G3251" t="s" s="2">
        <v>17</v>
      </c>
      <c r="H3251" t="s" s="2">
        <v>19</v>
      </c>
      <c r="I3251" t="s" s="2">
        <v>12685</v>
      </c>
      <c r="J3251" t="s" s="2">
        <v>12686</v>
      </c>
      <c r="K3251" t="s" s="2">
        <v>22</v>
      </c>
      <c r="L3251" t="s" s="2">
        <v>22</v>
      </c>
      <c r="M3251" t="s" s="2">
        <v>22</v>
      </c>
    </row>
    <row r="3252" ht="25.0" customHeight="true">
      <c r="A3252" t="s" s="2">
        <v>13</v>
      </c>
      <c r="B3252" t="s" s="2">
        <f>HYPERLINK("http://ts.21cn.com/tousu/show/id/1370652","宝付支付并且服务人员服务恶略")</f>
      </c>
      <c r="C3252" t="s" s="2">
        <v>15</v>
      </c>
      <c r="D3252" t="s" s="2">
        <v>16</v>
      </c>
      <c r="E3252" t="s" s="2">
        <v>17</v>
      </c>
      <c r="F3252" t="s" s="2">
        <f>HYPERLINK("http://ts.21cn.com/tousu/show/id/1370652","http://ts.21cn.com/tousu/show/id/1370652")</f>
      </c>
      <c r="G3252" t="s" s="2">
        <v>17</v>
      </c>
      <c r="H3252" t="s" s="2">
        <v>19</v>
      </c>
      <c r="I3252" t="s" s="2">
        <v>12689</v>
      </c>
      <c r="J3252" t="s" s="2">
        <v>12690</v>
      </c>
      <c r="K3252" t="s" s="2">
        <v>22</v>
      </c>
      <c r="L3252" t="s" s="2">
        <v>22</v>
      </c>
      <c r="M3252" t="s" s="2">
        <v>22</v>
      </c>
    </row>
    <row r="3253" ht="25.0" customHeight="true">
      <c r="A3253" t="s" s="2">
        <v>13</v>
      </c>
      <c r="B3253" t="s" s="2">
        <f>HYPERLINK("http://ts.21cn.com/tousu/show/id/1370650","好分期高炮高利率")</f>
      </c>
      <c r="C3253" t="s" s="2">
        <v>15</v>
      </c>
      <c r="D3253" t="s" s="2">
        <v>16</v>
      </c>
      <c r="E3253" t="s" s="2">
        <v>17</v>
      </c>
      <c r="F3253" t="s" s="2">
        <f>HYPERLINK("http://ts.21cn.com/tousu/show/id/1370650","http://ts.21cn.com/tousu/show/id/1370650")</f>
      </c>
      <c r="G3253" t="s" s="2">
        <v>17</v>
      </c>
      <c r="H3253" t="s" s="2">
        <v>19</v>
      </c>
      <c r="I3253" t="s" s="2">
        <v>12693</v>
      </c>
      <c r="J3253" t="s" s="2">
        <v>12694</v>
      </c>
      <c r="K3253" t="s" s="2">
        <v>22</v>
      </c>
      <c r="L3253" t="s" s="2">
        <v>22</v>
      </c>
      <c r="M3253" t="s" s="2">
        <v>22</v>
      </c>
    </row>
    <row r="3254" ht="25.0" customHeight="true">
      <c r="A3254" t="s" s="2">
        <v>13</v>
      </c>
      <c r="B3254" t="s" s="2">
        <f>HYPERLINK("http://ts.21cn.com/tousu/show/id/1370649","聚富分期欺诈扣款")</f>
      </c>
      <c r="C3254" t="s" s="2">
        <v>15</v>
      </c>
      <c r="D3254" t="s" s="2">
        <v>16</v>
      </c>
      <c r="E3254" t="s" s="2">
        <v>17</v>
      </c>
      <c r="F3254" t="s" s="2">
        <f>HYPERLINK("http://ts.21cn.com/tousu/show/id/1370649","http://ts.21cn.com/tousu/show/id/1370649")</f>
      </c>
      <c r="G3254" t="s" s="2">
        <v>17</v>
      </c>
      <c r="H3254" t="s" s="2">
        <v>19</v>
      </c>
      <c r="I3254" t="s" s="2">
        <v>12697</v>
      </c>
      <c r="J3254" t="s" s="2">
        <v>12698</v>
      </c>
      <c r="K3254" t="s" s="2">
        <v>22</v>
      </c>
      <c r="L3254" t="s" s="2">
        <v>22</v>
      </c>
      <c r="M3254" t="s" s="2">
        <v>22</v>
      </c>
    </row>
    <row r="3255" ht="25.0" customHeight="true">
      <c r="A3255" t="s" s="2">
        <v>13</v>
      </c>
      <c r="B3255" t="s" s="2">
        <f>HYPERLINK("http://ts.21cn.com/tousu/show/id/1370648","360手机换屏")</f>
      </c>
      <c r="C3255" t="s" s="2">
        <v>15</v>
      </c>
      <c r="D3255" t="s" s="2">
        <v>16</v>
      </c>
      <c r="E3255" t="s" s="2">
        <v>17</v>
      </c>
      <c r="F3255" t="s" s="2">
        <f>HYPERLINK("http://ts.21cn.com/tousu/show/id/1370648","http://ts.21cn.com/tousu/show/id/1370648")</f>
      </c>
      <c r="G3255" t="s" s="2">
        <v>17</v>
      </c>
      <c r="H3255" t="s" s="2">
        <v>19</v>
      </c>
      <c r="I3255" t="s" s="2">
        <v>12701</v>
      </c>
      <c r="J3255" t="s" s="2">
        <v>12702</v>
      </c>
      <c r="K3255" t="s" s="2">
        <v>22</v>
      </c>
      <c r="L3255" t="s" s="2">
        <v>22</v>
      </c>
      <c r="M3255" t="s" s="2">
        <v>22</v>
      </c>
    </row>
    <row r="3256" ht="25.0" customHeight="true">
      <c r="A3256" t="s" s="2">
        <v>13</v>
      </c>
      <c r="B3256" t="s" s="2">
        <f>HYPERLINK("http://ts.21cn.com/tousu/show/id/1370645","立借平台高利贷太严重")</f>
      </c>
      <c r="C3256" t="s" s="2">
        <v>15</v>
      </c>
      <c r="D3256" t="s" s="2">
        <v>16</v>
      </c>
      <c r="E3256" t="s" s="2">
        <v>17</v>
      </c>
      <c r="F3256" t="s" s="2">
        <f>HYPERLINK("http://ts.21cn.com/tousu/show/id/1370645","http://ts.21cn.com/tousu/show/id/1370645")</f>
      </c>
      <c r="G3256" t="s" s="2">
        <v>17</v>
      </c>
      <c r="H3256" t="s" s="2">
        <v>19</v>
      </c>
      <c r="I3256" t="s" s="2">
        <v>12705</v>
      </c>
      <c r="J3256" t="s" s="2">
        <v>12706</v>
      </c>
      <c r="K3256" t="s" s="2">
        <v>22</v>
      </c>
      <c r="L3256" t="s" s="2">
        <v>22</v>
      </c>
      <c r="M3256" t="s" s="2">
        <v>22</v>
      </c>
    </row>
    <row r="3257" ht="25.0" customHeight="true">
      <c r="A3257" t="s" s="2">
        <v>13</v>
      </c>
      <c r="B3257" t="s" s="2">
        <f>HYPERLINK("http://ts.21cn.com/tousu/show/id/1370646","爆通讯录上门催收")</f>
      </c>
      <c r="C3257" t="s" s="2">
        <v>15</v>
      </c>
      <c r="D3257" t="s" s="2">
        <v>16</v>
      </c>
      <c r="E3257" t="s" s="2">
        <v>17</v>
      </c>
      <c r="F3257" t="s" s="2">
        <f>HYPERLINK("http://ts.21cn.com/tousu/show/id/1370646","http://ts.21cn.com/tousu/show/id/1370646")</f>
      </c>
      <c r="G3257" t="s" s="2">
        <v>17</v>
      </c>
      <c r="H3257" t="s" s="2">
        <v>19</v>
      </c>
      <c r="I3257" t="s" s="2">
        <v>12705</v>
      </c>
      <c r="J3257" t="s" s="2">
        <v>12709</v>
      </c>
      <c r="K3257" t="s" s="2">
        <v>22</v>
      </c>
      <c r="L3257" t="s" s="2">
        <v>22</v>
      </c>
      <c r="M3257" t="s" s="2">
        <v>22</v>
      </c>
    </row>
    <row r="3258" ht="25.0" customHeight="true">
      <c r="A3258" t="s" s="2">
        <v>13</v>
      </c>
      <c r="B3258" t="s" s="2">
        <f>HYPERLINK("http://ts.21cn.com/tousu/show/id/1370647","解决问题")</f>
      </c>
      <c r="C3258" t="s" s="2">
        <v>52</v>
      </c>
      <c r="D3258" t="s" s="2">
        <v>16</v>
      </c>
      <c r="E3258" t="s" s="2">
        <v>17</v>
      </c>
      <c r="F3258" t="s" s="2">
        <f>HYPERLINK("http://ts.21cn.com/tousu/show/id/1370647","http://ts.21cn.com/tousu/show/id/1370647")</f>
      </c>
      <c r="G3258" t="s" s="2">
        <v>17</v>
      </c>
      <c r="H3258" t="s" s="2">
        <v>19</v>
      </c>
      <c r="I3258" t="s" s="2">
        <v>12712</v>
      </c>
      <c r="J3258" t="s" s="2">
        <v>12713</v>
      </c>
      <c r="K3258" t="s" s="2">
        <v>22</v>
      </c>
      <c r="L3258" t="s" s="2">
        <v>22</v>
      </c>
      <c r="M3258" t="s" s="2">
        <v>22</v>
      </c>
    </row>
    <row r="3259" ht="25.0" customHeight="true">
      <c r="A3259" t="s" s="2">
        <v>13</v>
      </c>
      <c r="B3259" t="s" s="2">
        <f>HYPERLINK("http://ts.21cn.com/tousu/show/id/1370643","广发银行骚扰")</f>
      </c>
      <c r="C3259" t="s" s="2">
        <v>15</v>
      </c>
      <c r="D3259" t="s" s="2">
        <v>16</v>
      </c>
      <c r="E3259" t="s" s="2">
        <v>17</v>
      </c>
      <c r="F3259" t="s" s="2">
        <f>HYPERLINK("http://ts.21cn.com/tousu/show/id/1370643","http://ts.21cn.com/tousu/show/id/1370643")</f>
      </c>
      <c r="G3259" t="s" s="2">
        <v>17</v>
      </c>
      <c r="H3259" t="s" s="2">
        <v>19</v>
      </c>
      <c r="I3259" t="s" s="2">
        <v>12716</v>
      </c>
      <c r="J3259" t="s" s="2">
        <v>12717</v>
      </c>
      <c r="K3259" t="s" s="2">
        <v>22</v>
      </c>
      <c r="L3259" t="s" s="2">
        <v>22</v>
      </c>
      <c r="M3259" t="s" s="2">
        <v>22</v>
      </c>
    </row>
    <row r="3260" ht="25.0" customHeight="true">
      <c r="A3260" t="s" s="2">
        <v>13</v>
      </c>
      <c r="B3260" t="s" s="2">
        <f>HYPERLINK("http://ts.21cn.com/tousu/show/id/1370644","来分期暴力催收")</f>
      </c>
      <c r="C3260" t="s" s="2">
        <v>15</v>
      </c>
      <c r="D3260" t="s" s="2">
        <v>16</v>
      </c>
      <c r="E3260" t="s" s="2">
        <v>17</v>
      </c>
      <c r="F3260" t="s" s="2">
        <f>HYPERLINK("http://ts.21cn.com/tousu/show/id/1370644","http://ts.21cn.com/tousu/show/id/1370644")</f>
      </c>
      <c r="G3260" t="s" s="2">
        <v>17</v>
      </c>
      <c r="H3260" t="s" s="2">
        <v>19</v>
      </c>
      <c r="I3260" t="s" s="2">
        <v>12720</v>
      </c>
      <c r="J3260" t="s" s="2">
        <v>12721</v>
      </c>
      <c r="K3260" t="s" s="2">
        <v>22</v>
      </c>
      <c r="L3260" t="s" s="2">
        <v>22</v>
      </c>
      <c r="M3260" t="s" s="2">
        <v>22</v>
      </c>
    </row>
    <row r="3261" ht="25.0" customHeight="true">
      <c r="A3261" t="s" s="2">
        <v>13</v>
      </c>
      <c r="B3261" t="s" s="2">
        <f>HYPERLINK("http://ts.21cn.com/tousu/show/id/1370642","及时退还我资金")</f>
      </c>
      <c r="C3261" t="s" s="2">
        <v>15</v>
      </c>
      <c r="D3261" t="s" s="2">
        <v>16</v>
      </c>
      <c r="E3261" t="s" s="2">
        <v>17</v>
      </c>
      <c r="F3261" t="s" s="2">
        <f>HYPERLINK("http://ts.21cn.com/tousu/show/id/1370642","http://ts.21cn.com/tousu/show/id/1370642")</f>
      </c>
      <c r="G3261" t="s" s="2">
        <v>17</v>
      </c>
      <c r="H3261" t="s" s="2">
        <v>19</v>
      </c>
      <c r="I3261" t="s" s="2">
        <v>12724</v>
      </c>
      <c r="J3261" t="s" s="2">
        <v>12725</v>
      </c>
      <c r="K3261" t="s" s="2">
        <v>22</v>
      </c>
      <c r="L3261" t="s" s="2">
        <v>22</v>
      </c>
      <c r="M3261" t="s" s="2">
        <v>22</v>
      </c>
    </row>
    <row r="3262" ht="25.0" customHeight="true">
      <c r="A3262" t="s" s="2">
        <v>13</v>
      </c>
      <c r="B3262" t="s" s="2">
        <f>HYPERLINK("http://ts.21cn.com/tousu/show/id/1370641","闪银瞬瞬恐吓。威胁")</f>
      </c>
      <c r="C3262" t="s" s="2">
        <v>15</v>
      </c>
      <c r="D3262" t="s" s="2">
        <v>16</v>
      </c>
      <c r="E3262" t="s" s="2">
        <v>17</v>
      </c>
      <c r="F3262" t="s" s="2">
        <f>HYPERLINK("http://ts.21cn.com/tousu/show/id/1370641","http://ts.21cn.com/tousu/show/id/1370641")</f>
      </c>
      <c r="G3262" t="s" s="2">
        <v>17</v>
      </c>
      <c r="H3262" t="s" s="2">
        <v>19</v>
      </c>
      <c r="I3262" t="s" s="2">
        <v>12728</v>
      </c>
      <c r="J3262" t="s" s="2">
        <v>12729</v>
      </c>
      <c r="K3262" t="s" s="2">
        <v>22</v>
      </c>
      <c r="L3262" t="s" s="2">
        <v>22</v>
      </c>
      <c r="M3262" t="s" s="2">
        <v>22</v>
      </c>
    </row>
    <row r="3263" ht="25.0" customHeight="true">
      <c r="A3263" t="s" s="2">
        <v>13</v>
      </c>
      <c r="B3263" t="s" s="2">
        <f>HYPERLINK("http://ts.21cn.com/tousu/show/id/1370639","你我贷变相高利贷")</f>
      </c>
      <c r="C3263" t="s" s="2">
        <v>15</v>
      </c>
      <c r="D3263" t="s" s="2">
        <v>16</v>
      </c>
      <c r="E3263" t="s" s="2">
        <v>17</v>
      </c>
      <c r="F3263" t="s" s="2">
        <f>HYPERLINK("http://ts.21cn.com/tousu/show/id/1370639","http://ts.21cn.com/tousu/show/id/1370639")</f>
      </c>
      <c r="G3263" t="s" s="2">
        <v>17</v>
      </c>
      <c r="H3263" t="s" s="2">
        <v>19</v>
      </c>
      <c r="I3263" t="s" s="2">
        <v>12732</v>
      </c>
      <c r="J3263" t="s" s="2">
        <v>12733</v>
      </c>
      <c r="K3263" t="s" s="2">
        <v>22</v>
      </c>
      <c r="L3263" t="s" s="2">
        <v>22</v>
      </c>
      <c r="M3263" t="s" s="2">
        <v>22</v>
      </c>
    </row>
    <row r="3264" ht="25.0" customHeight="true">
      <c r="A3264" t="s" s="2">
        <v>13</v>
      </c>
      <c r="B3264" t="s" s="2">
        <f>HYPERLINK("http://ts.21cn.com/tousu/show/id/1370638","借花钱添加银行卡后无提示扣款198元")</f>
      </c>
      <c r="C3264" t="s" s="2">
        <v>52</v>
      </c>
      <c r="D3264" t="s" s="2">
        <v>16</v>
      </c>
      <c r="E3264" t="s" s="2">
        <v>17</v>
      </c>
      <c r="F3264" t="s" s="2">
        <f>HYPERLINK("http://ts.21cn.com/tousu/show/id/1370638","http://ts.21cn.com/tousu/show/id/1370638")</f>
      </c>
      <c r="G3264" t="s" s="2">
        <v>17</v>
      </c>
      <c r="H3264" t="s" s="2">
        <v>19</v>
      </c>
      <c r="I3264" t="s" s="2">
        <v>12736</v>
      </c>
      <c r="J3264" t="s" s="2">
        <v>12737</v>
      </c>
      <c r="K3264" t="s" s="2">
        <v>22</v>
      </c>
      <c r="L3264" t="s" s="2">
        <v>22</v>
      </c>
      <c r="M3264" t="s" s="2">
        <v>22</v>
      </c>
    </row>
    <row r="3265" ht="25.0" customHeight="true">
      <c r="A3265" t="s" s="2">
        <v>13</v>
      </c>
      <c r="B3265" t="s" s="2">
        <f>HYPERLINK("http://ts.21cn.com/tousu/show/id/1370637","投诉京东白条的工作人员")</f>
      </c>
      <c r="C3265" t="s" s="2">
        <v>15</v>
      </c>
      <c r="D3265" t="s" s="2">
        <v>16</v>
      </c>
      <c r="E3265" t="s" s="2">
        <v>17</v>
      </c>
      <c r="F3265" t="s" s="2">
        <f>HYPERLINK("http://ts.21cn.com/tousu/show/id/1370637","http://ts.21cn.com/tousu/show/id/1370637")</f>
      </c>
      <c r="G3265" t="s" s="2">
        <v>17</v>
      </c>
      <c r="H3265" t="s" s="2">
        <v>19</v>
      </c>
      <c r="I3265" t="s" s="2">
        <v>12740</v>
      </c>
      <c r="J3265" t="s" s="2">
        <v>12741</v>
      </c>
      <c r="K3265" t="s" s="2">
        <v>22</v>
      </c>
      <c r="L3265" t="s" s="2">
        <v>22</v>
      </c>
      <c r="M3265" t="s" s="2">
        <v>22</v>
      </c>
    </row>
    <row r="3266" ht="25.0" customHeight="true">
      <c r="A3266" t="s" s="2">
        <v>13</v>
      </c>
      <c r="B3266" t="s" s="2">
        <f>HYPERLINK("http://ts.21cn.com/tousu/show/id/1368541","暴力催收、高利贷、恐吓、不择手段")</f>
      </c>
      <c r="C3266" t="s" s="2">
        <v>15</v>
      </c>
      <c r="D3266" t="s" s="2">
        <v>16</v>
      </c>
      <c r="E3266" t="s" s="2">
        <v>17</v>
      </c>
      <c r="F3266" t="s" s="2">
        <f>HYPERLINK("http://ts.21cn.com/tousu/show/id/1368541","http://ts.21cn.com/tousu/show/id/1368541")</f>
      </c>
      <c r="G3266" t="s" s="2">
        <v>17</v>
      </c>
      <c r="H3266" t="s" s="2">
        <v>19</v>
      </c>
      <c r="I3266" t="s" s="2">
        <v>12744</v>
      </c>
      <c r="J3266" t="s" s="2">
        <v>12745</v>
      </c>
      <c r="K3266" t="s" s="2">
        <v>22</v>
      </c>
      <c r="L3266" t="s" s="2">
        <v>22</v>
      </c>
      <c r="M3266" t="s" s="2">
        <v>22</v>
      </c>
    </row>
    <row r="3267" ht="25.0" customHeight="true">
      <c r="A3267" t="s" s="2">
        <v>13</v>
      </c>
      <c r="B3267" t="s" s="2">
        <f>HYPERLINK("http://ts.21cn.com/tousu/show/id/1370634","升学教育机构不给学员退款退费")</f>
      </c>
      <c r="C3267" t="s" s="2">
        <v>15</v>
      </c>
      <c r="D3267" t="s" s="2">
        <v>16</v>
      </c>
      <c r="E3267" t="s" s="2">
        <v>17</v>
      </c>
      <c r="F3267" t="s" s="2">
        <f>HYPERLINK("http://ts.21cn.com/tousu/show/id/1370634","http://ts.21cn.com/tousu/show/id/1370634")</f>
      </c>
      <c r="G3267" t="s" s="2">
        <v>17</v>
      </c>
      <c r="H3267" t="s" s="2">
        <v>19</v>
      </c>
      <c r="I3267" t="s" s="2">
        <v>12748</v>
      </c>
      <c r="J3267" t="s" s="2">
        <v>12749</v>
      </c>
      <c r="K3267" t="s" s="2">
        <v>22</v>
      </c>
      <c r="L3267" t="s" s="2">
        <v>22</v>
      </c>
      <c r="M3267" t="s" s="2">
        <v>22</v>
      </c>
    </row>
    <row r="3268" ht="25.0" customHeight="true">
      <c r="A3268" t="s" s="2">
        <v>13</v>
      </c>
      <c r="B3268" t="s" s="2">
        <f>HYPERLINK("http://ts.21cn.com/tousu/show/id/1370633","佰锐分期")</f>
      </c>
      <c r="C3268" t="s" s="2">
        <v>15</v>
      </c>
      <c r="D3268" t="s" s="2">
        <v>16</v>
      </c>
      <c r="E3268" t="s" s="2">
        <v>17</v>
      </c>
      <c r="F3268" t="s" s="2">
        <f>HYPERLINK("http://ts.21cn.com/tousu/show/id/1370633","http://ts.21cn.com/tousu/show/id/1370633")</f>
      </c>
      <c r="G3268" t="s" s="2">
        <v>17</v>
      </c>
      <c r="H3268" t="s" s="2">
        <v>19</v>
      </c>
      <c r="I3268" t="s" s="2">
        <v>12752</v>
      </c>
      <c r="J3268" t="s" s="2">
        <v>12753</v>
      </c>
      <c r="K3268" t="s" s="2">
        <v>22</v>
      </c>
      <c r="L3268" t="s" s="2">
        <v>22</v>
      </c>
      <c r="M3268" t="s" s="2">
        <v>22</v>
      </c>
    </row>
    <row r="3269" ht="25.0" customHeight="true">
      <c r="A3269" t="s" s="2">
        <v>13</v>
      </c>
      <c r="B3269" t="s" s="2">
        <f>HYPERLINK("http://ts.21cn.com/tousu/show/id/1370632","唯品会买的东西刚买完就降价")</f>
      </c>
      <c r="C3269" t="s" s="2">
        <v>52</v>
      </c>
      <c r="D3269" t="s" s="2">
        <v>16</v>
      </c>
      <c r="E3269" t="s" s="2">
        <v>17</v>
      </c>
      <c r="F3269" t="s" s="2">
        <f>HYPERLINK("http://ts.21cn.com/tousu/show/id/1370632","http://ts.21cn.com/tousu/show/id/1370632")</f>
      </c>
      <c r="G3269" t="s" s="2">
        <v>17</v>
      </c>
      <c r="H3269" t="s" s="2">
        <v>19</v>
      </c>
      <c r="I3269" t="s" s="2">
        <v>12756</v>
      </c>
      <c r="J3269" t="s" s="2">
        <v>12757</v>
      </c>
      <c r="K3269" t="s" s="2">
        <v>22</v>
      </c>
      <c r="L3269" t="s" s="2">
        <v>22</v>
      </c>
      <c r="M3269" t="s" s="2">
        <v>22</v>
      </c>
    </row>
    <row r="3270" ht="25.0" customHeight="true">
      <c r="A3270" t="s" s="2">
        <v>13</v>
      </c>
      <c r="B3270" t="s" s="2">
        <f>HYPERLINK("http://ts.21cn.com/tousu/show/id/1370631","农行app里的绿森商城下单后过期不发货")</f>
      </c>
      <c r="C3270" t="s" s="2">
        <v>15</v>
      </c>
      <c r="D3270" t="s" s="2">
        <v>16</v>
      </c>
      <c r="E3270" t="s" s="2">
        <v>17</v>
      </c>
      <c r="F3270" t="s" s="2">
        <f>HYPERLINK("http://ts.21cn.com/tousu/show/id/1370631","http://ts.21cn.com/tousu/show/id/1370631")</f>
      </c>
      <c r="G3270" t="s" s="2">
        <v>17</v>
      </c>
      <c r="H3270" t="s" s="2">
        <v>19</v>
      </c>
      <c r="I3270" t="s" s="2">
        <v>12760</v>
      </c>
      <c r="J3270" t="s" s="2">
        <v>12761</v>
      </c>
      <c r="K3270" t="s" s="2">
        <v>22</v>
      </c>
      <c r="L3270" t="s" s="2">
        <v>22</v>
      </c>
      <c r="M3270" t="s" s="2">
        <v>22</v>
      </c>
    </row>
    <row r="3271" ht="25.0" customHeight="true">
      <c r="A3271" t="s" s="2">
        <v>13</v>
      </c>
      <c r="B3271" t="s" s="2">
        <f>HYPERLINK("http://ts.21cn.com/tousu/show/id/1370628","洋钱罐借款平台逼死人，给我打通电话我说晚一天还款，还要爆我通讯录。")</f>
      </c>
      <c r="C3271" t="s" s="2">
        <v>15</v>
      </c>
      <c r="D3271" t="s" s="2">
        <v>16</v>
      </c>
      <c r="E3271" t="s" s="2">
        <v>17</v>
      </c>
      <c r="F3271" t="s" s="2">
        <f>HYPERLINK("http://ts.21cn.com/tousu/show/id/1370628","http://ts.21cn.com/tousu/show/id/1370628")</f>
      </c>
      <c r="G3271" t="s" s="2">
        <v>17</v>
      </c>
      <c r="H3271" t="s" s="2">
        <v>19</v>
      </c>
      <c r="I3271" t="s" s="2">
        <v>12764</v>
      </c>
      <c r="J3271" t="s" s="2">
        <v>12765</v>
      </c>
      <c r="K3271" t="s" s="2">
        <v>22</v>
      </c>
      <c r="L3271" t="s" s="2">
        <v>22</v>
      </c>
      <c r="M3271" t="s" s="2">
        <v>22</v>
      </c>
    </row>
    <row r="3272" ht="25.0" customHeight="true">
      <c r="A3272" t="s" s="2">
        <v>13</v>
      </c>
      <c r="B3272" t="s" s="2">
        <f>HYPERLINK("http://ts.21cn.com/tousu/show/id/1370629","放心借存在暴力催收")</f>
      </c>
      <c r="C3272" t="s" s="2">
        <v>15</v>
      </c>
      <c r="D3272" t="s" s="2">
        <v>16</v>
      </c>
      <c r="E3272" t="s" s="2">
        <v>17</v>
      </c>
      <c r="F3272" t="s" s="2">
        <f>HYPERLINK("http://ts.21cn.com/tousu/show/id/1370629","http://ts.21cn.com/tousu/show/id/1370629")</f>
      </c>
      <c r="G3272" t="s" s="2">
        <v>17</v>
      </c>
      <c r="H3272" t="s" s="2">
        <v>19</v>
      </c>
      <c r="I3272" t="s" s="2">
        <v>12768</v>
      </c>
      <c r="J3272" t="s" s="2">
        <v>12769</v>
      </c>
      <c r="K3272" t="s" s="2">
        <v>22</v>
      </c>
      <c r="L3272" t="s" s="2">
        <v>22</v>
      </c>
      <c r="M3272" t="s" s="2">
        <v>22</v>
      </c>
    </row>
    <row r="3273" ht="25.0" customHeight="true">
      <c r="A3273" t="s" s="2">
        <v>13</v>
      </c>
      <c r="B3273" t="s" s="2">
        <f>HYPERLINK("http://ts.21cn.com/tousu/show/id/1370626","一秒陛下汇潮支付超高砍头息")</f>
      </c>
      <c r="C3273" t="s" s="2">
        <v>52</v>
      </c>
      <c r="D3273" t="s" s="2">
        <v>16</v>
      </c>
      <c r="E3273" t="s" s="2">
        <v>17</v>
      </c>
      <c r="F3273" t="s" s="2">
        <f>HYPERLINK("http://ts.21cn.com/tousu/show/id/1370626","http://ts.21cn.com/tousu/show/id/1370626")</f>
      </c>
      <c r="G3273" t="s" s="2">
        <v>17</v>
      </c>
      <c r="H3273" t="s" s="2">
        <v>19</v>
      </c>
      <c r="I3273" t="s" s="2">
        <v>12772</v>
      </c>
      <c r="J3273" t="s" s="2">
        <v>12773</v>
      </c>
      <c r="K3273" t="s" s="2">
        <v>22</v>
      </c>
      <c r="L3273" t="s" s="2">
        <v>22</v>
      </c>
      <c r="M3273" t="s" s="2">
        <v>22</v>
      </c>
    </row>
    <row r="3274" ht="25.0" customHeight="true">
      <c r="A3274" t="s" s="2">
        <v>13</v>
      </c>
      <c r="B3274" t="s" s="2">
        <f>HYPERLINK("http://ts.21cn.com/tousu/show/id/1370612","捷信爆通讯录催收.高利贷.提前还款高额服务费")</f>
      </c>
      <c r="C3274" t="s" s="2">
        <v>15</v>
      </c>
      <c r="D3274" t="s" s="2">
        <v>16</v>
      </c>
      <c r="E3274" t="s" s="2">
        <v>17</v>
      </c>
      <c r="F3274" t="s" s="2">
        <f>HYPERLINK("http://ts.21cn.com/tousu/show/id/1370612","http://ts.21cn.com/tousu/show/id/1370612")</f>
      </c>
      <c r="G3274" t="s" s="2">
        <v>17</v>
      </c>
      <c r="H3274" t="s" s="2">
        <v>19</v>
      </c>
      <c r="I3274" t="s" s="2">
        <v>12776</v>
      </c>
      <c r="J3274" t="s" s="2">
        <v>12777</v>
      </c>
      <c r="K3274" t="s" s="2">
        <v>22</v>
      </c>
      <c r="L3274" t="s" s="2">
        <v>22</v>
      </c>
      <c r="M3274" t="s" s="2">
        <v>22</v>
      </c>
    </row>
    <row r="3275" ht="25.0" customHeight="true">
      <c r="A3275" t="s" s="2">
        <v>13</v>
      </c>
      <c r="B3275" t="s" s="2">
        <f>HYPERLINK("http://ts.21cn.com/tousu/show/id/1370625","完美证件照专业版乱扣费")</f>
      </c>
      <c r="C3275" t="s" s="2">
        <v>15</v>
      </c>
      <c r="D3275" t="s" s="2">
        <v>16</v>
      </c>
      <c r="E3275" t="s" s="2">
        <v>17</v>
      </c>
      <c r="F3275" t="s" s="2">
        <f>HYPERLINK("http://ts.21cn.com/tousu/show/id/1370625","http://ts.21cn.com/tousu/show/id/1370625")</f>
      </c>
      <c r="G3275" t="s" s="2">
        <v>17</v>
      </c>
      <c r="H3275" t="s" s="2">
        <v>19</v>
      </c>
      <c r="I3275" t="s" s="2">
        <v>12780</v>
      </c>
      <c r="J3275" t="s" s="2">
        <v>12781</v>
      </c>
      <c r="K3275" t="s" s="2">
        <v>22</v>
      </c>
      <c r="L3275" t="s" s="2">
        <v>22</v>
      </c>
      <c r="M3275" t="s" s="2">
        <v>22</v>
      </c>
    </row>
    <row r="3276" ht="25.0" customHeight="true">
      <c r="A3276" t="s" s="2">
        <v>13</v>
      </c>
      <c r="B3276" t="s" s="2">
        <f>HYPERLINK("http://ts.21cn.com/tousu/show/id/1370624","玖富万卡违法收取高额利息，典型套路贷、高利贷、阴阳合同，华夏银行和中国人保协助以上违法行为")</f>
      </c>
      <c r="C3276" t="s" s="2">
        <v>15</v>
      </c>
      <c r="D3276" t="s" s="2">
        <v>16</v>
      </c>
      <c r="E3276" t="s" s="2">
        <v>17</v>
      </c>
      <c r="F3276" t="s" s="2">
        <f>HYPERLINK("http://ts.21cn.com/tousu/show/id/1370624","http://ts.21cn.com/tousu/show/id/1370624")</f>
      </c>
      <c r="G3276" t="s" s="2">
        <v>17</v>
      </c>
      <c r="H3276" t="s" s="2">
        <v>19</v>
      </c>
      <c r="I3276" t="s" s="2">
        <v>12784</v>
      </c>
      <c r="J3276" t="s" s="2">
        <v>12785</v>
      </c>
      <c r="K3276" t="s" s="2">
        <v>22</v>
      </c>
      <c r="L3276" t="s" s="2">
        <v>22</v>
      </c>
      <c r="M3276" t="s" s="2">
        <v>22</v>
      </c>
    </row>
    <row r="3277" ht="25.0" customHeight="true">
      <c r="A3277" t="s" s="2">
        <v>13</v>
      </c>
      <c r="B3277" t="s" s="2">
        <f>HYPERLINK("http://ts.21cn.com/tousu/show/id/1370623","省呗虚假宣传高利贷中原消费")</f>
      </c>
      <c r="C3277" t="s" s="2">
        <v>15</v>
      </c>
      <c r="D3277" t="s" s="2">
        <v>16</v>
      </c>
      <c r="E3277" t="s" s="2">
        <v>17</v>
      </c>
      <c r="F3277" t="s" s="2">
        <f>HYPERLINK("http://ts.21cn.com/tousu/show/id/1370623","http://ts.21cn.com/tousu/show/id/1370623")</f>
      </c>
      <c r="G3277" t="s" s="2">
        <v>17</v>
      </c>
      <c r="H3277" t="s" s="2">
        <v>19</v>
      </c>
      <c r="I3277" t="s" s="2">
        <v>12788</v>
      </c>
      <c r="J3277" t="s" s="2">
        <v>12789</v>
      </c>
      <c r="K3277" t="s" s="2">
        <v>22</v>
      </c>
      <c r="L3277" t="s" s="2">
        <v>22</v>
      </c>
      <c r="M3277" t="s" s="2">
        <v>22</v>
      </c>
    </row>
    <row r="3278" ht="25.0" customHeight="true">
      <c r="A3278" t="s" s="2">
        <v>13</v>
      </c>
      <c r="B3278" t="s" s="2">
        <f>HYPERLINK("http://ts.21cn.com/tousu/show/id/1370622","云缴费充值话费不到账，联系不到客服")</f>
      </c>
      <c r="C3278" t="s" s="2">
        <v>15</v>
      </c>
      <c r="D3278" t="s" s="2">
        <v>16</v>
      </c>
      <c r="E3278" t="s" s="2">
        <v>17</v>
      </c>
      <c r="F3278" t="s" s="2">
        <f>HYPERLINK("http://ts.21cn.com/tousu/show/id/1370622","http://ts.21cn.com/tousu/show/id/1370622")</f>
      </c>
      <c r="G3278" t="s" s="2">
        <v>17</v>
      </c>
      <c r="H3278" t="s" s="2">
        <v>19</v>
      </c>
      <c r="I3278" t="s" s="2">
        <v>12792</v>
      </c>
      <c r="J3278" t="s" s="2">
        <v>12793</v>
      </c>
      <c r="K3278" t="s" s="2">
        <v>22</v>
      </c>
      <c r="L3278" t="s" s="2">
        <v>22</v>
      </c>
      <c r="M3278" t="s" s="2">
        <v>22</v>
      </c>
    </row>
    <row r="3279" ht="25.0" customHeight="true">
      <c r="A3279" t="s" s="2">
        <v>13</v>
      </c>
      <c r="B3279" t="s" s="2">
        <f>HYPERLINK("http://ts.21cn.com/tousu/show/id/1370621","我来贷联系本人的情况下不予协商，暴通讯录")</f>
      </c>
      <c r="C3279" t="s" s="2">
        <v>15</v>
      </c>
      <c r="D3279" t="s" s="2">
        <v>16</v>
      </c>
      <c r="E3279" t="s" s="2">
        <v>17</v>
      </c>
      <c r="F3279" t="s" s="2">
        <f>HYPERLINK("http://ts.21cn.com/tousu/show/id/1370621","http://ts.21cn.com/tousu/show/id/1370621")</f>
      </c>
      <c r="G3279" t="s" s="2">
        <v>17</v>
      </c>
      <c r="H3279" t="s" s="2">
        <v>19</v>
      </c>
      <c r="I3279" t="s" s="2">
        <v>12796</v>
      </c>
      <c r="J3279" t="s" s="2">
        <v>12797</v>
      </c>
      <c r="K3279" t="s" s="2">
        <v>22</v>
      </c>
      <c r="L3279" t="s" s="2">
        <v>22</v>
      </c>
      <c r="M3279" t="s" s="2">
        <v>22</v>
      </c>
    </row>
    <row r="3280" ht="25.0" customHeight="true">
      <c r="A3280" t="s" s="2">
        <v>13</v>
      </c>
      <c r="B3280" t="s" s="2">
        <f>HYPERLINK("http://ts.21cn.com/tousu/show/id/1370620","上海翰银为网路博彩平台的提供收款服务")</f>
      </c>
      <c r="C3280" t="s" s="2">
        <v>15</v>
      </c>
      <c r="D3280" t="s" s="2">
        <v>16</v>
      </c>
      <c r="E3280" t="s" s="2">
        <v>17</v>
      </c>
      <c r="F3280" t="s" s="2">
        <f>HYPERLINK("http://ts.21cn.com/tousu/show/id/1370620","http://ts.21cn.com/tousu/show/id/1370620")</f>
      </c>
      <c r="G3280" t="s" s="2">
        <v>17</v>
      </c>
      <c r="H3280" t="s" s="2">
        <v>19</v>
      </c>
      <c r="I3280" t="s" s="2">
        <v>12800</v>
      </c>
      <c r="J3280" t="s" s="2">
        <v>12801</v>
      </c>
      <c r="K3280" t="s" s="2">
        <v>22</v>
      </c>
      <c r="L3280" t="s" s="2">
        <v>22</v>
      </c>
      <c r="M3280" t="s" s="2">
        <v>22</v>
      </c>
    </row>
    <row r="3281" ht="25.0" customHeight="true">
      <c r="A3281" t="s" s="2">
        <v>13</v>
      </c>
      <c r="B3281" t="s" s="2">
        <f>HYPERLINK("http://ts.21cn.com/tousu/show/id/1370618","捷信金融")</f>
      </c>
      <c r="C3281" t="s" s="2">
        <v>52</v>
      </c>
      <c r="D3281" t="s" s="2">
        <v>16</v>
      </c>
      <c r="E3281" t="s" s="2">
        <v>17</v>
      </c>
      <c r="F3281" t="s" s="2">
        <f>HYPERLINK("http://ts.21cn.com/tousu/show/id/1370618","http://ts.21cn.com/tousu/show/id/1370618")</f>
      </c>
      <c r="G3281" t="s" s="2">
        <v>17</v>
      </c>
      <c r="H3281" t="s" s="2">
        <v>19</v>
      </c>
      <c r="I3281" t="s" s="2">
        <v>12804</v>
      </c>
      <c r="J3281" t="s" s="2">
        <v>12805</v>
      </c>
      <c r="K3281" t="s" s="2">
        <v>22</v>
      </c>
      <c r="L3281" t="s" s="2">
        <v>22</v>
      </c>
      <c r="M3281" t="s" s="2">
        <v>22</v>
      </c>
    </row>
    <row r="3282" ht="25.0" customHeight="true">
      <c r="A3282" t="s" s="2">
        <v>13</v>
      </c>
      <c r="B3282" t="s" s="2">
        <f>HYPERLINK("http://ts.21cn.com/tousu/show/id/1370617","梁山仙域信息技术有限公司款扣款")</f>
      </c>
      <c r="C3282" t="s" s="2">
        <v>15</v>
      </c>
      <c r="D3282" t="s" s="2">
        <v>16</v>
      </c>
      <c r="E3282" t="s" s="2">
        <v>17</v>
      </c>
      <c r="F3282" t="s" s="2">
        <f>HYPERLINK("http://ts.21cn.com/tousu/show/id/1370617","http://ts.21cn.com/tousu/show/id/1370617")</f>
      </c>
      <c r="G3282" t="s" s="2">
        <v>17</v>
      </c>
      <c r="H3282" t="s" s="2">
        <v>19</v>
      </c>
      <c r="I3282" t="s" s="2">
        <v>12808</v>
      </c>
      <c r="J3282" t="s" s="2">
        <v>12809</v>
      </c>
      <c r="K3282" t="s" s="2">
        <v>22</v>
      </c>
      <c r="L3282" t="s" s="2">
        <v>22</v>
      </c>
      <c r="M3282" t="s" s="2">
        <v>22</v>
      </c>
    </row>
    <row r="3283" ht="25.0" customHeight="true">
      <c r="A3283" t="s" s="2">
        <v>13</v>
      </c>
      <c r="B3283" t="s" s="2">
        <f>HYPERLINK("http://ts.21cn.com/tousu/show/id/1370615","财付通无故扣款")</f>
      </c>
      <c r="C3283" t="s" s="2">
        <v>15</v>
      </c>
      <c r="D3283" t="s" s="2">
        <v>16</v>
      </c>
      <c r="E3283" t="s" s="2">
        <v>17</v>
      </c>
      <c r="F3283" t="s" s="2">
        <f>HYPERLINK("http://ts.21cn.com/tousu/show/id/1370615","http://ts.21cn.com/tousu/show/id/1370615")</f>
      </c>
      <c r="G3283" t="s" s="2">
        <v>17</v>
      </c>
      <c r="H3283" t="s" s="2">
        <v>19</v>
      </c>
      <c r="I3283" t="s" s="2">
        <v>12812</v>
      </c>
      <c r="J3283" t="s" s="2">
        <v>12813</v>
      </c>
      <c r="K3283" t="s" s="2">
        <v>22</v>
      </c>
      <c r="L3283" t="s" s="2">
        <v>22</v>
      </c>
      <c r="M3283" t="s" s="2">
        <v>22</v>
      </c>
    </row>
    <row r="3284" ht="25.0" customHeight="true">
      <c r="A3284" t="s" s="2">
        <v>13</v>
      </c>
      <c r="B3284" t="s" s="2">
        <f>HYPERLINK("http://ts.21cn.com/tousu/show/id/1370616","高利贷")</f>
      </c>
      <c r="C3284" t="s" s="2">
        <v>15</v>
      </c>
      <c r="D3284" t="s" s="2">
        <v>16</v>
      </c>
      <c r="E3284" t="s" s="2">
        <v>17</v>
      </c>
      <c r="F3284" t="s" s="2">
        <f>HYPERLINK("http://ts.21cn.com/tousu/show/id/1370616","http://ts.21cn.com/tousu/show/id/1370616")</f>
      </c>
      <c r="G3284" t="s" s="2">
        <v>17</v>
      </c>
      <c r="H3284" t="s" s="2">
        <v>19</v>
      </c>
      <c r="I3284" t="s" s="2">
        <v>12815</v>
      </c>
      <c r="J3284" t="s" s="2">
        <v>12816</v>
      </c>
      <c r="K3284" t="s" s="2">
        <v>22</v>
      </c>
      <c r="L3284" t="s" s="2">
        <v>22</v>
      </c>
      <c r="M3284" t="s" s="2">
        <v>22</v>
      </c>
    </row>
    <row r="3285" ht="25.0" customHeight="true">
      <c r="A3285" t="s" s="2">
        <v>13</v>
      </c>
      <c r="B3285" t="s" s="2">
        <f>HYPERLINK("http://ts.21cn.com/tousu/show/id/1370614","邮箱无法登陆")</f>
      </c>
      <c r="C3285" t="s" s="2">
        <v>52</v>
      </c>
      <c r="D3285" t="s" s="2">
        <v>16</v>
      </c>
      <c r="E3285" t="s" s="2">
        <v>17</v>
      </c>
      <c r="F3285" t="s" s="2">
        <f>HYPERLINK("http://ts.21cn.com/tousu/show/id/1370614","http://ts.21cn.com/tousu/show/id/1370614")</f>
      </c>
      <c r="G3285" t="s" s="2">
        <v>17</v>
      </c>
      <c r="H3285" t="s" s="2">
        <v>19</v>
      </c>
      <c r="I3285" t="s" s="2">
        <v>12819</v>
      </c>
      <c r="J3285" t="s" s="2">
        <v>12820</v>
      </c>
      <c r="K3285" t="s" s="2">
        <v>22</v>
      </c>
      <c r="L3285" t="s" s="2">
        <v>22</v>
      </c>
      <c r="M3285" t="s" s="2">
        <v>22</v>
      </c>
    </row>
    <row r="3286" ht="25.0" customHeight="true">
      <c r="A3286" t="s" s="2">
        <v>13</v>
      </c>
      <c r="B3286" t="s" s="2">
        <f>HYPERLINK("http://ts.21cn.com/tousu/show/id/1370611","高利贷黑手汇潮支付")</f>
      </c>
      <c r="C3286" t="s" s="2">
        <v>15</v>
      </c>
      <c r="D3286" t="s" s="2">
        <v>16</v>
      </c>
      <c r="E3286" t="s" s="2">
        <v>17</v>
      </c>
      <c r="F3286" t="s" s="2">
        <f>HYPERLINK("http://ts.21cn.com/tousu/show/id/1370611","http://ts.21cn.com/tousu/show/id/1370611")</f>
      </c>
      <c r="G3286" t="s" s="2">
        <v>17</v>
      </c>
      <c r="H3286" t="s" s="2">
        <v>19</v>
      </c>
      <c r="I3286" t="s" s="2">
        <v>12823</v>
      </c>
      <c r="J3286" t="s" s="2">
        <v>12824</v>
      </c>
      <c r="K3286" t="s" s="2">
        <v>22</v>
      </c>
      <c r="L3286" t="s" s="2">
        <v>22</v>
      </c>
      <c r="M3286" t="s" s="2">
        <v>22</v>
      </c>
    </row>
    <row r="3287" ht="25.0" customHeight="true">
      <c r="A3287" t="s" s="2">
        <v>13</v>
      </c>
      <c r="B3287" t="s" s="2">
        <f>HYPERLINK("http://ts.21cn.com/tousu/show/id/1370613","投诉期待合伙人收取高额加速服务费")</f>
      </c>
      <c r="C3287" t="s" s="2">
        <v>15</v>
      </c>
      <c r="D3287" t="s" s="2">
        <v>16</v>
      </c>
      <c r="E3287" t="s" s="2">
        <v>17</v>
      </c>
      <c r="F3287" t="s" s="2">
        <f>HYPERLINK("http://ts.21cn.com/tousu/show/id/1370613","http://ts.21cn.com/tousu/show/id/1370613")</f>
      </c>
      <c r="G3287" t="s" s="2">
        <v>17</v>
      </c>
      <c r="H3287" t="s" s="2">
        <v>19</v>
      </c>
      <c r="I3287" t="s" s="2">
        <v>12827</v>
      </c>
      <c r="J3287" t="s" s="2">
        <v>12828</v>
      </c>
      <c r="K3287" t="s" s="2">
        <v>22</v>
      </c>
      <c r="L3287" t="s" s="2">
        <v>22</v>
      </c>
      <c r="M3287" t="s" s="2">
        <v>22</v>
      </c>
    </row>
    <row r="3288" ht="25.0" customHeight="true">
      <c r="A3288" t="s" s="2">
        <v>13</v>
      </c>
      <c r="B3288" t="s" s="2">
        <f>HYPERLINK("http://ts.21cn.com/tousu/show/id/1370610","分期乐恶意诽谤")</f>
      </c>
      <c r="C3288" t="s" s="2">
        <v>15</v>
      </c>
      <c r="D3288" t="s" s="2">
        <v>16</v>
      </c>
      <c r="E3288" t="s" s="2">
        <v>17</v>
      </c>
      <c r="F3288" t="s" s="2">
        <f>HYPERLINK("http://ts.21cn.com/tousu/show/id/1370610","http://ts.21cn.com/tousu/show/id/1370610")</f>
      </c>
      <c r="G3288" t="s" s="2">
        <v>17</v>
      </c>
      <c r="H3288" t="s" s="2">
        <v>19</v>
      </c>
      <c r="I3288" t="s" s="2">
        <v>12831</v>
      </c>
      <c r="J3288" t="s" s="2">
        <v>12832</v>
      </c>
      <c r="K3288" t="s" s="2">
        <v>22</v>
      </c>
      <c r="L3288" t="s" s="2">
        <v>22</v>
      </c>
      <c r="M3288" t="s" s="2">
        <v>22</v>
      </c>
    </row>
    <row r="3289" ht="25.0" customHeight="true">
      <c r="A3289" t="s" s="2">
        <v>13</v>
      </c>
      <c r="B3289" t="s" s="2">
        <f>HYPERLINK("http://ts.21cn.com/tousu/show/id/1370608","百事普惠、造艺科技未经同意乱扣费")</f>
      </c>
      <c r="C3289" t="s" s="2">
        <v>15</v>
      </c>
      <c r="D3289" t="s" s="2">
        <v>16</v>
      </c>
      <c r="E3289" t="s" s="2">
        <v>17</v>
      </c>
      <c r="F3289" t="s" s="2">
        <f>HYPERLINK("http://ts.21cn.com/tousu/show/id/1370608","http://ts.21cn.com/tousu/show/id/1370608")</f>
      </c>
      <c r="G3289" t="s" s="2">
        <v>17</v>
      </c>
      <c r="H3289" t="s" s="2">
        <v>19</v>
      </c>
      <c r="I3289" t="s" s="2">
        <v>12835</v>
      </c>
      <c r="J3289" t="s" s="2">
        <v>12836</v>
      </c>
      <c r="K3289" t="s" s="2">
        <v>22</v>
      </c>
      <c r="L3289" t="s" s="2">
        <v>22</v>
      </c>
      <c r="M3289" t="s" s="2">
        <v>22</v>
      </c>
    </row>
    <row r="3290" ht="25.0" customHeight="true">
      <c r="A3290" t="s" s="2">
        <v>13</v>
      </c>
      <c r="B3290" t="s" s="2">
        <f>HYPERLINK("http://ts.21cn.com/tousu/show/id/1370607","钱站工作人员短信恐吓！")</f>
      </c>
      <c r="C3290" t="s" s="2">
        <v>15</v>
      </c>
      <c r="D3290" t="s" s="2">
        <v>16</v>
      </c>
      <c r="E3290" t="s" s="2">
        <v>17</v>
      </c>
      <c r="F3290" t="s" s="2">
        <f>HYPERLINK("http://ts.21cn.com/tousu/show/id/1370607","http://ts.21cn.com/tousu/show/id/1370607")</f>
      </c>
      <c r="G3290" t="s" s="2">
        <v>17</v>
      </c>
      <c r="H3290" t="s" s="2">
        <v>19</v>
      </c>
      <c r="I3290" t="s" s="2">
        <v>12839</v>
      </c>
      <c r="J3290" t="s" s="2">
        <v>12840</v>
      </c>
      <c r="K3290" t="s" s="2">
        <v>22</v>
      </c>
      <c r="L3290" t="s" s="2">
        <v>22</v>
      </c>
      <c r="M3290" t="s" s="2">
        <v>22</v>
      </c>
    </row>
    <row r="3291" ht="25.0" customHeight="true">
      <c r="A3291" t="s" s="2">
        <v>13</v>
      </c>
      <c r="B3291" t="s" s="2">
        <f>HYPERLINK("http://ts.21cn.com/tousu/show/id/1370606","应急贷高利贷")</f>
      </c>
      <c r="C3291" t="s" s="2">
        <v>15</v>
      </c>
      <c r="D3291" t="s" s="2">
        <v>16</v>
      </c>
      <c r="E3291" t="s" s="2">
        <v>17</v>
      </c>
      <c r="F3291" t="s" s="2">
        <f>HYPERLINK("http://ts.21cn.com/tousu/show/id/1370606","http://ts.21cn.com/tousu/show/id/1370606")</f>
      </c>
      <c r="G3291" t="s" s="2">
        <v>17</v>
      </c>
      <c r="H3291" t="s" s="2">
        <v>19</v>
      </c>
      <c r="I3291" t="s" s="2">
        <v>12843</v>
      </c>
      <c r="J3291" t="s" s="2">
        <v>12844</v>
      </c>
      <c r="K3291" t="s" s="2">
        <v>22</v>
      </c>
      <c r="L3291" t="s" s="2">
        <v>22</v>
      </c>
      <c r="M3291" t="s" s="2">
        <v>22</v>
      </c>
    </row>
    <row r="3292" ht="25.0" customHeight="true">
      <c r="A3292" t="s" s="2">
        <v>13</v>
      </c>
      <c r="B3292" t="s" s="2">
        <f>HYPERLINK("http://ts.21cn.com/tousu/show/id/1370604","还款日当天暴力催收，爆通讯录")</f>
      </c>
      <c r="C3292" t="s" s="2">
        <v>15</v>
      </c>
      <c r="D3292" t="s" s="2">
        <v>16</v>
      </c>
      <c r="E3292" t="s" s="2">
        <v>17</v>
      </c>
      <c r="F3292" t="s" s="2">
        <f>HYPERLINK("http://ts.21cn.com/tousu/show/id/1370604","http://ts.21cn.com/tousu/show/id/1370604")</f>
      </c>
      <c r="G3292" t="s" s="2">
        <v>17</v>
      </c>
      <c r="H3292" t="s" s="2">
        <v>19</v>
      </c>
      <c r="I3292" t="s" s="2">
        <v>12847</v>
      </c>
      <c r="J3292" t="s" s="2">
        <v>12848</v>
      </c>
      <c r="K3292" t="s" s="2">
        <v>22</v>
      </c>
      <c r="L3292" t="s" s="2">
        <v>22</v>
      </c>
      <c r="M3292" t="s" s="2">
        <v>22</v>
      </c>
    </row>
    <row r="3293" ht="25.0" customHeight="true">
      <c r="A3293" t="s" s="2">
        <v>13</v>
      </c>
      <c r="B3293" t="s" s="2">
        <f>HYPERLINK("http://ts.21cn.com/tousu/show/id/1370603","工行信用卡高利违约金")</f>
      </c>
      <c r="C3293" t="s" s="2">
        <v>15</v>
      </c>
      <c r="D3293" t="s" s="2">
        <v>16</v>
      </c>
      <c r="E3293" t="s" s="2">
        <v>17</v>
      </c>
      <c r="F3293" t="s" s="2">
        <f>HYPERLINK("http://ts.21cn.com/tousu/show/id/1370603","http://ts.21cn.com/tousu/show/id/1370603")</f>
      </c>
      <c r="G3293" t="s" s="2">
        <v>17</v>
      </c>
      <c r="H3293" t="s" s="2">
        <v>19</v>
      </c>
      <c r="I3293" t="s" s="2">
        <v>12851</v>
      </c>
      <c r="J3293" t="s" s="2">
        <v>12852</v>
      </c>
      <c r="K3293" t="s" s="2">
        <v>22</v>
      </c>
      <c r="L3293" t="s" s="2">
        <v>22</v>
      </c>
      <c r="M3293" t="s" s="2">
        <v>22</v>
      </c>
    </row>
    <row r="3294" ht="25.0" customHeight="true">
      <c r="A3294" t="s" s="2">
        <v>13</v>
      </c>
      <c r="B3294" t="s" s="2">
        <f>HYPERLINK("http://ts.21cn.com/tousu/show/id/1370602","水莲金条恶意催收")</f>
      </c>
      <c r="C3294" t="s" s="2">
        <v>15</v>
      </c>
      <c r="D3294" t="s" s="2">
        <v>16</v>
      </c>
      <c r="E3294" t="s" s="2">
        <v>17</v>
      </c>
      <c r="F3294" t="s" s="2">
        <f>HYPERLINK("http://ts.21cn.com/tousu/show/id/1370602","http://ts.21cn.com/tousu/show/id/1370602")</f>
      </c>
      <c r="G3294" t="s" s="2">
        <v>17</v>
      </c>
      <c r="H3294" t="s" s="2">
        <v>19</v>
      </c>
      <c r="I3294" t="s" s="2">
        <v>12855</v>
      </c>
      <c r="J3294" t="s" s="2">
        <v>12856</v>
      </c>
      <c r="K3294" t="s" s="2">
        <v>22</v>
      </c>
      <c r="L3294" t="s" s="2">
        <v>22</v>
      </c>
      <c r="M3294" t="s" s="2">
        <v>22</v>
      </c>
    </row>
    <row r="3295" ht="25.0" customHeight="true">
      <c r="A3295" t="s" s="2">
        <v>13</v>
      </c>
      <c r="B3295" t="s" s="2">
        <f>HYPERLINK("http://ts.21cn.com/tousu/show/id/1370601","闪银高利贷")</f>
      </c>
      <c r="C3295" t="s" s="2">
        <v>15</v>
      </c>
      <c r="D3295" t="s" s="2">
        <v>16</v>
      </c>
      <c r="E3295" t="s" s="2">
        <v>17</v>
      </c>
      <c r="F3295" t="s" s="2">
        <f>HYPERLINK("http://ts.21cn.com/tousu/show/id/1370601","http://ts.21cn.com/tousu/show/id/1370601")</f>
      </c>
      <c r="G3295" t="s" s="2">
        <v>17</v>
      </c>
      <c r="H3295" t="s" s="2">
        <v>19</v>
      </c>
      <c r="I3295" t="s" s="2">
        <v>12858</v>
      </c>
      <c r="J3295" t="s" s="2">
        <v>12859</v>
      </c>
      <c r="K3295" t="s" s="2">
        <v>22</v>
      </c>
      <c r="L3295" t="s" s="2">
        <v>22</v>
      </c>
      <c r="M3295" t="s" s="2">
        <v>22</v>
      </c>
    </row>
    <row r="3296" ht="25.0" customHeight="true">
      <c r="A3296" t="s" s="2">
        <v>13</v>
      </c>
      <c r="B3296" t="s" s="2">
        <f>HYPERLINK("http://ts.21cn.com/tousu/show/id/1370600","提前还款手续费还要全额支付")</f>
      </c>
      <c r="C3296" t="s" s="2">
        <v>52</v>
      </c>
      <c r="D3296" t="s" s="2">
        <v>16</v>
      </c>
      <c r="E3296" t="s" s="2">
        <v>17</v>
      </c>
      <c r="F3296" t="s" s="2">
        <f>HYPERLINK("http://ts.21cn.com/tousu/show/id/1370600","http://ts.21cn.com/tousu/show/id/1370600")</f>
      </c>
      <c r="G3296" t="s" s="2">
        <v>17</v>
      </c>
      <c r="H3296" t="s" s="2">
        <v>19</v>
      </c>
      <c r="I3296" t="s" s="2">
        <v>12862</v>
      </c>
      <c r="J3296" t="s" s="2">
        <v>12863</v>
      </c>
      <c r="K3296" t="s" s="2">
        <v>22</v>
      </c>
      <c r="L3296" t="s" s="2">
        <v>22</v>
      </c>
      <c r="M3296" t="s" s="2">
        <v>22</v>
      </c>
    </row>
    <row r="3297" ht="25.0" customHeight="true">
      <c r="A3297" t="s" s="2">
        <v>13</v>
      </c>
      <c r="B3297" t="s" s="2">
        <f>HYPERLINK("http://ts.21cn.com/tousu/show/id/1370599","成都安睿旺蜀网络科技恶意扣款")</f>
      </c>
      <c r="C3297" t="s" s="2">
        <v>15</v>
      </c>
      <c r="D3297" t="s" s="2">
        <v>16</v>
      </c>
      <c r="E3297" t="s" s="2">
        <v>17</v>
      </c>
      <c r="F3297" t="s" s="2">
        <f>HYPERLINK("http://ts.21cn.com/tousu/show/id/1370599","http://ts.21cn.com/tousu/show/id/1370599")</f>
      </c>
      <c r="G3297" t="s" s="2">
        <v>17</v>
      </c>
      <c r="H3297" t="s" s="2">
        <v>19</v>
      </c>
      <c r="I3297" t="s" s="2">
        <v>12866</v>
      </c>
      <c r="J3297" t="s" s="2">
        <v>12867</v>
      </c>
      <c r="K3297" t="s" s="2">
        <v>22</v>
      </c>
      <c r="L3297" t="s" s="2">
        <v>22</v>
      </c>
      <c r="M3297" t="s" s="2">
        <v>22</v>
      </c>
    </row>
    <row r="3298" ht="25.0" customHeight="true">
      <c r="A3298" t="s" s="2">
        <v>13</v>
      </c>
      <c r="B3298" t="s" s="2">
        <f>HYPERLINK("http://ts.21cn.com/tousu/show/id/1370597","蜜瓜钱包714高利贷")</f>
      </c>
      <c r="C3298" t="s" s="2">
        <v>15</v>
      </c>
      <c r="D3298" t="s" s="2">
        <v>16</v>
      </c>
      <c r="E3298" t="s" s="2">
        <v>17</v>
      </c>
      <c r="F3298" t="s" s="2">
        <f>HYPERLINK("http://ts.21cn.com/tousu/show/id/1370597","http://ts.21cn.com/tousu/show/id/1370597")</f>
      </c>
      <c r="G3298" t="s" s="2">
        <v>17</v>
      </c>
      <c r="H3298" t="s" s="2">
        <v>19</v>
      </c>
      <c r="I3298" t="s" s="2">
        <v>12870</v>
      </c>
      <c r="J3298" t="s" s="2">
        <v>12871</v>
      </c>
      <c r="K3298" t="s" s="2">
        <v>22</v>
      </c>
      <c r="L3298" t="s" s="2">
        <v>22</v>
      </c>
      <c r="M3298" t="s" s="2">
        <v>22</v>
      </c>
    </row>
    <row r="3299" ht="25.0" customHeight="true">
      <c r="A3299" t="s" s="2">
        <v>13</v>
      </c>
      <c r="B3299" t="s" s="2">
        <f>HYPERLINK("http://ts.21cn.com/tousu/show/id/1370596","让人本人无法生活")</f>
      </c>
      <c r="C3299" t="s" s="2">
        <v>15</v>
      </c>
      <c r="D3299" t="s" s="2">
        <v>16</v>
      </c>
      <c r="E3299" t="s" s="2">
        <v>17</v>
      </c>
      <c r="F3299" t="s" s="2">
        <f>HYPERLINK("http://ts.21cn.com/tousu/show/id/1370596","http://ts.21cn.com/tousu/show/id/1370596")</f>
      </c>
      <c r="G3299" t="s" s="2">
        <v>17</v>
      </c>
      <c r="H3299" t="s" s="2">
        <v>19</v>
      </c>
      <c r="I3299" t="s" s="2">
        <v>12874</v>
      </c>
      <c r="J3299" t="s" s="2">
        <v>12875</v>
      </c>
      <c r="K3299" t="s" s="2">
        <v>22</v>
      </c>
      <c r="L3299" t="s" s="2">
        <v>22</v>
      </c>
      <c r="M3299" t="s" s="2">
        <v>22</v>
      </c>
    </row>
    <row r="3300" ht="25.0" customHeight="true">
      <c r="A3300" t="s" s="2">
        <v>13</v>
      </c>
      <c r="B3300" t="s" s="2">
        <f>HYPERLINK("http://ts.21cn.com/tousu/show/id/1370595","卡卡贷未到还款日期提前扣款，之前协商的款项未退还")</f>
      </c>
      <c r="C3300" t="s" s="2">
        <v>15</v>
      </c>
      <c r="D3300" t="s" s="2">
        <v>16</v>
      </c>
      <c r="E3300" t="s" s="2">
        <v>17</v>
      </c>
      <c r="F3300" t="s" s="2">
        <f>HYPERLINK("http://ts.21cn.com/tousu/show/id/1370595","http://ts.21cn.com/tousu/show/id/1370595")</f>
      </c>
      <c r="G3300" t="s" s="2">
        <v>17</v>
      </c>
      <c r="H3300" t="s" s="2">
        <v>19</v>
      </c>
      <c r="I3300" t="s" s="2">
        <v>12878</v>
      </c>
      <c r="J3300" t="s" s="2">
        <v>12879</v>
      </c>
      <c r="K3300" t="s" s="2">
        <v>22</v>
      </c>
      <c r="L3300" t="s" s="2">
        <v>22</v>
      </c>
      <c r="M3300" t="s" s="2">
        <v>22</v>
      </c>
    </row>
    <row r="3301" ht="25.0" customHeight="true">
      <c r="A3301" t="s" s="2">
        <v>13</v>
      </c>
      <c r="B3301" t="s" s="2">
        <f>HYPERLINK("http://ts.21cn.com/tousu/show/id/1370594","高利贷，714高炮，套路贷")</f>
      </c>
      <c r="C3301" t="s" s="2">
        <v>15</v>
      </c>
      <c r="D3301" t="s" s="2">
        <v>16</v>
      </c>
      <c r="E3301" t="s" s="2">
        <v>17</v>
      </c>
      <c r="F3301" t="s" s="2">
        <f>HYPERLINK("http://ts.21cn.com/tousu/show/id/1370594","http://ts.21cn.com/tousu/show/id/1370594")</f>
      </c>
      <c r="G3301" t="s" s="2">
        <v>17</v>
      </c>
      <c r="H3301" t="s" s="2">
        <v>19</v>
      </c>
      <c r="I3301" t="s" s="2">
        <v>12882</v>
      </c>
      <c r="J3301" t="s" s="2">
        <v>12883</v>
      </c>
      <c r="K3301" t="s" s="2">
        <v>22</v>
      </c>
      <c r="L3301" t="s" s="2">
        <v>22</v>
      </c>
      <c r="M3301" t="s" s="2">
        <v>22</v>
      </c>
    </row>
    <row r="3302" ht="25.0" customHeight="true">
      <c r="A3302" t="s" s="2">
        <v>13</v>
      </c>
      <c r="B3302" t="s" s="2">
        <f>HYPERLINK("http://ts.21cn.com/tousu/show/id/1370591","关于达飞云贷涉嫌高利贷、套路贷、暴力催收的投诉")</f>
      </c>
      <c r="C3302" t="s" s="2">
        <v>15</v>
      </c>
      <c r="D3302" t="s" s="2">
        <v>16</v>
      </c>
      <c r="E3302" t="s" s="2">
        <v>17</v>
      </c>
      <c r="F3302" t="s" s="2">
        <f>HYPERLINK("http://ts.21cn.com/tousu/show/id/1370591","http://ts.21cn.com/tousu/show/id/1370591")</f>
      </c>
      <c r="G3302" t="s" s="2">
        <v>17</v>
      </c>
      <c r="H3302" t="s" s="2">
        <v>19</v>
      </c>
      <c r="I3302" t="s" s="2">
        <v>12886</v>
      </c>
      <c r="J3302" t="s" s="2">
        <v>12887</v>
      </c>
      <c r="K3302" t="s" s="2">
        <v>22</v>
      </c>
      <c r="L3302" t="s" s="2">
        <v>22</v>
      </c>
      <c r="M3302" t="s" s="2">
        <v>22</v>
      </c>
    </row>
    <row r="3303" ht="25.0" customHeight="true">
      <c r="A3303" t="s" s="2">
        <v>13</v>
      </c>
      <c r="B3303" t="s" s="2">
        <f>HYPERLINK("http://ts.21cn.com/tousu/show/id/1370592","同程旅游萤火虫小贷变相收取砍头息")</f>
      </c>
      <c r="C3303" t="s" s="2">
        <v>15</v>
      </c>
      <c r="D3303" t="s" s="2">
        <v>16</v>
      </c>
      <c r="E3303" t="s" s="2">
        <v>17</v>
      </c>
      <c r="F3303" t="s" s="2">
        <f>HYPERLINK("http://ts.21cn.com/tousu/show/id/1370592","http://ts.21cn.com/tousu/show/id/1370592")</f>
      </c>
      <c r="G3303" t="s" s="2">
        <v>17</v>
      </c>
      <c r="H3303" t="s" s="2">
        <v>19</v>
      </c>
      <c r="I3303" t="s" s="2">
        <v>12890</v>
      </c>
      <c r="J3303" t="s" s="2">
        <v>12891</v>
      </c>
      <c r="K3303" t="s" s="2">
        <v>22</v>
      </c>
      <c r="L3303" t="s" s="2">
        <v>22</v>
      </c>
      <c r="M3303" t="s" s="2">
        <v>22</v>
      </c>
    </row>
    <row r="3304" ht="25.0" customHeight="true">
      <c r="A3304" t="s" s="2">
        <v>13</v>
      </c>
      <c r="B3304" t="s" s="2">
        <f>HYPERLINK("http://ts.21cn.com/tousu/show/id/1370590","猫选平台不给货款")</f>
      </c>
      <c r="C3304" t="s" s="2">
        <v>52</v>
      </c>
      <c r="D3304" t="s" s="2">
        <v>16</v>
      </c>
      <c r="E3304" t="s" s="2">
        <v>17</v>
      </c>
      <c r="F3304" t="s" s="2">
        <f>HYPERLINK("http://ts.21cn.com/tousu/show/id/1370590","http://ts.21cn.com/tousu/show/id/1370590")</f>
      </c>
      <c r="G3304" t="s" s="2">
        <v>17</v>
      </c>
      <c r="H3304" t="s" s="2">
        <v>19</v>
      </c>
      <c r="I3304" t="s" s="2">
        <v>12894</v>
      </c>
      <c r="J3304" t="s" s="2">
        <v>12895</v>
      </c>
      <c r="K3304" t="s" s="2">
        <v>22</v>
      </c>
      <c r="L3304" t="s" s="2">
        <v>22</v>
      </c>
      <c r="M3304" t="s" s="2">
        <v>22</v>
      </c>
    </row>
    <row r="3305" ht="25.0" customHeight="true">
      <c r="A3305" t="s" s="2">
        <v>13</v>
      </c>
      <c r="B3305" t="s" s="2">
        <f>HYPERLINK("http://ts.21cn.com/tousu/show/id/1370588","714高炮平台")</f>
      </c>
      <c r="C3305" t="s" s="2">
        <v>15</v>
      </c>
      <c r="D3305" t="s" s="2">
        <v>16</v>
      </c>
      <c r="E3305" t="s" s="2">
        <v>17</v>
      </c>
      <c r="F3305" t="s" s="2">
        <f>HYPERLINK("http://ts.21cn.com/tousu/show/id/1370588","http://ts.21cn.com/tousu/show/id/1370588")</f>
      </c>
      <c r="G3305" t="s" s="2">
        <v>17</v>
      </c>
      <c r="H3305" t="s" s="2">
        <v>19</v>
      </c>
      <c r="I3305" t="s" s="2">
        <v>12898</v>
      </c>
      <c r="J3305" t="s" s="2">
        <v>12899</v>
      </c>
      <c r="K3305" t="s" s="2">
        <v>22</v>
      </c>
      <c r="L3305" t="s" s="2">
        <v>22</v>
      </c>
      <c r="M3305" t="s" s="2">
        <v>22</v>
      </c>
    </row>
    <row r="3306" ht="25.0" customHeight="true">
      <c r="A3306" t="s" s="2">
        <v>13</v>
      </c>
      <c r="B3306" t="s" s="2">
        <f>HYPERLINK("http://ts.21cn.com/tousu/show/id/1370587","胖胖有米平台无视本人操作，自行下款收高额利息")</f>
      </c>
      <c r="C3306" t="s" s="2">
        <v>15</v>
      </c>
      <c r="D3306" t="s" s="2">
        <v>16</v>
      </c>
      <c r="E3306" t="s" s="2">
        <v>17</v>
      </c>
      <c r="F3306" t="s" s="2">
        <f>HYPERLINK("http://ts.21cn.com/tousu/show/id/1370587","http://ts.21cn.com/tousu/show/id/1370587")</f>
      </c>
      <c r="G3306" t="s" s="2">
        <v>17</v>
      </c>
      <c r="H3306" t="s" s="2">
        <v>19</v>
      </c>
      <c r="I3306" t="s" s="2">
        <v>12902</v>
      </c>
      <c r="J3306" t="s" s="2">
        <v>12903</v>
      </c>
      <c r="K3306" t="s" s="2">
        <v>22</v>
      </c>
      <c r="L3306" t="s" s="2">
        <v>22</v>
      </c>
      <c r="M3306" t="s" s="2">
        <v>22</v>
      </c>
    </row>
    <row r="3307" ht="25.0" customHeight="true">
      <c r="A3307" t="s" s="2">
        <v>13</v>
      </c>
      <c r="B3307" t="s" s="2">
        <f>HYPERLINK("http://ts.21cn.com/tousu/show/id/1370586","民生银行信用卡高额滞纳金")</f>
      </c>
      <c r="C3307" t="s" s="2">
        <v>15</v>
      </c>
      <c r="D3307" t="s" s="2">
        <v>16</v>
      </c>
      <c r="E3307" t="s" s="2">
        <v>17</v>
      </c>
      <c r="F3307" t="s" s="2">
        <f>HYPERLINK("http://ts.21cn.com/tousu/show/id/1370586","http://ts.21cn.com/tousu/show/id/1370586")</f>
      </c>
      <c r="G3307" t="s" s="2">
        <v>17</v>
      </c>
      <c r="H3307" t="s" s="2">
        <v>19</v>
      </c>
      <c r="I3307" t="s" s="2">
        <v>12906</v>
      </c>
      <c r="J3307" t="s" s="2">
        <v>12907</v>
      </c>
      <c r="K3307" t="s" s="2">
        <v>22</v>
      </c>
      <c r="L3307" t="s" s="2">
        <v>22</v>
      </c>
      <c r="M3307" t="s" s="2">
        <v>22</v>
      </c>
    </row>
    <row r="3308" ht="25.0" customHeight="true">
      <c r="A3308" t="s" s="2">
        <v>13</v>
      </c>
      <c r="B3308" t="s" s="2">
        <f>HYPERLINK("http://ts.21cn.com/tousu/show/id/1370585","问题没有得到解决，将对瀚银科技继续投诉")</f>
      </c>
      <c r="C3308" t="s" s="2">
        <v>15</v>
      </c>
      <c r="D3308" t="s" s="2">
        <v>16</v>
      </c>
      <c r="E3308" t="s" s="2">
        <v>17</v>
      </c>
      <c r="F3308" t="s" s="2">
        <f>HYPERLINK("http://ts.21cn.com/tousu/show/id/1370585","http://ts.21cn.com/tousu/show/id/1370585")</f>
      </c>
      <c r="G3308" t="s" s="2">
        <v>17</v>
      </c>
      <c r="H3308" t="s" s="2">
        <v>19</v>
      </c>
      <c r="I3308" t="s" s="2">
        <v>12910</v>
      </c>
      <c r="J3308" t="s" s="2">
        <v>12911</v>
      </c>
      <c r="K3308" t="s" s="2">
        <v>22</v>
      </c>
      <c r="L3308" t="s" s="2">
        <v>22</v>
      </c>
      <c r="M3308" t="s" s="2">
        <v>22</v>
      </c>
    </row>
    <row r="3309" ht="25.0" customHeight="true">
      <c r="A3309" t="s" s="2">
        <v>13</v>
      </c>
      <c r="B3309" t="s" s="2">
        <f>HYPERLINK("http://ts.21cn.com/tousu/show/id/1370584","瀚银科技违规提供支付渠道")</f>
      </c>
      <c r="C3309" t="s" s="2">
        <v>15</v>
      </c>
      <c r="D3309" t="s" s="2">
        <v>16</v>
      </c>
      <c r="E3309" t="s" s="2">
        <v>17</v>
      </c>
      <c r="F3309" t="s" s="2">
        <f>HYPERLINK("http://ts.21cn.com/tousu/show/id/1370584","http://ts.21cn.com/tousu/show/id/1370584")</f>
      </c>
      <c r="G3309" t="s" s="2">
        <v>17</v>
      </c>
      <c r="H3309" t="s" s="2">
        <v>19</v>
      </c>
      <c r="I3309" t="s" s="2">
        <v>12914</v>
      </c>
      <c r="J3309" t="s" s="2">
        <v>6077</v>
      </c>
      <c r="K3309" t="s" s="2">
        <v>22</v>
      </c>
      <c r="L3309" t="s" s="2">
        <v>22</v>
      </c>
      <c r="M3309" t="s" s="2">
        <v>22</v>
      </c>
    </row>
    <row r="3310" ht="25.0" customHeight="true">
      <c r="A3310" t="s" s="2">
        <v>13</v>
      </c>
      <c r="B3310" t="s" s="2">
        <f>HYPERLINK("http://ts.21cn.com/tousu/show/id/1370582","拍拍贷恶意催收骚扰家人")</f>
      </c>
      <c r="C3310" t="s" s="2">
        <v>15</v>
      </c>
      <c r="D3310" t="s" s="2">
        <v>16</v>
      </c>
      <c r="E3310" t="s" s="2">
        <v>17</v>
      </c>
      <c r="F3310" t="s" s="2">
        <f>HYPERLINK("http://ts.21cn.com/tousu/show/id/1370582","http://ts.21cn.com/tousu/show/id/1370582")</f>
      </c>
      <c r="G3310" t="s" s="2">
        <v>17</v>
      </c>
      <c r="H3310" t="s" s="2">
        <v>19</v>
      </c>
      <c r="I3310" t="s" s="2">
        <v>12917</v>
      </c>
      <c r="J3310" t="s" s="2">
        <v>12918</v>
      </c>
      <c r="K3310" t="s" s="2">
        <v>22</v>
      </c>
      <c r="L3310" t="s" s="2">
        <v>22</v>
      </c>
      <c r="M3310" t="s" s="2">
        <v>22</v>
      </c>
    </row>
    <row r="3311" ht="25.0" customHeight="true">
      <c r="A3311" t="s" s="2">
        <v>13</v>
      </c>
      <c r="B3311" t="s" s="2">
        <f>HYPERLINK("http://ts.21cn.com/tousu/show/id/1370581","暴力催收短信轰炸公司领导")</f>
      </c>
      <c r="C3311" t="s" s="2">
        <v>15</v>
      </c>
      <c r="D3311" t="s" s="2">
        <v>16</v>
      </c>
      <c r="E3311" t="s" s="2">
        <v>17</v>
      </c>
      <c r="F3311" t="s" s="2">
        <f>HYPERLINK("http://ts.21cn.com/tousu/show/id/1370581","http://ts.21cn.com/tousu/show/id/1370581")</f>
      </c>
      <c r="G3311" t="s" s="2">
        <v>17</v>
      </c>
      <c r="H3311" t="s" s="2">
        <v>19</v>
      </c>
      <c r="I3311" t="s" s="2">
        <v>12921</v>
      </c>
      <c r="J3311" t="s" s="2">
        <v>12922</v>
      </c>
      <c r="K3311" t="s" s="2">
        <v>22</v>
      </c>
      <c r="L3311" t="s" s="2">
        <v>22</v>
      </c>
      <c r="M3311" t="s" s="2">
        <v>22</v>
      </c>
    </row>
    <row r="3312" ht="25.0" customHeight="true">
      <c r="A3312" t="s" s="2">
        <v>13</v>
      </c>
      <c r="B3312" t="s" s="2">
        <f>HYPERLINK("http://ts.21cn.com/tousu/show/id/1370580","享骑电单车押金不退")</f>
      </c>
      <c r="C3312" t="s" s="2">
        <v>15</v>
      </c>
      <c r="D3312" t="s" s="2">
        <v>16</v>
      </c>
      <c r="E3312" t="s" s="2">
        <v>17</v>
      </c>
      <c r="F3312" t="s" s="2">
        <f>HYPERLINK("http://ts.21cn.com/tousu/show/id/1370580","http://ts.21cn.com/tousu/show/id/1370580")</f>
      </c>
      <c r="G3312" t="s" s="2">
        <v>17</v>
      </c>
      <c r="H3312" t="s" s="2">
        <v>19</v>
      </c>
      <c r="I3312" t="s" s="2">
        <v>12925</v>
      </c>
      <c r="J3312" t="s" s="2">
        <v>12926</v>
      </c>
      <c r="K3312" t="s" s="2">
        <v>22</v>
      </c>
      <c r="L3312" t="s" s="2">
        <v>22</v>
      </c>
      <c r="M3312" t="s" s="2">
        <v>22</v>
      </c>
    </row>
    <row r="3313" ht="25.0" customHeight="true">
      <c r="A3313" t="s" s="2">
        <v>13</v>
      </c>
      <c r="B3313" t="s" s="2">
        <f>HYPERLINK("http://ts.21cn.com/tousu/show/id/1370579","暴力催收，骚扰通讯录联系人")</f>
      </c>
      <c r="C3313" t="s" s="2">
        <v>15</v>
      </c>
      <c r="D3313" t="s" s="2">
        <v>16</v>
      </c>
      <c r="E3313" t="s" s="2">
        <v>17</v>
      </c>
      <c r="F3313" t="s" s="2">
        <f>HYPERLINK("http://ts.21cn.com/tousu/show/id/1370579","http://ts.21cn.com/tousu/show/id/1370579")</f>
      </c>
      <c r="G3313" t="s" s="2">
        <v>17</v>
      </c>
      <c r="H3313" t="s" s="2">
        <v>19</v>
      </c>
      <c r="I3313" t="s" s="2">
        <v>12928</v>
      </c>
      <c r="J3313" t="s" s="2">
        <v>12929</v>
      </c>
      <c r="K3313" t="s" s="2">
        <v>22</v>
      </c>
      <c r="L3313" t="s" s="2">
        <v>22</v>
      </c>
      <c r="M3313" t="s" s="2">
        <v>22</v>
      </c>
    </row>
    <row r="3314" ht="25.0" customHeight="true">
      <c r="A3314" t="s" s="2">
        <v>13</v>
      </c>
      <c r="B3314" t="s" s="2">
        <f>HYPERLINK("http://ts.21cn.com/tousu/show/id/1370578","支付宝催收不断骚扰")</f>
      </c>
      <c r="C3314" t="s" s="2">
        <v>15</v>
      </c>
      <c r="D3314" t="s" s="2">
        <v>16</v>
      </c>
      <c r="E3314" t="s" s="2">
        <v>17</v>
      </c>
      <c r="F3314" t="s" s="2">
        <f>HYPERLINK("http://ts.21cn.com/tousu/show/id/1370578","http://ts.21cn.com/tousu/show/id/1370578")</f>
      </c>
      <c r="G3314" t="s" s="2">
        <v>17</v>
      </c>
      <c r="H3314" t="s" s="2">
        <v>19</v>
      </c>
      <c r="I3314" t="s" s="2">
        <v>12932</v>
      </c>
      <c r="J3314" t="s" s="2">
        <v>12933</v>
      </c>
      <c r="K3314" t="s" s="2">
        <v>22</v>
      </c>
      <c r="L3314" t="s" s="2">
        <v>22</v>
      </c>
      <c r="M3314" t="s" s="2">
        <v>22</v>
      </c>
    </row>
    <row r="3315" ht="25.0" customHeight="true">
      <c r="A3315" t="s" s="2">
        <v>13</v>
      </c>
      <c r="B3315" t="s" s="2">
        <f>HYPERLINK("http://ts.21cn.com/tousu/show/id/1370576","信用帮和渡小贷高利贷非法砍头息")</f>
      </c>
      <c r="C3315" t="s" s="2">
        <v>15</v>
      </c>
      <c r="D3315" t="s" s="2">
        <v>16</v>
      </c>
      <c r="E3315" t="s" s="2">
        <v>17</v>
      </c>
      <c r="F3315" t="s" s="2">
        <f>HYPERLINK("http://ts.21cn.com/tousu/show/id/1370576","http://ts.21cn.com/tousu/show/id/1370576")</f>
      </c>
      <c r="G3315" t="s" s="2">
        <v>17</v>
      </c>
      <c r="H3315" t="s" s="2">
        <v>19</v>
      </c>
      <c r="I3315" t="s" s="2">
        <v>12936</v>
      </c>
      <c r="J3315" t="s" s="2">
        <v>12937</v>
      </c>
      <c r="K3315" t="s" s="2">
        <v>22</v>
      </c>
      <c r="L3315" t="s" s="2">
        <v>22</v>
      </c>
      <c r="M3315" t="s" s="2">
        <v>22</v>
      </c>
    </row>
    <row r="3316" ht="25.0" customHeight="true">
      <c r="A3316" t="s" s="2">
        <v>13</v>
      </c>
      <c r="B3316" t="s" s="2">
        <f>HYPERLINK("http://ts.21cn.com/tousu/show/id/1370577","广东移动霸王条款、问题反馈不处理")</f>
      </c>
      <c r="C3316" t="s" s="2">
        <v>15</v>
      </c>
      <c r="D3316" t="s" s="2">
        <v>16</v>
      </c>
      <c r="E3316" t="s" s="2">
        <v>17</v>
      </c>
      <c r="F3316" t="s" s="2">
        <f>HYPERLINK("http://ts.21cn.com/tousu/show/id/1370577","http://ts.21cn.com/tousu/show/id/1370577")</f>
      </c>
      <c r="G3316" t="s" s="2">
        <v>17</v>
      </c>
      <c r="H3316" t="s" s="2">
        <v>19</v>
      </c>
      <c r="I3316" t="s" s="2">
        <v>12940</v>
      </c>
      <c r="J3316" t="s" s="2">
        <v>12941</v>
      </c>
      <c r="K3316" t="s" s="2">
        <v>22</v>
      </c>
      <c r="L3316" t="s" s="2">
        <v>22</v>
      </c>
      <c r="M3316" t="s" s="2">
        <v>22</v>
      </c>
    </row>
    <row r="3317" ht="25.0" customHeight="true">
      <c r="A3317" t="s" s="2">
        <v>13</v>
      </c>
      <c r="B3317" t="s" s="2">
        <f>HYPERLINK("http://ts.21cn.com/tousu/show/id/1370575","兴业银行骚扰正常生活，要求协商处理")</f>
      </c>
      <c r="C3317" t="s" s="2">
        <v>15</v>
      </c>
      <c r="D3317" t="s" s="2">
        <v>16</v>
      </c>
      <c r="E3317" t="s" s="2">
        <v>17</v>
      </c>
      <c r="F3317" t="s" s="2">
        <f>HYPERLINK("http://ts.21cn.com/tousu/show/id/1370575","http://ts.21cn.com/tousu/show/id/1370575")</f>
      </c>
      <c r="G3317" t="s" s="2">
        <v>17</v>
      </c>
      <c r="H3317" t="s" s="2">
        <v>19</v>
      </c>
      <c r="I3317" t="s" s="2">
        <v>12944</v>
      </c>
      <c r="J3317" t="s" s="2">
        <v>12945</v>
      </c>
      <c r="K3317" t="s" s="2">
        <v>22</v>
      </c>
      <c r="L3317" t="s" s="2">
        <v>22</v>
      </c>
      <c r="M3317" t="s" s="2">
        <v>22</v>
      </c>
    </row>
    <row r="3318" ht="25.0" customHeight="true">
      <c r="A3318" t="s" s="2">
        <v>13</v>
      </c>
      <c r="B3318" t="s" s="2">
        <f>HYPERLINK("http://ts.21cn.com/tousu/show/id/1370574","小赢卡贷高利贷")</f>
      </c>
      <c r="C3318" t="s" s="2">
        <v>15</v>
      </c>
      <c r="D3318" t="s" s="2">
        <v>16</v>
      </c>
      <c r="E3318" t="s" s="2">
        <v>17</v>
      </c>
      <c r="F3318" t="s" s="2">
        <f>HYPERLINK("http://ts.21cn.com/tousu/show/id/1370574","http://ts.21cn.com/tousu/show/id/1370574")</f>
      </c>
      <c r="G3318" t="s" s="2">
        <v>17</v>
      </c>
      <c r="H3318" t="s" s="2">
        <v>19</v>
      </c>
      <c r="I3318" t="s" s="2">
        <v>12947</v>
      </c>
      <c r="J3318" t="s" s="2">
        <v>12948</v>
      </c>
      <c r="K3318" t="s" s="2">
        <v>22</v>
      </c>
      <c r="L3318" t="s" s="2">
        <v>22</v>
      </c>
      <c r="M3318" t="s" s="2">
        <v>22</v>
      </c>
    </row>
    <row r="3319" ht="25.0" customHeight="true">
      <c r="A3319" t="s" s="2">
        <v>13</v>
      </c>
      <c r="B3319" t="s" s="2">
        <f>HYPERLINK("http://ts.21cn.com/tousu/show/id/1370573","个人征信不良消除")</f>
      </c>
      <c r="C3319" t="s" s="2">
        <v>15</v>
      </c>
      <c r="D3319" t="s" s="2">
        <v>16</v>
      </c>
      <c r="E3319" t="s" s="2">
        <v>17</v>
      </c>
      <c r="F3319" t="s" s="2">
        <f>HYPERLINK("http://ts.21cn.com/tousu/show/id/1370573","http://ts.21cn.com/tousu/show/id/1370573")</f>
      </c>
      <c r="G3319" t="s" s="2">
        <v>17</v>
      </c>
      <c r="H3319" t="s" s="2">
        <v>19</v>
      </c>
      <c r="I3319" t="s" s="2">
        <v>12951</v>
      </c>
      <c r="J3319" t="s" s="2">
        <v>12952</v>
      </c>
      <c r="K3319" t="s" s="2">
        <v>22</v>
      </c>
      <c r="L3319" t="s" s="2">
        <v>22</v>
      </c>
      <c r="M3319" t="s" s="2">
        <v>22</v>
      </c>
    </row>
    <row r="3320" ht="25.0" customHeight="true">
      <c r="A3320" t="s" s="2">
        <v>13</v>
      </c>
      <c r="B3320" t="s" s="2">
        <f>HYPERLINK("http://ts.21cn.com/tousu/show/id/1370567","钱站高利贷，阴阳合同，软暴力催收")</f>
      </c>
      <c r="C3320" t="s" s="2">
        <v>15</v>
      </c>
      <c r="D3320" t="s" s="2">
        <v>16</v>
      </c>
      <c r="E3320" t="s" s="2">
        <v>17</v>
      </c>
      <c r="F3320" t="s" s="2">
        <f>HYPERLINK("http://ts.21cn.com/tousu/show/id/1370567","http://ts.21cn.com/tousu/show/id/1370567")</f>
      </c>
      <c r="G3320" t="s" s="2">
        <v>17</v>
      </c>
      <c r="H3320" t="s" s="2">
        <v>19</v>
      </c>
      <c r="I3320" t="s" s="2">
        <v>12955</v>
      </c>
      <c r="J3320" t="s" s="2">
        <v>12956</v>
      </c>
      <c r="K3320" t="s" s="2">
        <v>22</v>
      </c>
      <c r="L3320" t="s" s="2">
        <v>22</v>
      </c>
      <c r="M3320" t="s" s="2">
        <v>22</v>
      </c>
    </row>
    <row r="3321" ht="25.0" customHeight="true">
      <c r="A3321" t="s" s="2">
        <v>13</v>
      </c>
      <c r="B3321" t="s" s="2">
        <f>HYPERLINK("http://ts.21cn.com/tousu/show/id/1370571","协商还款")</f>
      </c>
      <c r="C3321" t="s" s="2">
        <v>15</v>
      </c>
      <c r="D3321" t="s" s="2">
        <v>16</v>
      </c>
      <c r="E3321" t="s" s="2">
        <v>17</v>
      </c>
      <c r="F3321" t="s" s="2">
        <f>HYPERLINK("http://ts.21cn.com/tousu/show/id/1370571","http://ts.21cn.com/tousu/show/id/1370571")</f>
      </c>
      <c r="G3321" t="s" s="2">
        <v>17</v>
      </c>
      <c r="H3321" t="s" s="2">
        <v>19</v>
      </c>
      <c r="I3321" t="s" s="2">
        <v>12958</v>
      </c>
      <c r="J3321" t="s" s="2">
        <v>12959</v>
      </c>
      <c r="K3321" t="s" s="2">
        <v>22</v>
      </c>
      <c r="L3321" t="s" s="2">
        <v>22</v>
      </c>
      <c r="M3321" t="s" s="2">
        <v>22</v>
      </c>
    </row>
    <row r="3322" ht="25.0" customHeight="true">
      <c r="A3322" t="s" s="2">
        <v>13</v>
      </c>
      <c r="B3322" t="s" s="2">
        <f>HYPERLINK("http://ts.21cn.com/tousu/show/id/1370570","月光侠贷款分期收取高额砍头息，并电话骚扰，要求其立即停止电话骚扰")</f>
      </c>
      <c r="C3322" t="s" s="2">
        <v>15</v>
      </c>
      <c r="D3322" t="s" s="2">
        <v>16</v>
      </c>
      <c r="E3322" t="s" s="2">
        <v>17</v>
      </c>
      <c r="F3322" t="s" s="2">
        <f>HYPERLINK("http://ts.21cn.com/tousu/show/id/1370570","http://ts.21cn.com/tousu/show/id/1370570")</f>
      </c>
      <c r="G3322" t="s" s="2">
        <v>17</v>
      </c>
      <c r="H3322" t="s" s="2">
        <v>19</v>
      </c>
      <c r="I3322" t="s" s="2">
        <v>12962</v>
      </c>
      <c r="J3322" t="s" s="2">
        <v>12963</v>
      </c>
      <c r="K3322" t="s" s="2">
        <v>22</v>
      </c>
      <c r="L3322" t="s" s="2">
        <v>22</v>
      </c>
      <c r="M3322" t="s" s="2">
        <v>22</v>
      </c>
    </row>
    <row r="3323" ht="25.0" customHeight="true">
      <c r="A3323" t="s" s="2">
        <v>13</v>
      </c>
      <c r="B3323" t="s" s="2">
        <f>HYPERLINK("http://ts.21cn.com/tousu/show/id/1370569","马上金融盗取用户通讯录")</f>
      </c>
      <c r="C3323" t="s" s="2">
        <v>15</v>
      </c>
      <c r="D3323" t="s" s="2">
        <v>16</v>
      </c>
      <c r="E3323" t="s" s="2">
        <v>17</v>
      </c>
      <c r="F3323" t="s" s="2">
        <f>HYPERLINK("http://ts.21cn.com/tousu/show/id/1370569","http://ts.21cn.com/tousu/show/id/1370569")</f>
      </c>
      <c r="G3323" t="s" s="2">
        <v>17</v>
      </c>
      <c r="H3323" t="s" s="2">
        <v>19</v>
      </c>
      <c r="I3323" t="s" s="2">
        <v>12966</v>
      </c>
      <c r="J3323" t="s" s="2">
        <v>12967</v>
      </c>
      <c r="K3323" t="s" s="2">
        <v>22</v>
      </c>
      <c r="L3323" t="s" s="2">
        <v>22</v>
      </c>
      <c r="M3323" t="s" s="2">
        <v>22</v>
      </c>
    </row>
    <row r="3324" ht="25.0" customHeight="true">
      <c r="A3324" t="s" s="2">
        <v>13</v>
      </c>
      <c r="B3324" t="s" s="2">
        <f>HYPERLINK("http://ts.21cn.com/tousu/show/id/1370568","马上金融")</f>
      </c>
      <c r="C3324" t="s" s="2">
        <v>15</v>
      </c>
      <c r="D3324" t="s" s="2">
        <v>16</v>
      </c>
      <c r="E3324" t="s" s="2">
        <v>17</v>
      </c>
      <c r="F3324" t="s" s="2">
        <f>HYPERLINK("http://ts.21cn.com/tousu/show/id/1370568","http://ts.21cn.com/tousu/show/id/1370568")</f>
      </c>
      <c r="G3324" t="s" s="2">
        <v>17</v>
      </c>
      <c r="H3324" t="s" s="2">
        <v>19</v>
      </c>
      <c r="I3324" t="s" s="2">
        <v>12970</v>
      </c>
      <c r="J3324" t="s" s="2">
        <v>12971</v>
      </c>
      <c r="K3324" t="s" s="2">
        <v>22</v>
      </c>
      <c r="L3324" t="s" s="2">
        <v>22</v>
      </c>
      <c r="M3324" t="s" s="2">
        <v>22</v>
      </c>
    </row>
    <row r="3325" ht="25.0" customHeight="true">
      <c r="A3325" t="s" s="2">
        <v>13</v>
      </c>
      <c r="B3325" t="s" s="2">
        <f>HYPERLINK("http://ts.21cn.com/tousu/show/id/1370566","及贷放款时直接扣除所谓的保费，存在欺诈消费行为")</f>
      </c>
      <c r="C3325" t="s" s="2">
        <v>15</v>
      </c>
      <c r="D3325" t="s" s="2">
        <v>16</v>
      </c>
      <c r="E3325" t="s" s="2">
        <v>17</v>
      </c>
      <c r="F3325" t="s" s="2">
        <f>HYPERLINK("http://ts.21cn.com/tousu/show/id/1370566","http://ts.21cn.com/tousu/show/id/1370566")</f>
      </c>
      <c r="G3325" t="s" s="2">
        <v>17</v>
      </c>
      <c r="H3325" t="s" s="2">
        <v>19</v>
      </c>
      <c r="I3325" t="s" s="2">
        <v>12973</v>
      </c>
      <c r="J3325" t="s" s="2">
        <v>12974</v>
      </c>
      <c r="K3325" t="s" s="2">
        <v>22</v>
      </c>
      <c r="L3325" t="s" s="2">
        <v>22</v>
      </c>
      <c r="M3325" t="s" s="2">
        <v>22</v>
      </c>
    </row>
    <row r="3326" ht="25.0" customHeight="true">
      <c r="A3326" t="s" s="2">
        <v>13</v>
      </c>
      <c r="B3326" t="s" s="2">
        <f>HYPERLINK("http://ts.21cn.com/tousu/show/id/1370565","小米金融利息罚息超高")</f>
      </c>
      <c r="C3326" t="s" s="2">
        <v>52</v>
      </c>
      <c r="D3326" t="s" s="2">
        <v>16</v>
      </c>
      <c r="E3326" t="s" s="2">
        <v>17</v>
      </c>
      <c r="F3326" t="s" s="2">
        <f>HYPERLINK("http://ts.21cn.com/tousu/show/id/1370565","http://ts.21cn.com/tousu/show/id/1370565")</f>
      </c>
      <c r="G3326" t="s" s="2">
        <v>17</v>
      </c>
      <c r="H3326" t="s" s="2">
        <v>19</v>
      </c>
      <c r="I3326" t="s" s="2">
        <v>12977</v>
      </c>
      <c r="J3326" t="s" s="2">
        <v>12978</v>
      </c>
      <c r="K3326" t="s" s="2">
        <v>22</v>
      </c>
      <c r="L3326" t="s" s="2">
        <v>22</v>
      </c>
      <c r="M3326" t="s" s="2">
        <v>22</v>
      </c>
    </row>
    <row r="3327" ht="25.0" customHeight="true">
      <c r="A3327" t="s" s="2">
        <v>13</v>
      </c>
      <c r="B3327" t="s" s="2">
        <f>HYPERLINK("http://ts.21cn.com/tousu/show/id/1370563","未经告知【快闪卡贷】骚扰联系人，变相收费")</f>
      </c>
      <c r="C3327" t="s" s="2">
        <v>15</v>
      </c>
      <c r="D3327" t="s" s="2">
        <v>16</v>
      </c>
      <c r="E3327" t="s" s="2">
        <v>17</v>
      </c>
      <c r="F3327" t="s" s="2">
        <f>HYPERLINK("http://ts.21cn.com/tousu/show/id/1370563","http://ts.21cn.com/tousu/show/id/1370563")</f>
      </c>
      <c r="G3327" t="s" s="2">
        <v>17</v>
      </c>
      <c r="H3327" t="s" s="2">
        <v>19</v>
      </c>
      <c r="I3327" t="s" s="2">
        <v>12981</v>
      </c>
      <c r="J3327" t="s" s="2">
        <v>12982</v>
      </c>
      <c r="K3327" t="s" s="2">
        <v>22</v>
      </c>
      <c r="L3327" t="s" s="2">
        <v>22</v>
      </c>
      <c r="M3327" t="s" s="2">
        <v>22</v>
      </c>
    </row>
    <row r="3328" ht="25.0" customHeight="true">
      <c r="A3328" t="s" s="2">
        <v>13</v>
      </c>
      <c r="B3328" t="s" s="2">
        <f>HYPERLINK("http://ts.21cn.com/tousu/show/id/1370562","海南移动霸王条款")</f>
      </c>
      <c r="C3328" t="s" s="2">
        <v>15</v>
      </c>
      <c r="D3328" t="s" s="2">
        <v>16</v>
      </c>
      <c r="E3328" t="s" s="2">
        <v>17</v>
      </c>
      <c r="F3328" t="s" s="2">
        <f>HYPERLINK("http://ts.21cn.com/tousu/show/id/1370562","http://ts.21cn.com/tousu/show/id/1370562")</f>
      </c>
      <c r="G3328" t="s" s="2">
        <v>17</v>
      </c>
      <c r="H3328" t="s" s="2">
        <v>19</v>
      </c>
      <c r="I3328" t="s" s="2">
        <v>12985</v>
      </c>
      <c r="J3328" t="s" s="2">
        <v>12986</v>
      </c>
      <c r="K3328" t="s" s="2">
        <v>22</v>
      </c>
      <c r="L3328" t="s" s="2">
        <v>22</v>
      </c>
      <c r="M3328" t="s" s="2">
        <v>22</v>
      </c>
    </row>
    <row r="3329" ht="25.0" customHeight="true">
      <c r="A3329" t="s" s="2">
        <v>13</v>
      </c>
      <c r="B3329" t="s" s="2">
        <f>HYPERLINK("http://ts.21cn.com/tousu/show/id/1370561","退款长期不到账")</f>
      </c>
      <c r="C3329" t="s" s="2">
        <v>15</v>
      </c>
      <c r="D3329" t="s" s="2">
        <v>16</v>
      </c>
      <c r="E3329" t="s" s="2">
        <v>17</v>
      </c>
      <c r="F3329" t="s" s="2">
        <f>HYPERLINK("http://ts.21cn.com/tousu/show/id/1370561","http://ts.21cn.com/tousu/show/id/1370561")</f>
      </c>
      <c r="G3329" t="s" s="2">
        <v>17</v>
      </c>
      <c r="H3329" t="s" s="2">
        <v>19</v>
      </c>
      <c r="I3329" t="s" s="2">
        <v>12989</v>
      </c>
      <c r="J3329" t="s" s="2">
        <v>12990</v>
      </c>
      <c r="K3329" t="s" s="2">
        <v>22</v>
      </c>
      <c r="L3329" t="s" s="2">
        <v>22</v>
      </c>
      <c r="M3329" t="s" s="2">
        <v>22</v>
      </c>
    </row>
    <row r="3330" ht="25.0" customHeight="true">
      <c r="A3330" t="s" s="2">
        <v>13</v>
      </c>
      <c r="B3330" t="s" s="2">
        <f>HYPERLINK("http://ts.21cn.com/tousu/show/id/1370560","瀚银为违法平台提供支付通道")</f>
      </c>
      <c r="C3330" t="s" s="2">
        <v>15</v>
      </c>
      <c r="D3330" t="s" s="2">
        <v>16</v>
      </c>
      <c r="E3330" t="s" s="2">
        <v>17</v>
      </c>
      <c r="F3330" t="s" s="2">
        <f>HYPERLINK("http://ts.21cn.com/tousu/show/id/1370560","http://ts.21cn.com/tousu/show/id/1370560")</f>
      </c>
      <c r="G3330" t="s" s="2">
        <v>17</v>
      </c>
      <c r="H3330" t="s" s="2">
        <v>19</v>
      </c>
      <c r="I3330" t="s" s="2">
        <v>12993</v>
      </c>
      <c r="J3330" t="s" s="2">
        <v>12994</v>
      </c>
      <c r="K3330" t="s" s="2">
        <v>22</v>
      </c>
      <c r="L3330" t="s" s="2">
        <v>22</v>
      </c>
      <c r="M3330" t="s" s="2">
        <v>22</v>
      </c>
    </row>
    <row r="3331" ht="25.0" customHeight="true">
      <c r="A3331" t="s" s="2">
        <v>13</v>
      </c>
      <c r="B3331" t="s" s="2">
        <f>HYPERLINK("http://ts.21cn.com/tousu/show/id/1370559","广发银行信用卡催收人员恐吓家人")</f>
      </c>
      <c r="C3331" t="s" s="2">
        <v>15</v>
      </c>
      <c r="D3331" t="s" s="2">
        <v>16</v>
      </c>
      <c r="E3331" t="s" s="2">
        <v>17</v>
      </c>
      <c r="F3331" t="s" s="2">
        <f>HYPERLINK("http://ts.21cn.com/tousu/show/id/1370559","http://ts.21cn.com/tousu/show/id/1370559")</f>
      </c>
      <c r="G3331" t="s" s="2">
        <v>17</v>
      </c>
      <c r="H3331" t="s" s="2">
        <v>19</v>
      </c>
      <c r="I3331" t="s" s="2">
        <v>12997</v>
      </c>
      <c r="J3331" t="s" s="2">
        <v>12998</v>
      </c>
      <c r="K3331" t="s" s="2">
        <v>22</v>
      </c>
      <c r="L3331" t="s" s="2">
        <v>22</v>
      </c>
      <c r="M3331" t="s" s="2">
        <v>22</v>
      </c>
    </row>
    <row r="3332" ht="25.0" customHeight="true">
      <c r="A3332" t="s" s="2">
        <v>13</v>
      </c>
      <c r="B3332" t="s" s="2">
        <f>HYPERLINK("http://ts.21cn.com/tousu/show/id/1370557","杭州银行违规收取滞纳金和利息")</f>
      </c>
      <c r="C3332" t="s" s="2">
        <v>15</v>
      </c>
      <c r="D3332" t="s" s="2">
        <v>16</v>
      </c>
      <c r="E3332" t="s" s="2">
        <v>17</v>
      </c>
      <c r="F3332" t="s" s="2">
        <f>HYPERLINK("http://ts.21cn.com/tousu/show/id/1370557","http://ts.21cn.com/tousu/show/id/1370557")</f>
      </c>
      <c r="G3332" t="s" s="2">
        <v>17</v>
      </c>
      <c r="H3332" t="s" s="2">
        <v>19</v>
      </c>
      <c r="I3332" t="s" s="2">
        <v>13001</v>
      </c>
      <c r="J3332" t="s" s="2">
        <v>13002</v>
      </c>
      <c r="K3332" t="s" s="2">
        <v>22</v>
      </c>
      <c r="L3332" t="s" s="2">
        <v>22</v>
      </c>
      <c r="M3332" t="s" s="2">
        <v>22</v>
      </c>
    </row>
    <row r="3333" ht="25.0" customHeight="true">
      <c r="A3333" t="s" s="2">
        <v>13</v>
      </c>
      <c r="B3333" t="s" s="2">
        <f>HYPERLINK("http://ts.21cn.com/tousu/show/id/1370556","恢复京东金融账号问题")</f>
      </c>
      <c r="C3333" t="s" s="2">
        <v>52</v>
      </c>
      <c r="D3333" t="s" s="2">
        <v>16</v>
      </c>
      <c r="E3333" t="s" s="2">
        <v>17</v>
      </c>
      <c r="F3333" t="s" s="2">
        <f>HYPERLINK("http://ts.21cn.com/tousu/show/id/1370556","http://ts.21cn.com/tousu/show/id/1370556")</f>
      </c>
      <c r="G3333" t="s" s="2">
        <v>17</v>
      </c>
      <c r="H3333" t="s" s="2">
        <v>19</v>
      </c>
      <c r="I3333" t="s" s="2">
        <v>13005</v>
      </c>
      <c r="J3333" t="s" s="2">
        <v>13006</v>
      </c>
      <c r="K3333" t="s" s="2">
        <v>22</v>
      </c>
      <c r="L3333" t="s" s="2">
        <v>22</v>
      </c>
      <c r="M3333" t="s" s="2">
        <v>22</v>
      </c>
    </row>
    <row r="3334" ht="25.0" customHeight="true">
      <c r="A3334" t="s" s="2">
        <v>13</v>
      </c>
      <c r="B3334" t="s" s="2">
        <f>HYPERLINK("http://ts.21cn.com/tousu/show/id/1370073","无法主动还款，客服不处理，多收逾期费用")</f>
      </c>
      <c r="C3334" t="s" s="2">
        <v>15</v>
      </c>
      <c r="D3334" t="s" s="2">
        <v>16</v>
      </c>
      <c r="E3334" t="s" s="2">
        <v>17</v>
      </c>
      <c r="F3334" t="s" s="2">
        <f>HYPERLINK("http://ts.21cn.com/tousu/show/id/1370073","http://ts.21cn.com/tousu/show/id/1370073")</f>
      </c>
      <c r="G3334" t="s" s="2">
        <v>17</v>
      </c>
      <c r="H3334" t="s" s="2">
        <v>19</v>
      </c>
      <c r="I3334" t="s" s="2">
        <v>13009</v>
      </c>
      <c r="J3334" t="s" s="2">
        <v>13010</v>
      </c>
      <c r="K3334" t="s" s="2">
        <v>22</v>
      </c>
      <c r="L3334" t="s" s="2">
        <v>22</v>
      </c>
      <c r="M3334" t="s" s="2">
        <v>22</v>
      </c>
    </row>
    <row r="3335" ht="25.0" customHeight="true">
      <c r="A3335" t="s" s="2">
        <v>13</v>
      </c>
      <c r="B3335" t="s" s="2">
        <f>HYPERLINK("http://ts.21cn.com/tousu/show/id/1370555","活力花暴力催收，恐吓我家人朋友")</f>
      </c>
      <c r="C3335" t="s" s="2">
        <v>15</v>
      </c>
      <c r="D3335" t="s" s="2">
        <v>16</v>
      </c>
      <c r="E3335" t="s" s="2">
        <v>17</v>
      </c>
      <c r="F3335" t="s" s="2">
        <f>HYPERLINK("http://ts.21cn.com/tousu/show/id/1370555","http://ts.21cn.com/tousu/show/id/1370555")</f>
      </c>
      <c r="G3335" t="s" s="2">
        <v>17</v>
      </c>
      <c r="H3335" t="s" s="2">
        <v>19</v>
      </c>
      <c r="I3335" t="s" s="2">
        <v>13013</v>
      </c>
      <c r="J3335" t="s" s="2">
        <v>13014</v>
      </c>
      <c r="K3335" t="s" s="2">
        <v>22</v>
      </c>
      <c r="L3335" t="s" s="2">
        <v>22</v>
      </c>
      <c r="M3335" t="s" s="2">
        <v>22</v>
      </c>
    </row>
    <row r="3336" ht="25.0" customHeight="true">
      <c r="A3336" t="s" s="2">
        <v>13</v>
      </c>
      <c r="B3336" t="s" s="2">
        <f>HYPERLINK("http://ts.21cn.com/tousu/show/id/1370554","语音APP诱导充钱砸蛋赔死人")</f>
      </c>
      <c r="C3336" t="s" s="2">
        <v>15</v>
      </c>
      <c r="D3336" t="s" s="2">
        <v>16</v>
      </c>
      <c r="E3336" t="s" s="2">
        <v>17</v>
      </c>
      <c r="F3336" t="s" s="2">
        <f>HYPERLINK("http://ts.21cn.com/tousu/show/id/1370554","http://ts.21cn.com/tousu/show/id/1370554")</f>
      </c>
      <c r="G3336" t="s" s="2">
        <v>17</v>
      </c>
      <c r="H3336" t="s" s="2">
        <v>19</v>
      </c>
      <c r="I3336" t="s" s="2">
        <v>13017</v>
      </c>
      <c r="J3336" t="s" s="2">
        <v>13018</v>
      </c>
      <c r="K3336" t="s" s="2">
        <v>22</v>
      </c>
      <c r="L3336" t="s" s="2">
        <v>22</v>
      </c>
      <c r="M3336" t="s" s="2">
        <v>22</v>
      </c>
    </row>
    <row r="3337" ht="25.0" customHeight="true">
      <c r="A3337" t="s" s="2">
        <v>13</v>
      </c>
      <c r="B3337" t="s" s="2">
        <f>HYPERLINK("http://ts.21cn.com/tousu/show/id/1370553","协融借还不了款")</f>
      </c>
      <c r="C3337" t="s" s="2">
        <v>52</v>
      </c>
      <c r="D3337" t="s" s="2">
        <v>16</v>
      </c>
      <c r="E3337" t="s" s="2">
        <v>17</v>
      </c>
      <c r="F3337" t="s" s="2">
        <f>HYPERLINK("http://ts.21cn.com/tousu/show/id/1370553","http://ts.21cn.com/tousu/show/id/1370553")</f>
      </c>
      <c r="G3337" t="s" s="2">
        <v>17</v>
      </c>
      <c r="H3337" t="s" s="2">
        <v>19</v>
      </c>
      <c r="I3337" t="s" s="2">
        <v>13021</v>
      </c>
      <c r="J3337" t="s" s="2">
        <v>13022</v>
      </c>
      <c r="K3337" t="s" s="2">
        <v>22</v>
      </c>
      <c r="L3337" t="s" s="2">
        <v>22</v>
      </c>
      <c r="M3337" t="s" s="2">
        <v>22</v>
      </c>
    </row>
    <row r="3338" ht="25.0" customHeight="true">
      <c r="A3338" t="s" s="2">
        <v>13</v>
      </c>
      <c r="B3338" t="s" s="2">
        <f>HYPERLINK("http://ts.21cn.com/tousu/show/id/1370552","平安银行信用卡催收人员恐吓家人")</f>
      </c>
      <c r="C3338" t="s" s="2">
        <v>15</v>
      </c>
      <c r="D3338" t="s" s="2">
        <v>16</v>
      </c>
      <c r="E3338" t="s" s="2">
        <v>17</v>
      </c>
      <c r="F3338" t="s" s="2">
        <f>HYPERLINK("http://ts.21cn.com/tousu/show/id/1370552","http://ts.21cn.com/tousu/show/id/1370552")</f>
      </c>
      <c r="G3338" t="s" s="2">
        <v>17</v>
      </c>
      <c r="H3338" t="s" s="2">
        <v>19</v>
      </c>
      <c r="I3338" t="s" s="2">
        <v>13025</v>
      </c>
      <c r="J3338" t="s" s="2">
        <v>13026</v>
      </c>
      <c r="K3338" t="s" s="2">
        <v>22</v>
      </c>
      <c r="L3338" t="s" s="2">
        <v>22</v>
      </c>
      <c r="M3338" t="s" s="2">
        <v>22</v>
      </c>
    </row>
    <row r="3339" ht="25.0" customHeight="true">
      <c r="A3339" t="s" s="2">
        <v>13</v>
      </c>
      <c r="B3339" t="s" s="2">
        <f>HYPERLINK("http://ts.21cn.com/tousu/show/id/1370551","请求协商还款时间")</f>
      </c>
      <c r="C3339" t="s" s="2">
        <v>15</v>
      </c>
      <c r="D3339" t="s" s="2">
        <v>16</v>
      </c>
      <c r="E3339" t="s" s="2">
        <v>17</v>
      </c>
      <c r="F3339" t="s" s="2">
        <f>HYPERLINK("http://ts.21cn.com/tousu/show/id/1370551","http://ts.21cn.com/tousu/show/id/1370551")</f>
      </c>
      <c r="G3339" t="s" s="2">
        <v>17</v>
      </c>
      <c r="H3339" t="s" s="2">
        <v>19</v>
      </c>
      <c r="I3339" t="s" s="2">
        <v>13029</v>
      </c>
      <c r="J3339" t="s" s="2">
        <v>13030</v>
      </c>
      <c r="K3339" t="s" s="2">
        <v>22</v>
      </c>
      <c r="L3339" t="s" s="2">
        <v>22</v>
      </c>
      <c r="M3339" t="s" s="2">
        <v>22</v>
      </c>
    </row>
    <row r="3340" ht="25.0" customHeight="true">
      <c r="A3340" t="s" s="2">
        <v>13</v>
      </c>
      <c r="B3340" t="s" s="2">
        <f>HYPERLINK("http://ts.21cn.com/tousu/show/id/1370548","出行唯选vip卡涉嫌虚假宣传")</f>
      </c>
      <c r="C3340" t="s" s="2">
        <v>15</v>
      </c>
      <c r="D3340" t="s" s="2">
        <v>16</v>
      </c>
      <c r="E3340" t="s" s="2">
        <v>17</v>
      </c>
      <c r="F3340" t="s" s="2">
        <f>HYPERLINK("http://ts.21cn.com/tousu/show/id/1370548","http://ts.21cn.com/tousu/show/id/1370548")</f>
      </c>
      <c r="G3340" t="s" s="2">
        <v>17</v>
      </c>
      <c r="H3340" t="s" s="2">
        <v>19</v>
      </c>
      <c r="I3340" t="s" s="2">
        <v>13033</v>
      </c>
      <c r="J3340" t="s" s="2">
        <v>13034</v>
      </c>
      <c r="K3340" t="s" s="2">
        <v>22</v>
      </c>
      <c r="L3340" t="s" s="2">
        <v>22</v>
      </c>
      <c r="M3340" t="s" s="2">
        <v>22</v>
      </c>
    </row>
    <row r="3341" ht="25.0" customHeight="true">
      <c r="A3341" t="s" s="2">
        <v>13</v>
      </c>
      <c r="B3341" t="s" s="2">
        <f>HYPERLINK("http://ts.21cn.com/tousu/show/id/1370547","退还多余手续费")</f>
      </c>
      <c r="C3341" t="s" s="2">
        <v>15</v>
      </c>
      <c r="D3341" t="s" s="2">
        <v>16</v>
      </c>
      <c r="E3341" t="s" s="2">
        <v>17</v>
      </c>
      <c r="F3341" t="s" s="2">
        <f>HYPERLINK("http://ts.21cn.com/tousu/show/id/1370547","http://ts.21cn.com/tousu/show/id/1370547")</f>
      </c>
      <c r="G3341" t="s" s="2">
        <v>17</v>
      </c>
      <c r="H3341" t="s" s="2">
        <v>19</v>
      </c>
      <c r="I3341" t="s" s="2">
        <v>13037</v>
      </c>
      <c r="J3341" t="s" s="2">
        <v>13038</v>
      </c>
      <c r="K3341" t="s" s="2">
        <v>22</v>
      </c>
      <c r="L3341" t="s" s="2">
        <v>22</v>
      </c>
      <c r="M3341" t="s" s="2">
        <v>22</v>
      </c>
    </row>
    <row r="3342" ht="25.0" customHeight="true">
      <c r="A3342" t="s" s="2">
        <v>13</v>
      </c>
      <c r="B3342" t="s" s="2">
        <f>HYPERLINK("http://ts.21cn.com/tousu/show/id/1370546","邮资高而超时")</f>
      </c>
      <c r="C3342" t="s" s="2">
        <v>52</v>
      </c>
      <c r="D3342" t="s" s="2">
        <v>16</v>
      </c>
      <c r="E3342" t="s" s="2">
        <v>17</v>
      </c>
      <c r="F3342" t="s" s="2">
        <f>HYPERLINK("http://ts.21cn.com/tousu/show/id/1370546","http://ts.21cn.com/tousu/show/id/1370546")</f>
      </c>
      <c r="G3342" t="s" s="2">
        <v>17</v>
      </c>
      <c r="H3342" t="s" s="2">
        <v>19</v>
      </c>
      <c r="I3342" t="s" s="2">
        <v>13041</v>
      </c>
      <c r="J3342" t="s" s="2">
        <v>13042</v>
      </c>
      <c r="K3342" t="s" s="2">
        <v>22</v>
      </c>
      <c r="L3342" t="s" s="2">
        <v>22</v>
      </c>
      <c r="M3342" t="s" s="2">
        <v>22</v>
      </c>
    </row>
    <row r="3343" ht="25.0" customHeight="true">
      <c r="A3343" t="s" s="2">
        <v>13</v>
      </c>
      <c r="B3343" t="s" s="2">
        <f>HYPERLINK("http://ts.21cn.com/tousu/show/id/1370545","爱又米app有高额砍头息和超高利息")</f>
      </c>
      <c r="C3343" t="s" s="2">
        <v>15</v>
      </c>
      <c r="D3343" t="s" s="2">
        <v>16</v>
      </c>
      <c r="E3343" t="s" s="2">
        <v>17</v>
      </c>
      <c r="F3343" t="s" s="2">
        <f>HYPERLINK("http://ts.21cn.com/tousu/show/id/1370545","http://ts.21cn.com/tousu/show/id/1370545")</f>
      </c>
      <c r="G3343" t="s" s="2">
        <v>17</v>
      </c>
      <c r="H3343" t="s" s="2">
        <v>19</v>
      </c>
      <c r="I3343" t="s" s="2">
        <v>13045</v>
      </c>
      <c r="J3343" t="s" s="2">
        <v>13046</v>
      </c>
      <c r="K3343" t="s" s="2">
        <v>22</v>
      </c>
      <c r="L3343" t="s" s="2">
        <v>22</v>
      </c>
      <c r="M3343" t="s" s="2">
        <v>22</v>
      </c>
    </row>
    <row r="3344" ht="25.0" customHeight="true">
      <c r="A3344" t="s" s="2">
        <v>13</v>
      </c>
      <c r="B3344" t="s" s="2">
        <f>HYPERLINK("http://ts.21cn.com/tousu/show/id/1370544","立马进钱呆呆苞（广州瑞利信息咨询有限公司）高利贷并恶意延期收取超高逾期费用、暴力催收！")</f>
      </c>
      <c r="C3344" t="s" s="2">
        <v>15</v>
      </c>
      <c r="D3344" t="s" s="2">
        <v>16</v>
      </c>
      <c r="E3344" t="s" s="2">
        <v>17</v>
      </c>
      <c r="F3344" t="s" s="2">
        <f>HYPERLINK("http://ts.21cn.com/tousu/show/id/1370544","http://ts.21cn.com/tousu/show/id/1370544")</f>
      </c>
      <c r="G3344" t="s" s="2">
        <v>17</v>
      </c>
      <c r="H3344" t="s" s="2">
        <v>19</v>
      </c>
      <c r="I3344" t="s" s="2">
        <v>13049</v>
      </c>
      <c r="J3344" t="s" s="2">
        <v>13050</v>
      </c>
      <c r="K3344" t="s" s="2">
        <v>22</v>
      </c>
      <c r="L3344" t="s" s="2">
        <v>22</v>
      </c>
      <c r="M3344" t="s" s="2">
        <v>22</v>
      </c>
    </row>
    <row r="3345" ht="25.0" customHeight="true">
      <c r="A3345" t="s" s="2">
        <v>13</v>
      </c>
      <c r="B3345" t="s" s="2">
        <f>HYPERLINK("http://ts.21cn.com/tousu/show/id/1370543","希望可以协商分期还款，不要苦苦相逼")</f>
      </c>
      <c r="C3345" t="s" s="2">
        <v>52</v>
      </c>
      <c r="D3345" t="s" s="2">
        <v>16</v>
      </c>
      <c r="E3345" t="s" s="2">
        <v>17</v>
      </c>
      <c r="F3345" t="s" s="2">
        <f>HYPERLINK("http://ts.21cn.com/tousu/show/id/1370543","http://ts.21cn.com/tousu/show/id/1370543")</f>
      </c>
      <c r="G3345" t="s" s="2">
        <v>17</v>
      </c>
      <c r="H3345" t="s" s="2">
        <v>19</v>
      </c>
      <c r="I3345" t="s" s="2">
        <v>13053</v>
      </c>
      <c r="J3345" t="s" s="2">
        <v>13054</v>
      </c>
      <c r="K3345" t="s" s="2">
        <v>22</v>
      </c>
      <c r="L3345" t="s" s="2">
        <v>22</v>
      </c>
      <c r="M3345" t="s" s="2">
        <v>22</v>
      </c>
    </row>
    <row r="3346" ht="25.0" customHeight="true">
      <c r="A3346" t="s" s="2">
        <v>13</v>
      </c>
      <c r="B3346" t="s" s="2">
        <f>HYPERLINK("http://ts.21cn.com/tousu/show/id/1370533","处处APP有欺诈扣费嫌疑")</f>
      </c>
      <c r="C3346" t="s" s="2">
        <v>15</v>
      </c>
      <c r="D3346" t="s" s="2">
        <v>16</v>
      </c>
      <c r="E3346" t="s" s="2">
        <v>17</v>
      </c>
      <c r="F3346" t="s" s="2">
        <f>HYPERLINK("http://ts.21cn.com/tousu/show/id/1370533","http://ts.21cn.com/tousu/show/id/1370533")</f>
      </c>
      <c r="G3346" t="s" s="2">
        <v>17</v>
      </c>
      <c r="H3346" t="s" s="2">
        <v>19</v>
      </c>
      <c r="I3346" t="s" s="2">
        <v>13057</v>
      </c>
      <c r="J3346" t="s" s="2">
        <v>13058</v>
      </c>
      <c r="K3346" t="s" s="2">
        <v>22</v>
      </c>
      <c r="L3346" t="s" s="2">
        <v>22</v>
      </c>
      <c r="M3346" t="s" s="2">
        <v>22</v>
      </c>
    </row>
    <row r="3347" ht="25.0" customHeight="true">
      <c r="A3347" t="s" s="2">
        <v>13</v>
      </c>
      <c r="B3347" t="s" s="2">
        <f>HYPERLINK("http://ts.21cn.com/tousu/show/id/1370542","铜钱罐放高利贷")</f>
      </c>
      <c r="C3347" t="s" s="2">
        <v>15</v>
      </c>
      <c r="D3347" t="s" s="2">
        <v>16</v>
      </c>
      <c r="E3347" t="s" s="2">
        <v>17</v>
      </c>
      <c r="F3347" t="s" s="2">
        <f>HYPERLINK("http://ts.21cn.com/tousu/show/id/1370542","http://ts.21cn.com/tousu/show/id/1370542")</f>
      </c>
      <c r="G3347" t="s" s="2">
        <v>17</v>
      </c>
      <c r="H3347" t="s" s="2">
        <v>19</v>
      </c>
      <c r="I3347" t="s" s="2">
        <v>13061</v>
      </c>
      <c r="J3347" t="s" s="2">
        <v>13062</v>
      </c>
      <c r="K3347" t="s" s="2">
        <v>22</v>
      </c>
      <c r="L3347" t="s" s="2">
        <v>22</v>
      </c>
      <c r="M3347" t="s" s="2">
        <v>22</v>
      </c>
    </row>
    <row r="3348" ht="25.0" customHeight="true">
      <c r="A3348" t="s" s="2">
        <v>13</v>
      </c>
      <c r="B3348" t="s" s="2">
        <f>HYPERLINK("http://ts.21cn.com/tousu/show/id/1370541","高炮暴力催收，发短信侮辱。")</f>
      </c>
      <c r="C3348" t="s" s="2">
        <v>15</v>
      </c>
      <c r="D3348" t="s" s="2">
        <v>16</v>
      </c>
      <c r="E3348" t="s" s="2">
        <v>17</v>
      </c>
      <c r="F3348" t="s" s="2">
        <f>HYPERLINK("http://ts.21cn.com/tousu/show/id/1370541","http://ts.21cn.com/tousu/show/id/1370541")</f>
      </c>
      <c r="G3348" t="s" s="2">
        <v>17</v>
      </c>
      <c r="H3348" t="s" s="2">
        <v>19</v>
      </c>
      <c r="I3348" t="s" s="2">
        <v>13065</v>
      </c>
      <c r="J3348" t="s" s="2">
        <v>13066</v>
      </c>
      <c r="K3348" t="s" s="2">
        <v>22</v>
      </c>
      <c r="L3348" t="s" s="2">
        <v>22</v>
      </c>
      <c r="M3348" t="s" s="2">
        <v>22</v>
      </c>
    </row>
    <row r="3349" ht="25.0" customHeight="true">
      <c r="A3349" t="s" s="2">
        <v>13</v>
      </c>
      <c r="B3349" t="s" s="2">
        <f>HYPERLINK("http://ts.21cn.com/tousu/show/id/1370540","暴力催收威胁胁迫")</f>
      </c>
      <c r="C3349" t="s" s="2">
        <v>15</v>
      </c>
      <c r="D3349" t="s" s="2">
        <v>16</v>
      </c>
      <c r="E3349" t="s" s="2">
        <v>17</v>
      </c>
      <c r="F3349" t="s" s="2">
        <f>HYPERLINK("http://ts.21cn.com/tousu/show/id/1370540","http://ts.21cn.com/tousu/show/id/1370540")</f>
      </c>
      <c r="G3349" t="s" s="2">
        <v>17</v>
      </c>
      <c r="H3349" t="s" s="2">
        <v>19</v>
      </c>
      <c r="I3349" t="s" s="2">
        <v>13069</v>
      </c>
      <c r="J3349" t="s" s="2">
        <v>13070</v>
      </c>
      <c r="K3349" t="s" s="2">
        <v>22</v>
      </c>
      <c r="L3349" t="s" s="2">
        <v>22</v>
      </c>
      <c r="M3349" t="s" s="2">
        <v>22</v>
      </c>
    </row>
    <row r="3350" ht="25.0" customHeight="true">
      <c r="A3350" t="s" s="2">
        <v>13</v>
      </c>
      <c r="B3350" t="s" s="2">
        <f>HYPERLINK("http://ts.21cn.com/tousu/show/id/1370539","我来数科（我来贷）高利贷！！！")</f>
      </c>
      <c r="C3350" t="s" s="2">
        <v>15</v>
      </c>
      <c r="D3350" t="s" s="2">
        <v>16</v>
      </c>
      <c r="E3350" t="s" s="2">
        <v>17</v>
      </c>
      <c r="F3350" t="s" s="2">
        <f>HYPERLINK("http://ts.21cn.com/tousu/show/id/1370539","http://ts.21cn.com/tousu/show/id/1370539")</f>
      </c>
      <c r="G3350" t="s" s="2">
        <v>17</v>
      </c>
      <c r="H3350" t="s" s="2">
        <v>19</v>
      </c>
      <c r="I3350" t="s" s="2">
        <v>13073</v>
      </c>
      <c r="J3350" t="s" s="2">
        <v>13074</v>
      </c>
      <c r="K3350" t="s" s="2">
        <v>22</v>
      </c>
      <c r="L3350" t="s" s="2">
        <v>22</v>
      </c>
      <c r="M3350" t="s" s="2">
        <v>22</v>
      </c>
    </row>
    <row r="3351" ht="25.0" customHeight="true">
      <c r="A3351" t="s" s="2">
        <v>13</v>
      </c>
      <c r="B3351" t="s" s="2">
        <f>HYPERLINK("http://ts.21cn.com/tousu/show/id/1370538","交易猫卖家不发货不理人不退钱")</f>
      </c>
      <c r="C3351" t="s" s="2">
        <v>15</v>
      </c>
      <c r="D3351" t="s" s="2">
        <v>16</v>
      </c>
      <c r="E3351" t="s" s="2">
        <v>17</v>
      </c>
      <c r="F3351" t="s" s="2">
        <f>HYPERLINK("http://ts.21cn.com/tousu/show/id/1370538","http://ts.21cn.com/tousu/show/id/1370538")</f>
      </c>
      <c r="G3351" t="s" s="2">
        <v>17</v>
      </c>
      <c r="H3351" t="s" s="2">
        <v>19</v>
      </c>
      <c r="I3351" t="s" s="2">
        <v>13077</v>
      </c>
      <c r="J3351" t="s" s="2">
        <v>13078</v>
      </c>
      <c r="K3351" t="s" s="2">
        <v>22</v>
      </c>
      <c r="L3351" t="s" s="2">
        <v>22</v>
      </c>
      <c r="M3351" t="s" s="2">
        <v>22</v>
      </c>
    </row>
    <row r="3352" ht="25.0" customHeight="true">
      <c r="A3352" t="s" s="2">
        <v>13</v>
      </c>
      <c r="B3352" t="s" s="2">
        <f>HYPERLINK("http://ts.21cn.com/tousu/show/id/1331657","彩票店主欺瞒消费者，获取钱财，耍无赖不还钱")</f>
      </c>
      <c r="C3352" t="s" s="2">
        <v>15</v>
      </c>
      <c r="D3352" t="s" s="2">
        <v>16</v>
      </c>
      <c r="E3352" t="s" s="2">
        <v>17</v>
      </c>
      <c r="F3352" t="s" s="2">
        <f>HYPERLINK("http://ts.21cn.com/tousu/show/id/1331657","http://ts.21cn.com/tousu/show/id/1331657")</f>
      </c>
      <c r="G3352" t="s" s="2">
        <v>17</v>
      </c>
      <c r="H3352" t="s" s="2">
        <v>19</v>
      </c>
      <c r="I3352" t="s" s="2">
        <v>13081</v>
      </c>
      <c r="J3352" t="s" s="2">
        <v>13082</v>
      </c>
      <c r="K3352" t="s" s="2">
        <v>22</v>
      </c>
      <c r="L3352" t="s" s="2">
        <v>22</v>
      </c>
      <c r="M3352" t="s" s="2">
        <v>22</v>
      </c>
    </row>
    <row r="3353" ht="25.0" customHeight="true">
      <c r="A3353" t="s" s="2">
        <v>13</v>
      </c>
      <c r="B3353" t="s" s="2">
        <f>HYPERLINK("http://ts.21cn.com/tousu/show/id/1370537","浦发银行违规收取费用")</f>
      </c>
      <c r="C3353" t="s" s="2">
        <v>15</v>
      </c>
      <c r="D3353" t="s" s="2">
        <v>16</v>
      </c>
      <c r="E3353" t="s" s="2">
        <v>17</v>
      </c>
      <c r="F3353" t="s" s="2">
        <f>HYPERLINK("http://ts.21cn.com/tousu/show/id/1370537","http://ts.21cn.com/tousu/show/id/1370537")</f>
      </c>
      <c r="G3353" t="s" s="2">
        <v>17</v>
      </c>
      <c r="H3353" t="s" s="2">
        <v>19</v>
      </c>
      <c r="I3353" t="s" s="2">
        <v>13085</v>
      </c>
      <c r="J3353" t="s" s="2">
        <v>13086</v>
      </c>
      <c r="K3353" t="s" s="2">
        <v>22</v>
      </c>
      <c r="L3353" t="s" s="2">
        <v>22</v>
      </c>
      <c r="M3353" t="s" s="2">
        <v>22</v>
      </c>
    </row>
    <row r="3354" ht="25.0" customHeight="true">
      <c r="A3354" t="s" s="2">
        <v>13</v>
      </c>
      <c r="B3354" t="s" s="2">
        <f>HYPERLINK("http://ts.21cn.com/tousu/show/id/1149606","暴力催收，电话骚扰通讯录好友")</f>
      </c>
      <c r="C3354" t="s" s="2">
        <v>15</v>
      </c>
      <c r="D3354" t="s" s="2">
        <v>16</v>
      </c>
      <c r="E3354" t="s" s="2">
        <v>17</v>
      </c>
      <c r="F3354" t="s" s="2">
        <f>HYPERLINK("http://ts.21cn.com/tousu/show/id/1149606","http://ts.21cn.com/tousu/show/id/1149606")</f>
      </c>
      <c r="G3354" t="s" s="2">
        <v>17</v>
      </c>
      <c r="H3354" t="s" s="2">
        <v>19</v>
      </c>
      <c r="I3354" t="s" s="2">
        <v>13089</v>
      </c>
      <c r="J3354" t="s" s="2">
        <v>13090</v>
      </c>
      <c r="K3354" t="s" s="2">
        <v>22</v>
      </c>
      <c r="L3354" t="s" s="2">
        <v>22</v>
      </c>
      <c r="M3354" t="s" s="2">
        <v>22</v>
      </c>
    </row>
    <row r="3355" ht="25.0" customHeight="true">
      <c r="A3355" t="s" s="2">
        <v>13</v>
      </c>
      <c r="B3355" t="s" s="2">
        <f>HYPERLINK("http://ts.21cn.com/tousu/show/id/1370536","多宝借钱涉嫌高利贷")</f>
      </c>
      <c r="C3355" t="s" s="2">
        <v>15</v>
      </c>
      <c r="D3355" t="s" s="2">
        <v>16</v>
      </c>
      <c r="E3355" t="s" s="2">
        <v>17</v>
      </c>
      <c r="F3355" t="s" s="2">
        <f>HYPERLINK("http://ts.21cn.com/tousu/show/id/1370536","http://ts.21cn.com/tousu/show/id/1370536")</f>
      </c>
      <c r="G3355" t="s" s="2">
        <v>17</v>
      </c>
      <c r="H3355" t="s" s="2">
        <v>19</v>
      </c>
      <c r="I3355" t="s" s="2">
        <v>13093</v>
      </c>
      <c r="J3355" t="s" s="2">
        <v>13094</v>
      </c>
      <c r="K3355" t="s" s="2">
        <v>22</v>
      </c>
      <c r="L3355" t="s" s="2">
        <v>22</v>
      </c>
      <c r="M3355" t="s" s="2">
        <v>22</v>
      </c>
    </row>
    <row r="3356" ht="25.0" customHeight="true">
      <c r="A3356" t="s" s="2">
        <v>13</v>
      </c>
      <c r="B3356" t="s" s="2">
        <f>HYPERLINK("http://ts.21cn.com/tousu/show/id/1370535","万惠及贷你们这样骚扰通讯录、如果这事不给个交代、不道歉休想老子一分钱还！你态度这么恶劣")</f>
      </c>
      <c r="C3356" t="s" s="2">
        <v>52</v>
      </c>
      <c r="D3356" t="s" s="2">
        <v>16</v>
      </c>
      <c r="E3356" t="s" s="2">
        <v>17</v>
      </c>
      <c r="F3356" t="s" s="2">
        <f>HYPERLINK("http://ts.21cn.com/tousu/show/id/1370535","http://ts.21cn.com/tousu/show/id/1370535")</f>
      </c>
      <c r="G3356" t="s" s="2">
        <v>17</v>
      </c>
      <c r="H3356" t="s" s="2">
        <v>19</v>
      </c>
      <c r="I3356" t="s" s="2">
        <v>13097</v>
      </c>
      <c r="J3356" t="s" s="2">
        <v>13098</v>
      </c>
      <c r="K3356" t="s" s="2">
        <v>22</v>
      </c>
      <c r="L3356" t="s" s="2">
        <v>22</v>
      </c>
      <c r="M3356" t="s" s="2">
        <v>22</v>
      </c>
    </row>
    <row r="3357" ht="25.0" customHeight="true">
      <c r="A3357" t="s" s="2">
        <v>13</v>
      </c>
      <c r="B3357" t="s" s="2">
        <f>HYPERLINK("http://ts.21cn.com/tousu/show/id/1370534","腾讯大王卡宣传充50返50，被要求充50元后并没有收到返还话费")</f>
      </c>
      <c r="C3357" t="s" s="2">
        <v>15</v>
      </c>
      <c r="D3357" t="s" s="2">
        <v>16</v>
      </c>
      <c r="E3357" t="s" s="2">
        <v>17</v>
      </c>
      <c r="F3357" t="s" s="2">
        <f>HYPERLINK("http://ts.21cn.com/tousu/show/id/1370534","http://ts.21cn.com/tousu/show/id/1370534")</f>
      </c>
      <c r="G3357" t="s" s="2">
        <v>17</v>
      </c>
      <c r="H3357" t="s" s="2">
        <v>19</v>
      </c>
      <c r="I3357" t="s" s="2">
        <v>13101</v>
      </c>
      <c r="J3357" t="s" s="2">
        <v>13102</v>
      </c>
      <c r="K3357" t="s" s="2">
        <v>22</v>
      </c>
      <c r="L3357" t="s" s="2">
        <v>22</v>
      </c>
      <c r="M3357" t="s" s="2">
        <v>22</v>
      </c>
    </row>
    <row r="3358" ht="25.0" customHeight="true">
      <c r="A3358" t="s" s="2">
        <v>13</v>
      </c>
      <c r="B3358" t="s" s="2">
        <f>HYPERLINK("http://ts.21cn.com/tousu/show/id/1370532","希望可以协商还款，不要苦苦相逼。")</f>
      </c>
      <c r="C3358" t="s" s="2">
        <v>15</v>
      </c>
      <c r="D3358" t="s" s="2">
        <v>16</v>
      </c>
      <c r="E3358" t="s" s="2">
        <v>17</v>
      </c>
      <c r="F3358" t="s" s="2">
        <f>HYPERLINK("http://ts.21cn.com/tousu/show/id/1370532","http://ts.21cn.com/tousu/show/id/1370532")</f>
      </c>
      <c r="G3358" t="s" s="2">
        <v>17</v>
      </c>
      <c r="H3358" t="s" s="2">
        <v>19</v>
      </c>
      <c r="I3358" t="s" s="2">
        <v>13105</v>
      </c>
      <c r="J3358" t="s" s="2">
        <v>13106</v>
      </c>
      <c r="K3358" t="s" s="2">
        <v>22</v>
      </c>
      <c r="L3358" t="s" s="2">
        <v>22</v>
      </c>
      <c r="M3358" t="s" s="2">
        <v>22</v>
      </c>
    </row>
    <row r="3359" ht="25.0" customHeight="true">
      <c r="A3359" t="s" s="2">
        <v>13</v>
      </c>
      <c r="B3359" t="s" s="2">
        <f>HYPERLINK("http://ts.21cn.com/tousu/show/id/1370531","耐克假鞋")</f>
      </c>
      <c r="C3359" t="s" s="2">
        <v>15</v>
      </c>
      <c r="D3359" t="s" s="2">
        <v>16</v>
      </c>
      <c r="E3359" t="s" s="2">
        <v>17</v>
      </c>
      <c r="F3359" t="s" s="2">
        <f>HYPERLINK("http://ts.21cn.com/tousu/show/id/1370531","http://ts.21cn.com/tousu/show/id/1370531")</f>
      </c>
      <c r="G3359" t="s" s="2">
        <v>17</v>
      </c>
      <c r="H3359" t="s" s="2">
        <v>19</v>
      </c>
      <c r="I3359" t="s" s="2">
        <v>13109</v>
      </c>
      <c r="J3359" t="s" s="2">
        <v>13110</v>
      </c>
      <c r="K3359" t="s" s="2">
        <v>22</v>
      </c>
      <c r="L3359" t="s" s="2">
        <v>22</v>
      </c>
      <c r="M3359" t="s" s="2">
        <v>22</v>
      </c>
    </row>
    <row r="3360" ht="25.0" customHeight="true">
      <c r="A3360" t="s" s="2">
        <v>13</v>
      </c>
      <c r="B3360" t="s" s="2">
        <f>HYPERLINK("http://ts.21cn.com/tousu/show/id/1370527","聚福分期私自扣钱")</f>
      </c>
      <c r="C3360" t="s" s="2">
        <v>15</v>
      </c>
      <c r="D3360" t="s" s="2">
        <v>16</v>
      </c>
      <c r="E3360" t="s" s="2">
        <v>17</v>
      </c>
      <c r="F3360" t="s" s="2">
        <f>HYPERLINK("http://ts.21cn.com/tousu/show/id/1370527","http://ts.21cn.com/tousu/show/id/1370527")</f>
      </c>
      <c r="G3360" t="s" s="2">
        <v>17</v>
      </c>
      <c r="H3360" t="s" s="2">
        <v>19</v>
      </c>
      <c r="I3360" t="s" s="2">
        <v>13113</v>
      </c>
      <c r="J3360" t="s" s="2">
        <v>13114</v>
      </c>
      <c r="K3360" t="s" s="2">
        <v>22</v>
      </c>
      <c r="L3360" t="s" s="2">
        <v>22</v>
      </c>
      <c r="M3360" t="s" s="2">
        <v>22</v>
      </c>
    </row>
    <row r="3361" ht="25.0" customHeight="true">
      <c r="A3361" t="s" s="2">
        <v>13</v>
      </c>
      <c r="B3361" t="s" s="2">
        <f>HYPERLINK("http://ts.21cn.com/tousu/show/id/1370530","钱站高利贷阴阳合同，软暴力催收")</f>
      </c>
      <c r="C3361" t="s" s="2">
        <v>15</v>
      </c>
      <c r="D3361" t="s" s="2">
        <v>16</v>
      </c>
      <c r="E3361" t="s" s="2">
        <v>17</v>
      </c>
      <c r="F3361" t="s" s="2">
        <f>HYPERLINK("http://ts.21cn.com/tousu/show/id/1370530","http://ts.21cn.com/tousu/show/id/1370530")</f>
      </c>
      <c r="G3361" t="s" s="2">
        <v>17</v>
      </c>
      <c r="H3361" t="s" s="2">
        <v>19</v>
      </c>
      <c r="I3361" t="s" s="2">
        <v>13117</v>
      </c>
      <c r="J3361" t="s" s="2">
        <v>13118</v>
      </c>
      <c r="K3361" t="s" s="2">
        <v>22</v>
      </c>
      <c r="L3361" t="s" s="2">
        <v>22</v>
      </c>
      <c r="M3361" t="s" s="2">
        <v>22</v>
      </c>
    </row>
    <row r="3362" ht="25.0" customHeight="true">
      <c r="A3362" t="s" s="2">
        <v>13</v>
      </c>
      <c r="B3362" t="s" s="2">
        <f>HYPERLINK("http://ts.21cn.com/tousu/show/id/1370528","恒昌公司协商还款期间暴力催收")</f>
      </c>
      <c r="C3362" t="s" s="2">
        <v>15</v>
      </c>
      <c r="D3362" t="s" s="2">
        <v>16</v>
      </c>
      <c r="E3362" t="s" s="2">
        <v>17</v>
      </c>
      <c r="F3362" t="s" s="2">
        <f>HYPERLINK("http://ts.21cn.com/tousu/show/id/1370528","http://ts.21cn.com/tousu/show/id/1370528")</f>
      </c>
      <c r="G3362" t="s" s="2">
        <v>17</v>
      </c>
      <c r="H3362" t="s" s="2">
        <v>19</v>
      </c>
      <c r="I3362" t="s" s="2">
        <v>13121</v>
      </c>
      <c r="J3362" t="s" s="2">
        <v>13122</v>
      </c>
      <c r="K3362" t="s" s="2">
        <v>22</v>
      </c>
      <c r="L3362" t="s" s="2">
        <v>22</v>
      </c>
      <c r="M3362" t="s" s="2">
        <v>22</v>
      </c>
    </row>
    <row r="3363" ht="25.0" customHeight="true">
      <c r="A3363" t="s" s="2">
        <v>13</v>
      </c>
      <c r="B3363" t="s" s="2">
        <f>HYPERLINK("http://ts.21cn.com/tousu/show/id/1370526","农业银行莫名扣款")</f>
      </c>
      <c r="C3363" t="s" s="2">
        <v>52</v>
      </c>
      <c r="D3363" t="s" s="2">
        <v>16</v>
      </c>
      <c r="E3363" t="s" s="2">
        <v>17</v>
      </c>
      <c r="F3363" t="s" s="2">
        <f>HYPERLINK("http://ts.21cn.com/tousu/show/id/1370526","http://ts.21cn.com/tousu/show/id/1370526")</f>
      </c>
      <c r="G3363" t="s" s="2">
        <v>17</v>
      </c>
      <c r="H3363" t="s" s="2">
        <v>19</v>
      </c>
      <c r="I3363" t="s" s="2">
        <v>13125</v>
      </c>
      <c r="J3363" t="s" s="2">
        <v>13126</v>
      </c>
      <c r="K3363" t="s" s="2">
        <v>22</v>
      </c>
      <c r="L3363" t="s" s="2">
        <v>22</v>
      </c>
      <c r="M3363" t="s" s="2">
        <v>22</v>
      </c>
    </row>
    <row r="3364" ht="25.0" customHeight="true">
      <c r="A3364" t="s" s="2">
        <v>13</v>
      </c>
      <c r="B3364" t="s" s="2">
        <f>HYPERLINK("http://ts.21cn.com/tousu/show/id/1370525","凡普信贷一如既往的催收")</f>
      </c>
      <c r="C3364" t="s" s="2">
        <v>15</v>
      </c>
      <c r="D3364" t="s" s="2">
        <v>16</v>
      </c>
      <c r="E3364" t="s" s="2">
        <v>17</v>
      </c>
      <c r="F3364" t="s" s="2">
        <f>HYPERLINK("http://ts.21cn.com/tousu/show/id/1370525","http://ts.21cn.com/tousu/show/id/1370525")</f>
      </c>
      <c r="G3364" t="s" s="2">
        <v>17</v>
      </c>
      <c r="H3364" t="s" s="2">
        <v>19</v>
      </c>
      <c r="I3364" t="s" s="2">
        <v>13129</v>
      </c>
      <c r="J3364" t="s" s="2">
        <v>13130</v>
      </c>
      <c r="K3364" t="s" s="2">
        <v>22</v>
      </c>
      <c r="L3364" t="s" s="2">
        <v>22</v>
      </c>
      <c r="M3364" t="s" s="2">
        <v>22</v>
      </c>
    </row>
    <row r="3365" ht="25.0" customHeight="true">
      <c r="A3365" t="s" s="2">
        <v>13</v>
      </c>
      <c r="B3365" t="s" s="2">
        <f>HYPERLINK("http://ts.21cn.com/tousu/show/id/1370523","捆绑保险加高额罚息同时暴力催收")</f>
      </c>
      <c r="C3365" t="s" s="2">
        <v>15</v>
      </c>
      <c r="D3365" t="s" s="2">
        <v>16</v>
      </c>
      <c r="E3365" t="s" s="2">
        <v>17</v>
      </c>
      <c r="F3365" t="s" s="2">
        <f>HYPERLINK("http://ts.21cn.com/tousu/show/id/1370523","http://ts.21cn.com/tousu/show/id/1370523")</f>
      </c>
      <c r="G3365" t="s" s="2">
        <v>17</v>
      </c>
      <c r="H3365" t="s" s="2">
        <v>19</v>
      </c>
      <c r="I3365" t="s" s="2">
        <v>13133</v>
      </c>
      <c r="J3365" t="s" s="2">
        <v>13134</v>
      </c>
      <c r="K3365" t="s" s="2">
        <v>22</v>
      </c>
      <c r="L3365" t="s" s="2">
        <v>22</v>
      </c>
      <c r="M3365" t="s" s="2">
        <v>22</v>
      </c>
    </row>
    <row r="3366" ht="25.0" customHeight="true">
      <c r="A3366" t="s" s="2">
        <v>13</v>
      </c>
      <c r="B3366" t="s" s="2">
        <f>HYPERLINK("http://ts.21cn.com/tousu/show/id/1370522","360借条暴力催收，恐吓家属，导致工作丢失")</f>
      </c>
      <c r="C3366" t="s" s="2">
        <v>15</v>
      </c>
      <c r="D3366" t="s" s="2">
        <v>16</v>
      </c>
      <c r="E3366" t="s" s="2">
        <v>17</v>
      </c>
      <c r="F3366" t="s" s="2">
        <f>HYPERLINK("http://ts.21cn.com/tousu/show/id/1370522","http://ts.21cn.com/tousu/show/id/1370522")</f>
      </c>
      <c r="G3366" t="s" s="2">
        <v>17</v>
      </c>
      <c r="H3366" t="s" s="2">
        <v>19</v>
      </c>
      <c r="I3366" t="s" s="2">
        <v>13137</v>
      </c>
      <c r="J3366" t="s" s="2">
        <v>13138</v>
      </c>
      <c r="K3366" t="s" s="2">
        <v>22</v>
      </c>
      <c r="L3366" t="s" s="2">
        <v>22</v>
      </c>
      <c r="M3366" t="s" s="2">
        <v>22</v>
      </c>
    </row>
    <row r="3367" ht="25.0" customHeight="true">
      <c r="A3367" t="s" s="2">
        <v>13</v>
      </c>
      <c r="B3367" t="s" s="2">
        <f>HYPERLINK("http://ts.21cn.com/tousu/show/id/1370521","卡卡贷变相砍头息")</f>
      </c>
      <c r="C3367" t="s" s="2">
        <v>15</v>
      </c>
      <c r="D3367" t="s" s="2">
        <v>16</v>
      </c>
      <c r="E3367" t="s" s="2">
        <v>17</v>
      </c>
      <c r="F3367" t="s" s="2">
        <f>HYPERLINK("http://ts.21cn.com/tousu/show/id/1370521","http://ts.21cn.com/tousu/show/id/1370521")</f>
      </c>
      <c r="G3367" t="s" s="2">
        <v>17</v>
      </c>
      <c r="H3367" t="s" s="2">
        <v>19</v>
      </c>
      <c r="I3367" t="s" s="2">
        <v>13141</v>
      </c>
      <c r="J3367" t="s" s="2">
        <v>13142</v>
      </c>
      <c r="K3367" t="s" s="2">
        <v>22</v>
      </c>
      <c r="L3367" t="s" s="2">
        <v>22</v>
      </c>
      <c r="M3367" t="s" s="2">
        <v>22</v>
      </c>
    </row>
    <row r="3368" ht="25.0" customHeight="true">
      <c r="A3368" t="s" s="2">
        <v>13</v>
      </c>
      <c r="B3368" t="s" s="2">
        <f>HYPERLINK("http://ts.21cn.com/tousu/show/id/1370520","钱伴优享恶意催收")</f>
      </c>
      <c r="C3368" t="s" s="2">
        <v>15</v>
      </c>
      <c r="D3368" t="s" s="2">
        <v>16</v>
      </c>
      <c r="E3368" t="s" s="2">
        <v>17</v>
      </c>
      <c r="F3368" t="s" s="2">
        <f>HYPERLINK("http://ts.21cn.com/tousu/show/id/1370520","http://ts.21cn.com/tousu/show/id/1370520")</f>
      </c>
      <c r="G3368" t="s" s="2">
        <v>17</v>
      </c>
      <c r="H3368" t="s" s="2">
        <v>19</v>
      </c>
      <c r="I3368" t="s" s="2">
        <v>13145</v>
      </c>
      <c r="J3368" t="s" s="2">
        <v>13146</v>
      </c>
      <c r="K3368" t="s" s="2">
        <v>22</v>
      </c>
      <c r="L3368" t="s" s="2">
        <v>22</v>
      </c>
      <c r="M3368" t="s" s="2">
        <v>22</v>
      </c>
    </row>
    <row r="3369" ht="25.0" customHeight="true">
      <c r="A3369" t="s" s="2">
        <v>13</v>
      </c>
      <c r="B3369" t="s" s="2">
        <f>HYPERLINK("http://ts.21cn.com/tousu/show/id/1370519","信用钱包违法高利贷隐藏合同")</f>
      </c>
      <c r="C3369" t="s" s="2">
        <v>15</v>
      </c>
      <c r="D3369" t="s" s="2">
        <v>16</v>
      </c>
      <c r="E3369" t="s" s="2">
        <v>17</v>
      </c>
      <c r="F3369" t="s" s="2">
        <f>HYPERLINK("http://ts.21cn.com/tousu/show/id/1370519","http://ts.21cn.com/tousu/show/id/1370519")</f>
      </c>
      <c r="G3369" t="s" s="2">
        <v>17</v>
      </c>
      <c r="H3369" t="s" s="2">
        <v>19</v>
      </c>
      <c r="I3369" t="s" s="2">
        <v>13149</v>
      </c>
      <c r="J3369" t="s" s="2">
        <v>13150</v>
      </c>
      <c r="K3369" t="s" s="2">
        <v>22</v>
      </c>
      <c r="L3369" t="s" s="2">
        <v>22</v>
      </c>
      <c r="M3369" t="s" s="2">
        <v>22</v>
      </c>
    </row>
    <row r="3370" ht="25.0" customHeight="true">
      <c r="A3370" t="s" s="2">
        <v>13</v>
      </c>
      <c r="B3370" t="s" s="2">
        <f>HYPERLINK("http://ts.21cn.com/tousu/show/id/1370518","带上钱严重骚扰我的家人")</f>
      </c>
      <c r="C3370" t="s" s="2">
        <v>52</v>
      </c>
      <c r="D3370" t="s" s="2">
        <v>16</v>
      </c>
      <c r="E3370" t="s" s="2">
        <v>17</v>
      </c>
      <c r="F3370" t="s" s="2">
        <f>HYPERLINK("http://ts.21cn.com/tousu/show/id/1370518","http://ts.21cn.com/tousu/show/id/1370518")</f>
      </c>
      <c r="G3370" t="s" s="2">
        <v>17</v>
      </c>
      <c r="H3370" t="s" s="2">
        <v>19</v>
      </c>
      <c r="I3370" t="s" s="2">
        <v>13153</v>
      </c>
      <c r="J3370" t="s" s="2">
        <v>13154</v>
      </c>
      <c r="K3370" t="s" s="2">
        <v>22</v>
      </c>
      <c r="L3370" t="s" s="2">
        <v>22</v>
      </c>
      <c r="M3370" t="s" s="2">
        <v>22</v>
      </c>
    </row>
    <row r="3371" ht="25.0" customHeight="true">
      <c r="A3371" t="s" s="2">
        <v>13</v>
      </c>
      <c r="B3371" t="s" s="2">
        <f>HYPERLINK("http://ts.21cn.com/tousu/show/id/1370517","借2800还6000，暴力催收，爆通讯录")</f>
      </c>
      <c r="C3371" t="s" s="2">
        <v>15</v>
      </c>
      <c r="D3371" t="s" s="2">
        <v>16</v>
      </c>
      <c r="E3371" t="s" s="2">
        <v>17</v>
      </c>
      <c r="F3371" t="s" s="2">
        <f>HYPERLINK("http://ts.21cn.com/tousu/show/id/1370517","http://ts.21cn.com/tousu/show/id/1370517")</f>
      </c>
      <c r="G3371" t="s" s="2">
        <v>17</v>
      </c>
      <c r="H3371" t="s" s="2">
        <v>19</v>
      </c>
      <c r="I3371" t="s" s="2">
        <v>13157</v>
      </c>
      <c r="J3371" t="s" s="2">
        <v>13158</v>
      </c>
      <c r="K3371" t="s" s="2">
        <v>22</v>
      </c>
      <c r="L3371" t="s" s="2">
        <v>22</v>
      </c>
      <c r="M3371" t="s" s="2">
        <v>22</v>
      </c>
    </row>
    <row r="3372" ht="25.0" customHeight="true">
      <c r="A3372" t="s" s="2">
        <v>13</v>
      </c>
      <c r="B3372" t="s" s="2">
        <f>HYPERLINK("http://ts.21cn.com/tousu/show/id/1370516","升学教育机构不退款")</f>
      </c>
      <c r="C3372" t="s" s="2">
        <v>15</v>
      </c>
      <c r="D3372" t="s" s="2">
        <v>16</v>
      </c>
      <c r="E3372" t="s" s="2">
        <v>17</v>
      </c>
      <c r="F3372" t="s" s="2">
        <f>HYPERLINK("http://ts.21cn.com/tousu/show/id/1370516","http://ts.21cn.com/tousu/show/id/1370516")</f>
      </c>
      <c r="G3372" t="s" s="2">
        <v>17</v>
      </c>
      <c r="H3372" t="s" s="2">
        <v>19</v>
      </c>
      <c r="I3372" t="s" s="2">
        <v>13160</v>
      </c>
      <c r="J3372" t="s" s="2">
        <v>13161</v>
      </c>
      <c r="K3372" t="s" s="2">
        <v>22</v>
      </c>
      <c r="L3372" t="s" s="2">
        <v>22</v>
      </c>
      <c r="M3372" t="s" s="2">
        <v>22</v>
      </c>
    </row>
    <row r="3373" ht="25.0" customHeight="true">
      <c r="A3373" t="s" s="2">
        <v>13</v>
      </c>
      <c r="B3373" t="s" s="2">
        <f>HYPERLINK("http://ts.21cn.com/tousu/show/id/1370515","快卡闪贷小闪分期")</f>
      </c>
      <c r="C3373" t="s" s="2">
        <v>15</v>
      </c>
      <c r="D3373" t="s" s="2">
        <v>16</v>
      </c>
      <c r="E3373" t="s" s="2">
        <v>17</v>
      </c>
      <c r="F3373" t="s" s="2">
        <f>HYPERLINK("http://ts.21cn.com/tousu/show/id/1370515","http://ts.21cn.com/tousu/show/id/1370515")</f>
      </c>
      <c r="G3373" t="s" s="2">
        <v>17</v>
      </c>
      <c r="H3373" t="s" s="2">
        <v>19</v>
      </c>
      <c r="I3373" t="s" s="2">
        <v>13164</v>
      </c>
      <c r="J3373" t="s" s="2">
        <v>13165</v>
      </c>
      <c r="K3373" t="s" s="2">
        <v>22</v>
      </c>
      <c r="L3373" t="s" s="2">
        <v>22</v>
      </c>
      <c r="M3373" t="s" s="2">
        <v>22</v>
      </c>
    </row>
    <row r="3374" ht="25.0" customHeight="true">
      <c r="A3374" t="s" s="2">
        <v>13</v>
      </c>
      <c r="B3374" t="s" s="2">
        <f>HYPERLINK("http://ts.21cn.com/tousu/show/id/1370514","马上金融高利贷")</f>
      </c>
      <c r="C3374" t="s" s="2">
        <v>15</v>
      </c>
      <c r="D3374" t="s" s="2">
        <v>16</v>
      </c>
      <c r="E3374" t="s" s="2">
        <v>17</v>
      </c>
      <c r="F3374" t="s" s="2">
        <f>HYPERLINK("http://ts.21cn.com/tousu/show/id/1370514","http://ts.21cn.com/tousu/show/id/1370514")</f>
      </c>
      <c r="G3374" t="s" s="2">
        <v>17</v>
      </c>
      <c r="H3374" t="s" s="2">
        <v>19</v>
      </c>
      <c r="I3374" t="s" s="2">
        <v>13168</v>
      </c>
      <c r="J3374" t="s" s="2">
        <v>13169</v>
      </c>
      <c r="K3374" t="s" s="2">
        <v>22</v>
      </c>
      <c r="L3374" t="s" s="2">
        <v>22</v>
      </c>
      <c r="M3374" t="s" s="2">
        <v>22</v>
      </c>
    </row>
    <row r="3375" ht="25.0" customHeight="true">
      <c r="A3375" t="s" s="2">
        <v>13</v>
      </c>
      <c r="B3375" t="s" s="2">
        <f>HYPERLINK("http://ts.21cn.com/tousu/show/id/1370513","到账金额差价")</f>
      </c>
      <c r="C3375" t="s" s="2">
        <v>15</v>
      </c>
      <c r="D3375" t="s" s="2">
        <v>16</v>
      </c>
      <c r="E3375" t="s" s="2">
        <v>17</v>
      </c>
      <c r="F3375" t="s" s="2">
        <f>HYPERLINK("http://ts.21cn.com/tousu/show/id/1370513","http://ts.21cn.com/tousu/show/id/1370513")</f>
      </c>
      <c r="G3375" t="s" s="2">
        <v>17</v>
      </c>
      <c r="H3375" t="s" s="2">
        <v>19</v>
      </c>
      <c r="I3375" t="s" s="2">
        <v>13172</v>
      </c>
      <c r="J3375" t="s" s="2">
        <v>13173</v>
      </c>
      <c r="K3375" t="s" s="2">
        <v>22</v>
      </c>
      <c r="L3375" t="s" s="2">
        <v>22</v>
      </c>
      <c r="M3375" t="s" s="2">
        <v>22</v>
      </c>
    </row>
    <row r="3376" ht="25.0" customHeight="true">
      <c r="A3376" t="s" s="2">
        <v>13</v>
      </c>
      <c r="B3376" t="s" s="2">
        <f>HYPERLINK("http://ts.21cn.com/tousu/show/id/1370512","京东金融帐号被限制")</f>
      </c>
      <c r="C3376" t="s" s="2">
        <v>15</v>
      </c>
      <c r="D3376" t="s" s="2">
        <v>16</v>
      </c>
      <c r="E3376" t="s" s="2">
        <v>17</v>
      </c>
      <c r="F3376" t="s" s="2">
        <f>HYPERLINK("http://ts.21cn.com/tousu/show/id/1370512","http://ts.21cn.com/tousu/show/id/1370512")</f>
      </c>
      <c r="G3376" t="s" s="2">
        <v>17</v>
      </c>
      <c r="H3376" t="s" s="2">
        <v>19</v>
      </c>
      <c r="I3376" t="s" s="2">
        <v>13176</v>
      </c>
      <c r="J3376" t="s" s="2">
        <v>13177</v>
      </c>
      <c r="K3376" t="s" s="2">
        <v>22</v>
      </c>
      <c r="L3376" t="s" s="2">
        <v>22</v>
      </c>
      <c r="M3376" t="s" s="2">
        <v>22</v>
      </c>
    </row>
    <row r="3377" ht="25.0" customHeight="true">
      <c r="A3377" t="s" s="2">
        <v>13</v>
      </c>
      <c r="B3377" t="s" s="2">
        <f>HYPERLINK("http://ts.21cn.com/tousu/show/id/1370511","暴力催收，爆通信录")</f>
      </c>
      <c r="C3377" t="s" s="2">
        <v>15</v>
      </c>
      <c r="D3377" t="s" s="2">
        <v>16</v>
      </c>
      <c r="E3377" t="s" s="2">
        <v>17</v>
      </c>
      <c r="F3377" t="s" s="2">
        <f>HYPERLINK("http://ts.21cn.com/tousu/show/id/1370511","http://ts.21cn.com/tousu/show/id/1370511")</f>
      </c>
      <c r="G3377" t="s" s="2">
        <v>17</v>
      </c>
      <c r="H3377" t="s" s="2">
        <v>19</v>
      </c>
      <c r="I3377" t="s" s="2">
        <v>13180</v>
      </c>
      <c r="J3377" t="s" s="2">
        <v>13181</v>
      </c>
      <c r="K3377" t="s" s="2">
        <v>22</v>
      </c>
      <c r="L3377" t="s" s="2">
        <v>22</v>
      </c>
      <c r="M3377" t="s" s="2">
        <v>22</v>
      </c>
    </row>
    <row r="3378" ht="25.0" customHeight="true">
      <c r="A3378" t="s" s="2">
        <v>13</v>
      </c>
      <c r="B3378" t="s" s="2">
        <f>HYPERLINK("http://ts.21cn.com/tousu/show/id/1370510","我下载了一个videoleap剪视频软件，打开看了看没什么用，就卸载了，第二天直接从我账户扣了288，直接免密支付！")</f>
      </c>
      <c r="C3378" t="s" s="2">
        <v>52</v>
      </c>
      <c r="D3378" t="s" s="2">
        <v>16</v>
      </c>
      <c r="E3378" t="s" s="2">
        <v>17</v>
      </c>
      <c r="F3378" t="s" s="2">
        <f>HYPERLINK("http://ts.21cn.com/tousu/show/id/1370510","http://ts.21cn.com/tousu/show/id/1370510")</f>
      </c>
      <c r="G3378" t="s" s="2">
        <v>17</v>
      </c>
      <c r="H3378" t="s" s="2">
        <v>19</v>
      </c>
      <c r="I3378" t="s" s="2">
        <v>13184</v>
      </c>
      <c r="J3378" t="s" s="2">
        <v>13185</v>
      </c>
      <c r="K3378" t="s" s="2">
        <v>22</v>
      </c>
      <c r="L3378" t="s" s="2">
        <v>22</v>
      </c>
      <c r="M3378" t="s" s="2">
        <v>22</v>
      </c>
    </row>
    <row r="3379" ht="25.0" customHeight="true">
      <c r="A3379" t="s" s="2">
        <v>13</v>
      </c>
      <c r="B3379" t="s" s="2">
        <f>HYPERLINK("http://ts.21cn.com/tousu/show/id/1370509","停止骚扰无关人员！！！")</f>
      </c>
      <c r="C3379" t="s" s="2">
        <v>15</v>
      </c>
      <c r="D3379" t="s" s="2">
        <v>16</v>
      </c>
      <c r="E3379" t="s" s="2">
        <v>17</v>
      </c>
      <c r="F3379" t="s" s="2">
        <f>HYPERLINK("http://ts.21cn.com/tousu/show/id/1370509","http://ts.21cn.com/tousu/show/id/1370509")</f>
      </c>
      <c r="G3379" t="s" s="2">
        <v>17</v>
      </c>
      <c r="H3379" t="s" s="2">
        <v>19</v>
      </c>
      <c r="I3379" t="s" s="2">
        <v>13188</v>
      </c>
      <c r="J3379" t="s" s="2">
        <v>13189</v>
      </c>
      <c r="K3379" t="s" s="2">
        <v>22</v>
      </c>
      <c r="L3379" t="s" s="2">
        <v>22</v>
      </c>
      <c r="M3379" t="s" s="2">
        <v>22</v>
      </c>
    </row>
    <row r="3380" ht="25.0" customHeight="true">
      <c r="A3380" t="s" s="2">
        <v>13</v>
      </c>
      <c r="B3380" t="s" s="2">
        <f>HYPERLINK("http://ts.21cn.com/tousu/show/id/1370508","口袋有米私自放款高利贷")</f>
      </c>
      <c r="C3380" t="s" s="2">
        <v>15</v>
      </c>
      <c r="D3380" t="s" s="2">
        <v>16</v>
      </c>
      <c r="E3380" t="s" s="2">
        <v>17</v>
      </c>
      <c r="F3380" t="s" s="2">
        <f>HYPERLINK("http://ts.21cn.com/tousu/show/id/1370508","http://ts.21cn.com/tousu/show/id/1370508")</f>
      </c>
      <c r="G3380" t="s" s="2">
        <v>17</v>
      </c>
      <c r="H3380" t="s" s="2">
        <v>19</v>
      </c>
      <c r="I3380" t="s" s="2">
        <v>13192</v>
      </c>
      <c r="J3380" t="s" s="2">
        <v>13193</v>
      </c>
      <c r="K3380" t="s" s="2">
        <v>22</v>
      </c>
      <c r="L3380" t="s" s="2">
        <v>22</v>
      </c>
      <c r="M3380" t="s" s="2">
        <v>22</v>
      </c>
    </row>
    <row r="3381" ht="25.0" customHeight="true">
      <c r="A3381" t="s" s="2">
        <v>13</v>
      </c>
      <c r="B3381" t="s" s="2">
        <f>HYPERLINK("http://ts.21cn.com/tousu/show/id/1370507","本人在应用宝下载了附近蜜聊，因为免费三天会员，在支付宝开通了免密支付后，直接扣了2笔99元。")</f>
      </c>
      <c r="C3381" t="s" s="2">
        <v>52</v>
      </c>
      <c r="D3381" t="s" s="2">
        <v>16</v>
      </c>
      <c r="E3381" t="s" s="2">
        <v>17</v>
      </c>
      <c r="F3381" t="s" s="2">
        <f>HYPERLINK("http://ts.21cn.com/tousu/show/id/1370507","http://ts.21cn.com/tousu/show/id/1370507")</f>
      </c>
      <c r="G3381" t="s" s="2">
        <v>17</v>
      </c>
      <c r="H3381" t="s" s="2">
        <v>19</v>
      </c>
      <c r="I3381" t="s" s="2">
        <v>13196</v>
      </c>
      <c r="J3381" t="s" s="2">
        <v>13197</v>
      </c>
      <c r="K3381" t="s" s="2">
        <v>22</v>
      </c>
      <c r="L3381" t="s" s="2">
        <v>22</v>
      </c>
      <c r="M3381" t="s" s="2">
        <v>22</v>
      </c>
    </row>
    <row r="3382" ht="25.0" customHeight="true">
      <c r="A3382" t="s" s="2">
        <v>13</v>
      </c>
      <c r="B3382" t="s" s="2">
        <f>HYPERLINK("http://ts.21cn.com/tousu/show/id/1370506","读秒钱包违规收取高额服务费")</f>
      </c>
      <c r="C3382" t="s" s="2">
        <v>15</v>
      </c>
      <c r="D3382" t="s" s="2">
        <v>16</v>
      </c>
      <c r="E3382" t="s" s="2">
        <v>17</v>
      </c>
      <c r="F3382" t="s" s="2">
        <f>HYPERLINK("http://ts.21cn.com/tousu/show/id/1370506","http://ts.21cn.com/tousu/show/id/1370506")</f>
      </c>
      <c r="G3382" t="s" s="2">
        <v>17</v>
      </c>
      <c r="H3382" t="s" s="2">
        <v>19</v>
      </c>
      <c r="I3382" t="s" s="2">
        <v>13200</v>
      </c>
      <c r="J3382" t="s" s="2">
        <v>13201</v>
      </c>
      <c r="K3382" t="s" s="2">
        <v>22</v>
      </c>
      <c r="L3382" t="s" s="2">
        <v>22</v>
      </c>
      <c r="M3382" t="s" s="2">
        <v>22</v>
      </c>
    </row>
    <row r="3383" ht="25.0" customHeight="true">
      <c r="A3383" t="s" s="2">
        <v>13</v>
      </c>
      <c r="B3383" t="s" s="2">
        <f>HYPERLINK("http://ts.21cn.com/tousu/show/id/1370505","你我贷电话骚扰轰炸")</f>
      </c>
      <c r="C3383" t="s" s="2">
        <v>15</v>
      </c>
      <c r="D3383" t="s" s="2">
        <v>16</v>
      </c>
      <c r="E3383" t="s" s="2">
        <v>17</v>
      </c>
      <c r="F3383" t="s" s="2">
        <f>HYPERLINK("http://ts.21cn.com/tousu/show/id/1370505","http://ts.21cn.com/tousu/show/id/1370505")</f>
      </c>
      <c r="G3383" t="s" s="2">
        <v>17</v>
      </c>
      <c r="H3383" t="s" s="2">
        <v>19</v>
      </c>
      <c r="I3383" t="s" s="2">
        <v>13204</v>
      </c>
      <c r="J3383" t="s" s="2">
        <v>13205</v>
      </c>
      <c r="K3383" t="s" s="2">
        <v>22</v>
      </c>
      <c r="L3383" t="s" s="2">
        <v>22</v>
      </c>
      <c r="M3383" t="s" s="2">
        <v>22</v>
      </c>
    </row>
    <row r="3384" ht="25.0" customHeight="true">
      <c r="A3384" t="s" s="2">
        <v>13</v>
      </c>
      <c r="B3384" t="s" s="2">
        <f>HYPERLINK("http://ts.21cn.com/tousu/show/id/1370504","安家趣花app引导充值会员之后审核失败")</f>
      </c>
      <c r="C3384" t="s" s="2">
        <v>15</v>
      </c>
      <c r="D3384" t="s" s="2">
        <v>16</v>
      </c>
      <c r="E3384" t="s" s="2">
        <v>17</v>
      </c>
      <c r="F3384" t="s" s="2">
        <f>HYPERLINK("http://ts.21cn.com/tousu/show/id/1370504","http://ts.21cn.com/tousu/show/id/1370504")</f>
      </c>
      <c r="G3384" t="s" s="2">
        <v>17</v>
      </c>
      <c r="H3384" t="s" s="2">
        <v>19</v>
      </c>
      <c r="I3384" t="s" s="2">
        <v>13208</v>
      </c>
      <c r="J3384" t="s" s="2">
        <v>13209</v>
      </c>
      <c r="K3384" t="s" s="2">
        <v>22</v>
      </c>
      <c r="L3384" t="s" s="2">
        <v>22</v>
      </c>
      <c r="M3384" t="s" s="2">
        <v>22</v>
      </c>
    </row>
    <row r="3385" ht="25.0" customHeight="true">
      <c r="A3385" t="s" s="2">
        <v>13</v>
      </c>
      <c r="B3385" t="s" s="2">
        <f>HYPERLINK("http://ts.21cn.com/tousu/show/id/1370503","今借到")</f>
      </c>
      <c r="C3385" t="s" s="2">
        <v>15</v>
      </c>
      <c r="D3385" t="s" s="2">
        <v>16</v>
      </c>
      <c r="E3385" t="s" s="2">
        <v>17</v>
      </c>
      <c r="F3385" t="s" s="2">
        <f>HYPERLINK("http://ts.21cn.com/tousu/show/id/1370503","http://ts.21cn.com/tousu/show/id/1370503")</f>
      </c>
      <c r="G3385" t="s" s="2">
        <v>17</v>
      </c>
      <c r="H3385" t="s" s="2">
        <v>19</v>
      </c>
      <c r="I3385" t="s" s="2">
        <v>13212</v>
      </c>
      <c r="J3385" t="s" s="2">
        <v>13213</v>
      </c>
      <c r="K3385" t="s" s="2">
        <v>22</v>
      </c>
      <c r="L3385" t="s" s="2">
        <v>22</v>
      </c>
      <c r="M3385" t="s" s="2">
        <v>22</v>
      </c>
    </row>
    <row r="3386" ht="25.0" customHeight="true">
      <c r="A3386" t="s" s="2">
        <v>13</v>
      </c>
      <c r="B3386" t="s" s="2">
        <f>HYPERLINK("http://ts.21cn.com/tousu/show/id/1370502","淘宝虚假提示")</f>
      </c>
      <c r="C3386" t="s" s="2">
        <v>15</v>
      </c>
      <c r="D3386" t="s" s="2">
        <v>16</v>
      </c>
      <c r="E3386" t="s" s="2">
        <v>17</v>
      </c>
      <c r="F3386" t="s" s="2">
        <f>HYPERLINK("http://ts.21cn.com/tousu/show/id/1370502","http://ts.21cn.com/tousu/show/id/1370502")</f>
      </c>
      <c r="G3386" t="s" s="2">
        <v>17</v>
      </c>
      <c r="H3386" t="s" s="2">
        <v>19</v>
      </c>
      <c r="I3386" t="s" s="2">
        <v>13216</v>
      </c>
      <c r="J3386" t="s" s="2">
        <v>13217</v>
      </c>
      <c r="K3386" t="s" s="2">
        <v>22</v>
      </c>
      <c r="L3386" t="s" s="2">
        <v>22</v>
      </c>
      <c r="M3386" t="s" s="2">
        <v>22</v>
      </c>
    </row>
    <row r="3387" ht="25.0" customHeight="true">
      <c r="A3387" t="s" s="2">
        <v>13</v>
      </c>
      <c r="B3387" t="s" s="2">
        <f>HYPERLINK("http://ts.21cn.com/tousu/show/id/1370501","三天无理由退房退款，退款周期太长要20天")</f>
      </c>
      <c r="C3387" t="s" s="2">
        <v>15</v>
      </c>
      <c r="D3387" t="s" s="2">
        <v>16</v>
      </c>
      <c r="E3387" t="s" s="2">
        <v>17</v>
      </c>
      <c r="F3387" t="s" s="2">
        <f>HYPERLINK("http://ts.21cn.com/tousu/show/id/1370501","http://ts.21cn.com/tousu/show/id/1370501")</f>
      </c>
      <c r="G3387" t="s" s="2">
        <v>17</v>
      </c>
      <c r="H3387" t="s" s="2">
        <v>19</v>
      </c>
      <c r="I3387" t="s" s="2">
        <v>13220</v>
      </c>
      <c r="J3387" t="s" s="2">
        <v>13221</v>
      </c>
      <c r="K3387" t="s" s="2">
        <v>22</v>
      </c>
      <c r="L3387" t="s" s="2">
        <v>22</v>
      </c>
      <c r="M3387" t="s" s="2">
        <v>22</v>
      </c>
    </row>
    <row r="3388" ht="25.0" customHeight="true">
      <c r="A3388" t="s" s="2">
        <v>13</v>
      </c>
      <c r="B3388" t="s" s="2">
        <f>HYPERLINK("http://ts.21cn.com/tousu/show/id/1370500","乾广分期高利贷")</f>
      </c>
      <c r="C3388" t="s" s="2">
        <v>15</v>
      </c>
      <c r="D3388" t="s" s="2">
        <v>16</v>
      </c>
      <c r="E3388" t="s" s="2">
        <v>17</v>
      </c>
      <c r="F3388" t="s" s="2">
        <f>HYPERLINK("http://ts.21cn.com/tousu/show/id/1370500","http://ts.21cn.com/tousu/show/id/1370500")</f>
      </c>
      <c r="G3388" t="s" s="2">
        <v>17</v>
      </c>
      <c r="H3388" t="s" s="2">
        <v>19</v>
      </c>
      <c r="I3388" t="s" s="2">
        <v>13224</v>
      </c>
      <c r="J3388" t="s" s="2">
        <v>13225</v>
      </c>
      <c r="K3388" t="s" s="2">
        <v>22</v>
      </c>
      <c r="L3388" t="s" s="2">
        <v>22</v>
      </c>
      <c r="M3388" t="s" s="2">
        <v>22</v>
      </c>
    </row>
    <row r="3389" ht="25.0" customHeight="true">
      <c r="A3389" t="s" s="2">
        <v>13</v>
      </c>
      <c r="B3389" t="s" s="2">
        <f>HYPERLINK("http://ts.21cn.com/tousu/show/id/1370414","悦程出行办卡人员导诱开卡")</f>
      </c>
      <c r="C3389" t="s" s="2">
        <v>15</v>
      </c>
      <c r="D3389" t="s" s="2">
        <v>16</v>
      </c>
      <c r="E3389" t="s" s="2">
        <v>17</v>
      </c>
      <c r="F3389" t="s" s="2">
        <f>HYPERLINK("http://ts.21cn.com/tousu/show/id/1370414","http://ts.21cn.com/tousu/show/id/1370414")</f>
      </c>
      <c r="G3389" t="s" s="2">
        <v>17</v>
      </c>
      <c r="H3389" t="s" s="2">
        <v>19</v>
      </c>
      <c r="I3389" t="s" s="2">
        <v>13228</v>
      </c>
      <c r="J3389" t="s" s="2">
        <v>13229</v>
      </c>
      <c r="K3389" t="s" s="2">
        <v>22</v>
      </c>
      <c r="L3389" t="s" s="2">
        <v>22</v>
      </c>
      <c r="M3389" t="s" s="2">
        <v>22</v>
      </c>
    </row>
    <row r="3390" ht="25.0" customHeight="true">
      <c r="A3390" t="s" s="2">
        <v>13</v>
      </c>
      <c r="B3390" t="s" s="2">
        <f>HYPERLINK("http://ts.21cn.com/tousu/show/id/1367940","微信支付随意冻结个人财产不给提现")</f>
      </c>
      <c r="C3390" t="s" s="2">
        <v>15</v>
      </c>
      <c r="D3390" t="s" s="2">
        <v>16</v>
      </c>
      <c r="E3390" t="s" s="2">
        <v>17</v>
      </c>
      <c r="F3390" t="s" s="2">
        <f>HYPERLINK("http://ts.21cn.com/tousu/show/id/1367940","http://ts.21cn.com/tousu/show/id/1367940")</f>
      </c>
      <c r="G3390" t="s" s="2">
        <v>17</v>
      </c>
      <c r="H3390" t="s" s="2">
        <v>19</v>
      </c>
      <c r="I3390" t="s" s="2">
        <v>13232</v>
      </c>
      <c r="J3390" t="s" s="2">
        <v>13233</v>
      </c>
      <c r="K3390" t="s" s="2">
        <v>22</v>
      </c>
      <c r="L3390" t="s" s="2">
        <v>22</v>
      </c>
      <c r="M3390" t="s" s="2">
        <v>22</v>
      </c>
    </row>
    <row r="3391" ht="25.0" customHeight="true">
      <c r="A3391" t="s" s="2">
        <v>13</v>
      </c>
      <c r="B3391" t="s" s="2">
        <f>HYPERLINK("http://ts.21cn.com/tousu/show/id/1370498","玖富高利贷")</f>
      </c>
      <c r="C3391" t="s" s="2">
        <v>15</v>
      </c>
      <c r="D3391" t="s" s="2">
        <v>16</v>
      </c>
      <c r="E3391" t="s" s="2">
        <v>17</v>
      </c>
      <c r="F3391" t="s" s="2">
        <f>HYPERLINK("http://ts.21cn.com/tousu/show/id/1370498","http://ts.21cn.com/tousu/show/id/1370498")</f>
      </c>
      <c r="G3391" t="s" s="2">
        <v>17</v>
      </c>
      <c r="H3391" t="s" s="2">
        <v>19</v>
      </c>
      <c r="I3391" t="s" s="2">
        <v>13235</v>
      </c>
      <c r="J3391" t="s" s="2">
        <v>13236</v>
      </c>
      <c r="K3391" t="s" s="2">
        <v>22</v>
      </c>
      <c r="L3391" t="s" s="2">
        <v>22</v>
      </c>
      <c r="M3391" t="s" s="2">
        <v>22</v>
      </c>
    </row>
    <row r="3392" ht="25.0" customHeight="true">
      <c r="A3392" t="s" s="2">
        <v>13</v>
      </c>
      <c r="B3392" t="s" s="2">
        <f>HYPERLINK("http://ts.21cn.com/tousu/show/id/1370496","利息高")</f>
      </c>
      <c r="C3392" t="s" s="2">
        <v>15</v>
      </c>
      <c r="D3392" t="s" s="2">
        <v>16</v>
      </c>
      <c r="E3392" t="s" s="2">
        <v>17</v>
      </c>
      <c r="F3392" t="s" s="2">
        <f>HYPERLINK("http://ts.21cn.com/tousu/show/id/1370496","http://ts.21cn.com/tousu/show/id/1370496")</f>
      </c>
      <c r="G3392" t="s" s="2">
        <v>17</v>
      </c>
      <c r="H3392" t="s" s="2">
        <v>19</v>
      </c>
      <c r="I3392" t="s" s="2">
        <v>13238</v>
      </c>
      <c r="J3392" t="s" s="2">
        <v>13239</v>
      </c>
      <c r="K3392" t="s" s="2">
        <v>22</v>
      </c>
      <c r="L3392" t="s" s="2">
        <v>22</v>
      </c>
      <c r="M3392" t="s" s="2">
        <v>22</v>
      </c>
    </row>
    <row r="3393" ht="25.0" customHeight="true">
      <c r="A3393" t="s" s="2">
        <v>13</v>
      </c>
      <c r="B3393" t="s" s="2">
        <f>HYPERLINK("http://ts.21cn.com/tousu/show/id/1370497","无理由扣款")</f>
      </c>
      <c r="C3393" t="s" s="2">
        <v>15</v>
      </c>
      <c r="D3393" t="s" s="2">
        <v>16</v>
      </c>
      <c r="E3393" t="s" s="2">
        <v>17</v>
      </c>
      <c r="F3393" t="s" s="2">
        <f>HYPERLINK("http://ts.21cn.com/tousu/show/id/1370497","http://ts.21cn.com/tousu/show/id/1370497")</f>
      </c>
      <c r="G3393" t="s" s="2">
        <v>17</v>
      </c>
      <c r="H3393" t="s" s="2">
        <v>19</v>
      </c>
      <c r="I3393" t="s" s="2">
        <v>13242</v>
      </c>
      <c r="J3393" t="s" s="2">
        <v>13243</v>
      </c>
      <c r="K3393" t="s" s="2">
        <v>22</v>
      </c>
      <c r="L3393" t="s" s="2">
        <v>22</v>
      </c>
      <c r="M3393" t="s" s="2">
        <v>22</v>
      </c>
    </row>
    <row r="3394" ht="25.0" customHeight="true">
      <c r="A3394" t="s" s="2">
        <v>13</v>
      </c>
      <c r="B3394" t="s" s="2">
        <f>HYPERLINK("http://ts.21cn.com/tousu/show/id/1370495","51信用卡管家违规收取高额利息砍头息")</f>
      </c>
      <c r="C3394" t="s" s="2">
        <v>15</v>
      </c>
      <c r="D3394" t="s" s="2">
        <v>16</v>
      </c>
      <c r="E3394" t="s" s="2">
        <v>17</v>
      </c>
      <c r="F3394" t="s" s="2">
        <f>HYPERLINK("http://ts.21cn.com/tousu/show/id/1370495","http://ts.21cn.com/tousu/show/id/1370495")</f>
      </c>
      <c r="G3394" t="s" s="2">
        <v>17</v>
      </c>
      <c r="H3394" t="s" s="2">
        <v>19</v>
      </c>
      <c r="I3394" t="s" s="2">
        <v>13246</v>
      </c>
      <c r="J3394" t="s" s="2">
        <v>13247</v>
      </c>
      <c r="K3394" t="s" s="2">
        <v>22</v>
      </c>
      <c r="L3394" t="s" s="2">
        <v>22</v>
      </c>
      <c r="M3394" t="s" s="2">
        <v>22</v>
      </c>
    </row>
    <row r="3395" ht="25.0" customHeight="true">
      <c r="A3395" t="s" s="2">
        <v>13</v>
      </c>
      <c r="B3395" t="s" s="2">
        <f>HYPERLINK("http://ts.21cn.com/tousu/show/id/1370494","高利息阴阳合同")</f>
      </c>
      <c r="C3395" t="s" s="2">
        <v>15</v>
      </c>
      <c r="D3395" t="s" s="2">
        <v>16</v>
      </c>
      <c r="E3395" t="s" s="2">
        <v>17</v>
      </c>
      <c r="F3395" t="s" s="2">
        <f>HYPERLINK("http://ts.21cn.com/tousu/show/id/1370494","http://ts.21cn.com/tousu/show/id/1370494")</f>
      </c>
      <c r="G3395" t="s" s="2">
        <v>17</v>
      </c>
      <c r="H3395" t="s" s="2">
        <v>19</v>
      </c>
      <c r="I3395" t="s" s="2">
        <v>13250</v>
      </c>
      <c r="J3395" t="s" s="2">
        <v>13251</v>
      </c>
      <c r="K3395" t="s" s="2">
        <v>22</v>
      </c>
      <c r="L3395" t="s" s="2">
        <v>22</v>
      </c>
      <c r="M3395" t="s" s="2">
        <v>22</v>
      </c>
    </row>
    <row r="3396" ht="25.0" customHeight="true">
      <c r="A3396" t="s" s="2">
        <v>13</v>
      </c>
      <c r="B3396" t="s" s="2">
        <f>HYPERLINK("http://ts.21cn.com/tousu/show/id/1370493","处处APP涉嫌欺诈扣费")</f>
      </c>
      <c r="C3396" t="s" s="2">
        <v>15</v>
      </c>
      <c r="D3396" t="s" s="2">
        <v>16</v>
      </c>
      <c r="E3396" t="s" s="2">
        <v>17</v>
      </c>
      <c r="F3396" t="s" s="2">
        <f>HYPERLINK("http://ts.21cn.com/tousu/show/id/1370493","http://ts.21cn.com/tousu/show/id/1370493")</f>
      </c>
      <c r="G3396" t="s" s="2">
        <v>17</v>
      </c>
      <c r="H3396" t="s" s="2">
        <v>19</v>
      </c>
      <c r="I3396" t="s" s="2">
        <v>13254</v>
      </c>
      <c r="J3396" t="s" s="2">
        <v>13255</v>
      </c>
      <c r="K3396" t="s" s="2">
        <v>22</v>
      </c>
      <c r="L3396" t="s" s="2">
        <v>22</v>
      </c>
      <c r="M3396" t="s" s="2">
        <v>22</v>
      </c>
    </row>
    <row r="3397" ht="25.0" customHeight="true">
      <c r="A3397" t="s" s="2">
        <v>13</v>
      </c>
      <c r="B3397" t="s" s="2">
        <f>HYPERLINK("http://ts.21cn.com/tousu/show/id/1370492","前年借了51人品贷逾期了去年主动找他们还款跟催收商量好了还3500还了还要继续叫我还")</f>
      </c>
      <c r="C3397" t="s" s="2">
        <v>15</v>
      </c>
      <c r="D3397" t="s" s="2">
        <v>16</v>
      </c>
      <c r="E3397" t="s" s="2">
        <v>17</v>
      </c>
      <c r="F3397" t="s" s="2">
        <f>HYPERLINK("http://ts.21cn.com/tousu/show/id/1370492","http://ts.21cn.com/tousu/show/id/1370492")</f>
      </c>
      <c r="G3397" t="s" s="2">
        <v>17</v>
      </c>
      <c r="H3397" t="s" s="2">
        <v>19</v>
      </c>
      <c r="I3397" t="s" s="2">
        <v>13258</v>
      </c>
      <c r="J3397" t="s" s="2">
        <v>13259</v>
      </c>
      <c r="K3397" t="s" s="2">
        <v>22</v>
      </c>
      <c r="L3397" t="s" s="2">
        <v>22</v>
      </c>
      <c r="M3397" t="s" s="2">
        <v>22</v>
      </c>
    </row>
    <row r="3398" ht="25.0" customHeight="true">
      <c r="A3398" t="s" s="2">
        <v>13</v>
      </c>
      <c r="B3398" t="s" s="2">
        <f>HYPERLINK("http://ts.21cn.com/tousu/show/id/1370491","宜人贷暴力催收")</f>
      </c>
      <c r="C3398" t="s" s="2">
        <v>15</v>
      </c>
      <c r="D3398" t="s" s="2">
        <v>16</v>
      </c>
      <c r="E3398" t="s" s="2">
        <v>17</v>
      </c>
      <c r="F3398" t="s" s="2">
        <f>HYPERLINK("http://ts.21cn.com/tousu/show/id/1370491","http://ts.21cn.com/tousu/show/id/1370491")</f>
      </c>
      <c r="G3398" t="s" s="2">
        <v>17</v>
      </c>
      <c r="H3398" t="s" s="2">
        <v>19</v>
      </c>
      <c r="I3398" t="s" s="2">
        <v>13262</v>
      </c>
      <c r="J3398" t="s" s="2">
        <v>13263</v>
      </c>
      <c r="K3398" t="s" s="2">
        <v>22</v>
      </c>
      <c r="L3398" t="s" s="2">
        <v>22</v>
      </c>
      <c r="M3398" t="s" s="2">
        <v>22</v>
      </c>
    </row>
    <row r="3399" ht="25.0" customHeight="true">
      <c r="A3399" t="s" s="2">
        <v>13</v>
      </c>
      <c r="B3399" t="s" s="2">
        <f>HYPERLINK("http://ts.21cn.com/tousu/show/id/1370488","友信信贷在未逾期的时间内对借款人进行暴力催收")</f>
      </c>
      <c r="C3399" t="s" s="2">
        <v>15</v>
      </c>
      <c r="D3399" t="s" s="2">
        <v>16</v>
      </c>
      <c r="E3399" t="s" s="2">
        <v>17</v>
      </c>
      <c r="F3399" t="s" s="2">
        <f>HYPERLINK("http://ts.21cn.com/tousu/show/id/1370488","http://ts.21cn.com/tousu/show/id/1370488")</f>
      </c>
      <c r="G3399" t="s" s="2">
        <v>17</v>
      </c>
      <c r="H3399" t="s" s="2">
        <v>19</v>
      </c>
      <c r="I3399" t="s" s="2">
        <v>13265</v>
      </c>
      <c r="J3399" t="s" s="2">
        <v>13266</v>
      </c>
      <c r="K3399" t="s" s="2">
        <v>22</v>
      </c>
      <c r="L3399" t="s" s="2">
        <v>22</v>
      </c>
      <c r="M3399" t="s" s="2">
        <v>22</v>
      </c>
    </row>
    <row r="3400" ht="25.0" customHeight="true">
      <c r="A3400" t="s" s="2">
        <v>13</v>
      </c>
      <c r="B3400" t="s" s="2">
        <f>HYPERLINK("http://ts.21cn.com/tousu/show/id/1370490","关于美约app乱扣费问题，免费试用后，自动续费会员一年298元")</f>
      </c>
      <c r="C3400" t="s" s="2">
        <v>52</v>
      </c>
      <c r="D3400" t="s" s="2">
        <v>16</v>
      </c>
      <c r="E3400" t="s" s="2">
        <v>17</v>
      </c>
      <c r="F3400" t="s" s="2">
        <f>HYPERLINK("http://ts.21cn.com/tousu/show/id/1370490","http://ts.21cn.com/tousu/show/id/1370490")</f>
      </c>
      <c r="G3400" t="s" s="2">
        <v>17</v>
      </c>
      <c r="H3400" t="s" s="2">
        <v>19</v>
      </c>
      <c r="I3400" t="s" s="2">
        <v>13268</v>
      </c>
      <c r="J3400" t="s" s="2">
        <v>13269</v>
      </c>
      <c r="K3400" t="s" s="2">
        <v>22</v>
      </c>
      <c r="L3400" t="s" s="2">
        <v>22</v>
      </c>
      <c r="M3400" t="s" s="2">
        <v>22</v>
      </c>
    </row>
    <row r="3401" ht="25.0" customHeight="true">
      <c r="A3401" t="s" s="2">
        <v>13</v>
      </c>
      <c r="B3401" t="s" s="2">
        <f>HYPERLINK("http://ts.21cn.com/tousu/show/id/1370487","因故未能按时还款，本人未失联，招联金融威胁联系紧急联系人")</f>
      </c>
      <c r="C3401" t="s" s="2">
        <v>15</v>
      </c>
      <c r="D3401" t="s" s="2">
        <v>16</v>
      </c>
      <c r="E3401" t="s" s="2">
        <v>17</v>
      </c>
      <c r="F3401" t="s" s="2">
        <f>HYPERLINK("http://ts.21cn.com/tousu/show/id/1370487","http://ts.21cn.com/tousu/show/id/1370487")</f>
      </c>
      <c r="G3401" t="s" s="2">
        <v>17</v>
      </c>
      <c r="H3401" t="s" s="2">
        <v>19</v>
      </c>
      <c r="I3401" t="s" s="2">
        <v>13272</v>
      </c>
      <c r="J3401" t="s" s="2">
        <v>13273</v>
      </c>
      <c r="K3401" t="s" s="2">
        <v>22</v>
      </c>
      <c r="L3401" t="s" s="2">
        <v>22</v>
      </c>
      <c r="M3401" t="s" s="2">
        <v>22</v>
      </c>
    </row>
    <row r="3402" ht="25.0" customHeight="true">
      <c r="A3402" t="s" s="2">
        <v>13</v>
      </c>
      <c r="B3402" t="s" s="2">
        <f>HYPERLINK("http://ts.21cn.com/tousu/show/id/1370486","恶意扣款")</f>
      </c>
      <c r="C3402" t="s" s="2">
        <v>15</v>
      </c>
      <c r="D3402" t="s" s="2">
        <v>16</v>
      </c>
      <c r="E3402" t="s" s="2">
        <v>17</v>
      </c>
      <c r="F3402" t="s" s="2">
        <f>HYPERLINK("http://ts.21cn.com/tousu/show/id/1370486","http://ts.21cn.com/tousu/show/id/1370486")</f>
      </c>
      <c r="G3402" t="s" s="2">
        <v>17</v>
      </c>
      <c r="H3402" t="s" s="2">
        <v>19</v>
      </c>
      <c r="I3402" t="s" s="2">
        <v>13275</v>
      </c>
      <c r="J3402" t="s" s="2">
        <v>13276</v>
      </c>
      <c r="K3402" t="s" s="2">
        <v>22</v>
      </c>
      <c r="L3402" t="s" s="2">
        <v>22</v>
      </c>
      <c r="M3402" t="s" s="2">
        <v>22</v>
      </c>
    </row>
    <row r="3403" ht="25.0" customHeight="true">
      <c r="A3403" t="s" s="2">
        <v>13</v>
      </c>
      <c r="B3403" t="s" s="2">
        <f>HYPERLINK("http://ts.21cn.com/tousu/show/id/1370485","利息太高")</f>
      </c>
      <c r="C3403" t="s" s="2">
        <v>15</v>
      </c>
      <c r="D3403" t="s" s="2">
        <v>16</v>
      </c>
      <c r="E3403" t="s" s="2">
        <v>17</v>
      </c>
      <c r="F3403" t="s" s="2">
        <f>HYPERLINK("http://ts.21cn.com/tousu/show/id/1370485","http://ts.21cn.com/tousu/show/id/1370485")</f>
      </c>
      <c r="G3403" t="s" s="2">
        <v>17</v>
      </c>
      <c r="H3403" t="s" s="2">
        <v>19</v>
      </c>
      <c r="I3403" t="s" s="2">
        <v>13278</v>
      </c>
      <c r="J3403" t="s" s="2">
        <v>13279</v>
      </c>
      <c r="K3403" t="s" s="2">
        <v>22</v>
      </c>
      <c r="L3403" t="s" s="2">
        <v>22</v>
      </c>
      <c r="M3403" t="s" s="2">
        <v>22</v>
      </c>
    </row>
    <row r="3404" ht="25.0" customHeight="true">
      <c r="A3404" t="s" s="2">
        <v>13</v>
      </c>
      <c r="B3404" t="s" s="2">
        <f>HYPERLINK("http://ts.21cn.com/tousu/show/id/1370484","淘宝网菱木全自动洗衣机假冒伪劣产品")</f>
      </c>
      <c r="C3404" t="s" s="2">
        <v>15</v>
      </c>
      <c r="D3404" t="s" s="2">
        <v>16</v>
      </c>
      <c r="E3404" t="s" s="2">
        <v>17</v>
      </c>
      <c r="F3404" t="s" s="2">
        <f>HYPERLINK("http://ts.21cn.com/tousu/show/id/1370484","http://ts.21cn.com/tousu/show/id/1370484")</f>
      </c>
      <c r="G3404" t="s" s="2">
        <v>17</v>
      </c>
      <c r="H3404" t="s" s="2">
        <v>19</v>
      </c>
      <c r="I3404" t="s" s="2">
        <v>13282</v>
      </c>
      <c r="J3404" t="s" s="2">
        <v>13283</v>
      </c>
      <c r="K3404" t="s" s="2">
        <v>22</v>
      </c>
      <c r="L3404" t="s" s="2">
        <v>22</v>
      </c>
      <c r="M3404" t="s" s="2">
        <v>22</v>
      </c>
    </row>
    <row r="3405" ht="25.0" customHeight="true">
      <c r="A3405" t="s" s="2">
        <v>13</v>
      </c>
      <c r="B3405" t="s" s="2">
        <f>HYPERLINK("http://ts.21cn.com/tousu/show/id/1370483","万和电气虚假宣传误导销售")</f>
      </c>
      <c r="C3405" t="s" s="2">
        <v>15</v>
      </c>
      <c r="D3405" t="s" s="2">
        <v>16</v>
      </c>
      <c r="E3405" t="s" s="2">
        <v>17</v>
      </c>
      <c r="F3405" t="s" s="2">
        <f>HYPERLINK("http://ts.21cn.com/tousu/show/id/1370483","http://ts.21cn.com/tousu/show/id/1370483")</f>
      </c>
      <c r="G3405" t="s" s="2">
        <v>17</v>
      </c>
      <c r="H3405" t="s" s="2">
        <v>19</v>
      </c>
      <c r="I3405" t="s" s="2">
        <v>13286</v>
      </c>
      <c r="J3405" t="s" s="2">
        <v>13287</v>
      </c>
      <c r="K3405" t="s" s="2">
        <v>22</v>
      </c>
      <c r="L3405" t="s" s="2">
        <v>22</v>
      </c>
      <c r="M3405" t="s" s="2">
        <v>22</v>
      </c>
    </row>
    <row r="3406" ht="25.0" customHeight="true">
      <c r="A3406" t="s" s="2">
        <v>13</v>
      </c>
      <c r="B3406" t="s" s="2">
        <f>HYPERLINK("http://ts.21cn.com/tousu/show/id/1358693","长沙黄花机场畅行商务虚假兜售VIP卡")</f>
      </c>
      <c r="C3406" t="s" s="2">
        <v>15</v>
      </c>
      <c r="D3406" t="s" s="2">
        <v>16</v>
      </c>
      <c r="E3406" t="s" s="2">
        <v>17</v>
      </c>
      <c r="F3406" t="s" s="2">
        <f>HYPERLINK("http://ts.21cn.com/tousu/show/id/1358693","http://ts.21cn.com/tousu/show/id/1358693")</f>
      </c>
      <c r="G3406" t="s" s="2">
        <v>17</v>
      </c>
      <c r="H3406" t="s" s="2">
        <v>19</v>
      </c>
      <c r="I3406" t="s" s="2">
        <v>13290</v>
      </c>
      <c r="J3406" t="s" s="2">
        <v>13291</v>
      </c>
      <c r="K3406" t="s" s="2">
        <v>22</v>
      </c>
      <c r="L3406" t="s" s="2">
        <v>22</v>
      </c>
      <c r="M3406" t="s" s="2">
        <v>22</v>
      </c>
    </row>
    <row r="3407" ht="25.0" customHeight="true">
      <c r="A3407" t="s" s="2">
        <v>13</v>
      </c>
      <c r="B3407" t="s" s="2">
        <f>HYPERLINK("http://ts.21cn.com/tousu/show/id/1370482","即分期、广东南粤银行恶意逾期已结清贷款并导致个人征信不良记录")</f>
      </c>
      <c r="C3407" t="s" s="2">
        <v>15</v>
      </c>
      <c r="D3407" t="s" s="2">
        <v>16</v>
      </c>
      <c r="E3407" t="s" s="2">
        <v>17</v>
      </c>
      <c r="F3407" t="s" s="2">
        <f>HYPERLINK("http://ts.21cn.com/tousu/show/id/1370482","http://ts.21cn.com/tousu/show/id/1370482")</f>
      </c>
      <c r="G3407" t="s" s="2">
        <v>17</v>
      </c>
      <c r="H3407" t="s" s="2">
        <v>19</v>
      </c>
      <c r="I3407" t="s" s="2">
        <v>13294</v>
      </c>
      <c r="J3407" t="s" s="2">
        <v>13295</v>
      </c>
      <c r="K3407" t="s" s="2">
        <v>22</v>
      </c>
      <c r="L3407" t="s" s="2">
        <v>22</v>
      </c>
      <c r="M3407" t="s" s="2">
        <v>22</v>
      </c>
    </row>
    <row r="3408" ht="25.0" customHeight="true">
      <c r="A3408" t="s" s="2">
        <v>13</v>
      </c>
      <c r="B3408" t="s" s="2">
        <f>HYPERLINK("http://ts.21cn.com/tousu/show/id/1370481","大力水手,快钱支付")</f>
      </c>
      <c r="C3408" t="s" s="2">
        <v>15</v>
      </c>
      <c r="D3408" t="s" s="2">
        <v>16</v>
      </c>
      <c r="E3408" t="s" s="2">
        <v>17</v>
      </c>
      <c r="F3408" t="s" s="2">
        <f>HYPERLINK("http://ts.21cn.com/tousu/show/id/1370481","http://ts.21cn.com/tousu/show/id/1370481")</f>
      </c>
      <c r="G3408" t="s" s="2">
        <v>17</v>
      </c>
      <c r="H3408" t="s" s="2">
        <v>19</v>
      </c>
      <c r="I3408" t="s" s="2">
        <v>13298</v>
      </c>
      <c r="J3408" t="s" s="2">
        <v>13299</v>
      </c>
      <c r="K3408" t="s" s="2">
        <v>22</v>
      </c>
      <c r="L3408" t="s" s="2">
        <v>22</v>
      </c>
      <c r="M3408" t="s" s="2">
        <v>22</v>
      </c>
    </row>
    <row r="3409" ht="25.0" customHeight="true">
      <c r="A3409" t="s" s="2">
        <v>13</v>
      </c>
      <c r="B3409" t="s" s="2">
        <f>HYPERLINK("http://ts.21cn.com/tousu/show/id/1370480","有缘在线强行扣费")</f>
      </c>
      <c r="C3409" t="s" s="2">
        <v>52</v>
      </c>
      <c r="D3409" t="s" s="2">
        <v>16</v>
      </c>
      <c r="E3409" t="s" s="2">
        <v>17</v>
      </c>
      <c r="F3409" t="s" s="2">
        <f>HYPERLINK("http://ts.21cn.com/tousu/show/id/1370480","http://ts.21cn.com/tousu/show/id/1370480")</f>
      </c>
      <c r="G3409" t="s" s="2">
        <v>17</v>
      </c>
      <c r="H3409" t="s" s="2">
        <v>19</v>
      </c>
      <c r="I3409" t="s" s="2">
        <v>13302</v>
      </c>
      <c r="J3409" t="s" s="2">
        <v>13303</v>
      </c>
      <c r="K3409" t="s" s="2">
        <v>22</v>
      </c>
      <c r="L3409" t="s" s="2">
        <v>22</v>
      </c>
      <c r="M3409" t="s" s="2">
        <v>22</v>
      </c>
    </row>
    <row r="3410" ht="25.0" customHeight="true">
      <c r="A3410" t="s" s="2">
        <v>13</v>
      </c>
      <c r="B3410" t="s" s="2">
        <f>HYPERLINK("http://ts.21cn.com/tousu/show/id/1370479","浦发利息太高 吓死人")</f>
      </c>
      <c r="C3410" t="s" s="2">
        <v>15</v>
      </c>
      <c r="D3410" t="s" s="2">
        <v>16</v>
      </c>
      <c r="E3410" t="s" s="2">
        <v>17</v>
      </c>
      <c r="F3410" t="s" s="2">
        <f>HYPERLINK("http://ts.21cn.com/tousu/show/id/1370479","http://ts.21cn.com/tousu/show/id/1370479")</f>
      </c>
      <c r="G3410" t="s" s="2">
        <v>17</v>
      </c>
      <c r="H3410" t="s" s="2">
        <v>19</v>
      </c>
      <c r="I3410" t="s" s="2">
        <v>13306</v>
      </c>
      <c r="J3410" t="s" s="2">
        <v>13307</v>
      </c>
      <c r="K3410" t="s" s="2">
        <v>22</v>
      </c>
      <c r="L3410" t="s" s="2">
        <v>22</v>
      </c>
      <c r="M3410" t="s" s="2">
        <v>22</v>
      </c>
    </row>
    <row r="3411" ht="25.0" customHeight="true">
      <c r="A3411" t="s" s="2">
        <v>13</v>
      </c>
      <c r="B3411" t="s" s="2">
        <f>HYPERLINK("http://ts.21cn.com/tousu/show/id/1370478","合理协商")</f>
      </c>
      <c r="C3411" t="s" s="2">
        <v>15</v>
      </c>
      <c r="D3411" t="s" s="2">
        <v>16</v>
      </c>
      <c r="E3411" t="s" s="2">
        <v>17</v>
      </c>
      <c r="F3411" t="s" s="2">
        <f>HYPERLINK("http://ts.21cn.com/tousu/show/id/1370478","http://ts.21cn.com/tousu/show/id/1370478")</f>
      </c>
      <c r="G3411" t="s" s="2">
        <v>17</v>
      </c>
      <c r="H3411" t="s" s="2">
        <v>19</v>
      </c>
      <c r="I3411" t="s" s="2">
        <v>13310</v>
      </c>
      <c r="J3411" t="s" s="2">
        <v>13311</v>
      </c>
      <c r="K3411" t="s" s="2">
        <v>22</v>
      </c>
      <c r="L3411" t="s" s="2">
        <v>22</v>
      </c>
      <c r="M3411" t="s" s="2">
        <v>22</v>
      </c>
    </row>
    <row r="3412" ht="25.0" customHeight="true">
      <c r="A3412" t="s" s="2">
        <v>13</v>
      </c>
      <c r="B3412" t="s" s="2">
        <f>HYPERLINK("http://ts.21cn.com/tousu/show/id/1370477","逆战无尽塔防71关不出怪浪费时间")</f>
      </c>
      <c r="C3412" t="s" s="2">
        <v>15</v>
      </c>
      <c r="D3412" t="s" s="2">
        <v>16</v>
      </c>
      <c r="E3412" t="s" s="2">
        <v>17</v>
      </c>
      <c r="F3412" t="s" s="2">
        <f>HYPERLINK("http://ts.21cn.com/tousu/show/id/1370477","http://ts.21cn.com/tousu/show/id/1370477")</f>
      </c>
      <c r="G3412" t="s" s="2">
        <v>17</v>
      </c>
      <c r="H3412" t="s" s="2">
        <v>19</v>
      </c>
      <c r="I3412" t="s" s="2">
        <v>13314</v>
      </c>
      <c r="J3412" t="s" s="2">
        <v>13315</v>
      </c>
      <c r="K3412" t="s" s="2">
        <v>22</v>
      </c>
      <c r="L3412" t="s" s="2">
        <v>22</v>
      </c>
      <c r="M3412" t="s" s="2">
        <v>22</v>
      </c>
    </row>
    <row r="3413" ht="25.0" customHeight="true">
      <c r="A3413" t="s" s="2">
        <v>13</v>
      </c>
      <c r="B3413" t="s" s="2">
        <f>HYPERLINK("http://ts.21cn.com/tousu/show/id/1370476","豹子贷无故扣钱不需要还要扣")</f>
      </c>
      <c r="C3413" t="s" s="2">
        <v>15</v>
      </c>
      <c r="D3413" t="s" s="2">
        <v>16</v>
      </c>
      <c r="E3413" t="s" s="2">
        <v>17</v>
      </c>
      <c r="F3413" t="s" s="2">
        <f>HYPERLINK("http://ts.21cn.com/tousu/show/id/1370476","http://ts.21cn.com/tousu/show/id/1370476")</f>
      </c>
      <c r="G3413" t="s" s="2">
        <v>17</v>
      </c>
      <c r="H3413" t="s" s="2">
        <v>19</v>
      </c>
      <c r="I3413" t="s" s="2">
        <v>13318</v>
      </c>
      <c r="J3413" t="s" s="2">
        <v>13319</v>
      </c>
      <c r="K3413" t="s" s="2">
        <v>22</v>
      </c>
      <c r="L3413" t="s" s="2">
        <v>22</v>
      </c>
      <c r="M3413" t="s" s="2">
        <v>22</v>
      </c>
    </row>
    <row r="3414" ht="25.0" customHeight="true">
      <c r="A3414" t="s" s="2">
        <v>13</v>
      </c>
      <c r="B3414" t="s" s="2">
        <f>HYPERLINK("http://ts.21cn.com/tousu/show/id/1370475","帮助网赌平台洗黑钱")</f>
      </c>
      <c r="C3414" t="s" s="2">
        <v>15</v>
      </c>
      <c r="D3414" t="s" s="2">
        <v>16</v>
      </c>
      <c r="E3414" t="s" s="2">
        <v>17</v>
      </c>
      <c r="F3414" t="s" s="2">
        <f>HYPERLINK("http://ts.21cn.com/tousu/show/id/1370475","http://ts.21cn.com/tousu/show/id/1370475")</f>
      </c>
      <c r="G3414" t="s" s="2">
        <v>17</v>
      </c>
      <c r="H3414" t="s" s="2">
        <v>19</v>
      </c>
      <c r="I3414" t="s" s="2">
        <v>13322</v>
      </c>
      <c r="J3414" t="s" s="2">
        <v>13323</v>
      </c>
      <c r="K3414" t="s" s="2">
        <v>22</v>
      </c>
      <c r="L3414" t="s" s="2">
        <v>22</v>
      </c>
      <c r="M3414" t="s" s="2">
        <v>22</v>
      </c>
    </row>
    <row r="3415" ht="25.0" customHeight="true">
      <c r="A3415" t="s" s="2">
        <v>13</v>
      </c>
      <c r="B3415" t="s" s="2">
        <f>HYPERLINK("http://ts.21cn.com/tousu/show/id/1370474","拼多多帮人一起忽悠我")</f>
      </c>
      <c r="C3415" t="s" s="2">
        <v>15</v>
      </c>
      <c r="D3415" t="s" s="2">
        <v>16</v>
      </c>
      <c r="E3415" t="s" s="2">
        <v>17</v>
      </c>
      <c r="F3415" t="s" s="2">
        <f>HYPERLINK("http://ts.21cn.com/tousu/show/id/1370474","http://ts.21cn.com/tousu/show/id/1370474")</f>
      </c>
      <c r="G3415" t="s" s="2">
        <v>17</v>
      </c>
      <c r="H3415" t="s" s="2">
        <v>19</v>
      </c>
      <c r="I3415" t="s" s="2">
        <v>13326</v>
      </c>
      <c r="J3415" t="s" s="2">
        <v>13327</v>
      </c>
      <c r="K3415" t="s" s="2">
        <v>22</v>
      </c>
      <c r="L3415" t="s" s="2">
        <v>22</v>
      </c>
      <c r="M3415" t="s" s="2">
        <v>22</v>
      </c>
    </row>
    <row r="3416" ht="25.0" customHeight="true">
      <c r="A3416" t="s" s="2">
        <v>13</v>
      </c>
      <c r="B3416" t="s" s="2">
        <f>HYPERLINK("http://ts.21cn.com/tousu/show/id/1370473","大手钱包砍头息")</f>
      </c>
      <c r="C3416" t="s" s="2">
        <v>52</v>
      </c>
      <c r="D3416" t="s" s="2">
        <v>16</v>
      </c>
      <c r="E3416" t="s" s="2">
        <v>17</v>
      </c>
      <c r="F3416" t="s" s="2">
        <f>HYPERLINK("http://ts.21cn.com/tousu/show/id/1370473","http://ts.21cn.com/tousu/show/id/1370473")</f>
      </c>
      <c r="G3416" t="s" s="2">
        <v>17</v>
      </c>
      <c r="H3416" t="s" s="2">
        <v>19</v>
      </c>
      <c r="I3416" t="s" s="2">
        <v>13330</v>
      </c>
      <c r="J3416" t="s" s="2">
        <v>13331</v>
      </c>
      <c r="K3416" t="s" s="2">
        <v>22</v>
      </c>
      <c r="L3416" t="s" s="2">
        <v>22</v>
      </c>
      <c r="M3416" t="s" s="2">
        <v>22</v>
      </c>
    </row>
    <row r="3417" ht="25.0" customHeight="true">
      <c r="A3417" t="s" s="2">
        <v>13</v>
      </c>
      <c r="B3417" t="s" s="2">
        <f>HYPERLINK("http://ts.21cn.com/tousu/show/id/1370472","爆通讯录威胁恐吓")</f>
      </c>
      <c r="C3417" t="s" s="2">
        <v>15</v>
      </c>
      <c r="D3417" t="s" s="2">
        <v>16</v>
      </c>
      <c r="E3417" t="s" s="2">
        <v>17</v>
      </c>
      <c r="F3417" t="s" s="2">
        <f>HYPERLINK("http://ts.21cn.com/tousu/show/id/1370472","http://ts.21cn.com/tousu/show/id/1370472")</f>
      </c>
      <c r="G3417" t="s" s="2">
        <v>17</v>
      </c>
      <c r="H3417" t="s" s="2">
        <v>19</v>
      </c>
      <c r="I3417" t="s" s="2">
        <v>13334</v>
      </c>
      <c r="J3417" t="s" s="2">
        <v>13335</v>
      </c>
      <c r="K3417" t="s" s="2">
        <v>22</v>
      </c>
      <c r="L3417" t="s" s="2">
        <v>22</v>
      </c>
      <c r="M3417" t="s" s="2">
        <v>22</v>
      </c>
    </row>
    <row r="3418" ht="25.0" customHeight="true">
      <c r="A3418" t="s" s="2">
        <v>13</v>
      </c>
      <c r="B3418" t="s" s="2">
        <f>HYPERLINK("http://ts.21cn.com/tousu/show/id/1370471","凡普信贷公司砍头息，套路贷，暴力催收")</f>
      </c>
      <c r="C3418" t="s" s="2">
        <v>15</v>
      </c>
      <c r="D3418" t="s" s="2">
        <v>16</v>
      </c>
      <c r="E3418" t="s" s="2">
        <v>17</v>
      </c>
      <c r="F3418" t="s" s="2">
        <f>HYPERLINK("http://ts.21cn.com/tousu/show/id/1370471","http://ts.21cn.com/tousu/show/id/1370471")</f>
      </c>
      <c r="G3418" t="s" s="2">
        <v>17</v>
      </c>
      <c r="H3418" t="s" s="2">
        <v>19</v>
      </c>
      <c r="I3418" t="s" s="2">
        <v>13338</v>
      </c>
      <c r="J3418" t="s" s="2">
        <v>13339</v>
      </c>
      <c r="K3418" t="s" s="2">
        <v>22</v>
      </c>
      <c r="L3418" t="s" s="2">
        <v>22</v>
      </c>
      <c r="M3418" t="s" s="2">
        <v>22</v>
      </c>
    </row>
    <row r="3419" ht="25.0" customHeight="true">
      <c r="A3419" t="s" s="2">
        <v>13</v>
      </c>
      <c r="B3419" t="s" s="2">
        <f>HYPERLINK("http://ts.21cn.com/tousu/show/id/1370470","被绑架扣款")</f>
      </c>
      <c r="C3419" t="s" s="2">
        <v>15</v>
      </c>
      <c r="D3419" t="s" s="2">
        <v>16</v>
      </c>
      <c r="E3419" t="s" s="2">
        <v>17</v>
      </c>
      <c r="F3419" t="s" s="2">
        <f>HYPERLINK("http://ts.21cn.com/tousu/show/id/1370470","http://ts.21cn.com/tousu/show/id/1370470")</f>
      </c>
      <c r="G3419" t="s" s="2">
        <v>17</v>
      </c>
      <c r="H3419" t="s" s="2">
        <v>19</v>
      </c>
      <c r="I3419" t="s" s="2">
        <v>13342</v>
      </c>
      <c r="J3419" t="s" s="2">
        <v>13343</v>
      </c>
      <c r="K3419" t="s" s="2">
        <v>22</v>
      </c>
      <c r="L3419" t="s" s="2">
        <v>22</v>
      </c>
      <c r="M3419" t="s" s="2">
        <v>22</v>
      </c>
    </row>
    <row r="3420" ht="25.0" customHeight="true">
      <c r="A3420" t="s" s="2">
        <v>13</v>
      </c>
      <c r="B3420" t="s" s="2">
        <f>HYPERLINK("http://ts.21cn.com/tousu/show/id/1370469","拍拍贷高利贷，暴力催收导致我2次丢工作")</f>
      </c>
      <c r="C3420" t="s" s="2">
        <v>15</v>
      </c>
      <c r="D3420" t="s" s="2">
        <v>16</v>
      </c>
      <c r="E3420" t="s" s="2">
        <v>17</v>
      </c>
      <c r="F3420" t="s" s="2">
        <f>HYPERLINK("http://ts.21cn.com/tousu/show/id/1370469","http://ts.21cn.com/tousu/show/id/1370469")</f>
      </c>
      <c r="G3420" t="s" s="2">
        <v>17</v>
      </c>
      <c r="H3420" t="s" s="2">
        <v>19</v>
      </c>
      <c r="I3420" t="s" s="2">
        <v>13346</v>
      </c>
      <c r="J3420" t="s" s="2">
        <v>13347</v>
      </c>
      <c r="K3420" t="s" s="2">
        <v>22</v>
      </c>
      <c r="L3420" t="s" s="2">
        <v>22</v>
      </c>
      <c r="M3420" t="s" s="2">
        <v>22</v>
      </c>
    </row>
    <row r="3421" ht="25.0" customHeight="true">
      <c r="A3421" t="s" s="2">
        <v>13</v>
      </c>
      <c r="B3421" t="s" s="2">
        <f>HYPERLINK("http://ts.21cn.com/tousu/show/id/1370464","交易猫买家收到货后，发起恶意仲裁，交易猫客服同谋买家一起欺诈")</f>
      </c>
      <c r="C3421" t="s" s="2">
        <v>15</v>
      </c>
      <c r="D3421" t="s" s="2">
        <v>16</v>
      </c>
      <c r="E3421" t="s" s="2">
        <v>17</v>
      </c>
      <c r="F3421" t="s" s="2">
        <f>HYPERLINK("http://ts.21cn.com/tousu/show/id/1370464","http://ts.21cn.com/tousu/show/id/1370464")</f>
      </c>
      <c r="G3421" t="s" s="2">
        <v>17</v>
      </c>
      <c r="H3421" t="s" s="2">
        <v>19</v>
      </c>
      <c r="I3421" t="s" s="2">
        <v>13350</v>
      </c>
      <c r="J3421" t="s" s="2">
        <v>13351</v>
      </c>
      <c r="K3421" t="s" s="2">
        <v>22</v>
      </c>
      <c r="L3421" t="s" s="2">
        <v>22</v>
      </c>
      <c r="M3421" t="s" s="2">
        <v>22</v>
      </c>
    </row>
    <row r="3422" ht="25.0" customHeight="true">
      <c r="A3422" t="s" s="2">
        <v>13</v>
      </c>
      <c r="B3422" t="s" s="2">
        <f>HYPERLINK("http://ts.21cn.com/tousu/show/id/1370468","我在易秒分期借款快到还款期app打不开了找不到下载地址")</f>
      </c>
      <c r="C3422" t="s" s="2">
        <v>15</v>
      </c>
      <c r="D3422" t="s" s="2">
        <v>16</v>
      </c>
      <c r="E3422" t="s" s="2">
        <v>17</v>
      </c>
      <c r="F3422" t="s" s="2">
        <f>HYPERLINK("http://ts.21cn.com/tousu/show/id/1370468","http://ts.21cn.com/tousu/show/id/1370468")</f>
      </c>
      <c r="G3422" t="s" s="2">
        <v>17</v>
      </c>
      <c r="H3422" t="s" s="2">
        <v>19</v>
      </c>
      <c r="I3422" t="s" s="2">
        <v>13354</v>
      </c>
      <c r="J3422" t="s" s="2">
        <v>13355</v>
      </c>
      <c r="K3422" t="s" s="2">
        <v>22</v>
      </c>
      <c r="L3422" t="s" s="2">
        <v>22</v>
      </c>
      <c r="M3422" t="s" s="2">
        <v>22</v>
      </c>
    </row>
    <row r="3423" ht="25.0" customHeight="true">
      <c r="A3423" t="s" s="2">
        <v>13</v>
      </c>
      <c r="B3423" t="s" s="2">
        <f>HYPERLINK("http://ts.21cn.com/tousu/show/id/1370467","暴力催收打骚扰电话")</f>
      </c>
      <c r="C3423" t="s" s="2">
        <v>15</v>
      </c>
      <c r="D3423" t="s" s="2">
        <v>16</v>
      </c>
      <c r="E3423" t="s" s="2">
        <v>17</v>
      </c>
      <c r="F3423" t="s" s="2">
        <f>HYPERLINK("http://ts.21cn.com/tousu/show/id/1370467","http://ts.21cn.com/tousu/show/id/1370467")</f>
      </c>
      <c r="G3423" t="s" s="2">
        <v>17</v>
      </c>
      <c r="H3423" t="s" s="2">
        <v>19</v>
      </c>
      <c r="I3423" t="s" s="2">
        <v>13358</v>
      </c>
      <c r="J3423" t="s" s="2">
        <v>13359</v>
      </c>
      <c r="K3423" t="s" s="2">
        <v>22</v>
      </c>
      <c r="L3423" t="s" s="2">
        <v>22</v>
      </c>
      <c r="M3423" t="s" s="2">
        <v>22</v>
      </c>
    </row>
    <row r="3424" ht="25.0" customHeight="true">
      <c r="A3424" t="s" s="2">
        <v>13</v>
      </c>
      <c r="B3424" t="s" s="2">
        <f>HYPERLINK("http://ts.21cn.com/tousu/show/id/1370466","闪银威胁")</f>
      </c>
      <c r="C3424" t="s" s="2">
        <v>15</v>
      </c>
      <c r="D3424" t="s" s="2">
        <v>16</v>
      </c>
      <c r="E3424" t="s" s="2">
        <v>17</v>
      </c>
      <c r="F3424" t="s" s="2">
        <f>HYPERLINK("http://ts.21cn.com/tousu/show/id/1370466","http://ts.21cn.com/tousu/show/id/1370466")</f>
      </c>
      <c r="G3424" t="s" s="2">
        <v>17</v>
      </c>
      <c r="H3424" t="s" s="2">
        <v>19</v>
      </c>
      <c r="I3424" t="s" s="2">
        <v>13362</v>
      </c>
      <c r="J3424" t="s" s="2">
        <v>13363</v>
      </c>
      <c r="K3424" t="s" s="2">
        <v>22</v>
      </c>
      <c r="L3424" t="s" s="2">
        <v>22</v>
      </c>
      <c r="M3424" t="s" s="2">
        <v>22</v>
      </c>
    </row>
    <row r="3425" ht="25.0" customHeight="true">
      <c r="A3425" t="s" s="2">
        <v>13</v>
      </c>
      <c r="B3425" t="s" s="2">
        <f>HYPERLINK("http://ts.21cn.com/tousu/show/id/1370465","易宝支付违规为714套路贷公司提供结算通道，获取暴利违纪违法")</f>
      </c>
      <c r="C3425" t="s" s="2">
        <v>15</v>
      </c>
      <c r="D3425" t="s" s="2">
        <v>16</v>
      </c>
      <c r="E3425" t="s" s="2">
        <v>17</v>
      </c>
      <c r="F3425" t="s" s="2">
        <f>HYPERLINK("http://ts.21cn.com/tousu/show/id/1370465","http://ts.21cn.com/tousu/show/id/1370465")</f>
      </c>
      <c r="G3425" t="s" s="2">
        <v>17</v>
      </c>
      <c r="H3425" t="s" s="2">
        <v>19</v>
      </c>
      <c r="I3425" t="s" s="2">
        <v>13366</v>
      </c>
      <c r="J3425" t="s" s="2">
        <v>13367</v>
      </c>
      <c r="K3425" t="s" s="2">
        <v>22</v>
      </c>
      <c r="L3425" t="s" s="2">
        <v>22</v>
      </c>
      <c r="M3425" t="s" s="2">
        <v>22</v>
      </c>
    </row>
    <row r="3426" ht="25.0" customHeight="true">
      <c r="A3426" t="s" s="2">
        <v>13</v>
      </c>
      <c r="B3426" t="s" s="2">
        <f>HYPERLINK("http://ts.21cn.com/tousu/show/id/1370463","闪电借款暴力催收联系无关人员恐吓威胁")</f>
      </c>
      <c r="C3426" t="s" s="2">
        <v>15</v>
      </c>
      <c r="D3426" t="s" s="2">
        <v>16</v>
      </c>
      <c r="E3426" t="s" s="2">
        <v>17</v>
      </c>
      <c r="F3426" t="s" s="2">
        <f>HYPERLINK("http://ts.21cn.com/tousu/show/id/1370463","http://ts.21cn.com/tousu/show/id/1370463")</f>
      </c>
      <c r="G3426" t="s" s="2">
        <v>17</v>
      </c>
      <c r="H3426" t="s" s="2">
        <v>19</v>
      </c>
      <c r="I3426" t="s" s="2">
        <v>13370</v>
      </c>
      <c r="J3426" t="s" s="2">
        <v>13371</v>
      </c>
      <c r="K3426" t="s" s="2">
        <v>22</v>
      </c>
      <c r="L3426" t="s" s="2">
        <v>22</v>
      </c>
      <c r="M3426" t="s" s="2">
        <v>22</v>
      </c>
    </row>
    <row r="3427" ht="25.0" customHeight="true">
      <c r="A3427" t="s" s="2">
        <v>13</v>
      </c>
      <c r="B3427" t="s" s="2">
        <f>HYPERLINK("http://ts.21cn.com/tousu/show/id/1370462","久富万卡涉嫌高利贷")</f>
      </c>
      <c r="C3427" t="s" s="2">
        <v>15</v>
      </c>
      <c r="D3427" t="s" s="2">
        <v>16</v>
      </c>
      <c r="E3427" t="s" s="2">
        <v>17</v>
      </c>
      <c r="F3427" t="s" s="2">
        <f>HYPERLINK("http://ts.21cn.com/tousu/show/id/1370462","http://ts.21cn.com/tousu/show/id/1370462")</f>
      </c>
      <c r="G3427" t="s" s="2">
        <v>17</v>
      </c>
      <c r="H3427" t="s" s="2">
        <v>19</v>
      </c>
      <c r="I3427" t="s" s="2">
        <v>13374</v>
      </c>
      <c r="J3427" t="s" s="2">
        <v>13375</v>
      </c>
      <c r="K3427" t="s" s="2">
        <v>22</v>
      </c>
      <c r="L3427" t="s" s="2">
        <v>22</v>
      </c>
      <c r="M3427" t="s" s="2">
        <v>22</v>
      </c>
    </row>
    <row r="3428" ht="25.0" customHeight="true">
      <c r="A3428" t="s" s="2">
        <v>13</v>
      </c>
      <c r="B3428" t="s" s="2">
        <f>HYPERLINK("http://ts.21cn.com/tousu/show/id/1370460","好易借")</f>
      </c>
      <c r="C3428" t="s" s="2">
        <v>15</v>
      </c>
      <c r="D3428" t="s" s="2">
        <v>16</v>
      </c>
      <c r="E3428" t="s" s="2">
        <v>17</v>
      </c>
      <c r="F3428" t="s" s="2">
        <f>HYPERLINK("http://ts.21cn.com/tousu/show/id/1370460","http://ts.21cn.com/tousu/show/id/1370460")</f>
      </c>
      <c r="G3428" t="s" s="2">
        <v>17</v>
      </c>
      <c r="H3428" t="s" s="2">
        <v>19</v>
      </c>
      <c r="I3428" t="s" s="2">
        <v>13378</v>
      </c>
      <c r="J3428" t="s" s="2">
        <v>13379</v>
      </c>
      <c r="K3428" t="s" s="2">
        <v>22</v>
      </c>
      <c r="L3428" t="s" s="2">
        <v>22</v>
      </c>
      <c r="M3428" t="s" s="2">
        <v>22</v>
      </c>
    </row>
    <row r="3429" ht="25.0" customHeight="true">
      <c r="A3429" t="s" s="2">
        <v>13</v>
      </c>
      <c r="B3429" t="s" s="2">
        <f>HYPERLINK("http://ts.21cn.com/tousu/show/id/1370450","借贷宝乱象")</f>
      </c>
      <c r="C3429" t="s" s="2">
        <v>15</v>
      </c>
      <c r="D3429" t="s" s="2">
        <v>16</v>
      </c>
      <c r="E3429" t="s" s="2">
        <v>17</v>
      </c>
      <c r="F3429" t="s" s="2">
        <f>HYPERLINK("http://ts.21cn.com/tousu/show/id/1370450","http://ts.21cn.com/tousu/show/id/1370450")</f>
      </c>
      <c r="G3429" t="s" s="2">
        <v>17</v>
      </c>
      <c r="H3429" t="s" s="2">
        <v>19</v>
      </c>
      <c r="I3429" t="s" s="2">
        <v>13382</v>
      </c>
      <c r="J3429" t="s" s="2">
        <v>13383</v>
      </c>
      <c r="K3429" t="s" s="2">
        <v>22</v>
      </c>
      <c r="L3429" t="s" s="2">
        <v>22</v>
      </c>
      <c r="M3429" t="s" s="2">
        <v>22</v>
      </c>
    </row>
    <row r="3430" ht="25.0" customHeight="true">
      <c r="A3430" t="s" s="2">
        <v>13</v>
      </c>
      <c r="B3430" t="s" s="2">
        <f>HYPERLINK("http://ts.21cn.com/tousu/show/id/1370458","网贷")</f>
      </c>
      <c r="C3430" t="s" s="2">
        <v>15</v>
      </c>
      <c r="D3430" t="s" s="2">
        <v>16</v>
      </c>
      <c r="E3430" t="s" s="2">
        <v>17</v>
      </c>
      <c r="F3430" t="s" s="2">
        <f>HYPERLINK("http://ts.21cn.com/tousu/show/id/1370458","http://ts.21cn.com/tousu/show/id/1370458")</f>
      </c>
      <c r="G3430" t="s" s="2">
        <v>17</v>
      </c>
      <c r="H3430" t="s" s="2">
        <v>19</v>
      </c>
      <c r="I3430" t="s" s="2">
        <v>13385</v>
      </c>
      <c r="J3430" t="s" s="2">
        <v>13386</v>
      </c>
      <c r="K3430" t="s" s="2">
        <v>22</v>
      </c>
      <c r="L3430" t="s" s="2">
        <v>22</v>
      </c>
      <c r="M3430" t="s" s="2">
        <v>22</v>
      </c>
    </row>
    <row r="3431" ht="25.0" customHeight="true">
      <c r="A3431" t="s" s="2">
        <v>13</v>
      </c>
      <c r="B3431" t="s" s="2">
        <f>HYPERLINK("http://ts.21cn.com/tousu/show/id/1370452","58安选保证金违法扣除")</f>
      </c>
      <c r="C3431" t="s" s="2">
        <v>15</v>
      </c>
      <c r="D3431" t="s" s="2">
        <v>16</v>
      </c>
      <c r="E3431" t="s" s="2">
        <v>17</v>
      </c>
      <c r="F3431" t="s" s="2">
        <f>HYPERLINK("http://ts.21cn.com/tousu/show/id/1370452","http://ts.21cn.com/tousu/show/id/1370452")</f>
      </c>
      <c r="G3431" t="s" s="2">
        <v>17</v>
      </c>
      <c r="H3431" t="s" s="2">
        <v>19</v>
      </c>
      <c r="I3431" t="s" s="2">
        <v>13389</v>
      </c>
      <c r="J3431" t="s" s="2">
        <v>13390</v>
      </c>
      <c r="K3431" t="s" s="2">
        <v>22</v>
      </c>
      <c r="L3431" t="s" s="2">
        <v>22</v>
      </c>
      <c r="M3431" t="s" s="2">
        <v>22</v>
      </c>
    </row>
    <row r="3432" ht="25.0" customHeight="true">
      <c r="A3432" t="s" s="2">
        <v>13</v>
      </c>
      <c r="B3432" t="s" s="2">
        <f>HYPERLINK("http://ts.21cn.com/tousu/show/id/1370457","高利息")</f>
      </c>
      <c r="C3432" t="s" s="2">
        <v>52</v>
      </c>
      <c r="D3432" t="s" s="2">
        <v>16</v>
      </c>
      <c r="E3432" t="s" s="2">
        <v>17</v>
      </c>
      <c r="F3432" t="s" s="2">
        <f>HYPERLINK("http://ts.21cn.com/tousu/show/id/1370457","http://ts.21cn.com/tousu/show/id/1370457")</f>
      </c>
      <c r="G3432" t="s" s="2">
        <v>17</v>
      </c>
      <c r="H3432" t="s" s="2">
        <v>19</v>
      </c>
      <c r="I3432" t="s" s="2">
        <v>13392</v>
      </c>
      <c r="J3432" t="s" s="2">
        <v>13393</v>
      </c>
      <c r="K3432" t="s" s="2">
        <v>22</v>
      </c>
      <c r="L3432" t="s" s="2">
        <v>22</v>
      </c>
      <c r="M3432" t="s" s="2">
        <v>22</v>
      </c>
    </row>
    <row r="3433" ht="25.0" customHeight="true">
      <c r="A3433" t="s" s="2">
        <v>13</v>
      </c>
      <c r="B3433" t="s" s="2">
        <f>HYPERLINK("http://ts.21cn.com/tousu/show/id/1370455","机场人员误导购买悦诚出行卡")</f>
      </c>
      <c r="C3433" t="s" s="2">
        <v>15</v>
      </c>
      <c r="D3433" t="s" s="2">
        <v>16</v>
      </c>
      <c r="E3433" t="s" s="2">
        <v>17</v>
      </c>
      <c r="F3433" t="s" s="2">
        <f>HYPERLINK("http://ts.21cn.com/tousu/show/id/1370455","http://ts.21cn.com/tousu/show/id/1370455")</f>
      </c>
      <c r="G3433" t="s" s="2">
        <v>17</v>
      </c>
      <c r="H3433" t="s" s="2">
        <v>19</v>
      </c>
      <c r="I3433" t="s" s="2">
        <v>13396</v>
      </c>
      <c r="J3433" t="s" s="2">
        <v>13397</v>
      </c>
      <c r="K3433" t="s" s="2">
        <v>22</v>
      </c>
      <c r="L3433" t="s" s="2">
        <v>22</v>
      </c>
      <c r="M3433" t="s" s="2">
        <v>22</v>
      </c>
    </row>
    <row r="3434" ht="25.0" customHeight="true">
      <c r="A3434" t="s" s="2">
        <v>13</v>
      </c>
      <c r="B3434" t="s" s="2">
        <f>HYPERLINK("http://ts.21cn.com/tousu/show/id/1370454","平台没有平台资质")</f>
      </c>
      <c r="C3434" t="s" s="2">
        <v>15</v>
      </c>
      <c r="D3434" t="s" s="2">
        <v>16</v>
      </c>
      <c r="E3434" t="s" s="2">
        <v>17</v>
      </c>
      <c r="F3434" t="s" s="2">
        <f>HYPERLINK("http://ts.21cn.com/tousu/show/id/1370454","http://ts.21cn.com/tousu/show/id/1370454")</f>
      </c>
      <c r="G3434" t="s" s="2">
        <v>17</v>
      </c>
      <c r="H3434" t="s" s="2">
        <v>19</v>
      </c>
      <c r="I3434" t="s" s="2">
        <v>13400</v>
      </c>
      <c r="J3434" t="s" s="2">
        <v>13401</v>
      </c>
      <c r="K3434" t="s" s="2">
        <v>22</v>
      </c>
      <c r="L3434" t="s" s="2">
        <v>22</v>
      </c>
      <c r="M3434" t="s" s="2">
        <v>22</v>
      </c>
    </row>
    <row r="3435" ht="25.0" customHeight="true">
      <c r="A3435" t="s" s="2">
        <v>13</v>
      </c>
      <c r="B3435" t="s" s="2">
        <f>HYPERLINK("http://ts.21cn.com/tousu/show/id/1370453","新生支付有限公司违规提供支付通道")</f>
      </c>
      <c r="C3435" t="s" s="2">
        <v>15</v>
      </c>
      <c r="D3435" t="s" s="2">
        <v>16</v>
      </c>
      <c r="E3435" t="s" s="2">
        <v>17</v>
      </c>
      <c r="F3435" t="s" s="2">
        <f>HYPERLINK("http://ts.21cn.com/tousu/show/id/1370453","http://ts.21cn.com/tousu/show/id/1370453")</f>
      </c>
      <c r="G3435" t="s" s="2">
        <v>17</v>
      </c>
      <c r="H3435" t="s" s="2">
        <v>19</v>
      </c>
      <c r="I3435" t="s" s="2">
        <v>13404</v>
      </c>
      <c r="J3435" t="s" s="2">
        <v>13405</v>
      </c>
      <c r="K3435" t="s" s="2">
        <v>22</v>
      </c>
      <c r="L3435" t="s" s="2">
        <v>22</v>
      </c>
      <c r="M3435" t="s" s="2">
        <v>22</v>
      </c>
    </row>
    <row r="3436" ht="25.0" customHeight="true">
      <c r="A3436" t="s" s="2">
        <v>13</v>
      </c>
      <c r="B3436" t="s" s="2">
        <f>HYPERLINK("http://ts.21cn.com/tousu/show/id/1370451","贷上钱是高利贷，收取第三方费用变相砍头息")</f>
      </c>
      <c r="C3436" t="s" s="2">
        <v>15</v>
      </c>
      <c r="D3436" t="s" s="2">
        <v>16</v>
      </c>
      <c r="E3436" t="s" s="2">
        <v>17</v>
      </c>
      <c r="F3436" t="s" s="2">
        <f>HYPERLINK("http://ts.21cn.com/tousu/show/id/1370451","http://ts.21cn.com/tousu/show/id/1370451")</f>
      </c>
      <c r="G3436" t="s" s="2">
        <v>17</v>
      </c>
      <c r="H3436" t="s" s="2">
        <v>19</v>
      </c>
      <c r="I3436" t="s" s="2">
        <v>13408</v>
      </c>
      <c r="J3436" t="s" s="2">
        <v>13409</v>
      </c>
      <c r="K3436" t="s" s="2">
        <v>22</v>
      </c>
      <c r="L3436" t="s" s="2">
        <v>22</v>
      </c>
      <c r="M3436" t="s" s="2">
        <v>22</v>
      </c>
    </row>
    <row r="3437" ht="25.0" customHeight="true">
      <c r="A3437" t="s" s="2">
        <v>13</v>
      </c>
      <c r="B3437" t="s" s="2">
        <f>HYPERLINK("http://ts.21cn.com/tousu/show/id/1370443","今日头条抖音存在泄漏公民信息侵犯知识产权")</f>
      </c>
      <c r="C3437" t="s" s="2">
        <v>15</v>
      </c>
      <c r="D3437" t="s" s="2">
        <v>16</v>
      </c>
      <c r="E3437" t="s" s="2">
        <v>17</v>
      </c>
      <c r="F3437" t="s" s="2">
        <f>HYPERLINK("http://ts.21cn.com/tousu/show/id/1370443","http://ts.21cn.com/tousu/show/id/1370443")</f>
      </c>
      <c r="G3437" t="s" s="2">
        <v>17</v>
      </c>
      <c r="H3437" t="s" s="2">
        <v>19</v>
      </c>
      <c r="I3437" t="s" s="2">
        <v>13412</v>
      </c>
      <c r="J3437" t="s" s="2">
        <v>13413</v>
      </c>
      <c r="K3437" t="s" s="2">
        <v>22</v>
      </c>
      <c r="L3437" t="s" s="2">
        <v>22</v>
      </c>
      <c r="M3437" t="s" s="2">
        <v>22</v>
      </c>
    </row>
    <row r="3438" ht="25.0" customHeight="true">
      <c r="A3438" t="s" s="2">
        <v>13</v>
      </c>
      <c r="B3438" t="s" s="2">
        <f>HYPERLINK("http://ts.21cn.com/tousu/show/id/1370449","太平洋保险公司套路")</f>
      </c>
      <c r="C3438" t="s" s="2">
        <v>15</v>
      </c>
      <c r="D3438" t="s" s="2">
        <v>16</v>
      </c>
      <c r="E3438" t="s" s="2">
        <v>17</v>
      </c>
      <c r="F3438" t="s" s="2">
        <f>HYPERLINK("http://ts.21cn.com/tousu/show/id/1370449","http://ts.21cn.com/tousu/show/id/1370449")</f>
      </c>
      <c r="G3438" t="s" s="2">
        <v>17</v>
      </c>
      <c r="H3438" t="s" s="2">
        <v>19</v>
      </c>
      <c r="I3438" t="s" s="2">
        <v>13416</v>
      </c>
      <c r="J3438" t="s" s="2">
        <v>13417</v>
      </c>
      <c r="K3438" t="s" s="2">
        <v>22</v>
      </c>
      <c r="L3438" t="s" s="2">
        <v>22</v>
      </c>
      <c r="M3438" t="s" s="2">
        <v>22</v>
      </c>
    </row>
    <row r="3439" ht="25.0" customHeight="true">
      <c r="A3439" t="s" s="2">
        <v>13</v>
      </c>
      <c r="B3439" t="s" s="2">
        <f>HYPERLINK("http://ts.21cn.com/tousu/show/id/1370448","小树时代不退还保证金")</f>
      </c>
      <c r="C3439" t="s" s="2">
        <v>15</v>
      </c>
      <c r="D3439" t="s" s="2">
        <v>16</v>
      </c>
      <c r="E3439" t="s" s="2">
        <v>17</v>
      </c>
      <c r="F3439" t="s" s="2">
        <f>HYPERLINK("http://ts.21cn.com/tousu/show/id/1370448","http://ts.21cn.com/tousu/show/id/1370448")</f>
      </c>
      <c r="G3439" t="s" s="2">
        <v>17</v>
      </c>
      <c r="H3439" t="s" s="2">
        <v>19</v>
      </c>
      <c r="I3439" t="s" s="2">
        <v>13420</v>
      </c>
      <c r="J3439" t="s" s="2">
        <v>13421</v>
      </c>
      <c r="K3439" t="s" s="2">
        <v>22</v>
      </c>
      <c r="L3439" t="s" s="2">
        <v>22</v>
      </c>
      <c r="M3439" t="s" s="2">
        <v>22</v>
      </c>
    </row>
    <row r="3440" ht="25.0" customHeight="true">
      <c r="A3440" t="s" s="2">
        <v>13</v>
      </c>
      <c r="B3440" t="s" s="2">
        <f>HYPERLINK("http://ts.21cn.com/tousu/show/id/1370447","高利贷")</f>
      </c>
      <c r="C3440" t="s" s="2">
        <v>15</v>
      </c>
      <c r="D3440" t="s" s="2">
        <v>16</v>
      </c>
      <c r="E3440" t="s" s="2">
        <v>17</v>
      </c>
      <c r="F3440" t="s" s="2">
        <f>HYPERLINK("http://ts.21cn.com/tousu/show/id/1370447","http://ts.21cn.com/tousu/show/id/1370447")</f>
      </c>
      <c r="G3440" t="s" s="2">
        <v>17</v>
      </c>
      <c r="H3440" t="s" s="2">
        <v>19</v>
      </c>
      <c r="I3440" t="s" s="2">
        <v>13423</v>
      </c>
      <c r="J3440" t="s" s="2">
        <v>13424</v>
      </c>
      <c r="K3440" t="s" s="2">
        <v>22</v>
      </c>
      <c r="L3440" t="s" s="2">
        <v>22</v>
      </c>
      <c r="M3440" t="s" s="2">
        <v>22</v>
      </c>
    </row>
    <row r="3441" ht="25.0" customHeight="true">
      <c r="A3441" t="s" s="2">
        <v>13</v>
      </c>
      <c r="B3441" t="s" s="2">
        <f>HYPERLINK("http://ts.21cn.com/tousu/show/id/1370446","易宝支付目无法纪，与714高炮合作提供砍头息结算通道，非法获取暴利")</f>
      </c>
      <c r="C3441" t="s" s="2">
        <v>15</v>
      </c>
      <c r="D3441" t="s" s="2">
        <v>16</v>
      </c>
      <c r="E3441" t="s" s="2">
        <v>17</v>
      </c>
      <c r="F3441" t="s" s="2">
        <f>HYPERLINK("http://ts.21cn.com/tousu/show/id/1370446","http://ts.21cn.com/tousu/show/id/1370446")</f>
      </c>
      <c r="G3441" t="s" s="2">
        <v>17</v>
      </c>
      <c r="H3441" t="s" s="2">
        <v>19</v>
      </c>
      <c r="I3441" t="s" s="2">
        <v>13427</v>
      </c>
      <c r="J3441" t="s" s="2">
        <v>13428</v>
      </c>
      <c r="K3441" t="s" s="2">
        <v>22</v>
      </c>
      <c r="L3441" t="s" s="2">
        <v>22</v>
      </c>
      <c r="M3441" t="s" s="2">
        <v>22</v>
      </c>
    </row>
    <row r="3442" ht="25.0" customHeight="true">
      <c r="A3442" t="s" s="2">
        <v>13</v>
      </c>
      <c r="B3442" t="s" s="2">
        <f>HYPERLINK("http://ts.21cn.com/tousu/show/id/1370445","合同欺诈，私自扣款")</f>
      </c>
      <c r="C3442" t="s" s="2">
        <v>15</v>
      </c>
      <c r="D3442" t="s" s="2">
        <v>16</v>
      </c>
      <c r="E3442" t="s" s="2">
        <v>17</v>
      </c>
      <c r="F3442" t="s" s="2">
        <f>HYPERLINK("http://ts.21cn.com/tousu/show/id/1370445","http://ts.21cn.com/tousu/show/id/1370445")</f>
      </c>
      <c r="G3442" t="s" s="2">
        <v>17</v>
      </c>
      <c r="H3442" t="s" s="2">
        <v>19</v>
      </c>
      <c r="I3442" t="s" s="2">
        <v>13430</v>
      </c>
      <c r="J3442" t="s" s="2">
        <v>13431</v>
      </c>
      <c r="K3442" t="s" s="2">
        <v>22</v>
      </c>
      <c r="L3442" t="s" s="2">
        <v>22</v>
      </c>
      <c r="M3442" t="s" s="2">
        <v>22</v>
      </c>
    </row>
    <row r="3443" ht="25.0" customHeight="true">
      <c r="A3443" t="s" s="2">
        <v>13</v>
      </c>
      <c r="B3443" t="s" s="2">
        <f>HYPERLINK("http://ts.21cn.com/tousu/show/id/1370441","平安口袋商城的sony标明是可以七天无理由退货，退货时却被告知只要拆封包装就不能退")</f>
      </c>
      <c r="C3443" t="s" s="2">
        <v>15</v>
      </c>
      <c r="D3443" t="s" s="2">
        <v>16</v>
      </c>
      <c r="E3443" t="s" s="2">
        <v>17</v>
      </c>
      <c r="F3443" t="s" s="2">
        <f>HYPERLINK("http://ts.21cn.com/tousu/show/id/1370441","http://ts.21cn.com/tousu/show/id/1370441")</f>
      </c>
      <c r="G3443" t="s" s="2">
        <v>17</v>
      </c>
      <c r="H3443" t="s" s="2">
        <v>19</v>
      </c>
      <c r="I3443" t="s" s="2">
        <v>13434</v>
      </c>
      <c r="J3443" t="s" s="2">
        <v>13435</v>
      </c>
      <c r="K3443" t="s" s="2">
        <v>22</v>
      </c>
      <c r="L3443" t="s" s="2">
        <v>22</v>
      </c>
      <c r="M3443" t="s" s="2">
        <v>22</v>
      </c>
    </row>
    <row r="3444" ht="25.0" customHeight="true">
      <c r="A3444" t="s" s="2">
        <v>13</v>
      </c>
      <c r="B3444" t="s" s="2">
        <f>HYPERLINK("http://ts.21cn.com/tousu/show/id/1370440","现控达人恶意逾期")</f>
      </c>
      <c r="C3444" t="s" s="2">
        <v>15</v>
      </c>
      <c r="D3444" t="s" s="2">
        <v>16</v>
      </c>
      <c r="E3444" t="s" s="2">
        <v>17</v>
      </c>
      <c r="F3444" t="s" s="2">
        <f>HYPERLINK("http://ts.21cn.com/tousu/show/id/1370440","http://ts.21cn.com/tousu/show/id/1370440")</f>
      </c>
      <c r="G3444" t="s" s="2">
        <v>17</v>
      </c>
      <c r="H3444" t="s" s="2">
        <v>19</v>
      </c>
      <c r="I3444" t="s" s="2">
        <v>13438</v>
      </c>
      <c r="J3444" t="s" s="2">
        <v>13439</v>
      </c>
      <c r="K3444" t="s" s="2">
        <v>22</v>
      </c>
      <c r="L3444" t="s" s="2">
        <v>22</v>
      </c>
      <c r="M3444" t="s" s="2">
        <v>22</v>
      </c>
    </row>
    <row r="3445" ht="25.0" customHeight="true">
      <c r="A3445" t="s" s="2">
        <v>13</v>
      </c>
      <c r="B3445" t="s" s="2">
        <f>HYPERLINK("http://ts.21cn.com/tousu/show/id/1370439","处处软件涉嫌引导诱惑消费者消费")</f>
      </c>
      <c r="C3445" t="s" s="2">
        <v>15</v>
      </c>
      <c r="D3445" t="s" s="2">
        <v>16</v>
      </c>
      <c r="E3445" t="s" s="2">
        <v>17</v>
      </c>
      <c r="F3445" t="s" s="2">
        <f>HYPERLINK("http://ts.21cn.com/tousu/show/id/1370439","http://ts.21cn.com/tousu/show/id/1370439")</f>
      </c>
      <c r="G3445" t="s" s="2">
        <v>17</v>
      </c>
      <c r="H3445" t="s" s="2">
        <v>19</v>
      </c>
      <c r="I3445" t="s" s="2">
        <v>13441</v>
      </c>
      <c r="J3445" t="s" s="2">
        <v>13442</v>
      </c>
      <c r="K3445" t="s" s="2">
        <v>22</v>
      </c>
      <c r="L3445" t="s" s="2">
        <v>22</v>
      </c>
      <c r="M3445" t="s" s="2">
        <v>22</v>
      </c>
    </row>
    <row r="3446" ht="25.0" customHeight="true">
      <c r="A3446" t="s" s="2">
        <v>13</v>
      </c>
      <c r="B3446" t="s" s="2">
        <f>HYPERLINK("http://ts.21cn.com/tousu/show/id/1370438","招联金融")</f>
      </c>
      <c r="C3446" t="s" s="2">
        <v>15</v>
      </c>
      <c r="D3446" t="s" s="2">
        <v>16</v>
      </c>
      <c r="E3446" t="s" s="2">
        <v>17</v>
      </c>
      <c r="F3446" t="s" s="2">
        <f>HYPERLINK("http://ts.21cn.com/tousu/show/id/1370438","http://ts.21cn.com/tousu/show/id/1370438")</f>
      </c>
      <c r="G3446" t="s" s="2">
        <v>17</v>
      </c>
      <c r="H3446" t="s" s="2">
        <v>19</v>
      </c>
      <c r="I3446" t="s" s="2">
        <v>13444</v>
      </c>
      <c r="J3446" t="s" s="2">
        <v>13445</v>
      </c>
      <c r="K3446" t="s" s="2">
        <v>22</v>
      </c>
      <c r="L3446" t="s" s="2">
        <v>22</v>
      </c>
      <c r="M3446" t="s" s="2">
        <v>22</v>
      </c>
    </row>
    <row r="3447" ht="25.0" customHeight="true">
      <c r="A3447" t="s" s="2">
        <v>13</v>
      </c>
      <c r="B3447" t="s" s="2">
        <f>HYPERLINK("http://ts.21cn.com/tousu/show/id/1370437","抖音侵犯知识产权泄漏公民信息")</f>
      </c>
      <c r="C3447" t="s" s="2">
        <v>15</v>
      </c>
      <c r="D3447" t="s" s="2">
        <v>16</v>
      </c>
      <c r="E3447" t="s" s="2">
        <v>17</v>
      </c>
      <c r="F3447" t="s" s="2">
        <f>HYPERLINK("http://ts.21cn.com/tousu/show/id/1370437","http://ts.21cn.com/tousu/show/id/1370437")</f>
      </c>
      <c r="G3447" t="s" s="2">
        <v>17</v>
      </c>
      <c r="H3447" t="s" s="2">
        <v>19</v>
      </c>
      <c r="I3447" t="s" s="2">
        <v>13448</v>
      </c>
      <c r="J3447" t="s" s="2">
        <v>13449</v>
      </c>
      <c r="K3447" t="s" s="2">
        <v>22</v>
      </c>
      <c r="L3447" t="s" s="2">
        <v>22</v>
      </c>
      <c r="M3447" t="s" s="2">
        <v>22</v>
      </c>
    </row>
    <row r="3448" ht="25.0" customHeight="true">
      <c r="A3448" t="s" s="2">
        <v>13</v>
      </c>
      <c r="B3448" t="s" s="2">
        <f>HYPERLINK("http://ts.21cn.com/tousu/show/id/1370436","拍拍贷高利贷行为")</f>
      </c>
      <c r="C3448" t="s" s="2">
        <v>15</v>
      </c>
      <c r="D3448" t="s" s="2">
        <v>16</v>
      </c>
      <c r="E3448" t="s" s="2">
        <v>17</v>
      </c>
      <c r="F3448" t="s" s="2">
        <f>HYPERLINK("http://ts.21cn.com/tousu/show/id/1370436","http://ts.21cn.com/tousu/show/id/1370436")</f>
      </c>
      <c r="G3448" t="s" s="2">
        <v>17</v>
      </c>
      <c r="H3448" t="s" s="2">
        <v>19</v>
      </c>
      <c r="I3448" t="s" s="2">
        <v>13452</v>
      </c>
      <c r="J3448" t="s" s="2">
        <v>13453</v>
      </c>
      <c r="K3448" t="s" s="2">
        <v>22</v>
      </c>
      <c r="L3448" t="s" s="2">
        <v>22</v>
      </c>
      <c r="M3448" t="s" s="2">
        <v>22</v>
      </c>
    </row>
    <row r="3449" ht="25.0" customHeight="true">
      <c r="A3449" t="s" s="2">
        <v>13</v>
      </c>
      <c r="B3449" t="s" s="2">
        <f>HYPERLINK("http://ts.21cn.com/tousu/show/id/1370435","高额利息")</f>
      </c>
      <c r="C3449" t="s" s="2">
        <v>15</v>
      </c>
      <c r="D3449" t="s" s="2">
        <v>16</v>
      </c>
      <c r="E3449" t="s" s="2">
        <v>17</v>
      </c>
      <c r="F3449" t="s" s="2">
        <f>HYPERLINK("http://ts.21cn.com/tousu/show/id/1370435","http://ts.21cn.com/tousu/show/id/1370435")</f>
      </c>
      <c r="G3449" t="s" s="2">
        <v>17</v>
      </c>
      <c r="H3449" t="s" s="2">
        <v>19</v>
      </c>
      <c r="I3449" t="s" s="2">
        <v>13456</v>
      </c>
      <c r="J3449" t="s" s="2">
        <v>13457</v>
      </c>
      <c r="K3449" t="s" s="2">
        <v>22</v>
      </c>
      <c r="L3449" t="s" s="2">
        <v>22</v>
      </c>
      <c r="M3449" t="s" s="2">
        <v>22</v>
      </c>
    </row>
    <row r="3450" ht="25.0" customHeight="true">
      <c r="A3450" t="s" s="2">
        <v>13</v>
      </c>
      <c r="B3450" t="s" s="2">
        <f>HYPERLINK("http://ts.21cn.com/tousu/show/id/1370434","钱站暴力催收")</f>
      </c>
      <c r="C3450" t="s" s="2">
        <v>15</v>
      </c>
      <c r="D3450" t="s" s="2">
        <v>16</v>
      </c>
      <c r="E3450" t="s" s="2">
        <v>17</v>
      </c>
      <c r="F3450" t="s" s="2">
        <f>HYPERLINK("http://ts.21cn.com/tousu/show/id/1370434","http://ts.21cn.com/tousu/show/id/1370434")</f>
      </c>
      <c r="G3450" t="s" s="2">
        <v>17</v>
      </c>
      <c r="H3450" t="s" s="2">
        <v>19</v>
      </c>
      <c r="I3450" t="s" s="2">
        <v>13459</v>
      </c>
      <c r="J3450" t="s" s="2">
        <v>13460</v>
      </c>
      <c r="K3450" t="s" s="2">
        <v>22</v>
      </c>
      <c r="L3450" t="s" s="2">
        <v>22</v>
      </c>
      <c r="M3450" t="s" s="2">
        <v>22</v>
      </c>
    </row>
    <row r="3451" ht="25.0" customHeight="true">
      <c r="A3451" t="s" s="2">
        <v>13</v>
      </c>
      <c r="B3451" t="s" s="2">
        <f>HYPERLINK("http://ts.21cn.com/tousu/show/id/1370433","高利贷")</f>
      </c>
      <c r="C3451" t="s" s="2">
        <v>15</v>
      </c>
      <c r="D3451" t="s" s="2">
        <v>16</v>
      </c>
      <c r="E3451" t="s" s="2">
        <v>17</v>
      </c>
      <c r="F3451" t="s" s="2">
        <f>HYPERLINK("http://ts.21cn.com/tousu/show/id/1370433","http://ts.21cn.com/tousu/show/id/1370433")</f>
      </c>
      <c r="G3451" t="s" s="2">
        <v>17</v>
      </c>
      <c r="H3451" t="s" s="2">
        <v>19</v>
      </c>
      <c r="I3451" t="s" s="2">
        <v>13462</v>
      </c>
      <c r="J3451" t="s" s="2">
        <v>13463</v>
      </c>
      <c r="K3451" t="s" s="2">
        <v>22</v>
      </c>
      <c r="L3451" t="s" s="2">
        <v>22</v>
      </c>
      <c r="M3451" t="s" s="2">
        <v>22</v>
      </c>
    </row>
    <row r="3452" ht="25.0" customHeight="true">
      <c r="A3452" t="s" s="2">
        <v>13</v>
      </c>
      <c r="B3452" t="s" s="2">
        <f>HYPERLINK("http://ts.21cn.com/tousu/show/id/1370432","提前还款收取全部利息")</f>
      </c>
      <c r="C3452" t="s" s="2">
        <v>15</v>
      </c>
      <c r="D3452" t="s" s="2">
        <v>16</v>
      </c>
      <c r="E3452" t="s" s="2">
        <v>17</v>
      </c>
      <c r="F3452" t="s" s="2">
        <f>HYPERLINK("http://ts.21cn.com/tousu/show/id/1370432","http://ts.21cn.com/tousu/show/id/1370432")</f>
      </c>
      <c r="G3452" t="s" s="2">
        <v>17</v>
      </c>
      <c r="H3452" t="s" s="2">
        <v>19</v>
      </c>
      <c r="I3452" t="s" s="2">
        <v>13466</v>
      </c>
      <c r="J3452" t="s" s="2">
        <v>13467</v>
      </c>
      <c r="K3452" t="s" s="2">
        <v>22</v>
      </c>
      <c r="L3452" t="s" s="2">
        <v>22</v>
      </c>
      <c r="M3452" t="s" s="2">
        <v>22</v>
      </c>
    </row>
    <row r="3453" ht="25.0" customHeight="true">
      <c r="A3453" t="s" s="2">
        <v>13</v>
      </c>
      <c r="B3453" t="s" s="2">
        <f>HYPERLINK("http://ts.21cn.com/tousu/show/id/1370431","玖富万卡取消放款")</f>
      </c>
      <c r="C3453" t="s" s="2">
        <v>15</v>
      </c>
      <c r="D3453" t="s" s="2">
        <v>16</v>
      </c>
      <c r="E3453" t="s" s="2">
        <v>17</v>
      </c>
      <c r="F3453" t="s" s="2">
        <f>HYPERLINK("http://ts.21cn.com/tousu/show/id/1370431","http://ts.21cn.com/tousu/show/id/1370431")</f>
      </c>
      <c r="G3453" t="s" s="2">
        <v>17</v>
      </c>
      <c r="H3453" t="s" s="2">
        <v>19</v>
      </c>
      <c r="I3453" t="s" s="2">
        <v>13470</v>
      </c>
      <c r="J3453" t="s" s="2">
        <v>13471</v>
      </c>
      <c r="K3453" t="s" s="2">
        <v>22</v>
      </c>
      <c r="L3453" t="s" s="2">
        <v>22</v>
      </c>
      <c r="M3453" t="s" s="2">
        <v>22</v>
      </c>
    </row>
    <row r="3454" ht="25.0" customHeight="true">
      <c r="A3454" t="s" s="2">
        <v>13</v>
      </c>
      <c r="B3454" t="s" s="2">
        <f>HYPERLINK("http://ts.21cn.com/tousu/show/id/1370430","在正常还款期内结清了贷款，征信上却出现了担保代偿")</f>
      </c>
      <c r="C3454" t="s" s="2">
        <v>15</v>
      </c>
      <c r="D3454" t="s" s="2">
        <v>16</v>
      </c>
      <c r="E3454" t="s" s="2">
        <v>17</v>
      </c>
      <c r="F3454" t="s" s="2">
        <f>HYPERLINK("http://ts.21cn.com/tousu/show/id/1370430","http://ts.21cn.com/tousu/show/id/1370430")</f>
      </c>
      <c r="G3454" t="s" s="2">
        <v>17</v>
      </c>
      <c r="H3454" t="s" s="2">
        <v>19</v>
      </c>
      <c r="I3454" t="s" s="2">
        <v>13474</v>
      </c>
      <c r="J3454" t="s" s="2">
        <v>13475</v>
      </c>
      <c r="K3454" t="s" s="2">
        <v>22</v>
      </c>
      <c r="L3454" t="s" s="2">
        <v>22</v>
      </c>
      <c r="M3454" t="s" s="2">
        <v>22</v>
      </c>
    </row>
    <row r="3455" ht="25.0" customHeight="true">
      <c r="A3455" t="s" s="2">
        <v>13</v>
      </c>
      <c r="B3455" t="s" s="2">
        <f>HYPERLINK("http://ts.21cn.com/tousu/show/id/1370429","暴力催收")</f>
      </c>
      <c r="C3455" t="s" s="2">
        <v>15</v>
      </c>
      <c r="D3455" t="s" s="2">
        <v>16</v>
      </c>
      <c r="E3455" t="s" s="2">
        <v>17</v>
      </c>
      <c r="F3455" t="s" s="2">
        <f>HYPERLINK("http://ts.21cn.com/tousu/show/id/1370429","http://ts.21cn.com/tousu/show/id/1370429")</f>
      </c>
      <c r="G3455" t="s" s="2">
        <v>17</v>
      </c>
      <c r="H3455" t="s" s="2">
        <v>19</v>
      </c>
      <c r="I3455" t="s" s="2">
        <v>13477</v>
      </c>
      <c r="J3455" t="s" s="2">
        <v>13478</v>
      </c>
      <c r="K3455" t="s" s="2">
        <v>22</v>
      </c>
      <c r="L3455" t="s" s="2">
        <v>22</v>
      </c>
      <c r="M3455" t="s" s="2">
        <v>22</v>
      </c>
    </row>
    <row r="3456" ht="25.0" customHeight="true">
      <c r="A3456" t="s" s="2">
        <v>13</v>
      </c>
      <c r="B3456" t="s" s="2">
        <f>HYPERLINK("http://ts.21cn.com/tousu/show/id/1370427","maka诱导用户消费，被扣一年会员费328元")</f>
      </c>
      <c r="C3456" t="s" s="2">
        <v>15</v>
      </c>
      <c r="D3456" t="s" s="2">
        <v>16</v>
      </c>
      <c r="E3456" t="s" s="2">
        <v>17</v>
      </c>
      <c r="F3456" t="s" s="2">
        <f>HYPERLINK("http://ts.21cn.com/tousu/show/id/1370427","http://ts.21cn.com/tousu/show/id/1370427")</f>
      </c>
      <c r="G3456" t="s" s="2">
        <v>17</v>
      </c>
      <c r="H3456" t="s" s="2">
        <v>19</v>
      </c>
      <c r="I3456" t="s" s="2">
        <v>13481</v>
      </c>
      <c r="J3456" t="s" s="2">
        <v>13482</v>
      </c>
      <c r="K3456" t="s" s="2">
        <v>22</v>
      </c>
      <c r="L3456" t="s" s="2">
        <v>22</v>
      </c>
      <c r="M3456" t="s" s="2">
        <v>22</v>
      </c>
    </row>
    <row r="3457" ht="25.0" customHeight="true">
      <c r="A3457" t="s" s="2">
        <v>13</v>
      </c>
      <c r="B3457" t="s" s="2">
        <f>HYPERLINK("http://ts.21cn.com/tousu/show/id/1370426","钱站修改合同金额")</f>
      </c>
      <c r="C3457" t="s" s="2">
        <v>15</v>
      </c>
      <c r="D3457" t="s" s="2">
        <v>16</v>
      </c>
      <c r="E3457" t="s" s="2">
        <v>17</v>
      </c>
      <c r="F3457" t="s" s="2">
        <f>HYPERLINK("http://ts.21cn.com/tousu/show/id/1370426","http://ts.21cn.com/tousu/show/id/1370426")</f>
      </c>
      <c r="G3457" t="s" s="2">
        <v>17</v>
      </c>
      <c r="H3457" t="s" s="2">
        <v>19</v>
      </c>
      <c r="I3457" t="s" s="2">
        <v>13485</v>
      </c>
      <c r="J3457" t="s" s="2">
        <v>13486</v>
      </c>
      <c r="K3457" t="s" s="2">
        <v>22</v>
      </c>
      <c r="L3457" t="s" s="2">
        <v>22</v>
      </c>
      <c r="M3457" t="s" s="2">
        <v>22</v>
      </c>
    </row>
    <row r="3458" ht="25.0" customHeight="true">
      <c r="A3458" t="s" s="2">
        <v>13</v>
      </c>
      <c r="B3458" t="s" s="2">
        <f>HYPERLINK("http://ts.21cn.com/tousu/show/id/1370425","超利贷，假合同，")</f>
      </c>
      <c r="C3458" t="s" s="2">
        <v>15</v>
      </c>
      <c r="D3458" t="s" s="2">
        <v>16</v>
      </c>
      <c r="E3458" t="s" s="2">
        <v>17</v>
      </c>
      <c r="F3458" t="s" s="2">
        <f>HYPERLINK("http://ts.21cn.com/tousu/show/id/1370425","http://ts.21cn.com/tousu/show/id/1370425")</f>
      </c>
      <c r="G3458" t="s" s="2">
        <v>17</v>
      </c>
      <c r="H3458" t="s" s="2">
        <v>19</v>
      </c>
      <c r="I3458" t="s" s="2">
        <v>13489</v>
      </c>
      <c r="J3458" t="s" s="2">
        <v>13490</v>
      </c>
      <c r="K3458" t="s" s="2">
        <v>22</v>
      </c>
      <c r="L3458" t="s" s="2">
        <v>22</v>
      </c>
      <c r="M3458" t="s" s="2">
        <v>22</v>
      </c>
    </row>
    <row r="3459" ht="25.0" customHeight="true">
      <c r="A3459" t="s" s="2">
        <v>13</v>
      </c>
      <c r="B3459" t="s" s="2">
        <f>HYPERLINK("http://ts.21cn.com/tousu/show/id/1370423","96小时还不给到账")</f>
      </c>
      <c r="C3459" t="s" s="2">
        <v>52</v>
      </c>
      <c r="D3459" t="s" s="2">
        <v>16</v>
      </c>
      <c r="E3459" t="s" s="2">
        <v>17</v>
      </c>
      <c r="F3459" t="s" s="2">
        <f>HYPERLINK("http://ts.21cn.com/tousu/show/id/1370423","http://ts.21cn.com/tousu/show/id/1370423")</f>
      </c>
      <c r="G3459" t="s" s="2">
        <v>17</v>
      </c>
      <c r="H3459" t="s" s="2">
        <v>19</v>
      </c>
      <c r="I3459" t="s" s="2">
        <v>13493</v>
      </c>
      <c r="J3459" t="s" s="2">
        <v>13494</v>
      </c>
      <c r="K3459" t="s" s="2">
        <v>22</v>
      </c>
      <c r="L3459" t="s" s="2">
        <v>22</v>
      </c>
      <c r="M3459" t="s" s="2">
        <v>22</v>
      </c>
    </row>
    <row r="3460" ht="25.0" customHeight="true">
      <c r="A3460" t="s" s="2">
        <v>13</v>
      </c>
      <c r="B3460" t="s" s="2">
        <f>HYPERLINK("http://ts.21cn.com/tousu/show/id/1370422","暴力催收、高利息、泄露个人隐私通信")</f>
      </c>
      <c r="C3460" t="s" s="2">
        <v>15</v>
      </c>
      <c r="D3460" t="s" s="2">
        <v>16</v>
      </c>
      <c r="E3460" t="s" s="2">
        <v>17</v>
      </c>
      <c r="F3460" t="s" s="2">
        <f>HYPERLINK("http://ts.21cn.com/tousu/show/id/1370422","http://ts.21cn.com/tousu/show/id/1370422")</f>
      </c>
      <c r="G3460" t="s" s="2">
        <v>17</v>
      </c>
      <c r="H3460" t="s" s="2">
        <v>19</v>
      </c>
      <c r="I3460" t="s" s="2">
        <v>13496</v>
      </c>
      <c r="J3460" t="s" s="2">
        <v>13497</v>
      </c>
      <c r="K3460" t="s" s="2">
        <v>22</v>
      </c>
      <c r="L3460" t="s" s="2">
        <v>22</v>
      </c>
      <c r="M3460" t="s" s="2">
        <v>22</v>
      </c>
    </row>
    <row r="3461" ht="25.0" customHeight="true">
      <c r="A3461" t="s" s="2">
        <v>13</v>
      </c>
      <c r="B3461" t="s" s="2">
        <f>HYPERLINK("http://ts.21cn.com/tousu/show/id/1370420","关于自考学生不能退学费的问题！！")</f>
      </c>
      <c r="C3461" t="s" s="2">
        <v>15</v>
      </c>
      <c r="D3461" t="s" s="2">
        <v>16</v>
      </c>
      <c r="E3461" t="s" s="2">
        <v>17</v>
      </c>
      <c r="F3461" t="s" s="2">
        <f>HYPERLINK("http://ts.21cn.com/tousu/show/id/1370420","http://ts.21cn.com/tousu/show/id/1370420")</f>
      </c>
      <c r="G3461" t="s" s="2">
        <v>17</v>
      </c>
      <c r="H3461" t="s" s="2">
        <v>19</v>
      </c>
      <c r="I3461" t="s" s="2">
        <v>13500</v>
      </c>
      <c r="J3461" t="s" s="2">
        <v>13501</v>
      </c>
      <c r="K3461" t="s" s="2">
        <v>22</v>
      </c>
      <c r="L3461" t="s" s="2">
        <v>22</v>
      </c>
      <c r="M3461" t="s" s="2">
        <v>22</v>
      </c>
    </row>
    <row r="3462" ht="25.0" customHeight="true">
      <c r="A3462" t="s" s="2">
        <v>13</v>
      </c>
      <c r="B3462" t="s" s="2">
        <f>HYPERLINK("http://ts.21cn.com/tousu/show/id/1370419","电话恐吓辱骂")</f>
      </c>
      <c r="C3462" t="s" s="2">
        <v>15</v>
      </c>
      <c r="D3462" t="s" s="2">
        <v>16</v>
      </c>
      <c r="E3462" t="s" s="2">
        <v>17</v>
      </c>
      <c r="F3462" t="s" s="2">
        <f>HYPERLINK("http://ts.21cn.com/tousu/show/id/1370419","http://ts.21cn.com/tousu/show/id/1370419")</f>
      </c>
      <c r="G3462" t="s" s="2">
        <v>17</v>
      </c>
      <c r="H3462" t="s" s="2">
        <v>19</v>
      </c>
      <c r="I3462" t="s" s="2">
        <v>13504</v>
      </c>
      <c r="J3462" t="s" s="2">
        <v>13505</v>
      </c>
      <c r="K3462" t="s" s="2">
        <v>22</v>
      </c>
      <c r="L3462" t="s" s="2">
        <v>22</v>
      </c>
      <c r="M3462" t="s" s="2">
        <v>22</v>
      </c>
    </row>
    <row r="3463" ht="25.0" customHeight="true">
      <c r="A3463" t="s" s="2">
        <v>13</v>
      </c>
      <c r="B3463" t="s" s="2">
        <f>HYPERLINK("http://ts.21cn.com/tousu/show/id/1370418","美团客服人员恐吓及套路贷")</f>
      </c>
      <c r="C3463" t="s" s="2">
        <v>15</v>
      </c>
      <c r="D3463" t="s" s="2">
        <v>16</v>
      </c>
      <c r="E3463" t="s" s="2">
        <v>17</v>
      </c>
      <c r="F3463" t="s" s="2">
        <f>HYPERLINK("http://ts.21cn.com/tousu/show/id/1370418","http://ts.21cn.com/tousu/show/id/1370418")</f>
      </c>
      <c r="G3463" t="s" s="2">
        <v>17</v>
      </c>
      <c r="H3463" t="s" s="2">
        <v>19</v>
      </c>
      <c r="I3463" t="s" s="2">
        <v>13508</v>
      </c>
      <c r="J3463" t="s" s="2">
        <v>13509</v>
      </c>
      <c r="K3463" t="s" s="2">
        <v>22</v>
      </c>
      <c r="L3463" t="s" s="2">
        <v>22</v>
      </c>
      <c r="M3463" t="s" s="2">
        <v>22</v>
      </c>
    </row>
    <row r="3464" ht="25.0" customHeight="true">
      <c r="A3464" t="s" s="2">
        <v>13</v>
      </c>
      <c r="B3464" t="s" s="2">
        <f>HYPERLINK("http://ts.21cn.com/tousu/show/id/1370416","信用飞砍头息高利贷")</f>
      </c>
      <c r="C3464" t="s" s="2">
        <v>15</v>
      </c>
      <c r="D3464" t="s" s="2">
        <v>16</v>
      </c>
      <c r="E3464" t="s" s="2">
        <v>17</v>
      </c>
      <c r="F3464" t="s" s="2">
        <f>HYPERLINK("http://ts.21cn.com/tousu/show/id/1370416","http://ts.21cn.com/tousu/show/id/1370416")</f>
      </c>
      <c r="G3464" t="s" s="2">
        <v>17</v>
      </c>
      <c r="H3464" t="s" s="2">
        <v>19</v>
      </c>
      <c r="I3464" t="s" s="2">
        <v>13512</v>
      </c>
      <c r="J3464" t="s" s="2">
        <v>13513</v>
      </c>
      <c r="K3464" t="s" s="2">
        <v>22</v>
      </c>
      <c r="L3464" t="s" s="2">
        <v>22</v>
      </c>
      <c r="M3464" t="s" s="2">
        <v>22</v>
      </c>
    </row>
    <row r="3465" ht="25.0" customHeight="true">
      <c r="A3465" t="s" s="2">
        <v>13</v>
      </c>
      <c r="B3465" t="s" s="2">
        <f>HYPERLINK("http://ts.21cn.com/tousu/show/id/1370415","借花钱，成都安睿旺蜀网络科技有限公司恶意扣费")</f>
      </c>
      <c r="C3465" t="s" s="2">
        <v>15</v>
      </c>
      <c r="D3465" t="s" s="2">
        <v>16</v>
      </c>
      <c r="E3465" t="s" s="2">
        <v>17</v>
      </c>
      <c r="F3465" t="s" s="2">
        <f>HYPERLINK("http://ts.21cn.com/tousu/show/id/1370415","http://ts.21cn.com/tousu/show/id/1370415")</f>
      </c>
      <c r="G3465" t="s" s="2">
        <v>17</v>
      </c>
      <c r="H3465" t="s" s="2">
        <v>19</v>
      </c>
      <c r="I3465" t="s" s="2">
        <v>13516</v>
      </c>
      <c r="J3465" t="s" s="2">
        <v>13517</v>
      </c>
      <c r="K3465" t="s" s="2">
        <v>22</v>
      </c>
      <c r="L3465" t="s" s="2">
        <v>22</v>
      </c>
      <c r="M3465" t="s" s="2">
        <v>22</v>
      </c>
    </row>
    <row r="3466" ht="25.0" customHeight="true">
      <c r="A3466" t="s" s="2">
        <v>13</v>
      </c>
      <c r="B3466" t="s" s="2">
        <f>HYPERLINK("http://ts.21cn.com/tousu/show/id/1370413","转转集体投诉专题")</f>
      </c>
      <c r="C3466" t="s" s="2">
        <v>15</v>
      </c>
      <c r="D3466" t="s" s="2">
        <v>16</v>
      </c>
      <c r="E3466" t="s" s="2">
        <v>17</v>
      </c>
      <c r="F3466" t="s" s="2">
        <f>HYPERLINK("http://ts.21cn.com/tousu/show/id/1370413","http://ts.21cn.com/tousu/show/id/1370413")</f>
      </c>
      <c r="G3466" t="s" s="2">
        <v>17</v>
      </c>
      <c r="H3466" t="s" s="2">
        <v>19</v>
      </c>
      <c r="I3466" t="s" s="2">
        <v>13520</v>
      </c>
      <c r="J3466" t="s" s="2">
        <v>13521</v>
      </c>
      <c r="K3466" t="s" s="2">
        <v>22</v>
      </c>
      <c r="L3466" t="s" s="2">
        <v>22</v>
      </c>
      <c r="M3466" t="s" s="2">
        <v>22</v>
      </c>
    </row>
    <row r="3467" ht="25.0" customHeight="true">
      <c r="A3467" t="s" s="2">
        <v>13</v>
      </c>
      <c r="B3467" t="s" s="2">
        <f>HYPERLINK("http://ts.21cn.com/tousu/show/id/1370412","高利贷阴阳合同砍头息")</f>
      </c>
      <c r="C3467" t="s" s="2">
        <v>15</v>
      </c>
      <c r="D3467" t="s" s="2">
        <v>16</v>
      </c>
      <c r="E3467" t="s" s="2">
        <v>17</v>
      </c>
      <c r="F3467" t="s" s="2">
        <f>HYPERLINK("http://ts.21cn.com/tousu/show/id/1370412","http://ts.21cn.com/tousu/show/id/1370412")</f>
      </c>
      <c r="G3467" t="s" s="2">
        <v>17</v>
      </c>
      <c r="H3467" t="s" s="2">
        <v>19</v>
      </c>
      <c r="I3467" t="s" s="2">
        <v>13524</v>
      </c>
      <c r="J3467" t="s" s="2">
        <v>13525</v>
      </c>
      <c r="K3467" t="s" s="2">
        <v>22</v>
      </c>
      <c r="L3467" t="s" s="2">
        <v>22</v>
      </c>
      <c r="M3467" t="s" s="2">
        <v>22</v>
      </c>
    </row>
    <row r="3468" ht="25.0" customHeight="true">
      <c r="A3468" t="s" s="2">
        <v>13</v>
      </c>
      <c r="B3468" t="s" s="2">
        <f>HYPERLINK("http://ts.21cn.com/tousu/show/id/1370411","广东永恒优享网络科技有限公司非法放贷")</f>
      </c>
      <c r="C3468" t="s" s="2">
        <v>15</v>
      </c>
      <c r="D3468" t="s" s="2">
        <v>16</v>
      </c>
      <c r="E3468" t="s" s="2">
        <v>17</v>
      </c>
      <c r="F3468" t="s" s="2">
        <f>HYPERLINK("http://ts.21cn.com/tousu/show/id/1370411","http://ts.21cn.com/tousu/show/id/1370411")</f>
      </c>
      <c r="G3468" t="s" s="2">
        <v>17</v>
      </c>
      <c r="H3468" t="s" s="2">
        <v>19</v>
      </c>
      <c r="I3468" t="s" s="2">
        <v>13528</v>
      </c>
      <c r="J3468" t="s" s="2">
        <v>13529</v>
      </c>
      <c r="K3468" t="s" s="2">
        <v>22</v>
      </c>
      <c r="L3468" t="s" s="2">
        <v>22</v>
      </c>
      <c r="M3468" t="s" s="2">
        <v>22</v>
      </c>
    </row>
    <row r="3469" ht="25.0" customHeight="true">
      <c r="A3469" t="s" s="2">
        <v>13</v>
      </c>
      <c r="B3469" t="s" s="2">
        <f>HYPERLINK("http://ts.21cn.com/tousu/show/id/1370410","豆豆钱扣保险费，利息高的吓人")</f>
      </c>
      <c r="C3469" t="s" s="2">
        <v>15</v>
      </c>
      <c r="D3469" t="s" s="2">
        <v>16</v>
      </c>
      <c r="E3469" t="s" s="2">
        <v>17</v>
      </c>
      <c r="F3469" t="s" s="2">
        <f>HYPERLINK("http://ts.21cn.com/tousu/show/id/1370410","http://ts.21cn.com/tousu/show/id/1370410")</f>
      </c>
      <c r="G3469" t="s" s="2">
        <v>17</v>
      </c>
      <c r="H3469" t="s" s="2">
        <v>19</v>
      </c>
      <c r="I3469" t="s" s="2">
        <v>13532</v>
      </c>
      <c r="J3469" t="s" s="2">
        <v>13533</v>
      </c>
      <c r="K3469" t="s" s="2">
        <v>22</v>
      </c>
      <c r="L3469" t="s" s="2">
        <v>22</v>
      </c>
      <c r="M3469" t="s" s="2">
        <v>22</v>
      </c>
    </row>
    <row r="3470" ht="25.0" customHeight="true">
      <c r="A3470" t="s" s="2">
        <v>13</v>
      </c>
      <c r="B3470" t="s" s="2">
        <f>HYPERLINK("http://ts.21cn.com/tousu/show/id/1370409","暴力催收，语言侮辱")</f>
      </c>
      <c r="C3470" t="s" s="2">
        <v>15</v>
      </c>
      <c r="D3470" t="s" s="2">
        <v>16</v>
      </c>
      <c r="E3470" t="s" s="2">
        <v>17</v>
      </c>
      <c r="F3470" t="s" s="2">
        <f>HYPERLINK("http://ts.21cn.com/tousu/show/id/1370409","http://ts.21cn.com/tousu/show/id/1370409")</f>
      </c>
      <c r="G3470" t="s" s="2">
        <v>17</v>
      </c>
      <c r="H3470" t="s" s="2">
        <v>19</v>
      </c>
      <c r="I3470" t="s" s="2">
        <v>13536</v>
      </c>
      <c r="J3470" t="s" s="2">
        <v>13537</v>
      </c>
      <c r="K3470" t="s" s="2">
        <v>22</v>
      </c>
      <c r="L3470" t="s" s="2">
        <v>22</v>
      </c>
      <c r="M3470" t="s" s="2">
        <v>22</v>
      </c>
    </row>
    <row r="3471" ht="25.0" customHeight="true">
      <c r="A3471" t="s" s="2">
        <v>13</v>
      </c>
      <c r="B3471" t="s" s="2">
        <f>HYPERLINK("http://ts.21cn.com/tousu/show/id/1370408","友信信贷在未逾期的时间内对借款人进行暴力催收")</f>
      </c>
      <c r="C3471" t="s" s="2">
        <v>15</v>
      </c>
      <c r="D3471" t="s" s="2">
        <v>16</v>
      </c>
      <c r="E3471" t="s" s="2">
        <v>17</v>
      </c>
      <c r="F3471" t="s" s="2">
        <f>HYPERLINK("http://ts.21cn.com/tousu/show/id/1370408","http://ts.21cn.com/tousu/show/id/1370408")</f>
      </c>
      <c r="G3471" t="s" s="2">
        <v>17</v>
      </c>
      <c r="H3471" t="s" s="2">
        <v>19</v>
      </c>
      <c r="I3471" t="s" s="2">
        <v>13539</v>
      </c>
      <c r="J3471" t="s" s="2">
        <v>13540</v>
      </c>
      <c r="K3471" t="s" s="2">
        <v>22</v>
      </c>
      <c r="L3471" t="s" s="2">
        <v>22</v>
      </c>
      <c r="M3471" t="s" s="2">
        <v>22</v>
      </c>
    </row>
    <row r="3472" ht="25.0" customHeight="true">
      <c r="A3472" t="s" s="2">
        <v>13</v>
      </c>
      <c r="B3472" t="s" s="2">
        <f>HYPERLINK("http://ts.21cn.com/tousu/show/id/1370407","兴业银行信用卡暴力催收")</f>
      </c>
      <c r="C3472" t="s" s="2">
        <v>15</v>
      </c>
      <c r="D3472" t="s" s="2">
        <v>16</v>
      </c>
      <c r="E3472" t="s" s="2">
        <v>17</v>
      </c>
      <c r="F3472" t="s" s="2">
        <f>HYPERLINK("http://ts.21cn.com/tousu/show/id/1370407","http://ts.21cn.com/tousu/show/id/1370407")</f>
      </c>
      <c r="G3472" t="s" s="2">
        <v>17</v>
      </c>
      <c r="H3472" t="s" s="2">
        <v>19</v>
      </c>
      <c r="I3472" t="s" s="2">
        <v>13542</v>
      </c>
      <c r="J3472" t="s" s="2">
        <v>13543</v>
      </c>
      <c r="K3472" t="s" s="2">
        <v>22</v>
      </c>
      <c r="L3472" t="s" s="2">
        <v>22</v>
      </c>
      <c r="M3472" t="s" s="2">
        <v>22</v>
      </c>
    </row>
    <row r="3473" ht="25.0" customHeight="true">
      <c r="A3473" t="s" s="2">
        <v>13</v>
      </c>
      <c r="B3473" t="s" s="2">
        <f>HYPERLINK("http://ts.21cn.com/tousu/show/id/1370406","中腾信暴力催收，本人要求协商还款事宜")</f>
      </c>
      <c r="C3473" t="s" s="2">
        <v>15</v>
      </c>
      <c r="D3473" t="s" s="2">
        <v>16</v>
      </c>
      <c r="E3473" t="s" s="2">
        <v>17</v>
      </c>
      <c r="F3473" t="s" s="2">
        <f>HYPERLINK("http://ts.21cn.com/tousu/show/id/1370406","http://ts.21cn.com/tousu/show/id/1370406")</f>
      </c>
      <c r="G3473" t="s" s="2">
        <v>17</v>
      </c>
      <c r="H3473" t="s" s="2">
        <v>19</v>
      </c>
      <c r="I3473" t="s" s="2">
        <v>13546</v>
      </c>
      <c r="J3473" t="s" s="2">
        <v>13547</v>
      </c>
      <c r="K3473" t="s" s="2">
        <v>22</v>
      </c>
      <c r="L3473" t="s" s="2">
        <v>22</v>
      </c>
      <c r="M3473" t="s" s="2">
        <v>22</v>
      </c>
    </row>
    <row r="3474" ht="25.0" customHeight="true">
      <c r="A3474" t="s" s="2">
        <v>13</v>
      </c>
      <c r="B3474" t="s" s="2">
        <f>HYPERLINK("http://ts.21cn.com/tousu/show/id/1370405","豆豆钱违法操作还款")</f>
      </c>
      <c r="C3474" t="s" s="2">
        <v>15</v>
      </c>
      <c r="D3474" t="s" s="2">
        <v>16</v>
      </c>
      <c r="E3474" t="s" s="2">
        <v>17</v>
      </c>
      <c r="F3474" t="s" s="2">
        <f>HYPERLINK("http://ts.21cn.com/tousu/show/id/1370405","http://ts.21cn.com/tousu/show/id/1370405")</f>
      </c>
      <c r="G3474" t="s" s="2">
        <v>17</v>
      </c>
      <c r="H3474" t="s" s="2">
        <v>19</v>
      </c>
      <c r="I3474" t="s" s="2">
        <v>13550</v>
      </c>
      <c r="J3474" t="s" s="2">
        <v>13551</v>
      </c>
      <c r="K3474" t="s" s="2">
        <v>22</v>
      </c>
      <c r="L3474" t="s" s="2">
        <v>22</v>
      </c>
      <c r="M3474" t="s" s="2">
        <v>22</v>
      </c>
    </row>
    <row r="3475" ht="25.0" customHeight="true">
      <c r="A3475" t="s" s="2">
        <v>13</v>
      </c>
      <c r="B3475" t="s" s="2">
        <f>HYPERLINK("http://ts.21cn.com/tousu/show/id/1370404","国美电器借答谢会推销净水器虚假宣传")</f>
      </c>
      <c r="C3475" t="s" s="2">
        <v>15</v>
      </c>
      <c r="D3475" t="s" s="2">
        <v>16</v>
      </c>
      <c r="E3475" t="s" s="2">
        <v>17</v>
      </c>
      <c r="F3475" t="s" s="2">
        <f>HYPERLINK("http://ts.21cn.com/tousu/show/id/1370404","http://ts.21cn.com/tousu/show/id/1370404")</f>
      </c>
      <c r="G3475" t="s" s="2">
        <v>17</v>
      </c>
      <c r="H3475" t="s" s="2">
        <v>19</v>
      </c>
      <c r="I3475" t="s" s="2">
        <v>13554</v>
      </c>
      <c r="J3475" t="s" s="2">
        <v>13555</v>
      </c>
      <c r="K3475" t="s" s="2">
        <v>22</v>
      </c>
      <c r="L3475" t="s" s="2">
        <v>22</v>
      </c>
      <c r="M3475" t="s" s="2">
        <v>22</v>
      </c>
    </row>
    <row r="3476" ht="25.0" customHeight="true">
      <c r="A3476" t="s" s="2">
        <v>13</v>
      </c>
      <c r="B3476" t="s" s="2">
        <f>HYPERLINK("http://ts.21cn.com/tousu/show/id/1370403","民航通黑卡虚假宣传、存在欺诈行为")</f>
      </c>
      <c r="C3476" t="s" s="2">
        <v>15</v>
      </c>
      <c r="D3476" t="s" s="2">
        <v>16</v>
      </c>
      <c r="E3476" t="s" s="2">
        <v>17</v>
      </c>
      <c r="F3476" t="s" s="2">
        <f>HYPERLINK("http://ts.21cn.com/tousu/show/id/1370403","http://ts.21cn.com/tousu/show/id/1370403")</f>
      </c>
      <c r="G3476" t="s" s="2">
        <v>17</v>
      </c>
      <c r="H3476" t="s" s="2">
        <v>19</v>
      </c>
      <c r="I3476" t="s" s="2">
        <v>13557</v>
      </c>
      <c r="J3476" t="s" s="2">
        <v>13558</v>
      </c>
      <c r="K3476" t="s" s="2">
        <v>22</v>
      </c>
      <c r="L3476" t="s" s="2">
        <v>22</v>
      </c>
      <c r="M3476" t="s" s="2">
        <v>22</v>
      </c>
    </row>
    <row r="3477" ht="25.0" customHeight="true">
      <c r="A3477" t="s" s="2">
        <v>13</v>
      </c>
      <c r="B3477" t="s" s="2">
        <f>HYPERLINK("http://ts.21cn.com/tousu/show/id/1370402","微信冻结我的个人财产不给")</f>
      </c>
      <c r="C3477" t="s" s="2">
        <v>52</v>
      </c>
      <c r="D3477" t="s" s="2">
        <v>16</v>
      </c>
      <c r="E3477" t="s" s="2">
        <v>17</v>
      </c>
      <c r="F3477" t="s" s="2">
        <f>HYPERLINK("http://ts.21cn.com/tousu/show/id/1370402","http://ts.21cn.com/tousu/show/id/1370402")</f>
      </c>
      <c r="G3477" t="s" s="2">
        <v>17</v>
      </c>
      <c r="H3477" t="s" s="2">
        <v>19</v>
      </c>
      <c r="I3477" t="s" s="2">
        <v>13561</v>
      </c>
      <c r="J3477" t="s" s="2">
        <v>13562</v>
      </c>
      <c r="K3477" t="s" s="2">
        <v>22</v>
      </c>
      <c r="L3477" t="s" s="2">
        <v>22</v>
      </c>
      <c r="M3477" t="s" s="2">
        <v>22</v>
      </c>
    </row>
    <row r="3478" ht="25.0" customHeight="true">
      <c r="A3478" t="s" s="2">
        <v>13</v>
      </c>
      <c r="B3478" t="s" s="2">
        <f>HYPERLINK("http://ts.21cn.com/tousu/show/id/1370401","网络赌博")</f>
      </c>
      <c r="C3478" t="s" s="2">
        <v>15</v>
      </c>
      <c r="D3478" t="s" s="2">
        <v>16</v>
      </c>
      <c r="E3478" t="s" s="2">
        <v>17</v>
      </c>
      <c r="F3478" t="s" s="2">
        <f>HYPERLINK("http://ts.21cn.com/tousu/show/id/1370401","http://ts.21cn.com/tousu/show/id/1370401")</f>
      </c>
      <c r="G3478" t="s" s="2">
        <v>17</v>
      </c>
      <c r="H3478" t="s" s="2">
        <v>19</v>
      </c>
      <c r="I3478" t="s" s="2">
        <v>13564</v>
      </c>
      <c r="J3478" t="s" s="2">
        <v>13565</v>
      </c>
      <c r="K3478" t="s" s="2">
        <v>22</v>
      </c>
      <c r="L3478" t="s" s="2">
        <v>22</v>
      </c>
      <c r="M3478" t="s" s="2">
        <v>22</v>
      </c>
    </row>
    <row r="3479" ht="25.0" customHeight="true">
      <c r="A3479" t="s" s="2">
        <v>13</v>
      </c>
      <c r="B3479" t="s" s="2">
        <f>HYPERLINK("http://ts.21cn.com/tousu/show/id/1370400","约单APP充值后不能提现")</f>
      </c>
      <c r="C3479" t="s" s="2">
        <v>15</v>
      </c>
      <c r="D3479" t="s" s="2">
        <v>16</v>
      </c>
      <c r="E3479" t="s" s="2">
        <v>17</v>
      </c>
      <c r="F3479" t="s" s="2">
        <f>HYPERLINK("http://ts.21cn.com/tousu/show/id/1370400","http://ts.21cn.com/tousu/show/id/1370400")</f>
      </c>
      <c r="G3479" t="s" s="2">
        <v>17</v>
      </c>
      <c r="H3479" t="s" s="2">
        <v>19</v>
      </c>
      <c r="I3479" t="s" s="2">
        <v>13567</v>
      </c>
      <c r="J3479" t="s" s="2">
        <v>13568</v>
      </c>
      <c r="K3479" t="s" s="2">
        <v>22</v>
      </c>
      <c r="L3479" t="s" s="2">
        <v>22</v>
      </c>
      <c r="M3479" t="s" s="2">
        <v>22</v>
      </c>
    </row>
    <row r="3480" ht="25.0" customHeight="true">
      <c r="A3480" t="s" s="2">
        <v>13</v>
      </c>
      <c r="B3480" t="s" s="2">
        <f>HYPERLINK("http://ts.21cn.com/tousu/show/id/1370399","和捷信协商好了几号还进去客服同意了结果第二天捷信找人来了三个去我家里要钱家里有老人老人被气到病了")</f>
      </c>
      <c r="C3480" t="s" s="2">
        <v>15</v>
      </c>
      <c r="D3480" t="s" s="2">
        <v>16</v>
      </c>
      <c r="E3480" t="s" s="2">
        <v>17</v>
      </c>
      <c r="F3480" t="s" s="2">
        <f>HYPERLINK("http://ts.21cn.com/tousu/show/id/1370399","http://ts.21cn.com/tousu/show/id/1370399")</f>
      </c>
      <c r="G3480" t="s" s="2">
        <v>17</v>
      </c>
      <c r="H3480" t="s" s="2">
        <v>19</v>
      </c>
      <c r="I3480" t="s" s="2">
        <v>13571</v>
      </c>
      <c r="J3480" t="s" s="2">
        <v>13572</v>
      </c>
      <c r="K3480" t="s" s="2">
        <v>22</v>
      </c>
      <c r="L3480" t="s" s="2">
        <v>22</v>
      </c>
      <c r="M3480" t="s" s="2">
        <v>22</v>
      </c>
    </row>
    <row r="3481" ht="25.0" customHeight="true">
      <c r="A3481" t="s" s="2">
        <v>13</v>
      </c>
      <c r="B3481" t="s" s="2">
        <f>HYPERLINK("http://ts.21cn.com/tousu/show/id/1370398","拍拍贷恶意骚扰，冒充公检法")</f>
      </c>
      <c r="C3481" t="s" s="2">
        <v>15</v>
      </c>
      <c r="D3481" t="s" s="2">
        <v>16</v>
      </c>
      <c r="E3481" t="s" s="2">
        <v>17</v>
      </c>
      <c r="F3481" t="s" s="2">
        <f>HYPERLINK("http://ts.21cn.com/tousu/show/id/1370398","http://ts.21cn.com/tousu/show/id/1370398")</f>
      </c>
      <c r="G3481" t="s" s="2">
        <v>17</v>
      </c>
      <c r="H3481" t="s" s="2">
        <v>19</v>
      </c>
      <c r="I3481" t="s" s="2">
        <v>13575</v>
      </c>
      <c r="J3481" t="s" s="2">
        <v>13576</v>
      </c>
      <c r="K3481" t="s" s="2">
        <v>22</v>
      </c>
      <c r="L3481" t="s" s="2">
        <v>22</v>
      </c>
      <c r="M3481" t="s" s="2">
        <v>22</v>
      </c>
    </row>
    <row r="3482" ht="25.0" customHeight="true">
      <c r="A3482" t="s" s="2">
        <v>13</v>
      </c>
      <c r="B3482" t="s" s="2">
        <f>HYPERLINK("http://ts.21cn.com/tousu/show/id/1370397","无缘无故扣除了我银行卡288元，然后就联系不上了")</f>
      </c>
      <c r="C3482" t="s" s="2">
        <v>15</v>
      </c>
      <c r="D3482" t="s" s="2">
        <v>16</v>
      </c>
      <c r="E3482" t="s" s="2">
        <v>17</v>
      </c>
      <c r="F3482" t="s" s="2">
        <f>HYPERLINK("http://ts.21cn.com/tousu/show/id/1370397","http://ts.21cn.com/tousu/show/id/1370397")</f>
      </c>
      <c r="G3482" t="s" s="2">
        <v>17</v>
      </c>
      <c r="H3482" t="s" s="2">
        <v>19</v>
      </c>
      <c r="I3482" t="s" s="2">
        <v>13579</v>
      </c>
      <c r="J3482" t="s" s="2">
        <v>13580</v>
      </c>
      <c r="K3482" t="s" s="2">
        <v>22</v>
      </c>
      <c r="L3482" t="s" s="2">
        <v>22</v>
      </c>
      <c r="M3482" t="s" s="2">
        <v>22</v>
      </c>
    </row>
    <row r="3483" ht="25.0" customHeight="true">
      <c r="A3483" t="s" s="2">
        <v>13</v>
      </c>
      <c r="B3483" t="s" s="2">
        <f>HYPERLINK("http://ts.21cn.com/tousu/show/id/1370395","本人在智购博网交易了一个游戏账号，钱被冻结了客服告诉我我要继续充钱才能提现")</f>
      </c>
      <c r="C3483" t="s" s="2">
        <v>15</v>
      </c>
      <c r="D3483" t="s" s="2">
        <v>16</v>
      </c>
      <c r="E3483" t="s" s="2">
        <v>17</v>
      </c>
      <c r="F3483" t="s" s="2">
        <f>HYPERLINK("http://ts.21cn.com/tousu/show/id/1370395","http://ts.21cn.com/tousu/show/id/1370395")</f>
      </c>
      <c r="G3483" t="s" s="2">
        <v>17</v>
      </c>
      <c r="H3483" t="s" s="2">
        <v>19</v>
      </c>
      <c r="I3483" t="s" s="2">
        <v>13583</v>
      </c>
      <c r="J3483" t="s" s="2">
        <v>13584</v>
      </c>
      <c r="K3483" t="s" s="2">
        <v>22</v>
      </c>
      <c r="L3483" t="s" s="2">
        <v>22</v>
      </c>
      <c r="M3483" t="s" s="2">
        <v>22</v>
      </c>
    </row>
    <row r="3484" ht="25.0" customHeight="true">
      <c r="A3484" t="s" s="2">
        <v>13</v>
      </c>
      <c r="B3484" t="s" s="2">
        <f>HYPERLINK("http://ts.21cn.com/tousu/show/id/1370394","拼多多商户涉嫌为博彩黑平台收款")</f>
      </c>
      <c r="C3484" t="s" s="2">
        <v>15</v>
      </c>
      <c r="D3484" t="s" s="2">
        <v>16</v>
      </c>
      <c r="E3484" t="s" s="2">
        <v>17</v>
      </c>
      <c r="F3484" t="s" s="2">
        <f>HYPERLINK("http://ts.21cn.com/tousu/show/id/1370394","http://ts.21cn.com/tousu/show/id/1370394")</f>
      </c>
      <c r="G3484" t="s" s="2">
        <v>17</v>
      </c>
      <c r="H3484" t="s" s="2">
        <v>19</v>
      </c>
      <c r="I3484" t="s" s="2">
        <v>13586</v>
      </c>
      <c r="J3484" t="s" s="2">
        <v>13587</v>
      </c>
      <c r="K3484" t="s" s="2">
        <v>22</v>
      </c>
      <c r="L3484" t="s" s="2">
        <v>22</v>
      </c>
      <c r="M3484" t="s" s="2">
        <v>22</v>
      </c>
    </row>
    <row r="3485" ht="25.0" customHeight="true">
      <c r="A3485" t="s" s="2">
        <v>13</v>
      </c>
      <c r="B3485" t="s" s="2">
        <f>HYPERLINK("http://ts.21cn.com/tousu/show/id/1370393","诱导网贷，不退费")</f>
      </c>
      <c r="C3485" t="s" s="2">
        <v>15</v>
      </c>
      <c r="D3485" t="s" s="2">
        <v>16</v>
      </c>
      <c r="E3485" t="s" s="2">
        <v>17</v>
      </c>
      <c r="F3485" t="s" s="2">
        <f>HYPERLINK("http://ts.21cn.com/tousu/show/id/1370393","http://ts.21cn.com/tousu/show/id/1370393")</f>
      </c>
      <c r="G3485" t="s" s="2">
        <v>17</v>
      </c>
      <c r="H3485" t="s" s="2">
        <v>19</v>
      </c>
      <c r="I3485" t="s" s="2">
        <v>13590</v>
      </c>
      <c r="J3485" t="s" s="2">
        <v>13591</v>
      </c>
      <c r="K3485" t="s" s="2">
        <v>22</v>
      </c>
      <c r="L3485" t="s" s="2">
        <v>22</v>
      </c>
      <c r="M3485" t="s" s="2">
        <v>22</v>
      </c>
    </row>
    <row r="3486" ht="25.0" customHeight="true">
      <c r="A3486" t="s" s="2">
        <v>13</v>
      </c>
      <c r="B3486" t="s" s="2">
        <f>HYPERLINK("http://ts.21cn.com/tousu/show/id/1370392","转转集体投诉专题")</f>
      </c>
      <c r="C3486" t="s" s="2">
        <v>15</v>
      </c>
      <c r="D3486" t="s" s="2">
        <v>16</v>
      </c>
      <c r="E3486" t="s" s="2">
        <v>17</v>
      </c>
      <c r="F3486" t="s" s="2">
        <f>HYPERLINK("http://ts.21cn.com/tousu/show/id/1370392","http://ts.21cn.com/tousu/show/id/1370392")</f>
      </c>
      <c r="G3486" t="s" s="2">
        <v>17</v>
      </c>
      <c r="H3486" t="s" s="2">
        <v>19</v>
      </c>
      <c r="I3486" t="s" s="2">
        <v>13593</v>
      </c>
      <c r="J3486" t="s" s="2">
        <v>13594</v>
      </c>
      <c r="K3486" t="s" s="2">
        <v>22</v>
      </c>
      <c r="L3486" t="s" s="2">
        <v>22</v>
      </c>
      <c r="M3486" t="s" s="2">
        <v>22</v>
      </c>
    </row>
    <row r="3487" ht="25.0" customHeight="true">
      <c r="A3487" t="s" s="2">
        <v>13</v>
      </c>
      <c r="B3487" t="s" s="2">
        <f>HYPERLINK("http://ts.21cn.com/tousu/show/id/1370391","你我贷暴力催收，侵犯个人隐私，")</f>
      </c>
      <c r="C3487" t="s" s="2">
        <v>15</v>
      </c>
      <c r="D3487" t="s" s="2">
        <v>16</v>
      </c>
      <c r="E3487" t="s" s="2">
        <v>17</v>
      </c>
      <c r="F3487" t="s" s="2">
        <f>HYPERLINK("http://ts.21cn.com/tousu/show/id/1370391","http://ts.21cn.com/tousu/show/id/1370391")</f>
      </c>
      <c r="G3487" t="s" s="2">
        <v>17</v>
      </c>
      <c r="H3487" t="s" s="2">
        <v>19</v>
      </c>
      <c r="I3487" t="s" s="2">
        <v>13597</v>
      </c>
      <c r="J3487" t="s" s="2">
        <v>13598</v>
      </c>
      <c r="K3487" t="s" s="2">
        <v>22</v>
      </c>
      <c r="L3487" t="s" s="2">
        <v>22</v>
      </c>
      <c r="M3487" t="s" s="2">
        <v>22</v>
      </c>
    </row>
    <row r="3488" ht="25.0" customHeight="true">
      <c r="A3488" t="s" s="2">
        <v>13</v>
      </c>
      <c r="B3488" t="s" s="2">
        <f>HYPERLINK("http://ts.21cn.com/tousu/show/id/1370390","淘手游申诉换绑，恶意不通过客服不解决")</f>
      </c>
      <c r="C3488" t="s" s="2">
        <v>15</v>
      </c>
      <c r="D3488" t="s" s="2">
        <v>16</v>
      </c>
      <c r="E3488" t="s" s="2">
        <v>17</v>
      </c>
      <c r="F3488" t="s" s="2">
        <f>HYPERLINK("http://ts.21cn.com/tousu/show/id/1370390","http://ts.21cn.com/tousu/show/id/1370390")</f>
      </c>
      <c r="G3488" t="s" s="2">
        <v>17</v>
      </c>
      <c r="H3488" t="s" s="2">
        <v>19</v>
      </c>
      <c r="I3488" t="s" s="2">
        <v>13601</v>
      </c>
      <c r="J3488" t="s" s="2">
        <v>13602</v>
      </c>
      <c r="K3488" t="s" s="2">
        <v>22</v>
      </c>
      <c r="L3488" t="s" s="2">
        <v>22</v>
      </c>
      <c r="M3488" t="s" s="2">
        <v>22</v>
      </c>
    </row>
    <row r="3489" ht="25.0" customHeight="true">
      <c r="A3489" t="s" s="2">
        <v>13</v>
      </c>
      <c r="B3489" t="s" s="2">
        <f>HYPERLINK("http://ts.21cn.com/tousu/show/id/1370389","扣了2次钱")</f>
      </c>
      <c r="C3489" t="s" s="2">
        <v>15</v>
      </c>
      <c r="D3489" t="s" s="2">
        <v>16</v>
      </c>
      <c r="E3489" t="s" s="2">
        <v>17</v>
      </c>
      <c r="F3489" t="s" s="2">
        <f>HYPERLINK("http://ts.21cn.com/tousu/show/id/1370389","http://ts.21cn.com/tousu/show/id/1370389")</f>
      </c>
      <c r="G3489" t="s" s="2">
        <v>17</v>
      </c>
      <c r="H3489" t="s" s="2">
        <v>19</v>
      </c>
      <c r="I3489" t="s" s="2">
        <v>13605</v>
      </c>
      <c r="J3489" t="s" s="2">
        <v>13606</v>
      </c>
      <c r="K3489" t="s" s="2">
        <v>22</v>
      </c>
      <c r="L3489" t="s" s="2">
        <v>22</v>
      </c>
      <c r="M3489" t="s" s="2">
        <v>22</v>
      </c>
    </row>
    <row r="3490" ht="25.0" customHeight="true">
      <c r="A3490" t="s" s="2">
        <v>13</v>
      </c>
      <c r="B3490" t="s" s="2">
        <f>HYPERLINK("http://ts.21cn.com/tousu/show/id/1370388","钱站")</f>
      </c>
      <c r="C3490" t="s" s="2">
        <v>52</v>
      </c>
      <c r="D3490" t="s" s="2">
        <v>16</v>
      </c>
      <c r="E3490" t="s" s="2">
        <v>17</v>
      </c>
      <c r="F3490" t="s" s="2">
        <f>HYPERLINK("http://ts.21cn.com/tousu/show/id/1370388","http://ts.21cn.com/tousu/show/id/1370388")</f>
      </c>
      <c r="G3490" t="s" s="2">
        <v>17</v>
      </c>
      <c r="H3490" t="s" s="2">
        <v>19</v>
      </c>
      <c r="I3490" t="s" s="2">
        <v>13608</v>
      </c>
      <c r="J3490" t="s" s="2">
        <v>13609</v>
      </c>
      <c r="K3490" t="s" s="2">
        <v>22</v>
      </c>
      <c r="L3490" t="s" s="2">
        <v>22</v>
      </c>
      <c r="M3490" t="s" s="2">
        <v>22</v>
      </c>
    </row>
    <row r="3491" ht="25.0" customHeight="true">
      <c r="A3491" t="s" s="2">
        <v>13</v>
      </c>
      <c r="B3491" t="s" s="2">
        <f>HYPERLINK("http://ts.21cn.com/tousu/show/id/1370387","即有分期违法高利贷，本人在此维权，已收集证据")</f>
      </c>
      <c r="C3491" t="s" s="2">
        <v>15</v>
      </c>
      <c r="D3491" t="s" s="2">
        <v>16</v>
      </c>
      <c r="E3491" t="s" s="2">
        <v>17</v>
      </c>
      <c r="F3491" t="s" s="2">
        <f>HYPERLINK("http://ts.21cn.com/tousu/show/id/1370387","http://ts.21cn.com/tousu/show/id/1370387")</f>
      </c>
      <c r="G3491" t="s" s="2">
        <v>17</v>
      </c>
      <c r="H3491" t="s" s="2">
        <v>19</v>
      </c>
      <c r="I3491" t="s" s="2">
        <v>13612</v>
      </c>
      <c r="J3491" t="s" s="2">
        <v>13613</v>
      </c>
      <c r="K3491" t="s" s="2">
        <v>22</v>
      </c>
      <c r="L3491" t="s" s="2">
        <v>22</v>
      </c>
      <c r="M3491" t="s" s="2">
        <v>22</v>
      </c>
    </row>
    <row r="3492" ht="25.0" customHeight="true">
      <c r="A3492" t="s" s="2">
        <v>13</v>
      </c>
      <c r="B3492" t="s" s="2">
        <f>HYPERLINK("http://ts.21cn.com/tousu/show/id/1370385","么么钱包威胁恐吓，还说要上门")</f>
      </c>
      <c r="C3492" t="s" s="2">
        <v>15</v>
      </c>
      <c r="D3492" t="s" s="2">
        <v>16</v>
      </c>
      <c r="E3492" t="s" s="2">
        <v>17</v>
      </c>
      <c r="F3492" t="s" s="2">
        <f>HYPERLINK("http://ts.21cn.com/tousu/show/id/1370385","http://ts.21cn.com/tousu/show/id/1370385")</f>
      </c>
      <c r="G3492" t="s" s="2">
        <v>17</v>
      </c>
      <c r="H3492" t="s" s="2">
        <v>19</v>
      </c>
      <c r="I3492" t="s" s="2">
        <v>13616</v>
      </c>
      <c r="J3492" t="s" s="2">
        <v>13617</v>
      </c>
      <c r="K3492" t="s" s="2">
        <v>22</v>
      </c>
      <c r="L3492" t="s" s="2">
        <v>22</v>
      </c>
      <c r="M3492" t="s" s="2">
        <v>22</v>
      </c>
    </row>
    <row r="3493" ht="25.0" customHeight="true">
      <c r="A3493" t="s" s="2">
        <v>13</v>
      </c>
      <c r="B3493" t="s" s="2">
        <f>HYPERLINK("http://ts.21cn.com/tousu/show/id/1370386","小花钱包暴力催收，高利息，砍头息")</f>
      </c>
      <c r="C3493" t="s" s="2">
        <v>15</v>
      </c>
      <c r="D3493" t="s" s="2">
        <v>16</v>
      </c>
      <c r="E3493" t="s" s="2">
        <v>17</v>
      </c>
      <c r="F3493" t="s" s="2">
        <f>HYPERLINK("http://ts.21cn.com/tousu/show/id/1370386","http://ts.21cn.com/tousu/show/id/1370386")</f>
      </c>
      <c r="G3493" t="s" s="2">
        <v>17</v>
      </c>
      <c r="H3493" t="s" s="2">
        <v>19</v>
      </c>
      <c r="I3493" t="s" s="2">
        <v>13620</v>
      </c>
      <c r="J3493" t="s" s="2">
        <v>13621</v>
      </c>
      <c r="K3493" t="s" s="2">
        <v>22</v>
      </c>
      <c r="L3493" t="s" s="2">
        <v>22</v>
      </c>
      <c r="M3493" t="s" s="2">
        <v>22</v>
      </c>
    </row>
    <row r="3494" ht="25.0" customHeight="true">
      <c r="A3494" t="s" s="2">
        <v>13</v>
      </c>
      <c r="B3494" t="s" s="2">
        <f>HYPERLINK("http://ts.21cn.com/tousu/show/id/1370384","约单不能退回诚意金")</f>
      </c>
      <c r="C3494" t="s" s="2">
        <v>15</v>
      </c>
      <c r="D3494" t="s" s="2">
        <v>16</v>
      </c>
      <c r="E3494" t="s" s="2">
        <v>17</v>
      </c>
      <c r="F3494" t="s" s="2">
        <f>HYPERLINK("http://ts.21cn.com/tousu/show/id/1370384","http://ts.21cn.com/tousu/show/id/1370384")</f>
      </c>
      <c r="G3494" t="s" s="2">
        <v>17</v>
      </c>
      <c r="H3494" t="s" s="2">
        <v>19</v>
      </c>
      <c r="I3494" t="s" s="2">
        <v>13624</v>
      </c>
      <c r="J3494" t="s" s="2">
        <v>13625</v>
      </c>
      <c r="K3494" t="s" s="2">
        <v>22</v>
      </c>
      <c r="L3494" t="s" s="2">
        <v>22</v>
      </c>
      <c r="M3494" t="s" s="2">
        <v>22</v>
      </c>
    </row>
    <row r="3495" ht="25.0" customHeight="true">
      <c r="A3495" t="s" s="2">
        <v>13</v>
      </c>
      <c r="B3495" t="s" s="2">
        <f>HYPERLINK("http://ts.21cn.com/tousu/show/id/1370383","小赢卡贷勾结众安保险收取变相砍头息，高利贷、招联金融为其提供支付平台")</f>
      </c>
      <c r="C3495" t="s" s="2">
        <v>15</v>
      </c>
      <c r="D3495" t="s" s="2">
        <v>16</v>
      </c>
      <c r="E3495" t="s" s="2">
        <v>17</v>
      </c>
      <c r="F3495" t="s" s="2">
        <f>HYPERLINK("http://ts.21cn.com/tousu/show/id/1370383","http://ts.21cn.com/tousu/show/id/1370383")</f>
      </c>
      <c r="G3495" t="s" s="2">
        <v>17</v>
      </c>
      <c r="H3495" t="s" s="2">
        <v>19</v>
      </c>
      <c r="I3495" t="s" s="2">
        <v>13628</v>
      </c>
      <c r="J3495" t="s" s="2">
        <v>13629</v>
      </c>
      <c r="K3495" t="s" s="2">
        <v>22</v>
      </c>
      <c r="L3495" t="s" s="2">
        <v>22</v>
      </c>
      <c r="M3495" t="s" s="2">
        <v>22</v>
      </c>
    </row>
    <row r="3496" ht="25.0" customHeight="true">
      <c r="A3496" t="s" s="2">
        <v>13</v>
      </c>
      <c r="B3496" t="s" s="2">
        <f>HYPERLINK("http://ts.21cn.com/tousu/show/id/1370382","要求清退我所有的货款")</f>
      </c>
      <c r="C3496" t="s" s="2">
        <v>52</v>
      </c>
      <c r="D3496" t="s" s="2">
        <v>16</v>
      </c>
      <c r="E3496" t="s" s="2">
        <v>17</v>
      </c>
      <c r="F3496" t="s" s="2">
        <f>HYPERLINK("http://ts.21cn.com/tousu/show/id/1370382","http://ts.21cn.com/tousu/show/id/1370382")</f>
      </c>
      <c r="G3496" t="s" s="2">
        <v>17</v>
      </c>
      <c r="H3496" t="s" s="2">
        <v>19</v>
      </c>
      <c r="I3496" t="s" s="2">
        <v>13632</v>
      </c>
      <c r="J3496" t="s" s="2">
        <v>13633</v>
      </c>
      <c r="K3496" t="s" s="2">
        <v>22</v>
      </c>
      <c r="L3496" t="s" s="2">
        <v>22</v>
      </c>
      <c r="M3496" t="s" s="2">
        <v>22</v>
      </c>
    </row>
    <row r="3497" ht="25.0" customHeight="true">
      <c r="A3497" t="s" s="2">
        <v>13</v>
      </c>
      <c r="B3497" t="s" s="2">
        <f>HYPERLINK("http://ts.21cn.com/tousu/show/id/1370381","闪电借款暴力催收，骚扰，恐吓！")</f>
      </c>
      <c r="C3497" t="s" s="2">
        <v>15</v>
      </c>
      <c r="D3497" t="s" s="2">
        <v>16</v>
      </c>
      <c r="E3497" t="s" s="2">
        <v>17</v>
      </c>
      <c r="F3497" t="s" s="2">
        <f>HYPERLINK("http://ts.21cn.com/tousu/show/id/1370381","http://ts.21cn.com/tousu/show/id/1370381")</f>
      </c>
      <c r="G3497" t="s" s="2">
        <v>17</v>
      </c>
      <c r="H3497" t="s" s="2">
        <v>19</v>
      </c>
      <c r="I3497" t="s" s="2">
        <v>13636</v>
      </c>
      <c r="J3497" t="s" s="2">
        <v>13637</v>
      </c>
      <c r="K3497" t="s" s="2">
        <v>22</v>
      </c>
      <c r="L3497" t="s" s="2">
        <v>22</v>
      </c>
      <c r="M3497" t="s" s="2">
        <v>22</v>
      </c>
    </row>
    <row r="3498" ht="25.0" customHeight="true">
      <c r="A3498" t="s" s="2">
        <v>13</v>
      </c>
      <c r="B3498" t="s" s="2">
        <f>HYPERLINK("http://ts.21cn.com/tousu/show/id/1370380","没在工行办过信用卡恶意骚扰恐吓")</f>
      </c>
      <c r="C3498" t="s" s="2">
        <v>15</v>
      </c>
      <c r="D3498" t="s" s="2">
        <v>16</v>
      </c>
      <c r="E3498" t="s" s="2">
        <v>17</v>
      </c>
      <c r="F3498" t="s" s="2">
        <f>HYPERLINK("http://ts.21cn.com/tousu/show/id/1370380","http://ts.21cn.com/tousu/show/id/1370380")</f>
      </c>
      <c r="G3498" t="s" s="2">
        <v>17</v>
      </c>
      <c r="H3498" t="s" s="2">
        <v>19</v>
      </c>
      <c r="I3498" t="s" s="2">
        <v>13640</v>
      </c>
      <c r="J3498" t="s" s="2">
        <v>13641</v>
      </c>
      <c r="K3498" t="s" s="2">
        <v>22</v>
      </c>
      <c r="L3498" t="s" s="2">
        <v>22</v>
      </c>
      <c r="M3498" t="s" s="2">
        <v>22</v>
      </c>
    </row>
    <row r="3499" ht="25.0" customHeight="true">
      <c r="A3499" t="s" s="2">
        <v>13</v>
      </c>
      <c r="B3499" t="s" s="2">
        <f>HYPERLINK("http://ts.21cn.com/tousu/show/id/1370379","钱橙无未经同意自私扣费")</f>
      </c>
      <c r="C3499" t="s" s="2">
        <v>15</v>
      </c>
      <c r="D3499" t="s" s="2">
        <v>16</v>
      </c>
      <c r="E3499" t="s" s="2">
        <v>17</v>
      </c>
      <c r="F3499" t="s" s="2">
        <f>HYPERLINK("http://ts.21cn.com/tousu/show/id/1370379","http://ts.21cn.com/tousu/show/id/1370379")</f>
      </c>
      <c r="G3499" t="s" s="2">
        <v>17</v>
      </c>
      <c r="H3499" t="s" s="2">
        <v>19</v>
      </c>
      <c r="I3499" t="s" s="2">
        <v>13644</v>
      </c>
      <c r="J3499" t="s" s="2">
        <v>13645</v>
      </c>
      <c r="K3499" t="s" s="2">
        <v>22</v>
      </c>
      <c r="L3499" t="s" s="2">
        <v>22</v>
      </c>
      <c r="M3499" t="s" s="2">
        <v>22</v>
      </c>
    </row>
    <row r="3500" ht="25.0" customHeight="true">
      <c r="A3500" t="s" s="2">
        <v>13</v>
      </c>
      <c r="B3500" t="s" s="2">
        <f>HYPERLINK("http://ts.21cn.com/tousu/show/id/1370378","苏宁帐号被冻结多年无法解冻")</f>
      </c>
      <c r="C3500" t="s" s="2">
        <v>15</v>
      </c>
      <c r="D3500" t="s" s="2">
        <v>16</v>
      </c>
      <c r="E3500" t="s" s="2">
        <v>17</v>
      </c>
      <c r="F3500" t="s" s="2">
        <f>HYPERLINK("http://ts.21cn.com/tousu/show/id/1370378","http://ts.21cn.com/tousu/show/id/1370378")</f>
      </c>
      <c r="G3500" t="s" s="2">
        <v>17</v>
      </c>
      <c r="H3500" t="s" s="2">
        <v>19</v>
      </c>
      <c r="I3500" t="s" s="2">
        <v>13648</v>
      </c>
      <c r="J3500" t="s" s="2">
        <v>13649</v>
      </c>
      <c r="K3500" t="s" s="2">
        <v>22</v>
      </c>
      <c r="L3500" t="s" s="2">
        <v>22</v>
      </c>
      <c r="M3500" t="s" s="2">
        <v>22</v>
      </c>
    </row>
    <row r="3501" ht="25.0" customHeight="true">
      <c r="A3501" t="s" s="2">
        <v>13</v>
      </c>
      <c r="B3501" t="s" s="2">
        <f>HYPERLINK("http://ts.21cn.com/tousu/show/id/1370374","投诉乐家易付违规违法给博彩平台提供充值通道我撤诉不退钱给我")</f>
      </c>
      <c r="C3501" t="s" s="2">
        <v>15</v>
      </c>
      <c r="D3501" t="s" s="2">
        <v>16</v>
      </c>
      <c r="E3501" t="s" s="2">
        <v>17</v>
      </c>
      <c r="F3501" t="s" s="2">
        <f>HYPERLINK("http://ts.21cn.com/tousu/show/id/1370374","http://ts.21cn.com/tousu/show/id/1370374")</f>
      </c>
      <c r="G3501" t="s" s="2">
        <v>17</v>
      </c>
      <c r="H3501" t="s" s="2">
        <v>19</v>
      </c>
      <c r="I3501" t="s" s="2">
        <v>13652</v>
      </c>
      <c r="J3501" t="s" s="2">
        <v>13653</v>
      </c>
      <c r="K3501" t="s" s="2">
        <v>22</v>
      </c>
      <c r="L3501" t="s" s="2">
        <v>22</v>
      </c>
      <c r="M3501" t="s" s="2">
        <v>22</v>
      </c>
    </row>
    <row r="3502" ht="25.0" customHeight="true">
      <c r="A3502" t="s" s="2">
        <v>13</v>
      </c>
      <c r="B3502" t="s" s="2">
        <f>HYPERLINK("http://ts.21cn.com/tousu/show/id/1370357","江苏苏宁易购电子商务有限公司")</f>
      </c>
      <c r="C3502" t="s" s="2">
        <v>15</v>
      </c>
      <c r="D3502" t="s" s="2">
        <v>16</v>
      </c>
      <c r="E3502" t="s" s="2">
        <v>17</v>
      </c>
      <c r="F3502" t="s" s="2">
        <f>HYPERLINK("http://ts.21cn.com/tousu/show/id/1370357","http://ts.21cn.com/tousu/show/id/1370357")</f>
      </c>
      <c r="G3502" t="s" s="2">
        <v>17</v>
      </c>
      <c r="H3502" t="s" s="2">
        <v>19</v>
      </c>
      <c r="I3502" t="s" s="2">
        <v>13656</v>
      </c>
      <c r="J3502" t="s" s="2">
        <v>13657</v>
      </c>
      <c r="K3502" t="s" s="2">
        <v>22</v>
      </c>
      <c r="L3502" t="s" s="2">
        <v>22</v>
      </c>
      <c r="M3502" t="s" s="2">
        <v>22</v>
      </c>
    </row>
    <row r="3503" ht="25.0" customHeight="true">
      <c r="A3503" t="s" s="2">
        <v>13</v>
      </c>
      <c r="B3503" t="s" s="2">
        <f>HYPERLINK("http://ts.21cn.com/tousu/show/id/1370372","京东摩卡思旗舰店购买的防水电视，写明的是七天无理由退货，在收到货七天内要求退货不给退")</f>
      </c>
      <c r="C3503" t="s" s="2">
        <v>52</v>
      </c>
      <c r="D3503" t="s" s="2">
        <v>16</v>
      </c>
      <c r="E3503" t="s" s="2">
        <v>17</v>
      </c>
      <c r="F3503" t="s" s="2">
        <f>HYPERLINK("http://ts.21cn.com/tousu/show/id/1370372","http://ts.21cn.com/tousu/show/id/1370372")</f>
      </c>
      <c r="G3503" t="s" s="2">
        <v>17</v>
      </c>
      <c r="H3503" t="s" s="2">
        <v>19</v>
      </c>
      <c r="I3503" t="s" s="2">
        <v>13660</v>
      </c>
      <c r="J3503" t="s" s="2">
        <v>13661</v>
      </c>
      <c r="K3503" t="s" s="2">
        <v>22</v>
      </c>
      <c r="L3503" t="s" s="2">
        <v>22</v>
      </c>
      <c r="M3503" t="s" s="2">
        <v>22</v>
      </c>
    </row>
    <row r="3504" ht="25.0" customHeight="true">
      <c r="A3504" t="s" s="2">
        <v>13</v>
      </c>
      <c r="B3504" t="s" s="2">
        <f>HYPERLINK("http://ts.21cn.com/tousu/show/id/1370377","软暴力催收恐吓担保费不合理")</f>
      </c>
      <c r="C3504" t="s" s="2">
        <v>15</v>
      </c>
      <c r="D3504" t="s" s="2">
        <v>16</v>
      </c>
      <c r="E3504" t="s" s="2">
        <v>17</v>
      </c>
      <c r="F3504" t="s" s="2">
        <f>HYPERLINK("http://ts.21cn.com/tousu/show/id/1370377","http://ts.21cn.com/tousu/show/id/1370377")</f>
      </c>
      <c r="G3504" t="s" s="2">
        <v>17</v>
      </c>
      <c r="H3504" t="s" s="2">
        <v>19</v>
      </c>
      <c r="I3504" t="s" s="2">
        <v>13664</v>
      </c>
      <c r="J3504" t="s" s="2">
        <v>13665</v>
      </c>
      <c r="K3504" t="s" s="2">
        <v>22</v>
      </c>
      <c r="L3504" t="s" s="2">
        <v>22</v>
      </c>
      <c r="M3504" t="s" s="2">
        <v>22</v>
      </c>
    </row>
    <row r="3505" ht="25.0" customHeight="true">
      <c r="A3505" t="s" s="2">
        <v>13</v>
      </c>
      <c r="B3505" t="s" s="2">
        <f>HYPERLINK("http://ts.21cn.com/tousu/show/id/1370362","交易猫购买账号被找回")</f>
      </c>
      <c r="C3505" t="s" s="2">
        <v>15</v>
      </c>
      <c r="D3505" t="s" s="2">
        <v>16</v>
      </c>
      <c r="E3505" t="s" s="2">
        <v>17</v>
      </c>
      <c r="F3505" t="s" s="2">
        <f>HYPERLINK("http://ts.21cn.com/tousu/show/id/1370362","http://ts.21cn.com/tousu/show/id/1370362")</f>
      </c>
      <c r="G3505" t="s" s="2">
        <v>17</v>
      </c>
      <c r="H3505" t="s" s="2">
        <v>19</v>
      </c>
      <c r="I3505" t="s" s="2">
        <v>13668</v>
      </c>
      <c r="J3505" t="s" s="2">
        <v>13669</v>
      </c>
      <c r="K3505" t="s" s="2">
        <v>22</v>
      </c>
      <c r="L3505" t="s" s="2">
        <v>22</v>
      </c>
      <c r="M3505" t="s" s="2">
        <v>22</v>
      </c>
    </row>
    <row r="3506" ht="25.0" customHeight="true">
      <c r="A3506" t="s" s="2">
        <v>13</v>
      </c>
      <c r="B3506" t="s" s="2">
        <f>HYPERLINK("http://ts.21cn.com/tousu/show/id/1370376","米多点高利息，砍头息")</f>
      </c>
      <c r="C3506" t="s" s="2">
        <v>52</v>
      </c>
      <c r="D3506" t="s" s="2">
        <v>16</v>
      </c>
      <c r="E3506" t="s" s="2">
        <v>17</v>
      </c>
      <c r="F3506" t="s" s="2">
        <f>HYPERLINK("http://ts.21cn.com/tousu/show/id/1370376","http://ts.21cn.com/tousu/show/id/1370376")</f>
      </c>
      <c r="G3506" t="s" s="2">
        <v>17</v>
      </c>
      <c r="H3506" t="s" s="2">
        <v>19</v>
      </c>
      <c r="I3506" t="s" s="2">
        <v>13672</v>
      </c>
      <c r="J3506" t="s" s="2">
        <v>13673</v>
      </c>
      <c r="K3506" t="s" s="2">
        <v>22</v>
      </c>
      <c r="L3506" t="s" s="2">
        <v>22</v>
      </c>
      <c r="M3506" t="s" s="2">
        <v>22</v>
      </c>
    </row>
    <row r="3507" ht="25.0" customHeight="true">
      <c r="A3507" t="s" s="2">
        <v>13</v>
      </c>
      <c r="B3507" t="s" s="2">
        <f>HYPERLINK("http://ts.21cn.com/tousu/show/id/1370375","温州中信信用卡中心骚扰")</f>
      </c>
      <c r="C3507" t="s" s="2">
        <v>15</v>
      </c>
      <c r="D3507" t="s" s="2">
        <v>16</v>
      </c>
      <c r="E3507" t="s" s="2">
        <v>17</v>
      </c>
      <c r="F3507" t="s" s="2">
        <f>HYPERLINK("http://ts.21cn.com/tousu/show/id/1370375","http://ts.21cn.com/tousu/show/id/1370375")</f>
      </c>
      <c r="G3507" t="s" s="2">
        <v>17</v>
      </c>
      <c r="H3507" t="s" s="2">
        <v>19</v>
      </c>
      <c r="I3507" t="s" s="2">
        <v>13676</v>
      </c>
      <c r="J3507" t="s" s="2">
        <v>13677</v>
      </c>
      <c r="K3507" t="s" s="2">
        <v>22</v>
      </c>
      <c r="L3507" t="s" s="2">
        <v>22</v>
      </c>
      <c r="M3507" t="s" s="2">
        <v>22</v>
      </c>
    </row>
    <row r="3508" ht="25.0" customHeight="true">
      <c r="A3508" t="s" s="2">
        <v>13</v>
      </c>
      <c r="B3508" t="s" s="2">
        <f>HYPERLINK("http://ts.21cn.com/tousu/show/id/1370373","未及时通知还款时间限制导致有逾期记录")</f>
      </c>
      <c r="C3508" t="s" s="2">
        <v>15</v>
      </c>
      <c r="D3508" t="s" s="2">
        <v>16</v>
      </c>
      <c r="E3508" t="s" s="2">
        <v>17</v>
      </c>
      <c r="F3508" t="s" s="2">
        <f>HYPERLINK("http://ts.21cn.com/tousu/show/id/1370373","http://ts.21cn.com/tousu/show/id/1370373")</f>
      </c>
      <c r="G3508" t="s" s="2">
        <v>17</v>
      </c>
      <c r="H3508" t="s" s="2">
        <v>19</v>
      </c>
      <c r="I3508" t="s" s="2">
        <v>13680</v>
      </c>
      <c r="J3508" t="s" s="2">
        <v>13681</v>
      </c>
      <c r="K3508" t="s" s="2">
        <v>22</v>
      </c>
      <c r="L3508" t="s" s="2">
        <v>22</v>
      </c>
      <c r="M3508" t="s" s="2">
        <v>22</v>
      </c>
    </row>
    <row r="3509" ht="25.0" customHeight="true">
      <c r="A3509" t="s" s="2">
        <v>13</v>
      </c>
      <c r="B3509" t="s" s="2">
        <f>HYPERLINK("http://ts.21cn.com/tousu/show/id/1370371","苏宁易购电子商务有限公司")</f>
      </c>
      <c r="C3509" t="s" s="2">
        <v>15</v>
      </c>
      <c r="D3509" t="s" s="2">
        <v>16</v>
      </c>
      <c r="E3509" t="s" s="2">
        <v>17</v>
      </c>
      <c r="F3509" t="s" s="2">
        <f>HYPERLINK("http://ts.21cn.com/tousu/show/id/1370371","http://ts.21cn.com/tousu/show/id/1370371")</f>
      </c>
      <c r="G3509" t="s" s="2">
        <v>17</v>
      </c>
      <c r="H3509" t="s" s="2">
        <v>19</v>
      </c>
      <c r="I3509" t="s" s="2">
        <v>13684</v>
      </c>
      <c r="J3509" t="s" s="2">
        <v>13685</v>
      </c>
      <c r="K3509" t="s" s="2">
        <v>22</v>
      </c>
      <c r="L3509" t="s" s="2">
        <v>22</v>
      </c>
      <c r="M3509" t="s" s="2">
        <v>22</v>
      </c>
    </row>
    <row r="3510" ht="25.0" customHeight="true">
      <c r="A3510" t="s" s="2">
        <v>13</v>
      </c>
      <c r="B3510" t="s" s="2">
        <f>HYPERLINK("http://ts.21cn.com/tousu/show/id/1370370","叉叉ipa精灵不退款,退款难")</f>
      </c>
      <c r="C3510" t="s" s="2">
        <v>15</v>
      </c>
      <c r="D3510" t="s" s="2">
        <v>16</v>
      </c>
      <c r="E3510" t="s" s="2">
        <v>17</v>
      </c>
      <c r="F3510" t="s" s="2">
        <f>HYPERLINK("http://ts.21cn.com/tousu/show/id/1370370","http://ts.21cn.com/tousu/show/id/1370370")</f>
      </c>
      <c r="G3510" t="s" s="2">
        <v>17</v>
      </c>
      <c r="H3510" t="s" s="2">
        <v>19</v>
      </c>
      <c r="I3510" t="s" s="2">
        <v>13687</v>
      </c>
      <c r="J3510" t="s" s="2">
        <v>13688</v>
      </c>
      <c r="K3510" t="s" s="2">
        <v>22</v>
      </c>
      <c r="L3510" t="s" s="2">
        <v>22</v>
      </c>
      <c r="M3510" t="s" s="2">
        <v>22</v>
      </c>
    </row>
    <row r="3511" ht="25.0" customHeight="true">
      <c r="A3511" t="s" s="2">
        <v>13</v>
      </c>
      <c r="B3511" t="s" s="2">
        <f>HYPERLINK("http://ts.21cn.com/tousu/show/id/1370367","约单APP充值后不能提现")</f>
      </c>
      <c r="C3511" t="s" s="2">
        <v>15</v>
      </c>
      <c r="D3511" t="s" s="2">
        <v>16</v>
      </c>
      <c r="E3511" t="s" s="2">
        <v>17</v>
      </c>
      <c r="F3511" t="s" s="2">
        <f>HYPERLINK("http://ts.21cn.com/tousu/show/id/1370367","http://ts.21cn.com/tousu/show/id/1370367")</f>
      </c>
      <c r="G3511" t="s" s="2">
        <v>17</v>
      </c>
      <c r="H3511" t="s" s="2">
        <v>19</v>
      </c>
      <c r="I3511" t="s" s="2">
        <v>13690</v>
      </c>
      <c r="J3511" t="s" s="2">
        <v>13691</v>
      </c>
      <c r="K3511" t="s" s="2">
        <v>22</v>
      </c>
      <c r="L3511" t="s" s="2">
        <v>22</v>
      </c>
      <c r="M3511" t="s" s="2">
        <v>22</v>
      </c>
    </row>
    <row r="3512" ht="25.0" customHeight="true">
      <c r="A3512" t="s" s="2">
        <v>13</v>
      </c>
      <c r="B3512" t="s" s="2">
        <f>HYPERLINK("http://ts.21cn.com/tousu/show/id/1370366","玖富万卡高利息")</f>
      </c>
      <c r="C3512" t="s" s="2">
        <v>15</v>
      </c>
      <c r="D3512" t="s" s="2">
        <v>16</v>
      </c>
      <c r="E3512" t="s" s="2">
        <v>17</v>
      </c>
      <c r="F3512" t="s" s="2">
        <f>HYPERLINK("http://ts.21cn.com/tousu/show/id/1370366","http://ts.21cn.com/tousu/show/id/1370366")</f>
      </c>
      <c r="G3512" t="s" s="2">
        <v>17</v>
      </c>
      <c r="H3512" t="s" s="2">
        <v>19</v>
      </c>
      <c r="I3512" t="s" s="2">
        <v>13694</v>
      </c>
      <c r="J3512" t="s" s="2">
        <v>13695</v>
      </c>
      <c r="K3512" t="s" s="2">
        <v>22</v>
      </c>
      <c r="L3512" t="s" s="2">
        <v>22</v>
      </c>
      <c r="M3512" t="s" s="2">
        <v>22</v>
      </c>
    </row>
    <row r="3513" ht="25.0" customHeight="true">
      <c r="A3513" t="s" s="2">
        <v>13</v>
      </c>
      <c r="B3513" t="s" s="2">
        <f>HYPERLINK("http://ts.21cn.com/tousu/show/id/1370365","永恒优享小饭票非法砍头息高利贷")</f>
      </c>
      <c r="C3513" t="s" s="2">
        <v>15</v>
      </c>
      <c r="D3513" t="s" s="2">
        <v>16</v>
      </c>
      <c r="E3513" t="s" s="2">
        <v>17</v>
      </c>
      <c r="F3513" t="s" s="2">
        <f>HYPERLINK("http://ts.21cn.com/tousu/show/id/1370365","http://ts.21cn.com/tousu/show/id/1370365")</f>
      </c>
      <c r="G3513" t="s" s="2">
        <v>17</v>
      </c>
      <c r="H3513" t="s" s="2">
        <v>19</v>
      </c>
      <c r="I3513" t="s" s="2">
        <v>13698</v>
      </c>
      <c r="J3513" t="s" s="2">
        <v>13699</v>
      </c>
      <c r="K3513" t="s" s="2">
        <v>22</v>
      </c>
      <c r="L3513" t="s" s="2">
        <v>22</v>
      </c>
      <c r="M3513" t="s" s="2">
        <v>22</v>
      </c>
    </row>
    <row r="3514" ht="25.0" customHeight="true">
      <c r="A3514" t="s" s="2">
        <v>13</v>
      </c>
      <c r="B3514" t="s" s="2">
        <f>HYPERLINK("http://ts.21cn.com/tousu/show/id/1370364","明目张胆高利贷")</f>
      </c>
      <c r="C3514" t="s" s="2">
        <v>15</v>
      </c>
      <c r="D3514" t="s" s="2">
        <v>16</v>
      </c>
      <c r="E3514" t="s" s="2">
        <v>17</v>
      </c>
      <c r="F3514" t="s" s="2">
        <f>HYPERLINK("http://ts.21cn.com/tousu/show/id/1370364","http://ts.21cn.com/tousu/show/id/1370364")</f>
      </c>
      <c r="G3514" t="s" s="2">
        <v>17</v>
      </c>
      <c r="H3514" t="s" s="2">
        <v>19</v>
      </c>
      <c r="I3514" t="s" s="2">
        <v>13702</v>
      </c>
      <c r="J3514" t="s" s="2">
        <v>13703</v>
      </c>
      <c r="K3514" t="s" s="2">
        <v>22</v>
      </c>
      <c r="L3514" t="s" s="2">
        <v>22</v>
      </c>
      <c r="M3514" t="s" s="2">
        <v>22</v>
      </c>
    </row>
    <row r="3515" ht="25.0" customHeight="true">
      <c r="A3515" t="s" s="2">
        <v>13</v>
      </c>
      <c r="B3515" t="s" s="2">
        <f>HYPERLINK("http://ts.21cn.com/tousu/show/id/1370363","玖富高利贷")</f>
      </c>
      <c r="C3515" t="s" s="2">
        <v>15</v>
      </c>
      <c r="D3515" t="s" s="2">
        <v>16</v>
      </c>
      <c r="E3515" t="s" s="2">
        <v>17</v>
      </c>
      <c r="F3515" t="s" s="2">
        <f>HYPERLINK("http://ts.21cn.com/tousu/show/id/1370363","http://ts.21cn.com/tousu/show/id/1370363")</f>
      </c>
      <c r="G3515" t="s" s="2">
        <v>17</v>
      </c>
      <c r="H3515" t="s" s="2">
        <v>19</v>
      </c>
      <c r="I3515" t="s" s="2">
        <v>13705</v>
      </c>
      <c r="J3515" t="s" s="2">
        <v>13706</v>
      </c>
      <c r="K3515" t="s" s="2">
        <v>22</v>
      </c>
      <c r="L3515" t="s" s="2">
        <v>22</v>
      </c>
      <c r="M3515" t="s" s="2">
        <v>22</v>
      </c>
    </row>
    <row r="3516" ht="25.0" customHeight="true">
      <c r="A3516" t="s" s="2">
        <v>13</v>
      </c>
      <c r="B3516" t="s" s="2">
        <f>HYPERLINK("http://ts.21cn.com/tousu/show/id/1370361","瓜子二手车车况不符不退意向金")</f>
      </c>
      <c r="C3516" t="s" s="2">
        <v>52</v>
      </c>
      <c r="D3516" t="s" s="2">
        <v>16</v>
      </c>
      <c r="E3516" t="s" s="2">
        <v>17</v>
      </c>
      <c r="F3516" t="s" s="2">
        <f>HYPERLINK("http://ts.21cn.com/tousu/show/id/1370361","http://ts.21cn.com/tousu/show/id/1370361")</f>
      </c>
      <c r="G3516" t="s" s="2">
        <v>17</v>
      </c>
      <c r="H3516" t="s" s="2">
        <v>19</v>
      </c>
      <c r="I3516" t="s" s="2">
        <v>13709</v>
      </c>
      <c r="J3516" t="s" s="2">
        <v>13710</v>
      </c>
      <c r="K3516" t="s" s="2">
        <v>22</v>
      </c>
      <c r="L3516" t="s" s="2">
        <v>22</v>
      </c>
      <c r="M3516" t="s" s="2">
        <v>22</v>
      </c>
    </row>
    <row r="3517" ht="25.0" customHeight="true">
      <c r="A3517" t="s" s="2">
        <v>13</v>
      </c>
      <c r="B3517" t="s" s="2">
        <f>HYPERLINK("http://ts.21cn.com/tousu/show/id/1370360","浦发聘请社会人员上门催收")</f>
      </c>
      <c r="C3517" t="s" s="2">
        <v>15</v>
      </c>
      <c r="D3517" t="s" s="2">
        <v>16</v>
      </c>
      <c r="E3517" t="s" s="2">
        <v>17</v>
      </c>
      <c r="F3517" t="s" s="2">
        <f>HYPERLINK("http://ts.21cn.com/tousu/show/id/1370360","http://ts.21cn.com/tousu/show/id/1370360")</f>
      </c>
      <c r="G3517" t="s" s="2">
        <v>17</v>
      </c>
      <c r="H3517" t="s" s="2">
        <v>19</v>
      </c>
      <c r="I3517" t="s" s="2">
        <v>13713</v>
      </c>
      <c r="J3517" t="s" s="2">
        <v>13714</v>
      </c>
      <c r="K3517" t="s" s="2">
        <v>22</v>
      </c>
      <c r="L3517" t="s" s="2">
        <v>22</v>
      </c>
      <c r="M3517" t="s" s="2">
        <v>22</v>
      </c>
    </row>
    <row r="3518" ht="25.0" customHeight="true">
      <c r="A3518" t="s" s="2">
        <v>13</v>
      </c>
      <c r="B3518" t="s" s="2">
        <f>HYPERLINK("http://ts.21cn.com/tousu/show/id/1370359","无法还款")</f>
      </c>
      <c r="C3518" t="s" s="2">
        <v>15</v>
      </c>
      <c r="D3518" t="s" s="2">
        <v>16</v>
      </c>
      <c r="E3518" t="s" s="2">
        <v>17</v>
      </c>
      <c r="F3518" t="s" s="2">
        <f>HYPERLINK("http://ts.21cn.com/tousu/show/id/1370359","http://ts.21cn.com/tousu/show/id/1370359")</f>
      </c>
      <c r="G3518" t="s" s="2">
        <v>17</v>
      </c>
      <c r="H3518" t="s" s="2">
        <v>19</v>
      </c>
      <c r="I3518" t="s" s="2">
        <v>13717</v>
      </c>
      <c r="J3518" t="s" s="2">
        <v>13718</v>
      </c>
      <c r="K3518" t="s" s="2">
        <v>22</v>
      </c>
      <c r="L3518" t="s" s="2">
        <v>22</v>
      </c>
      <c r="M3518" t="s" s="2">
        <v>22</v>
      </c>
    </row>
    <row r="3519" ht="25.0" customHeight="true">
      <c r="A3519" t="s" s="2">
        <v>13</v>
      </c>
      <c r="B3519" t="s" s="2">
        <f>HYPERLINK("http://ts.21cn.com/tousu/show/id/1370358","同程旅游提钱游拒不退款！！！")</f>
      </c>
      <c r="C3519" t="s" s="2">
        <v>15</v>
      </c>
      <c r="D3519" t="s" s="2">
        <v>16</v>
      </c>
      <c r="E3519" t="s" s="2">
        <v>17</v>
      </c>
      <c r="F3519" t="s" s="2">
        <f>HYPERLINK("http://ts.21cn.com/tousu/show/id/1370358","http://ts.21cn.com/tousu/show/id/1370358")</f>
      </c>
      <c r="G3519" t="s" s="2">
        <v>17</v>
      </c>
      <c r="H3519" t="s" s="2">
        <v>19</v>
      </c>
      <c r="I3519" t="s" s="2">
        <v>13721</v>
      </c>
      <c r="J3519" t="s" s="2">
        <v>13722</v>
      </c>
      <c r="K3519" t="s" s="2">
        <v>22</v>
      </c>
      <c r="L3519" t="s" s="2">
        <v>22</v>
      </c>
      <c r="M3519" t="s" s="2">
        <v>22</v>
      </c>
    </row>
    <row r="3520" ht="25.0" customHeight="true">
      <c r="A3520" t="s" s="2">
        <v>13</v>
      </c>
      <c r="B3520" t="s" s="2">
        <f>HYPERLINK("http://ts.21cn.com/tousu/show/id/1370356","小闪分期，原快闪卡贷高利贷")</f>
      </c>
      <c r="C3520" t="s" s="2">
        <v>15</v>
      </c>
      <c r="D3520" t="s" s="2">
        <v>16</v>
      </c>
      <c r="E3520" t="s" s="2">
        <v>17</v>
      </c>
      <c r="F3520" t="s" s="2">
        <f>HYPERLINK("http://ts.21cn.com/tousu/show/id/1370356","http://ts.21cn.com/tousu/show/id/1370356")</f>
      </c>
      <c r="G3520" t="s" s="2">
        <v>17</v>
      </c>
      <c r="H3520" t="s" s="2">
        <v>19</v>
      </c>
      <c r="I3520" t="s" s="2">
        <v>13725</v>
      </c>
      <c r="J3520" t="s" s="2">
        <v>13726</v>
      </c>
      <c r="K3520" t="s" s="2">
        <v>22</v>
      </c>
      <c r="L3520" t="s" s="2">
        <v>22</v>
      </c>
      <c r="M3520" t="s" s="2">
        <v>22</v>
      </c>
    </row>
    <row r="3521" ht="25.0" customHeight="true">
      <c r="A3521" t="s" s="2">
        <v>13</v>
      </c>
      <c r="B3521" t="s" s="2">
        <f>HYPERLINK("http://ts.21cn.com/tousu/show/id/1370355","钱站高利贷，砍头息，阴阳合同，服务差")</f>
      </c>
      <c r="C3521" t="s" s="2">
        <v>15</v>
      </c>
      <c r="D3521" t="s" s="2">
        <v>16</v>
      </c>
      <c r="E3521" t="s" s="2">
        <v>17</v>
      </c>
      <c r="F3521" t="s" s="2">
        <f>HYPERLINK("http://ts.21cn.com/tousu/show/id/1370355","http://ts.21cn.com/tousu/show/id/1370355")</f>
      </c>
      <c r="G3521" t="s" s="2">
        <v>17</v>
      </c>
      <c r="H3521" t="s" s="2">
        <v>19</v>
      </c>
      <c r="I3521" t="s" s="2">
        <v>13729</v>
      </c>
      <c r="J3521" t="s" s="2">
        <v>13730</v>
      </c>
      <c r="K3521" t="s" s="2">
        <v>22</v>
      </c>
      <c r="L3521" t="s" s="2">
        <v>22</v>
      </c>
      <c r="M3521" t="s" s="2">
        <v>22</v>
      </c>
    </row>
    <row r="3522" ht="25.0" customHeight="true">
      <c r="A3522" t="s" s="2">
        <v>13</v>
      </c>
      <c r="B3522" t="s" s="2">
        <f>HYPERLINK("http://ts.21cn.com/tousu/show/id/1370354","招商银行信用卡恐吓，暴力催收")</f>
      </c>
      <c r="C3522" t="s" s="2">
        <v>15</v>
      </c>
      <c r="D3522" t="s" s="2">
        <v>16</v>
      </c>
      <c r="E3522" t="s" s="2">
        <v>17</v>
      </c>
      <c r="F3522" t="s" s="2">
        <f>HYPERLINK("http://ts.21cn.com/tousu/show/id/1370354","http://ts.21cn.com/tousu/show/id/1370354")</f>
      </c>
      <c r="G3522" t="s" s="2">
        <v>17</v>
      </c>
      <c r="H3522" t="s" s="2">
        <v>19</v>
      </c>
      <c r="I3522" t="s" s="2">
        <v>13733</v>
      </c>
      <c r="J3522" t="s" s="2">
        <v>13734</v>
      </c>
      <c r="K3522" t="s" s="2">
        <v>22</v>
      </c>
      <c r="L3522" t="s" s="2">
        <v>22</v>
      </c>
      <c r="M3522" t="s" s="2">
        <v>22</v>
      </c>
    </row>
    <row r="3523" ht="25.0" customHeight="true">
      <c r="A3523" t="s" s="2">
        <v>13</v>
      </c>
      <c r="B3523" t="s" s="2">
        <f>HYPERLINK("http://ts.21cn.com/tousu/show/id/1370353","手机借钱app多宝分期高利贷")</f>
      </c>
      <c r="C3523" t="s" s="2">
        <v>15</v>
      </c>
      <c r="D3523" t="s" s="2">
        <v>16</v>
      </c>
      <c r="E3523" t="s" s="2">
        <v>17</v>
      </c>
      <c r="F3523" t="s" s="2">
        <f>HYPERLINK("http://ts.21cn.com/tousu/show/id/1370353","http://ts.21cn.com/tousu/show/id/1370353")</f>
      </c>
      <c r="G3523" t="s" s="2">
        <v>17</v>
      </c>
      <c r="H3523" t="s" s="2">
        <v>19</v>
      </c>
      <c r="I3523" t="s" s="2">
        <v>13736</v>
      </c>
      <c r="J3523" t="s" s="2">
        <v>13737</v>
      </c>
      <c r="K3523" t="s" s="2">
        <v>22</v>
      </c>
      <c r="L3523" t="s" s="2">
        <v>22</v>
      </c>
      <c r="M3523" t="s" s="2">
        <v>22</v>
      </c>
    </row>
    <row r="3524" ht="25.0" customHeight="true">
      <c r="A3524" t="s" s="2">
        <v>13</v>
      </c>
      <c r="B3524" t="s" s="2">
        <f>HYPERLINK("http://ts.21cn.com/tousu/show/id/1370352","骚扰联系人，以及联系人公司")</f>
      </c>
      <c r="C3524" t="s" s="2">
        <v>15</v>
      </c>
      <c r="D3524" t="s" s="2">
        <v>16</v>
      </c>
      <c r="E3524" t="s" s="2">
        <v>17</v>
      </c>
      <c r="F3524" t="s" s="2">
        <f>HYPERLINK("http://ts.21cn.com/tousu/show/id/1370352","http://ts.21cn.com/tousu/show/id/1370352")</f>
      </c>
      <c r="G3524" t="s" s="2">
        <v>17</v>
      </c>
      <c r="H3524" t="s" s="2">
        <v>19</v>
      </c>
      <c r="I3524" t="s" s="2">
        <v>13740</v>
      </c>
      <c r="J3524" t="s" s="2">
        <v>13741</v>
      </c>
      <c r="K3524" t="s" s="2">
        <v>22</v>
      </c>
      <c r="L3524" t="s" s="2">
        <v>22</v>
      </c>
      <c r="M3524" t="s" s="2">
        <v>22</v>
      </c>
    </row>
    <row r="3525" ht="25.0" customHeight="true">
      <c r="A3525" t="s" s="2">
        <v>13</v>
      </c>
      <c r="B3525" t="s" s="2">
        <f>HYPERLINK("http://ts.21cn.com/tousu/show/id/1370351","网贷催收")</f>
      </c>
      <c r="C3525" t="s" s="2">
        <v>15</v>
      </c>
      <c r="D3525" t="s" s="2">
        <v>16</v>
      </c>
      <c r="E3525" t="s" s="2">
        <v>17</v>
      </c>
      <c r="F3525" t="s" s="2">
        <f>HYPERLINK("http://ts.21cn.com/tousu/show/id/1370351","http://ts.21cn.com/tousu/show/id/1370351")</f>
      </c>
      <c r="G3525" t="s" s="2">
        <v>17</v>
      </c>
      <c r="H3525" t="s" s="2">
        <v>19</v>
      </c>
      <c r="I3525" t="s" s="2">
        <v>13743</v>
      </c>
      <c r="J3525" t="s" s="2">
        <v>13744</v>
      </c>
      <c r="K3525" t="s" s="2">
        <v>22</v>
      </c>
      <c r="L3525" t="s" s="2">
        <v>22</v>
      </c>
      <c r="M3525" t="s" s="2">
        <v>22</v>
      </c>
    </row>
    <row r="3526" ht="25.0" customHeight="true">
      <c r="A3526" t="s" s="2">
        <v>13</v>
      </c>
      <c r="B3526" t="s" s="2">
        <f>HYPERLINK("http://ts.21cn.com/tousu/show/id/1370350","北京雅酷时空信息交换技术有限公司还我血汗钱")</f>
      </c>
      <c r="C3526" t="s" s="2">
        <v>15</v>
      </c>
      <c r="D3526" t="s" s="2">
        <v>16</v>
      </c>
      <c r="E3526" t="s" s="2">
        <v>17</v>
      </c>
      <c r="F3526" t="s" s="2">
        <f>HYPERLINK("http://ts.21cn.com/tousu/show/id/1370350","http://ts.21cn.com/tousu/show/id/1370350")</f>
      </c>
      <c r="G3526" t="s" s="2">
        <v>17</v>
      </c>
      <c r="H3526" t="s" s="2">
        <v>19</v>
      </c>
      <c r="I3526" t="s" s="2">
        <v>13747</v>
      </c>
      <c r="J3526" t="s" s="2">
        <v>13748</v>
      </c>
      <c r="K3526" t="s" s="2">
        <v>22</v>
      </c>
      <c r="L3526" t="s" s="2">
        <v>22</v>
      </c>
      <c r="M3526" t="s" s="2">
        <v>22</v>
      </c>
    </row>
    <row r="3527" ht="25.0" customHeight="true">
      <c r="A3527" t="s" s="2">
        <v>13</v>
      </c>
      <c r="B3527" t="s" s="2">
        <f>HYPERLINK("http://ts.21cn.com/tousu/show/id/1370349","樊登读书会重复充值")</f>
      </c>
      <c r="C3527" t="s" s="2">
        <v>52</v>
      </c>
      <c r="D3527" t="s" s="2">
        <v>16</v>
      </c>
      <c r="E3527" t="s" s="2">
        <v>17</v>
      </c>
      <c r="F3527" t="s" s="2">
        <f>HYPERLINK("http://ts.21cn.com/tousu/show/id/1370349","http://ts.21cn.com/tousu/show/id/1370349")</f>
      </c>
      <c r="G3527" t="s" s="2">
        <v>17</v>
      </c>
      <c r="H3527" t="s" s="2">
        <v>19</v>
      </c>
      <c r="I3527" t="s" s="2">
        <v>13751</v>
      </c>
      <c r="J3527" t="s" s="2">
        <v>13752</v>
      </c>
      <c r="K3527" t="s" s="2">
        <v>22</v>
      </c>
      <c r="L3527" t="s" s="2">
        <v>22</v>
      </c>
      <c r="M3527" t="s" s="2">
        <v>22</v>
      </c>
    </row>
    <row r="3528" ht="25.0" customHeight="true">
      <c r="A3528" t="s" s="2">
        <v>13</v>
      </c>
      <c r="B3528" t="s" s="2">
        <f>HYPERLINK("http://ts.21cn.com/tousu/show/id/1370348","拍拍贷不给协商延期，晚上打电话骚扰家人")</f>
      </c>
      <c r="C3528" t="s" s="2">
        <v>15</v>
      </c>
      <c r="D3528" t="s" s="2">
        <v>16</v>
      </c>
      <c r="E3528" t="s" s="2">
        <v>17</v>
      </c>
      <c r="F3528" t="s" s="2">
        <f>HYPERLINK("http://ts.21cn.com/tousu/show/id/1370348","http://ts.21cn.com/tousu/show/id/1370348")</f>
      </c>
      <c r="G3528" t="s" s="2">
        <v>17</v>
      </c>
      <c r="H3528" t="s" s="2">
        <v>19</v>
      </c>
      <c r="I3528" t="s" s="2">
        <v>13755</v>
      </c>
      <c r="J3528" t="s" s="2">
        <v>13756</v>
      </c>
      <c r="K3528" t="s" s="2">
        <v>22</v>
      </c>
      <c r="L3528" t="s" s="2">
        <v>22</v>
      </c>
      <c r="M3528" t="s" s="2">
        <v>22</v>
      </c>
    </row>
    <row r="3529" ht="25.0" customHeight="true">
      <c r="A3529" t="s" s="2">
        <v>13</v>
      </c>
      <c r="B3529" t="s" s="2">
        <f>HYPERLINK("http://ts.21cn.com/tousu/show/id/1370347","玖富万卡高额利息并且在协商还款中显示逾期")</f>
      </c>
      <c r="C3529" t="s" s="2">
        <v>15</v>
      </c>
      <c r="D3529" t="s" s="2">
        <v>16</v>
      </c>
      <c r="E3529" t="s" s="2">
        <v>17</v>
      </c>
      <c r="F3529" t="s" s="2">
        <f>HYPERLINK("http://ts.21cn.com/tousu/show/id/1370347","http://ts.21cn.com/tousu/show/id/1370347")</f>
      </c>
      <c r="G3529" t="s" s="2">
        <v>17</v>
      </c>
      <c r="H3529" t="s" s="2">
        <v>19</v>
      </c>
      <c r="I3529" t="s" s="2">
        <v>13759</v>
      </c>
      <c r="J3529" t="s" s="2">
        <v>13760</v>
      </c>
      <c r="K3529" t="s" s="2">
        <v>22</v>
      </c>
      <c r="L3529" t="s" s="2">
        <v>22</v>
      </c>
      <c r="M3529" t="s" s="2">
        <v>22</v>
      </c>
    </row>
    <row r="3530" ht="25.0" customHeight="true">
      <c r="A3530" t="s" s="2">
        <v>13</v>
      </c>
      <c r="B3530" t="s" s="2">
        <f>HYPERLINK("http://ts.21cn.com/tousu/show/id/1370344","网贷要我开会员，开了借款还失败")</f>
      </c>
      <c r="C3530" t="s" s="2">
        <v>15</v>
      </c>
      <c r="D3530" t="s" s="2">
        <v>16</v>
      </c>
      <c r="E3530" t="s" s="2">
        <v>17</v>
      </c>
      <c r="F3530" t="s" s="2">
        <f>HYPERLINK("http://ts.21cn.com/tousu/show/id/1370344","http://ts.21cn.com/tousu/show/id/1370344")</f>
      </c>
      <c r="G3530" t="s" s="2">
        <v>17</v>
      </c>
      <c r="H3530" t="s" s="2">
        <v>19</v>
      </c>
      <c r="I3530" t="s" s="2">
        <v>13763</v>
      </c>
      <c r="J3530" t="s" s="2">
        <v>13764</v>
      </c>
      <c r="K3530" t="s" s="2">
        <v>22</v>
      </c>
      <c r="L3530" t="s" s="2">
        <v>22</v>
      </c>
      <c r="M3530" t="s" s="2">
        <v>22</v>
      </c>
    </row>
    <row r="3531" ht="25.0" customHeight="true">
      <c r="A3531" t="s" s="2">
        <v>13</v>
      </c>
      <c r="B3531" t="s" s="2">
        <f>HYPERLINK("http://ts.21cn.com/tousu/show/id/1370346","活力花保险砍头息")</f>
      </c>
      <c r="C3531" t="s" s="2">
        <v>15</v>
      </c>
      <c r="D3531" t="s" s="2">
        <v>16</v>
      </c>
      <c r="E3531" t="s" s="2">
        <v>17</v>
      </c>
      <c r="F3531" t="s" s="2">
        <f>HYPERLINK("http://ts.21cn.com/tousu/show/id/1370346","http://ts.21cn.com/tousu/show/id/1370346")</f>
      </c>
      <c r="G3531" t="s" s="2">
        <v>17</v>
      </c>
      <c r="H3531" t="s" s="2">
        <v>19</v>
      </c>
      <c r="I3531" t="s" s="2">
        <v>13767</v>
      </c>
      <c r="J3531" t="s" s="2">
        <v>13768</v>
      </c>
      <c r="K3531" t="s" s="2">
        <v>22</v>
      </c>
      <c r="L3531" t="s" s="2">
        <v>22</v>
      </c>
      <c r="M3531" t="s" s="2">
        <v>22</v>
      </c>
    </row>
    <row r="3532" ht="25.0" customHeight="true">
      <c r="A3532" t="s" s="2">
        <v>13</v>
      </c>
      <c r="B3532" t="s" s="2">
        <f>HYPERLINK("http://ts.21cn.com/tousu/show/id/1370345","月光侠分期阴阳合同，实际到账金额和合同金额差很多高额砍头息")</f>
      </c>
      <c r="C3532" t="s" s="2">
        <v>15</v>
      </c>
      <c r="D3532" t="s" s="2">
        <v>16</v>
      </c>
      <c r="E3532" t="s" s="2">
        <v>17</v>
      </c>
      <c r="F3532" t="s" s="2">
        <f>HYPERLINK("http://ts.21cn.com/tousu/show/id/1370345","http://ts.21cn.com/tousu/show/id/1370345")</f>
      </c>
      <c r="G3532" t="s" s="2">
        <v>17</v>
      </c>
      <c r="H3532" t="s" s="2">
        <v>19</v>
      </c>
      <c r="I3532" t="s" s="2">
        <v>13771</v>
      </c>
      <c r="J3532" t="s" s="2">
        <v>13772</v>
      </c>
      <c r="K3532" t="s" s="2">
        <v>22</v>
      </c>
      <c r="L3532" t="s" s="2">
        <v>22</v>
      </c>
      <c r="M3532" t="s" s="2">
        <v>22</v>
      </c>
    </row>
    <row r="3533" ht="25.0" customHeight="true">
      <c r="A3533" t="s" s="2">
        <v>13</v>
      </c>
      <c r="B3533" t="s" s="2">
        <f>HYPERLINK("http://ts.21cn.com/tousu/show/id/1370343","利息高")</f>
      </c>
      <c r="C3533" t="s" s="2">
        <v>52</v>
      </c>
      <c r="D3533" t="s" s="2">
        <v>16</v>
      </c>
      <c r="E3533" t="s" s="2">
        <v>17</v>
      </c>
      <c r="F3533" t="s" s="2">
        <f>HYPERLINK("http://ts.21cn.com/tousu/show/id/1370343","http://ts.21cn.com/tousu/show/id/1370343")</f>
      </c>
      <c r="G3533" t="s" s="2">
        <v>17</v>
      </c>
      <c r="H3533" t="s" s="2">
        <v>19</v>
      </c>
      <c r="I3533" t="s" s="2">
        <v>13774</v>
      </c>
      <c r="J3533" t="s" s="2">
        <v>13775</v>
      </c>
      <c r="K3533" t="s" s="2">
        <v>22</v>
      </c>
      <c r="L3533" t="s" s="2">
        <v>22</v>
      </c>
      <c r="M3533" t="s" s="2">
        <v>22</v>
      </c>
    </row>
    <row r="3534" ht="25.0" customHeight="true">
      <c r="A3534" t="s" s="2">
        <v>13</v>
      </c>
      <c r="B3534" t="s" s="2">
        <f>HYPERLINK("http://ts.21cn.com/tousu/show/id/1370341","退还收取费用")</f>
      </c>
      <c r="C3534" t="s" s="2">
        <v>15</v>
      </c>
      <c r="D3534" t="s" s="2">
        <v>16</v>
      </c>
      <c r="E3534" t="s" s="2">
        <v>17</v>
      </c>
      <c r="F3534" t="s" s="2">
        <f>HYPERLINK("http://ts.21cn.com/tousu/show/id/1370341","http://ts.21cn.com/tousu/show/id/1370341")</f>
      </c>
      <c r="G3534" t="s" s="2">
        <v>17</v>
      </c>
      <c r="H3534" t="s" s="2">
        <v>19</v>
      </c>
      <c r="I3534" t="s" s="2">
        <v>13778</v>
      </c>
      <c r="J3534" t="s" s="2">
        <v>13779</v>
      </c>
      <c r="K3534" t="s" s="2">
        <v>22</v>
      </c>
      <c r="L3534" t="s" s="2">
        <v>22</v>
      </c>
      <c r="M3534" t="s" s="2">
        <v>22</v>
      </c>
    </row>
    <row r="3535" ht="25.0" customHeight="true">
      <c r="A3535" t="s" s="2">
        <v>13</v>
      </c>
      <c r="B3535" t="s" s="2">
        <f>HYPERLINK("http://ts.21cn.com/tousu/show/id/1370342","快捷通支付，给乾广分期提供通道放超高利贷")</f>
      </c>
      <c r="C3535" t="s" s="2">
        <v>15</v>
      </c>
      <c r="D3535" t="s" s="2">
        <v>16</v>
      </c>
      <c r="E3535" t="s" s="2">
        <v>17</v>
      </c>
      <c r="F3535" t="s" s="2">
        <f>HYPERLINK("http://ts.21cn.com/tousu/show/id/1370342","http://ts.21cn.com/tousu/show/id/1370342")</f>
      </c>
      <c r="G3535" t="s" s="2">
        <v>17</v>
      </c>
      <c r="H3535" t="s" s="2">
        <v>19</v>
      </c>
      <c r="I3535" t="s" s="2">
        <v>13782</v>
      </c>
      <c r="J3535" t="s" s="2">
        <v>13783</v>
      </c>
      <c r="K3535" t="s" s="2">
        <v>22</v>
      </c>
      <c r="L3535" t="s" s="2">
        <v>22</v>
      </c>
      <c r="M3535" t="s" s="2">
        <v>22</v>
      </c>
    </row>
    <row r="3536" ht="25.0" customHeight="true">
      <c r="A3536" t="s" s="2">
        <v>13</v>
      </c>
      <c r="B3536" t="s" s="2">
        <f>HYPERLINK("http://ts.21cn.com/tousu/show/id/1370340","携程虚假宣传砍价")</f>
      </c>
      <c r="C3536" t="s" s="2">
        <v>15</v>
      </c>
      <c r="D3536" t="s" s="2">
        <v>16</v>
      </c>
      <c r="E3536" t="s" s="2">
        <v>17</v>
      </c>
      <c r="F3536" t="s" s="2">
        <f>HYPERLINK("http://ts.21cn.com/tousu/show/id/1370340","http://ts.21cn.com/tousu/show/id/1370340")</f>
      </c>
      <c r="G3536" t="s" s="2">
        <v>17</v>
      </c>
      <c r="H3536" t="s" s="2">
        <v>19</v>
      </c>
      <c r="I3536" t="s" s="2">
        <v>13786</v>
      </c>
      <c r="J3536" t="s" s="2">
        <v>13787</v>
      </c>
      <c r="K3536" t="s" s="2">
        <v>22</v>
      </c>
      <c r="L3536" t="s" s="2">
        <v>22</v>
      </c>
      <c r="M3536" t="s" s="2">
        <v>22</v>
      </c>
    </row>
    <row r="3537" ht="25.0" customHeight="true">
      <c r="A3537" t="s" s="2">
        <v>13</v>
      </c>
      <c r="B3537" t="s" s="2">
        <f>HYPERLINK("http://ts.21cn.com/tousu/show/id/1370339","玖富万卡才是超高额利息")</f>
      </c>
      <c r="C3537" t="s" s="2">
        <v>15</v>
      </c>
      <c r="D3537" t="s" s="2">
        <v>16</v>
      </c>
      <c r="E3537" t="s" s="2">
        <v>17</v>
      </c>
      <c r="F3537" t="s" s="2">
        <f>HYPERLINK("http://ts.21cn.com/tousu/show/id/1370339","http://ts.21cn.com/tousu/show/id/1370339")</f>
      </c>
      <c r="G3537" t="s" s="2">
        <v>17</v>
      </c>
      <c r="H3537" t="s" s="2">
        <v>19</v>
      </c>
      <c r="I3537" t="s" s="2">
        <v>13790</v>
      </c>
      <c r="J3537" t="s" s="2">
        <v>13791</v>
      </c>
      <c r="K3537" t="s" s="2">
        <v>22</v>
      </c>
      <c r="L3537" t="s" s="2">
        <v>22</v>
      </c>
      <c r="M3537" t="s" s="2">
        <v>22</v>
      </c>
    </row>
    <row r="3538" ht="25.0" customHeight="true">
      <c r="A3538" t="s" s="2">
        <v>13</v>
      </c>
      <c r="B3538" t="s" s="2">
        <f>HYPERLINK("http://ts.21cn.com/tousu/show/id/1370268","淘宝小二错误处罚，导致店铺受影响损失严重且无人为错误行为道歉")</f>
      </c>
      <c r="C3538" t="s" s="2">
        <v>15</v>
      </c>
      <c r="D3538" t="s" s="2">
        <v>16</v>
      </c>
      <c r="E3538" t="s" s="2">
        <v>17</v>
      </c>
      <c r="F3538" t="s" s="2">
        <f>HYPERLINK("http://ts.21cn.com/tousu/show/id/1370268","http://ts.21cn.com/tousu/show/id/1370268")</f>
      </c>
      <c r="G3538" t="s" s="2">
        <v>17</v>
      </c>
      <c r="H3538" t="s" s="2">
        <v>19</v>
      </c>
      <c r="I3538" t="s" s="2">
        <v>13794</v>
      </c>
      <c r="J3538" t="s" s="2">
        <v>13795</v>
      </c>
      <c r="K3538" t="s" s="2">
        <v>22</v>
      </c>
      <c r="L3538" t="s" s="2">
        <v>22</v>
      </c>
      <c r="M3538" t="s" s="2">
        <v>22</v>
      </c>
    </row>
    <row r="3539" ht="25.0" customHeight="true">
      <c r="A3539" t="s" s="2">
        <v>13</v>
      </c>
      <c r="B3539" t="s" s="2">
        <f>HYPERLINK("http://ts.21cn.com/tousu/show/id/1370338","滴滴平台乱扣司机辛苦钱")</f>
      </c>
      <c r="C3539" t="s" s="2">
        <v>15</v>
      </c>
      <c r="D3539" t="s" s="2">
        <v>16</v>
      </c>
      <c r="E3539" t="s" s="2">
        <v>17</v>
      </c>
      <c r="F3539" t="s" s="2">
        <f>HYPERLINK("http://ts.21cn.com/tousu/show/id/1370338","http://ts.21cn.com/tousu/show/id/1370338")</f>
      </c>
      <c r="G3539" t="s" s="2">
        <v>17</v>
      </c>
      <c r="H3539" t="s" s="2">
        <v>19</v>
      </c>
      <c r="I3539" t="s" s="2">
        <v>13798</v>
      </c>
      <c r="J3539" t="s" s="2">
        <v>13799</v>
      </c>
      <c r="K3539" t="s" s="2">
        <v>22</v>
      </c>
      <c r="L3539" t="s" s="2">
        <v>22</v>
      </c>
      <c r="M3539" t="s" s="2">
        <v>22</v>
      </c>
    </row>
    <row r="3540" ht="25.0" customHeight="true">
      <c r="A3540" t="s" s="2">
        <v>13</v>
      </c>
      <c r="B3540" t="s" s="2">
        <f>HYPERLINK("http://ts.21cn.com/tousu/show/id/1370337","宝付为违规平台提供支付服务")</f>
      </c>
      <c r="C3540" t="s" s="2">
        <v>15</v>
      </c>
      <c r="D3540" t="s" s="2">
        <v>16</v>
      </c>
      <c r="E3540" t="s" s="2">
        <v>17</v>
      </c>
      <c r="F3540" t="s" s="2">
        <f>HYPERLINK("http://ts.21cn.com/tousu/show/id/1370337","http://ts.21cn.com/tousu/show/id/1370337")</f>
      </c>
      <c r="G3540" t="s" s="2">
        <v>17</v>
      </c>
      <c r="H3540" t="s" s="2">
        <v>19</v>
      </c>
      <c r="I3540" t="s" s="2">
        <v>13802</v>
      </c>
      <c r="J3540" t="s" s="2">
        <v>13803</v>
      </c>
      <c r="K3540" t="s" s="2">
        <v>22</v>
      </c>
      <c r="L3540" t="s" s="2">
        <v>22</v>
      </c>
      <c r="M3540" t="s" s="2">
        <v>22</v>
      </c>
    </row>
    <row r="3541" ht="25.0" customHeight="true">
      <c r="A3541" t="s" s="2">
        <v>13</v>
      </c>
      <c r="B3541" t="s" s="2">
        <f>HYPERLINK("http://ts.21cn.com/tousu/show/id/1370335","首汽约车归还司机的血汗钱")</f>
      </c>
      <c r="C3541" t="s" s="2">
        <v>15</v>
      </c>
      <c r="D3541" t="s" s="2">
        <v>16</v>
      </c>
      <c r="E3541" t="s" s="2">
        <v>17</v>
      </c>
      <c r="F3541" t="s" s="2">
        <f>HYPERLINK("http://ts.21cn.com/tousu/show/id/1370335","http://ts.21cn.com/tousu/show/id/1370335")</f>
      </c>
      <c r="G3541" t="s" s="2">
        <v>17</v>
      </c>
      <c r="H3541" t="s" s="2">
        <v>19</v>
      </c>
      <c r="I3541" t="s" s="2">
        <v>13806</v>
      </c>
      <c r="J3541" t="s" s="2">
        <v>13807</v>
      </c>
      <c r="K3541" t="s" s="2">
        <v>22</v>
      </c>
      <c r="L3541" t="s" s="2">
        <v>22</v>
      </c>
      <c r="M3541" t="s" s="2">
        <v>22</v>
      </c>
    </row>
    <row r="3542" ht="25.0" customHeight="true">
      <c r="A3542" t="s" s="2">
        <v>13</v>
      </c>
      <c r="B3542" t="s" s="2">
        <f>HYPERLINK("http://ts.21cn.com/tousu/show/id/1370334","有用分期砍头息套路贷")</f>
      </c>
      <c r="C3542" t="s" s="2">
        <v>15</v>
      </c>
      <c r="D3542" t="s" s="2">
        <v>16</v>
      </c>
      <c r="E3542" t="s" s="2">
        <v>17</v>
      </c>
      <c r="F3542" t="s" s="2">
        <f>HYPERLINK("http://ts.21cn.com/tousu/show/id/1370334","http://ts.21cn.com/tousu/show/id/1370334")</f>
      </c>
      <c r="G3542" t="s" s="2">
        <v>17</v>
      </c>
      <c r="H3542" t="s" s="2">
        <v>19</v>
      </c>
      <c r="I3542" t="s" s="2">
        <v>13810</v>
      </c>
      <c r="J3542" t="s" s="2">
        <v>13811</v>
      </c>
      <c r="K3542" t="s" s="2">
        <v>22</v>
      </c>
      <c r="L3542" t="s" s="2">
        <v>22</v>
      </c>
      <c r="M3542" t="s" s="2">
        <v>22</v>
      </c>
    </row>
    <row r="3543" ht="25.0" customHeight="true">
      <c r="A3543" t="s" s="2">
        <v>13</v>
      </c>
      <c r="B3543" t="s" s="2">
        <f>HYPERLINK("http://ts.21cn.com/tousu/show/id/1370332","美的公司客户答谢会使用虚假宣传的手段，误导消费者，要求退货退款！！！")</f>
      </c>
      <c r="C3543" t="s" s="2">
        <v>15</v>
      </c>
      <c r="D3543" t="s" s="2">
        <v>16</v>
      </c>
      <c r="E3543" t="s" s="2">
        <v>17</v>
      </c>
      <c r="F3543" t="s" s="2">
        <f>HYPERLINK("http://ts.21cn.com/tousu/show/id/1370332","http://ts.21cn.com/tousu/show/id/1370332")</f>
      </c>
      <c r="G3543" t="s" s="2">
        <v>17</v>
      </c>
      <c r="H3543" t="s" s="2">
        <v>19</v>
      </c>
      <c r="I3543" t="s" s="2">
        <v>13814</v>
      </c>
      <c r="J3543" t="s" s="2">
        <v>13815</v>
      </c>
      <c r="K3543" t="s" s="2">
        <v>22</v>
      </c>
      <c r="L3543" t="s" s="2">
        <v>22</v>
      </c>
      <c r="M3543" t="s" s="2">
        <v>22</v>
      </c>
    </row>
    <row r="3544" ht="25.0" customHeight="true">
      <c r="A3544" t="s" s="2">
        <v>13</v>
      </c>
      <c r="B3544" t="s" s="2">
        <f>HYPERLINK("http://ts.21cn.com/tousu/show/id/1370331","商品降价对方客服发语音骂人")</f>
      </c>
      <c r="C3544" t="s" s="2">
        <v>15</v>
      </c>
      <c r="D3544" t="s" s="2">
        <v>16</v>
      </c>
      <c r="E3544" t="s" s="2">
        <v>17</v>
      </c>
      <c r="F3544" t="s" s="2">
        <f>HYPERLINK("http://ts.21cn.com/tousu/show/id/1370331","http://ts.21cn.com/tousu/show/id/1370331")</f>
      </c>
      <c r="G3544" t="s" s="2">
        <v>17</v>
      </c>
      <c r="H3544" t="s" s="2">
        <v>19</v>
      </c>
      <c r="I3544" t="s" s="2">
        <v>13818</v>
      </c>
      <c r="J3544" t="s" s="2">
        <v>13819</v>
      </c>
      <c r="K3544" t="s" s="2">
        <v>22</v>
      </c>
      <c r="L3544" t="s" s="2">
        <v>22</v>
      </c>
      <c r="M3544" t="s" s="2">
        <v>22</v>
      </c>
    </row>
    <row r="3545" ht="25.0" customHeight="true">
      <c r="A3545" t="s" s="2">
        <v>13</v>
      </c>
      <c r="B3545" t="s" s="2">
        <f>HYPERLINK("http://ts.21cn.com/tousu/show/id/1370330","保单和砍头息费用")</f>
      </c>
      <c r="C3545" t="s" s="2">
        <v>52</v>
      </c>
      <c r="D3545" t="s" s="2">
        <v>16</v>
      </c>
      <c r="E3545" t="s" s="2">
        <v>17</v>
      </c>
      <c r="F3545" t="s" s="2">
        <f>HYPERLINK("http://ts.21cn.com/tousu/show/id/1370330","http://ts.21cn.com/tousu/show/id/1370330")</f>
      </c>
      <c r="G3545" t="s" s="2">
        <v>17</v>
      </c>
      <c r="H3545" t="s" s="2">
        <v>19</v>
      </c>
      <c r="I3545" t="s" s="2">
        <v>13822</v>
      </c>
      <c r="J3545" t="s" s="2">
        <v>13823</v>
      </c>
      <c r="K3545" t="s" s="2">
        <v>22</v>
      </c>
      <c r="L3545" t="s" s="2">
        <v>22</v>
      </c>
      <c r="M3545" t="s" s="2">
        <v>22</v>
      </c>
    </row>
    <row r="3546" ht="25.0" customHeight="true">
      <c r="A3546" t="s" s="2">
        <v>13</v>
      </c>
      <c r="B3546" t="s" s="2">
        <f>HYPERLINK("http://ts.21cn.com/tousu/show/id/1370329","交易猫仲裁客服")</f>
      </c>
      <c r="C3546" t="s" s="2">
        <v>52</v>
      </c>
      <c r="D3546" t="s" s="2">
        <v>16</v>
      </c>
      <c r="E3546" t="s" s="2">
        <v>17</v>
      </c>
      <c r="F3546" t="s" s="2">
        <f>HYPERLINK("http://ts.21cn.com/tousu/show/id/1370329","http://ts.21cn.com/tousu/show/id/1370329")</f>
      </c>
      <c r="G3546" t="s" s="2">
        <v>17</v>
      </c>
      <c r="H3546" t="s" s="2">
        <v>19</v>
      </c>
      <c r="I3546" t="s" s="2">
        <v>13826</v>
      </c>
      <c r="J3546" t="s" s="2">
        <v>13827</v>
      </c>
      <c r="K3546" t="s" s="2">
        <v>22</v>
      </c>
      <c r="L3546" t="s" s="2">
        <v>22</v>
      </c>
      <c r="M3546" t="s" s="2">
        <v>22</v>
      </c>
    </row>
    <row r="3547" ht="25.0" customHeight="true">
      <c r="A3547" t="s" s="2">
        <v>13</v>
      </c>
      <c r="B3547" t="s" s="2">
        <f>HYPERLINK("http://ts.21cn.com/tousu/show/id/1370328","有货app一直不跟进鉴定")</f>
      </c>
      <c r="C3547" t="s" s="2">
        <v>15</v>
      </c>
      <c r="D3547" t="s" s="2">
        <v>16</v>
      </c>
      <c r="E3547" t="s" s="2">
        <v>17</v>
      </c>
      <c r="F3547" t="s" s="2">
        <f>HYPERLINK("http://ts.21cn.com/tousu/show/id/1370328","http://ts.21cn.com/tousu/show/id/1370328")</f>
      </c>
      <c r="G3547" t="s" s="2">
        <v>17</v>
      </c>
      <c r="H3547" t="s" s="2">
        <v>19</v>
      </c>
      <c r="I3547" t="s" s="2">
        <v>13830</v>
      </c>
      <c r="J3547" t="s" s="2">
        <v>13831</v>
      </c>
      <c r="K3547" t="s" s="2">
        <v>22</v>
      </c>
      <c r="L3547" t="s" s="2">
        <v>22</v>
      </c>
      <c r="M3547" t="s" s="2">
        <v>22</v>
      </c>
    </row>
    <row r="3548" ht="25.0" customHeight="true">
      <c r="A3548" t="s" s="2">
        <v>13</v>
      </c>
      <c r="B3548" t="s" s="2">
        <f>HYPERLINK("http://ts.21cn.com/tousu/show/id/1370327","巢客遇家房屋租介公司欺诈消费者")</f>
      </c>
      <c r="C3548" t="s" s="2">
        <v>15</v>
      </c>
      <c r="D3548" t="s" s="2">
        <v>16</v>
      </c>
      <c r="E3548" t="s" s="2">
        <v>17</v>
      </c>
      <c r="F3548" t="s" s="2">
        <f>HYPERLINK("http://ts.21cn.com/tousu/show/id/1370327","http://ts.21cn.com/tousu/show/id/1370327")</f>
      </c>
      <c r="G3548" t="s" s="2">
        <v>17</v>
      </c>
      <c r="H3548" t="s" s="2">
        <v>19</v>
      </c>
      <c r="I3548" t="s" s="2">
        <v>13834</v>
      </c>
      <c r="J3548" t="s" s="2">
        <v>13835</v>
      </c>
      <c r="K3548" t="s" s="2">
        <v>22</v>
      </c>
      <c r="L3548" t="s" s="2">
        <v>22</v>
      </c>
      <c r="M3548" t="s" s="2">
        <v>22</v>
      </c>
    </row>
    <row r="3549" ht="25.0" customHeight="true">
      <c r="A3549" t="s" s="2">
        <v>13</v>
      </c>
      <c r="B3549" t="s" s="2">
        <f>HYPERLINK("http://ts.21cn.com/tousu/show/id/1370326","收取砍头息")</f>
      </c>
      <c r="C3549" t="s" s="2">
        <v>52</v>
      </c>
      <c r="D3549" t="s" s="2">
        <v>16</v>
      </c>
      <c r="E3549" t="s" s="2">
        <v>17</v>
      </c>
      <c r="F3549" t="s" s="2">
        <f>HYPERLINK("http://ts.21cn.com/tousu/show/id/1370326","http://ts.21cn.com/tousu/show/id/1370326")</f>
      </c>
      <c r="G3549" t="s" s="2">
        <v>17</v>
      </c>
      <c r="H3549" t="s" s="2">
        <v>19</v>
      </c>
      <c r="I3549" t="s" s="2">
        <v>13838</v>
      </c>
      <c r="J3549" t="s" s="2">
        <v>13839</v>
      </c>
      <c r="K3549" t="s" s="2">
        <v>22</v>
      </c>
      <c r="L3549" t="s" s="2">
        <v>22</v>
      </c>
      <c r="M3549" t="s" s="2">
        <v>22</v>
      </c>
    </row>
    <row r="3550" ht="25.0" customHeight="true">
      <c r="A3550" t="s" s="2">
        <v>13</v>
      </c>
      <c r="B3550" t="s" s="2">
        <f>HYPERLINK("http://ts.21cn.com/tousu/show/id/1370323","钱站高利贷，阴阳合同，砍头息")</f>
      </c>
      <c r="C3550" t="s" s="2">
        <v>15</v>
      </c>
      <c r="D3550" t="s" s="2">
        <v>16</v>
      </c>
      <c r="E3550" t="s" s="2">
        <v>17</v>
      </c>
      <c r="F3550" t="s" s="2">
        <f>HYPERLINK("http://ts.21cn.com/tousu/show/id/1370323","http://ts.21cn.com/tousu/show/id/1370323")</f>
      </c>
      <c r="G3550" t="s" s="2">
        <v>17</v>
      </c>
      <c r="H3550" t="s" s="2">
        <v>19</v>
      </c>
      <c r="I3550" t="s" s="2">
        <v>13842</v>
      </c>
      <c r="J3550" t="s" s="2">
        <v>13843</v>
      </c>
      <c r="K3550" t="s" s="2">
        <v>22</v>
      </c>
      <c r="L3550" t="s" s="2">
        <v>22</v>
      </c>
      <c r="M3550" t="s" s="2">
        <v>22</v>
      </c>
    </row>
    <row r="3551" ht="25.0" customHeight="true">
      <c r="A3551" t="s" s="2">
        <v>13</v>
      </c>
      <c r="B3551" t="s" s="2">
        <f>HYPERLINK("http://ts.21cn.com/tousu/show/id/1370321","手机无限重起")</f>
      </c>
      <c r="C3551" t="s" s="2">
        <v>15</v>
      </c>
      <c r="D3551" t="s" s="2">
        <v>16</v>
      </c>
      <c r="E3551" t="s" s="2">
        <v>17</v>
      </c>
      <c r="F3551" t="s" s="2">
        <f>HYPERLINK("http://ts.21cn.com/tousu/show/id/1370321","http://ts.21cn.com/tousu/show/id/1370321")</f>
      </c>
      <c r="G3551" t="s" s="2">
        <v>17</v>
      </c>
      <c r="H3551" t="s" s="2">
        <v>19</v>
      </c>
      <c r="I3551" t="s" s="2">
        <v>13846</v>
      </c>
      <c r="J3551" t="s" s="2">
        <v>13847</v>
      </c>
      <c r="K3551" t="s" s="2">
        <v>22</v>
      </c>
      <c r="L3551" t="s" s="2">
        <v>22</v>
      </c>
      <c r="M3551" t="s" s="2">
        <v>22</v>
      </c>
    </row>
    <row r="3552" ht="25.0" customHeight="true">
      <c r="A3552" t="s" s="2">
        <v>13</v>
      </c>
      <c r="B3552" t="s" s="2">
        <f>HYPERLINK("http://ts.21cn.com/tousu/show/id/1368471","小鹿伊人情感导师虚假宣传，没有达到商家诺的效果，退款遭拒")</f>
      </c>
      <c r="C3552" t="s" s="2">
        <v>15</v>
      </c>
      <c r="D3552" t="s" s="2">
        <v>16</v>
      </c>
      <c r="E3552" t="s" s="2">
        <v>17</v>
      </c>
      <c r="F3552" t="s" s="2">
        <f>HYPERLINK("http://ts.21cn.com/tousu/show/id/1368471","http://ts.21cn.com/tousu/show/id/1368471")</f>
      </c>
      <c r="G3552" t="s" s="2">
        <v>17</v>
      </c>
      <c r="H3552" t="s" s="2">
        <v>19</v>
      </c>
      <c r="I3552" t="s" s="2">
        <v>13850</v>
      </c>
      <c r="J3552" t="s" s="2">
        <v>13851</v>
      </c>
      <c r="K3552" t="s" s="2">
        <v>22</v>
      </c>
      <c r="L3552" t="s" s="2">
        <v>22</v>
      </c>
      <c r="M3552" t="s" s="2">
        <v>22</v>
      </c>
    </row>
    <row r="3553" ht="25.0" customHeight="true">
      <c r="A3553" t="s" s="2">
        <v>13</v>
      </c>
      <c r="B3553" t="s" s="2">
        <f>HYPERLINK("http://ts.21cn.com/tousu/show/id/1370319","利息太高")</f>
      </c>
      <c r="C3553" t="s" s="2">
        <v>15</v>
      </c>
      <c r="D3553" t="s" s="2">
        <v>16</v>
      </c>
      <c r="E3553" t="s" s="2">
        <v>17</v>
      </c>
      <c r="F3553" t="s" s="2">
        <f>HYPERLINK("http://ts.21cn.com/tousu/show/id/1370319","http://ts.21cn.com/tousu/show/id/1370319")</f>
      </c>
      <c r="G3553" t="s" s="2">
        <v>17</v>
      </c>
      <c r="H3553" t="s" s="2">
        <v>19</v>
      </c>
      <c r="I3553" t="s" s="2">
        <v>13853</v>
      </c>
      <c r="J3553" t="s" s="2">
        <v>13854</v>
      </c>
      <c r="K3553" t="s" s="2">
        <v>22</v>
      </c>
      <c r="L3553" t="s" s="2">
        <v>22</v>
      </c>
      <c r="M3553" t="s" s="2">
        <v>22</v>
      </c>
    </row>
    <row r="3554" ht="25.0" customHeight="true">
      <c r="A3554" t="s" s="2">
        <v>13</v>
      </c>
      <c r="B3554" t="s" s="2">
        <f>HYPERLINK("http://ts.21cn.com/tousu/show/id/1370320","银联为小黑鲨平台提供高利贷发放渠道，小黑鲨暴力催收，威胁骚扰")</f>
      </c>
      <c r="C3554" t="s" s="2">
        <v>15</v>
      </c>
      <c r="D3554" t="s" s="2">
        <v>16</v>
      </c>
      <c r="E3554" t="s" s="2">
        <v>17</v>
      </c>
      <c r="F3554" t="s" s="2">
        <f>HYPERLINK("http://ts.21cn.com/tousu/show/id/1370320","http://ts.21cn.com/tousu/show/id/1370320")</f>
      </c>
      <c r="G3554" t="s" s="2">
        <v>17</v>
      </c>
      <c r="H3554" t="s" s="2">
        <v>19</v>
      </c>
      <c r="I3554" t="s" s="2">
        <v>13857</v>
      </c>
      <c r="J3554" t="s" s="2">
        <v>13858</v>
      </c>
      <c r="K3554" t="s" s="2">
        <v>22</v>
      </c>
      <c r="L3554" t="s" s="2">
        <v>22</v>
      </c>
      <c r="M3554" t="s" s="2">
        <v>22</v>
      </c>
    </row>
    <row r="3555" ht="25.0" customHeight="true">
      <c r="A3555" t="s" s="2">
        <v>13</v>
      </c>
      <c r="B3555" t="s" s="2">
        <f>HYPERLINK("http://ts.21cn.com/tousu/show/id/1370318","拍拍贷违法爆通讯录威胁恐吓家里老人以至于老人生病住院")</f>
      </c>
      <c r="C3555" t="s" s="2">
        <v>15</v>
      </c>
      <c r="D3555" t="s" s="2">
        <v>16</v>
      </c>
      <c r="E3555" t="s" s="2">
        <v>17</v>
      </c>
      <c r="F3555" t="s" s="2">
        <f>HYPERLINK("http://ts.21cn.com/tousu/show/id/1370318","http://ts.21cn.com/tousu/show/id/1370318")</f>
      </c>
      <c r="G3555" t="s" s="2">
        <v>17</v>
      </c>
      <c r="H3555" t="s" s="2">
        <v>19</v>
      </c>
      <c r="I3555" t="s" s="2">
        <v>13861</v>
      </c>
      <c r="J3555" t="s" s="2">
        <v>13862</v>
      </c>
      <c r="K3555" t="s" s="2">
        <v>22</v>
      </c>
      <c r="L3555" t="s" s="2">
        <v>22</v>
      </c>
      <c r="M3555" t="s" s="2">
        <v>22</v>
      </c>
    </row>
    <row r="3556" ht="25.0" customHeight="true">
      <c r="A3556" t="s" s="2">
        <v>13</v>
      </c>
      <c r="B3556" t="s" s="2">
        <f>HYPERLINK("http://ts.21cn.com/tousu/show/id/1370316","平安银行卡套路导致用卡人权利受到侵害")</f>
      </c>
      <c r="C3556" t="s" s="2">
        <v>15</v>
      </c>
      <c r="D3556" t="s" s="2">
        <v>16</v>
      </c>
      <c r="E3556" t="s" s="2">
        <v>17</v>
      </c>
      <c r="F3556" t="s" s="2">
        <f>HYPERLINK("http://ts.21cn.com/tousu/show/id/1370316","http://ts.21cn.com/tousu/show/id/1370316")</f>
      </c>
      <c r="G3556" t="s" s="2">
        <v>17</v>
      </c>
      <c r="H3556" t="s" s="2">
        <v>19</v>
      </c>
      <c r="I3556" t="s" s="2">
        <v>13865</v>
      </c>
      <c r="J3556" t="s" s="2">
        <v>13866</v>
      </c>
      <c r="K3556" t="s" s="2">
        <v>22</v>
      </c>
      <c r="L3556" t="s" s="2">
        <v>22</v>
      </c>
      <c r="M3556" t="s" s="2">
        <v>22</v>
      </c>
    </row>
    <row r="3557" ht="25.0" customHeight="true">
      <c r="A3557" t="s" s="2">
        <v>13</v>
      </c>
      <c r="B3557" t="s" s="2">
        <f>HYPERLINK("http://ts.21cn.com/tousu/show/id/1370317","江苏巨灵神网络科技有限公司还钱。垃圾软件")</f>
      </c>
      <c r="C3557" t="s" s="2">
        <v>15</v>
      </c>
      <c r="D3557" t="s" s="2">
        <v>16</v>
      </c>
      <c r="E3557" t="s" s="2">
        <v>17</v>
      </c>
      <c r="F3557" t="s" s="2">
        <f>HYPERLINK("http://ts.21cn.com/tousu/show/id/1370317","http://ts.21cn.com/tousu/show/id/1370317")</f>
      </c>
      <c r="G3557" t="s" s="2">
        <v>17</v>
      </c>
      <c r="H3557" t="s" s="2">
        <v>19</v>
      </c>
      <c r="I3557" t="s" s="2">
        <v>13869</v>
      </c>
      <c r="J3557" t="s" s="2">
        <v>13870</v>
      </c>
      <c r="K3557" t="s" s="2">
        <v>22</v>
      </c>
      <c r="L3557" t="s" s="2">
        <v>22</v>
      </c>
      <c r="M3557" t="s" s="2">
        <v>22</v>
      </c>
    </row>
    <row r="3558" ht="25.0" customHeight="true">
      <c r="A3558" t="s" s="2">
        <v>13</v>
      </c>
      <c r="B3558" t="s" s="2">
        <f>HYPERLINK("http://ts.21cn.com/tousu/show/id/1370315","发现精彩")</f>
      </c>
      <c r="C3558" t="s" s="2">
        <v>52</v>
      </c>
      <c r="D3558" t="s" s="2">
        <v>16</v>
      </c>
      <c r="E3558" t="s" s="2">
        <v>17</v>
      </c>
      <c r="F3558" t="s" s="2">
        <f>HYPERLINK("http://ts.21cn.com/tousu/show/id/1370315","http://ts.21cn.com/tousu/show/id/1370315")</f>
      </c>
      <c r="G3558" t="s" s="2">
        <v>17</v>
      </c>
      <c r="H3558" t="s" s="2">
        <v>19</v>
      </c>
      <c r="I3558" t="s" s="2">
        <v>13873</v>
      </c>
      <c r="J3558" t="s" s="2">
        <v>13874</v>
      </c>
      <c r="K3558" t="s" s="2">
        <v>22</v>
      </c>
      <c r="L3558" t="s" s="2">
        <v>22</v>
      </c>
      <c r="M3558" t="s" s="2">
        <v>22</v>
      </c>
    </row>
    <row r="3559" ht="25.0" customHeight="true">
      <c r="A3559" t="s" s="2">
        <v>13</v>
      </c>
      <c r="B3559" t="s" s="2">
        <f>HYPERLINK("http://ts.21cn.com/tousu/show/id/1370313","点点恶意催收爆打电话和发短信影响工作")</f>
      </c>
      <c r="C3559" t="s" s="2">
        <v>15</v>
      </c>
      <c r="D3559" t="s" s="2">
        <v>16</v>
      </c>
      <c r="E3559" t="s" s="2">
        <v>17</v>
      </c>
      <c r="F3559" t="s" s="2">
        <f>HYPERLINK("http://ts.21cn.com/tousu/show/id/1370313","http://ts.21cn.com/tousu/show/id/1370313")</f>
      </c>
      <c r="G3559" t="s" s="2">
        <v>17</v>
      </c>
      <c r="H3559" t="s" s="2">
        <v>19</v>
      </c>
      <c r="I3559" t="s" s="2">
        <v>13877</v>
      </c>
      <c r="J3559" t="s" s="2">
        <v>13878</v>
      </c>
      <c r="K3559" t="s" s="2">
        <v>22</v>
      </c>
      <c r="L3559" t="s" s="2">
        <v>22</v>
      </c>
      <c r="M3559" t="s" s="2">
        <v>22</v>
      </c>
    </row>
    <row r="3560" ht="25.0" customHeight="true">
      <c r="A3560" t="s" s="2">
        <v>13</v>
      </c>
      <c r="B3560" t="s" s="2">
        <f>HYPERLINK("http://ts.21cn.com/tousu/show/id/1370312","省呗暴力催收，冒充公检法恐吓")</f>
      </c>
      <c r="C3560" t="s" s="2">
        <v>15</v>
      </c>
      <c r="D3560" t="s" s="2">
        <v>16</v>
      </c>
      <c r="E3560" t="s" s="2">
        <v>17</v>
      </c>
      <c r="F3560" t="s" s="2">
        <f>HYPERLINK("http://ts.21cn.com/tousu/show/id/1370312","http://ts.21cn.com/tousu/show/id/1370312")</f>
      </c>
      <c r="G3560" t="s" s="2">
        <v>17</v>
      </c>
      <c r="H3560" t="s" s="2">
        <v>19</v>
      </c>
      <c r="I3560" t="s" s="2">
        <v>13881</v>
      </c>
      <c r="J3560" t="s" s="2">
        <v>13882</v>
      </c>
      <c r="K3560" t="s" s="2">
        <v>22</v>
      </c>
      <c r="L3560" t="s" s="2">
        <v>22</v>
      </c>
      <c r="M3560" t="s" s="2">
        <v>22</v>
      </c>
    </row>
    <row r="3561" ht="25.0" customHeight="true">
      <c r="A3561" t="s" s="2">
        <v>13</v>
      </c>
      <c r="B3561" t="s" s="2">
        <f>HYPERLINK("http://ts.21cn.com/tousu/show/id/1370310","还呗暴力催收")</f>
      </c>
      <c r="C3561" t="s" s="2">
        <v>15</v>
      </c>
      <c r="D3561" t="s" s="2">
        <v>16</v>
      </c>
      <c r="E3561" t="s" s="2">
        <v>17</v>
      </c>
      <c r="F3561" t="s" s="2">
        <f>HYPERLINK("http://ts.21cn.com/tousu/show/id/1370310","http://ts.21cn.com/tousu/show/id/1370310")</f>
      </c>
      <c r="G3561" t="s" s="2">
        <v>17</v>
      </c>
      <c r="H3561" t="s" s="2">
        <v>19</v>
      </c>
      <c r="I3561" t="s" s="2">
        <v>13885</v>
      </c>
      <c r="J3561" t="s" s="2">
        <v>13886</v>
      </c>
      <c r="K3561" t="s" s="2">
        <v>22</v>
      </c>
      <c r="L3561" t="s" s="2">
        <v>22</v>
      </c>
      <c r="M3561" t="s" s="2">
        <v>22</v>
      </c>
    </row>
    <row r="3562" ht="25.0" customHeight="true">
      <c r="A3562" t="s" s="2">
        <v>13</v>
      </c>
      <c r="B3562" t="s" s="2">
        <f>HYPERLINK("http://ts.21cn.com/tousu/show/id/1370308","特约百度服务半夜无缘无故扣款")</f>
      </c>
      <c r="C3562" t="s" s="2">
        <v>15</v>
      </c>
      <c r="D3562" t="s" s="2">
        <v>16</v>
      </c>
      <c r="E3562" t="s" s="2">
        <v>17</v>
      </c>
      <c r="F3562" t="s" s="2">
        <f>HYPERLINK("http://ts.21cn.com/tousu/show/id/1370308","http://ts.21cn.com/tousu/show/id/1370308")</f>
      </c>
      <c r="G3562" t="s" s="2">
        <v>17</v>
      </c>
      <c r="H3562" t="s" s="2">
        <v>19</v>
      </c>
      <c r="I3562" t="s" s="2">
        <v>13889</v>
      </c>
      <c r="J3562" t="s" s="2">
        <v>13890</v>
      </c>
      <c r="K3562" t="s" s="2">
        <v>22</v>
      </c>
      <c r="L3562" t="s" s="2">
        <v>22</v>
      </c>
      <c r="M3562" t="s" s="2">
        <v>22</v>
      </c>
    </row>
    <row r="3563" ht="25.0" customHeight="true">
      <c r="A3563" t="s" s="2">
        <v>13</v>
      </c>
      <c r="B3563" t="s" s="2">
        <f>HYPERLINK("http://ts.21cn.com/tousu/show/id/1370307","无顾盗刷银行卡")</f>
      </c>
      <c r="C3563" t="s" s="2">
        <v>15</v>
      </c>
      <c r="D3563" t="s" s="2">
        <v>16</v>
      </c>
      <c r="E3563" t="s" s="2">
        <v>17</v>
      </c>
      <c r="F3563" t="s" s="2">
        <f>HYPERLINK("http://ts.21cn.com/tousu/show/id/1370307","http://ts.21cn.com/tousu/show/id/1370307")</f>
      </c>
      <c r="G3563" t="s" s="2">
        <v>17</v>
      </c>
      <c r="H3563" t="s" s="2">
        <v>19</v>
      </c>
      <c r="I3563" t="s" s="2">
        <v>13893</v>
      </c>
      <c r="J3563" t="s" s="2">
        <v>13894</v>
      </c>
      <c r="K3563" t="s" s="2">
        <v>22</v>
      </c>
      <c r="L3563" t="s" s="2">
        <v>22</v>
      </c>
      <c r="M3563" t="s" s="2">
        <v>22</v>
      </c>
    </row>
    <row r="3564" ht="25.0" customHeight="true">
      <c r="A3564" t="s" s="2">
        <v>13</v>
      </c>
      <c r="B3564" t="s" s="2">
        <f>HYPERLINK("http://ts.21cn.com/tousu/show/id/1370306","无辜骚扰，谩骂")</f>
      </c>
      <c r="C3564" t="s" s="2">
        <v>15</v>
      </c>
      <c r="D3564" t="s" s="2">
        <v>16</v>
      </c>
      <c r="E3564" t="s" s="2">
        <v>17</v>
      </c>
      <c r="F3564" t="s" s="2">
        <f>HYPERLINK("http://ts.21cn.com/tousu/show/id/1370306","http://ts.21cn.com/tousu/show/id/1370306")</f>
      </c>
      <c r="G3564" t="s" s="2">
        <v>17</v>
      </c>
      <c r="H3564" t="s" s="2">
        <v>19</v>
      </c>
      <c r="I3564" t="s" s="2">
        <v>13897</v>
      </c>
      <c r="J3564" t="s" s="2">
        <v>13898</v>
      </c>
      <c r="K3564" t="s" s="2">
        <v>22</v>
      </c>
      <c r="L3564" t="s" s="2">
        <v>22</v>
      </c>
      <c r="M3564" t="s" s="2">
        <v>22</v>
      </c>
    </row>
    <row r="3565" ht="25.0" customHeight="true">
      <c r="A3565" t="s" s="2">
        <v>13</v>
      </c>
      <c r="B3565" t="s" s="2">
        <f>HYPERLINK("http://ts.21cn.com/tousu/show/id/1370305","退款")</f>
      </c>
      <c r="C3565" t="s" s="2">
        <v>15</v>
      </c>
      <c r="D3565" t="s" s="2">
        <v>16</v>
      </c>
      <c r="E3565" t="s" s="2">
        <v>17</v>
      </c>
      <c r="F3565" t="s" s="2">
        <f>HYPERLINK("http://ts.21cn.com/tousu/show/id/1370305","http://ts.21cn.com/tousu/show/id/1370305")</f>
      </c>
      <c r="G3565" t="s" s="2">
        <v>17</v>
      </c>
      <c r="H3565" t="s" s="2">
        <v>19</v>
      </c>
      <c r="I3565" t="s" s="2">
        <v>13900</v>
      </c>
      <c r="J3565" t="s" s="2">
        <v>13901</v>
      </c>
      <c r="K3565" t="s" s="2">
        <v>22</v>
      </c>
      <c r="L3565" t="s" s="2">
        <v>22</v>
      </c>
      <c r="M3565" t="s" s="2">
        <v>22</v>
      </c>
    </row>
    <row r="3566" ht="25.0" customHeight="true">
      <c r="A3566" t="s" s="2">
        <v>13</v>
      </c>
      <c r="B3566" t="s" s="2">
        <f>HYPERLINK("http://ts.21cn.com/tousu/show/id/1370304","迅捷视频转换器充会员后不能用不退费")</f>
      </c>
      <c r="C3566" t="s" s="2">
        <v>15</v>
      </c>
      <c r="D3566" t="s" s="2">
        <v>16</v>
      </c>
      <c r="E3566" t="s" s="2">
        <v>17</v>
      </c>
      <c r="F3566" t="s" s="2">
        <f>HYPERLINK("http://ts.21cn.com/tousu/show/id/1370304","http://ts.21cn.com/tousu/show/id/1370304")</f>
      </c>
      <c r="G3566" t="s" s="2">
        <v>17</v>
      </c>
      <c r="H3566" t="s" s="2">
        <v>19</v>
      </c>
      <c r="I3566" t="s" s="2">
        <v>13904</v>
      </c>
      <c r="J3566" t="s" s="2">
        <v>13905</v>
      </c>
      <c r="K3566" t="s" s="2">
        <v>22</v>
      </c>
      <c r="L3566" t="s" s="2">
        <v>22</v>
      </c>
      <c r="M3566" t="s" s="2">
        <v>22</v>
      </c>
    </row>
    <row r="3567" ht="25.0" customHeight="true">
      <c r="A3567" t="s" s="2">
        <v>13</v>
      </c>
      <c r="B3567" t="s" s="2">
        <f>HYPERLINK("http://ts.21cn.com/tousu/show/id/1370302","被催收折腾的妻离子散工作也快没了")</f>
      </c>
      <c r="C3567" t="s" s="2">
        <v>15</v>
      </c>
      <c r="D3567" t="s" s="2">
        <v>16</v>
      </c>
      <c r="E3567" t="s" s="2">
        <v>17</v>
      </c>
      <c r="F3567" t="s" s="2">
        <f>HYPERLINK("http://ts.21cn.com/tousu/show/id/1370302","http://ts.21cn.com/tousu/show/id/1370302")</f>
      </c>
      <c r="G3567" t="s" s="2">
        <v>17</v>
      </c>
      <c r="H3567" t="s" s="2">
        <v>19</v>
      </c>
      <c r="I3567" t="s" s="2">
        <v>13908</v>
      </c>
      <c r="J3567" t="s" s="2">
        <v>13909</v>
      </c>
      <c r="K3567" t="s" s="2">
        <v>22</v>
      </c>
      <c r="L3567" t="s" s="2">
        <v>22</v>
      </c>
      <c r="M3567" t="s" s="2">
        <v>22</v>
      </c>
    </row>
    <row r="3568" ht="25.0" customHeight="true">
      <c r="A3568" t="s" s="2">
        <v>13</v>
      </c>
      <c r="B3568" t="s" s="2">
        <f>HYPERLINK("http://ts.21cn.com/tousu/show/id/1370301","骚扰")</f>
      </c>
      <c r="C3568" t="s" s="2">
        <v>15</v>
      </c>
      <c r="D3568" t="s" s="2">
        <v>16</v>
      </c>
      <c r="E3568" t="s" s="2">
        <v>17</v>
      </c>
      <c r="F3568" t="s" s="2">
        <f>HYPERLINK("http://ts.21cn.com/tousu/show/id/1370301","http://ts.21cn.com/tousu/show/id/1370301")</f>
      </c>
      <c r="G3568" t="s" s="2">
        <v>17</v>
      </c>
      <c r="H3568" t="s" s="2">
        <v>19</v>
      </c>
      <c r="I3568" t="s" s="2">
        <v>13911</v>
      </c>
      <c r="J3568" t="s" s="2">
        <v>13912</v>
      </c>
      <c r="K3568" t="s" s="2">
        <v>22</v>
      </c>
      <c r="L3568" t="s" s="2">
        <v>22</v>
      </c>
      <c r="M3568" t="s" s="2">
        <v>22</v>
      </c>
    </row>
    <row r="3569" ht="25.0" customHeight="true">
      <c r="A3569" t="s" s="2">
        <v>13</v>
      </c>
      <c r="B3569" t="s" s="2">
        <f>HYPERLINK("http://ts.21cn.com/tousu/show/id/1370299","我来贷还款当天超过九点不能还款")</f>
      </c>
      <c r="C3569" t="s" s="2">
        <v>15</v>
      </c>
      <c r="D3569" t="s" s="2">
        <v>16</v>
      </c>
      <c r="E3569" t="s" s="2">
        <v>17</v>
      </c>
      <c r="F3569" t="s" s="2">
        <f>HYPERLINK("http://ts.21cn.com/tousu/show/id/1370299","http://ts.21cn.com/tousu/show/id/1370299")</f>
      </c>
      <c r="G3569" t="s" s="2">
        <v>17</v>
      </c>
      <c r="H3569" t="s" s="2">
        <v>19</v>
      </c>
      <c r="I3569" t="s" s="2">
        <v>13915</v>
      </c>
      <c r="J3569" t="s" s="2">
        <v>13916</v>
      </c>
      <c r="K3569" t="s" s="2">
        <v>22</v>
      </c>
      <c r="L3569" t="s" s="2">
        <v>22</v>
      </c>
      <c r="M3569" t="s" s="2">
        <v>22</v>
      </c>
    </row>
    <row r="3570" ht="25.0" customHeight="true">
      <c r="A3570" t="s" s="2">
        <v>13</v>
      </c>
      <c r="B3570" t="s" s="2">
        <f>HYPERLINK("http://ts.21cn.com/tousu/show/id/1370298","你我贷收取高额平台服务费，贷后费")</f>
      </c>
      <c r="C3570" t="s" s="2">
        <v>15</v>
      </c>
      <c r="D3570" t="s" s="2">
        <v>16</v>
      </c>
      <c r="E3570" t="s" s="2">
        <v>17</v>
      </c>
      <c r="F3570" t="s" s="2">
        <f>HYPERLINK("http://ts.21cn.com/tousu/show/id/1370298","http://ts.21cn.com/tousu/show/id/1370298")</f>
      </c>
      <c r="G3570" t="s" s="2">
        <v>17</v>
      </c>
      <c r="H3570" t="s" s="2">
        <v>19</v>
      </c>
      <c r="I3570" t="s" s="2">
        <v>13919</v>
      </c>
      <c r="J3570" t="s" s="2">
        <v>13920</v>
      </c>
      <c r="K3570" t="s" s="2">
        <v>22</v>
      </c>
      <c r="L3570" t="s" s="2">
        <v>22</v>
      </c>
      <c r="M3570" t="s" s="2">
        <v>22</v>
      </c>
    </row>
    <row r="3571" ht="25.0" customHeight="true">
      <c r="A3571" t="s" s="2">
        <v>13</v>
      </c>
      <c r="B3571" t="s" s="2">
        <f>HYPERLINK("http://ts.21cn.com/tousu/show/id/1370297","滴滴平台，对快车司机不公平，限制升级，派单不公平")</f>
      </c>
      <c r="C3571" t="s" s="2">
        <v>15</v>
      </c>
      <c r="D3571" t="s" s="2">
        <v>16</v>
      </c>
      <c r="E3571" t="s" s="2">
        <v>17</v>
      </c>
      <c r="F3571" t="s" s="2">
        <f>HYPERLINK("http://ts.21cn.com/tousu/show/id/1370297","http://ts.21cn.com/tousu/show/id/1370297")</f>
      </c>
      <c r="G3571" t="s" s="2">
        <v>17</v>
      </c>
      <c r="H3571" t="s" s="2">
        <v>19</v>
      </c>
      <c r="I3571" t="s" s="2">
        <v>13923</v>
      </c>
      <c r="J3571" t="s" s="2">
        <v>13924</v>
      </c>
      <c r="K3571" t="s" s="2">
        <v>22</v>
      </c>
      <c r="L3571" t="s" s="2">
        <v>22</v>
      </c>
      <c r="M3571" t="s" s="2">
        <v>22</v>
      </c>
    </row>
    <row r="3572" ht="25.0" customHeight="true">
      <c r="A3572" t="s" s="2">
        <v>13</v>
      </c>
      <c r="B3572" t="s" s="2">
        <f>HYPERLINK("http://ts.21cn.com/tousu/show/id/1370296","遵义湘投公司卖房到期按揭不了也不退款")</f>
      </c>
      <c r="C3572" t="s" s="2">
        <v>15</v>
      </c>
      <c r="D3572" t="s" s="2">
        <v>16</v>
      </c>
      <c r="E3572" t="s" s="2">
        <v>17</v>
      </c>
      <c r="F3572" t="s" s="2">
        <f>HYPERLINK("http://ts.21cn.com/tousu/show/id/1370296","http://ts.21cn.com/tousu/show/id/1370296")</f>
      </c>
      <c r="G3572" t="s" s="2">
        <v>17</v>
      </c>
      <c r="H3572" t="s" s="2">
        <v>19</v>
      </c>
      <c r="I3572" t="s" s="2">
        <v>13927</v>
      </c>
      <c r="J3572" t="s" s="2">
        <v>13928</v>
      </c>
      <c r="K3572" t="s" s="2">
        <v>22</v>
      </c>
      <c r="L3572" t="s" s="2">
        <v>22</v>
      </c>
      <c r="M3572" t="s" s="2">
        <v>22</v>
      </c>
    </row>
    <row r="3573" ht="25.0" customHeight="true">
      <c r="A3573" t="s" s="2">
        <v>13</v>
      </c>
      <c r="B3573" t="s" s="2">
        <f>HYPERLINK("http://ts.21cn.com/tousu/show/id/1370295","世纪云天退卡")</f>
      </c>
      <c r="C3573" t="s" s="2">
        <v>15</v>
      </c>
      <c r="D3573" t="s" s="2">
        <v>16</v>
      </c>
      <c r="E3573" t="s" s="2">
        <v>17</v>
      </c>
      <c r="F3573" t="s" s="2">
        <f>HYPERLINK("http://ts.21cn.com/tousu/show/id/1370295","http://ts.21cn.com/tousu/show/id/1370295")</f>
      </c>
      <c r="G3573" t="s" s="2">
        <v>17</v>
      </c>
      <c r="H3573" t="s" s="2">
        <v>19</v>
      </c>
      <c r="I3573" t="s" s="2">
        <v>13931</v>
      </c>
      <c r="J3573" t="s" s="2">
        <v>13932</v>
      </c>
      <c r="K3573" t="s" s="2">
        <v>22</v>
      </c>
      <c r="L3573" t="s" s="2">
        <v>22</v>
      </c>
      <c r="M3573" t="s" s="2">
        <v>22</v>
      </c>
    </row>
    <row r="3574" ht="25.0" customHeight="true">
      <c r="A3574" t="s" s="2">
        <v>13</v>
      </c>
      <c r="B3574" t="s" s="2">
        <f>HYPERLINK("http://ts.21cn.com/tousu/show/id/1370293","华尔街英语霸王条款，拖延退款并要扣除不合理费用")</f>
      </c>
      <c r="C3574" t="s" s="2">
        <v>15</v>
      </c>
      <c r="D3574" t="s" s="2">
        <v>16</v>
      </c>
      <c r="E3574" t="s" s="2">
        <v>17</v>
      </c>
      <c r="F3574" t="s" s="2">
        <f>HYPERLINK("http://ts.21cn.com/tousu/show/id/1370293","http://ts.21cn.com/tousu/show/id/1370293")</f>
      </c>
      <c r="G3574" t="s" s="2">
        <v>17</v>
      </c>
      <c r="H3574" t="s" s="2">
        <v>19</v>
      </c>
      <c r="I3574" t="s" s="2">
        <v>13935</v>
      </c>
      <c r="J3574" t="s" s="2">
        <v>13936</v>
      </c>
      <c r="K3574" t="s" s="2">
        <v>22</v>
      </c>
      <c r="L3574" t="s" s="2">
        <v>22</v>
      </c>
      <c r="M3574" t="s" s="2">
        <v>22</v>
      </c>
    </row>
    <row r="3575" ht="25.0" customHeight="true">
      <c r="A3575" t="s" s="2">
        <v>13</v>
      </c>
      <c r="B3575" t="s" s="2">
        <f>HYPERLINK("http://ts.21cn.com/tousu/show/id/1370292","钱橙无忧随意扣费")</f>
      </c>
      <c r="C3575" t="s" s="2">
        <v>52</v>
      </c>
      <c r="D3575" t="s" s="2">
        <v>16</v>
      </c>
      <c r="E3575" t="s" s="2">
        <v>17</v>
      </c>
      <c r="F3575" t="s" s="2">
        <f>HYPERLINK("http://ts.21cn.com/tousu/show/id/1370292","http://ts.21cn.com/tousu/show/id/1370292")</f>
      </c>
      <c r="G3575" t="s" s="2">
        <v>17</v>
      </c>
      <c r="H3575" t="s" s="2">
        <v>19</v>
      </c>
      <c r="I3575" t="s" s="2">
        <v>13938</v>
      </c>
      <c r="J3575" t="s" s="2">
        <v>13939</v>
      </c>
      <c r="K3575" t="s" s="2">
        <v>22</v>
      </c>
      <c r="L3575" t="s" s="2">
        <v>22</v>
      </c>
      <c r="M3575" t="s" s="2">
        <v>22</v>
      </c>
    </row>
    <row r="3576" ht="25.0" customHeight="true">
      <c r="A3576" t="s" s="2">
        <v>13</v>
      </c>
      <c r="B3576" t="s" s="2">
        <f>HYPERLINK("http://ts.21cn.com/tousu/show/id/1370290","超高利息，恶意增加利息，暴力催收，")</f>
      </c>
      <c r="C3576" t="s" s="2">
        <v>15</v>
      </c>
      <c r="D3576" t="s" s="2">
        <v>16</v>
      </c>
      <c r="E3576" t="s" s="2">
        <v>17</v>
      </c>
      <c r="F3576" t="s" s="2">
        <f>HYPERLINK("http://ts.21cn.com/tousu/show/id/1370290","http://ts.21cn.com/tousu/show/id/1370290")</f>
      </c>
      <c r="G3576" t="s" s="2">
        <v>17</v>
      </c>
      <c r="H3576" t="s" s="2">
        <v>19</v>
      </c>
      <c r="I3576" t="s" s="2">
        <v>13942</v>
      </c>
      <c r="J3576" t="s" s="2">
        <v>13943</v>
      </c>
      <c r="K3576" t="s" s="2">
        <v>22</v>
      </c>
      <c r="L3576" t="s" s="2">
        <v>22</v>
      </c>
      <c r="M3576" t="s" s="2">
        <v>22</v>
      </c>
    </row>
    <row r="3577" ht="25.0" customHeight="true">
      <c r="A3577" t="s" s="2">
        <v>13</v>
      </c>
      <c r="B3577" t="s" s="2">
        <f>HYPERLINK("http://ts.21cn.com/tousu/show/id/1370287","汇潮支付为高利贷套路贷提供平台害死人")</f>
      </c>
      <c r="C3577" t="s" s="2">
        <v>15</v>
      </c>
      <c r="D3577" t="s" s="2">
        <v>16</v>
      </c>
      <c r="E3577" t="s" s="2">
        <v>17</v>
      </c>
      <c r="F3577" t="s" s="2">
        <f>HYPERLINK("http://ts.21cn.com/tousu/show/id/1370287","http://ts.21cn.com/tousu/show/id/1370287")</f>
      </c>
      <c r="G3577" t="s" s="2">
        <v>17</v>
      </c>
      <c r="H3577" t="s" s="2">
        <v>19</v>
      </c>
      <c r="I3577" t="s" s="2">
        <v>13946</v>
      </c>
      <c r="J3577" t="s" s="2">
        <v>13947</v>
      </c>
      <c r="K3577" t="s" s="2">
        <v>22</v>
      </c>
      <c r="L3577" t="s" s="2">
        <v>22</v>
      </c>
      <c r="M3577" t="s" s="2">
        <v>22</v>
      </c>
    </row>
    <row r="3578" ht="25.0" customHeight="true">
      <c r="A3578" t="s" s="2">
        <v>13</v>
      </c>
      <c r="B3578" t="s" s="2">
        <f>HYPERLINK("http://ts.21cn.com/tousu/show/id/1370286","违反国家规定，推荐违法高利贷")</f>
      </c>
      <c r="C3578" t="s" s="2">
        <v>15</v>
      </c>
      <c r="D3578" t="s" s="2">
        <v>16</v>
      </c>
      <c r="E3578" t="s" s="2">
        <v>17</v>
      </c>
      <c r="F3578" t="s" s="2">
        <f>HYPERLINK("http://ts.21cn.com/tousu/show/id/1370286","http://ts.21cn.com/tousu/show/id/1370286")</f>
      </c>
      <c r="G3578" t="s" s="2">
        <v>17</v>
      </c>
      <c r="H3578" t="s" s="2">
        <v>19</v>
      </c>
      <c r="I3578" t="s" s="2">
        <v>13950</v>
      </c>
      <c r="J3578" t="s" s="2">
        <v>13951</v>
      </c>
      <c r="K3578" t="s" s="2">
        <v>22</v>
      </c>
      <c r="L3578" t="s" s="2">
        <v>22</v>
      </c>
      <c r="M3578" t="s" s="2">
        <v>22</v>
      </c>
    </row>
    <row r="3579" ht="25.0" customHeight="true">
      <c r="A3579" t="s" s="2">
        <v>13</v>
      </c>
      <c r="B3579" t="s" s="2">
        <f>HYPERLINK("http://ts.21cn.com/tousu/show/id/1370285","不断骚扰通讯录里的联系人")</f>
      </c>
      <c r="C3579" t="s" s="2">
        <v>52</v>
      </c>
      <c r="D3579" t="s" s="2">
        <v>16</v>
      </c>
      <c r="E3579" t="s" s="2">
        <v>17</v>
      </c>
      <c r="F3579" t="s" s="2">
        <f>HYPERLINK("http://ts.21cn.com/tousu/show/id/1370285","http://ts.21cn.com/tousu/show/id/1370285")</f>
      </c>
      <c r="G3579" t="s" s="2">
        <v>17</v>
      </c>
      <c r="H3579" t="s" s="2">
        <v>19</v>
      </c>
      <c r="I3579" t="s" s="2">
        <v>13954</v>
      </c>
      <c r="J3579" t="s" s="2">
        <v>13955</v>
      </c>
      <c r="K3579" t="s" s="2">
        <v>22</v>
      </c>
      <c r="L3579" t="s" s="2">
        <v>22</v>
      </c>
      <c r="M3579" t="s" s="2">
        <v>22</v>
      </c>
    </row>
    <row r="3580" ht="25.0" customHeight="true">
      <c r="A3580" t="s" s="2">
        <v>13</v>
      </c>
      <c r="B3580" t="s" s="2">
        <f>HYPERLINK("http://ts.21cn.com/tousu/show/id/1370284","招联金融盗用个人信息乱打电话给我亲朋好友")</f>
      </c>
      <c r="C3580" t="s" s="2">
        <v>15</v>
      </c>
      <c r="D3580" t="s" s="2">
        <v>16</v>
      </c>
      <c r="E3580" t="s" s="2">
        <v>17</v>
      </c>
      <c r="F3580" t="s" s="2">
        <f>HYPERLINK("http://ts.21cn.com/tousu/show/id/1370284","http://ts.21cn.com/tousu/show/id/1370284")</f>
      </c>
      <c r="G3580" t="s" s="2">
        <v>17</v>
      </c>
      <c r="H3580" t="s" s="2">
        <v>19</v>
      </c>
      <c r="I3580" t="s" s="2">
        <v>13958</v>
      </c>
      <c r="J3580" t="s" s="2">
        <v>13959</v>
      </c>
      <c r="K3580" t="s" s="2">
        <v>22</v>
      </c>
      <c r="L3580" t="s" s="2">
        <v>22</v>
      </c>
      <c r="M3580" t="s" s="2">
        <v>22</v>
      </c>
    </row>
    <row r="3581" ht="25.0" customHeight="true">
      <c r="A3581" t="s" s="2">
        <v>13</v>
      </c>
      <c r="B3581" t="s" s="2">
        <f>HYPERLINK("http://ts.21cn.com/tousu/show/id/1370283","这么高的利息他们竟然告诉我是合理合法的")</f>
      </c>
      <c r="C3581" t="s" s="2">
        <v>15</v>
      </c>
      <c r="D3581" t="s" s="2">
        <v>16</v>
      </c>
      <c r="E3581" t="s" s="2">
        <v>17</v>
      </c>
      <c r="F3581" t="s" s="2">
        <f>HYPERLINK("http://ts.21cn.com/tousu/show/id/1370283","http://ts.21cn.com/tousu/show/id/1370283")</f>
      </c>
      <c r="G3581" t="s" s="2">
        <v>17</v>
      </c>
      <c r="H3581" t="s" s="2">
        <v>19</v>
      </c>
      <c r="I3581" t="s" s="2">
        <v>13962</v>
      </c>
      <c r="J3581" t="s" s="2">
        <v>13963</v>
      </c>
      <c r="K3581" t="s" s="2">
        <v>22</v>
      </c>
      <c r="L3581" t="s" s="2">
        <v>22</v>
      </c>
      <c r="M3581" t="s" s="2">
        <v>22</v>
      </c>
    </row>
    <row r="3582" ht="25.0" customHeight="true">
      <c r="A3582" t="s" s="2">
        <v>13</v>
      </c>
      <c r="B3582" t="s" s="2">
        <f>HYPERLINK("http://ts.21cn.com/tousu/show/id/1370281","读秒钱包借款6000，实际还款6900系统显示还有3000多没还清？")</f>
      </c>
      <c r="C3582" t="s" s="2">
        <v>52</v>
      </c>
      <c r="D3582" t="s" s="2">
        <v>16</v>
      </c>
      <c r="E3582" t="s" s="2">
        <v>17</v>
      </c>
      <c r="F3582" t="s" s="2">
        <f>HYPERLINK("http://ts.21cn.com/tousu/show/id/1370281","http://ts.21cn.com/tousu/show/id/1370281")</f>
      </c>
      <c r="G3582" t="s" s="2">
        <v>17</v>
      </c>
      <c r="H3582" t="s" s="2">
        <v>19</v>
      </c>
      <c r="I3582" t="s" s="2">
        <v>13966</v>
      </c>
      <c r="J3582" t="s" s="2">
        <v>13967</v>
      </c>
      <c r="K3582" t="s" s="2">
        <v>22</v>
      </c>
      <c r="L3582" t="s" s="2">
        <v>22</v>
      </c>
      <c r="M3582" t="s" s="2">
        <v>22</v>
      </c>
    </row>
    <row r="3583" ht="25.0" customHeight="true">
      <c r="A3583" t="s" s="2">
        <v>13</v>
      </c>
      <c r="B3583" t="s" s="2">
        <f>HYPERLINK("http://ts.21cn.com/tousu/show/id/1370282","雷神NN加速器加速无效果客服推诿无法解决需要退款")</f>
      </c>
      <c r="C3583" t="s" s="2">
        <v>52</v>
      </c>
      <c r="D3583" t="s" s="2">
        <v>16</v>
      </c>
      <c r="E3583" t="s" s="2">
        <v>17</v>
      </c>
      <c r="F3583" t="s" s="2">
        <f>HYPERLINK("http://ts.21cn.com/tousu/show/id/1370282","http://ts.21cn.com/tousu/show/id/1370282")</f>
      </c>
      <c r="G3583" t="s" s="2">
        <v>17</v>
      </c>
      <c r="H3583" t="s" s="2">
        <v>19</v>
      </c>
      <c r="I3583" t="s" s="2">
        <v>13970</v>
      </c>
      <c r="J3583" t="s" s="2">
        <v>13971</v>
      </c>
      <c r="K3583" t="s" s="2">
        <v>22</v>
      </c>
      <c r="L3583" t="s" s="2">
        <v>22</v>
      </c>
      <c r="M3583" t="s" s="2">
        <v>22</v>
      </c>
    </row>
    <row r="3584" ht="25.0" customHeight="true">
      <c r="A3584" t="s" s="2">
        <v>13</v>
      </c>
      <c r="B3584" t="s" s="2">
        <f>HYPERLINK("http://ts.21cn.com/tousu/show/id/1370279","拉卡拉收款宝一直不结算到账，撤销交易也不行，退原卡也不行，恶意扣留客户资金")</f>
      </c>
      <c r="C3584" t="s" s="2">
        <v>15</v>
      </c>
      <c r="D3584" t="s" s="2">
        <v>16</v>
      </c>
      <c r="E3584" t="s" s="2">
        <v>17</v>
      </c>
      <c r="F3584" t="s" s="2">
        <f>HYPERLINK("http://ts.21cn.com/tousu/show/id/1370279","http://ts.21cn.com/tousu/show/id/1370279")</f>
      </c>
      <c r="G3584" t="s" s="2">
        <v>17</v>
      </c>
      <c r="H3584" t="s" s="2">
        <v>19</v>
      </c>
      <c r="I3584" t="s" s="2">
        <v>13974</v>
      </c>
      <c r="J3584" t="s" s="2">
        <v>13975</v>
      </c>
      <c r="K3584" t="s" s="2">
        <v>22</v>
      </c>
      <c r="L3584" t="s" s="2">
        <v>22</v>
      </c>
      <c r="M3584" t="s" s="2">
        <v>22</v>
      </c>
    </row>
    <row r="3585" ht="25.0" customHeight="true">
      <c r="A3585" t="s" s="2">
        <v>13</v>
      </c>
      <c r="B3585" t="s" s="2">
        <f>HYPERLINK("http://ts.21cn.com/tousu/show/id/1370269","捷信消费金融有限公司收取高额服务费")</f>
      </c>
      <c r="C3585" t="s" s="2">
        <v>15</v>
      </c>
      <c r="D3585" t="s" s="2">
        <v>16</v>
      </c>
      <c r="E3585" t="s" s="2">
        <v>17</v>
      </c>
      <c r="F3585" t="s" s="2">
        <f>HYPERLINK("http://ts.21cn.com/tousu/show/id/1370269","http://ts.21cn.com/tousu/show/id/1370269")</f>
      </c>
      <c r="G3585" t="s" s="2">
        <v>17</v>
      </c>
      <c r="H3585" t="s" s="2">
        <v>19</v>
      </c>
      <c r="I3585" t="s" s="2">
        <v>13978</v>
      </c>
      <c r="J3585" t="s" s="2">
        <v>13979</v>
      </c>
      <c r="K3585" t="s" s="2">
        <v>22</v>
      </c>
      <c r="L3585" t="s" s="2">
        <v>22</v>
      </c>
      <c r="M3585" t="s" s="2">
        <v>22</v>
      </c>
    </row>
    <row r="3586" ht="25.0" customHeight="true">
      <c r="A3586" t="s" s="2">
        <v>13</v>
      </c>
      <c r="B3586" t="s" s="2">
        <f>HYPERLINK("http://ts.21cn.com/tousu/show/id/1370277","付错款拒不退款，要求退款")</f>
      </c>
      <c r="C3586" t="s" s="2">
        <v>15</v>
      </c>
      <c r="D3586" t="s" s="2">
        <v>16</v>
      </c>
      <c r="E3586" t="s" s="2">
        <v>17</v>
      </c>
      <c r="F3586" t="s" s="2">
        <f>HYPERLINK("http://ts.21cn.com/tousu/show/id/1370277","http://ts.21cn.com/tousu/show/id/1370277")</f>
      </c>
      <c r="G3586" t="s" s="2">
        <v>17</v>
      </c>
      <c r="H3586" t="s" s="2">
        <v>19</v>
      </c>
      <c r="I3586" t="s" s="2">
        <v>13982</v>
      </c>
      <c r="J3586" t="s" s="2">
        <v>13983</v>
      </c>
      <c r="K3586" t="s" s="2">
        <v>22</v>
      </c>
      <c r="L3586" t="s" s="2">
        <v>22</v>
      </c>
      <c r="M3586" t="s" s="2">
        <v>22</v>
      </c>
    </row>
    <row r="3587" ht="25.0" customHeight="true">
      <c r="A3587" t="s" s="2">
        <v>13</v>
      </c>
      <c r="B3587" t="s" s="2">
        <f>HYPERLINK("http://ts.21cn.com/tousu/show/id/1370244","玖富万卡擅自改写合同，变相收费，高利贷，谁来监管？")</f>
      </c>
      <c r="C3587" t="s" s="2">
        <v>15</v>
      </c>
      <c r="D3587" t="s" s="2">
        <v>16</v>
      </c>
      <c r="E3587" t="s" s="2">
        <v>17</v>
      </c>
      <c r="F3587" t="s" s="2">
        <f>HYPERLINK("http://ts.21cn.com/tousu/show/id/1370244","http://ts.21cn.com/tousu/show/id/1370244")</f>
      </c>
      <c r="G3587" t="s" s="2">
        <v>17</v>
      </c>
      <c r="H3587" t="s" s="2">
        <v>19</v>
      </c>
      <c r="I3587" t="s" s="2">
        <v>13986</v>
      </c>
      <c r="J3587" t="s" s="2">
        <v>13987</v>
      </c>
      <c r="K3587" t="s" s="2">
        <v>22</v>
      </c>
      <c r="L3587" t="s" s="2">
        <v>22</v>
      </c>
      <c r="M3587" t="s" s="2">
        <v>22</v>
      </c>
    </row>
    <row r="3588" ht="25.0" customHeight="true">
      <c r="A3588" t="s" s="2">
        <v>13</v>
      </c>
      <c r="B3588" t="s" s="2">
        <f>HYPERLINK("http://ts.21cn.com/tousu/show/id/1370275","展鸿科技联合第三方支付平台发放高利贷")</f>
      </c>
      <c r="C3588" t="s" s="2">
        <v>15</v>
      </c>
      <c r="D3588" t="s" s="2">
        <v>16</v>
      </c>
      <c r="E3588" t="s" s="2">
        <v>17</v>
      </c>
      <c r="F3588" t="s" s="2">
        <f>HYPERLINK("http://ts.21cn.com/tousu/show/id/1370275","http://ts.21cn.com/tousu/show/id/1370275")</f>
      </c>
      <c r="G3588" t="s" s="2">
        <v>17</v>
      </c>
      <c r="H3588" t="s" s="2">
        <v>19</v>
      </c>
      <c r="I3588" t="s" s="2">
        <v>13990</v>
      </c>
      <c r="J3588" t="s" s="2">
        <v>13991</v>
      </c>
      <c r="K3588" t="s" s="2">
        <v>22</v>
      </c>
      <c r="L3588" t="s" s="2">
        <v>22</v>
      </c>
      <c r="M3588" t="s" s="2">
        <v>22</v>
      </c>
    </row>
    <row r="3589" ht="25.0" customHeight="true">
      <c r="A3589" t="s" s="2">
        <v>13</v>
      </c>
      <c r="B3589" t="s" s="2">
        <f>HYPERLINK("http://ts.21cn.com/tousu/show/id/1370274","现金贷欺诈")</f>
      </c>
      <c r="C3589" t="s" s="2">
        <v>15</v>
      </c>
      <c r="D3589" t="s" s="2">
        <v>16</v>
      </c>
      <c r="E3589" t="s" s="2">
        <v>17</v>
      </c>
      <c r="F3589" t="s" s="2">
        <f>HYPERLINK("http://ts.21cn.com/tousu/show/id/1370274","http://ts.21cn.com/tousu/show/id/1370274")</f>
      </c>
      <c r="G3589" t="s" s="2">
        <v>17</v>
      </c>
      <c r="H3589" t="s" s="2">
        <v>19</v>
      </c>
      <c r="I3589" t="s" s="2">
        <v>13994</v>
      </c>
      <c r="J3589" t="s" s="2">
        <v>13995</v>
      </c>
      <c r="K3589" t="s" s="2">
        <v>22</v>
      </c>
      <c r="L3589" t="s" s="2">
        <v>22</v>
      </c>
      <c r="M3589" t="s" s="2">
        <v>22</v>
      </c>
    </row>
    <row r="3590" ht="25.0" customHeight="true">
      <c r="A3590" t="s" s="2">
        <v>13</v>
      </c>
      <c r="B3590" t="s" s="2">
        <f>HYPERLINK("http://ts.21cn.com/tousu/show/id/1370253","请求太颜科技有限公司退回服务费")</f>
      </c>
      <c r="C3590" t="s" s="2">
        <v>15</v>
      </c>
      <c r="D3590" t="s" s="2">
        <v>16</v>
      </c>
      <c r="E3590" t="s" s="2">
        <v>17</v>
      </c>
      <c r="F3590" t="s" s="2">
        <f>HYPERLINK("http://ts.21cn.com/tousu/show/id/1370253","http://ts.21cn.com/tousu/show/id/1370253")</f>
      </c>
      <c r="G3590" t="s" s="2">
        <v>17</v>
      </c>
      <c r="H3590" t="s" s="2">
        <v>19</v>
      </c>
      <c r="I3590" t="s" s="2">
        <v>13998</v>
      </c>
      <c r="J3590" t="s" s="2">
        <v>13999</v>
      </c>
      <c r="K3590" t="s" s="2">
        <v>22</v>
      </c>
      <c r="L3590" t="s" s="2">
        <v>22</v>
      </c>
      <c r="M3590" t="s" s="2">
        <v>22</v>
      </c>
    </row>
    <row r="3591" ht="25.0" customHeight="true">
      <c r="A3591" t="s" s="2">
        <v>13</v>
      </c>
      <c r="B3591" t="s" s="2">
        <f>HYPERLINK("http://ts.21cn.com/tousu/show/id/1370273","投诉鼎泰鑫催收公司骚扰")</f>
      </c>
      <c r="C3591" t="s" s="2">
        <v>15</v>
      </c>
      <c r="D3591" t="s" s="2">
        <v>16</v>
      </c>
      <c r="E3591" t="s" s="2">
        <v>17</v>
      </c>
      <c r="F3591" t="s" s="2">
        <f>HYPERLINK("http://ts.21cn.com/tousu/show/id/1370273","http://ts.21cn.com/tousu/show/id/1370273")</f>
      </c>
      <c r="G3591" t="s" s="2">
        <v>17</v>
      </c>
      <c r="H3591" t="s" s="2">
        <v>19</v>
      </c>
      <c r="I3591" t="s" s="2">
        <v>13998</v>
      </c>
      <c r="J3591" t="s" s="2">
        <v>14002</v>
      </c>
      <c r="K3591" t="s" s="2">
        <v>22</v>
      </c>
      <c r="L3591" t="s" s="2">
        <v>22</v>
      </c>
      <c r="M3591" t="s" s="2">
        <v>22</v>
      </c>
    </row>
    <row r="3592" ht="25.0" customHeight="true">
      <c r="A3592" t="s" s="2">
        <v>13</v>
      </c>
      <c r="B3592" t="s" s="2">
        <f>HYPERLINK("http://ts.21cn.com/tousu/show/id/1370272","分期乐电话恐吓家人")</f>
      </c>
      <c r="C3592" t="s" s="2">
        <v>15</v>
      </c>
      <c r="D3592" t="s" s="2">
        <v>16</v>
      </c>
      <c r="E3592" t="s" s="2">
        <v>17</v>
      </c>
      <c r="F3592" t="s" s="2">
        <f>HYPERLINK("http://ts.21cn.com/tousu/show/id/1370272","http://ts.21cn.com/tousu/show/id/1370272")</f>
      </c>
      <c r="G3592" t="s" s="2">
        <v>17</v>
      </c>
      <c r="H3592" t="s" s="2">
        <v>19</v>
      </c>
      <c r="I3592" t="s" s="2">
        <v>14005</v>
      </c>
      <c r="J3592" t="s" s="2">
        <v>14006</v>
      </c>
      <c r="K3592" t="s" s="2">
        <v>22</v>
      </c>
      <c r="L3592" t="s" s="2">
        <v>22</v>
      </c>
      <c r="M3592" t="s" s="2">
        <v>22</v>
      </c>
    </row>
    <row r="3593" ht="25.0" customHeight="true">
      <c r="A3593" t="s" s="2">
        <v>13</v>
      </c>
      <c r="B3593" t="s" s="2">
        <f>HYPERLINK("http://ts.21cn.com/tousu/show/id/1370270","58同城监管不严")</f>
      </c>
      <c r="C3593" t="s" s="2">
        <v>15</v>
      </c>
      <c r="D3593" t="s" s="2">
        <v>16</v>
      </c>
      <c r="E3593" t="s" s="2">
        <v>17</v>
      </c>
      <c r="F3593" t="s" s="2">
        <f>HYPERLINK("http://ts.21cn.com/tousu/show/id/1370270","http://ts.21cn.com/tousu/show/id/1370270")</f>
      </c>
      <c r="G3593" t="s" s="2">
        <v>17</v>
      </c>
      <c r="H3593" t="s" s="2">
        <v>19</v>
      </c>
      <c r="I3593" t="s" s="2">
        <v>14009</v>
      </c>
      <c r="J3593" t="s" s="2">
        <v>14010</v>
      </c>
      <c r="K3593" t="s" s="2">
        <v>22</v>
      </c>
      <c r="L3593" t="s" s="2">
        <v>22</v>
      </c>
      <c r="M3593" t="s" s="2">
        <v>22</v>
      </c>
    </row>
    <row r="3594" ht="25.0" customHeight="true">
      <c r="A3594" t="s" s="2">
        <v>13</v>
      </c>
      <c r="B3594" t="s" s="2">
        <f>HYPERLINK("http://ts.21cn.com/tousu/show/id/1370271","停止暴力催收")</f>
      </c>
      <c r="C3594" t="s" s="2">
        <v>15</v>
      </c>
      <c r="D3594" t="s" s="2">
        <v>16</v>
      </c>
      <c r="E3594" t="s" s="2">
        <v>17</v>
      </c>
      <c r="F3594" t="s" s="2">
        <f>HYPERLINK("http://ts.21cn.com/tousu/show/id/1370271","http://ts.21cn.com/tousu/show/id/1370271")</f>
      </c>
      <c r="G3594" t="s" s="2">
        <v>17</v>
      </c>
      <c r="H3594" t="s" s="2">
        <v>19</v>
      </c>
      <c r="I3594" t="s" s="2">
        <v>14013</v>
      </c>
      <c r="J3594" t="s" s="2">
        <v>14014</v>
      </c>
      <c r="K3594" t="s" s="2">
        <v>22</v>
      </c>
      <c r="L3594" t="s" s="2">
        <v>22</v>
      </c>
      <c r="M3594" t="s" s="2">
        <v>22</v>
      </c>
    </row>
    <row r="3595" ht="25.0" customHeight="true">
      <c r="A3595" t="s" s="2">
        <v>13</v>
      </c>
      <c r="B3595" t="s" s="2">
        <f>HYPERLINK("http://ts.21cn.com/tousu/show/id/1370265","游戏充值")</f>
      </c>
      <c r="C3595" t="s" s="2">
        <v>15</v>
      </c>
      <c r="D3595" t="s" s="2">
        <v>16</v>
      </c>
      <c r="E3595" t="s" s="2">
        <v>17</v>
      </c>
      <c r="F3595" t="s" s="2">
        <f>HYPERLINK("http://ts.21cn.com/tousu/show/id/1370265","http://ts.21cn.com/tousu/show/id/1370265")</f>
      </c>
      <c r="G3595" t="s" s="2">
        <v>17</v>
      </c>
      <c r="H3595" t="s" s="2">
        <v>19</v>
      </c>
      <c r="I3595" t="s" s="2">
        <v>14017</v>
      </c>
      <c r="J3595" t="s" s="2">
        <v>14018</v>
      </c>
      <c r="K3595" t="s" s="2">
        <v>22</v>
      </c>
      <c r="L3595" t="s" s="2">
        <v>22</v>
      </c>
      <c r="M3595" t="s" s="2">
        <v>22</v>
      </c>
    </row>
    <row r="3596" ht="25.0" customHeight="true">
      <c r="A3596" t="s" s="2">
        <v>13</v>
      </c>
      <c r="B3596" t="s" s="2">
        <f>HYPERLINK("http://ts.21cn.com/tousu/show/id/1370264","广东信汇电子商务有限公司为博彩平台提供收款服务")</f>
      </c>
      <c r="C3596" t="s" s="2">
        <v>15</v>
      </c>
      <c r="D3596" t="s" s="2">
        <v>16</v>
      </c>
      <c r="E3596" t="s" s="2">
        <v>17</v>
      </c>
      <c r="F3596" t="s" s="2">
        <f>HYPERLINK("http://ts.21cn.com/tousu/show/id/1370264","http://ts.21cn.com/tousu/show/id/1370264")</f>
      </c>
      <c r="G3596" t="s" s="2">
        <v>17</v>
      </c>
      <c r="H3596" t="s" s="2">
        <v>19</v>
      </c>
      <c r="I3596" t="s" s="2">
        <v>14021</v>
      </c>
      <c r="J3596" t="s" s="2">
        <v>12801</v>
      </c>
      <c r="K3596" t="s" s="2">
        <v>22</v>
      </c>
      <c r="L3596" t="s" s="2">
        <v>22</v>
      </c>
      <c r="M3596" t="s" s="2">
        <v>22</v>
      </c>
    </row>
    <row r="3597" ht="25.0" customHeight="true">
      <c r="A3597" t="s" s="2">
        <v>13</v>
      </c>
      <c r="B3597" t="s" s="2">
        <f>HYPERLINK("http://ts.21cn.com/tousu/show/id/1370263","714高利贷砍头息，恶意辱骂亲朋好友利息和本金翻倍")</f>
      </c>
      <c r="C3597" t="s" s="2">
        <v>15</v>
      </c>
      <c r="D3597" t="s" s="2">
        <v>16</v>
      </c>
      <c r="E3597" t="s" s="2">
        <v>17</v>
      </c>
      <c r="F3597" t="s" s="2">
        <f>HYPERLINK("http://ts.21cn.com/tousu/show/id/1370263","http://ts.21cn.com/tousu/show/id/1370263")</f>
      </c>
      <c r="G3597" t="s" s="2">
        <v>17</v>
      </c>
      <c r="H3597" t="s" s="2">
        <v>19</v>
      </c>
      <c r="I3597" t="s" s="2">
        <v>14024</v>
      </c>
      <c r="J3597" t="s" s="2">
        <v>14025</v>
      </c>
      <c r="K3597" t="s" s="2">
        <v>22</v>
      </c>
      <c r="L3597" t="s" s="2">
        <v>22</v>
      </c>
      <c r="M3597" t="s" s="2">
        <v>22</v>
      </c>
    </row>
    <row r="3598" ht="25.0" customHeight="true">
      <c r="A3598" t="s" s="2">
        <v>13</v>
      </c>
      <c r="B3598" t="s" s="2">
        <f>HYPERLINK("http://ts.21cn.com/tousu/show/id/1370262","侮辱家人谩骂威胁骚扰家人")</f>
      </c>
      <c r="C3598" t="s" s="2">
        <v>15</v>
      </c>
      <c r="D3598" t="s" s="2">
        <v>16</v>
      </c>
      <c r="E3598" t="s" s="2">
        <v>17</v>
      </c>
      <c r="F3598" t="s" s="2">
        <f>HYPERLINK("http://ts.21cn.com/tousu/show/id/1370262","http://ts.21cn.com/tousu/show/id/1370262")</f>
      </c>
      <c r="G3598" t="s" s="2">
        <v>17</v>
      </c>
      <c r="H3598" t="s" s="2">
        <v>19</v>
      </c>
      <c r="I3598" t="s" s="2">
        <v>14028</v>
      </c>
      <c r="J3598" t="s" s="2">
        <v>14029</v>
      </c>
      <c r="K3598" t="s" s="2">
        <v>22</v>
      </c>
      <c r="L3598" t="s" s="2">
        <v>22</v>
      </c>
      <c r="M3598" t="s" s="2">
        <v>22</v>
      </c>
    </row>
    <row r="3599" ht="25.0" customHeight="true">
      <c r="A3599" t="s" s="2">
        <v>13</v>
      </c>
      <c r="B3599" t="s" s="2">
        <f>HYPERLINK("http://ts.21cn.com/tousu/show/id/1370260","阴阳合同，高利贷，砍头息")</f>
      </c>
      <c r="C3599" t="s" s="2">
        <v>15</v>
      </c>
      <c r="D3599" t="s" s="2">
        <v>16</v>
      </c>
      <c r="E3599" t="s" s="2">
        <v>17</v>
      </c>
      <c r="F3599" t="s" s="2">
        <f>HYPERLINK("http://ts.21cn.com/tousu/show/id/1370260","http://ts.21cn.com/tousu/show/id/1370260")</f>
      </c>
      <c r="G3599" t="s" s="2">
        <v>17</v>
      </c>
      <c r="H3599" t="s" s="2">
        <v>19</v>
      </c>
      <c r="I3599" t="s" s="2">
        <v>14032</v>
      </c>
      <c r="J3599" t="s" s="2">
        <v>14033</v>
      </c>
      <c r="K3599" t="s" s="2">
        <v>22</v>
      </c>
      <c r="L3599" t="s" s="2">
        <v>22</v>
      </c>
      <c r="M3599" t="s" s="2">
        <v>22</v>
      </c>
    </row>
    <row r="3600" ht="25.0" customHeight="true">
      <c r="A3600" t="s" s="2">
        <v>13</v>
      </c>
      <c r="B3600" t="s" s="2">
        <f>HYPERLINK("http://ts.21cn.com/tousu/show/id/1370261","投诉敏付支付违规违法为境外博彩平台提供充值通道")</f>
      </c>
      <c r="C3600" t="s" s="2">
        <v>15</v>
      </c>
      <c r="D3600" t="s" s="2">
        <v>16</v>
      </c>
      <c r="E3600" t="s" s="2">
        <v>17</v>
      </c>
      <c r="F3600" t="s" s="2">
        <f>HYPERLINK("http://ts.21cn.com/tousu/show/id/1370261","http://ts.21cn.com/tousu/show/id/1370261")</f>
      </c>
      <c r="G3600" t="s" s="2">
        <v>17</v>
      </c>
      <c r="H3600" t="s" s="2">
        <v>19</v>
      </c>
      <c r="I3600" t="s" s="2">
        <v>14036</v>
      </c>
      <c r="J3600" t="s" s="2">
        <v>14037</v>
      </c>
      <c r="K3600" t="s" s="2">
        <v>22</v>
      </c>
      <c r="L3600" t="s" s="2">
        <v>22</v>
      </c>
      <c r="M3600" t="s" s="2">
        <v>22</v>
      </c>
    </row>
    <row r="3601" ht="25.0" customHeight="true">
      <c r="A3601" t="s" s="2">
        <v>13</v>
      </c>
      <c r="B3601" t="s" s="2">
        <f>HYPERLINK("http://ts.21cn.com/tousu/show/id/1370257","不退款，不作为，客服不说话")</f>
      </c>
      <c r="C3601" t="s" s="2">
        <v>15</v>
      </c>
      <c r="D3601" t="s" s="2">
        <v>16</v>
      </c>
      <c r="E3601" t="s" s="2">
        <v>17</v>
      </c>
      <c r="F3601" t="s" s="2">
        <f>HYPERLINK("http://ts.21cn.com/tousu/show/id/1370257","http://ts.21cn.com/tousu/show/id/1370257")</f>
      </c>
      <c r="G3601" t="s" s="2">
        <v>17</v>
      </c>
      <c r="H3601" t="s" s="2">
        <v>19</v>
      </c>
      <c r="I3601" t="s" s="2">
        <v>14040</v>
      </c>
      <c r="J3601" t="s" s="2">
        <v>14041</v>
      </c>
      <c r="K3601" t="s" s="2">
        <v>22</v>
      </c>
      <c r="L3601" t="s" s="2">
        <v>22</v>
      </c>
      <c r="M3601" t="s" s="2">
        <v>22</v>
      </c>
    </row>
    <row r="3602" ht="25.0" customHeight="true">
      <c r="A3602" t="s" s="2">
        <v>13</v>
      </c>
      <c r="B3602" t="s" s="2">
        <f>HYPERLINK("http://ts.21cn.com/tousu/show/id/1370255","同程旅游提钱游购买权益卡后不下款")</f>
      </c>
      <c r="C3602" t="s" s="2">
        <v>52</v>
      </c>
      <c r="D3602" t="s" s="2">
        <v>16</v>
      </c>
      <c r="E3602" t="s" s="2">
        <v>17</v>
      </c>
      <c r="F3602" t="s" s="2">
        <f>HYPERLINK("http://ts.21cn.com/tousu/show/id/1370255","http://ts.21cn.com/tousu/show/id/1370255")</f>
      </c>
      <c r="G3602" t="s" s="2">
        <v>17</v>
      </c>
      <c r="H3602" t="s" s="2">
        <v>19</v>
      </c>
      <c r="I3602" t="s" s="2">
        <v>14044</v>
      </c>
      <c r="J3602" t="s" s="2">
        <v>14045</v>
      </c>
      <c r="K3602" t="s" s="2">
        <v>22</v>
      </c>
      <c r="L3602" t="s" s="2">
        <v>22</v>
      </c>
      <c r="M3602" t="s" s="2">
        <v>22</v>
      </c>
    </row>
    <row r="3603" ht="25.0" customHeight="true">
      <c r="A3603" t="s" s="2">
        <v>13</v>
      </c>
      <c r="B3603" t="s" s="2">
        <f>HYPERLINK("http://ts.21cn.com/tousu/show/id/1370258","etc注销不了")</f>
      </c>
      <c r="C3603" t="s" s="2">
        <v>15</v>
      </c>
      <c r="D3603" t="s" s="2">
        <v>16</v>
      </c>
      <c r="E3603" t="s" s="2">
        <v>17</v>
      </c>
      <c r="F3603" t="s" s="2">
        <f>HYPERLINK("http://ts.21cn.com/tousu/show/id/1370258","http://ts.21cn.com/tousu/show/id/1370258")</f>
      </c>
      <c r="G3603" t="s" s="2">
        <v>17</v>
      </c>
      <c r="H3603" t="s" s="2">
        <v>19</v>
      </c>
      <c r="I3603" t="s" s="2">
        <v>14048</v>
      </c>
      <c r="J3603" t="s" s="2">
        <v>14049</v>
      </c>
      <c r="K3603" t="s" s="2">
        <v>22</v>
      </c>
      <c r="L3603" t="s" s="2">
        <v>22</v>
      </c>
      <c r="M3603" t="s" s="2">
        <v>22</v>
      </c>
    </row>
    <row r="3604" ht="25.0" customHeight="true">
      <c r="A3604" t="s" s="2">
        <v>13</v>
      </c>
      <c r="B3604" t="s" s="2">
        <f>HYPERLINK("http://ts.21cn.com/tousu/show/id/1370252","714恶意催收，辱骂亲朋好友，")</f>
      </c>
      <c r="C3604" t="s" s="2">
        <v>15</v>
      </c>
      <c r="D3604" t="s" s="2">
        <v>16</v>
      </c>
      <c r="E3604" t="s" s="2">
        <v>17</v>
      </c>
      <c r="F3604" t="s" s="2">
        <f>HYPERLINK("http://ts.21cn.com/tousu/show/id/1370252","http://ts.21cn.com/tousu/show/id/1370252")</f>
      </c>
      <c r="G3604" t="s" s="2">
        <v>17</v>
      </c>
      <c r="H3604" t="s" s="2">
        <v>19</v>
      </c>
      <c r="I3604" t="s" s="2">
        <v>14052</v>
      </c>
      <c r="J3604" t="s" s="2">
        <v>14053</v>
      </c>
      <c r="K3604" t="s" s="2">
        <v>22</v>
      </c>
      <c r="L3604" t="s" s="2">
        <v>22</v>
      </c>
      <c r="M3604" t="s" s="2">
        <v>22</v>
      </c>
    </row>
    <row r="3605" ht="25.0" customHeight="true">
      <c r="A3605" t="s" s="2">
        <v>13</v>
      </c>
      <c r="B3605" t="s" s="2">
        <f>HYPERLINK("http://ts.21cn.com/tousu/show/id/1370254","还款无法办理")</f>
      </c>
      <c r="C3605" t="s" s="2">
        <v>15</v>
      </c>
      <c r="D3605" t="s" s="2">
        <v>16</v>
      </c>
      <c r="E3605" t="s" s="2">
        <v>17</v>
      </c>
      <c r="F3605" t="s" s="2">
        <f>HYPERLINK("http://ts.21cn.com/tousu/show/id/1370254","http://ts.21cn.com/tousu/show/id/1370254")</f>
      </c>
      <c r="G3605" t="s" s="2">
        <v>17</v>
      </c>
      <c r="H3605" t="s" s="2">
        <v>19</v>
      </c>
      <c r="I3605" t="s" s="2">
        <v>14056</v>
      </c>
      <c r="J3605" t="s" s="2">
        <v>14057</v>
      </c>
      <c r="K3605" t="s" s="2">
        <v>22</v>
      </c>
      <c r="L3605" t="s" s="2">
        <v>22</v>
      </c>
      <c r="M3605" t="s" s="2">
        <v>22</v>
      </c>
    </row>
    <row r="3606" ht="25.0" customHeight="true">
      <c r="A3606" t="s" s="2">
        <v>13</v>
      </c>
      <c r="B3606" t="s" s="2">
        <f>HYPERLINK("http://ts.21cn.com/tousu/show/id/1370250","投诉微信公众号AstroPayShop线下非法高息借贷")</f>
      </c>
      <c r="C3606" t="s" s="2">
        <v>52</v>
      </c>
      <c r="D3606" t="s" s="2">
        <v>16</v>
      </c>
      <c r="E3606" t="s" s="2">
        <v>17</v>
      </c>
      <c r="F3606" t="s" s="2">
        <f>HYPERLINK("http://ts.21cn.com/tousu/show/id/1370250","http://ts.21cn.com/tousu/show/id/1370250")</f>
      </c>
      <c r="G3606" t="s" s="2">
        <v>17</v>
      </c>
      <c r="H3606" t="s" s="2">
        <v>19</v>
      </c>
      <c r="I3606" t="s" s="2">
        <v>14060</v>
      </c>
      <c r="J3606" t="s" s="2">
        <v>14061</v>
      </c>
      <c r="K3606" t="s" s="2">
        <v>22</v>
      </c>
      <c r="L3606" t="s" s="2">
        <v>22</v>
      </c>
      <c r="M3606" t="s" s="2">
        <v>22</v>
      </c>
    </row>
    <row r="3607" ht="25.0" customHeight="true">
      <c r="A3607" t="s" s="2">
        <v>13</v>
      </c>
      <c r="B3607" t="s" s="2">
        <f>HYPERLINK("http://ts.21cn.com/tousu/show/id/1370251","捷信高利贷")</f>
      </c>
      <c r="C3607" t="s" s="2">
        <v>15</v>
      </c>
      <c r="D3607" t="s" s="2">
        <v>16</v>
      </c>
      <c r="E3607" t="s" s="2">
        <v>17</v>
      </c>
      <c r="F3607" t="s" s="2">
        <f>HYPERLINK("http://ts.21cn.com/tousu/show/id/1370251","http://ts.21cn.com/tousu/show/id/1370251")</f>
      </c>
      <c r="G3607" t="s" s="2">
        <v>17</v>
      </c>
      <c r="H3607" t="s" s="2">
        <v>19</v>
      </c>
      <c r="I3607" t="s" s="2">
        <v>14063</v>
      </c>
      <c r="J3607" t="s" s="2">
        <v>14064</v>
      </c>
      <c r="K3607" t="s" s="2">
        <v>22</v>
      </c>
      <c r="L3607" t="s" s="2">
        <v>22</v>
      </c>
      <c r="M3607" t="s" s="2">
        <v>22</v>
      </c>
    </row>
    <row r="3608" ht="25.0" customHeight="true">
      <c r="A3608" t="s" s="2">
        <v>13</v>
      </c>
      <c r="B3608" t="s" s="2">
        <f>HYPERLINK("http://ts.21cn.com/tousu/show/id/1370242","自动扣款，之后才发现")</f>
      </c>
      <c r="C3608" t="s" s="2">
        <v>52</v>
      </c>
      <c r="D3608" t="s" s="2">
        <v>16</v>
      </c>
      <c r="E3608" t="s" s="2">
        <v>17</v>
      </c>
      <c r="F3608" t="s" s="2">
        <f>HYPERLINK("http://ts.21cn.com/tousu/show/id/1370242","http://ts.21cn.com/tousu/show/id/1370242")</f>
      </c>
      <c r="G3608" t="s" s="2">
        <v>17</v>
      </c>
      <c r="H3608" t="s" s="2">
        <v>19</v>
      </c>
      <c r="I3608" t="s" s="2">
        <v>14067</v>
      </c>
      <c r="J3608" t="s" s="2">
        <v>14068</v>
      </c>
      <c r="K3608" t="s" s="2">
        <v>22</v>
      </c>
      <c r="L3608" t="s" s="2">
        <v>22</v>
      </c>
      <c r="M3608" t="s" s="2">
        <v>22</v>
      </c>
    </row>
    <row r="3609" ht="25.0" customHeight="true">
      <c r="A3609" t="s" s="2">
        <v>13</v>
      </c>
      <c r="B3609" t="s" s="2">
        <f>HYPERLINK("http://ts.21cn.com/tousu/show/id/1370249","退还部分砍头息")</f>
      </c>
      <c r="C3609" t="s" s="2">
        <v>15</v>
      </c>
      <c r="D3609" t="s" s="2">
        <v>16</v>
      </c>
      <c r="E3609" t="s" s="2">
        <v>17</v>
      </c>
      <c r="F3609" t="s" s="2">
        <f>HYPERLINK("http://ts.21cn.com/tousu/show/id/1370249","http://ts.21cn.com/tousu/show/id/1370249")</f>
      </c>
      <c r="G3609" t="s" s="2">
        <v>17</v>
      </c>
      <c r="H3609" t="s" s="2">
        <v>19</v>
      </c>
      <c r="I3609" t="s" s="2">
        <v>14071</v>
      </c>
      <c r="J3609" t="s" s="2">
        <v>14072</v>
      </c>
      <c r="K3609" t="s" s="2">
        <v>22</v>
      </c>
      <c r="L3609" t="s" s="2">
        <v>22</v>
      </c>
      <c r="M3609" t="s" s="2">
        <v>22</v>
      </c>
    </row>
    <row r="3610" ht="25.0" customHeight="true">
      <c r="A3610" t="s" s="2">
        <v>13</v>
      </c>
      <c r="B3610" t="s" s="2">
        <f>HYPERLINK("http://ts.21cn.com/tousu/show/id/1370243","未应同意打电话到居委会")</f>
      </c>
      <c r="C3610" t="s" s="2">
        <v>15</v>
      </c>
      <c r="D3610" t="s" s="2">
        <v>16</v>
      </c>
      <c r="E3610" t="s" s="2">
        <v>17</v>
      </c>
      <c r="F3610" t="s" s="2">
        <f>HYPERLINK("http://ts.21cn.com/tousu/show/id/1370243","http://ts.21cn.com/tousu/show/id/1370243")</f>
      </c>
      <c r="G3610" t="s" s="2">
        <v>17</v>
      </c>
      <c r="H3610" t="s" s="2">
        <v>19</v>
      </c>
      <c r="I3610" t="s" s="2">
        <v>14075</v>
      </c>
      <c r="J3610" t="s" s="2">
        <v>14076</v>
      </c>
      <c r="K3610" t="s" s="2">
        <v>22</v>
      </c>
      <c r="L3610" t="s" s="2">
        <v>22</v>
      </c>
      <c r="M3610" t="s" s="2">
        <v>22</v>
      </c>
    </row>
    <row r="3611" ht="25.0" customHeight="true">
      <c r="A3611" t="s" s="2">
        <v>13</v>
      </c>
      <c r="B3611" t="s" s="2">
        <f>HYPERLINK("http://ts.21cn.com/tousu/show/id/1370240","友信普惠高额收取服务费和违约金并泄露个人隐私")</f>
      </c>
      <c r="C3611" t="s" s="2">
        <v>15</v>
      </c>
      <c r="D3611" t="s" s="2">
        <v>16</v>
      </c>
      <c r="E3611" t="s" s="2">
        <v>17</v>
      </c>
      <c r="F3611" t="s" s="2">
        <f>HYPERLINK("http://ts.21cn.com/tousu/show/id/1370240","http://ts.21cn.com/tousu/show/id/1370240")</f>
      </c>
      <c r="G3611" t="s" s="2">
        <v>17</v>
      </c>
      <c r="H3611" t="s" s="2">
        <v>19</v>
      </c>
      <c r="I3611" t="s" s="2">
        <v>14079</v>
      </c>
      <c r="J3611" t="s" s="2">
        <v>14080</v>
      </c>
      <c r="K3611" t="s" s="2">
        <v>22</v>
      </c>
      <c r="L3611" t="s" s="2">
        <v>22</v>
      </c>
      <c r="M3611" t="s" s="2">
        <v>22</v>
      </c>
    </row>
    <row r="3612" ht="25.0" customHeight="true">
      <c r="A3612" t="s" s="2">
        <v>13</v>
      </c>
      <c r="B3612" t="s" s="2">
        <f>HYPERLINK("http://ts.21cn.com/tousu/show/id/1370239","借贷宝无故收费，不给予销条")</f>
      </c>
      <c r="C3612" t="s" s="2">
        <v>15</v>
      </c>
      <c r="D3612" t="s" s="2">
        <v>16</v>
      </c>
      <c r="E3612" t="s" s="2">
        <v>17</v>
      </c>
      <c r="F3612" t="s" s="2">
        <f>HYPERLINK("http://ts.21cn.com/tousu/show/id/1370239","http://ts.21cn.com/tousu/show/id/1370239")</f>
      </c>
      <c r="G3612" t="s" s="2">
        <v>17</v>
      </c>
      <c r="H3612" t="s" s="2">
        <v>19</v>
      </c>
      <c r="I3612" t="s" s="2">
        <v>14083</v>
      </c>
      <c r="J3612" t="s" s="2">
        <v>14084</v>
      </c>
      <c r="K3612" t="s" s="2">
        <v>22</v>
      </c>
      <c r="L3612" t="s" s="2">
        <v>22</v>
      </c>
      <c r="M3612" t="s" s="2">
        <v>22</v>
      </c>
    </row>
    <row r="3613" ht="25.0" customHeight="true">
      <c r="A3613" t="s" s="2">
        <v>13</v>
      </c>
      <c r="B3613" t="s" s="2">
        <f>HYPERLINK("http://ts.21cn.com/tousu/show/id/1370238","钱站砍头息")</f>
      </c>
      <c r="C3613" t="s" s="2">
        <v>52</v>
      </c>
      <c r="D3613" t="s" s="2">
        <v>16</v>
      </c>
      <c r="E3613" t="s" s="2">
        <v>17</v>
      </c>
      <c r="F3613" t="s" s="2">
        <f>HYPERLINK("http://ts.21cn.com/tousu/show/id/1370238","http://ts.21cn.com/tousu/show/id/1370238")</f>
      </c>
      <c r="G3613" t="s" s="2">
        <v>17</v>
      </c>
      <c r="H3613" t="s" s="2">
        <v>19</v>
      </c>
      <c r="I3613" t="s" s="2">
        <v>14087</v>
      </c>
      <c r="J3613" t="s" s="2">
        <v>14088</v>
      </c>
      <c r="K3613" t="s" s="2">
        <v>22</v>
      </c>
      <c r="L3613" t="s" s="2">
        <v>22</v>
      </c>
      <c r="M3613" t="s" s="2">
        <v>22</v>
      </c>
    </row>
    <row r="3614" ht="25.0" customHeight="true">
      <c r="A3614" t="s" s="2">
        <v>13</v>
      </c>
      <c r="B3614" t="s" s="2">
        <f>HYPERLINK("http://ts.21cn.com/tousu/show/id/1370233","美柚APP用假粉诈取广告费")</f>
      </c>
      <c r="C3614" t="s" s="2">
        <v>15</v>
      </c>
      <c r="D3614" t="s" s="2">
        <v>16</v>
      </c>
      <c r="E3614" t="s" s="2">
        <v>17</v>
      </c>
      <c r="F3614" t="s" s="2">
        <f>HYPERLINK("http://ts.21cn.com/tousu/show/id/1370233","http://ts.21cn.com/tousu/show/id/1370233")</f>
      </c>
      <c r="G3614" t="s" s="2">
        <v>17</v>
      </c>
      <c r="H3614" t="s" s="2">
        <v>19</v>
      </c>
      <c r="I3614" t="s" s="2">
        <v>14091</v>
      </c>
      <c r="J3614" t="s" s="2">
        <v>14092</v>
      </c>
      <c r="K3614" t="s" s="2">
        <v>22</v>
      </c>
      <c r="L3614" t="s" s="2">
        <v>22</v>
      </c>
      <c r="M3614" t="s" s="2">
        <v>22</v>
      </c>
    </row>
    <row r="3615" ht="25.0" customHeight="true">
      <c r="A3615" t="s" s="2">
        <v>13</v>
      </c>
      <c r="B3615" t="s" s="2">
        <f>HYPERLINK("http://ts.21cn.com/tousu/show/id/1369550","万卡易贷会员费")</f>
      </c>
      <c r="C3615" t="s" s="2">
        <v>15</v>
      </c>
      <c r="D3615" t="s" s="2">
        <v>16</v>
      </c>
      <c r="E3615" t="s" s="2">
        <v>17</v>
      </c>
      <c r="F3615" t="s" s="2">
        <f>HYPERLINK("http://ts.21cn.com/tousu/show/id/1369550","http://ts.21cn.com/tousu/show/id/1369550")</f>
      </c>
      <c r="G3615" t="s" s="2">
        <v>17</v>
      </c>
      <c r="H3615" t="s" s="2">
        <v>19</v>
      </c>
      <c r="I3615" t="s" s="2">
        <v>14095</v>
      </c>
      <c r="J3615" t="s" s="2">
        <v>14096</v>
      </c>
      <c r="K3615" t="s" s="2">
        <v>22</v>
      </c>
      <c r="L3615" t="s" s="2">
        <v>22</v>
      </c>
      <c r="M3615" t="s" s="2">
        <v>22</v>
      </c>
    </row>
    <row r="3616" ht="25.0" customHeight="true">
      <c r="A3616" t="s" s="2">
        <v>13</v>
      </c>
      <c r="B3616" t="s" s="2">
        <f>HYPERLINK("http://ts.21cn.com/tousu/show/id/1370221","高炮714平台")</f>
      </c>
      <c r="C3616" t="s" s="2">
        <v>15</v>
      </c>
      <c r="D3616" t="s" s="2">
        <v>16</v>
      </c>
      <c r="E3616" t="s" s="2">
        <v>17</v>
      </c>
      <c r="F3616" t="s" s="2">
        <f>HYPERLINK("http://ts.21cn.com/tousu/show/id/1370221","http://ts.21cn.com/tousu/show/id/1370221")</f>
      </c>
      <c r="G3616" t="s" s="2">
        <v>17</v>
      </c>
      <c r="H3616" t="s" s="2">
        <v>19</v>
      </c>
      <c r="I3616" t="s" s="2">
        <v>14099</v>
      </c>
      <c r="J3616" t="s" s="2">
        <v>14100</v>
      </c>
      <c r="K3616" t="s" s="2">
        <v>22</v>
      </c>
      <c r="L3616" t="s" s="2">
        <v>22</v>
      </c>
      <c r="M3616" t="s" s="2">
        <v>22</v>
      </c>
    </row>
    <row r="3617" ht="25.0" customHeight="true">
      <c r="A3617" t="s" s="2">
        <v>13</v>
      </c>
      <c r="B3617" t="s" s="2">
        <f>HYPERLINK("http://ts.21cn.com/tousu/show/id/1370235","拍拍贷套路我")</f>
      </c>
      <c r="C3617" t="s" s="2">
        <v>15</v>
      </c>
      <c r="D3617" t="s" s="2">
        <v>16</v>
      </c>
      <c r="E3617" t="s" s="2">
        <v>17</v>
      </c>
      <c r="F3617" t="s" s="2">
        <f>HYPERLINK("http://ts.21cn.com/tousu/show/id/1370235","http://ts.21cn.com/tousu/show/id/1370235")</f>
      </c>
      <c r="G3617" t="s" s="2">
        <v>17</v>
      </c>
      <c r="H3617" t="s" s="2">
        <v>19</v>
      </c>
      <c r="I3617" t="s" s="2">
        <v>14103</v>
      </c>
      <c r="J3617" t="s" s="2">
        <v>14104</v>
      </c>
      <c r="K3617" t="s" s="2">
        <v>22</v>
      </c>
      <c r="L3617" t="s" s="2">
        <v>22</v>
      </c>
      <c r="M3617" t="s" s="2">
        <v>22</v>
      </c>
    </row>
    <row r="3618" ht="25.0" customHeight="true">
      <c r="A3618" t="s" s="2">
        <v>13</v>
      </c>
      <c r="B3618" t="s" s="2">
        <f>HYPERLINK("http://ts.21cn.com/tousu/show/id/1370236","网贷变相收取砍头手续费")</f>
      </c>
      <c r="C3618" t="s" s="2">
        <v>15</v>
      </c>
      <c r="D3618" t="s" s="2">
        <v>16</v>
      </c>
      <c r="E3618" t="s" s="2">
        <v>17</v>
      </c>
      <c r="F3618" t="s" s="2">
        <f>HYPERLINK("http://ts.21cn.com/tousu/show/id/1370236","http://ts.21cn.com/tousu/show/id/1370236")</f>
      </c>
      <c r="G3618" t="s" s="2">
        <v>17</v>
      </c>
      <c r="H3618" t="s" s="2">
        <v>19</v>
      </c>
      <c r="I3618" t="s" s="2">
        <v>14107</v>
      </c>
      <c r="J3618" t="s" s="2">
        <v>14108</v>
      </c>
      <c r="K3618" t="s" s="2">
        <v>22</v>
      </c>
      <c r="L3618" t="s" s="2">
        <v>22</v>
      </c>
      <c r="M3618" t="s" s="2">
        <v>22</v>
      </c>
    </row>
    <row r="3619" ht="25.0" customHeight="true">
      <c r="A3619" t="s" s="2">
        <v>13</v>
      </c>
      <c r="B3619" t="s" s="2">
        <f>HYPERLINK("http://ts.21cn.com/tousu/show/id/1370232","马上金融催收骚扰家人")</f>
      </c>
      <c r="C3619" t="s" s="2">
        <v>15</v>
      </c>
      <c r="D3619" t="s" s="2">
        <v>16</v>
      </c>
      <c r="E3619" t="s" s="2">
        <v>17</v>
      </c>
      <c r="F3619" t="s" s="2">
        <f>HYPERLINK("http://ts.21cn.com/tousu/show/id/1370232","http://ts.21cn.com/tousu/show/id/1370232")</f>
      </c>
      <c r="G3619" t="s" s="2">
        <v>17</v>
      </c>
      <c r="H3619" t="s" s="2">
        <v>19</v>
      </c>
      <c r="I3619" t="s" s="2">
        <v>14111</v>
      </c>
      <c r="J3619" t="s" s="2">
        <v>14112</v>
      </c>
      <c r="K3619" t="s" s="2">
        <v>22</v>
      </c>
      <c r="L3619" t="s" s="2">
        <v>22</v>
      </c>
      <c r="M3619" t="s" s="2">
        <v>22</v>
      </c>
    </row>
    <row r="3620" ht="25.0" customHeight="true">
      <c r="A3620" t="s" s="2">
        <v>13</v>
      </c>
      <c r="B3620" t="s" s="2">
        <f>HYPERLINK("http://ts.21cn.com/tousu/show/id/1370231","小花钱包暴力催收，无视法律")</f>
      </c>
      <c r="C3620" t="s" s="2">
        <v>15</v>
      </c>
      <c r="D3620" t="s" s="2">
        <v>16</v>
      </c>
      <c r="E3620" t="s" s="2">
        <v>17</v>
      </c>
      <c r="F3620" t="s" s="2">
        <f>HYPERLINK("http://ts.21cn.com/tousu/show/id/1370231","http://ts.21cn.com/tousu/show/id/1370231")</f>
      </c>
      <c r="G3620" t="s" s="2">
        <v>17</v>
      </c>
      <c r="H3620" t="s" s="2">
        <v>19</v>
      </c>
      <c r="I3620" t="s" s="2">
        <v>14115</v>
      </c>
      <c r="J3620" t="s" s="2">
        <v>14116</v>
      </c>
      <c r="K3620" t="s" s="2">
        <v>22</v>
      </c>
      <c r="L3620" t="s" s="2">
        <v>22</v>
      </c>
      <c r="M3620" t="s" s="2">
        <v>22</v>
      </c>
    </row>
    <row r="3621" ht="25.0" customHeight="true">
      <c r="A3621" t="s" s="2">
        <v>13</v>
      </c>
      <c r="B3621" t="s" s="2">
        <f>HYPERLINK("http://ts.21cn.com/tousu/show/id/1370229","恐吓，利息过高爆力")</f>
      </c>
      <c r="C3621" t="s" s="2">
        <v>15</v>
      </c>
      <c r="D3621" t="s" s="2">
        <v>16</v>
      </c>
      <c r="E3621" t="s" s="2">
        <v>17</v>
      </c>
      <c r="F3621" t="s" s="2">
        <f>HYPERLINK("http://ts.21cn.com/tousu/show/id/1370229","http://ts.21cn.com/tousu/show/id/1370229")</f>
      </c>
      <c r="G3621" t="s" s="2">
        <v>17</v>
      </c>
      <c r="H3621" t="s" s="2">
        <v>19</v>
      </c>
      <c r="I3621" t="s" s="2">
        <v>14119</v>
      </c>
      <c r="J3621" t="s" s="2">
        <v>14120</v>
      </c>
      <c r="K3621" t="s" s="2">
        <v>22</v>
      </c>
      <c r="L3621" t="s" s="2">
        <v>22</v>
      </c>
      <c r="M3621" t="s" s="2">
        <v>22</v>
      </c>
    </row>
    <row r="3622" ht="25.0" customHeight="true">
      <c r="A3622" t="s" s="2">
        <v>13</v>
      </c>
      <c r="B3622" t="s" s="2">
        <f>HYPERLINK("http://ts.21cn.com/tousu/show/id/1370228","瀚银科技违法提供支付通道")</f>
      </c>
      <c r="C3622" t="s" s="2">
        <v>52</v>
      </c>
      <c r="D3622" t="s" s="2">
        <v>16</v>
      </c>
      <c r="E3622" t="s" s="2">
        <v>17</v>
      </c>
      <c r="F3622" t="s" s="2">
        <f>HYPERLINK("http://ts.21cn.com/tousu/show/id/1370228","http://ts.21cn.com/tousu/show/id/1370228")</f>
      </c>
      <c r="G3622" t="s" s="2">
        <v>17</v>
      </c>
      <c r="H3622" t="s" s="2">
        <v>19</v>
      </c>
      <c r="I3622" t="s" s="2">
        <v>14123</v>
      </c>
      <c r="J3622" t="s" s="2">
        <v>14124</v>
      </c>
      <c r="K3622" t="s" s="2">
        <v>22</v>
      </c>
      <c r="L3622" t="s" s="2">
        <v>22</v>
      </c>
      <c r="M3622" t="s" s="2">
        <v>22</v>
      </c>
    </row>
    <row r="3623" ht="25.0" customHeight="true">
      <c r="A3623" t="s" s="2">
        <v>13</v>
      </c>
      <c r="B3623" t="s" s="2">
        <f>HYPERLINK("http://ts.21cn.com/tousu/show/id/1370227","立借高利贷不守诚信")</f>
      </c>
      <c r="C3623" t="s" s="2">
        <v>15</v>
      </c>
      <c r="D3623" t="s" s="2">
        <v>16</v>
      </c>
      <c r="E3623" t="s" s="2">
        <v>17</v>
      </c>
      <c r="F3623" t="s" s="2">
        <f>HYPERLINK("http://ts.21cn.com/tousu/show/id/1370227","http://ts.21cn.com/tousu/show/id/1370227")</f>
      </c>
      <c r="G3623" t="s" s="2">
        <v>17</v>
      </c>
      <c r="H3623" t="s" s="2">
        <v>19</v>
      </c>
      <c r="I3623" t="s" s="2">
        <v>14127</v>
      </c>
      <c r="J3623" t="s" s="2">
        <v>14128</v>
      </c>
      <c r="K3623" t="s" s="2">
        <v>22</v>
      </c>
      <c r="L3623" t="s" s="2">
        <v>22</v>
      </c>
      <c r="M3623" t="s" s="2">
        <v>22</v>
      </c>
    </row>
    <row r="3624" ht="25.0" customHeight="true">
      <c r="A3624" t="s" s="2">
        <v>13</v>
      </c>
      <c r="B3624" t="s" s="2">
        <f>HYPERLINK("http://ts.21cn.com/tousu/show/id/1370225","卡牛瑞贷扣前期，高利贷")</f>
      </c>
      <c r="C3624" t="s" s="2">
        <v>15</v>
      </c>
      <c r="D3624" t="s" s="2">
        <v>16</v>
      </c>
      <c r="E3624" t="s" s="2">
        <v>17</v>
      </c>
      <c r="F3624" t="s" s="2">
        <f>HYPERLINK("http://ts.21cn.com/tousu/show/id/1370225","http://ts.21cn.com/tousu/show/id/1370225")</f>
      </c>
      <c r="G3624" t="s" s="2">
        <v>17</v>
      </c>
      <c r="H3624" t="s" s="2">
        <v>19</v>
      </c>
      <c r="I3624" t="s" s="2">
        <v>14131</v>
      </c>
      <c r="J3624" t="s" s="2">
        <v>14132</v>
      </c>
      <c r="K3624" t="s" s="2">
        <v>22</v>
      </c>
      <c r="L3624" t="s" s="2">
        <v>22</v>
      </c>
      <c r="M3624" t="s" s="2">
        <v>22</v>
      </c>
    </row>
    <row r="3625" ht="25.0" customHeight="true">
      <c r="A3625" t="s" s="2">
        <v>13</v>
      </c>
      <c r="B3625" t="s" s="2">
        <f>HYPERLINK("http://ts.21cn.com/tousu/show/id/1370220","网商贷骚扰")</f>
      </c>
      <c r="C3625" t="s" s="2">
        <v>15</v>
      </c>
      <c r="D3625" t="s" s="2">
        <v>16</v>
      </c>
      <c r="E3625" t="s" s="2">
        <v>17</v>
      </c>
      <c r="F3625" t="s" s="2">
        <f>HYPERLINK("http://ts.21cn.com/tousu/show/id/1370220","http://ts.21cn.com/tousu/show/id/1370220")</f>
      </c>
      <c r="G3625" t="s" s="2">
        <v>17</v>
      </c>
      <c r="H3625" t="s" s="2">
        <v>19</v>
      </c>
      <c r="I3625" t="s" s="2">
        <v>14135</v>
      </c>
      <c r="J3625" t="s" s="2">
        <v>14136</v>
      </c>
      <c r="K3625" t="s" s="2">
        <v>22</v>
      </c>
      <c r="L3625" t="s" s="2">
        <v>22</v>
      </c>
      <c r="M3625" t="s" s="2">
        <v>22</v>
      </c>
    </row>
    <row r="3626" ht="25.0" customHeight="true">
      <c r="A3626" t="s" s="2">
        <v>13</v>
      </c>
      <c r="B3626" t="s" s="2">
        <f>HYPERLINK("http://ts.21cn.com/tousu/show/id/1370219","武汉友信惠普暴力催收变相索取超高利息")</f>
      </c>
      <c r="C3626" t="s" s="2">
        <v>15</v>
      </c>
      <c r="D3626" t="s" s="2">
        <v>16</v>
      </c>
      <c r="E3626" t="s" s="2">
        <v>17</v>
      </c>
      <c r="F3626" t="s" s="2">
        <f>HYPERLINK("http://ts.21cn.com/tousu/show/id/1370219","http://ts.21cn.com/tousu/show/id/1370219")</f>
      </c>
      <c r="G3626" t="s" s="2">
        <v>17</v>
      </c>
      <c r="H3626" t="s" s="2">
        <v>19</v>
      </c>
      <c r="I3626" t="s" s="2">
        <v>14139</v>
      </c>
      <c r="J3626" t="s" s="2">
        <v>14140</v>
      </c>
      <c r="K3626" t="s" s="2">
        <v>22</v>
      </c>
      <c r="L3626" t="s" s="2">
        <v>22</v>
      </c>
      <c r="M3626" t="s" s="2">
        <v>22</v>
      </c>
    </row>
    <row r="3627" ht="25.0" customHeight="true">
      <c r="A3627" t="s" s="2">
        <v>13</v>
      </c>
      <c r="B3627" t="s" s="2">
        <f>HYPERLINK("http://ts.21cn.com/tousu/show/id/1370218","出行唯选欺诈销售")</f>
      </c>
      <c r="C3627" t="s" s="2">
        <v>15</v>
      </c>
      <c r="D3627" t="s" s="2">
        <v>16</v>
      </c>
      <c r="E3627" t="s" s="2">
        <v>17</v>
      </c>
      <c r="F3627" t="s" s="2">
        <f>HYPERLINK("http://ts.21cn.com/tousu/show/id/1370218","http://ts.21cn.com/tousu/show/id/1370218")</f>
      </c>
      <c r="G3627" t="s" s="2">
        <v>17</v>
      </c>
      <c r="H3627" t="s" s="2">
        <v>19</v>
      </c>
      <c r="I3627" t="s" s="2">
        <v>14143</v>
      </c>
      <c r="J3627" t="s" s="2">
        <v>14144</v>
      </c>
      <c r="K3627" t="s" s="2">
        <v>22</v>
      </c>
      <c r="L3627" t="s" s="2">
        <v>22</v>
      </c>
      <c r="M3627" t="s" s="2">
        <v>22</v>
      </c>
    </row>
    <row r="3628" ht="25.0" customHeight="true">
      <c r="A3628" t="s" s="2">
        <v>13</v>
      </c>
      <c r="B3628" t="s" s="2">
        <f>HYPERLINK("http://ts.21cn.com/tousu/show/id/1370217","齐鲁交通ETC卡不给注销")</f>
      </c>
      <c r="C3628" t="s" s="2">
        <v>15</v>
      </c>
      <c r="D3628" t="s" s="2">
        <v>16</v>
      </c>
      <c r="E3628" t="s" s="2">
        <v>17</v>
      </c>
      <c r="F3628" t="s" s="2">
        <f>HYPERLINK("http://ts.21cn.com/tousu/show/id/1370217","http://ts.21cn.com/tousu/show/id/1370217")</f>
      </c>
      <c r="G3628" t="s" s="2">
        <v>17</v>
      </c>
      <c r="H3628" t="s" s="2">
        <v>19</v>
      </c>
      <c r="I3628" t="s" s="2">
        <v>14147</v>
      </c>
      <c r="J3628" t="s" s="2">
        <v>14148</v>
      </c>
      <c r="K3628" t="s" s="2">
        <v>22</v>
      </c>
      <c r="L3628" t="s" s="2">
        <v>22</v>
      </c>
      <c r="M3628" t="s" s="2">
        <v>22</v>
      </c>
    </row>
    <row r="3629" ht="25.0" customHeight="true">
      <c r="A3629" t="s" s="2">
        <v>13</v>
      </c>
      <c r="B3629" t="s" s="2">
        <f>HYPERLINK("http://ts.21cn.com/tousu/show/id/1370216","壹心分期高利贷砍头息")</f>
      </c>
      <c r="C3629" t="s" s="2">
        <v>15</v>
      </c>
      <c r="D3629" t="s" s="2">
        <v>16</v>
      </c>
      <c r="E3629" t="s" s="2">
        <v>17</v>
      </c>
      <c r="F3629" t="s" s="2">
        <f>HYPERLINK("http://ts.21cn.com/tousu/show/id/1370216","http://ts.21cn.com/tousu/show/id/1370216")</f>
      </c>
      <c r="G3629" t="s" s="2">
        <v>17</v>
      </c>
      <c r="H3629" t="s" s="2">
        <v>19</v>
      </c>
      <c r="I3629" t="s" s="2">
        <v>14151</v>
      </c>
      <c r="J3629" t="s" s="2">
        <v>14152</v>
      </c>
      <c r="K3629" t="s" s="2">
        <v>22</v>
      </c>
      <c r="L3629" t="s" s="2">
        <v>22</v>
      </c>
      <c r="M3629" t="s" s="2">
        <v>22</v>
      </c>
    </row>
    <row r="3630" ht="25.0" customHeight="true">
      <c r="A3630" t="s" s="2">
        <v>13</v>
      </c>
      <c r="B3630" t="s" s="2">
        <f>HYPERLINK("http://ts.21cn.com/tousu/show/id/1370214","航盟忽悠游客办理1980元会员卡的退款投诉")</f>
      </c>
      <c r="C3630" t="s" s="2">
        <v>15</v>
      </c>
      <c r="D3630" t="s" s="2">
        <v>16</v>
      </c>
      <c r="E3630" t="s" s="2">
        <v>17</v>
      </c>
      <c r="F3630" t="s" s="2">
        <f>HYPERLINK("http://ts.21cn.com/tousu/show/id/1370214","http://ts.21cn.com/tousu/show/id/1370214")</f>
      </c>
      <c r="G3630" t="s" s="2">
        <v>17</v>
      </c>
      <c r="H3630" t="s" s="2">
        <v>19</v>
      </c>
      <c r="I3630" t="s" s="2">
        <v>14155</v>
      </c>
      <c r="J3630" t="s" s="2">
        <v>14156</v>
      </c>
      <c r="K3630" t="s" s="2">
        <v>22</v>
      </c>
      <c r="L3630" t="s" s="2">
        <v>22</v>
      </c>
      <c r="M3630" t="s" s="2">
        <v>22</v>
      </c>
    </row>
    <row r="3631" ht="25.0" customHeight="true">
      <c r="A3631" t="s" s="2">
        <v>13</v>
      </c>
      <c r="B3631" t="s" s="2">
        <f>HYPERLINK("http://ts.21cn.com/tousu/show/id/1370213","骚扰家人")</f>
      </c>
      <c r="C3631" t="s" s="2">
        <v>15</v>
      </c>
      <c r="D3631" t="s" s="2">
        <v>16</v>
      </c>
      <c r="E3631" t="s" s="2">
        <v>17</v>
      </c>
      <c r="F3631" t="s" s="2">
        <f>HYPERLINK("http://ts.21cn.com/tousu/show/id/1370213","http://ts.21cn.com/tousu/show/id/1370213")</f>
      </c>
      <c r="G3631" t="s" s="2">
        <v>17</v>
      </c>
      <c r="H3631" t="s" s="2">
        <v>19</v>
      </c>
      <c r="I3631" t="s" s="2">
        <v>14158</v>
      </c>
      <c r="J3631" t="s" s="2">
        <v>14159</v>
      </c>
      <c r="K3631" t="s" s="2">
        <v>22</v>
      </c>
      <c r="L3631" t="s" s="2">
        <v>22</v>
      </c>
      <c r="M3631" t="s" s="2">
        <v>22</v>
      </c>
    </row>
    <row r="3632" ht="25.0" customHeight="true">
      <c r="A3632" t="s" s="2">
        <v>13</v>
      </c>
      <c r="B3632" t="s" s="2">
        <f>HYPERLINK("http://ts.21cn.com/tousu/show/id/1370211","西安市线下门店MarryU洗脑和诱导消费")</f>
      </c>
      <c r="C3632" t="s" s="2">
        <v>15</v>
      </c>
      <c r="D3632" t="s" s="2">
        <v>16</v>
      </c>
      <c r="E3632" t="s" s="2">
        <v>17</v>
      </c>
      <c r="F3632" t="s" s="2">
        <f>HYPERLINK("http://ts.21cn.com/tousu/show/id/1370211","http://ts.21cn.com/tousu/show/id/1370211")</f>
      </c>
      <c r="G3632" t="s" s="2">
        <v>17</v>
      </c>
      <c r="H3632" t="s" s="2">
        <v>19</v>
      </c>
      <c r="I3632" t="s" s="2">
        <v>14162</v>
      </c>
      <c r="J3632" t="s" s="2">
        <v>14163</v>
      </c>
      <c r="K3632" t="s" s="2">
        <v>22</v>
      </c>
      <c r="L3632" t="s" s="2">
        <v>22</v>
      </c>
      <c r="M3632" t="s" s="2">
        <v>22</v>
      </c>
    </row>
    <row r="3633" ht="25.0" customHeight="true">
      <c r="A3633" t="s" s="2">
        <v>13</v>
      </c>
      <c r="B3633" t="s" s="2">
        <f>HYPERLINK("http://ts.21cn.com/tousu/show/id/1370203","维信卡卡贷乱收费")</f>
      </c>
      <c r="C3633" t="s" s="2">
        <v>15</v>
      </c>
      <c r="D3633" t="s" s="2">
        <v>16</v>
      </c>
      <c r="E3633" t="s" s="2">
        <v>17</v>
      </c>
      <c r="F3633" t="s" s="2">
        <f>HYPERLINK("http://ts.21cn.com/tousu/show/id/1370203","http://ts.21cn.com/tousu/show/id/1370203")</f>
      </c>
      <c r="G3633" t="s" s="2">
        <v>17</v>
      </c>
      <c r="H3633" t="s" s="2">
        <v>19</v>
      </c>
      <c r="I3633" t="s" s="2">
        <v>14166</v>
      </c>
      <c r="J3633" t="s" s="2">
        <v>14167</v>
      </c>
      <c r="K3633" t="s" s="2">
        <v>22</v>
      </c>
      <c r="L3633" t="s" s="2">
        <v>22</v>
      </c>
      <c r="M3633" t="s" s="2">
        <v>22</v>
      </c>
    </row>
    <row r="3634" ht="25.0" customHeight="true">
      <c r="A3634" t="s" s="2">
        <v>13</v>
      </c>
      <c r="B3634" t="s" s="2">
        <f>HYPERLINK("http://ts.21cn.com/tousu/show/id/1370210","爱用商城高额砍头息！")</f>
      </c>
      <c r="C3634" t="s" s="2">
        <v>52</v>
      </c>
      <c r="D3634" t="s" s="2">
        <v>16</v>
      </c>
      <c r="E3634" t="s" s="2">
        <v>17</v>
      </c>
      <c r="F3634" t="s" s="2">
        <f>HYPERLINK("http://ts.21cn.com/tousu/show/id/1370210","http://ts.21cn.com/tousu/show/id/1370210")</f>
      </c>
      <c r="G3634" t="s" s="2">
        <v>17</v>
      </c>
      <c r="H3634" t="s" s="2">
        <v>19</v>
      </c>
      <c r="I3634" t="s" s="2">
        <v>14170</v>
      </c>
      <c r="J3634" t="s" s="2">
        <v>14171</v>
      </c>
      <c r="K3634" t="s" s="2">
        <v>22</v>
      </c>
      <c r="L3634" t="s" s="2">
        <v>22</v>
      </c>
      <c r="M3634" t="s" s="2">
        <v>22</v>
      </c>
    </row>
    <row r="3635" ht="25.0" customHeight="true">
      <c r="A3635" t="s" s="2">
        <v>13</v>
      </c>
      <c r="B3635" t="s" s="2">
        <f>HYPERLINK("http://ts.21cn.com/tousu/show/id/1370209","敲诈，暴力恐吓")</f>
      </c>
      <c r="C3635" t="s" s="2">
        <v>15</v>
      </c>
      <c r="D3635" t="s" s="2">
        <v>16</v>
      </c>
      <c r="E3635" t="s" s="2">
        <v>17</v>
      </c>
      <c r="F3635" t="s" s="2">
        <f>HYPERLINK("http://ts.21cn.com/tousu/show/id/1370209","http://ts.21cn.com/tousu/show/id/1370209")</f>
      </c>
      <c r="G3635" t="s" s="2">
        <v>17</v>
      </c>
      <c r="H3635" t="s" s="2">
        <v>19</v>
      </c>
      <c r="I3635" t="s" s="2">
        <v>14174</v>
      </c>
      <c r="J3635" t="s" s="2">
        <v>14175</v>
      </c>
      <c r="K3635" t="s" s="2">
        <v>22</v>
      </c>
      <c r="L3635" t="s" s="2">
        <v>22</v>
      </c>
      <c r="M3635" t="s" s="2">
        <v>22</v>
      </c>
    </row>
    <row r="3636" ht="25.0" customHeight="true">
      <c r="A3636" t="s" s="2">
        <v>13</v>
      </c>
      <c r="B3636" t="s" s="2">
        <f>HYPERLINK("http://ts.21cn.com/tousu/show/id/1370207","在侠侣网购买了寿司团购券未使用不让退款")</f>
      </c>
      <c r="C3636" t="s" s="2">
        <v>15</v>
      </c>
      <c r="D3636" t="s" s="2">
        <v>16</v>
      </c>
      <c r="E3636" t="s" s="2">
        <v>17</v>
      </c>
      <c r="F3636" t="s" s="2">
        <f>HYPERLINK("http://ts.21cn.com/tousu/show/id/1370207","http://ts.21cn.com/tousu/show/id/1370207")</f>
      </c>
      <c r="G3636" t="s" s="2">
        <v>17</v>
      </c>
      <c r="H3636" t="s" s="2">
        <v>19</v>
      </c>
      <c r="I3636" t="s" s="2">
        <v>14178</v>
      </c>
      <c r="J3636" t="s" s="2">
        <v>14179</v>
      </c>
      <c r="K3636" t="s" s="2">
        <v>22</v>
      </c>
      <c r="L3636" t="s" s="2">
        <v>22</v>
      </c>
      <c r="M3636" t="s" s="2">
        <v>22</v>
      </c>
    </row>
    <row r="3637" ht="25.0" customHeight="true">
      <c r="A3637" t="s" s="2">
        <v>13</v>
      </c>
      <c r="B3637" t="s" s="2">
        <f>HYPERLINK("http://ts.21cn.com/tousu/show/id/1370200","拼多多，拼多多商家为非法网站提供收款，虚假发货")</f>
      </c>
      <c r="C3637" t="s" s="2">
        <v>15</v>
      </c>
      <c r="D3637" t="s" s="2">
        <v>16</v>
      </c>
      <c r="E3637" t="s" s="2">
        <v>17</v>
      </c>
      <c r="F3637" t="s" s="2">
        <f>HYPERLINK("http://ts.21cn.com/tousu/show/id/1370200","http://ts.21cn.com/tousu/show/id/1370200")</f>
      </c>
      <c r="G3637" t="s" s="2">
        <v>17</v>
      </c>
      <c r="H3637" t="s" s="2">
        <v>19</v>
      </c>
      <c r="I3637" t="s" s="2">
        <v>14178</v>
      </c>
      <c r="J3637" t="s" s="2">
        <v>14182</v>
      </c>
      <c r="K3637" t="s" s="2">
        <v>22</v>
      </c>
      <c r="L3637" t="s" s="2">
        <v>22</v>
      </c>
      <c r="M3637" t="s" s="2">
        <v>22</v>
      </c>
    </row>
    <row r="3638" ht="25.0" customHeight="true">
      <c r="A3638" t="s" s="2">
        <v>13</v>
      </c>
      <c r="B3638" t="s" s="2">
        <f>HYPERLINK("http://ts.21cn.com/tousu/show/id/1370206","嘀嗒专员客服颠倒黑白是非随意处罚")</f>
      </c>
      <c r="C3638" t="s" s="2">
        <v>15</v>
      </c>
      <c r="D3638" t="s" s="2">
        <v>16</v>
      </c>
      <c r="E3638" t="s" s="2">
        <v>17</v>
      </c>
      <c r="F3638" t="s" s="2">
        <f>HYPERLINK("http://ts.21cn.com/tousu/show/id/1370206","http://ts.21cn.com/tousu/show/id/1370206")</f>
      </c>
      <c r="G3638" t="s" s="2">
        <v>17</v>
      </c>
      <c r="H3638" t="s" s="2">
        <v>19</v>
      </c>
      <c r="I3638" t="s" s="2">
        <v>14185</v>
      </c>
      <c r="J3638" t="s" s="2">
        <v>14186</v>
      </c>
      <c r="K3638" t="s" s="2">
        <v>22</v>
      </c>
      <c r="L3638" t="s" s="2">
        <v>22</v>
      </c>
      <c r="M3638" t="s" s="2">
        <v>22</v>
      </c>
    </row>
    <row r="3639" ht="25.0" customHeight="true">
      <c r="A3639" t="s" s="2">
        <v>13</v>
      </c>
      <c r="B3639" t="s" s="2">
        <f>HYPERLINK("http://ts.21cn.com/tousu/show/id/1370205","拍拍贷骚扰通讯录联系人")</f>
      </c>
      <c r="C3639" t="s" s="2">
        <v>15</v>
      </c>
      <c r="D3639" t="s" s="2">
        <v>16</v>
      </c>
      <c r="E3639" t="s" s="2">
        <v>17</v>
      </c>
      <c r="F3639" t="s" s="2">
        <f>HYPERLINK("http://ts.21cn.com/tousu/show/id/1370205","http://ts.21cn.com/tousu/show/id/1370205")</f>
      </c>
      <c r="G3639" t="s" s="2">
        <v>17</v>
      </c>
      <c r="H3639" t="s" s="2">
        <v>19</v>
      </c>
      <c r="I3639" t="s" s="2">
        <v>14188</v>
      </c>
      <c r="J3639" t="s" s="2">
        <v>14189</v>
      </c>
      <c r="K3639" t="s" s="2">
        <v>22</v>
      </c>
      <c r="L3639" t="s" s="2">
        <v>22</v>
      </c>
      <c r="M3639" t="s" s="2">
        <v>22</v>
      </c>
    </row>
    <row r="3640" ht="25.0" customHeight="true">
      <c r="A3640" t="s" s="2">
        <v>13</v>
      </c>
      <c r="B3640" t="s" s="2">
        <f>HYPERLINK("http://ts.21cn.com/tousu/show/id/1370202","来这分期是套路贷、高利贷")</f>
      </c>
      <c r="C3640" t="s" s="2">
        <v>15</v>
      </c>
      <c r="D3640" t="s" s="2">
        <v>16</v>
      </c>
      <c r="E3640" t="s" s="2">
        <v>17</v>
      </c>
      <c r="F3640" t="s" s="2">
        <f>HYPERLINK("http://ts.21cn.com/tousu/show/id/1370202","http://ts.21cn.com/tousu/show/id/1370202")</f>
      </c>
      <c r="G3640" t="s" s="2">
        <v>17</v>
      </c>
      <c r="H3640" t="s" s="2">
        <v>19</v>
      </c>
      <c r="I3640" t="s" s="2">
        <v>14192</v>
      </c>
      <c r="J3640" t="s" s="2">
        <v>14193</v>
      </c>
      <c r="K3640" t="s" s="2">
        <v>22</v>
      </c>
      <c r="L3640" t="s" s="2">
        <v>22</v>
      </c>
      <c r="M3640" t="s" s="2">
        <v>22</v>
      </c>
    </row>
    <row r="3641" ht="25.0" customHeight="true">
      <c r="A3641" t="s" s="2">
        <v>13</v>
      </c>
      <c r="B3641" t="s" s="2">
        <f>HYPERLINK("http://ts.21cn.com/tousu/show/id/1370199","豹子贷无故扣钱不需要还要扣")</f>
      </c>
      <c r="C3641" t="s" s="2">
        <v>15</v>
      </c>
      <c r="D3641" t="s" s="2">
        <v>16</v>
      </c>
      <c r="E3641" t="s" s="2">
        <v>17</v>
      </c>
      <c r="F3641" t="s" s="2">
        <f>HYPERLINK("http://ts.21cn.com/tousu/show/id/1370199","http://ts.21cn.com/tousu/show/id/1370199")</f>
      </c>
      <c r="G3641" t="s" s="2">
        <v>17</v>
      </c>
      <c r="H3641" t="s" s="2">
        <v>19</v>
      </c>
      <c r="I3641" t="s" s="2">
        <v>14195</v>
      </c>
      <c r="J3641" t="s" s="2">
        <v>14196</v>
      </c>
      <c r="K3641" t="s" s="2">
        <v>22</v>
      </c>
      <c r="L3641" t="s" s="2">
        <v>22</v>
      </c>
      <c r="M3641" t="s" s="2">
        <v>22</v>
      </c>
    </row>
    <row r="3642" ht="25.0" customHeight="true">
      <c r="A3642" t="s" s="2">
        <v>13</v>
      </c>
      <c r="B3642" t="s" s="2">
        <f>HYPERLINK("http://ts.21cn.com/tousu/show/id/1370198","速金服")</f>
      </c>
      <c r="C3642" t="s" s="2">
        <v>15</v>
      </c>
      <c r="D3642" t="s" s="2">
        <v>16</v>
      </c>
      <c r="E3642" t="s" s="2">
        <v>17</v>
      </c>
      <c r="F3642" t="s" s="2">
        <f>HYPERLINK("http://ts.21cn.com/tousu/show/id/1370198","http://ts.21cn.com/tousu/show/id/1370198")</f>
      </c>
      <c r="G3642" t="s" s="2">
        <v>17</v>
      </c>
      <c r="H3642" t="s" s="2">
        <v>19</v>
      </c>
      <c r="I3642" t="s" s="2">
        <v>14199</v>
      </c>
      <c r="J3642" t="s" s="2">
        <v>14200</v>
      </c>
      <c r="K3642" t="s" s="2">
        <v>22</v>
      </c>
      <c r="L3642" t="s" s="2">
        <v>22</v>
      </c>
      <c r="M3642" t="s" s="2">
        <v>22</v>
      </c>
    </row>
    <row r="3643" ht="25.0" customHeight="true">
      <c r="A3643" t="s" s="2">
        <v>13</v>
      </c>
      <c r="B3643" t="s" s="2">
        <f>HYPERLINK("http://ts.21cn.com/tousu/show/id/1370197","高利贷高利息")</f>
      </c>
      <c r="C3643" t="s" s="2">
        <v>15</v>
      </c>
      <c r="D3643" t="s" s="2">
        <v>16</v>
      </c>
      <c r="E3643" t="s" s="2">
        <v>17</v>
      </c>
      <c r="F3643" t="s" s="2">
        <f>HYPERLINK("http://ts.21cn.com/tousu/show/id/1370197","http://ts.21cn.com/tousu/show/id/1370197")</f>
      </c>
      <c r="G3643" t="s" s="2">
        <v>17</v>
      </c>
      <c r="H3643" t="s" s="2">
        <v>19</v>
      </c>
      <c r="I3643" t="s" s="2">
        <v>14203</v>
      </c>
      <c r="J3643" t="s" s="2">
        <v>14204</v>
      </c>
      <c r="K3643" t="s" s="2">
        <v>22</v>
      </c>
      <c r="L3643" t="s" s="2">
        <v>22</v>
      </c>
      <c r="M3643" t="s" s="2">
        <v>22</v>
      </c>
    </row>
    <row r="3644" ht="25.0" customHeight="true">
      <c r="A3644" t="s" s="2">
        <v>13</v>
      </c>
      <c r="B3644" t="s" s="2">
        <f>HYPERLINK("http://ts.21cn.com/tousu/show/id/1370196","宜人贷涉嫌非法收取服务费，非法从事互联网放贷业务")</f>
      </c>
      <c r="C3644" t="s" s="2">
        <v>15</v>
      </c>
      <c r="D3644" t="s" s="2">
        <v>16</v>
      </c>
      <c r="E3644" t="s" s="2">
        <v>17</v>
      </c>
      <c r="F3644" t="s" s="2">
        <f>HYPERLINK("http://ts.21cn.com/tousu/show/id/1370196","http://ts.21cn.com/tousu/show/id/1370196")</f>
      </c>
      <c r="G3644" t="s" s="2">
        <v>17</v>
      </c>
      <c r="H3644" t="s" s="2">
        <v>19</v>
      </c>
      <c r="I3644" t="s" s="2">
        <v>14207</v>
      </c>
      <c r="J3644" t="s" s="2">
        <v>14208</v>
      </c>
      <c r="K3644" t="s" s="2">
        <v>22</v>
      </c>
      <c r="L3644" t="s" s="2">
        <v>22</v>
      </c>
      <c r="M3644" t="s" s="2">
        <v>22</v>
      </c>
    </row>
    <row r="3645" ht="25.0" customHeight="true">
      <c r="A3645" t="s" s="2">
        <v>13</v>
      </c>
      <c r="B3645" t="s" s="2">
        <f>HYPERLINK("http://ts.21cn.com/tousu/show/id/1370195","逾期一天来就打电话过来催还款。每天打一次，三天不还就爆通讯录打给亲友，造成了很大影响，实在是经济困难没有还钱还会恶意骚扰")</f>
      </c>
      <c r="C3645" t="s" s="2">
        <v>15</v>
      </c>
      <c r="D3645" t="s" s="2">
        <v>16</v>
      </c>
      <c r="E3645" t="s" s="2">
        <v>17</v>
      </c>
      <c r="F3645" t="s" s="2">
        <f>HYPERLINK("http://ts.21cn.com/tousu/show/id/1370195","http://ts.21cn.com/tousu/show/id/1370195")</f>
      </c>
      <c r="G3645" t="s" s="2">
        <v>17</v>
      </c>
      <c r="H3645" t="s" s="2">
        <v>19</v>
      </c>
      <c r="I3645" t="s" s="2">
        <v>14211</v>
      </c>
      <c r="J3645" t="s" s="2">
        <v>14212</v>
      </c>
      <c r="K3645" t="s" s="2">
        <v>22</v>
      </c>
      <c r="L3645" t="s" s="2">
        <v>22</v>
      </c>
      <c r="M3645" t="s" s="2">
        <v>22</v>
      </c>
    </row>
    <row r="3646" ht="25.0" customHeight="true">
      <c r="A3646" t="s" s="2">
        <v>13</v>
      </c>
      <c r="B3646" t="s" s="2">
        <f>HYPERLINK("http://ts.21cn.com/tousu/show/id/1370193","萌推虚假宣传")</f>
      </c>
      <c r="C3646" t="s" s="2">
        <v>15</v>
      </c>
      <c r="D3646" t="s" s="2">
        <v>16</v>
      </c>
      <c r="E3646" t="s" s="2">
        <v>17</v>
      </c>
      <c r="F3646" t="s" s="2">
        <f>HYPERLINK("http://ts.21cn.com/tousu/show/id/1370193","http://ts.21cn.com/tousu/show/id/1370193")</f>
      </c>
      <c r="G3646" t="s" s="2">
        <v>17</v>
      </c>
      <c r="H3646" t="s" s="2">
        <v>19</v>
      </c>
      <c r="I3646" t="s" s="2">
        <v>14215</v>
      </c>
      <c r="J3646" t="s" s="2">
        <v>14216</v>
      </c>
      <c r="K3646" t="s" s="2">
        <v>22</v>
      </c>
      <c r="L3646" t="s" s="2">
        <v>22</v>
      </c>
      <c r="M3646" t="s" s="2">
        <v>22</v>
      </c>
    </row>
    <row r="3647" ht="25.0" customHeight="true">
      <c r="A3647" t="s" s="2">
        <v>13</v>
      </c>
      <c r="B3647" t="s" s="2">
        <f>HYPERLINK("http://ts.21cn.com/tousu/show/id/1370194","立借高利贷")</f>
      </c>
      <c r="C3647" t="s" s="2">
        <v>15</v>
      </c>
      <c r="D3647" t="s" s="2">
        <v>16</v>
      </c>
      <c r="E3647" t="s" s="2">
        <v>17</v>
      </c>
      <c r="F3647" t="s" s="2">
        <f>HYPERLINK("http://ts.21cn.com/tousu/show/id/1370194","http://ts.21cn.com/tousu/show/id/1370194")</f>
      </c>
      <c r="G3647" t="s" s="2">
        <v>17</v>
      </c>
      <c r="H3647" t="s" s="2">
        <v>19</v>
      </c>
      <c r="I3647" t="s" s="2">
        <v>14219</v>
      </c>
      <c r="J3647" t="s" s="2">
        <v>14220</v>
      </c>
      <c r="K3647" t="s" s="2">
        <v>22</v>
      </c>
      <c r="L3647" t="s" s="2">
        <v>22</v>
      </c>
      <c r="M3647" t="s" s="2">
        <v>22</v>
      </c>
    </row>
    <row r="3648" ht="25.0" customHeight="true">
      <c r="A3648" t="s" s="2">
        <v>13</v>
      </c>
      <c r="B3648" t="s" s="2">
        <f>HYPERLINK("http://ts.21cn.com/tousu/show/id/1370191","易支付恶意扣款")</f>
      </c>
      <c r="C3648" t="s" s="2">
        <v>15</v>
      </c>
      <c r="D3648" t="s" s="2">
        <v>16</v>
      </c>
      <c r="E3648" t="s" s="2">
        <v>17</v>
      </c>
      <c r="F3648" t="s" s="2">
        <f>HYPERLINK("http://ts.21cn.com/tousu/show/id/1370191","http://ts.21cn.com/tousu/show/id/1370191")</f>
      </c>
      <c r="G3648" t="s" s="2">
        <v>17</v>
      </c>
      <c r="H3648" t="s" s="2">
        <v>19</v>
      </c>
      <c r="I3648" t="s" s="2">
        <v>14223</v>
      </c>
      <c r="J3648" t="s" s="2">
        <v>14224</v>
      </c>
      <c r="K3648" t="s" s="2">
        <v>22</v>
      </c>
      <c r="L3648" t="s" s="2">
        <v>22</v>
      </c>
      <c r="M3648" t="s" s="2">
        <v>22</v>
      </c>
    </row>
    <row r="3649" ht="25.0" customHeight="true">
      <c r="A3649" t="s" s="2">
        <v>13</v>
      </c>
      <c r="B3649" t="s" s="2">
        <f>HYPERLINK("http://ts.21cn.com/tousu/show/id/1370172","有钱花满易贷协商无果")</f>
      </c>
      <c r="C3649" t="s" s="2">
        <v>15</v>
      </c>
      <c r="D3649" t="s" s="2">
        <v>16</v>
      </c>
      <c r="E3649" t="s" s="2">
        <v>17</v>
      </c>
      <c r="F3649" t="s" s="2">
        <f>HYPERLINK("http://ts.21cn.com/tousu/show/id/1370172","http://ts.21cn.com/tousu/show/id/1370172")</f>
      </c>
      <c r="G3649" t="s" s="2">
        <v>17</v>
      </c>
      <c r="H3649" t="s" s="2">
        <v>19</v>
      </c>
      <c r="I3649" t="s" s="2">
        <v>14227</v>
      </c>
      <c r="J3649" t="s" s="2">
        <v>14228</v>
      </c>
      <c r="K3649" t="s" s="2">
        <v>22</v>
      </c>
      <c r="L3649" t="s" s="2">
        <v>22</v>
      </c>
      <c r="M3649" t="s" s="2">
        <v>22</v>
      </c>
    </row>
    <row r="3650" ht="25.0" customHeight="true">
      <c r="A3650" t="s" s="2">
        <v>13</v>
      </c>
      <c r="B3650" t="s" s="2">
        <f>HYPERLINK("http://ts.21cn.com/tousu/show/id/1370190","浦发违约金过高")</f>
      </c>
      <c r="C3650" t="s" s="2">
        <v>15</v>
      </c>
      <c r="D3650" t="s" s="2">
        <v>16</v>
      </c>
      <c r="E3650" t="s" s="2">
        <v>17</v>
      </c>
      <c r="F3650" t="s" s="2">
        <f>HYPERLINK("http://ts.21cn.com/tousu/show/id/1370190","http://ts.21cn.com/tousu/show/id/1370190")</f>
      </c>
      <c r="G3650" t="s" s="2">
        <v>17</v>
      </c>
      <c r="H3650" t="s" s="2">
        <v>19</v>
      </c>
      <c r="I3650" t="s" s="2">
        <v>14231</v>
      </c>
      <c r="J3650" t="s" s="2">
        <v>14232</v>
      </c>
      <c r="K3650" t="s" s="2">
        <v>22</v>
      </c>
      <c r="L3650" t="s" s="2">
        <v>22</v>
      </c>
      <c r="M3650" t="s" s="2">
        <v>22</v>
      </c>
    </row>
    <row r="3651" ht="25.0" customHeight="true">
      <c r="A3651" t="s" s="2">
        <v>13</v>
      </c>
      <c r="B3651" t="s" s="2">
        <f>HYPERLINK("http://ts.21cn.com/tousu/show/id/1370189","哈罗助力车随意撤销停车点导致扣费")</f>
      </c>
      <c r="C3651" t="s" s="2">
        <v>15</v>
      </c>
      <c r="D3651" t="s" s="2">
        <v>16</v>
      </c>
      <c r="E3651" t="s" s="2">
        <v>17</v>
      </c>
      <c r="F3651" t="s" s="2">
        <f>HYPERLINK("http://ts.21cn.com/tousu/show/id/1370189","http://ts.21cn.com/tousu/show/id/1370189")</f>
      </c>
      <c r="G3651" t="s" s="2">
        <v>17</v>
      </c>
      <c r="H3651" t="s" s="2">
        <v>19</v>
      </c>
      <c r="I3651" t="s" s="2">
        <v>14235</v>
      </c>
      <c r="J3651" t="s" s="2">
        <v>14236</v>
      </c>
      <c r="K3651" t="s" s="2">
        <v>22</v>
      </c>
      <c r="L3651" t="s" s="2">
        <v>22</v>
      </c>
      <c r="M3651" t="s" s="2">
        <v>22</v>
      </c>
    </row>
    <row r="3652" ht="25.0" customHeight="true">
      <c r="A3652" t="s" s="2">
        <v>13</v>
      </c>
      <c r="B3652" t="s" s="2">
        <f>HYPERLINK("http://ts.21cn.com/tousu/show/id/1370188","钱站爱钱进利息高的离谱")</f>
      </c>
      <c r="C3652" t="s" s="2">
        <v>15</v>
      </c>
      <c r="D3652" t="s" s="2">
        <v>16</v>
      </c>
      <c r="E3652" t="s" s="2">
        <v>17</v>
      </c>
      <c r="F3652" t="s" s="2">
        <f>HYPERLINK("http://ts.21cn.com/tousu/show/id/1370188","http://ts.21cn.com/tousu/show/id/1370188")</f>
      </c>
      <c r="G3652" t="s" s="2">
        <v>17</v>
      </c>
      <c r="H3652" t="s" s="2">
        <v>19</v>
      </c>
      <c r="I3652" t="s" s="2">
        <v>14239</v>
      </c>
      <c r="J3652" t="s" s="2">
        <v>14240</v>
      </c>
      <c r="K3652" t="s" s="2">
        <v>22</v>
      </c>
      <c r="L3652" t="s" s="2">
        <v>22</v>
      </c>
      <c r="M3652" t="s" s="2">
        <v>22</v>
      </c>
    </row>
    <row r="3653" ht="25.0" customHeight="true">
      <c r="A3653" t="s" s="2">
        <v>13</v>
      </c>
      <c r="B3653" t="s" s="2">
        <f>HYPERLINK("http://ts.21cn.com/tousu/show/id/1370185","被网贷催收骚扰！恐吓！")</f>
      </c>
      <c r="C3653" t="s" s="2">
        <v>15</v>
      </c>
      <c r="D3653" t="s" s="2">
        <v>16</v>
      </c>
      <c r="E3653" t="s" s="2">
        <v>17</v>
      </c>
      <c r="F3653" t="s" s="2">
        <f>HYPERLINK("http://ts.21cn.com/tousu/show/id/1370185","http://ts.21cn.com/tousu/show/id/1370185")</f>
      </c>
      <c r="G3653" t="s" s="2">
        <v>17</v>
      </c>
      <c r="H3653" t="s" s="2">
        <v>19</v>
      </c>
      <c r="I3653" t="s" s="2">
        <v>14243</v>
      </c>
      <c r="J3653" t="s" s="2">
        <v>14244</v>
      </c>
      <c r="K3653" t="s" s="2">
        <v>22</v>
      </c>
      <c r="L3653" t="s" s="2">
        <v>22</v>
      </c>
      <c r="M3653" t="s" s="2">
        <v>22</v>
      </c>
    </row>
    <row r="3654" ht="25.0" customHeight="true">
      <c r="A3654" t="s" s="2">
        <v>13</v>
      </c>
      <c r="B3654" t="s" s="2">
        <f>HYPERLINK("http://ts.21cn.com/tousu/show/id/1370184","360借条虚假宣传")</f>
      </c>
      <c r="C3654" t="s" s="2">
        <v>15</v>
      </c>
      <c r="D3654" t="s" s="2">
        <v>16</v>
      </c>
      <c r="E3654" t="s" s="2">
        <v>17</v>
      </c>
      <c r="F3654" t="s" s="2">
        <f>HYPERLINK("http://ts.21cn.com/tousu/show/id/1370184","http://ts.21cn.com/tousu/show/id/1370184")</f>
      </c>
      <c r="G3654" t="s" s="2">
        <v>17</v>
      </c>
      <c r="H3654" t="s" s="2">
        <v>19</v>
      </c>
      <c r="I3654" t="s" s="2">
        <v>14247</v>
      </c>
      <c r="J3654" t="s" s="2">
        <v>14248</v>
      </c>
      <c r="K3654" t="s" s="2">
        <v>22</v>
      </c>
      <c r="L3654" t="s" s="2">
        <v>22</v>
      </c>
      <c r="M3654" t="s" s="2">
        <v>22</v>
      </c>
    </row>
    <row r="3655" ht="25.0" customHeight="true">
      <c r="A3655" t="s" s="2">
        <v>13</v>
      </c>
      <c r="B3655" t="s" s="2">
        <f>HYPERLINK("http://ts.21cn.com/tousu/show/id/1370186","贷款利率超过国家标准百分之二十四")</f>
      </c>
      <c r="C3655" t="s" s="2">
        <v>15</v>
      </c>
      <c r="D3655" t="s" s="2">
        <v>16</v>
      </c>
      <c r="E3655" t="s" s="2">
        <v>17</v>
      </c>
      <c r="F3655" t="s" s="2">
        <f>HYPERLINK("http://ts.21cn.com/tousu/show/id/1370186","http://ts.21cn.com/tousu/show/id/1370186")</f>
      </c>
      <c r="G3655" t="s" s="2">
        <v>17</v>
      </c>
      <c r="H3655" t="s" s="2">
        <v>19</v>
      </c>
      <c r="I3655" t="s" s="2">
        <v>14251</v>
      </c>
      <c r="J3655" t="s" s="2">
        <v>14252</v>
      </c>
      <c r="K3655" t="s" s="2">
        <v>22</v>
      </c>
      <c r="L3655" t="s" s="2">
        <v>22</v>
      </c>
      <c r="M3655" t="s" s="2">
        <v>22</v>
      </c>
    </row>
    <row r="3656" ht="25.0" customHeight="true">
      <c r="A3656" t="s" s="2">
        <v>13</v>
      </c>
      <c r="B3656" t="s" s="2">
        <f>HYPERLINK("http://ts.21cn.com/tousu/show/id/1370187","淘宝网商家卖假货")</f>
      </c>
      <c r="C3656" t="s" s="2">
        <v>15</v>
      </c>
      <c r="D3656" t="s" s="2">
        <v>16</v>
      </c>
      <c r="E3656" t="s" s="2">
        <v>17</v>
      </c>
      <c r="F3656" t="s" s="2">
        <f>HYPERLINK("http://ts.21cn.com/tousu/show/id/1370187","http://ts.21cn.com/tousu/show/id/1370187")</f>
      </c>
      <c r="G3656" t="s" s="2">
        <v>17</v>
      </c>
      <c r="H3656" t="s" s="2">
        <v>19</v>
      </c>
      <c r="I3656" t="s" s="2">
        <v>14251</v>
      </c>
      <c r="J3656" t="s" s="2">
        <v>14255</v>
      </c>
      <c r="K3656" t="s" s="2">
        <v>22</v>
      </c>
      <c r="L3656" t="s" s="2">
        <v>22</v>
      </c>
      <c r="M3656" t="s" s="2">
        <v>22</v>
      </c>
    </row>
    <row r="3657" ht="25.0" customHeight="true">
      <c r="A3657" t="s" s="2">
        <v>13</v>
      </c>
      <c r="B3657" t="s" s="2">
        <f>HYPERLINK("http://ts.21cn.com/tousu/show/id/1370183","上海富友帮高利贷做支付渠道")</f>
      </c>
      <c r="C3657" t="s" s="2">
        <v>15</v>
      </c>
      <c r="D3657" t="s" s="2">
        <v>16</v>
      </c>
      <c r="E3657" t="s" s="2">
        <v>17</v>
      </c>
      <c r="F3657" t="s" s="2">
        <f>HYPERLINK("http://ts.21cn.com/tousu/show/id/1370183","http://ts.21cn.com/tousu/show/id/1370183")</f>
      </c>
      <c r="G3657" t="s" s="2">
        <v>17</v>
      </c>
      <c r="H3657" t="s" s="2">
        <v>19</v>
      </c>
      <c r="I3657" t="s" s="2">
        <v>14258</v>
      </c>
      <c r="J3657" t="s" s="2">
        <v>14259</v>
      </c>
      <c r="K3657" t="s" s="2">
        <v>22</v>
      </c>
      <c r="L3657" t="s" s="2">
        <v>22</v>
      </c>
      <c r="M3657" t="s" s="2">
        <v>22</v>
      </c>
    </row>
    <row r="3658" ht="25.0" customHeight="true">
      <c r="A3658" t="s" s="2">
        <v>13</v>
      </c>
      <c r="B3658" t="s" s="2">
        <f>HYPERLINK("http://ts.21cn.com/tousu/show/id/1370182","升学教育说退款但是拖着下个月，贷款也不停")</f>
      </c>
      <c r="C3658" t="s" s="2">
        <v>52</v>
      </c>
      <c r="D3658" t="s" s="2">
        <v>16</v>
      </c>
      <c r="E3658" t="s" s="2">
        <v>17</v>
      </c>
      <c r="F3658" t="s" s="2">
        <f>HYPERLINK("http://ts.21cn.com/tousu/show/id/1370182","http://ts.21cn.com/tousu/show/id/1370182")</f>
      </c>
      <c r="G3658" t="s" s="2">
        <v>17</v>
      </c>
      <c r="H3658" t="s" s="2">
        <v>19</v>
      </c>
      <c r="I3658" t="s" s="2">
        <v>14262</v>
      </c>
      <c r="J3658" t="s" s="2">
        <v>14263</v>
      </c>
      <c r="K3658" t="s" s="2">
        <v>22</v>
      </c>
      <c r="L3658" t="s" s="2">
        <v>22</v>
      </c>
      <c r="M3658" t="s" s="2">
        <v>22</v>
      </c>
    </row>
    <row r="3659" ht="25.0" customHeight="true">
      <c r="A3659" t="s" s="2">
        <v>13</v>
      </c>
      <c r="B3659" t="s" s="2">
        <f>HYPERLINK("http://ts.21cn.com/tousu/show/id/1370180","众安保险在投保人不知情的情况下与第三方平台合作进行保单投保")</f>
      </c>
      <c r="C3659" t="s" s="2">
        <v>15</v>
      </c>
      <c r="D3659" t="s" s="2">
        <v>16</v>
      </c>
      <c r="E3659" t="s" s="2">
        <v>17</v>
      </c>
      <c r="F3659" t="s" s="2">
        <f>HYPERLINK("http://ts.21cn.com/tousu/show/id/1370180","http://ts.21cn.com/tousu/show/id/1370180")</f>
      </c>
      <c r="G3659" t="s" s="2">
        <v>17</v>
      </c>
      <c r="H3659" t="s" s="2">
        <v>19</v>
      </c>
      <c r="I3659" t="s" s="2">
        <v>14266</v>
      </c>
      <c r="J3659" t="s" s="2">
        <v>14267</v>
      </c>
      <c r="K3659" t="s" s="2">
        <v>22</v>
      </c>
      <c r="L3659" t="s" s="2">
        <v>22</v>
      </c>
      <c r="M3659" t="s" s="2">
        <v>22</v>
      </c>
    </row>
    <row r="3660" ht="25.0" customHeight="true">
      <c r="A3660" t="s" s="2">
        <v>13</v>
      </c>
      <c r="B3660" t="s" s="2">
        <f>HYPERLINK("http://ts.21cn.com/tousu/show/id/1370174","达内过分坑人，还我血汗钱")</f>
      </c>
      <c r="C3660" t="s" s="2">
        <v>15</v>
      </c>
      <c r="D3660" t="s" s="2">
        <v>16</v>
      </c>
      <c r="E3660" t="s" s="2">
        <v>17</v>
      </c>
      <c r="F3660" t="s" s="2">
        <f>HYPERLINK("http://ts.21cn.com/tousu/show/id/1370174","http://ts.21cn.com/tousu/show/id/1370174")</f>
      </c>
      <c r="G3660" t="s" s="2">
        <v>17</v>
      </c>
      <c r="H3660" t="s" s="2">
        <v>19</v>
      </c>
      <c r="I3660" t="s" s="2">
        <v>14270</v>
      </c>
      <c r="J3660" t="s" s="2">
        <v>14271</v>
      </c>
      <c r="K3660" t="s" s="2">
        <v>22</v>
      </c>
      <c r="L3660" t="s" s="2">
        <v>22</v>
      </c>
      <c r="M3660" t="s" s="2">
        <v>22</v>
      </c>
    </row>
    <row r="3661" ht="25.0" customHeight="true">
      <c r="A3661" t="s" s="2">
        <v>13</v>
      </c>
      <c r="B3661" t="s" s="2">
        <f>HYPERLINK("http://ts.21cn.com/tousu/show/id/1370178","虚增借款金额，虚假合同")</f>
      </c>
      <c r="C3661" t="s" s="2">
        <v>15</v>
      </c>
      <c r="D3661" t="s" s="2">
        <v>16</v>
      </c>
      <c r="E3661" t="s" s="2">
        <v>17</v>
      </c>
      <c r="F3661" t="s" s="2">
        <f>HYPERLINK("http://ts.21cn.com/tousu/show/id/1370178","http://ts.21cn.com/tousu/show/id/1370178")</f>
      </c>
      <c r="G3661" t="s" s="2">
        <v>17</v>
      </c>
      <c r="H3661" t="s" s="2">
        <v>19</v>
      </c>
      <c r="I3661" t="s" s="2">
        <v>14274</v>
      </c>
      <c r="J3661" t="s" s="2">
        <v>14275</v>
      </c>
      <c r="K3661" t="s" s="2">
        <v>22</v>
      </c>
      <c r="L3661" t="s" s="2">
        <v>22</v>
      </c>
      <c r="M3661" t="s" s="2">
        <v>22</v>
      </c>
    </row>
    <row r="3662" ht="25.0" customHeight="true">
      <c r="A3662" t="s" s="2">
        <v>13</v>
      </c>
      <c r="B3662" t="s" s="2">
        <f>HYPERLINK("http://ts.21cn.com/tousu/show/id/1370177","每日优鲜虚假宣传，误导诱导用户")</f>
      </c>
      <c r="C3662" t="s" s="2">
        <v>15</v>
      </c>
      <c r="D3662" t="s" s="2">
        <v>16</v>
      </c>
      <c r="E3662" t="s" s="2">
        <v>17</v>
      </c>
      <c r="F3662" t="s" s="2">
        <f>HYPERLINK("http://ts.21cn.com/tousu/show/id/1370177","http://ts.21cn.com/tousu/show/id/1370177")</f>
      </c>
      <c r="G3662" t="s" s="2">
        <v>17</v>
      </c>
      <c r="H3662" t="s" s="2">
        <v>19</v>
      </c>
      <c r="I3662" t="s" s="2">
        <v>14277</v>
      </c>
      <c r="J3662" t="s" s="2">
        <v>14278</v>
      </c>
      <c r="K3662" t="s" s="2">
        <v>22</v>
      </c>
      <c r="L3662" t="s" s="2">
        <v>22</v>
      </c>
      <c r="M3662" t="s" s="2">
        <v>22</v>
      </c>
    </row>
    <row r="3663" ht="25.0" customHeight="true">
      <c r="A3663" t="s" s="2">
        <v>13</v>
      </c>
      <c r="B3663" t="s" s="2">
        <f>HYPERLINK("http://ts.21cn.com/tousu/show/id/1370176","网络贷款")</f>
      </c>
      <c r="C3663" t="s" s="2">
        <v>52</v>
      </c>
      <c r="D3663" t="s" s="2">
        <v>16</v>
      </c>
      <c r="E3663" t="s" s="2">
        <v>17</v>
      </c>
      <c r="F3663" t="s" s="2">
        <f>HYPERLINK("http://ts.21cn.com/tousu/show/id/1370176","http://ts.21cn.com/tousu/show/id/1370176")</f>
      </c>
      <c r="G3663" t="s" s="2">
        <v>17</v>
      </c>
      <c r="H3663" t="s" s="2">
        <v>19</v>
      </c>
      <c r="I3663" t="s" s="2">
        <v>14281</v>
      </c>
      <c r="J3663" t="s" s="2">
        <v>14282</v>
      </c>
      <c r="K3663" t="s" s="2">
        <v>22</v>
      </c>
      <c r="L3663" t="s" s="2">
        <v>22</v>
      </c>
      <c r="M3663" t="s" s="2">
        <v>22</v>
      </c>
    </row>
    <row r="3664" ht="25.0" customHeight="true">
      <c r="A3664" t="s" s="2">
        <v>13</v>
      </c>
      <c r="B3664" t="s" s="2">
        <f>HYPERLINK("http://ts.21cn.com/tousu/show/id/1370175","无限流量限速后定向流量也限速")</f>
      </c>
      <c r="C3664" t="s" s="2">
        <v>52</v>
      </c>
      <c r="D3664" t="s" s="2">
        <v>16</v>
      </c>
      <c r="E3664" t="s" s="2">
        <v>17</v>
      </c>
      <c r="F3664" t="s" s="2">
        <f>HYPERLINK("http://ts.21cn.com/tousu/show/id/1370175","http://ts.21cn.com/tousu/show/id/1370175")</f>
      </c>
      <c r="G3664" t="s" s="2">
        <v>17</v>
      </c>
      <c r="H3664" t="s" s="2">
        <v>19</v>
      </c>
      <c r="I3664" t="s" s="2">
        <v>14285</v>
      </c>
      <c r="J3664" t="s" s="2">
        <v>14286</v>
      </c>
      <c r="K3664" t="s" s="2">
        <v>22</v>
      </c>
      <c r="L3664" t="s" s="2">
        <v>22</v>
      </c>
      <c r="M3664" t="s" s="2">
        <v>22</v>
      </c>
    </row>
    <row r="3665" ht="25.0" customHeight="true">
      <c r="A3665" t="s" s="2">
        <v>13</v>
      </c>
      <c r="B3665" t="s" s="2">
        <f>HYPERLINK("http://ts.21cn.com/tousu/show/id/1370173","平台误导，谁来承担损失")</f>
      </c>
      <c r="C3665" t="s" s="2">
        <v>15</v>
      </c>
      <c r="D3665" t="s" s="2">
        <v>16</v>
      </c>
      <c r="E3665" t="s" s="2">
        <v>17</v>
      </c>
      <c r="F3665" t="s" s="2">
        <f>HYPERLINK("http://ts.21cn.com/tousu/show/id/1370173","http://ts.21cn.com/tousu/show/id/1370173")</f>
      </c>
      <c r="G3665" t="s" s="2">
        <v>17</v>
      </c>
      <c r="H3665" t="s" s="2">
        <v>19</v>
      </c>
      <c r="I3665" t="s" s="2">
        <v>14289</v>
      </c>
      <c r="J3665" t="s" s="2">
        <v>14290</v>
      </c>
      <c r="K3665" t="s" s="2">
        <v>22</v>
      </c>
      <c r="L3665" t="s" s="2">
        <v>22</v>
      </c>
      <c r="M3665" t="s" s="2">
        <v>22</v>
      </c>
    </row>
    <row r="3666" ht="25.0" customHeight="true">
      <c r="A3666" t="s" s="2">
        <v>13</v>
      </c>
      <c r="B3666" t="s" s="2">
        <f>HYPERLINK("http://ts.21cn.com/tousu/show/id/1370171","要求招商银行信用卡取消违约金和循环利息")</f>
      </c>
      <c r="C3666" t="s" s="2">
        <v>15</v>
      </c>
      <c r="D3666" t="s" s="2">
        <v>16</v>
      </c>
      <c r="E3666" t="s" s="2">
        <v>17</v>
      </c>
      <c r="F3666" t="s" s="2">
        <f>HYPERLINK("http://ts.21cn.com/tousu/show/id/1370171","http://ts.21cn.com/tousu/show/id/1370171")</f>
      </c>
      <c r="G3666" t="s" s="2">
        <v>17</v>
      </c>
      <c r="H3666" t="s" s="2">
        <v>19</v>
      </c>
      <c r="I3666" t="s" s="2">
        <v>14293</v>
      </c>
      <c r="J3666" t="s" s="2">
        <v>14294</v>
      </c>
      <c r="K3666" t="s" s="2">
        <v>22</v>
      </c>
      <c r="L3666" t="s" s="2">
        <v>22</v>
      </c>
      <c r="M3666" t="s" s="2">
        <v>22</v>
      </c>
    </row>
    <row r="3667" ht="25.0" customHeight="true">
      <c r="A3667" t="s" s="2">
        <v>13</v>
      </c>
      <c r="B3667" t="s" s="2">
        <f>HYPERLINK("http://ts.21cn.com/tousu/show/id/1370169","不退款")</f>
      </c>
      <c r="C3667" t="s" s="2">
        <v>15</v>
      </c>
      <c r="D3667" t="s" s="2">
        <v>16</v>
      </c>
      <c r="E3667" t="s" s="2">
        <v>17</v>
      </c>
      <c r="F3667" t="s" s="2">
        <f>HYPERLINK("http://ts.21cn.com/tousu/show/id/1370169","http://ts.21cn.com/tousu/show/id/1370169")</f>
      </c>
      <c r="G3667" t="s" s="2">
        <v>17</v>
      </c>
      <c r="H3667" t="s" s="2">
        <v>19</v>
      </c>
      <c r="I3667" t="s" s="2">
        <v>14297</v>
      </c>
      <c r="J3667" t="s" s="2">
        <v>14298</v>
      </c>
      <c r="K3667" t="s" s="2">
        <v>22</v>
      </c>
      <c r="L3667" t="s" s="2">
        <v>22</v>
      </c>
      <c r="M3667" t="s" s="2">
        <v>22</v>
      </c>
    </row>
    <row r="3668" ht="25.0" customHeight="true">
      <c r="A3668" t="s" s="2">
        <v>13</v>
      </c>
      <c r="B3668" t="s" s="2">
        <f>HYPERLINK("http://ts.21cn.com/tousu/show/id/1370167","卧龙钱包暴力催收，使用呼死你软件！")</f>
      </c>
      <c r="C3668" t="s" s="2">
        <v>15</v>
      </c>
      <c r="D3668" t="s" s="2">
        <v>16</v>
      </c>
      <c r="E3668" t="s" s="2">
        <v>17</v>
      </c>
      <c r="F3668" t="s" s="2">
        <f>HYPERLINK("http://ts.21cn.com/tousu/show/id/1370167","http://ts.21cn.com/tousu/show/id/1370167")</f>
      </c>
      <c r="G3668" t="s" s="2">
        <v>17</v>
      </c>
      <c r="H3668" t="s" s="2">
        <v>19</v>
      </c>
      <c r="I3668" t="s" s="2">
        <v>14301</v>
      </c>
      <c r="J3668" t="s" s="2">
        <v>14302</v>
      </c>
      <c r="K3668" t="s" s="2">
        <v>22</v>
      </c>
      <c r="L3668" t="s" s="2">
        <v>22</v>
      </c>
      <c r="M3668" t="s" s="2">
        <v>22</v>
      </c>
    </row>
    <row r="3669" ht="25.0" customHeight="true">
      <c r="A3669" t="s" s="2">
        <v>13</v>
      </c>
      <c r="B3669" t="s" s="2">
        <f>HYPERLINK("http://ts.21cn.com/tousu/show/id/1370166","升学教育机构不退款")</f>
      </c>
      <c r="C3669" t="s" s="2">
        <v>15</v>
      </c>
      <c r="D3669" t="s" s="2">
        <v>16</v>
      </c>
      <c r="E3669" t="s" s="2">
        <v>17</v>
      </c>
      <c r="F3669" t="s" s="2">
        <f>HYPERLINK("http://ts.21cn.com/tousu/show/id/1370166","http://ts.21cn.com/tousu/show/id/1370166")</f>
      </c>
      <c r="G3669" t="s" s="2">
        <v>17</v>
      </c>
      <c r="H3669" t="s" s="2">
        <v>19</v>
      </c>
      <c r="I3669" t="s" s="2">
        <v>14304</v>
      </c>
      <c r="J3669" t="s" s="2">
        <v>14305</v>
      </c>
      <c r="K3669" t="s" s="2">
        <v>22</v>
      </c>
      <c r="L3669" t="s" s="2">
        <v>22</v>
      </c>
      <c r="M3669" t="s" s="2">
        <v>22</v>
      </c>
    </row>
    <row r="3670" ht="25.0" customHeight="true">
      <c r="A3670" t="s" s="2">
        <v>13</v>
      </c>
      <c r="B3670" t="s" s="2">
        <f>HYPERLINK("http://ts.21cn.com/tousu/show/id/1370165","捷信")</f>
      </c>
      <c r="C3670" t="s" s="2">
        <v>15</v>
      </c>
      <c r="D3670" t="s" s="2">
        <v>16</v>
      </c>
      <c r="E3670" t="s" s="2">
        <v>17</v>
      </c>
      <c r="F3670" t="s" s="2">
        <f>HYPERLINK("http://ts.21cn.com/tousu/show/id/1370165","http://ts.21cn.com/tousu/show/id/1370165")</f>
      </c>
      <c r="G3670" t="s" s="2">
        <v>17</v>
      </c>
      <c r="H3670" t="s" s="2">
        <v>19</v>
      </c>
      <c r="I3670" t="s" s="2">
        <v>14308</v>
      </c>
      <c r="J3670" t="s" s="2">
        <v>14309</v>
      </c>
      <c r="K3670" t="s" s="2">
        <v>22</v>
      </c>
      <c r="L3670" t="s" s="2">
        <v>22</v>
      </c>
      <c r="M3670" t="s" s="2">
        <v>22</v>
      </c>
    </row>
    <row r="3671" ht="25.0" customHeight="true">
      <c r="A3671" t="s" s="2">
        <v>13</v>
      </c>
      <c r="B3671" t="s" s="2">
        <f>HYPERLINK("http://ts.21cn.com/tousu/show/id/1370164","宣传与实际完全不符，老师极不负责任")</f>
      </c>
      <c r="C3671" t="s" s="2">
        <v>15</v>
      </c>
      <c r="D3671" t="s" s="2">
        <v>16</v>
      </c>
      <c r="E3671" t="s" s="2">
        <v>17</v>
      </c>
      <c r="F3671" t="s" s="2">
        <f>HYPERLINK("http://ts.21cn.com/tousu/show/id/1370164","http://ts.21cn.com/tousu/show/id/1370164")</f>
      </c>
      <c r="G3671" t="s" s="2">
        <v>17</v>
      </c>
      <c r="H3671" t="s" s="2">
        <v>19</v>
      </c>
      <c r="I3671" t="s" s="2">
        <v>14312</v>
      </c>
      <c r="J3671" t="s" s="2">
        <v>14313</v>
      </c>
      <c r="K3671" t="s" s="2">
        <v>22</v>
      </c>
      <c r="L3671" t="s" s="2">
        <v>22</v>
      </c>
      <c r="M3671" t="s" s="2">
        <v>22</v>
      </c>
    </row>
    <row r="3672" ht="25.0" customHeight="true">
      <c r="A3672" t="s" s="2">
        <v>13</v>
      </c>
      <c r="B3672" t="s" s="2">
        <f>HYPERLINK("http://ts.21cn.com/tousu/show/id/1370163","给朋友付了钱，要求退款")</f>
      </c>
      <c r="C3672" t="s" s="2">
        <v>15</v>
      </c>
      <c r="D3672" t="s" s="2">
        <v>16</v>
      </c>
      <c r="E3672" t="s" s="2">
        <v>17</v>
      </c>
      <c r="F3672" t="s" s="2">
        <f>HYPERLINK("http://ts.21cn.com/tousu/show/id/1370163","http://ts.21cn.com/tousu/show/id/1370163")</f>
      </c>
      <c r="G3672" t="s" s="2">
        <v>17</v>
      </c>
      <c r="H3672" t="s" s="2">
        <v>19</v>
      </c>
      <c r="I3672" t="s" s="2">
        <v>14316</v>
      </c>
      <c r="J3672" t="s" s="2">
        <v>14317</v>
      </c>
      <c r="K3672" t="s" s="2">
        <v>22</v>
      </c>
      <c r="L3672" t="s" s="2">
        <v>22</v>
      </c>
      <c r="M3672" t="s" s="2">
        <v>22</v>
      </c>
    </row>
    <row r="3673" ht="25.0" customHeight="true">
      <c r="A3673" t="s" s="2">
        <v>13</v>
      </c>
      <c r="B3673" t="s" s="2">
        <f>HYPERLINK("http://ts.21cn.com/tousu/show/id/1370161","要求退还所谓的担保费")</f>
      </c>
      <c r="C3673" t="s" s="2">
        <v>15</v>
      </c>
      <c r="D3673" t="s" s="2">
        <v>16</v>
      </c>
      <c r="E3673" t="s" s="2">
        <v>17</v>
      </c>
      <c r="F3673" t="s" s="2">
        <f>HYPERLINK("http://ts.21cn.com/tousu/show/id/1370161","http://ts.21cn.com/tousu/show/id/1370161")</f>
      </c>
      <c r="G3673" t="s" s="2">
        <v>17</v>
      </c>
      <c r="H3673" t="s" s="2">
        <v>19</v>
      </c>
      <c r="I3673" t="s" s="2">
        <v>14320</v>
      </c>
      <c r="J3673" t="s" s="2">
        <v>14321</v>
      </c>
      <c r="K3673" t="s" s="2">
        <v>22</v>
      </c>
      <c r="L3673" t="s" s="2">
        <v>22</v>
      </c>
      <c r="M3673" t="s" s="2">
        <v>22</v>
      </c>
    </row>
    <row r="3674" ht="25.0" customHeight="true">
      <c r="A3674" t="s" s="2">
        <v>13</v>
      </c>
      <c r="B3674" t="s" s="2">
        <f>HYPERLINK("http://ts.21cn.com/tousu/show/id/1370162","汇聚支付为套路贷平台提供支付通道")</f>
      </c>
      <c r="C3674" t="s" s="2">
        <v>15</v>
      </c>
      <c r="D3674" t="s" s="2">
        <v>16</v>
      </c>
      <c r="E3674" t="s" s="2">
        <v>17</v>
      </c>
      <c r="F3674" t="s" s="2">
        <f>HYPERLINK("http://ts.21cn.com/tousu/show/id/1370162","http://ts.21cn.com/tousu/show/id/1370162")</f>
      </c>
      <c r="G3674" t="s" s="2">
        <v>17</v>
      </c>
      <c r="H3674" t="s" s="2">
        <v>19</v>
      </c>
      <c r="I3674" t="s" s="2">
        <v>14324</v>
      </c>
      <c r="J3674" t="s" s="2">
        <v>14325</v>
      </c>
      <c r="K3674" t="s" s="2">
        <v>22</v>
      </c>
      <c r="L3674" t="s" s="2">
        <v>22</v>
      </c>
      <c r="M3674" t="s" s="2">
        <v>22</v>
      </c>
    </row>
    <row r="3675" ht="25.0" customHeight="true">
      <c r="A3675" t="s" s="2">
        <v>13</v>
      </c>
      <c r="B3675" t="s" s="2">
        <f>HYPERLINK("http://ts.21cn.com/tousu/show/id/1370160","乱扣款")</f>
      </c>
      <c r="C3675" t="s" s="2">
        <v>15</v>
      </c>
      <c r="D3675" t="s" s="2">
        <v>16</v>
      </c>
      <c r="E3675" t="s" s="2">
        <v>17</v>
      </c>
      <c r="F3675" t="s" s="2">
        <f>HYPERLINK("http://ts.21cn.com/tousu/show/id/1370160","http://ts.21cn.com/tousu/show/id/1370160")</f>
      </c>
      <c r="G3675" t="s" s="2">
        <v>17</v>
      </c>
      <c r="H3675" t="s" s="2">
        <v>19</v>
      </c>
      <c r="I3675" t="s" s="2">
        <v>14327</v>
      </c>
      <c r="J3675" t="s" s="2">
        <v>14328</v>
      </c>
      <c r="K3675" t="s" s="2">
        <v>22</v>
      </c>
      <c r="L3675" t="s" s="2">
        <v>22</v>
      </c>
      <c r="M3675" t="s" s="2">
        <v>22</v>
      </c>
    </row>
    <row r="3676" ht="25.0" customHeight="true">
      <c r="A3676" t="s" s="2">
        <v>13</v>
      </c>
      <c r="B3676" t="s" s="2">
        <f>HYPERLINK("http://ts.21cn.com/tousu/show/id/1370159","高利贷")</f>
      </c>
      <c r="C3676" t="s" s="2">
        <v>15</v>
      </c>
      <c r="D3676" t="s" s="2">
        <v>16</v>
      </c>
      <c r="E3676" t="s" s="2">
        <v>17</v>
      </c>
      <c r="F3676" t="s" s="2">
        <f>HYPERLINK("http://ts.21cn.com/tousu/show/id/1370159","http://ts.21cn.com/tousu/show/id/1370159")</f>
      </c>
      <c r="G3676" t="s" s="2">
        <v>17</v>
      </c>
      <c r="H3676" t="s" s="2">
        <v>19</v>
      </c>
      <c r="I3676" t="s" s="2">
        <v>14330</v>
      </c>
      <c r="J3676" t="s" s="2">
        <v>14331</v>
      </c>
      <c r="K3676" t="s" s="2">
        <v>22</v>
      </c>
      <c r="L3676" t="s" s="2">
        <v>22</v>
      </c>
      <c r="M3676" t="s" s="2">
        <v>22</v>
      </c>
    </row>
    <row r="3677" ht="25.0" customHeight="true">
      <c r="A3677" t="s" s="2">
        <v>13</v>
      </c>
      <c r="B3677" t="s" s="2">
        <f>HYPERLINK("http://ts.21cn.com/tousu/show/id/1370158","要求退费")</f>
      </c>
      <c r="C3677" t="s" s="2">
        <v>15</v>
      </c>
      <c r="D3677" t="s" s="2">
        <v>16</v>
      </c>
      <c r="E3677" t="s" s="2">
        <v>17</v>
      </c>
      <c r="F3677" t="s" s="2">
        <f>HYPERLINK("http://ts.21cn.com/tousu/show/id/1370158","http://ts.21cn.com/tousu/show/id/1370158")</f>
      </c>
      <c r="G3677" t="s" s="2">
        <v>17</v>
      </c>
      <c r="H3677" t="s" s="2">
        <v>19</v>
      </c>
      <c r="I3677" t="s" s="2">
        <v>14334</v>
      </c>
      <c r="J3677" t="s" s="2">
        <v>14335</v>
      </c>
      <c r="K3677" t="s" s="2">
        <v>22</v>
      </c>
      <c r="L3677" t="s" s="2">
        <v>22</v>
      </c>
      <c r="M3677" t="s" s="2">
        <v>22</v>
      </c>
    </row>
    <row r="3678" ht="25.0" customHeight="true">
      <c r="A3678" t="s" s="2">
        <v>13</v>
      </c>
      <c r="B3678" t="s" s="2">
        <f>HYPERLINK("http://ts.21cn.com/tousu/show/id/1370156","苏宁消费金融骚扰严重")</f>
      </c>
      <c r="C3678" t="s" s="2">
        <v>15</v>
      </c>
      <c r="D3678" t="s" s="2">
        <v>16</v>
      </c>
      <c r="E3678" t="s" s="2">
        <v>17</v>
      </c>
      <c r="F3678" t="s" s="2">
        <f>HYPERLINK("http://ts.21cn.com/tousu/show/id/1370156","http://ts.21cn.com/tousu/show/id/1370156")</f>
      </c>
      <c r="G3678" t="s" s="2">
        <v>17</v>
      </c>
      <c r="H3678" t="s" s="2">
        <v>19</v>
      </c>
      <c r="I3678" t="s" s="2">
        <v>14338</v>
      </c>
      <c r="J3678" t="s" s="2">
        <v>14339</v>
      </c>
      <c r="K3678" t="s" s="2">
        <v>22</v>
      </c>
      <c r="L3678" t="s" s="2">
        <v>22</v>
      </c>
      <c r="M3678" t="s" s="2">
        <v>22</v>
      </c>
    </row>
    <row r="3679" ht="25.0" customHeight="true">
      <c r="A3679" t="s" s="2">
        <v>13</v>
      </c>
      <c r="B3679" t="s" s="2">
        <f>HYPERLINK("http://ts.21cn.com/tousu/show/id/1370155","中信信用卡乱扣费隐藏性扣费")</f>
      </c>
      <c r="C3679" t="s" s="2">
        <v>15</v>
      </c>
      <c r="D3679" t="s" s="2">
        <v>16</v>
      </c>
      <c r="E3679" t="s" s="2">
        <v>17</v>
      </c>
      <c r="F3679" t="s" s="2">
        <f>HYPERLINK("http://ts.21cn.com/tousu/show/id/1370155","http://ts.21cn.com/tousu/show/id/1370155")</f>
      </c>
      <c r="G3679" t="s" s="2">
        <v>17</v>
      </c>
      <c r="H3679" t="s" s="2">
        <v>19</v>
      </c>
      <c r="I3679" t="s" s="2">
        <v>14342</v>
      </c>
      <c r="J3679" t="s" s="2">
        <v>14343</v>
      </c>
      <c r="K3679" t="s" s="2">
        <v>22</v>
      </c>
      <c r="L3679" t="s" s="2">
        <v>22</v>
      </c>
      <c r="M3679" t="s" s="2">
        <v>22</v>
      </c>
    </row>
    <row r="3680" ht="25.0" customHeight="true">
      <c r="A3680" t="s" s="2">
        <v>13</v>
      </c>
      <c r="B3680" t="s" s="2">
        <f>HYPERLINK("http://ts.21cn.com/tousu/show/id/1370154","马上金融安逸花偷偷扣款")</f>
      </c>
      <c r="C3680" t="s" s="2">
        <v>15</v>
      </c>
      <c r="D3680" t="s" s="2">
        <v>16</v>
      </c>
      <c r="E3680" t="s" s="2">
        <v>17</v>
      </c>
      <c r="F3680" t="s" s="2">
        <f>HYPERLINK("http://ts.21cn.com/tousu/show/id/1370154","http://ts.21cn.com/tousu/show/id/1370154")</f>
      </c>
      <c r="G3680" t="s" s="2">
        <v>17</v>
      </c>
      <c r="H3680" t="s" s="2">
        <v>19</v>
      </c>
      <c r="I3680" t="s" s="2">
        <v>14346</v>
      </c>
      <c r="J3680" t="s" s="2">
        <v>14347</v>
      </c>
      <c r="K3680" t="s" s="2">
        <v>22</v>
      </c>
      <c r="L3680" t="s" s="2">
        <v>22</v>
      </c>
      <c r="M3680" t="s" s="2">
        <v>22</v>
      </c>
    </row>
    <row r="3681" ht="25.0" customHeight="true">
      <c r="A3681" t="s" s="2">
        <v>13</v>
      </c>
      <c r="B3681" t="s" s="2">
        <f>HYPERLINK("http://ts.21cn.com/tousu/show/id/996910","高利贷公司借款已经还清，继续诱导借款。")</f>
      </c>
      <c r="C3681" t="s" s="2">
        <v>15</v>
      </c>
      <c r="D3681" t="s" s="2">
        <v>16</v>
      </c>
      <c r="E3681" t="s" s="2">
        <v>17</v>
      </c>
      <c r="F3681" t="s" s="2">
        <f>HYPERLINK("http://ts.21cn.com/tousu/show/id/996910","http://ts.21cn.com/tousu/show/id/996910")</f>
      </c>
      <c r="G3681" t="s" s="2">
        <v>17</v>
      </c>
      <c r="H3681" t="s" s="2">
        <v>19</v>
      </c>
      <c r="I3681" t="s" s="2">
        <v>14350</v>
      </c>
      <c r="J3681" t="s" s="2">
        <v>14351</v>
      </c>
      <c r="K3681" t="s" s="2">
        <v>22</v>
      </c>
      <c r="L3681" t="s" s="2">
        <v>22</v>
      </c>
      <c r="M3681" t="s" s="2">
        <v>22</v>
      </c>
    </row>
    <row r="3682" ht="25.0" customHeight="true">
      <c r="A3682" t="s" s="2">
        <v>13</v>
      </c>
      <c r="B3682" t="s" s="2">
        <f>HYPERLINK("http://ts.21cn.com/tousu/show/id/1370153","洋钱罐借钱高利贷")</f>
      </c>
      <c r="C3682" t="s" s="2">
        <v>15</v>
      </c>
      <c r="D3682" t="s" s="2">
        <v>16</v>
      </c>
      <c r="E3682" t="s" s="2">
        <v>17</v>
      </c>
      <c r="F3682" t="s" s="2">
        <f>HYPERLINK("http://ts.21cn.com/tousu/show/id/1370153","http://ts.21cn.com/tousu/show/id/1370153")</f>
      </c>
      <c r="G3682" t="s" s="2">
        <v>17</v>
      </c>
      <c r="H3682" t="s" s="2">
        <v>19</v>
      </c>
      <c r="I3682" t="s" s="2">
        <v>14354</v>
      </c>
      <c r="J3682" t="s" s="2">
        <v>14355</v>
      </c>
      <c r="K3682" t="s" s="2">
        <v>22</v>
      </c>
      <c r="L3682" t="s" s="2">
        <v>22</v>
      </c>
      <c r="M3682" t="s" s="2">
        <v>22</v>
      </c>
    </row>
    <row r="3683" ht="25.0" customHeight="true">
      <c r="A3683" t="s" s="2">
        <v>13</v>
      </c>
      <c r="B3683" t="s" s="2">
        <f>HYPERLINK("http://ts.21cn.com/tousu/show/id/1370152","马上金融雇佣社会人员进行威胁恐吓")</f>
      </c>
      <c r="C3683" t="s" s="2">
        <v>15</v>
      </c>
      <c r="D3683" t="s" s="2">
        <v>16</v>
      </c>
      <c r="E3683" t="s" s="2">
        <v>17</v>
      </c>
      <c r="F3683" t="s" s="2">
        <f>HYPERLINK("http://ts.21cn.com/tousu/show/id/1370152","http://ts.21cn.com/tousu/show/id/1370152")</f>
      </c>
      <c r="G3683" t="s" s="2">
        <v>17</v>
      </c>
      <c r="H3683" t="s" s="2">
        <v>19</v>
      </c>
      <c r="I3683" t="s" s="2">
        <v>14358</v>
      </c>
      <c r="J3683" t="s" s="2">
        <v>14359</v>
      </c>
      <c r="K3683" t="s" s="2">
        <v>22</v>
      </c>
      <c r="L3683" t="s" s="2">
        <v>22</v>
      </c>
      <c r="M3683" t="s" s="2">
        <v>22</v>
      </c>
    </row>
    <row r="3684" ht="25.0" customHeight="true">
      <c r="A3684" t="s" s="2">
        <v>13</v>
      </c>
      <c r="B3684" t="s" s="2">
        <f>HYPERLINK("http://ts.21cn.com/tousu/show/id/1370117","费用问题")</f>
      </c>
      <c r="C3684" t="s" s="2">
        <v>52</v>
      </c>
      <c r="D3684" t="s" s="2">
        <v>16</v>
      </c>
      <c r="E3684" t="s" s="2">
        <v>17</v>
      </c>
      <c r="F3684" t="s" s="2">
        <f>HYPERLINK("http://ts.21cn.com/tousu/show/id/1370117","http://ts.21cn.com/tousu/show/id/1370117")</f>
      </c>
      <c r="G3684" t="s" s="2">
        <v>17</v>
      </c>
      <c r="H3684" t="s" s="2">
        <v>19</v>
      </c>
      <c r="I3684" t="s" s="2">
        <v>14362</v>
      </c>
      <c r="J3684" t="s" s="2">
        <v>14363</v>
      </c>
      <c r="K3684" t="s" s="2">
        <v>22</v>
      </c>
      <c r="L3684" t="s" s="2">
        <v>22</v>
      </c>
      <c r="M3684" t="s" s="2">
        <v>22</v>
      </c>
    </row>
    <row r="3685" ht="25.0" customHeight="true">
      <c r="A3685" t="s" s="2">
        <v>13</v>
      </c>
      <c r="B3685" t="s" s="2">
        <f>HYPERLINK("http://ts.21cn.com/tousu/show/id/1370151","宜人贷未按照协商金额更新还款APP")</f>
      </c>
      <c r="C3685" t="s" s="2">
        <v>15</v>
      </c>
      <c r="D3685" t="s" s="2">
        <v>16</v>
      </c>
      <c r="E3685" t="s" s="2">
        <v>17</v>
      </c>
      <c r="F3685" t="s" s="2">
        <f>HYPERLINK("http://ts.21cn.com/tousu/show/id/1370151","http://ts.21cn.com/tousu/show/id/1370151")</f>
      </c>
      <c r="G3685" t="s" s="2">
        <v>17</v>
      </c>
      <c r="H3685" t="s" s="2">
        <v>19</v>
      </c>
      <c r="I3685" t="s" s="2">
        <v>14366</v>
      </c>
      <c r="J3685" t="s" s="2">
        <v>14367</v>
      </c>
      <c r="K3685" t="s" s="2">
        <v>22</v>
      </c>
      <c r="L3685" t="s" s="2">
        <v>22</v>
      </c>
      <c r="M3685" t="s" s="2">
        <v>22</v>
      </c>
    </row>
    <row r="3686" ht="25.0" customHeight="true">
      <c r="A3686" t="s" s="2">
        <v>13</v>
      </c>
      <c r="B3686" t="s" s="2">
        <f>HYPERLINK("http://ts.21cn.com/tousu/show/id/1370150","唯品会A2二段假奶粉")</f>
      </c>
      <c r="C3686" t="s" s="2">
        <v>52</v>
      </c>
      <c r="D3686" t="s" s="2">
        <v>16</v>
      </c>
      <c r="E3686" t="s" s="2">
        <v>17</v>
      </c>
      <c r="F3686" t="s" s="2">
        <f>HYPERLINK("http://ts.21cn.com/tousu/show/id/1370150","http://ts.21cn.com/tousu/show/id/1370150")</f>
      </c>
      <c r="G3686" t="s" s="2">
        <v>17</v>
      </c>
      <c r="H3686" t="s" s="2">
        <v>19</v>
      </c>
      <c r="I3686" t="s" s="2">
        <v>14370</v>
      </c>
      <c r="J3686" t="s" s="2">
        <v>14371</v>
      </c>
      <c r="K3686" t="s" s="2">
        <v>22</v>
      </c>
      <c r="L3686" t="s" s="2">
        <v>22</v>
      </c>
      <c r="M3686" t="s" s="2">
        <v>22</v>
      </c>
    </row>
    <row r="3687" ht="25.0" customHeight="true">
      <c r="A3687" t="s" s="2">
        <v>13</v>
      </c>
      <c r="B3687" t="s" s="2">
        <f>HYPERLINK("http://ts.21cn.com/tousu/show/id/1370149","交通银行信用卡非法催收")</f>
      </c>
      <c r="C3687" t="s" s="2">
        <v>15</v>
      </c>
      <c r="D3687" t="s" s="2">
        <v>16</v>
      </c>
      <c r="E3687" t="s" s="2">
        <v>17</v>
      </c>
      <c r="F3687" t="s" s="2">
        <f>HYPERLINK("http://ts.21cn.com/tousu/show/id/1370149","http://ts.21cn.com/tousu/show/id/1370149")</f>
      </c>
      <c r="G3687" t="s" s="2">
        <v>17</v>
      </c>
      <c r="H3687" t="s" s="2">
        <v>19</v>
      </c>
      <c r="I3687" t="s" s="2">
        <v>14374</v>
      </c>
      <c r="J3687" t="s" s="2">
        <v>14375</v>
      </c>
      <c r="K3687" t="s" s="2">
        <v>22</v>
      </c>
      <c r="L3687" t="s" s="2">
        <v>22</v>
      </c>
      <c r="M3687" t="s" s="2">
        <v>22</v>
      </c>
    </row>
    <row r="3688" ht="25.0" customHeight="true">
      <c r="A3688" t="s" s="2">
        <v>13</v>
      </c>
      <c r="B3688" t="s" s="2">
        <f>HYPERLINK("http://ts.21cn.com/tousu/show/id/1370101","友信普惠高利贷，高违约金，阴阳合同")</f>
      </c>
      <c r="C3688" t="s" s="2">
        <v>15</v>
      </c>
      <c r="D3688" t="s" s="2">
        <v>16</v>
      </c>
      <c r="E3688" t="s" s="2">
        <v>17</v>
      </c>
      <c r="F3688" t="s" s="2">
        <f>HYPERLINK("http://ts.21cn.com/tousu/show/id/1370101","http://ts.21cn.com/tousu/show/id/1370101")</f>
      </c>
      <c r="G3688" t="s" s="2">
        <v>17</v>
      </c>
      <c r="H3688" t="s" s="2">
        <v>19</v>
      </c>
      <c r="I3688" t="s" s="2">
        <v>14378</v>
      </c>
      <c r="J3688" t="s" s="2">
        <v>14379</v>
      </c>
      <c r="K3688" t="s" s="2">
        <v>22</v>
      </c>
      <c r="L3688" t="s" s="2">
        <v>22</v>
      </c>
      <c r="M3688" t="s" s="2">
        <v>22</v>
      </c>
    </row>
    <row r="3689" ht="25.0" customHeight="true">
      <c r="A3689" t="s" s="2">
        <v>13</v>
      </c>
      <c r="B3689" t="s" s="2">
        <f>HYPERLINK("http://ts.21cn.com/tousu/show/id/1370119","去哪儿称病退材料不过关，推责给航空公司，航空公司表示从未收到任何材料，害病退人拄拐多次去医院开证明。")</f>
      </c>
      <c r="C3689" t="s" s="2">
        <v>15</v>
      </c>
      <c r="D3689" t="s" s="2">
        <v>16</v>
      </c>
      <c r="E3689" t="s" s="2">
        <v>17</v>
      </c>
      <c r="F3689" t="s" s="2">
        <f>HYPERLINK("http://ts.21cn.com/tousu/show/id/1370119","http://ts.21cn.com/tousu/show/id/1370119")</f>
      </c>
      <c r="G3689" t="s" s="2">
        <v>17</v>
      </c>
      <c r="H3689" t="s" s="2">
        <v>19</v>
      </c>
      <c r="I3689" t="s" s="2">
        <v>14382</v>
      </c>
      <c r="J3689" t="s" s="2">
        <v>14383</v>
      </c>
      <c r="K3689" t="s" s="2">
        <v>22</v>
      </c>
      <c r="L3689" t="s" s="2">
        <v>22</v>
      </c>
      <c r="M3689" t="s" s="2">
        <v>22</v>
      </c>
    </row>
    <row r="3690" ht="25.0" customHeight="true">
      <c r="A3690" t="s" s="2">
        <v>13</v>
      </c>
      <c r="B3690" t="s" s="2">
        <f>HYPERLINK("http://ts.21cn.com/tousu/show/id/1370147","网贷平台胡乱扣费")</f>
      </c>
      <c r="C3690" t="s" s="2">
        <v>15</v>
      </c>
      <c r="D3690" t="s" s="2">
        <v>16</v>
      </c>
      <c r="E3690" t="s" s="2">
        <v>17</v>
      </c>
      <c r="F3690" t="s" s="2">
        <f>HYPERLINK("http://ts.21cn.com/tousu/show/id/1370147","http://ts.21cn.com/tousu/show/id/1370147")</f>
      </c>
      <c r="G3690" t="s" s="2">
        <v>17</v>
      </c>
      <c r="H3690" t="s" s="2">
        <v>19</v>
      </c>
      <c r="I3690" t="s" s="2">
        <v>14386</v>
      </c>
      <c r="J3690" t="s" s="2">
        <v>14387</v>
      </c>
      <c r="K3690" t="s" s="2">
        <v>22</v>
      </c>
      <c r="L3690" t="s" s="2">
        <v>22</v>
      </c>
      <c r="M3690" t="s" s="2">
        <v>22</v>
      </c>
    </row>
    <row r="3691" ht="25.0" customHeight="true">
      <c r="A3691" t="s" s="2">
        <v>13</v>
      </c>
      <c r="B3691" t="s" s="2">
        <f>HYPERLINK("http://ts.21cn.com/tousu/show/id/1370145","及贷违反法律法规收取担保费")</f>
      </c>
      <c r="C3691" t="s" s="2">
        <v>15</v>
      </c>
      <c r="D3691" t="s" s="2">
        <v>16</v>
      </c>
      <c r="E3691" t="s" s="2">
        <v>17</v>
      </c>
      <c r="F3691" t="s" s="2">
        <f>HYPERLINK("http://ts.21cn.com/tousu/show/id/1370145","http://ts.21cn.com/tousu/show/id/1370145")</f>
      </c>
      <c r="G3691" t="s" s="2">
        <v>17</v>
      </c>
      <c r="H3691" t="s" s="2">
        <v>19</v>
      </c>
      <c r="I3691" t="s" s="2">
        <v>14390</v>
      </c>
      <c r="J3691" t="s" s="2">
        <v>14391</v>
      </c>
      <c r="K3691" t="s" s="2">
        <v>22</v>
      </c>
      <c r="L3691" t="s" s="2">
        <v>22</v>
      </c>
      <c r="M3691" t="s" s="2">
        <v>22</v>
      </c>
    </row>
    <row r="3692" ht="25.0" customHeight="true">
      <c r="A3692" t="s" s="2">
        <v>13</v>
      </c>
      <c r="B3692" t="s" s="2">
        <f>HYPERLINK("http://ts.21cn.com/tousu/show/id/1370122","拇指游玩欺诈区别对待玩家")</f>
      </c>
      <c r="C3692" t="s" s="2">
        <v>15</v>
      </c>
      <c r="D3692" t="s" s="2">
        <v>16</v>
      </c>
      <c r="E3692" t="s" s="2">
        <v>17</v>
      </c>
      <c r="F3692" t="s" s="2">
        <f>HYPERLINK("http://ts.21cn.com/tousu/show/id/1370122","http://ts.21cn.com/tousu/show/id/1370122")</f>
      </c>
      <c r="G3692" t="s" s="2">
        <v>17</v>
      </c>
      <c r="H3692" t="s" s="2">
        <v>19</v>
      </c>
      <c r="I3692" t="s" s="2">
        <v>14394</v>
      </c>
      <c r="J3692" t="s" s="2">
        <v>14395</v>
      </c>
      <c r="K3692" t="s" s="2">
        <v>22</v>
      </c>
      <c r="L3692" t="s" s="2">
        <v>22</v>
      </c>
      <c r="M3692" t="s" s="2">
        <v>22</v>
      </c>
    </row>
    <row r="3693" ht="25.0" customHeight="true">
      <c r="A3693" t="s" s="2">
        <v>13</v>
      </c>
      <c r="B3693" t="s" s="2">
        <f>HYPERLINK("http://ts.21cn.com/tousu/show/id/1370143","小花钱包贷款有砍头息")</f>
      </c>
      <c r="C3693" t="s" s="2">
        <v>52</v>
      </c>
      <c r="D3693" t="s" s="2">
        <v>16</v>
      </c>
      <c r="E3693" t="s" s="2">
        <v>17</v>
      </c>
      <c r="F3693" t="s" s="2">
        <f>HYPERLINK("http://ts.21cn.com/tousu/show/id/1370143","http://ts.21cn.com/tousu/show/id/1370143")</f>
      </c>
      <c r="G3693" t="s" s="2">
        <v>17</v>
      </c>
      <c r="H3693" t="s" s="2">
        <v>19</v>
      </c>
      <c r="I3693" t="s" s="2">
        <v>14398</v>
      </c>
      <c r="J3693" t="s" s="2">
        <v>14399</v>
      </c>
      <c r="K3693" t="s" s="2">
        <v>22</v>
      </c>
      <c r="L3693" t="s" s="2">
        <v>22</v>
      </c>
      <c r="M3693" t="s" s="2">
        <v>22</v>
      </c>
    </row>
    <row r="3694" ht="25.0" customHeight="true">
      <c r="A3694" t="s" s="2">
        <v>13</v>
      </c>
      <c r="B3694" t="s" s="2">
        <f>HYPERLINK("http://ts.21cn.com/tousu/show/id/1370142","微信扫码进群被盗刷支付600")</f>
      </c>
      <c r="C3694" t="s" s="2">
        <v>15</v>
      </c>
      <c r="D3694" t="s" s="2">
        <v>16</v>
      </c>
      <c r="E3694" t="s" s="2">
        <v>17</v>
      </c>
      <c r="F3694" t="s" s="2">
        <f>HYPERLINK("http://ts.21cn.com/tousu/show/id/1370142","http://ts.21cn.com/tousu/show/id/1370142")</f>
      </c>
      <c r="G3694" t="s" s="2">
        <v>17</v>
      </c>
      <c r="H3694" t="s" s="2">
        <v>19</v>
      </c>
      <c r="I3694" t="s" s="2">
        <v>14402</v>
      </c>
      <c r="J3694" t="s" s="2">
        <v>14403</v>
      </c>
      <c r="K3694" t="s" s="2">
        <v>22</v>
      </c>
      <c r="L3694" t="s" s="2">
        <v>22</v>
      </c>
      <c r="M3694" t="s" s="2">
        <v>22</v>
      </c>
    </row>
    <row r="3695" ht="25.0" customHeight="true">
      <c r="A3695" t="s" s="2">
        <v>13</v>
      </c>
      <c r="B3695" t="s" s="2">
        <f>HYPERLINK("http://ts.21cn.com/tousu/show/id/1370141","京东金融催收恐吓威胁")</f>
      </c>
      <c r="C3695" t="s" s="2">
        <v>15</v>
      </c>
      <c r="D3695" t="s" s="2">
        <v>16</v>
      </c>
      <c r="E3695" t="s" s="2">
        <v>17</v>
      </c>
      <c r="F3695" t="s" s="2">
        <f>HYPERLINK("http://ts.21cn.com/tousu/show/id/1370141","http://ts.21cn.com/tousu/show/id/1370141")</f>
      </c>
      <c r="G3695" t="s" s="2">
        <v>17</v>
      </c>
      <c r="H3695" t="s" s="2">
        <v>19</v>
      </c>
      <c r="I3695" t="s" s="2">
        <v>14406</v>
      </c>
      <c r="J3695" t="s" s="2">
        <v>14407</v>
      </c>
      <c r="K3695" t="s" s="2">
        <v>22</v>
      </c>
      <c r="L3695" t="s" s="2">
        <v>22</v>
      </c>
      <c r="M3695" t="s" s="2">
        <v>22</v>
      </c>
    </row>
    <row r="3696" ht="25.0" customHeight="true">
      <c r="A3696" t="s" s="2">
        <v>13</v>
      </c>
      <c r="B3696" t="s" s="2">
        <f>HYPERLINK("http://ts.21cn.com/tousu/show/id/1370140","违规交费，不安装合同执行")</f>
      </c>
      <c r="C3696" t="s" s="2">
        <v>15</v>
      </c>
      <c r="D3696" t="s" s="2">
        <v>16</v>
      </c>
      <c r="E3696" t="s" s="2">
        <v>17</v>
      </c>
      <c r="F3696" t="s" s="2">
        <f>HYPERLINK("http://ts.21cn.com/tousu/show/id/1370140","http://ts.21cn.com/tousu/show/id/1370140")</f>
      </c>
      <c r="G3696" t="s" s="2">
        <v>17</v>
      </c>
      <c r="H3696" t="s" s="2">
        <v>19</v>
      </c>
      <c r="I3696" t="s" s="2">
        <v>14410</v>
      </c>
      <c r="J3696" t="s" s="2">
        <v>14411</v>
      </c>
      <c r="K3696" t="s" s="2">
        <v>22</v>
      </c>
      <c r="L3696" t="s" s="2">
        <v>22</v>
      </c>
      <c r="M3696" t="s" s="2">
        <v>22</v>
      </c>
    </row>
    <row r="3697" ht="25.0" customHeight="true">
      <c r="A3697" t="s" s="2">
        <v>13</v>
      </c>
      <c r="B3697" t="s" s="2">
        <f>HYPERLINK("http://ts.21cn.com/tousu/show/id/1370139","招联金融伪造文书并撤诉后未处理")</f>
      </c>
      <c r="C3697" t="s" s="2">
        <v>15</v>
      </c>
      <c r="D3697" t="s" s="2">
        <v>16</v>
      </c>
      <c r="E3697" t="s" s="2">
        <v>17</v>
      </c>
      <c r="F3697" t="s" s="2">
        <f>HYPERLINK("http://ts.21cn.com/tousu/show/id/1370139","http://ts.21cn.com/tousu/show/id/1370139")</f>
      </c>
      <c r="G3697" t="s" s="2">
        <v>17</v>
      </c>
      <c r="H3697" t="s" s="2">
        <v>19</v>
      </c>
      <c r="I3697" t="s" s="2">
        <v>14414</v>
      </c>
      <c r="J3697" t="s" s="2">
        <v>14415</v>
      </c>
      <c r="K3697" t="s" s="2">
        <v>22</v>
      </c>
      <c r="L3697" t="s" s="2">
        <v>22</v>
      </c>
      <c r="M3697" t="s" s="2">
        <v>22</v>
      </c>
    </row>
    <row r="3698" ht="25.0" customHeight="true">
      <c r="A3698" t="s" s="2">
        <v>13</v>
      </c>
      <c r="B3698" t="s" s="2">
        <f>HYPERLINK("http://ts.21cn.com/tousu/show/id/1370137","转转退我保证金")</f>
      </c>
      <c r="C3698" t="s" s="2">
        <v>15</v>
      </c>
      <c r="D3698" t="s" s="2">
        <v>16</v>
      </c>
      <c r="E3698" t="s" s="2">
        <v>17</v>
      </c>
      <c r="F3698" t="s" s="2">
        <f>HYPERLINK("http://ts.21cn.com/tousu/show/id/1370137","http://ts.21cn.com/tousu/show/id/1370137")</f>
      </c>
      <c r="G3698" t="s" s="2">
        <v>17</v>
      </c>
      <c r="H3698" t="s" s="2">
        <v>19</v>
      </c>
      <c r="I3698" t="s" s="2">
        <v>14418</v>
      </c>
      <c r="J3698" t="s" s="2">
        <v>14419</v>
      </c>
      <c r="K3698" t="s" s="2">
        <v>22</v>
      </c>
      <c r="L3698" t="s" s="2">
        <v>22</v>
      </c>
      <c r="M3698" t="s" s="2">
        <v>22</v>
      </c>
    </row>
    <row r="3699" ht="25.0" customHeight="true">
      <c r="A3699" t="s" s="2">
        <v>13</v>
      </c>
      <c r="B3699" t="s" s="2">
        <f>HYPERLINK("http://ts.21cn.com/tousu/show/id/1370136","高利贷")</f>
      </c>
      <c r="C3699" t="s" s="2">
        <v>15</v>
      </c>
      <c r="D3699" t="s" s="2">
        <v>16</v>
      </c>
      <c r="E3699" t="s" s="2">
        <v>17</v>
      </c>
      <c r="F3699" t="s" s="2">
        <f>HYPERLINK("http://ts.21cn.com/tousu/show/id/1370136","http://ts.21cn.com/tousu/show/id/1370136")</f>
      </c>
      <c r="G3699" t="s" s="2">
        <v>17</v>
      </c>
      <c r="H3699" t="s" s="2">
        <v>19</v>
      </c>
      <c r="I3699" t="s" s="2">
        <v>14421</v>
      </c>
      <c r="J3699" t="s" s="2">
        <v>14422</v>
      </c>
      <c r="K3699" t="s" s="2">
        <v>22</v>
      </c>
      <c r="L3699" t="s" s="2">
        <v>22</v>
      </c>
      <c r="M3699" t="s" s="2">
        <v>22</v>
      </c>
    </row>
    <row r="3700" ht="25.0" customHeight="true">
      <c r="A3700" t="s" s="2">
        <v>13</v>
      </c>
      <c r="B3700" t="s" s="2">
        <f>HYPERLINK("http://ts.21cn.com/tousu/show/id/1370021","趣惠买8天高炮贷款砍头息，联动优势为高炮贷款提供服务")</f>
      </c>
      <c r="C3700" t="s" s="2">
        <v>15</v>
      </c>
      <c r="D3700" t="s" s="2">
        <v>16</v>
      </c>
      <c r="E3700" t="s" s="2">
        <v>17</v>
      </c>
      <c r="F3700" t="s" s="2">
        <f>HYPERLINK("http://ts.21cn.com/tousu/show/id/1370021","http://ts.21cn.com/tousu/show/id/1370021")</f>
      </c>
      <c r="G3700" t="s" s="2">
        <v>17</v>
      </c>
      <c r="H3700" t="s" s="2">
        <v>19</v>
      </c>
      <c r="I3700" t="s" s="2">
        <v>14425</v>
      </c>
      <c r="J3700" t="s" s="2">
        <v>14426</v>
      </c>
      <c r="K3700" t="s" s="2">
        <v>22</v>
      </c>
      <c r="L3700" t="s" s="2">
        <v>22</v>
      </c>
      <c r="M3700" t="s" s="2">
        <v>22</v>
      </c>
    </row>
    <row r="3701" ht="25.0" customHeight="true">
      <c r="A3701" t="s" s="2">
        <v>13</v>
      </c>
      <c r="B3701" t="s" s="2">
        <f>HYPERLINK("http://ts.21cn.com/tousu/show/id/1370132","滴滴平台坑害司机")</f>
      </c>
      <c r="C3701" t="s" s="2">
        <v>15</v>
      </c>
      <c r="D3701" t="s" s="2">
        <v>16</v>
      </c>
      <c r="E3701" t="s" s="2">
        <v>17</v>
      </c>
      <c r="F3701" t="s" s="2">
        <f>HYPERLINK("http://ts.21cn.com/tousu/show/id/1370132","http://ts.21cn.com/tousu/show/id/1370132")</f>
      </c>
      <c r="G3701" t="s" s="2">
        <v>17</v>
      </c>
      <c r="H3701" t="s" s="2">
        <v>19</v>
      </c>
      <c r="I3701" t="s" s="2">
        <v>14429</v>
      </c>
      <c r="J3701" t="s" s="2">
        <v>14430</v>
      </c>
      <c r="K3701" t="s" s="2">
        <v>22</v>
      </c>
      <c r="L3701" t="s" s="2">
        <v>22</v>
      </c>
      <c r="M3701" t="s" s="2">
        <v>22</v>
      </c>
    </row>
    <row r="3702" ht="25.0" customHeight="true">
      <c r="A3702" t="s" s="2">
        <v>13</v>
      </c>
      <c r="B3702" t="s" s="2">
        <f>HYPERLINK("http://ts.21cn.com/tousu/show/id/1370130","网贷需要验证信用卡之后被盗刷")</f>
      </c>
      <c r="C3702" t="s" s="2">
        <v>15</v>
      </c>
      <c r="D3702" t="s" s="2">
        <v>16</v>
      </c>
      <c r="E3702" t="s" s="2">
        <v>17</v>
      </c>
      <c r="F3702" t="s" s="2">
        <f>HYPERLINK("http://ts.21cn.com/tousu/show/id/1370130","http://ts.21cn.com/tousu/show/id/1370130")</f>
      </c>
      <c r="G3702" t="s" s="2">
        <v>17</v>
      </c>
      <c r="H3702" t="s" s="2">
        <v>19</v>
      </c>
      <c r="I3702" t="s" s="2">
        <v>14433</v>
      </c>
      <c r="J3702" t="s" s="2">
        <v>14434</v>
      </c>
      <c r="K3702" t="s" s="2">
        <v>22</v>
      </c>
      <c r="L3702" t="s" s="2">
        <v>22</v>
      </c>
      <c r="M3702" t="s" s="2">
        <v>22</v>
      </c>
    </row>
    <row r="3703" ht="25.0" customHeight="true">
      <c r="A3703" t="s" s="2">
        <v>13</v>
      </c>
      <c r="B3703" t="s" s="2">
        <f>HYPERLINK("http://ts.21cn.com/tousu/show/id/1370129","阴阳合同，高利贷")</f>
      </c>
      <c r="C3703" t="s" s="2">
        <v>15</v>
      </c>
      <c r="D3703" t="s" s="2">
        <v>16</v>
      </c>
      <c r="E3703" t="s" s="2">
        <v>17</v>
      </c>
      <c r="F3703" t="s" s="2">
        <f>HYPERLINK("http://ts.21cn.com/tousu/show/id/1370129","http://ts.21cn.com/tousu/show/id/1370129")</f>
      </c>
      <c r="G3703" t="s" s="2">
        <v>17</v>
      </c>
      <c r="H3703" t="s" s="2">
        <v>19</v>
      </c>
      <c r="I3703" t="s" s="2">
        <v>14437</v>
      </c>
      <c r="J3703" t="s" s="2">
        <v>14438</v>
      </c>
      <c r="K3703" t="s" s="2">
        <v>22</v>
      </c>
      <c r="L3703" t="s" s="2">
        <v>22</v>
      </c>
      <c r="M3703" t="s" s="2">
        <v>22</v>
      </c>
    </row>
    <row r="3704" ht="25.0" customHeight="true">
      <c r="A3704" t="s" s="2">
        <v>13</v>
      </c>
      <c r="B3704" t="s" s="2">
        <f>HYPERLINK("http://ts.21cn.com/tousu/show/id/1370131","富友支付，小富商城为714高炮小鱼儿提供支付通道")</f>
      </c>
      <c r="C3704" t="s" s="2">
        <v>52</v>
      </c>
      <c r="D3704" t="s" s="2">
        <v>16</v>
      </c>
      <c r="E3704" t="s" s="2">
        <v>17</v>
      </c>
      <c r="F3704" t="s" s="2">
        <f>HYPERLINK("http://ts.21cn.com/tousu/show/id/1370131","http://ts.21cn.com/tousu/show/id/1370131")</f>
      </c>
      <c r="G3704" t="s" s="2">
        <v>17</v>
      </c>
      <c r="H3704" t="s" s="2">
        <v>19</v>
      </c>
      <c r="I3704" t="s" s="2">
        <v>14441</v>
      </c>
      <c r="J3704" t="s" s="2">
        <v>14442</v>
      </c>
      <c r="K3704" t="s" s="2">
        <v>22</v>
      </c>
      <c r="L3704" t="s" s="2">
        <v>22</v>
      </c>
      <c r="M3704" t="s" s="2">
        <v>22</v>
      </c>
    </row>
    <row r="3705" ht="25.0" customHeight="true">
      <c r="A3705" t="s" s="2">
        <v>13</v>
      </c>
      <c r="B3705" t="s" s="2">
        <f>HYPERLINK("http://ts.21cn.com/tousu/show/id/1370128","乱扣钱")</f>
      </c>
      <c r="C3705" t="s" s="2">
        <v>15</v>
      </c>
      <c r="D3705" t="s" s="2">
        <v>16</v>
      </c>
      <c r="E3705" t="s" s="2">
        <v>17</v>
      </c>
      <c r="F3705" t="s" s="2">
        <f>HYPERLINK("http://ts.21cn.com/tousu/show/id/1370128","http://ts.21cn.com/tousu/show/id/1370128")</f>
      </c>
      <c r="G3705" t="s" s="2">
        <v>17</v>
      </c>
      <c r="H3705" t="s" s="2">
        <v>19</v>
      </c>
      <c r="I3705" t="s" s="2">
        <v>14445</v>
      </c>
      <c r="J3705" t="s" s="2">
        <v>14446</v>
      </c>
      <c r="K3705" t="s" s="2">
        <v>22</v>
      </c>
      <c r="L3705" t="s" s="2">
        <v>22</v>
      </c>
      <c r="M3705" t="s" s="2">
        <v>22</v>
      </c>
    </row>
    <row r="3706" ht="25.0" customHeight="true">
      <c r="A3706" t="s" s="2">
        <v>13</v>
      </c>
      <c r="B3706" t="s" s="2">
        <f>HYPERLINK("http://ts.21cn.com/tousu/show/id/1370123","上海翰银为赌博输平台收单，请求瀚银为我退款挽回经济损失")</f>
      </c>
      <c r="C3706" t="s" s="2">
        <v>15</v>
      </c>
      <c r="D3706" t="s" s="2">
        <v>16</v>
      </c>
      <c r="E3706" t="s" s="2">
        <v>17</v>
      </c>
      <c r="F3706" t="s" s="2">
        <f>HYPERLINK("http://ts.21cn.com/tousu/show/id/1370123","http://ts.21cn.com/tousu/show/id/1370123")</f>
      </c>
      <c r="G3706" t="s" s="2">
        <v>17</v>
      </c>
      <c r="H3706" t="s" s="2">
        <v>19</v>
      </c>
      <c r="I3706" t="s" s="2">
        <v>14449</v>
      </c>
      <c r="J3706" t="s" s="2">
        <v>14450</v>
      </c>
      <c r="K3706" t="s" s="2">
        <v>22</v>
      </c>
      <c r="L3706" t="s" s="2">
        <v>22</v>
      </c>
      <c r="M3706" t="s" s="2">
        <v>22</v>
      </c>
    </row>
    <row r="3707" ht="25.0" customHeight="true">
      <c r="A3707" t="s" s="2">
        <v>13</v>
      </c>
      <c r="B3707" t="s" s="2">
        <f>HYPERLINK("http://ts.21cn.com/tousu/show/id/1370125","维信金科私自泄露信息")</f>
      </c>
      <c r="C3707" t="s" s="2">
        <v>15</v>
      </c>
      <c r="D3707" t="s" s="2">
        <v>16</v>
      </c>
      <c r="E3707" t="s" s="2">
        <v>17</v>
      </c>
      <c r="F3707" t="s" s="2">
        <f>HYPERLINK("http://ts.21cn.com/tousu/show/id/1370125","http://ts.21cn.com/tousu/show/id/1370125")</f>
      </c>
      <c r="G3707" t="s" s="2">
        <v>17</v>
      </c>
      <c r="H3707" t="s" s="2">
        <v>19</v>
      </c>
      <c r="I3707" t="s" s="2">
        <v>14453</v>
      </c>
      <c r="J3707" t="s" s="2">
        <v>14454</v>
      </c>
      <c r="K3707" t="s" s="2">
        <v>22</v>
      </c>
      <c r="L3707" t="s" s="2">
        <v>22</v>
      </c>
      <c r="M3707" t="s" s="2">
        <v>22</v>
      </c>
    </row>
    <row r="3708" ht="25.0" customHeight="true">
      <c r="A3708" t="s" s="2">
        <v>13</v>
      </c>
      <c r="B3708" t="s" s="2">
        <f>HYPERLINK("http://ts.21cn.com/tousu/show/id/1370121","钱站变相高利贷借3千还5千5")</f>
      </c>
      <c r="C3708" t="s" s="2">
        <v>15</v>
      </c>
      <c r="D3708" t="s" s="2">
        <v>16</v>
      </c>
      <c r="E3708" t="s" s="2">
        <v>17</v>
      </c>
      <c r="F3708" t="s" s="2">
        <f>HYPERLINK("http://ts.21cn.com/tousu/show/id/1370121","http://ts.21cn.com/tousu/show/id/1370121")</f>
      </c>
      <c r="G3708" t="s" s="2">
        <v>17</v>
      </c>
      <c r="H3708" t="s" s="2">
        <v>19</v>
      </c>
      <c r="I3708" t="s" s="2">
        <v>14457</v>
      </c>
      <c r="J3708" t="s" s="2">
        <v>14458</v>
      </c>
      <c r="K3708" t="s" s="2">
        <v>22</v>
      </c>
      <c r="L3708" t="s" s="2">
        <v>22</v>
      </c>
      <c r="M3708" t="s" s="2">
        <v>22</v>
      </c>
    </row>
    <row r="3709" ht="25.0" customHeight="true">
      <c r="A3709" t="s" s="2">
        <v>13</v>
      </c>
      <c r="B3709" t="s" s="2">
        <f>HYPERLINK("http://ts.21cn.com/tousu/show/id/1370107","智行火车票霸王条款")</f>
      </c>
      <c r="C3709" t="s" s="2">
        <v>15</v>
      </c>
      <c r="D3709" t="s" s="2">
        <v>16</v>
      </c>
      <c r="E3709" t="s" s="2">
        <v>17</v>
      </c>
      <c r="F3709" t="s" s="2">
        <f>HYPERLINK("http://ts.21cn.com/tousu/show/id/1370107","http://ts.21cn.com/tousu/show/id/1370107")</f>
      </c>
      <c r="G3709" t="s" s="2">
        <v>17</v>
      </c>
      <c r="H3709" t="s" s="2">
        <v>19</v>
      </c>
      <c r="I3709" t="s" s="2">
        <v>14461</v>
      </c>
      <c r="J3709" t="s" s="2">
        <v>14462</v>
      </c>
      <c r="K3709" t="s" s="2">
        <v>22</v>
      </c>
      <c r="L3709" t="s" s="2">
        <v>22</v>
      </c>
      <c r="M3709" t="s" s="2">
        <v>22</v>
      </c>
    </row>
    <row r="3710" ht="25.0" customHeight="true">
      <c r="A3710" t="s" s="2">
        <v>13</v>
      </c>
      <c r="B3710" t="s" s="2">
        <f>HYPERLINK("http://ts.21cn.com/tousu/show/id/1370120","微粒贷无理取消分期")</f>
      </c>
      <c r="C3710" t="s" s="2">
        <v>15</v>
      </c>
      <c r="D3710" t="s" s="2">
        <v>16</v>
      </c>
      <c r="E3710" t="s" s="2">
        <v>17</v>
      </c>
      <c r="F3710" t="s" s="2">
        <f>HYPERLINK("http://ts.21cn.com/tousu/show/id/1370120","http://ts.21cn.com/tousu/show/id/1370120")</f>
      </c>
      <c r="G3710" t="s" s="2">
        <v>17</v>
      </c>
      <c r="H3710" t="s" s="2">
        <v>19</v>
      </c>
      <c r="I3710" t="s" s="2">
        <v>14465</v>
      </c>
      <c r="J3710" t="s" s="2">
        <v>14466</v>
      </c>
      <c r="K3710" t="s" s="2">
        <v>22</v>
      </c>
      <c r="L3710" t="s" s="2">
        <v>22</v>
      </c>
      <c r="M3710" t="s" s="2">
        <v>22</v>
      </c>
    </row>
    <row r="3711" ht="25.0" customHeight="true">
      <c r="A3711" t="s" s="2">
        <v>13</v>
      </c>
      <c r="B3711" t="s" s="2">
        <f>HYPERLINK("http://ts.21cn.com/tousu/show/id/1370118","及货私自捆绑保险费")</f>
      </c>
      <c r="C3711" t="s" s="2">
        <v>15</v>
      </c>
      <c r="D3711" t="s" s="2">
        <v>16</v>
      </c>
      <c r="E3711" t="s" s="2">
        <v>17</v>
      </c>
      <c r="F3711" t="s" s="2">
        <f>HYPERLINK("http://ts.21cn.com/tousu/show/id/1370118","http://ts.21cn.com/tousu/show/id/1370118")</f>
      </c>
      <c r="G3711" t="s" s="2">
        <v>17</v>
      </c>
      <c r="H3711" t="s" s="2">
        <v>19</v>
      </c>
      <c r="I3711" t="s" s="2">
        <v>14469</v>
      </c>
      <c r="J3711" t="s" s="2">
        <v>14470</v>
      </c>
      <c r="K3711" t="s" s="2">
        <v>22</v>
      </c>
      <c r="L3711" t="s" s="2">
        <v>22</v>
      </c>
      <c r="M3711" t="s" s="2">
        <v>22</v>
      </c>
    </row>
    <row r="3712" ht="25.0" customHeight="true">
      <c r="A3712" t="s" s="2">
        <v>13</v>
      </c>
      <c r="B3712" t="s" s="2">
        <f>HYPERLINK("http://ts.21cn.com/tousu/show/id/1370115","及贷强制扣除VIP费用，不给就不下款")</f>
      </c>
      <c r="C3712" t="s" s="2">
        <v>15</v>
      </c>
      <c r="D3712" t="s" s="2">
        <v>16</v>
      </c>
      <c r="E3712" t="s" s="2">
        <v>17</v>
      </c>
      <c r="F3712" t="s" s="2">
        <f>HYPERLINK("http://ts.21cn.com/tousu/show/id/1370115","http://ts.21cn.com/tousu/show/id/1370115")</f>
      </c>
      <c r="G3712" t="s" s="2">
        <v>17</v>
      </c>
      <c r="H3712" t="s" s="2">
        <v>19</v>
      </c>
      <c r="I3712" t="s" s="2">
        <v>14473</v>
      </c>
      <c r="J3712" t="s" s="2">
        <v>14474</v>
      </c>
      <c r="K3712" t="s" s="2">
        <v>22</v>
      </c>
      <c r="L3712" t="s" s="2">
        <v>22</v>
      </c>
      <c r="M3712" t="s" s="2">
        <v>22</v>
      </c>
    </row>
    <row r="3713" ht="25.0" customHeight="true">
      <c r="A3713" t="s" s="2">
        <v>13</v>
      </c>
      <c r="B3713" t="s" s="2">
        <f>HYPERLINK("http://ts.21cn.com/tousu/show/id/1370114","拼多多平台不公平处理售后，擅自退款，纵容不良买家，让商家承担不应该的责任")</f>
      </c>
      <c r="C3713" t="s" s="2">
        <v>15</v>
      </c>
      <c r="D3713" t="s" s="2">
        <v>16</v>
      </c>
      <c r="E3713" t="s" s="2">
        <v>17</v>
      </c>
      <c r="F3713" t="s" s="2">
        <f>HYPERLINK("http://ts.21cn.com/tousu/show/id/1370114","http://ts.21cn.com/tousu/show/id/1370114")</f>
      </c>
      <c r="G3713" t="s" s="2">
        <v>17</v>
      </c>
      <c r="H3713" t="s" s="2">
        <v>19</v>
      </c>
      <c r="I3713" t="s" s="2">
        <v>14477</v>
      </c>
      <c r="J3713" t="s" s="2">
        <v>14478</v>
      </c>
      <c r="K3713" t="s" s="2">
        <v>22</v>
      </c>
      <c r="L3713" t="s" s="2">
        <v>22</v>
      </c>
      <c r="M3713" t="s" s="2">
        <v>22</v>
      </c>
    </row>
    <row r="3714" ht="25.0" customHeight="true">
      <c r="A3714" t="s" s="2">
        <v>13</v>
      </c>
      <c r="B3714" t="s" s="2">
        <f>HYPERLINK("http://ts.21cn.com/tousu/show/id/1370111","霸王条款欺诈中小业主")</f>
      </c>
      <c r="C3714" t="s" s="2">
        <v>15</v>
      </c>
      <c r="D3714" t="s" s="2">
        <v>16</v>
      </c>
      <c r="E3714" t="s" s="2">
        <v>17</v>
      </c>
      <c r="F3714" t="s" s="2">
        <f>HYPERLINK("http://ts.21cn.com/tousu/show/id/1370111","http://ts.21cn.com/tousu/show/id/1370111")</f>
      </c>
      <c r="G3714" t="s" s="2">
        <v>17</v>
      </c>
      <c r="H3714" t="s" s="2">
        <v>19</v>
      </c>
      <c r="I3714" t="s" s="2">
        <v>14481</v>
      </c>
      <c r="J3714" t="s" s="2">
        <v>14482</v>
      </c>
      <c r="K3714" t="s" s="2">
        <v>22</v>
      </c>
      <c r="L3714" t="s" s="2">
        <v>22</v>
      </c>
      <c r="M3714" t="s" s="2">
        <v>22</v>
      </c>
    </row>
    <row r="3715" ht="25.0" customHeight="true">
      <c r="A3715" t="s" s="2">
        <v>13</v>
      </c>
      <c r="B3715" t="s" s="2">
        <f>HYPERLINK("http://ts.21cn.com/tousu/show/id/1370112","客服服务态度恶劣")</f>
      </c>
      <c r="C3715" t="s" s="2">
        <v>15</v>
      </c>
      <c r="D3715" t="s" s="2">
        <v>16</v>
      </c>
      <c r="E3715" t="s" s="2">
        <v>17</v>
      </c>
      <c r="F3715" t="s" s="2">
        <f>HYPERLINK("http://ts.21cn.com/tousu/show/id/1370112","http://ts.21cn.com/tousu/show/id/1370112")</f>
      </c>
      <c r="G3715" t="s" s="2">
        <v>17</v>
      </c>
      <c r="H3715" t="s" s="2">
        <v>19</v>
      </c>
      <c r="I3715" t="s" s="2">
        <v>14485</v>
      </c>
      <c r="J3715" t="s" s="2">
        <v>14486</v>
      </c>
      <c r="K3715" t="s" s="2">
        <v>22</v>
      </c>
      <c r="L3715" t="s" s="2">
        <v>22</v>
      </c>
      <c r="M3715" t="s" s="2">
        <v>22</v>
      </c>
    </row>
    <row r="3716" ht="25.0" customHeight="true">
      <c r="A3716" t="s" s="2">
        <v>13</v>
      </c>
      <c r="B3716" t="s" s="2">
        <f>HYPERLINK("http://ts.21cn.com/tousu/show/id/1370110","苏通卡ETC多次重复收费")</f>
      </c>
      <c r="C3716" t="s" s="2">
        <v>15</v>
      </c>
      <c r="D3716" t="s" s="2">
        <v>16</v>
      </c>
      <c r="E3716" t="s" s="2">
        <v>17</v>
      </c>
      <c r="F3716" t="s" s="2">
        <f>HYPERLINK("http://ts.21cn.com/tousu/show/id/1370110","http://ts.21cn.com/tousu/show/id/1370110")</f>
      </c>
      <c r="G3716" t="s" s="2">
        <v>17</v>
      </c>
      <c r="H3716" t="s" s="2">
        <v>19</v>
      </c>
      <c r="I3716" t="s" s="2">
        <v>14489</v>
      </c>
      <c r="J3716" t="s" s="2">
        <v>14490</v>
      </c>
      <c r="K3716" t="s" s="2">
        <v>22</v>
      </c>
      <c r="L3716" t="s" s="2">
        <v>22</v>
      </c>
      <c r="M3716" t="s" s="2">
        <v>22</v>
      </c>
    </row>
    <row r="3717" ht="25.0" customHeight="true">
      <c r="A3717" t="s" s="2">
        <v>13</v>
      </c>
      <c r="B3717" t="s" s="2">
        <f>HYPERLINK("http://ts.21cn.com/tousu/show/id/1370109","联动云")</f>
      </c>
      <c r="C3717" t="s" s="2">
        <v>52</v>
      </c>
      <c r="D3717" t="s" s="2">
        <v>16</v>
      </c>
      <c r="E3717" t="s" s="2">
        <v>17</v>
      </c>
      <c r="F3717" t="s" s="2">
        <f>HYPERLINK("http://ts.21cn.com/tousu/show/id/1370109","http://ts.21cn.com/tousu/show/id/1370109")</f>
      </c>
      <c r="G3717" t="s" s="2">
        <v>17</v>
      </c>
      <c r="H3717" t="s" s="2">
        <v>19</v>
      </c>
      <c r="I3717" t="s" s="2">
        <v>14492</v>
      </c>
      <c r="J3717" t="s" s="2">
        <v>14493</v>
      </c>
      <c r="K3717" t="s" s="2">
        <v>22</v>
      </c>
      <c r="L3717" t="s" s="2">
        <v>22</v>
      </c>
      <c r="M3717" t="s" s="2">
        <v>22</v>
      </c>
    </row>
    <row r="3718" ht="25.0" customHeight="true">
      <c r="A3718" t="s" s="2">
        <v>13</v>
      </c>
      <c r="B3718" t="s" s="2">
        <f>HYPERLINK("http://ts.21cn.com/tousu/show/id/1370108","金银钱包套路贷，砍头息")</f>
      </c>
      <c r="C3718" t="s" s="2">
        <v>15</v>
      </c>
      <c r="D3718" t="s" s="2">
        <v>16</v>
      </c>
      <c r="E3718" t="s" s="2">
        <v>17</v>
      </c>
      <c r="F3718" t="s" s="2">
        <f>HYPERLINK("http://ts.21cn.com/tousu/show/id/1370108","http://ts.21cn.com/tousu/show/id/1370108")</f>
      </c>
      <c r="G3718" t="s" s="2">
        <v>17</v>
      </c>
      <c r="H3718" t="s" s="2">
        <v>19</v>
      </c>
      <c r="I3718" t="s" s="2">
        <v>14495</v>
      </c>
      <c r="J3718" t="s" s="2">
        <v>14496</v>
      </c>
      <c r="K3718" t="s" s="2">
        <v>22</v>
      </c>
      <c r="L3718" t="s" s="2">
        <v>22</v>
      </c>
      <c r="M3718" t="s" s="2">
        <v>22</v>
      </c>
    </row>
    <row r="3719" ht="25.0" customHeight="true">
      <c r="A3719" t="s" s="2">
        <v>13</v>
      </c>
      <c r="B3719" t="s" s="2">
        <f>HYPERLINK("http://ts.21cn.com/tousu/show/id/1370106","暴力催收，态度极其恶劣，骚扰")</f>
      </c>
      <c r="C3719" t="s" s="2">
        <v>15</v>
      </c>
      <c r="D3719" t="s" s="2">
        <v>16</v>
      </c>
      <c r="E3719" t="s" s="2">
        <v>17</v>
      </c>
      <c r="F3719" t="s" s="2">
        <f>HYPERLINK("http://ts.21cn.com/tousu/show/id/1370106","http://ts.21cn.com/tousu/show/id/1370106")</f>
      </c>
      <c r="G3719" t="s" s="2">
        <v>17</v>
      </c>
      <c r="H3719" t="s" s="2">
        <v>19</v>
      </c>
      <c r="I3719" t="s" s="2">
        <v>14499</v>
      </c>
      <c r="J3719" t="s" s="2">
        <v>14500</v>
      </c>
      <c r="K3719" t="s" s="2">
        <v>22</v>
      </c>
      <c r="L3719" t="s" s="2">
        <v>22</v>
      </c>
      <c r="M3719" t="s" s="2">
        <v>22</v>
      </c>
    </row>
    <row r="3720" ht="25.0" customHeight="true">
      <c r="A3720" t="s" s="2">
        <v>13</v>
      </c>
      <c r="B3720" t="s" s="2">
        <f>HYPERLINK("http://ts.21cn.com/tousu/show/id/1370104","马上金融锁定账号，逾期一天就开始短信骚扰")</f>
      </c>
      <c r="C3720" t="s" s="2">
        <v>15</v>
      </c>
      <c r="D3720" t="s" s="2">
        <v>16</v>
      </c>
      <c r="E3720" t="s" s="2">
        <v>17</v>
      </c>
      <c r="F3720" t="s" s="2">
        <f>HYPERLINK("http://ts.21cn.com/tousu/show/id/1370104","http://ts.21cn.com/tousu/show/id/1370104")</f>
      </c>
      <c r="G3720" t="s" s="2">
        <v>17</v>
      </c>
      <c r="H3720" t="s" s="2">
        <v>19</v>
      </c>
      <c r="I3720" t="s" s="2">
        <v>14503</v>
      </c>
      <c r="J3720" t="s" s="2">
        <v>14504</v>
      </c>
      <c r="K3720" t="s" s="2">
        <v>22</v>
      </c>
      <c r="L3720" t="s" s="2">
        <v>22</v>
      </c>
      <c r="M3720" t="s" s="2">
        <v>22</v>
      </c>
    </row>
    <row r="3721" ht="25.0" customHeight="true">
      <c r="A3721" t="s" s="2">
        <v>13</v>
      </c>
      <c r="B3721" t="s" s="2">
        <f>HYPERLINK("http://ts.21cn.com/tousu/show/id/1370103","亚博网络赌博平台还一直百度搜索做推广")</f>
      </c>
      <c r="C3721" t="s" s="2">
        <v>15</v>
      </c>
      <c r="D3721" t="s" s="2">
        <v>16</v>
      </c>
      <c r="E3721" t="s" s="2">
        <v>17</v>
      </c>
      <c r="F3721" t="s" s="2">
        <f>HYPERLINK("http://ts.21cn.com/tousu/show/id/1370103","http://ts.21cn.com/tousu/show/id/1370103")</f>
      </c>
      <c r="G3721" t="s" s="2">
        <v>17</v>
      </c>
      <c r="H3721" t="s" s="2">
        <v>19</v>
      </c>
      <c r="I3721" t="s" s="2">
        <v>14507</v>
      </c>
      <c r="J3721" t="s" s="2">
        <v>14508</v>
      </c>
      <c r="K3721" t="s" s="2">
        <v>22</v>
      </c>
      <c r="L3721" t="s" s="2">
        <v>22</v>
      </c>
      <c r="M3721" t="s" s="2">
        <v>22</v>
      </c>
    </row>
    <row r="3722" ht="25.0" customHeight="true">
      <c r="A3722" t="s" s="2">
        <v>13</v>
      </c>
      <c r="B3722" t="s" s="2">
        <f>HYPERLINK("http://ts.21cn.com/tousu/show/id/1370100","马上金融阴阳协议，直接扣款")</f>
      </c>
      <c r="C3722" t="s" s="2">
        <v>15</v>
      </c>
      <c r="D3722" t="s" s="2">
        <v>16</v>
      </c>
      <c r="E3722" t="s" s="2">
        <v>17</v>
      </c>
      <c r="F3722" t="s" s="2">
        <f>HYPERLINK("http://ts.21cn.com/tousu/show/id/1370100","http://ts.21cn.com/tousu/show/id/1370100")</f>
      </c>
      <c r="G3722" t="s" s="2">
        <v>17</v>
      </c>
      <c r="H3722" t="s" s="2">
        <v>19</v>
      </c>
      <c r="I3722" t="s" s="2">
        <v>14511</v>
      </c>
      <c r="J3722" t="s" s="2">
        <v>14512</v>
      </c>
      <c r="K3722" t="s" s="2">
        <v>22</v>
      </c>
      <c r="L3722" t="s" s="2">
        <v>22</v>
      </c>
      <c r="M3722" t="s" s="2">
        <v>22</v>
      </c>
    </row>
    <row r="3723" ht="25.0" customHeight="true">
      <c r="A3723" t="s" s="2">
        <v>13</v>
      </c>
      <c r="B3723" t="s" s="2">
        <f>HYPERLINK("http://ts.21cn.com/tousu/show/id/1370099","银盛通pos机业务员在我不知情况下扣我300押金而且拒绝退费已发布")</f>
      </c>
      <c r="C3723" t="s" s="2">
        <v>15</v>
      </c>
      <c r="D3723" t="s" s="2">
        <v>16</v>
      </c>
      <c r="E3723" t="s" s="2">
        <v>17</v>
      </c>
      <c r="F3723" t="s" s="2">
        <f>HYPERLINK("http://ts.21cn.com/tousu/show/id/1370099","http://ts.21cn.com/tousu/show/id/1370099")</f>
      </c>
      <c r="G3723" t="s" s="2">
        <v>17</v>
      </c>
      <c r="H3723" t="s" s="2">
        <v>19</v>
      </c>
      <c r="I3723" t="s" s="2">
        <v>14515</v>
      </c>
      <c r="J3723" t="s" s="2">
        <v>14516</v>
      </c>
      <c r="K3723" t="s" s="2">
        <v>22</v>
      </c>
      <c r="L3723" t="s" s="2">
        <v>22</v>
      </c>
      <c r="M3723" t="s" s="2">
        <v>22</v>
      </c>
    </row>
    <row r="3724" ht="25.0" customHeight="true">
      <c r="A3724" t="s" s="2">
        <v>13</v>
      </c>
      <c r="B3724" t="s" s="2">
        <f>HYPERLINK("http://ts.21cn.com/tousu/show/id/1370097","江湖救急违规擅自收取所谓征信费，已经违反金融管理条例")</f>
      </c>
      <c r="C3724" t="s" s="2">
        <v>15</v>
      </c>
      <c r="D3724" t="s" s="2">
        <v>16</v>
      </c>
      <c r="E3724" t="s" s="2">
        <v>17</v>
      </c>
      <c r="F3724" t="s" s="2">
        <f>HYPERLINK("http://ts.21cn.com/tousu/show/id/1370097","http://ts.21cn.com/tousu/show/id/1370097")</f>
      </c>
      <c r="G3724" t="s" s="2">
        <v>17</v>
      </c>
      <c r="H3724" t="s" s="2">
        <v>19</v>
      </c>
      <c r="I3724" t="s" s="2">
        <v>14519</v>
      </c>
      <c r="J3724" t="s" s="2">
        <v>14520</v>
      </c>
      <c r="K3724" t="s" s="2">
        <v>22</v>
      </c>
      <c r="L3724" t="s" s="2">
        <v>22</v>
      </c>
      <c r="M3724" t="s" s="2">
        <v>22</v>
      </c>
    </row>
    <row r="3725" ht="25.0" customHeight="true">
      <c r="A3725" t="s" s="2">
        <v>13</v>
      </c>
      <c r="B3725" t="s" s="2">
        <f>HYPERLINK("http://ts.21cn.com/tousu/show/id/1370095","升学教育")</f>
      </c>
      <c r="C3725" t="s" s="2">
        <v>15</v>
      </c>
      <c r="D3725" t="s" s="2">
        <v>16</v>
      </c>
      <c r="E3725" t="s" s="2">
        <v>17</v>
      </c>
      <c r="F3725" t="s" s="2">
        <f>HYPERLINK("http://ts.21cn.com/tousu/show/id/1370095","http://ts.21cn.com/tousu/show/id/1370095")</f>
      </c>
      <c r="G3725" t="s" s="2">
        <v>17</v>
      </c>
      <c r="H3725" t="s" s="2">
        <v>19</v>
      </c>
      <c r="I3725" t="s" s="2">
        <v>14523</v>
      </c>
      <c r="J3725" t="s" s="2">
        <v>14524</v>
      </c>
      <c r="K3725" t="s" s="2">
        <v>22</v>
      </c>
      <c r="L3725" t="s" s="2">
        <v>22</v>
      </c>
      <c r="M3725" t="s" s="2">
        <v>22</v>
      </c>
    </row>
    <row r="3726" ht="25.0" customHeight="true">
      <c r="A3726" t="s" s="2">
        <v>13</v>
      </c>
      <c r="B3726" t="s" s="2">
        <f>HYPERLINK("http://ts.21cn.com/tousu/show/id/1370098","花转转樱桃小贷逾期太高")</f>
      </c>
      <c r="C3726" t="s" s="2">
        <v>15</v>
      </c>
      <c r="D3726" t="s" s="2">
        <v>16</v>
      </c>
      <c r="E3726" t="s" s="2">
        <v>17</v>
      </c>
      <c r="F3726" t="s" s="2">
        <f>HYPERLINK("http://ts.21cn.com/tousu/show/id/1370098","http://ts.21cn.com/tousu/show/id/1370098")</f>
      </c>
      <c r="G3726" t="s" s="2">
        <v>17</v>
      </c>
      <c r="H3726" t="s" s="2">
        <v>19</v>
      </c>
      <c r="I3726" t="s" s="2">
        <v>14527</v>
      </c>
      <c r="J3726" t="s" s="2">
        <v>14528</v>
      </c>
      <c r="K3726" t="s" s="2">
        <v>22</v>
      </c>
      <c r="L3726" t="s" s="2">
        <v>22</v>
      </c>
      <c r="M3726" t="s" s="2">
        <v>22</v>
      </c>
    </row>
    <row r="3727" ht="25.0" customHeight="true">
      <c r="A3727" t="s" s="2">
        <v>13</v>
      </c>
      <c r="B3727" t="s" s="2">
        <f>HYPERLINK("http://ts.21cn.com/tousu/show/id/1370096","跑路，不给提现，一直延迟")</f>
      </c>
      <c r="C3727" t="s" s="2">
        <v>15</v>
      </c>
      <c r="D3727" t="s" s="2">
        <v>16</v>
      </c>
      <c r="E3727" t="s" s="2">
        <v>17</v>
      </c>
      <c r="F3727" t="s" s="2">
        <f>HYPERLINK("http://ts.21cn.com/tousu/show/id/1370096","http://ts.21cn.com/tousu/show/id/1370096")</f>
      </c>
      <c r="G3727" t="s" s="2">
        <v>17</v>
      </c>
      <c r="H3727" t="s" s="2">
        <v>19</v>
      </c>
      <c r="I3727" t="s" s="2">
        <v>14531</v>
      </c>
      <c r="J3727" t="s" s="2">
        <v>14532</v>
      </c>
      <c r="K3727" t="s" s="2">
        <v>22</v>
      </c>
      <c r="L3727" t="s" s="2">
        <v>22</v>
      </c>
      <c r="M3727" t="s" s="2">
        <v>22</v>
      </c>
    </row>
    <row r="3728" ht="25.0" customHeight="true">
      <c r="A3728" t="s" s="2">
        <v>13</v>
      </c>
      <c r="B3728" t="s" s="2">
        <f>HYPERLINK("http://ts.21cn.com/tousu/show/id/1370048","聚富分期未通过本人私自在银行卡里扣款")</f>
      </c>
      <c r="C3728" t="s" s="2">
        <v>15</v>
      </c>
      <c r="D3728" t="s" s="2">
        <v>16</v>
      </c>
      <c r="E3728" t="s" s="2">
        <v>17</v>
      </c>
      <c r="F3728" t="s" s="2">
        <f>HYPERLINK("http://ts.21cn.com/tousu/show/id/1370048","http://ts.21cn.com/tousu/show/id/1370048")</f>
      </c>
      <c r="G3728" t="s" s="2">
        <v>17</v>
      </c>
      <c r="H3728" t="s" s="2">
        <v>19</v>
      </c>
      <c r="I3728" t="s" s="2">
        <v>14535</v>
      </c>
      <c r="J3728" t="s" s="2">
        <v>14536</v>
      </c>
      <c r="K3728" t="s" s="2">
        <v>22</v>
      </c>
      <c r="L3728" t="s" s="2">
        <v>22</v>
      </c>
      <c r="M3728" t="s" s="2">
        <v>22</v>
      </c>
    </row>
    <row r="3729" ht="25.0" customHeight="true">
      <c r="A3729" t="s" s="2">
        <v>13</v>
      </c>
      <c r="B3729" t="s" s="2">
        <f>HYPERLINK("http://ts.21cn.com/tousu/show/id/1370094","及货乱收金融服务费")</f>
      </c>
      <c r="C3729" t="s" s="2">
        <v>15</v>
      </c>
      <c r="D3729" t="s" s="2">
        <v>16</v>
      </c>
      <c r="E3729" t="s" s="2">
        <v>17</v>
      </c>
      <c r="F3729" t="s" s="2">
        <f>HYPERLINK("http://ts.21cn.com/tousu/show/id/1370094","http://ts.21cn.com/tousu/show/id/1370094")</f>
      </c>
      <c r="G3729" t="s" s="2">
        <v>17</v>
      </c>
      <c r="H3729" t="s" s="2">
        <v>19</v>
      </c>
      <c r="I3729" t="s" s="2">
        <v>14539</v>
      </c>
      <c r="J3729" t="s" s="2">
        <v>14540</v>
      </c>
      <c r="K3729" t="s" s="2">
        <v>22</v>
      </c>
      <c r="L3729" t="s" s="2">
        <v>22</v>
      </c>
      <c r="M3729" t="s" s="2">
        <v>22</v>
      </c>
    </row>
    <row r="3730" ht="25.0" customHeight="true">
      <c r="A3730" t="s" s="2">
        <v>13</v>
      </c>
      <c r="B3730" t="s" s="2">
        <f>HYPERLINK("http://ts.21cn.com/tousu/show/id/1370092","及贷平台综合年利率高达36％")</f>
      </c>
      <c r="C3730" t="s" s="2">
        <v>15</v>
      </c>
      <c r="D3730" t="s" s="2">
        <v>16</v>
      </c>
      <c r="E3730" t="s" s="2">
        <v>17</v>
      </c>
      <c r="F3730" t="s" s="2">
        <f>HYPERLINK("http://ts.21cn.com/tousu/show/id/1370092","http://ts.21cn.com/tousu/show/id/1370092")</f>
      </c>
      <c r="G3730" t="s" s="2">
        <v>17</v>
      </c>
      <c r="H3730" t="s" s="2">
        <v>19</v>
      </c>
      <c r="I3730" t="s" s="2">
        <v>14543</v>
      </c>
      <c r="J3730" t="s" s="2">
        <v>14544</v>
      </c>
      <c r="K3730" t="s" s="2">
        <v>22</v>
      </c>
      <c r="L3730" t="s" s="2">
        <v>22</v>
      </c>
      <c r="M3730" t="s" s="2">
        <v>22</v>
      </c>
    </row>
    <row r="3731" ht="25.0" customHeight="true">
      <c r="A3731" t="s" s="2">
        <v>13</v>
      </c>
      <c r="B3731" t="s" s="2">
        <f>HYPERLINK("http://ts.21cn.com/tousu/show/id/1370091","蓝店公司提现不到账，大面积商户提现不到账")</f>
      </c>
      <c r="C3731" t="s" s="2">
        <v>52</v>
      </c>
      <c r="D3731" t="s" s="2">
        <v>16</v>
      </c>
      <c r="E3731" t="s" s="2">
        <v>17</v>
      </c>
      <c r="F3731" t="s" s="2">
        <f>HYPERLINK("http://ts.21cn.com/tousu/show/id/1370091","http://ts.21cn.com/tousu/show/id/1370091")</f>
      </c>
      <c r="G3731" t="s" s="2">
        <v>17</v>
      </c>
      <c r="H3731" t="s" s="2">
        <v>19</v>
      </c>
      <c r="I3731" t="s" s="2">
        <v>14547</v>
      </c>
      <c r="J3731" t="s" s="2">
        <v>14548</v>
      </c>
      <c r="K3731" t="s" s="2">
        <v>22</v>
      </c>
      <c r="L3731" t="s" s="2">
        <v>22</v>
      </c>
      <c r="M3731" t="s" s="2">
        <v>22</v>
      </c>
    </row>
    <row r="3732" ht="25.0" customHeight="true">
      <c r="A3732" t="s" s="2">
        <v>13</v>
      </c>
      <c r="B3732" t="s" s="2">
        <f>HYPERLINK("http://ts.21cn.com/tousu/show/id/1370089","网贷催收和还款问题")</f>
      </c>
      <c r="C3732" t="s" s="2">
        <v>15</v>
      </c>
      <c r="D3732" t="s" s="2">
        <v>16</v>
      </c>
      <c r="E3732" t="s" s="2">
        <v>17</v>
      </c>
      <c r="F3732" t="s" s="2">
        <f>HYPERLINK("http://ts.21cn.com/tousu/show/id/1370089","http://ts.21cn.com/tousu/show/id/1370089")</f>
      </c>
      <c r="G3732" t="s" s="2">
        <v>17</v>
      </c>
      <c r="H3732" t="s" s="2">
        <v>19</v>
      </c>
      <c r="I3732" t="s" s="2">
        <v>14551</v>
      </c>
      <c r="J3732" t="s" s="2">
        <v>14552</v>
      </c>
      <c r="K3732" t="s" s="2">
        <v>22</v>
      </c>
      <c r="L3732" t="s" s="2">
        <v>22</v>
      </c>
      <c r="M3732" t="s" s="2">
        <v>22</v>
      </c>
    </row>
    <row r="3733" ht="25.0" customHeight="true">
      <c r="A3733" t="s" s="2">
        <v>13</v>
      </c>
      <c r="B3733" t="s" s="2">
        <f>HYPERLINK("http://ts.21cn.com/tousu/show/id/1370088","恐吓暴力透露私人信息")</f>
      </c>
      <c r="C3733" t="s" s="2">
        <v>15</v>
      </c>
      <c r="D3733" t="s" s="2">
        <v>16</v>
      </c>
      <c r="E3733" t="s" s="2">
        <v>17</v>
      </c>
      <c r="F3733" t="s" s="2">
        <f>HYPERLINK("http://ts.21cn.com/tousu/show/id/1370088","http://ts.21cn.com/tousu/show/id/1370088")</f>
      </c>
      <c r="G3733" t="s" s="2">
        <v>17</v>
      </c>
      <c r="H3733" t="s" s="2">
        <v>19</v>
      </c>
      <c r="I3733" t="s" s="2">
        <v>14555</v>
      </c>
      <c r="J3733" t="s" s="2">
        <v>14556</v>
      </c>
      <c r="K3733" t="s" s="2">
        <v>22</v>
      </c>
      <c r="L3733" t="s" s="2">
        <v>22</v>
      </c>
      <c r="M3733" t="s" s="2">
        <v>22</v>
      </c>
    </row>
    <row r="3734" ht="25.0" customHeight="true">
      <c r="A3734" t="s" s="2">
        <v>13</v>
      </c>
      <c r="B3734" t="s" s="2">
        <f>HYPERLINK("http://ts.21cn.com/tousu/show/id/1370087","浪花花，714高炮+高利贷+砍头息")</f>
      </c>
      <c r="C3734" t="s" s="2">
        <v>15</v>
      </c>
      <c r="D3734" t="s" s="2">
        <v>16</v>
      </c>
      <c r="E3734" t="s" s="2">
        <v>17</v>
      </c>
      <c r="F3734" t="s" s="2">
        <f>HYPERLINK("http://ts.21cn.com/tousu/show/id/1370087","http://ts.21cn.com/tousu/show/id/1370087")</f>
      </c>
      <c r="G3734" t="s" s="2">
        <v>17</v>
      </c>
      <c r="H3734" t="s" s="2">
        <v>19</v>
      </c>
      <c r="I3734" t="s" s="2">
        <v>14559</v>
      </c>
      <c r="J3734" t="s" s="2">
        <v>14560</v>
      </c>
      <c r="K3734" t="s" s="2">
        <v>22</v>
      </c>
      <c r="L3734" t="s" s="2">
        <v>22</v>
      </c>
      <c r="M3734" t="s" s="2">
        <v>22</v>
      </c>
    </row>
    <row r="3735" ht="25.0" customHeight="true">
      <c r="A3735" t="s" s="2">
        <v>13</v>
      </c>
      <c r="B3735" t="s" s="2">
        <f>HYPERLINK("http://ts.21cn.com/tousu/show/id/1370086","恐吓威胁年迈父母，让其帮忙还款")</f>
      </c>
      <c r="C3735" t="s" s="2">
        <v>15</v>
      </c>
      <c r="D3735" t="s" s="2">
        <v>16</v>
      </c>
      <c r="E3735" t="s" s="2">
        <v>17</v>
      </c>
      <c r="F3735" t="s" s="2">
        <f>HYPERLINK("http://ts.21cn.com/tousu/show/id/1370086","http://ts.21cn.com/tousu/show/id/1370086")</f>
      </c>
      <c r="G3735" t="s" s="2">
        <v>17</v>
      </c>
      <c r="H3735" t="s" s="2">
        <v>19</v>
      </c>
      <c r="I3735" t="s" s="2">
        <v>14563</v>
      </c>
      <c r="J3735" t="s" s="2">
        <v>14564</v>
      </c>
      <c r="K3735" t="s" s="2">
        <v>22</v>
      </c>
      <c r="L3735" t="s" s="2">
        <v>22</v>
      </c>
      <c r="M3735" t="s" s="2">
        <v>22</v>
      </c>
    </row>
    <row r="3736" ht="25.0" customHeight="true">
      <c r="A3736" t="s" s="2">
        <v>13</v>
      </c>
      <c r="B3736" t="s" s="2">
        <f>HYPERLINK("http://ts.21cn.com/tousu/show/id/1370083","招联金融经常打电话工作单位，打给老板，让名誉扫地")</f>
      </c>
      <c r="C3736" t="s" s="2">
        <v>15</v>
      </c>
      <c r="D3736" t="s" s="2">
        <v>16</v>
      </c>
      <c r="E3736" t="s" s="2">
        <v>17</v>
      </c>
      <c r="F3736" t="s" s="2">
        <f>HYPERLINK("http://ts.21cn.com/tousu/show/id/1370083","http://ts.21cn.com/tousu/show/id/1370083")</f>
      </c>
      <c r="G3736" t="s" s="2">
        <v>17</v>
      </c>
      <c r="H3736" t="s" s="2">
        <v>19</v>
      </c>
      <c r="I3736" t="s" s="2">
        <v>14567</v>
      </c>
      <c r="J3736" t="s" s="2">
        <v>14568</v>
      </c>
      <c r="K3736" t="s" s="2">
        <v>22</v>
      </c>
      <c r="L3736" t="s" s="2">
        <v>22</v>
      </c>
      <c r="M3736" t="s" s="2">
        <v>22</v>
      </c>
    </row>
    <row r="3737" ht="25.0" customHeight="true">
      <c r="A3737" t="s" s="2">
        <v>13</v>
      </c>
      <c r="B3737" t="s" s="2">
        <f>HYPERLINK("http://ts.21cn.com/tousu/show/id/1370085","违约，超过承诺时间放款")</f>
      </c>
      <c r="C3737" t="s" s="2">
        <v>15</v>
      </c>
      <c r="D3737" t="s" s="2">
        <v>16</v>
      </c>
      <c r="E3737" t="s" s="2">
        <v>17</v>
      </c>
      <c r="F3737" t="s" s="2">
        <f>HYPERLINK("http://ts.21cn.com/tousu/show/id/1370085","http://ts.21cn.com/tousu/show/id/1370085")</f>
      </c>
      <c r="G3737" t="s" s="2">
        <v>17</v>
      </c>
      <c r="H3737" t="s" s="2">
        <v>19</v>
      </c>
      <c r="I3737" t="s" s="2">
        <v>14571</v>
      </c>
      <c r="J3737" t="s" s="2">
        <v>14572</v>
      </c>
      <c r="K3737" t="s" s="2">
        <v>22</v>
      </c>
      <c r="L3737" t="s" s="2">
        <v>22</v>
      </c>
      <c r="M3737" t="s" s="2">
        <v>22</v>
      </c>
    </row>
    <row r="3738" ht="25.0" customHeight="true">
      <c r="A3738" t="s" s="2">
        <v>13</v>
      </c>
      <c r="B3738" t="s" s="2">
        <f>HYPERLINK("http://ts.21cn.com/tousu/show/id/1370080","还我孩子学费钱")</f>
      </c>
      <c r="C3738" t="s" s="2">
        <v>15</v>
      </c>
      <c r="D3738" t="s" s="2">
        <v>16</v>
      </c>
      <c r="E3738" t="s" s="2">
        <v>17</v>
      </c>
      <c r="F3738" t="s" s="2">
        <f>HYPERLINK("http://ts.21cn.com/tousu/show/id/1370080","http://ts.21cn.com/tousu/show/id/1370080")</f>
      </c>
      <c r="G3738" t="s" s="2">
        <v>17</v>
      </c>
      <c r="H3738" t="s" s="2">
        <v>19</v>
      </c>
      <c r="I3738" t="s" s="2">
        <v>14575</v>
      </c>
      <c r="J3738" t="s" s="2">
        <v>14576</v>
      </c>
      <c r="K3738" t="s" s="2">
        <v>22</v>
      </c>
      <c r="L3738" t="s" s="2">
        <v>22</v>
      </c>
      <c r="M3738" t="s" s="2">
        <v>22</v>
      </c>
    </row>
    <row r="3739" ht="25.0" customHeight="true">
      <c r="A3739" t="s" s="2">
        <v>13</v>
      </c>
      <c r="B3739" t="s" s="2">
        <f>HYPERLINK("http://ts.21cn.com/tousu/show/id/1370079","遵义湘江投资公司卖房不按时交房")</f>
      </c>
      <c r="C3739" t="s" s="2">
        <v>15</v>
      </c>
      <c r="D3739" t="s" s="2">
        <v>16</v>
      </c>
      <c r="E3739" t="s" s="2">
        <v>17</v>
      </c>
      <c r="F3739" t="s" s="2">
        <f>HYPERLINK("http://ts.21cn.com/tousu/show/id/1370079","http://ts.21cn.com/tousu/show/id/1370079")</f>
      </c>
      <c r="G3739" t="s" s="2">
        <v>17</v>
      </c>
      <c r="H3739" t="s" s="2">
        <v>19</v>
      </c>
      <c r="I3739" t="s" s="2">
        <v>14579</v>
      </c>
      <c r="J3739" t="s" s="2">
        <v>14580</v>
      </c>
      <c r="K3739" t="s" s="2">
        <v>22</v>
      </c>
      <c r="L3739" t="s" s="2">
        <v>22</v>
      </c>
      <c r="M3739" t="s" s="2">
        <v>22</v>
      </c>
    </row>
    <row r="3740" ht="25.0" customHeight="true">
      <c r="A3740" t="s" s="2">
        <v>13</v>
      </c>
      <c r="B3740" t="s" s="2">
        <f>HYPERLINK("http://ts.21cn.com/tousu/show/id/1370081","好易借套路贷暴力催收")</f>
      </c>
      <c r="C3740" t="s" s="2">
        <v>15</v>
      </c>
      <c r="D3740" t="s" s="2">
        <v>16</v>
      </c>
      <c r="E3740" t="s" s="2">
        <v>17</v>
      </c>
      <c r="F3740" t="s" s="2">
        <f>HYPERLINK("http://ts.21cn.com/tousu/show/id/1370081","http://ts.21cn.com/tousu/show/id/1370081")</f>
      </c>
      <c r="G3740" t="s" s="2">
        <v>17</v>
      </c>
      <c r="H3740" t="s" s="2">
        <v>19</v>
      </c>
      <c r="I3740" t="s" s="2">
        <v>14583</v>
      </c>
      <c r="J3740" t="s" s="2">
        <v>14584</v>
      </c>
      <c r="K3740" t="s" s="2">
        <v>22</v>
      </c>
      <c r="L3740" t="s" s="2">
        <v>22</v>
      </c>
      <c r="M3740" t="s" s="2">
        <v>22</v>
      </c>
    </row>
    <row r="3741" ht="25.0" customHeight="true">
      <c r="A3741" t="s" s="2">
        <v>13</v>
      </c>
      <c r="B3741" t="s" s="2">
        <f>HYPERLINK("http://ts.21cn.com/tousu/show/id/1370078","放款一个月不到账取消不了")</f>
      </c>
      <c r="C3741" t="s" s="2">
        <v>15</v>
      </c>
      <c r="D3741" t="s" s="2">
        <v>16</v>
      </c>
      <c r="E3741" t="s" s="2">
        <v>17</v>
      </c>
      <c r="F3741" t="s" s="2">
        <f>HYPERLINK("http://ts.21cn.com/tousu/show/id/1370078","http://ts.21cn.com/tousu/show/id/1370078")</f>
      </c>
      <c r="G3741" t="s" s="2">
        <v>17</v>
      </c>
      <c r="H3741" t="s" s="2">
        <v>19</v>
      </c>
      <c r="I3741" t="s" s="2">
        <v>14587</v>
      </c>
      <c r="J3741" t="s" s="2">
        <v>14588</v>
      </c>
      <c r="K3741" t="s" s="2">
        <v>22</v>
      </c>
      <c r="L3741" t="s" s="2">
        <v>22</v>
      </c>
      <c r="M3741" t="s" s="2">
        <v>22</v>
      </c>
    </row>
    <row r="3742" ht="25.0" customHeight="true">
      <c r="A3742" t="s" s="2">
        <v>13</v>
      </c>
      <c r="B3742" t="s" s="2">
        <f>HYPERLINK("http://ts.21cn.com/tousu/show/id/1370077","维信金融旗下安家趣花app引导充值会员之后审核失败")</f>
      </c>
      <c r="C3742" t="s" s="2">
        <v>15</v>
      </c>
      <c r="D3742" t="s" s="2">
        <v>16</v>
      </c>
      <c r="E3742" t="s" s="2">
        <v>17</v>
      </c>
      <c r="F3742" t="s" s="2">
        <f>HYPERLINK("http://ts.21cn.com/tousu/show/id/1370077","http://ts.21cn.com/tousu/show/id/1370077")</f>
      </c>
      <c r="G3742" t="s" s="2">
        <v>17</v>
      </c>
      <c r="H3742" t="s" s="2">
        <v>19</v>
      </c>
      <c r="I3742" t="s" s="2">
        <v>14591</v>
      </c>
      <c r="J3742" t="s" s="2">
        <v>14592</v>
      </c>
      <c r="K3742" t="s" s="2">
        <v>22</v>
      </c>
      <c r="L3742" t="s" s="2">
        <v>22</v>
      </c>
      <c r="M3742" t="s" s="2">
        <v>22</v>
      </c>
    </row>
    <row r="3743" ht="25.0" customHeight="true">
      <c r="A3743" t="s" s="2">
        <v>13</v>
      </c>
      <c r="B3743" t="s" s="2">
        <f>HYPERLINK("http://ts.21cn.com/tousu/show/id/1370076","拇指下款恶意扣费")</f>
      </c>
      <c r="C3743" t="s" s="2">
        <v>15</v>
      </c>
      <c r="D3743" t="s" s="2">
        <v>16</v>
      </c>
      <c r="E3743" t="s" s="2">
        <v>17</v>
      </c>
      <c r="F3743" t="s" s="2">
        <f>HYPERLINK("http://ts.21cn.com/tousu/show/id/1370076","http://ts.21cn.com/tousu/show/id/1370076")</f>
      </c>
      <c r="G3743" t="s" s="2">
        <v>17</v>
      </c>
      <c r="H3743" t="s" s="2">
        <v>19</v>
      </c>
      <c r="I3743" t="s" s="2">
        <v>14594</v>
      </c>
      <c r="J3743" t="s" s="2">
        <v>14595</v>
      </c>
      <c r="K3743" t="s" s="2">
        <v>22</v>
      </c>
      <c r="L3743" t="s" s="2">
        <v>22</v>
      </c>
      <c r="M3743" t="s" s="2">
        <v>22</v>
      </c>
    </row>
    <row r="3744" ht="25.0" customHeight="true">
      <c r="A3744" t="s" s="2">
        <v>13</v>
      </c>
      <c r="B3744" t="s" s="2">
        <f>HYPERLINK("http://ts.21cn.com/tousu/show/id/1370074","建设银行信用卡无故冻结卡片")</f>
      </c>
      <c r="C3744" t="s" s="2">
        <v>52</v>
      </c>
      <c r="D3744" t="s" s="2">
        <v>16</v>
      </c>
      <c r="E3744" t="s" s="2">
        <v>17</v>
      </c>
      <c r="F3744" t="s" s="2">
        <f>HYPERLINK("http://ts.21cn.com/tousu/show/id/1370074","http://ts.21cn.com/tousu/show/id/1370074")</f>
      </c>
      <c r="G3744" t="s" s="2">
        <v>17</v>
      </c>
      <c r="H3744" t="s" s="2">
        <v>19</v>
      </c>
      <c r="I3744" t="s" s="2">
        <v>14598</v>
      </c>
      <c r="J3744" t="s" s="2">
        <v>14599</v>
      </c>
      <c r="K3744" t="s" s="2">
        <v>22</v>
      </c>
      <c r="L3744" t="s" s="2">
        <v>22</v>
      </c>
      <c r="M3744" t="s" s="2">
        <v>22</v>
      </c>
    </row>
    <row r="3745" ht="25.0" customHeight="true">
      <c r="A3745" t="s" s="2">
        <v>13</v>
      </c>
      <c r="B3745" t="s" s="2">
        <f>HYPERLINK("http://ts.21cn.com/tousu/show/id/1370075","维信金科放款给学生")</f>
      </c>
      <c r="C3745" t="s" s="2">
        <v>15</v>
      </c>
      <c r="D3745" t="s" s="2">
        <v>16</v>
      </c>
      <c r="E3745" t="s" s="2">
        <v>17</v>
      </c>
      <c r="F3745" t="s" s="2">
        <f>HYPERLINK("http://ts.21cn.com/tousu/show/id/1370075","http://ts.21cn.com/tousu/show/id/1370075")</f>
      </c>
      <c r="G3745" t="s" s="2">
        <v>17</v>
      </c>
      <c r="H3745" t="s" s="2">
        <v>19</v>
      </c>
      <c r="I3745" t="s" s="2">
        <v>14602</v>
      </c>
      <c r="J3745" t="s" s="2">
        <v>14603</v>
      </c>
      <c r="K3745" t="s" s="2">
        <v>22</v>
      </c>
      <c r="L3745" t="s" s="2">
        <v>22</v>
      </c>
      <c r="M3745" t="s" s="2">
        <v>22</v>
      </c>
    </row>
    <row r="3746" ht="25.0" customHeight="true">
      <c r="A3746" t="s" s="2">
        <v>13</v>
      </c>
      <c r="B3746" t="s" s="2">
        <f>HYPERLINK("http://ts.21cn.com/tousu/show/id/1370065","哆咪黑卡充会员后就是一中介不下款")</f>
      </c>
      <c r="C3746" t="s" s="2">
        <v>52</v>
      </c>
      <c r="D3746" t="s" s="2">
        <v>16</v>
      </c>
      <c r="E3746" t="s" s="2">
        <v>17</v>
      </c>
      <c r="F3746" t="s" s="2">
        <f>HYPERLINK("http://ts.21cn.com/tousu/show/id/1370065","http://ts.21cn.com/tousu/show/id/1370065")</f>
      </c>
      <c r="G3746" t="s" s="2">
        <v>17</v>
      </c>
      <c r="H3746" t="s" s="2">
        <v>19</v>
      </c>
      <c r="I3746" t="s" s="2">
        <v>14606</v>
      </c>
      <c r="J3746" t="s" s="2">
        <v>14607</v>
      </c>
      <c r="K3746" t="s" s="2">
        <v>22</v>
      </c>
      <c r="L3746" t="s" s="2">
        <v>22</v>
      </c>
      <c r="M3746" t="s" s="2">
        <v>22</v>
      </c>
    </row>
    <row r="3747" ht="25.0" customHeight="true">
      <c r="A3747" t="s" s="2">
        <v>13</v>
      </c>
      <c r="B3747" t="s" s="2">
        <f>HYPERLINK("http://ts.21cn.com/tousu/show/id/1370072","招联金融假合同")</f>
      </c>
      <c r="C3747" t="s" s="2">
        <v>15</v>
      </c>
      <c r="D3747" t="s" s="2">
        <v>16</v>
      </c>
      <c r="E3747" t="s" s="2">
        <v>17</v>
      </c>
      <c r="F3747" t="s" s="2">
        <f>HYPERLINK("http://ts.21cn.com/tousu/show/id/1370072","http://ts.21cn.com/tousu/show/id/1370072")</f>
      </c>
      <c r="G3747" t="s" s="2">
        <v>17</v>
      </c>
      <c r="H3747" t="s" s="2">
        <v>19</v>
      </c>
      <c r="I3747" t="s" s="2">
        <v>14610</v>
      </c>
      <c r="J3747" t="s" s="2">
        <v>14611</v>
      </c>
      <c r="K3747" t="s" s="2">
        <v>22</v>
      </c>
      <c r="L3747" t="s" s="2">
        <v>22</v>
      </c>
      <c r="M3747" t="s" s="2">
        <v>22</v>
      </c>
    </row>
    <row r="3748" ht="25.0" customHeight="true">
      <c r="A3748" t="s" s="2">
        <v>13</v>
      </c>
      <c r="B3748" t="s" s="2">
        <f>HYPERLINK("http://ts.21cn.com/tousu/show/id/1370070","还款app登不上，不让还款强制逾期")</f>
      </c>
      <c r="C3748" t="s" s="2">
        <v>15</v>
      </c>
      <c r="D3748" t="s" s="2">
        <v>16</v>
      </c>
      <c r="E3748" t="s" s="2">
        <v>17</v>
      </c>
      <c r="F3748" t="s" s="2">
        <f>HYPERLINK("http://ts.21cn.com/tousu/show/id/1370070","http://ts.21cn.com/tousu/show/id/1370070")</f>
      </c>
      <c r="G3748" t="s" s="2">
        <v>17</v>
      </c>
      <c r="H3748" t="s" s="2">
        <v>19</v>
      </c>
      <c r="I3748" t="s" s="2">
        <v>14614</v>
      </c>
      <c r="J3748" t="s" s="2">
        <v>14615</v>
      </c>
      <c r="K3748" t="s" s="2">
        <v>22</v>
      </c>
      <c r="L3748" t="s" s="2">
        <v>22</v>
      </c>
      <c r="M3748" t="s" s="2">
        <v>22</v>
      </c>
    </row>
    <row r="3749" ht="25.0" customHeight="true">
      <c r="A3749" t="s" s="2">
        <v>13</v>
      </c>
      <c r="B3749" t="s" s="2">
        <f>HYPERLINK("http://ts.21cn.com/tousu/show/id/1370051","拼多多平台商家骂消费者")</f>
      </c>
      <c r="C3749" t="s" s="2">
        <v>15</v>
      </c>
      <c r="D3749" t="s" s="2">
        <v>16</v>
      </c>
      <c r="E3749" t="s" s="2">
        <v>17</v>
      </c>
      <c r="F3749" t="s" s="2">
        <f>HYPERLINK("http://ts.21cn.com/tousu/show/id/1370051","http://ts.21cn.com/tousu/show/id/1370051")</f>
      </c>
      <c r="G3749" t="s" s="2">
        <v>17</v>
      </c>
      <c r="H3749" t="s" s="2">
        <v>19</v>
      </c>
      <c r="I3749" t="s" s="2">
        <v>14618</v>
      </c>
      <c r="J3749" t="s" s="2">
        <v>14619</v>
      </c>
      <c r="K3749" t="s" s="2">
        <v>22</v>
      </c>
      <c r="L3749" t="s" s="2">
        <v>22</v>
      </c>
      <c r="M3749" t="s" s="2">
        <v>22</v>
      </c>
    </row>
    <row r="3750" ht="25.0" customHeight="true">
      <c r="A3750" t="s" s="2">
        <v>13</v>
      </c>
      <c r="B3750" t="s" s="2">
        <f>HYPERLINK("http://ts.21cn.com/tousu/show/id/1370068","支付宝的钱转错了")</f>
      </c>
      <c r="C3750" t="s" s="2">
        <v>52</v>
      </c>
      <c r="D3750" t="s" s="2">
        <v>16</v>
      </c>
      <c r="E3750" t="s" s="2">
        <v>17</v>
      </c>
      <c r="F3750" t="s" s="2">
        <f>HYPERLINK("http://ts.21cn.com/tousu/show/id/1370068","http://ts.21cn.com/tousu/show/id/1370068")</f>
      </c>
      <c r="G3750" t="s" s="2">
        <v>17</v>
      </c>
      <c r="H3750" t="s" s="2">
        <v>19</v>
      </c>
      <c r="I3750" t="s" s="2">
        <v>14622</v>
      </c>
      <c r="J3750" t="s" s="2">
        <v>14623</v>
      </c>
      <c r="K3750" t="s" s="2">
        <v>22</v>
      </c>
      <c r="L3750" t="s" s="2">
        <v>22</v>
      </c>
      <c r="M3750" t="s" s="2">
        <v>22</v>
      </c>
    </row>
    <row r="3751" ht="25.0" customHeight="true">
      <c r="A3751" t="s" s="2">
        <v>13</v>
      </c>
      <c r="B3751" t="s" s="2">
        <f>HYPERLINK("http://ts.21cn.com/tousu/show/id/1370066","上海电信欺诈客户")</f>
      </c>
      <c r="C3751" t="s" s="2">
        <v>15</v>
      </c>
      <c r="D3751" t="s" s="2">
        <v>16</v>
      </c>
      <c r="E3751" t="s" s="2">
        <v>17</v>
      </c>
      <c r="F3751" t="s" s="2">
        <f>HYPERLINK("http://ts.21cn.com/tousu/show/id/1370066","http://ts.21cn.com/tousu/show/id/1370066")</f>
      </c>
      <c r="G3751" t="s" s="2">
        <v>17</v>
      </c>
      <c r="H3751" t="s" s="2">
        <v>19</v>
      </c>
      <c r="I3751" t="s" s="2">
        <v>14626</v>
      </c>
      <c r="J3751" t="s" s="2">
        <v>14627</v>
      </c>
      <c r="K3751" t="s" s="2">
        <v>22</v>
      </c>
      <c r="L3751" t="s" s="2">
        <v>22</v>
      </c>
      <c r="M3751" t="s" s="2">
        <v>22</v>
      </c>
    </row>
    <row r="3752" ht="25.0" customHeight="true">
      <c r="A3752" t="s" s="2">
        <v>13</v>
      </c>
      <c r="B3752" t="s" s="2">
        <f>HYPERLINK("http://ts.21cn.com/tousu/show/id/1370064","如期分期扣取我钱高利宝付为其支付渠道")</f>
      </c>
      <c r="C3752" t="s" s="2">
        <v>52</v>
      </c>
      <c r="D3752" t="s" s="2">
        <v>16</v>
      </c>
      <c r="E3752" t="s" s="2">
        <v>17</v>
      </c>
      <c r="F3752" t="s" s="2">
        <f>HYPERLINK("http://ts.21cn.com/tousu/show/id/1370064","http://ts.21cn.com/tousu/show/id/1370064")</f>
      </c>
      <c r="G3752" t="s" s="2">
        <v>17</v>
      </c>
      <c r="H3752" t="s" s="2">
        <v>19</v>
      </c>
      <c r="I3752" t="s" s="2">
        <v>14630</v>
      </c>
      <c r="J3752" t="s" s="2">
        <v>14631</v>
      </c>
      <c r="K3752" t="s" s="2">
        <v>22</v>
      </c>
      <c r="L3752" t="s" s="2">
        <v>22</v>
      </c>
      <c r="M3752" t="s" s="2">
        <v>22</v>
      </c>
    </row>
    <row r="3753" ht="25.0" customHeight="true">
      <c r="A3753" t="s" s="2">
        <v>13</v>
      </c>
      <c r="B3753" t="s" s="2">
        <f>HYPERLINK("http://ts.21cn.com/tousu/show/id/1370063","网贷公司外包催收人员骚扰通讯录联系人")</f>
      </c>
      <c r="C3753" t="s" s="2">
        <v>15</v>
      </c>
      <c r="D3753" t="s" s="2">
        <v>16</v>
      </c>
      <c r="E3753" t="s" s="2">
        <v>17</v>
      </c>
      <c r="F3753" t="s" s="2">
        <f>HYPERLINK("http://ts.21cn.com/tousu/show/id/1370063","http://ts.21cn.com/tousu/show/id/1370063")</f>
      </c>
      <c r="G3753" t="s" s="2">
        <v>17</v>
      </c>
      <c r="H3753" t="s" s="2">
        <v>19</v>
      </c>
      <c r="I3753" t="s" s="2">
        <v>14634</v>
      </c>
      <c r="J3753" t="s" s="2">
        <v>14635</v>
      </c>
      <c r="K3753" t="s" s="2">
        <v>22</v>
      </c>
      <c r="L3753" t="s" s="2">
        <v>22</v>
      </c>
      <c r="M3753" t="s" s="2">
        <v>22</v>
      </c>
    </row>
    <row r="3754" ht="25.0" customHeight="true">
      <c r="A3754" t="s" s="2">
        <v>13</v>
      </c>
      <c r="B3754" t="s" s="2">
        <f>HYPERLINK("http://ts.21cn.com/tousu/show/id/1370062","对无关人员进行恶意骚扰")</f>
      </c>
      <c r="C3754" t="s" s="2">
        <v>15</v>
      </c>
      <c r="D3754" t="s" s="2">
        <v>16</v>
      </c>
      <c r="E3754" t="s" s="2">
        <v>17</v>
      </c>
      <c r="F3754" t="s" s="2">
        <f>HYPERLINK("http://ts.21cn.com/tousu/show/id/1370062","http://ts.21cn.com/tousu/show/id/1370062")</f>
      </c>
      <c r="G3754" t="s" s="2">
        <v>17</v>
      </c>
      <c r="H3754" t="s" s="2">
        <v>19</v>
      </c>
      <c r="I3754" t="s" s="2">
        <v>14638</v>
      </c>
      <c r="J3754" t="s" s="2">
        <v>14639</v>
      </c>
      <c r="K3754" t="s" s="2">
        <v>22</v>
      </c>
      <c r="L3754" t="s" s="2">
        <v>22</v>
      </c>
      <c r="M3754" t="s" s="2">
        <v>22</v>
      </c>
    </row>
    <row r="3755" ht="25.0" customHeight="true">
      <c r="A3755" t="s" s="2">
        <v>13</v>
      </c>
      <c r="B3755" t="s" s="2">
        <f>HYPERLINK("http://ts.21cn.com/tousu/show/id/1370061","钱站阴阳合同，变相高息，威胁恐吓，公然无视法律")</f>
      </c>
      <c r="C3755" t="s" s="2">
        <v>15</v>
      </c>
      <c r="D3755" t="s" s="2">
        <v>16</v>
      </c>
      <c r="E3755" t="s" s="2">
        <v>17</v>
      </c>
      <c r="F3755" t="s" s="2">
        <f>HYPERLINK("http://ts.21cn.com/tousu/show/id/1370061","http://ts.21cn.com/tousu/show/id/1370061")</f>
      </c>
      <c r="G3755" t="s" s="2">
        <v>17</v>
      </c>
      <c r="H3755" t="s" s="2">
        <v>19</v>
      </c>
      <c r="I3755" t="s" s="2">
        <v>14642</v>
      </c>
      <c r="J3755" t="s" s="2">
        <v>14643</v>
      </c>
      <c r="K3755" t="s" s="2">
        <v>22</v>
      </c>
      <c r="L3755" t="s" s="2">
        <v>22</v>
      </c>
      <c r="M3755" t="s" s="2">
        <v>22</v>
      </c>
    </row>
    <row r="3756" ht="25.0" customHeight="true">
      <c r="A3756" t="s" s="2">
        <v>13</v>
      </c>
      <c r="B3756" t="s" s="2">
        <f>HYPERLINK("http://ts.21cn.com/tousu/show/id/1370059","无故扣款，退款难")</f>
      </c>
      <c r="C3756" t="s" s="2">
        <v>52</v>
      </c>
      <c r="D3756" t="s" s="2">
        <v>16</v>
      </c>
      <c r="E3756" t="s" s="2">
        <v>17</v>
      </c>
      <c r="F3756" t="s" s="2">
        <f>HYPERLINK("http://ts.21cn.com/tousu/show/id/1370059","http://ts.21cn.com/tousu/show/id/1370059")</f>
      </c>
      <c r="G3756" t="s" s="2">
        <v>17</v>
      </c>
      <c r="H3756" t="s" s="2">
        <v>19</v>
      </c>
      <c r="I3756" t="s" s="2">
        <v>14646</v>
      </c>
      <c r="J3756" t="s" s="2">
        <v>14647</v>
      </c>
      <c r="K3756" t="s" s="2">
        <v>22</v>
      </c>
      <c r="L3756" t="s" s="2">
        <v>22</v>
      </c>
      <c r="M3756" t="s" s="2">
        <v>22</v>
      </c>
    </row>
    <row r="3757" ht="25.0" customHeight="true">
      <c r="A3757" t="s" s="2">
        <v>13</v>
      </c>
      <c r="B3757" t="s" s="2">
        <f>HYPERLINK("http://ts.21cn.com/tousu/show/id/1370023","佰仟金融客户恶意p图，骚扰本人以及本人家人")</f>
      </c>
      <c r="C3757" t="s" s="2">
        <v>15</v>
      </c>
      <c r="D3757" t="s" s="2">
        <v>16</v>
      </c>
      <c r="E3757" t="s" s="2">
        <v>17</v>
      </c>
      <c r="F3757" t="s" s="2">
        <f>HYPERLINK("http://ts.21cn.com/tousu/show/id/1370023","http://ts.21cn.com/tousu/show/id/1370023")</f>
      </c>
      <c r="G3757" t="s" s="2">
        <v>17</v>
      </c>
      <c r="H3757" t="s" s="2">
        <v>19</v>
      </c>
      <c r="I3757" t="s" s="2">
        <v>14650</v>
      </c>
      <c r="J3757" t="s" s="2">
        <v>14651</v>
      </c>
      <c r="K3757" t="s" s="2">
        <v>22</v>
      </c>
      <c r="L3757" t="s" s="2">
        <v>22</v>
      </c>
      <c r="M3757" t="s" s="2">
        <v>22</v>
      </c>
    </row>
    <row r="3758" ht="25.0" customHeight="true">
      <c r="A3758" t="s" s="2">
        <v>13</v>
      </c>
      <c r="B3758" t="s" s="2">
        <f>HYPERLINK("http://ts.21cn.com/tousu/show/id/1370057","浦发银行信用卡")</f>
      </c>
      <c r="C3758" t="s" s="2">
        <v>52</v>
      </c>
      <c r="D3758" t="s" s="2">
        <v>16</v>
      </c>
      <c r="E3758" t="s" s="2">
        <v>17</v>
      </c>
      <c r="F3758" t="s" s="2">
        <f>HYPERLINK("http://ts.21cn.com/tousu/show/id/1370057","http://ts.21cn.com/tousu/show/id/1370057")</f>
      </c>
      <c r="G3758" t="s" s="2">
        <v>17</v>
      </c>
      <c r="H3758" t="s" s="2">
        <v>19</v>
      </c>
      <c r="I3758" t="s" s="2">
        <v>14654</v>
      </c>
      <c r="J3758" t="s" s="2">
        <v>14655</v>
      </c>
      <c r="K3758" t="s" s="2">
        <v>22</v>
      </c>
      <c r="L3758" t="s" s="2">
        <v>22</v>
      </c>
      <c r="M3758" t="s" s="2">
        <v>22</v>
      </c>
    </row>
    <row r="3759" ht="25.0" customHeight="true">
      <c r="A3759" t="s" s="2">
        <v>13</v>
      </c>
      <c r="B3759" t="s" s="2">
        <f>HYPERLINK("http://ts.21cn.com/tousu/show/id/1370055","买的蟹券，无法兑换")</f>
      </c>
      <c r="C3759" t="s" s="2">
        <v>15</v>
      </c>
      <c r="D3759" t="s" s="2">
        <v>16</v>
      </c>
      <c r="E3759" t="s" s="2">
        <v>17</v>
      </c>
      <c r="F3759" t="s" s="2">
        <f>HYPERLINK("http://ts.21cn.com/tousu/show/id/1370055","http://ts.21cn.com/tousu/show/id/1370055")</f>
      </c>
      <c r="G3759" t="s" s="2">
        <v>17</v>
      </c>
      <c r="H3759" t="s" s="2">
        <v>19</v>
      </c>
      <c r="I3759" t="s" s="2">
        <v>14658</v>
      </c>
      <c r="J3759" t="s" s="2">
        <v>14659</v>
      </c>
      <c r="K3759" t="s" s="2">
        <v>22</v>
      </c>
      <c r="L3759" t="s" s="2">
        <v>22</v>
      </c>
      <c r="M3759" t="s" s="2">
        <v>22</v>
      </c>
    </row>
    <row r="3760" ht="25.0" customHeight="true">
      <c r="A3760" t="s" s="2">
        <v>13</v>
      </c>
      <c r="B3760" t="s" s="2">
        <f>HYPERLINK("http://ts.21cn.com/tousu/show/id/1370054","马上金融高利贷借一天就100多利息提前结清还要100手续费合法吗？")</f>
      </c>
      <c r="C3760" t="s" s="2">
        <v>15</v>
      </c>
      <c r="D3760" t="s" s="2">
        <v>16</v>
      </c>
      <c r="E3760" t="s" s="2">
        <v>17</v>
      </c>
      <c r="F3760" t="s" s="2">
        <f>HYPERLINK("http://ts.21cn.com/tousu/show/id/1370054","http://ts.21cn.com/tousu/show/id/1370054")</f>
      </c>
      <c r="G3760" t="s" s="2">
        <v>17</v>
      </c>
      <c r="H3760" t="s" s="2">
        <v>19</v>
      </c>
      <c r="I3760" t="s" s="2">
        <v>14662</v>
      </c>
      <c r="J3760" t="s" s="2">
        <v>14663</v>
      </c>
      <c r="K3760" t="s" s="2">
        <v>22</v>
      </c>
      <c r="L3760" t="s" s="2">
        <v>22</v>
      </c>
      <c r="M3760" t="s" s="2">
        <v>22</v>
      </c>
    </row>
    <row r="3761" ht="25.0" customHeight="true">
      <c r="A3761" t="s" s="2">
        <v>13</v>
      </c>
      <c r="B3761" t="s" s="2">
        <f>HYPERLINK("http://ts.21cn.com/tousu/show/id/1370052","马上金融拒绝给销户")</f>
      </c>
      <c r="C3761" t="s" s="2">
        <v>52</v>
      </c>
      <c r="D3761" t="s" s="2">
        <v>16</v>
      </c>
      <c r="E3761" t="s" s="2">
        <v>17</v>
      </c>
      <c r="F3761" t="s" s="2">
        <f>HYPERLINK("http://ts.21cn.com/tousu/show/id/1370052","http://ts.21cn.com/tousu/show/id/1370052")</f>
      </c>
      <c r="G3761" t="s" s="2">
        <v>17</v>
      </c>
      <c r="H3761" t="s" s="2">
        <v>19</v>
      </c>
      <c r="I3761" t="s" s="2">
        <v>14666</v>
      </c>
      <c r="J3761" t="s" s="2">
        <v>14667</v>
      </c>
      <c r="K3761" t="s" s="2">
        <v>22</v>
      </c>
      <c r="L3761" t="s" s="2">
        <v>22</v>
      </c>
      <c r="M3761" t="s" s="2">
        <v>22</v>
      </c>
    </row>
    <row r="3762" ht="25.0" customHeight="true">
      <c r="A3762" t="s" s="2">
        <v>13</v>
      </c>
      <c r="B3762" t="s" s="2">
        <f>HYPERLINK("http://ts.21cn.com/tousu/show/id/1370053","玖富万卡催收")</f>
      </c>
      <c r="C3762" t="s" s="2">
        <v>15</v>
      </c>
      <c r="D3762" t="s" s="2">
        <v>16</v>
      </c>
      <c r="E3762" t="s" s="2">
        <v>17</v>
      </c>
      <c r="F3762" t="s" s="2">
        <f>HYPERLINK("http://ts.21cn.com/tousu/show/id/1370053","http://ts.21cn.com/tousu/show/id/1370053")</f>
      </c>
      <c r="G3762" t="s" s="2">
        <v>17</v>
      </c>
      <c r="H3762" t="s" s="2">
        <v>19</v>
      </c>
      <c r="I3762" t="s" s="2">
        <v>14670</v>
      </c>
      <c r="J3762" t="s" s="2">
        <v>14671</v>
      </c>
      <c r="K3762" t="s" s="2">
        <v>22</v>
      </c>
      <c r="L3762" t="s" s="2">
        <v>22</v>
      </c>
      <c r="M3762" t="s" s="2">
        <v>22</v>
      </c>
    </row>
    <row r="3763" ht="25.0" customHeight="true">
      <c r="A3763" t="s" s="2">
        <v>13</v>
      </c>
      <c r="B3763" t="s" s="2">
        <f>HYPERLINK("http://ts.21cn.com/tousu/show/id/1370050","微信零钱被冻结一直没给我解冻")</f>
      </c>
      <c r="C3763" t="s" s="2">
        <v>15</v>
      </c>
      <c r="D3763" t="s" s="2">
        <v>16</v>
      </c>
      <c r="E3763" t="s" s="2">
        <v>17</v>
      </c>
      <c r="F3763" t="s" s="2">
        <f>HYPERLINK("http://ts.21cn.com/tousu/show/id/1370050","http://ts.21cn.com/tousu/show/id/1370050")</f>
      </c>
      <c r="G3763" t="s" s="2">
        <v>17</v>
      </c>
      <c r="H3763" t="s" s="2">
        <v>19</v>
      </c>
      <c r="I3763" t="s" s="2">
        <v>14674</v>
      </c>
      <c r="J3763" t="s" s="2">
        <v>14675</v>
      </c>
      <c r="K3763" t="s" s="2">
        <v>22</v>
      </c>
      <c r="L3763" t="s" s="2">
        <v>22</v>
      </c>
      <c r="M3763" t="s" s="2">
        <v>22</v>
      </c>
    </row>
    <row r="3764" ht="25.0" customHeight="true">
      <c r="A3764" t="s" s="2">
        <v>13</v>
      </c>
      <c r="B3764" t="s" s="2">
        <f>HYPERLINK("http://ts.21cn.com/tousu/show/id/1370049","新浪分期爆通讯录高利贷")</f>
      </c>
      <c r="C3764" t="s" s="2">
        <v>15</v>
      </c>
      <c r="D3764" t="s" s="2">
        <v>16</v>
      </c>
      <c r="E3764" t="s" s="2">
        <v>17</v>
      </c>
      <c r="F3764" t="s" s="2">
        <f>HYPERLINK("http://ts.21cn.com/tousu/show/id/1370049","http://ts.21cn.com/tousu/show/id/1370049")</f>
      </c>
      <c r="G3764" t="s" s="2">
        <v>17</v>
      </c>
      <c r="H3764" t="s" s="2">
        <v>19</v>
      </c>
      <c r="I3764" t="s" s="2">
        <v>14678</v>
      </c>
      <c r="J3764" t="s" s="2">
        <v>14679</v>
      </c>
      <c r="K3764" t="s" s="2">
        <v>22</v>
      </c>
      <c r="L3764" t="s" s="2">
        <v>22</v>
      </c>
      <c r="M3764" t="s" s="2">
        <v>22</v>
      </c>
    </row>
    <row r="3765" ht="25.0" customHeight="true">
      <c r="A3765" t="s" s="2">
        <v>13</v>
      </c>
      <c r="B3765" t="s" s="2">
        <f>HYPERLINK("http://ts.21cn.com/tousu/show/id/1370045","注册成功后就强制收费")</f>
      </c>
      <c r="C3765" t="s" s="2">
        <v>15</v>
      </c>
      <c r="D3765" t="s" s="2">
        <v>16</v>
      </c>
      <c r="E3765" t="s" s="2">
        <v>17</v>
      </c>
      <c r="F3765" t="s" s="2">
        <f>HYPERLINK("http://ts.21cn.com/tousu/show/id/1370045","http://ts.21cn.com/tousu/show/id/1370045")</f>
      </c>
      <c r="G3765" t="s" s="2">
        <v>17</v>
      </c>
      <c r="H3765" t="s" s="2">
        <v>19</v>
      </c>
      <c r="I3765" t="s" s="2">
        <v>14682</v>
      </c>
      <c r="J3765" t="s" s="2">
        <v>14683</v>
      </c>
      <c r="K3765" t="s" s="2">
        <v>22</v>
      </c>
      <c r="L3765" t="s" s="2">
        <v>22</v>
      </c>
      <c r="M3765" t="s" s="2">
        <v>22</v>
      </c>
    </row>
    <row r="3766" ht="25.0" customHeight="true">
      <c r="A3766" t="s" s="2">
        <v>13</v>
      </c>
      <c r="B3766" t="s" s="2">
        <f>HYPERLINK("http://ts.21cn.com/tousu/show/id/1370040","钱站阴阳合同")</f>
      </c>
      <c r="C3766" t="s" s="2">
        <v>15</v>
      </c>
      <c r="D3766" t="s" s="2">
        <v>16</v>
      </c>
      <c r="E3766" t="s" s="2">
        <v>17</v>
      </c>
      <c r="F3766" t="s" s="2">
        <f>HYPERLINK("http://ts.21cn.com/tousu/show/id/1370040","http://ts.21cn.com/tousu/show/id/1370040")</f>
      </c>
      <c r="G3766" t="s" s="2">
        <v>17</v>
      </c>
      <c r="H3766" t="s" s="2">
        <v>19</v>
      </c>
      <c r="I3766" t="s" s="2">
        <v>14685</v>
      </c>
      <c r="J3766" t="s" s="2">
        <v>14686</v>
      </c>
      <c r="K3766" t="s" s="2">
        <v>22</v>
      </c>
      <c r="L3766" t="s" s="2">
        <v>22</v>
      </c>
      <c r="M3766" t="s" s="2">
        <v>22</v>
      </c>
    </row>
    <row r="3767" ht="25.0" customHeight="true">
      <c r="A3767" t="s" s="2">
        <v>13</v>
      </c>
      <c r="B3767" t="s" s="2">
        <f>HYPERLINK("http://ts.21cn.com/tousu/show/id/1370044","南粤银行即分期恶意导致我征信逾期")</f>
      </c>
      <c r="C3767" t="s" s="2">
        <v>15</v>
      </c>
      <c r="D3767" t="s" s="2">
        <v>16</v>
      </c>
      <c r="E3767" t="s" s="2">
        <v>17</v>
      </c>
      <c r="F3767" t="s" s="2">
        <f>HYPERLINK("http://ts.21cn.com/tousu/show/id/1370044","http://ts.21cn.com/tousu/show/id/1370044")</f>
      </c>
      <c r="G3767" t="s" s="2">
        <v>17</v>
      </c>
      <c r="H3767" t="s" s="2">
        <v>19</v>
      </c>
      <c r="I3767" t="s" s="2">
        <v>14689</v>
      </c>
      <c r="J3767" t="s" s="2">
        <v>14690</v>
      </c>
      <c r="K3767" t="s" s="2">
        <v>22</v>
      </c>
      <c r="L3767" t="s" s="2">
        <v>22</v>
      </c>
      <c r="M3767" t="s" s="2">
        <v>22</v>
      </c>
    </row>
    <row r="3768" ht="25.0" customHeight="true">
      <c r="A3768" t="s" s="2">
        <v>13</v>
      </c>
      <c r="B3768" t="s" s="2">
        <f>HYPERLINK("http://ts.21cn.com/tousu/show/id/1370043","及贷平台套路学堂会员费")</f>
      </c>
      <c r="C3768" t="s" s="2">
        <v>15</v>
      </c>
      <c r="D3768" t="s" s="2">
        <v>16</v>
      </c>
      <c r="E3768" t="s" s="2">
        <v>17</v>
      </c>
      <c r="F3768" t="s" s="2">
        <f>HYPERLINK("http://ts.21cn.com/tousu/show/id/1370043","http://ts.21cn.com/tousu/show/id/1370043")</f>
      </c>
      <c r="G3768" t="s" s="2">
        <v>17</v>
      </c>
      <c r="H3768" t="s" s="2">
        <v>19</v>
      </c>
      <c r="I3768" t="s" s="2">
        <v>14693</v>
      </c>
      <c r="J3768" t="s" s="2">
        <v>14694</v>
      </c>
      <c r="K3768" t="s" s="2">
        <v>22</v>
      </c>
      <c r="L3768" t="s" s="2">
        <v>22</v>
      </c>
      <c r="M3768" t="s" s="2">
        <v>22</v>
      </c>
    </row>
    <row r="3769" ht="25.0" customHeight="true">
      <c r="A3769" t="s" s="2">
        <v>13</v>
      </c>
      <c r="B3769" t="s" s="2">
        <f>HYPERLINK("http://ts.21cn.com/tousu/show/id/1370042","尚德机构投诉专题")</f>
      </c>
      <c r="C3769" t="s" s="2">
        <v>52</v>
      </c>
      <c r="D3769" t="s" s="2">
        <v>16</v>
      </c>
      <c r="E3769" t="s" s="2">
        <v>17</v>
      </c>
      <c r="F3769" t="s" s="2">
        <f>HYPERLINK("http://ts.21cn.com/tousu/show/id/1370042","http://ts.21cn.com/tousu/show/id/1370042")</f>
      </c>
      <c r="G3769" t="s" s="2">
        <v>17</v>
      </c>
      <c r="H3769" t="s" s="2">
        <v>19</v>
      </c>
      <c r="I3769" t="s" s="2">
        <v>14696</v>
      </c>
      <c r="J3769" t="s" s="2">
        <v>14697</v>
      </c>
      <c r="K3769" t="s" s="2">
        <v>22</v>
      </c>
      <c r="L3769" t="s" s="2">
        <v>22</v>
      </c>
      <c r="M3769" t="s" s="2">
        <v>22</v>
      </c>
    </row>
    <row r="3770" ht="25.0" customHeight="true">
      <c r="A3770" t="s" s="2">
        <v>13</v>
      </c>
      <c r="B3770" t="s" s="2">
        <f>HYPERLINK("http://ts.21cn.com/tousu/show/id/1370041","招联金融风控漏洞，陌生借款人填写我的手机号码当做紧急联系人，被骚扰")</f>
      </c>
      <c r="C3770" t="s" s="2">
        <v>15</v>
      </c>
      <c r="D3770" t="s" s="2">
        <v>16</v>
      </c>
      <c r="E3770" t="s" s="2">
        <v>17</v>
      </c>
      <c r="F3770" t="s" s="2">
        <f>HYPERLINK("http://ts.21cn.com/tousu/show/id/1370041","http://ts.21cn.com/tousu/show/id/1370041")</f>
      </c>
      <c r="G3770" t="s" s="2">
        <v>17</v>
      </c>
      <c r="H3770" t="s" s="2">
        <v>19</v>
      </c>
      <c r="I3770" t="s" s="2">
        <v>14700</v>
      </c>
      <c r="J3770" t="s" s="2">
        <v>14701</v>
      </c>
      <c r="K3770" t="s" s="2">
        <v>22</v>
      </c>
      <c r="L3770" t="s" s="2">
        <v>22</v>
      </c>
      <c r="M3770" t="s" s="2">
        <v>22</v>
      </c>
    </row>
    <row r="3771" ht="25.0" customHeight="true">
      <c r="A3771" t="s" s="2">
        <v>13</v>
      </c>
      <c r="B3771" t="s" s="2">
        <f>HYPERLINK("http://ts.21cn.com/tousu/show/id/1370037","维信金科向学生贷款，性情恶劣")</f>
      </c>
      <c r="C3771" t="s" s="2">
        <v>15</v>
      </c>
      <c r="D3771" t="s" s="2">
        <v>16</v>
      </c>
      <c r="E3771" t="s" s="2">
        <v>17</v>
      </c>
      <c r="F3771" t="s" s="2">
        <f>HYPERLINK("http://ts.21cn.com/tousu/show/id/1370037","http://ts.21cn.com/tousu/show/id/1370037")</f>
      </c>
      <c r="G3771" t="s" s="2">
        <v>17</v>
      </c>
      <c r="H3771" t="s" s="2">
        <v>19</v>
      </c>
      <c r="I3771" t="s" s="2">
        <v>14704</v>
      </c>
      <c r="J3771" t="s" s="2">
        <v>14705</v>
      </c>
      <c r="K3771" t="s" s="2">
        <v>22</v>
      </c>
      <c r="L3771" t="s" s="2">
        <v>22</v>
      </c>
      <c r="M3771" t="s" s="2">
        <v>22</v>
      </c>
    </row>
    <row r="3772" ht="25.0" customHeight="true">
      <c r="A3772" t="s" s="2">
        <v>13</v>
      </c>
      <c r="B3772" t="s" s="2">
        <f>HYPERLINK("http://ts.21cn.com/tousu/show/id/1370038","短信骚扰问题")</f>
      </c>
      <c r="C3772" t="s" s="2">
        <v>15</v>
      </c>
      <c r="D3772" t="s" s="2">
        <v>16</v>
      </c>
      <c r="E3772" t="s" s="2">
        <v>17</v>
      </c>
      <c r="F3772" t="s" s="2">
        <f>HYPERLINK("http://ts.21cn.com/tousu/show/id/1370038","http://ts.21cn.com/tousu/show/id/1370038")</f>
      </c>
      <c r="G3772" t="s" s="2">
        <v>17</v>
      </c>
      <c r="H3772" t="s" s="2">
        <v>19</v>
      </c>
      <c r="I3772" t="s" s="2">
        <v>14704</v>
      </c>
      <c r="J3772" t="s" s="2">
        <v>14708</v>
      </c>
      <c r="K3772" t="s" s="2">
        <v>22</v>
      </c>
      <c r="L3772" t="s" s="2">
        <v>22</v>
      </c>
      <c r="M3772" t="s" s="2">
        <v>22</v>
      </c>
    </row>
    <row r="3773" ht="25.0" customHeight="true">
      <c r="A3773" t="s" s="2">
        <v>13</v>
      </c>
      <c r="B3773" t="s" s="2">
        <f>HYPERLINK("http://ts.21cn.com/tousu/show/id/1370034","蜂鸟众包平台恶意扣骑手血汗钱")</f>
      </c>
      <c r="C3773" t="s" s="2">
        <v>15</v>
      </c>
      <c r="D3773" t="s" s="2">
        <v>16</v>
      </c>
      <c r="E3773" t="s" s="2">
        <v>17</v>
      </c>
      <c r="F3773" t="s" s="2">
        <f>HYPERLINK("http://ts.21cn.com/tousu/show/id/1370034","http://ts.21cn.com/tousu/show/id/1370034")</f>
      </c>
      <c r="G3773" t="s" s="2">
        <v>17</v>
      </c>
      <c r="H3773" t="s" s="2">
        <v>19</v>
      </c>
      <c r="I3773" t="s" s="2">
        <v>14711</v>
      </c>
      <c r="J3773" t="s" s="2">
        <v>14712</v>
      </c>
      <c r="K3773" t="s" s="2">
        <v>22</v>
      </c>
      <c r="L3773" t="s" s="2">
        <v>22</v>
      </c>
      <c r="M3773" t="s" s="2">
        <v>22</v>
      </c>
    </row>
    <row r="3774" ht="25.0" customHeight="true">
      <c r="A3774" t="s" s="2">
        <v>13</v>
      </c>
      <c r="B3774" t="s" s="2">
        <f>HYPERLINK("http://ts.21cn.com/tousu/show/id/1370033","爱又米里面的抱米花多米贷收取高额变相高利评估费")</f>
      </c>
      <c r="C3774" t="s" s="2">
        <v>15</v>
      </c>
      <c r="D3774" t="s" s="2">
        <v>16</v>
      </c>
      <c r="E3774" t="s" s="2">
        <v>17</v>
      </c>
      <c r="F3774" t="s" s="2">
        <f>HYPERLINK("http://ts.21cn.com/tousu/show/id/1370033","http://ts.21cn.com/tousu/show/id/1370033")</f>
      </c>
      <c r="G3774" t="s" s="2">
        <v>17</v>
      </c>
      <c r="H3774" t="s" s="2">
        <v>19</v>
      </c>
      <c r="I3774" t="s" s="2">
        <v>14715</v>
      </c>
      <c r="J3774" t="s" s="2">
        <v>14716</v>
      </c>
      <c r="K3774" t="s" s="2">
        <v>22</v>
      </c>
      <c r="L3774" t="s" s="2">
        <v>22</v>
      </c>
      <c r="M3774" t="s" s="2">
        <v>22</v>
      </c>
    </row>
    <row r="3775" ht="25.0" customHeight="true">
      <c r="A3775" t="s" s="2">
        <v>13</v>
      </c>
      <c r="B3775" t="s" s="2">
        <f>HYPERLINK("http://ts.21cn.com/tousu/show/id/1370030","利息超级高")</f>
      </c>
      <c r="C3775" t="s" s="2">
        <v>15</v>
      </c>
      <c r="D3775" t="s" s="2">
        <v>16</v>
      </c>
      <c r="E3775" t="s" s="2">
        <v>17</v>
      </c>
      <c r="F3775" t="s" s="2">
        <f>HYPERLINK("http://ts.21cn.com/tousu/show/id/1370030","http://ts.21cn.com/tousu/show/id/1370030")</f>
      </c>
      <c r="G3775" t="s" s="2">
        <v>17</v>
      </c>
      <c r="H3775" t="s" s="2">
        <v>19</v>
      </c>
      <c r="I3775" t="s" s="2">
        <v>14719</v>
      </c>
      <c r="J3775" t="s" s="2">
        <v>14720</v>
      </c>
      <c r="K3775" t="s" s="2">
        <v>22</v>
      </c>
      <c r="L3775" t="s" s="2">
        <v>22</v>
      </c>
      <c r="M3775" t="s" s="2">
        <v>22</v>
      </c>
    </row>
    <row r="3776" ht="25.0" customHeight="true">
      <c r="A3776" t="s" s="2">
        <v>13</v>
      </c>
      <c r="B3776" t="s" s="2">
        <f>HYPERLINK("http://ts.21cn.com/tousu/show/id/1370032","不给开结清证明，来回推脱。")</f>
      </c>
      <c r="C3776" t="s" s="2">
        <v>15</v>
      </c>
      <c r="D3776" t="s" s="2">
        <v>16</v>
      </c>
      <c r="E3776" t="s" s="2">
        <v>17</v>
      </c>
      <c r="F3776" t="s" s="2">
        <f>HYPERLINK("http://ts.21cn.com/tousu/show/id/1370032","http://ts.21cn.com/tousu/show/id/1370032")</f>
      </c>
      <c r="G3776" t="s" s="2">
        <v>17</v>
      </c>
      <c r="H3776" t="s" s="2">
        <v>19</v>
      </c>
      <c r="I3776" t="s" s="2">
        <v>14723</v>
      </c>
      <c r="J3776" t="s" s="2">
        <v>14724</v>
      </c>
      <c r="K3776" t="s" s="2">
        <v>22</v>
      </c>
      <c r="L3776" t="s" s="2">
        <v>22</v>
      </c>
      <c r="M3776" t="s" s="2">
        <v>22</v>
      </c>
    </row>
    <row r="3777" ht="25.0" customHeight="true">
      <c r="A3777" t="s" s="2">
        <v>13</v>
      </c>
      <c r="B3777" t="s" s="2">
        <f>HYPERLINK("http://ts.21cn.com/tousu/show/id/1370029","网贷高利息及暴力催收")</f>
      </c>
      <c r="C3777" t="s" s="2">
        <v>15</v>
      </c>
      <c r="D3777" t="s" s="2">
        <v>16</v>
      </c>
      <c r="E3777" t="s" s="2">
        <v>17</v>
      </c>
      <c r="F3777" t="s" s="2">
        <f>HYPERLINK("http://ts.21cn.com/tousu/show/id/1370029","http://ts.21cn.com/tousu/show/id/1370029")</f>
      </c>
      <c r="G3777" t="s" s="2">
        <v>17</v>
      </c>
      <c r="H3777" t="s" s="2">
        <v>19</v>
      </c>
      <c r="I3777" t="s" s="2">
        <v>14727</v>
      </c>
      <c r="J3777" t="s" s="2">
        <v>14728</v>
      </c>
      <c r="K3777" t="s" s="2">
        <v>22</v>
      </c>
      <c r="L3777" t="s" s="2">
        <v>22</v>
      </c>
      <c r="M3777" t="s" s="2">
        <v>22</v>
      </c>
    </row>
    <row r="3778" ht="25.0" customHeight="true">
      <c r="A3778" t="s" s="2">
        <v>13</v>
      </c>
      <c r="B3778" t="s" s="2">
        <f>HYPERLINK("http://ts.21cn.com/tousu/show/id/1370027","财付通为违法高利贷快贷违规提供支付渠道")</f>
      </c>
      <c r="C3778" t="s" s="2">
        <v>15</v>
      </c>
      <c r="D3778" t="s" s="2">
        <v>16</v>
      </c>
      <c r="E3778" t="s" s="2">
        <v>17</v>
      </c>
      <c r="F3778" t="s" s="2">
        <f>HYPERLINK("http://ts.21cn.com/tousu/show/id/1370027","http://ts.21cn.com/tousu/show/id/1370027")</f>
      </c>
      <c r="G3778" t="s" s="2">
        <v>17</v>
      </c>
      <c r="H3778" t="s" s="2">
        <v>19</v>
      </c>
      <c r="I3778" t="s" s="2">
        <v>14731</v>
      </c>
      <c r="J3778" t="s" s="2">
        <v>14732</v>
      </c>
      <c r="K3778" t="s" s="2">
        <v>22</v>
      </c>
      <c r="L3778" t="s" s="2">
        <v>22</v>
      </c>
      <c r="M3778" t="s" s="2">
        <v>22</v>
      </c>
    </row>
    <row r="3779" ht="25.0" customHeight="true">
      <c r="A3779" t="s" s="2">
        <v>13</v>
      </c>
      <c r="B3779" t="s" s="2">
        <f>HYPERLINK("http://ts.21cn.com/tousu/show/id/1370026","暴力催收")</f>
      </c>
      <c r="C3779" t="s" s="2">
        <v>15</v>
      </c>
      <c r="D3779" t="s" s="2">
        <v>16</v>
      </c>
      <c r="E3779" t="s" s="2">
        <v>17</v>
      </c>
      <c r="F3779" t="s" s="2">
        <f>HYPERLINK("http://ts.21cn.com/tousu/show/id/1370026","http://ts.21cn.com/tousu/show/id/1370026")</f>
      </c>
      <c r="G3779" t="s" s="2">
        <v>17</v>
      </c>
      <c r="H3779" t="s" s="2">
        <v>19</v>
      </c>
      <c r="I3779" t="s" s="2">
        <v>14734</v>
      </c>
      <c r="J3779" t="s" s="2">
        <v>14735</v>
      </c>
      <c r="K3779" t="s" s="2">
        <v>22</v>
      </c>
      <c r="L3779" t="s" s="2">
        <v>22</v>
      </c>
      <c r="M3779" t="s" s="2">
        <v>22</v>
      </c>
    </row>
    <row r="3780" ht="25.0" customHeight="true">
      <c r="A3780" t="s" s="2">
        <v>13</v>
      </c>
      <c r="B3780" t="s" s="2">
        <f>HYPERLINK("http://ts.21cn.com/tousu/show/id/1370031","款已还清，捷信不给我寄结清证明，不给注销个人信息")</f>
      </c>
      <c r="C3780" t="s" s="2">
        <v>15</v>
      </c>
      <c r="D3780" t="s" s="2">
        <v>16</v>
      </c>
      <c r="E3780" t="s" s="2">
        <v>17</v>
      </c>
      <c r="F3780" t="s" s="2">
        <f>HYPERLINK("http://ts.21cn.com/tousu/show/id/1370031","http://ts.21cn.com/tousu/show/id/1370031")</f>
      </c>
      <c r="G3780" t="s" s="2">
        <v>17</v>
      </c>
      <c r="H3780" t="s" s="2">
        <v>19</v>
      </c>
      <c r="I3780" t="s" s="2">
        <v>14738</v>
      </c>
      <c r="J3780" t="s" s="2">
        <v>14739</v>
      </c>
      <c r="K3780" t="s" s="2">
        <v>22</v>
      </c>
      <c r="L3780" t="s" s="2">
        <v>22</v>
      </c>
      <c r="M3780" t="s" s="2">
        <v>22</v>
      </c>
    </row>
    <row r="3781" ht="25.0" customHeight="true">
      <c r="A3781" t="s" s="2">
        <v>13</v>
      </c>
      <c r="B3781" t="s" s="2">
        <f>HYPERLINK("http://ts.21cn.com/tousu/show/id/1370024","年化利息35.998%.")</f>
      </c>
      <c r="C3781" t="s" s="2">
        <v>15</v>
      </c>
      <c r="D3781" t="s" s="2">
        <v>16</v>
      </c>
      <c r="E3781" t="s" s="2">
        <v>17</v>
      </c>
      <c r="F3781" t="s" s="2">
        <f>HYPERLINK("http://ts.21cn.com/tousu/show/id/1370024","http://ts.21cn.com/tousu/show/id/1370024")</f>
      </c>
      <c r="G3781" t="s" s="2">
        <v>17</v>
      </c>
      <c r="H3781" t="s" s="2">
        <v>19</v>
      </c>
      <c r="I3781" t="s" s="2">
        <v>14742</v>
      </c>
      <c r="J3781" t="s" s="2">
        <v>14743</v>
      </c>
      <c r="K3781" t="s" s="2">
        <v>22</v>
      </c>
      <c r="L3781" t="s" s="2">
        <v>22</v>
      </c>
      <c r="M3781" t="s" s="2">
        <v>22</v>
      </c>
    </row>
    <row r="3782" ht="25.0" customHeight="true">
      <c r="A3782" t="s" s="2">
        <v>13</v>
      </c>
      <c r="B3782" t="s" s="2">
        <f>HYPERLINK("http://ts.21cn.com/tousu/show/id/1370022","电话骚扰，暴力催收，恐吓，")</f>
      </c>
      <c r="C3782" t="s" s="2">
        <v>15</v>
      </c>
      <c r="D3782" t="s" s="2">
        <v>16</v>
      </c>
      <c r="E3782" t="s" s="2">
        <v>17</v>
      </c>
      <c r="F3782" t="s" s="2">
        <f>HYPERLINK("http://ts.21cn.com/tousu/show/id/1370022","http://ts.21cn.com/tousu/show/id/1370022")</f>
      </c>
      <c r="G3782" t="s" s="2">
        <v>17</v>
      </c>
      <c r="H3782" t="s" s="2">
        <v>19</v>
      </c>
      <c r="I3782" t="s" s="2">
        <v>14746</v>
      </c>
      <c r="J3782" t="s" s="2">
        <v>14747</v>
      </c>
      <c r="K3782" t="s" s="2">
        <v>22</v>
      </c>
      <c r="L3782" t="s" s="2">
        <v>22</v>
      </c>
      <c r="M3782" t="s" s="2">
        <v>22</v>
      </c>
    </row>
    <row r="3783" ht="25.0" customHeight="true">
      <c r="A3783" t="s" s="2">
        <v>13</v>
      </c>
      <c r="B3783" t="s" s="2">
        <f>HYPERLINK("http://ts.21cn.com/tousu/show/id/1370035","刷了poss机九千，俩天没到账，给客服打电话不接")</f>
      </c>
      <c r="C3783" t="s" s="2">
        <v>15</v>
      </c>
      <c r="D3783" t="s" s="2">
        <v>16</v>
      </c>
      <c r="E3783" t="s" s="2">
        <v>17</v>
      </c>
      <c r="F3783" t="s" s="2">
        <f>HYPERLINK("http://ts.21cn.com/tousu/show/id/1370035","http://ts.21cn.com/tousu/show/id/1370035")</f>
      </c>
      <c r="G3783" t="s" s="2">
        <v>17</v>
      </c>
      <c r="H3783" t="s" s="2">
        <v>19</v>
      </c>
      <c r="I3783" t="s" s="2">
        <v>14750</v>
      </c>
      <c r="J3783" t="s" s="2">
        <v>14751</v>
      </c>
      <c r="K3783" t="s" s="2">
        <v>22</v>
      </c>
      <c r="L3783" t="s" s="2">
        <v>22</v>
      </c>
      <c r="M3783" t="s" s="2">
        <v>22</v>
      </c>
    </row>
    <row r="3784" ht="25.0" customHeight="true">
      <c r="A3784" t="s" s="2">
        <v>13</v>
      </c>
      <c r="B3784" t="s" s="2">
        <f>HYPERLINK("http://ts.21cn.com/tousu/show/id/1370020","中信暴力催收无良银行")</f>
      </c>
      <c r="C3784" t="s" s="2">
        <v>15</v>
      </c>
      <c r="D3784" t="s" s="2">
        <v>16</v>
      </c>
      <c r="E3784" t="s" s="2">
        <v>17</v>
      </c>
      <c r="F3784" t="s" s="2">
        <f>HYPERLINK("http://ts.21cn.com/tousu/show/id/1370020","http://ts.21cn.com/tousu/show/id/1370020")</f>
      </c>
      <c r="G3784" t="s" s="2">
        <v>17</v>
      </c>
      <c r="H3784" t="s" s="2">
        <v>19</v>
      </c>
      <c r="I3784" t="s" s="2">
        <v>14754</v>
      </c>
      <c r="J3784" t="s" s="2">
        <v>14755</v>
      </c>
      <c r="K3784" t="s" s="2">
        <v>22</v>
      </c>
      <c r="L3784" t="s" s="2">
        <v>22</v>
      </c>
      <c r="M3784" t="s" s="2">
        <v>22</v>
      </c>
    </row>
    <row r="3785" ht="25.0" customHeight="true">
      <c r="A3785" t="s" s="2">
        <v>13</v>
      </c>
      <c r="B3785" t="s" s="2">
        <f>HYPERLINK("http://ts.21cn.com/tousu/show/id/1370019","商品质量问题要买家承担责任")</f>
      </c>
      <c r="C3785" t="s" s="2">
        <v>15</v>
      </c>
      <c r="D3785" t="s" s="2">
        <v>16</v>
      </c>
      <c r="E3785" t="s" s="2">
        <v>17</v>
      </c>
      <c r="F3785" t="s" s="2">
        <f>HYPERLINK("http://ts.21cn.com/tousu/show/id/1370019","http://ts.21cn.com/tousu/show/id/1370019")</f>
      </c>
      <c r="G3785" t="s" s="2">
        <v>17</v>
      </c>
      <c r="H3785" t="s" s="2">
        <v>19</v>
      </c>
      <c r="I3785" t="s" s="2">
        <v>14758</v>
      </c>
      <c r="J3785" t="s" s="2">
        <v>14759</v>
      </c>
      <c r="K3785" t="s" s="2">
        <v>22</v>
      </c>
      <c r="L3785" t="s" s="2">
        <v>22</v>
      </c>
      <c r="M3785" t="s" s="2">
        <v>22</v>
      </c>
    </row>
    <row r="3786" ht="25.0" customHeight="true">
      <c r="A3786" t="s" s="2">
        <v>13</v>
      </c>
      <c r="B3786" t="s" s="2">
        <f>HYPERLINK("http://ts.21cn.com/tousu/show/id/1370018","卡牛瑞贷忘记还款，没有还款通知，逾期一天被曝通讯录！")</f>
      </c>
      <c r="C3786" t="s" s="2">
        <v>15</v>
      </c>
      <c r="D3786" t="s" s="2">
        <v>16</v>
      </c>
      <c r="E3786" t="s" s="2">
        <v>17</v>
      </c>
      <c r="F3786" t="s" s="2">
        <f>HYPERLINK("http://ts.21cn.com/tousu/show/id/1370018","http://ts.21cn.com/tousu/show/id/1370018")</f>
      </c>
      <c r="G3786" t="s" s="2">
        <v>17</v>
      </c>
      <c r="H3786" t="s" s="2">
        <v>19</v>
      </c>
      <c r="I3786" t="s" s="2">
        <v>14762</v>
      </c>
      <c r="J3786" t="s" s="2">
        <v>14763</v>
      </c>
      <c r="K3786" t="s" s="2">
        <v>22</v>
      </c>
      <c r="L3786" t="s" s="2">
        <v>22</v>
      </c>
      <c r="M3786" t="s" s="2">
        <v>22</v>
      </c>
    </row>
    <row r="3787" ht="25.0" customHeight="true">
      <c r="A3787" t="s" s="2">
        <v>13</v>
      </c>
      <c r="B3787" t="s" s="2">
        <f>HYPERLINK("http://ts.21cn.com/tousu/show/id/1370016","及贷贷款利息超过国家标准")</f>
      </c>
      <c r="C3787" t="s" s="2">
        <v>15</v>
      </c>
      <c r="D3787" t="s" s="2">
        <v>16</v>
      </c>
      <c r="E3787" t="s" s="2">
        <v>17</v>
      </c>
      <c r="F3787" t="s" s="2">
        <f>HYPERLINK("http://ts.21cn.com/tousu/show/id/1370016","http://ts.21cn.com/tousu/show/id/1370016")</f>
      </c>
      <c r="G3787" t="s" s="2">
        <v>17</v>
      </c>
      <c r="H3787" t="s" s="2">
        <v>19</v>
      </c>
      <c r="I3787" t="s" s="2">
        <v>14766</v>
      </c>
      <c r="J3787" t="s" s="2">
        <v>14767</v>
      </c>
      <c r="K3787" t="s" s="2">
        <v>22</v>
      </c>
      <c r="L3787" t="s" s="2">
        <v>22</v>
      </c>
      <c r="M3787" t="s" s="2">
        <v>22</v>
      </c>
    </row>
    <row r="3788" ht="25.0" customHeight="true">
      <c r="A3788" t="s" s="2">
        <v>13</v>
      </c>
      <c r="B3788" t="s" s="2">
        <f>HYPERLINK("http://ts.21cn.com/tousu/show/id/1370015","招联金融恐吓")</f>
      </c>
      <c r="C3788" t="s" s="2">
        <v>15</v>
      </c>
      <c r="D3788" t="s" s="2">
        <v>16</v>
      </c>
      <c r="E3788" t="s" s="2">
        <v>17</v>
      </c>
      <c r="F3788" t="s" s="2">
        <f>HYPERLINK("http://ts.21cn.com/tousu/show/id/1370015","http://ts.21cn.com/tousu/show/id/1370015")</f>
      </c>
      <c r="G3788" t="s" s="2">
        <v>17</v>
      </c>
      <c r="H3788" t="s" s="2">
        <v>19</v>
      </c>
      <c r="I3788" t="s" s="2">
        <v>14770</v>
      </c>
      <c r="J3788" t="s" s="2">
        <v>14771</v>
      </c>
      <c r="K3788" t="s" s="2">
        <v>22</v>
      </c>
      <c r="L3788" t="s" s="2">
        <v>22</v>
      </c>
      <c r="M3788" t="s" s="2">
        <v>22</v>
      </c>
    </row>
    <row r="3789" ht="25.0" customHeight="true">
      <c r="A3789" t="s" s="2">
        <v>13</v>
      </c>
      <c r="B3789" t="s" s="2">
        <f>HYPERLINK("http://ts.21cn.com/tousu/show/id/1369517","九霄仙途手游未实名认证便可以玩")</f>
      </c>
      <c r="C3789" t="s" s="2">
        <v>15</v>
      </c>
      <c r="D3789" t="s" s="2">
        <v>16</v>
      </c>
      <c r="E3789" t="s" s="2">
        <v>17</v>
      </c>
      <c r="F3789" t="s" s="2">
        <f>HYPERLINK("http://ts.21cn.com/tousu/show/id/1369517","http://ts.21cn.com/tousu/show/id/1369517")</f>
      </c>
      <c r="G3789" t="s" s="2">
        <v>17</v>
      </c>
      <c r="H3789" t="s" s="2">
        <v>19</v>
      </c>
      <c r="I3789" t="s" s="2">
        <v>14774</v>
      </c>
      <c r="J3789" t="s" s="2">
        <v>14775</v>
      </c>
      <c r="K3789" t="s" s="2">
        <v>22</v>
      </c>
      <c r="L3789" t="s" s="2">
        <v>22</v>
      </c>
      <c r="M3789" t="s" s="2">
        <v>22</v>
      </c>
    </row>
    <row r="3790" ht="25.0" customHeight="true">
      <c r="A3790" t="s" s="2">
        <v>13</v>
      </c>
      <c r="B3790" t="s" s="2">
        <f>HYPERLINK("http://ts.21cn.com/tousu/show/id/1370013","在消费者不清楚了解状况下，未说明消费利息未说明这是贷款。未开发票利息明显更高。")</f>
      </c>
      <c r="C3790" t="s" s="2">
        <v>52</v>
      </c>
      <c r="D3790" t="s" s="2">
        <v>16</v>
      </c>
      <c r="E3790" t="s" s="2">
        <v>17</v>
      </c>
      <c r="F3790" t="s" s="2">
        <f>HYPERLINK("http://ts.21cn.com/tousu/show/id/1370013","http://ts.21cn.com/tousu/show/id/1370013")</f>
      </c>
      <c r="G3790" t="s" s="2">
        <v>17</v>
      </c>
      <c r="H3790" t="s" s="2">
        <v>19</v>
      </c>
      <c r="I3790" t="s" s="2">
        <v>14778</v>
      </c>
      <c r="J3790" t="s" s="2">
        <v>14779</v>
      </c>
      <c r="K3790" t="s" s="2">
        <v>22</v>
      </c>
      <c r="L3790" t="s" s="2">
        <v>22</v>
      </c>
      <c r="M3790" t="s" s="2">
        <v>22</v>
      </c>
    </row>
    <row r="3791" ht="25.0" customHeight="true">
      <c r="A3791" t="s" s="2">
        <v>13</v>
      </c>
      <c r="B3791" t="s" s="2">
        <f>HYPERLINK("http://ts.21cn.com/tousu/show/id/1370012","马上金融而已扣款上征信，要求撤销")</f>
      </c>
      <c r="C3791" t="s" s="2">
        <v>15</v>
      </c>
      <c r="D3791" t="s" s="2">
        <v>16</v>
      </c>
      <c r="E3791" t="s" s="2">
        <v>17</v>
      </c>
      <c r="F3791" t="s" s="2">
        <f>HYPERLINK("http://ts.21cn.com/tousu/show/id/1370012","http://ts.21cn.com/tousu/show/id/1370012")</f>
      </c>
      <c r="G3791" t="s" s="2">
        <v>17</v>
      </c>
      <c r="H3791" t="s" s="2">
        <v>19</v>
      </c>
      <c r="I3791" t="s" s="2">
        <v>14782</v>
      </c>
      <c r="J3791" t="s" s="2">
        <v>14783</v>
      </c>
      <c r="K3791" t="s" s="2">
        <v>22</v>
      </c>
      <c r="L3791" t="s" s="2">
        <v>22</v>
      </c>
      <c r="M3791" t="s" s="2">
        <v>22</v>
      </c>
    </row>
    <row r="3792" ht="25.0" customHeight="true">
      <c r="A3792" t="s" s="2">
        <v>13</v>
      </c>
      <c r="B3792" t="s" s="2">
        <f>HYPERLINK("http://ts.21cn.com/tousu/show/id/1370011","爆通讯录骂人群发短信破坏名誉")</f>
      </c>
      <c r="C3792" t="s" s="2">
        <v>15</v>
      </c>
      <c r="D3792" t="s" s="2">
        <v>16</v>
      </c>
      <c r="E3792" t="s" s="2">
        <v>17</v>
      </c>
      <c r="F3792" t="s" s="2">
        <f>HYPERLINK("http://ts.21cn.com/tousu/show/id/1370011","http://ts.21cn.com/tousu/show/id/1370011")</f>
      </c>
      <c r="G3792" t="s" s="2">
        <v>17</v>
      </c>
      <c r="H3792" t="s" s="2">
        <v>19</v>
      </c>
      <c r="I3792" t="s" s="2">
        <v>14786</v>
      </c>
      <c r="J3792" t="s" s="2">
        <v>14787</v>
      </c>
      <c r="K3792" t="s" s="2">
        <v>22</v>
      </c>
      <c r="L3792" t="s" s="2">
        <v>22</v>
      </c>
      <c r="M3792" t="s" s="2">
        <v>22</v>
      </c>
    </row>
    <row r="3793" ht="25.0" customHeight="true">
      <c r="A3793" t="s" s="2">
        <v>13</v>
      </c>
      <c r="B3793" t="s" s="2">
        <f>HYPERLINK("http://ts.21cn.com/tousu/show/id/1370009","美团暴力催收")</f>
      </c>
      <c r="C3793" t="s" s="2">
        <v>15</v>
      </c>
      <c r="D3793" t="s" s="2">
        <v>16</v>
      </c>
      <c r="E3793" t="s" s="2">
        <v>17</v>
      </c>
      <c r="F3793" t="s" s="2">
        <f>HYPERLINK("http://ts.21cn.com/tousu/show/id/1370009","http://ts.21cn.com/tousu/show/id/1370009")</f>
      </c>
      <c r="G3793" t="s" s="2">
        <v>17</v>
      </c>
      <c r="H3793" t="s" s="2">
        <v>19</v>
      </c>
      <c r="I3793" t="s" s="2">
        <v>14789</v>
      </c>
      <c r="J3793" t="s" s="2">
        <v>14790</v>
      </c>
      <c r="K3793" t="s" s="2">
        <v>22</v>
      </c>
      <c r="L3793" t="s" s="2">
        <v>22</v>
      </c>
      <c r="M3793" t="s" s="2">
        <v>22</v>
      </c>
    </row>
    <row r="3794" ht="25.0" customHeight="true">
      <c r="A3794" t="s" s="2">
        <v>13</v>
      </c>
      <c r="B3794" t="s" s="2">
        <f>HYPERLINK("http://ts.21cn.com/tousu/show/id/1370010","光大银行催收人员短信冒充公检法")</f>
      </c>
      <c r="C3794" t="s" s="2">
        <v>15</v>
      </c>
      <c r="D3794" t="s" s="2">
        <v>16</v>
      </c>
      <c r="E3794" t="s" s="2">
        <v>17</v>
      </c>
      <c r="F3794" t="s" s="2">
        <f>HYPERLINK("http://ts.21cn.com/tousu/show/id/1370010","http://ts.21cn.com/tousu/show/id/1370010")</f>
      </c>
      <c r="G3794" t="s" s="2">
        <v>17</v>
      </c>
      <c r="H3794" t="s" s="2">
        <v>19</v>
      </c>
      <c r="I3794" t="s" s="2">
        <v>14793</v>
      </c>
      <c r="J3794" t="s" s="2">
        <v>14794</v>
      </c>
      <c r="K3794" t="s" s="2">
        <v>22</v>
      </c>
      <c r="L3794" t="s" s="2">
        <v>22</v>
      </c>
      <c r="M3794" t="s" s="2">
        <v>22</v>
      </c>
    </row>
    <row r="3795" ht="25.0" customHeight="true">
      <c r="A3795" t="s" s="2">
        <v>13</v>
      </c>
      <c r="B3795" t="s" s="2">
        <f>HYPERLINK("http://ts.21cn.com/tousu/show/id/1370008","同银行协商还款，银行不要打太极")</f>
      </c>
      <c r="C3795" t="s" s="2">
        <v>15</v>
      </c>
      <c r="D3795" t="s" s="2">
        <v>16</v>
      </c>
      <c r="E3795" t="s" s="2">
        <v>17</v>
      </c>
      <c r="F3795" t="s" s="2">
        <f>HYPERLINK("http://ts.21cn.com/tousu/show/id/1370008","http://ts.21cn.com/tousu/show/id/1370008")</f>
      </c>
      <c r="G3795" t="s" s="2">
        <v>17</v>
      </c>
      <c r="H3795" t="s" s="2">
        <v>19</v>
      </c>
      <c r="I3795" t="s" s="2">
        <v>14797</v>
      </c>
      <c r="J3795" t="s" s="2">
        <v>14798</v>
      </c>
      <c r="K3795" t="s" s="2">
        <v>22</v>
      </c>
      <c r="L3795" t="s" s="2">
        <v>22</v>
      </c>
      <c r="M3795" t="s" s="2">
        <v>22</v>
      </c>
    </row>
    <row r="3796" ht="25.0" customHeight="true">
      <c r="A3796" t="s" s="2">
        <v>13</v>
      </c>
      <c r="B3796" t="s" s="2">
        <f>HYPERLINK("http://ts.21cn.com/tousu/show/id/1370007","美团猫眼忽悠人")</f>
      </c>
      <c r="C3796" t="s" s="2">
        <v>15</v>
      </c>
      <c r="D3796" t="s" s="2">
        <v>16</v>
      </c>
      <c r="E3796" t="s" s="2">
        <v>17</v>
      </c>
      <c r="F3796" t="s" s="2">
        <f>HYPERLINK("http://ts.21cn.com/tousu/show/id/1370007","http://ts.21cn.com/tousu/show/id/1370007")</f>
      </c>
      <c r="G3796" t="s" s="2">
        <v>17</v>
      </c>
      <c r="H3796" t="s" s="2">
        <v>19</v>
      </c>
      <c r="I3796" t="s" s="2">
        <v>14801</v>
      </c>
      <c r="J3796" t="s" s="2">
        <v>14802</v>
      </c>
      <c r="K3796" t="s" s="2">
        <v>22</v>
      </c>
      <c r="L3796" t="s" s="2">
        <v>22</v>
      </c>
      <c r="M3796" t="s" s="2">
        <v>22</v>
      </c>
    </row>
    <row r="3797" ht="25.0" customHeight="true">
      <c r="A3797" t="s" s="2">
        <v>13</v>
      </c>
      <c r="B3797" t="s" s="2">
        <f>HYPERLINK("http://ts.21cn.com/tousu/show/id/1370005","暴力上门催收")</f>
      </c>
      <c r="C3797" t="s" s="2">
        <v>15</v>
      </c>
      <c r="D3797" t="s" s="2">
        <v>16</v>
      </c>
      <c r="E3797" t="s" s="2">
        <v>17</v>
      </c>
      <c r="F3797" t="s" s="2">
        <f>HYPERLINK("http://ts.21cn.com/tousu/show/id/1370005","http://ts.21cn.com/tousu/show/id/1370005")</f>
      </c>
      <c r="G3797" t="s" s="2">
        <v>17</v>
      </c>
      <c r="H3797" t="s" s="2">
        <v>19</v>
      </c>
      <c r="I3797" t="s" s="2">
        <v>14805</v>
      </c>
      <c r="J3797" t="s" s="2">
        <v>14806</v>
      </c>
      <c r="K3797" t="s" s="2">
        <v>22</v>
      </c>
      <c r="L3797" t="s" s="2">
        <v>22</v>
      </c>
      <c r="M3797" t="s" s="2">
        <v>22</v>
      </c>
    </row>
    <row r="3798" ht="25.0" customHeight="true">
      <c r="A3798" t="s" s="2">
        <v>13</v>
      </c>
      <c r="B3798" t="s" s="2">
        <f>HYPERLINK("http://ts.21cn.com/tousu/show/id/1370004","OfO小黄车押金退款排队半年退不了")</f>
      </c>
      <c r="C3798" t="s" s="2">
        <v>52</v>
      </c>
      <c r="D3798" t="s" s="2">
        <v>16</v>
      </c>
      <c r="E3798" t="s" s="2">
        <v>17</v>
      </c>
      <c r="F3798" t="s" s="2">
        <f>HYPERLINK("http://ts.21cn.com/tousu/show/id/1370004","http://ts.21cn.com/tousu/show/id/1370004")</f>
      </c>
      <c r="G3798" t="s" s="2">
        <v>17</v>
      </c>
      <c r="H3798" t="s" s="2">
        <v>19</v>
      </c>
      <c r="I3798" t="s" s="2">
        <v>14809</v>
      </c>
      <c r="J3798" t="s" s="2">
        <v>14810</v>
      </c>
      <c r="K3798" t="s" s="2">
        <v>22</v>
      </c>
      <c r="L3798" t="s" s="2">
        <v>22</v>
      </c>
      <c r="M3798" t="s" s="2">
        <v>22</v>
      </c>
    </row>
    <row r="3799" ht="25.0" customHeight="true">
      <c r="A3799" t="s" s="2">
        <v>13</v>
      </c>
      <c r="B3799" t="s" s="2">
        <f>HYPERLINK("http://ts.21cn.com/tousu/show/id/1370001","京东白条提前还款仍需支付手续费")</f>
      </c>
      <c r="C3799" t="s" s="2">
        <v>15</v>
      </c>
      <c r="D3799" t="s" s="2">
        <v>16</v>
      </c>
      <c r="E3799" t="s" s="2">
        <v>17</v>
      </c>
      <c r="F3799" t="s" s="2">
        <f>HYPERLINK("http://ts.21cn.com/tousu/show/id/1370001","http://ts.21cn.com/tousu/show/id/1370001")</f>
      </c>
      <c r="G3799" t="s" s="2">
        <v>17</v>
      </c>
      <c r="H3799" t="s" s="2">
        <v>19</v>
      </c>
      <c r="I3799" t="s" s="2">
        <v>14813</v>
      </c>
      <c r="J3799" t="s" s="2">
        <v>14814</v>
      </c>
      <c r="K3799" t="s" s="2">
        <v>22</v>
      </c>
      <c r="L3799" t="s" s="2">
        <v>22</v>
      </c>
      <c r="M3799" t="s" s="2">
        <v>22</v>
      </c>
    </row>
    <row r="3800" ht="25.0" customHeight="true">
      <c r="A3800" t="s" s="2">
        <v>13</v>
      </c>
      <c r="B3800" t="s" s="2">
        <f>HYPERLINK("http://ts.21cn.com/tousu/show/id/1370000","京东逾期催收")</f>
      </c>
      <c r="C3800" t="s" s="2">
        <v>15</v>
      </c>
      <c r="D3800" t="s" s="2">
        <v>16</v>
      </c>
      <c r="E3800" t="s" s="2">
        <v>17</v>
      </c>
      <c r="F3800" t="s" s="2">
        <f>HYPERLINK("http://ts.21cn.com/tousu/show/id/1370000","http://ts.21cn.com/tousu/show/id/1370000")</f>
      </c>
      <c r="G3800" t="s" s="2">
        <v>17</v>
      </c>
      <c r="H3800" t="s" s="2">
        <v>19</v>
      </c>
      <c r="I3800" t="s" s="2">
        <v>14817</v>
      </c>
      <c r="J3800" t="s" s="2">
        <v>14818</v>
      </c>
      <c r="K3800" t="s" s="2">
        <v>22</v>
      </c>
      <c r="L3800" t="s" s="2">
        <v>22</v>
      </c>
      <c r="M3800" t="s" s="2">
        <v>22</v>
      </c>
    </row>
    <row r="3801" ht="25.0" customHeight="true">
      <c r="A3801" t="s" s="2">
        <v>13</v>
      </c>
      <c r="B3801" t="s" s="2">
        <f>HYPERLINK("http://ts.21cn.com/tousu/show/id/1369999","利息太高，电话暴力恐吓")</f>
      </c>
      <c r="C3801" t="s" s="2">
        <v>15</v>
      </c>
      <c r="D3801" t="s" s="2">
        <v>16</v>
      </c>
      <c r="E3801" t="s" s="2">
        <v>17</v>
      </c>
      <c r="F3801" t="s" s="2">
        <f>HYPERLINK("http://ts.21cn.com/tousu/show/id/1369999","http://ts.21cn.com/tousu/show/id/1369999")</f>
      </c>
      <c r="G3801" t="s" s="2">
        <v>17</v>
      </c>
      <c r="H3801" t="s" s="2">
        <v>19</v>
      </c>
      <c r="I3801" t="s" s="2">
        <v>14821</v>
      </c>
      <c r="J3801" t="s" s="2">
        <v>14822</v>
      </c>
      <c r="K3801" t="s" s="2">
        <v>22</v>
      </c>
      <c r="L3801" t="s" s="2">
        <v>22</v>
      </c>
      <c r="M3801" t="s" s="2">
        <v>22</v>
      </c>
    </row>
    <row r="3802" ht="25.0" customHeight="true">
      <c r="A3802" t="s" s="2">
        <v>13</v>
      </c>
      <c r="B3802" t="s" s="2">
        <f>HYPERLINK("http://ts.21cn.com/tousu/show/id/1369998","招商欺诈消费者")</f>
      </c>
      <c r="C3802" t="s" s="2">
        <v>15</v>
      </c>
      <c r="D3802" t="s" s="2">
        <v>16</v>
      </c>
      <c r="E3802" t="s" s="2">
        <v>17</v>
      </c>
      <c r="F3802" t="s" s="2">
        <f>HYPERLINK("http://ts.21cn.com/tousu/show/id/1369998","http://ts.21cn.com/tousu/show/id/1369998")</f>
      </c>
      <c r="G3802" t="s" s="2">
        <v>17</v>
      </c>
      <c r="H3802" t="s" s="2">
        <v>19</v>
      </c>
      <c r="I3802" t="s" s="2">
        <v>14825</v>
      </c>
      <c r="J3802" t="s" s="2">
        <v>14826</v>
      </c>
      <c r="K3802" t="s" s="2">
        <v>22</v>
      </c>
      <c r="L3802" t="s" s="2">
        <v>22</v>
      </c>
      <c r="M3802" t="s" s="2">
        <v>22</v>
      </c>
    </row>
    <row r="3803" ht="25.0" customHeight="true">
      <c r="A3803" t="s" s="2">
        <v>13</v>
      </c>
      <c r="B3803" t="s" s="2">
        <f>HYPERLINK("http://ts.21cn.com/tousu/show/id/1369997","招联金融我都不知道欠款人在哪里，已告知对方，每天还是接到几十个骚扰电话")</f>
      </c>
      <c r="C3803" t="s" s="2">
        <v>15</v>
      </c>
      <c r="D3803" t="s" s="2">
        <v>16</v>
      </c>
      <c r="E3803" t="s" s="2">
        <v>17</v>
      </c>
      <c r="F3803" t="s" s="2">
        <f>HYPERLINK("http://ts.21cn.com/tousu/show/id/1369997","http://ts.21cn.com/tousu/show/id/1369997")</f>
      </c>
      <c r="G3803" t="s" s="2">
        <v>17</v>
      </c>
      <c r="H3803" t="s" s="2">
        <v>19</v>
      </c>
      <c r="I3803" t="s" s="2">
        <v>14829</v>
      </c>
      <c r="J3803" t="s" s="2">
        <v>14830</v>
      </c>
      <c r="K3803" t="s" s="2">
        <v>22</v>
      </c>
      <c r="L3803" t="s" s="2">
        <v>22</v>
      </c>
      <c r="M3803" t="s" s="2">
        <v>22</v>
      </c>
    </row>
    <row r="3804" ht="25.0" customHeight="true">
      <c r="A3804" t="s" s="2">
        <v>13</v>
      </c>
      <c r="B3804" t="s" s="2">
        <f>HYPERLINK("http://ts.21cn.com/tousu/show/id/1369996","爱用商城暴力催收，还骂人，借了一千到手750，250的会员费，砍头息。")</f>
      </c>
      <c r="C3804" t="s" s="2">
        <v>15</v>
      </c>
      <c r="D3804" t="s" s="2">
        <v>16</v>
      </c>
      <c r="E3804" t="s" s="2">
        <v>17</v>
      </c>
      <c r="F3804" t="s" s="2">
        <f>HYPERLINK("http://ts.21cn.com/tousu/show/id/1369996","http://ts.21cn.com/tousu/show/id/1369996")</f>
      </c>
      <c r="G3804" t="s" s="2">
        <v>17</v>
      </c>
      <c r="H3804" t="s" s="2">
        <v>19</v>
      </c>
      <c r="I3804" t="s" s="2">
        <v>14833</v>
      </c>
      <c r="J3804" t="s" s="2">
        <v>14831</v>
      </c>
      <c r="K3804" t="s" s="2">
        <v>22</v>
      </c>
      <c r="L3804" t="s" s="2">
        <v>22</v>
      </c>
      <c r="M3804" t="s" s="2">
        <v>22</v>
      </c>
    </row>
    <row r="3805" ht="25.0" customHeight="true">
      <c r="A3805" t="s" s="2">
        <v>13</v>
      </c>
      <c r="B3805" t="s" s="2">
        <f>HYPERLINK("http://ts.21cn.com/tousu/show/id/1369993","维信卡卡贷高利率")</f>
      </c>
      <c r="C3805" t="s" s="2">
        <v>52</v>
      </c>
      <c r="D3805" t="s" s="2">
        <v>16</v>
      </c>
      <c r="E3805" t="s" s="2">
        <v>17</v>
      </c>
      <c r="F3805" t="s" s="2">
        <f>HYPERLINK("http://ts.21cn.com/tousu/show/id/1369993","http://ts.21cn.com/tousu/show/id/1369993")</f>
      </c>
      <c r="G3805" t="s" s="2">
        <v>17</v>
      </c>
      <c r="H3805" t="s" s="2">
        <v>19</v>
      </c>
      <c r="I3805" t="s" s="2">
        <v>14836</v>
      </c>
      <c r="J3805" t="s" s="2">
        <v>14837</v>
      </c>
      <c r="K3805" t="s" s="2">
        <v>22</v>
      </c>
      <c r="L3805" t="s" s="2">
        <v>22</v>
      </c>
      <c r="M3805" t="s" s="2">
        <v>22</v>
      </c>
    </row>
    <row r="3806" ht="25.0" customHeight="true">
      <c r="A3806" t="s" s="2">
        <v>13</v>
      </c>
      <c r="B3806" t="s" s="2">
        <f>HYPERLINK("http://ts.21cn.com/tousu/show/id/1369995","未逾期银行卡直接扣款")</f>
      </c>
      <c r="C3806" t="s" s="2">
        <v>15</v>
      </c>
      <c r="D3806" t="s" s="2">
        <v>16</v>
      </c>
      <c r="E3806" t="s" s="2">
        <v>17</v>
      </c>
      <c r="F3806" t="s" s="2">
        <f>HYPERLINK("http://ts.21cn.com/tousu/show/id/1369995","http://ts.21cn.com/tousu/show/id/1369995")</f>
      </c>
      <c r="G3806" t="s" s="2">
        <v>17</v>
      </c>
      <c r="H3806" t="s" s="2">
        <v>19</v>
      </c>
      <c r="I3806" t="s" s="2">
        <v>14840</v>
      </c>
      <c r="J3806" t="s" s="2">
        <v>14841</v>
      </c>
      <c r="K3806" t="s" s="2">
        <v>22</v>
      </c>
      <c r="L3806" t="s" s="2">
        <v>22</v>
      </c>
      <c r="M3806" t="s" s="2">
        <v>22</v>
      </c>
    </row>
    <row r="3807" ht="25.0" customHeight="true">
      <c r="A3807" t="s" s="2">
        <v>13</v>
      </c>
      <c r="B3807" t="s" s="2">
        <f>HYPERLINK("http://ts.21cn.com/tousu/show/id/1369992","及货阴阳合同")</f>
      </c>
      <c r="C3807" t="s" s="2">
        <v>15</v>
      </c>
      <c r="D3807" t="s" s="2">
        <v>16</v>
      </c>
      <c r="E3807" t="s" s="2">
        <v>17</v>
      </c>
      <c r="F3807" t="s" s="2">
        <f>HYPERLINK("http://ts.21cn.com/tousu/show/id/1369992","http://ts.21cn.com/tousu/show/id/1369992")</f>
      </c>
      <c r="G3807" t="s" s="2">
        <v>17</v>
      </c>
      <c r="H3807" t="s" s="2">
        <v>19</v>
      </c>
      <c r="I3807" t="s" s="2">
        <v>14844</v>
      </c>
      <c r="J3807" t="s" s="2">
        <v>14845</v>
      </c>
      <c r="K3807" t="s" s="2">
        <v>22</v>
      </c>
      <c r="L3807" t="s" s="2">
        <v>22</v>
      </c>
      <c r="M3807" t="s" s="2">
        <v>22</v>
      </c>
    </row>
    <row r="3808" ht="25.0" customHeight="true">
      <c r="A3808" t="s" s="2">
        <v>13</v>
      </c>
      <c r="B3808" t="s" s="2">
        <f>HYPERLINK("http://ts.21cn.com/tousu/show/id/1369990","在毕节飞雄机场被误导办卡")</f>
      </c>
      <c r="C3808" t="s" s="2">
        <v>15</v>
      </c>
      <c r="D3808" t="s" s="2">
        <v>16</v>
      </c>
      <c r="E3808" t="s" s="2">
        <v>17</v>
      </c>
      <c r="F3808" t="s" s="2">
        <f>HYPERLINK("http://ts.21cn.com/tousu/show/id/1369990","http://ts.21cn.com/tousu/show/id/1369990")</f>
      </c>
      <c r="G3808" t="s" s="2">
        <v>17</v>
      </c>
      <c r="H3808" t="s" s="2">
        <v>19</v>
      </c>
      <c r="I3808" t="s" s="2">
        <v>14848</v>
      </c>
      <c r="J3808" t="s" s="2">
        <v>14849</v>
      </c>
      <c r="K3808" t="s" s="2">
        <v>22</v>
      </c>
      <c r="L3808" t="s" s="2">
        <v>22</v>
      </c>
      <c r="M3808" t="s" s="2">
        <v>22</v>
      </c>
    </row>
    <row r="3809" ht="25.0" customHeight="true">
      <c r="A3809" t="s" s="2">
        <v>13</v>
      </c>
      <c r="B3809" t="s" s="2">
        <f>HYPERLINK("http://ts.21cn.com/tousu/show/id/1369988","信用卡逾期银行拒绝协商还款")</f>
      </c>
      <c r="C3809" t="s" s="2">
        <v>15</v>
      </c>
      <c r="D3809" t="s" s="2">
        <v>16</v>
      </c>
      <c r="E3809" t="s" s="2">
        <v>17</v>
      </c>
      <c r="F3809" t="s" s="2">
        <f>HYPERLINK("http://ts.21cn.com/tousu/show/id/1369988","http://ts.21cn.com/tousu/show/id/1369988")</f>
      </c>
      <c r="G3809" t="s" s="2">
        <v>17</v>
      </c>
      <c r="H3809" t="s" s="2">
        <v>19</v>
      </c>
      <c r="I3809" t="s" s="2">
        <v>14852</v>
      </c>
      <c r="J3809" t="s" s="2">
        <v>14853</v>
      </c>
      <c r="K3809" t="s" s="2">
        <v>22</v>
      </c>
      <c r="L3809" t="s" s="2">
        <v>22</v>
      </c>
      <c r="M3809" t="s" s="2">
        <v>22</v>
      </c>
    </row>
    <row r="3810" ht="25.0" customHeight="true">
      <c r="A3810" t="s" s="2">
        <v>13</v>
      </c>
      <c r="B3810" t="s" s="2">
        <f>HYPERLINK("http://ts.21cn.com/tousu/show/id/1369989","闪电借款要求宽限几天")</f>
      </c>
      <c r="C3810" t="s" s="2">
        <v>15</v>
      </c>
      <c r="D3810" t="s" s="2">
        <v>16</v>
      </c>
      <c r="E3810" t="s" s="2">
        <v>17</v>
      </c>
      <c r="F3810" t="s" s="2">
        <f>HYPERLINK("http://ts.21cn.com/tousu/show/id/1369989","http://ts.21cn.com/tousu/show/id/1369989")</f>
      </c>
      <c r="G3810" t="s" s="2">
        <v>17</v>
      </c>
      <c r="H3810" t="s" s="2">
        <v>19</v>
      </c>
      <c r="I3810" t="s" s="2">
        <v>14852</v>
      </c>
      <c r="J3810" t="s" s="2">
        <v>14856</v>
      </c>
      <c r="K3810" t="s" s="2">
        <v>22</v>
      </c>
      <c r="L3810" t="s" s="2">
        <v>22</v>
      </c>
      <c r="M3810" t="s" s="2">
        <v>22</v>
      </c>
    </row>
    <row r="3811" ht="25.0" customHeight="true">
      <c r="A3811" t="s" s="2">
        <v>13</v>
      </c>
      <c r="B3811" t="s" s="2">
        <f>HYPERLINK("http://ts.21cn.com/tousu/show/id/1369986","及贷平台放款时候直接扣除所谓的保费，欺诈行为")</f>
      </c>
      <c r="C3811" t="s" s="2">
        <v>15</v>
      </c>
      <c r="D3811" t="s" s="2">
        <v>16</v>
      </c>
      <c r="E3811" t="s" s="2">
        <v>17</v>
      </c>
      <c r="F3811" t="s" s="2">
        <f>HYPERLINK("http://ts.21cn.com/tousu/show/id/1369986","http://ts.21cn.com/tousu/show/id/1369986")</f>
      </c>
      <c r="G3811" t="s" s="2">
        <v>17</v>
      </c>
      <c r="H3811" t="s" s="2">
        <v>19</v>
      </c>
      <c r="I3811" t="s" s="2">
        <v>14859</v>
      </c>
      <c r="J3811" t="s" s="2">
        <v>14860</v>
      </c>
      <c r="K3811" t="s" s="2">
        <v>22</v>
      </c>
      <c r="L3811" t="s" s="2">
        <v>22</v>
      </c>
      <c r="M3811" t="s" s="2">
        <v>22</v>
      </c>
    </row>
    <row r="3812" ht="25.0" customHeight="true">
      <c r="A3812" t="s" s="2">
        <v>13</v>
      </c>
      <c r="B3812" t="s" s="2">
        <f>HYPERLINK("http://ts.21cn.com/tousu/show/id/1369987","高利贷暴力催收")</f>
      </c>
      <c r="C3812" t="s" s="2">
        <v>15</v>
      </c>
      <c r="D3812" t="s" s="2">
        <v>16</v>
      </c>
      <c r="E3812" t="s" s="2">
        <v>17</v>
      </c>
      <c r="F3812" t="s" s="2">
        <f>HYPERLINK("http://ts.21cn.com/tousu/show/id/1369987","http://ts.21cn.com/tousu/show/id/1369987")</f>
      </c>
      <c r="G3812" t="s" s="2">
        <v>17</v>
      </c>
      <c r="H3812" t="s" s="2">
        <v>19</v>
      </c>
      <c r="I3812" t="s" s="2">
        <v>14862</v>
      </c>
      <c r="J3812" t="s" s="2">
        <v>14863</v>
      </c>
      <c r="K3812" t="s" s="2">
        <v>22</v>
      </c>
      <c r="L3812" t="s" s="2">
        <v>22</v>
      </c>
      <c r="M3812" t="s" s="2">
        <v>22</v>
      </c>
    </row>
    <row r="3813" ht="25.0" customHeight="true">
      <c r="A3813" t="s" s="2">
        <v>13</v>
      </c>
      <c r="B3813" t="s" s="2">
        <f>HYPERLINK("http://ts.21cn.com/tousu/show/id/1369985","畅快车贷高利贷，拒绝协商爆通讯录")</f>
      </c>
      <c r="C3813" t="s" s="2">
        <v>15</v>
      </c>
      <c r="D3813" t="s" s="2">
        <v>16</v>
      </c>
      <c r="E3813" t="s" s="2">
        <v>17</v>
      </c>
      <c r="F3813" t="s" s="2">
        <f>HYPERLINK("http://ts.21cn.com/tousu/show/id/1369985","http://ts.21cn.com/tousu/show/id/1369985")</f>
      </c>
      <c r="G3813" t="s" s="2">
        <v>17</v>
      </c>
      <c r="H3813" t="s" s="2">
        <v>19</v>
      </c>
      <c r="I3813" t="s" s="2">
        <v>14866</v>
      </c>
      <c r="J3813" t="s" s="2">
        <v>14867</v>
      </c>
      <c r="K3813" t="s" s="2">
        <v>22</v>
      </c>
      <c r="L3813" t="s" s="2">
        <v>22</v>
      </c>
      <c r="M3813" t="s" s="2">
        <v>22</v>
      </c>
    </row>
    <row r="3814" ht="25.0" customHeight="true">
      <c r="A3814" t="s" s="2">
        <v>13</v>
      </c>
      <c r="B3814" t="s" s="2">
        <f>HYPERLINK("http://ts.21cn.com/tousu/show/id/1369984","微信支付冻结我私人财产")</f>
      </c>
      <c r="C3814" t="s" s="2">
        <v>52</v>
      </c>
      <c r="D3814" t="s" s="2">
        <v>16</v>
      </c>
      <c r="E3814" t="s" s="2">
        <v>17</v>
      </c>
      <c r="F3814" t="s" s="2">
        <f>HYPERLINK("http://ts.21cn.com/tousu/show/id/1369984","http://ts.21cn.com/tousu/show/id/1369984")</f>
      </c>
      <c r="G3814" t="s" s="2">
        <v>17</v>
      </c>
      <c r="H3814" t="s" s="2">
        <v>19</v>
      </c>
      <c r="I3814" t="s" s="2">
        <v>14870</v>
      </c>
      <c r="J3814" t="s" s="2">
        <v>14871</v>
      </c>
      <c r="K3814" t="s" s="2">
        <v>22</v>
      </c>
      <c r="L3814" t="s" s="2">
        <v>22</v>
      </c>
      <c r="M3814" t="s" s="2">
        <v>22</v>
      </c>
    </row>
    <row r="3815" ht="25.0" customHeight="true">
      <c r="A3815" t="s" s="2">
        <v>13</v>
      </c>
      <c r="B3815" t="s" s="2">
        <f>HYPERLINK("http://ts.21cn.com/tousu/show/id/1369982","投诉网贷百度有钱花误导性虚假宣传")</f>
      </c>
      <c r="C3815" t="s" s="2">
        <v>15</v>
      </c>
      <c r="D3815" t="s" s="2">
        <v>16</v>
      </c>
      <c r="E3815" t="s" s="2">
        <v>17</v>
      </c>
      <c r="F3815" t="s" s="2">
        <f>HYPERLINK("http://ts.21cn.com/tousu/show/id/1369982","http://ts.21cn.com/tousu/show/id/1369982")</f>
      </c>
      <c r="G3815" t="s" s="2">
        <v>17</v>
      </c>
      <c r="H3815" t="s" s="2">
        <v>19</v>
      </c>
      <c r="I3815" t="s" s="2">
        <v>14874</v>
      </c>
      <c r="J3815" t="s" s="2">
        <v>14875</v>
      </c>
      <c r="K3815" t="s" s="2">
        <v>22</v>
      </c>
      <c r="L3815" t="s" s="2">
        <v>22</v>
      </c>
      <c r="M3815" t="s" s="2">
        <v>22</v>
      </c>
    </row>
    <row r="3816" ht="25.0" customHeight="true">
      <c r="A3816" t="s" s="2">
        <v>13</v>
      </c>
      <c r="B3816" t="s" s="2">
        <f>HYPERLINK("http://ts.21cn.com/tousu/show/id/1369981","龙分期暴力催收")</f>
      </c>
      <c r="C3816" t="s" s="2">
        <v>15</v>
      </c>
      <c r="D3816" t="s" s="2">
        <v>16</v>
      </c>
      <c r="E3816" t="s" s="2">
        <v>17</v>
      </c>
      <c r="F3816" t="s" s="2">
        <f>HYPERLINK("http://ts.21cn.com/tousu/show/id/1369981","http://ts.21cn.com/tousu/show/id/1369981")</f>
      </c>
      <c r="G3816" t="s" s="2">
        <v>17</v>
      </c>
      <c r="H3816" t="s" s="2">
        <v>19</v>
      </c>
      <c r="I3816" t="s" s="2">
        <v>14878</v>
      </c>
      <c r="J3816" t="s" s="2">
        <v>14879</v>
      </c>
      <c r="K3816" t="s" s="2">
        <v>22</v>
      </c>
      <c r="L3816" t="s" s="2">
        <v>22</v>
      </c>
      <c r="M3816" t="s" s="2">
        <v>22</v>
      </c>
    </row>
    <row r="3817" ht="25.0" customHeight="true">
      <c r="A3817" t="s" s="2">
        <v>13</v>
      </c>
      <c r="B3817" t="s" s="2">
        <f>HYPERLINK("http://ts.21cn.com/tousu/show/id/1369979","尚德机构霸王条款，退费困难")</f>
      </c>
      <c r="C3817" t="s" s="2">
        <v>15</v>
      </c>
      <c r="D3817" t="s" s="2">
        <v>16</v>
      </c>
      <c r="E3817" t="s" s="2">
        <v>17</v>
      </c>
      <c r="F3817" t="s" s="2">
        <f>HYPERLINK("http://ts.21cn.com/tousu/show/id/1369979","http://ts.21cn.com/tousu/show/id/1369979")</f>
      </c>
      <c r="G3817" t="s" s="2">
        <v>17</v>
      </c>
      <c r="H3817" t="s" s="2">
        <v>19</v>
      </c>
      <c r="I3817" t="s" s="2">
        <v>14882</v>
      </c>
      <c r="J3817" t="s" s="2">
        <v>14883</v>
      </c>
      <c r="K3817" t="s" s="2">
        <v>22</v>
      </c>
      <c r="L3817" t="s" s="2">
        <v>22</v>
      </c>
      <c r="M3817" t="s" s="2">
        <v>22</v>
      </c>
    </row>
    <row r="3818" ht="25.0" customHeight="true">
      <c r="A3818" t="s" s="2">
        <v>13</v>
      </c>
      <c r="B3818" t="s" s="2">
        <f>HYPERLINK("http://ts.21cn.com/tousu/show/id/1369978","投诉了还是没有用仍然还在威胁、骚扰无关人员及泄露个人信息")</f>
      </c>
      <c r="C3818" t="s" s="2">
        <v>15</v>
      </c>
      <c r="D3818" t="s" s="2">
        <v>16</v>
      </c>
      <c r="E3818" t="s" s="2">
        <v>17</v>
      </c>
      <c r="F3818" t="s" s="2">
        <f>HYPERLINK("http://ts.21cn.com/tousu/show/id/1369978","http://ts.21cn.com/tousu/show/id/1369978")</f>
      </c>
      <c r="G3818" t="s" s="2">
        <v>17</v>
      </c>
      <c r="H3818" t="s" s="2">
        <v>19</v>
      </c>
      <c r="I3818" t="s" s="2">
        <v>14886</v>
      </c>
      <c r="J3818" t="s" s="2">
        <v>14887</v>
      </c>
      <c r="K3818" t="s" s="2">
        <v>22</v>
      </c>
      <c r="L3818" t="s" s="2">
        <v>22</v>
      </c>
      <c r="M3818" t="s" s="2">
        <v>22</v>
      </c>
    </row>
    <row r="3819" ht="25.0" customHeight="true">
      <c r="A3819" t="s" s="2">
        <v>13</v>
      </c>
      <c r="B3819" t="s" s="2">
        <f>HYPERLINK("http://ts.21cn.com/tousu/show/id/1369977","招行信用卡高利违约金")</f>
      </c>
      <c r="C3819" t="s" s="2">
        <v>15</v>
      </c>
      <c r="D3819" t="s" s="2">
        <v>16</v>
      </c>
      <c r="E3819" t="s" s="2">
        <v>17</v>
      </c>
      <c r="F3819" t="s" s="2">
        <f>HYPERLINK("http://ts.21cn.com/tousu/show/id/1369977","http://ts.21cn.com/tousu/show/id/1369977")</f>
      </c>
      <c r="G3819" t="s" s="2">
        <v>17</v>
      </c>
      <c r="H3819" t="s" s="2">
        <v>19</v>
      </c>
      <c r="I3819" t="s" s="2">
        <v>14890</v>
      </c>
      <c r="J3819" t="s" s="2">
        <v>14891</v>
      </c>
      <c r="K3819" t="s" s="2">
        <v>22</v>
      </c>
      <c r="L3819" t="s" s="2">
        <v>22</v>
      </c>
      <c r="M3819" t="s" s="2">
        <v>22</v>
      </c>
    </row>
    <row r="3820" ht="25.0" customHeight="true">
      <c r="A3820" t="s" s="2">
        <v>13</v>
      </c>
      <c r="B3820" t="s" s="2">
        <f>HYPERLINK("http://ts.21cn.com/tousu/show/id/1369976","高额利息超过规定")</f>
      </c>
      <c r="C3820" t="s" s="2">
        <v>15</v>
      </c>
      <c r="D3820" t="s" s="2">
        <v>16</v>
      </c>
      <c r="E3820" t="s" s="2">
        <v>17</v>
      </c>
      <c r="F3820" t="s" s="2">
        <f>HYPERLINK("http://ts.21cn.com/tousu/show/id/1369976","http://ts.21cn.com/tousu/show/id/1369976")</f>
      </c>
      <c r="G3820" t="s" s="2">
        <v>17</v>
      </c>
      <c r="H3820" t="s" s="2">
        <v>19</v>
      </c>
      <c r="I3820" t="s" s="2">
        <v>14894</v>
      </c>
      <c r="J3820" t="s" s="2">
        <v>14895</v>
      </c>
      <c r="K3820" t="s" s="2">
        <v>22</v>
      </c>
      <c r="L3820" t="s" s="2">
        <v>22</v>
      </c>
      <c r="M3820" t="s" s="2">
        <v>22</v>
      </c>
    </row>
    <row r="3821" ht="25.0" customHeight="true">
      <c r="A3821" t="s" s="2">
        <v>13</v>
      </c>
      <c r="B3821" t="s" s="2">
        <f>HYPERLINK("http://ts.21cn.com/tousu/show/id/1369975","爆通讯录")</f>
      </c>
      <c r="C3821" t="s" s="2">
        <v>15</v>
      </c>
      <c r="D3821" t="s" s="2">
        <v>16</v>
      </c>
      <c r="E3821" t="s" s="2">
        <v>17</v>
      </c>
      <c r="F3821" t="s" s="2">
        <f>HYPERLINK("http://ts.21cn.com/tousu/show/id/1369975","http://ts.21cn.com/tousu/show/id/1369975")</f>
      </c>
      <c r="G3821" t="s" s="2">
        <v>17</v>
      </c>
      <c r="H3821" t="s" s="2">
        <v>19</v>
      </c>
      <c r="I3821" t="s" s="2">
        <v>14897</v>
      </c>
      <c r="J3821" t="s" s="2">
        <v>14898</v>
      </c>
      <c r="K3821" t="s" s="2">
        <v>22</v>
      </c>
      <c r="L3821" t="s" s="2">
        <v>22</v>
      </c>
      <c r="M3821" t="s" s="2">
        <v>22</v>
      </c>
    </row>
    <row r="3822" ht="25.0" customHeight="true">
      <c r="A3822" t="s" s="2">
        <v>13</v>
      </c>
      <c r="B3822" t="s" s="2">
        <f>HYPERLINK("http://ts.21cn.com/tousu/show/id/1369974","闪银暴力催款")</f>
      </c>
      <c r="C3822" t="s" s="2">
        <v>15</v>
      </c>
      <c r="D3822" t="s" s="2">
        <v>16</v>
      </c>
      <c r="E3822" t="s" s="2">
        <v>17</v>
      </c>
      <c r="F3822" t="s" s="2">
        <f>HYPERLINK("http://ts.21cn.com/tousu/show/id/1369974","http://ts.21cn.com/tousu/show/id/1369974")</f>
      </c>
      <c r="G3822" t="s" s="2">
        <v>17</v>
      </c>
      <c r="H3822" t="s" s="2">
        <v>19</v>
      </c>
      <c r="I3822" t="s" s="2">
        <v>14901</v>
      </c>
      <c r="J3822" t="s" s="2">
        <v>14902</v>
      </c>
      <c r="K3822" t="s" s="2">
        <v>22</v>
      </c>
      <c r="L3822" t="s" s="2">
        <v>22</v>
      </c>
      <c r="M3822" t="s" s="2">
        <v>22</v>
      </c>
    </row>
    <row r="3823" ht="25.0" customHeight="true">
      <c r="A3823" t="s" s="2">
        <v>13</v>
      </c>
      <c r="B3823" t="s" s="2">
        <f>HYPERLINK("http://ts.21cn.com/tousu/show/id/1369936","影响到生活与工作，暴力催收")</f>
      </c>
      <c r="C3823" t="s" s="2">
        <v>15</v>
      </c>
      <c r="D3823" t="s" s="2">
        <v>16</v>
      </c>
      <c r="E3823" t="s" s="2">
        <v>17</v>
      </c>
      <c r="F3823" t="s" s="2">
        <f>HYPERLINK("http://ts.21cn.com/tousu/show/id/1369936","http://ts.21cn.com/tousu/show/id/1369936")</f>
      </c>
      <c r="G3823" t="s" s="2">
        <v>17</v>
      </c>
      <c r="H3823" t="s" s="2">
        <v>19</v>
      </c>
      <c r="I3823" t="s" s="2">
        <v>14905</v>
      </c>
      <c r="J3823" t="s" s="2">
        <v>14906</v>
      </c>
      <c r="K3823" t="s" s="2">
        <v>22</v>
      </c>
      <c r="L3823" t="s" s="2">
        <v>22</v>
      </c>
      <c r="M3823" t="s" s="2">
        <v>22</v>
      </c>
    </row>
    <row r="3824" ht="25.0" customHeight="true">
      <c r="A3824" t="s" s="2">
        <v>13</v>
      </c>
      <c r="B3824" t="s" s="2">
        <f>HYPERLINK("http://ts.21cn.com/tousu/show/id/1369973","微信支付被冻结，里边资金不能取现")</f>
      </c>
      <c r="C3824" t="s" s="2">
        <v>15</v>
      </c>
      <c r="D3824" t="s" s="2">
        <v>16</v>
      </c>
      <c r="E3824" t="s" s="2">
        <v>17</v>
      </c>
      <c r="F3824" t="s" s="2">
        <f>HYPERLINK("http://ts.21cn.com/tousu/show/id/1369973","http://ts.21cn.com/tousu/show/id/1369973")</f>
      </c>
      <c r="G3824" t="s" s="2">
        <v>17</v>
      </c>
      <c r="H3824" t="s" s="2">
        <v>19</v>
      </c>
      <c r="I3824" t="s" s="2">
        <v>14909</v>
      </c>
      <c r="J3824" t="s" s="2">
        <v>14910</v>
      </c>
      <c r="K3824" t="s" s="2">
        <v>22</v>
      </c>
      <c r="L3824" t="s" s="2">
        <v>22</v>
      </c>
      <c r="M3824" t="s" s="2">
        <v>22</v>
      </c>
    </row>
    <row r="3825" ht="25.0" customHeight="true">
      <c r="A3825" t="s" s="2">
        <v>13</v>
      </c>
      <c r="B3825" t="s" s="2">
        <f>HYPERLINK("http://ts.21cn.com/tousu/show/id/1369971","马上金融暴力催收，群发短信，威胁，")</f>
      </c>
      <c r="C3825" t="s" s="2">
        <v>15</v>
      </c>
      <c r="D3825" t="s" s="2">
        <v>16</v>
      </c>
      <c r="E3825" t="s" s="2">
        <v>17</v>
      </c>
      <c r="F3825" t="s" s="2">
        <f>HYPERLINK("http://ts.21cn.com/tousu/show/id/1369971","http://ts.21cn.com/tousu/show/id/1369971")</f>
      </c>
      <c r="G3825" t="s" s="2">
        <v>17</v>
      </c>
      <c r="H3825" t="s" s="2">
        <v>19</v>
      </c>
      <c r="I3825" t="s" s="2">
        <v>14913</v>
      </c>
      <c r="J3825" t="s" s="2">
        <v>14914</v>
      </c>
      <c r="K3825" t="s" s="2">
        <v>22</v>
      </c>
      <c r="L3825" t="s" s="2">
        <v>22</v>
      </c>
      <c r="M3825" t="s" s="2">
        <v>22</v>
      </c>
    </row>
    <row r="3826" ht="25.0" customHeight="true">
      <c r="A3826" t="s" s="2">
        <v>13</v>
      </c>
      <c r="B3826" t="s" s="2">
        <f>HYPERLINK("http://ts.21cn.com/tousu/show/id/1369969","拼多多现金助力活动")</f>
      </c>
      <c r="C3826" t="s" s="2">
        <v>15</v>
      </c>
      <c r="D3826" t="s" s="2">
        <v>16</v>
      </c>
      <c r="E3826" t="s" s="2">
        <v>17</v>
      </c>
      <c r="F3826" t="s" s="2">
        <f>HYPERLINK("http://ts.21cn.com/tousu/show/id/1369969","http://ts.21cn.com/tousu/show/id/1369969")</f>
      </c>
      <c r="G3826" t="s" s="2">
        <v>17</v>
      </c>
      <c r="H3826" t="s" s="2">
        <v>19</v>
      </c>
      <c r="I3826" t="s" s="2">
        <v>14917</v>
      </c>
      <c r="J3826" t="s" s="2">
        <v>14918</v>
      </c>
      <c r="K3826" t="s" s="2">
        <v>22</v>
      </c>
      <c r="L3826" t="s" s="2">
        <v>22</v>
      </c>
      <c r="M3826" t="s" s="2">
        <v>22</v>
      </c>
    </row>
    <row r="3827" ht="25.0" customHeight="true">
      <c r="A3827" t="s" s="2">
        <v>13</v>
      </c>
      <c r="B3827" t="s" s="2">
        <f>HYPERLINK("http://ts.21cn.com/tousu/show/id/1369967","年华利率超过36%")</f>
      </c>
      <c r="C3827" t="s" s="2">
        <v>15</v>
      </c>
      <c r="D3827" t="s" s="2">
        <v>16</v>
      </c>
      <c r="E3827" t="s" s="2">
        <v>17</v>
      </c>
      <c r="F3827" t="s" s="2">
        <f>HYPERLINK("http://ts.21cn.com/tousu/show/id/1369967","http://ts.21cn.com/tousu/show/id/1369967")</f>
      </c>
      <c r="G3827" t="s" s="2">
        <v>17</v>
      </c>
      <c r="H3827" t="s" s="2">
        <v>19</v>
      </c>
      <c r="I3827" t="s" s="2">
        <v>14921</v>
      </c>
      <c r="J3827" t="s" s="2">
        <v>14922</v>
      </c>
      <c r="K3827" t="s" s="2">
        <v>22</v>
      </c>
      <c r="L3827" t="s" s="2">
        <v>22</v>
      </c>
      <c r="M3827" t="s" s="2">
        <v>22</v>
      </c>
    </row>
    <row r="3828" ht="25.0" customHeight="true">
      <c r="A3828" t="s" s="2">
        <v>13</v>
      </c>
      <c r="B3828" t="s" s="2">
        <f>HYPERLINK("http://ts.21cn.com/tousu/show/id/1369966","下载多点分期，提示验证银行卡，扣了299元")</f>
      </c>
      <c r="C3828" t="s" s="2">
        <v>52</v>
      </c>
      <c r="D3828" t="s" s="2">
        <v>16</v>
      </c>
      <c r="E3828" t="s" s="2">
        <v>17</v>
      </c>
      <c r="F3828" t="s" s="2">
        <f>HYPERLINK("http://ts.21cn.com/tousu/show/id/1369966","http://ts.21cn.com/tousu/show/id/1369966")</f>
      </c>
      <c r="G3828" t="s" s="2">
        <v>17</v>
      </c>
      <c r="H3828" t="s" s="2">
        <v>19</v>
      </c>
      <c r="I3828" t="s" s="2">
        <v>14925</v>
      </c>
      <c r="J3828" t="s" s="2">
        <v>14926</v>
      </c>
      <c r="K3828" t="s" s="2">
        <v>22</v>
      </c>
      <c r="L3828" t="s" s="2">
        <v>22</v>
      </c>
      <c r="M3828" t="s" s="2">
        <v>22</v>
      </c>
    </row>
    <row r="3829" ht="25.0" customHeight="true">
      <c r="A3829" t="s" s="2">
        <v>13</v>
      </c>
      <c r="B3829" t="s" s="2">
        <f>HYPERLINK("http://ts.21cn.com/tousu/show/id/1369964","招商银行信用卡直接划扣我的工资和救命钱")</f>
      </c>
      <c r="C3829" t="s" s="2">
        <v>15</v>
      </c>
      <c r="D3829" t="s" s="2">
        <v>16</v>
      </c>
      <c r="E3829" t="s" s="2">
        <v>17</v>
      </c>
      <c r="F3829" t="s" s="2">
        <f>HYPERLINK("http://ts.21cn.com/tousu/show/id/1369964","http://ts.21cn.com/tousu/show/id/1369964")</f>
      </c>
      <c r="G3829" t="s" s="2">
        <v>17</v>
      </c>
      <c r="H3829" t="s" s="2">
        <v>19</v>
      </c>
      <c r="I3829" t="s" s="2">
        <v>14929</v>
      </c>
      <c r="J3829" t="s" s="2">
        <v>14930</v>
      </c>
      <c r="K3829" t="s" s="2">
        <v>22</v>
      </c>
      <c r="L3829" t="s" s="2">
        <v>22</v>
      </c>
      <c r="M3829" t="s" s="2">
        <v>22</v>
      </c>
    </row>
    <row r="3830" ht="25.0" customHeight="true">
      <c r="A3830" t="s" s="2">
        <v>13</v>
      </c>
      <c r="B3830" t="s" s="2">
        <f>HYPERLINK("http://ts.21cn.com/tousu/show/id/1369963","卡卡贷黑心平台要求退还扣款失败违约金")</f>
      </c>
      <c r="C3830" t="s" s="2">
        <v>15</v>
      </c>
      <c r="D3830" t="s" s="2">
        <v>16</v>
      </c>
      <c r="E3830" t="s" s="2">
        <v>17</v>
      </c>
      <c r="F3830" t="s" s="2">
        <f>HYPERLINK("http://ts.21cn.com/tousu/show/id/1369963","http://ts.21cn.com/tousu/show/id/1369963")</f>
      </c>
      <c r="G3830" t="s" s="2">
        <v>17</v>
      </c>
      <c r="H3830" t="s" s="2">
        <v>19</v>
      </c>
      <c r="I3830" t="s" s="2">
        <v>14933</v>
      </c>
      <c r="J3830" t="s" s="2">
        <v>14934</v>
      </c>
      <c r="K3830" t="s" s="2">
        <v>22</v>
      </c>
      <c r="L3830" t="s" s="2">
        <v>22</v>
      </c>
      <c r="M3830" t="s" s="2">
        <v>22</v>
      </c>
    </row>
    <row r="3831" ht="25.0" customHeight="true">
      <c r="A3831" t="s" s="2">
        <v>13</v>
      </c>
      <c r="B3831" t="s" s="2">
        <f>HYPERLINK("http://ts.21cn.com/tousu/show/id/1369962","佰仟金融伪造律师函群发短信")</f>
      </c>
      <c r="C3831" t="s" s="2">
        <v>15</v>
      </c>
      <c r="D3831" t="s" s="2">
        <v>16</v>
      </c>
      <c r="E3831" t="s" s="2">
        <v>17</v>
      </c>
      <c r="F3831" t="s" s="2">
        <f>HYPERLINK("http://ts.21cn.com/tousu/show/id/1369962","http://ts.21cn.com/tousu/show/id/1369962")</f>
      </c>
      <c r="G3831" t="s" s="2">
        <v>17</v>
      </c>
      <c r="H3831" t="s" s="2">
        <v>19</v>
      </c>
      <c r="I3831" t="s" s="2">
        <v>14937</v>
      </c>
      <c r="J3831" t="s" s="2">
        <v>14938</v>
      </c>
      <c r="K3831" t="s" s="2">
        <v>22</v>
      </c>
      <c r="L3831" t="s" s="2">
        <v>22</v>
      </c>
      <c r="M3831" t="s" s="2">
        <v>22</v>
      </c>
    </row>
    <row r="3832" ht="25.0" customHeight="true">
      <c r="A3832" t="s" s="2">
        <v>13</v>
      </c>
      <c r="B3832" t="s" s="2">
        <f>HYPERLINK("http://ts.21cn.com/tousu/show/id/1369960","榕树贷款恒易贷强制逾期并且便宜划扣利息不给解决")</f>
      </c>
      <c r="C3832" t="s" s="2">
        <v>15</v>
      </c>
      <c r="D3832" t="s" s="2">
        <v>16</v>
      </c>
      <c r="E3832" t="s" s="2">
        <v>17</v>
      </c>
      <c r="F3832" t="s" s="2">
        <f>HYPERLINK("http://ts.21cn.com/tousu/show/id/1369960","http://ts.21cn.com/tousu/show/id/1369960")</f>
      </c>
      <c r="G3832" t="s" s="2">
        <v>17</v>
      </c>
      <c r="H3832" t="s" s="2">
        <v>19</v>
      </c>
      <c r="I3832" t="s" s="2">
        <v>14941</v>
      </c>
      <c r="J3832" t="s" s="2">
        <v>14942</v>
      </c>
      <c r="K3832" t="s" s="2">
        <v>22</v>
      </c>
      <c r="L3832" t="s" s="2">
        <v>22</v>
      </c>
      <c r="M3832" t="s" s="2">
        <v>22</v>
      </c>
    </row>
    <row r="3833" ht="25.0" customHeight="true">
      <c r="A3833" t="s" s="2">
        <v>13</v>
      </c>
      <c r="B3833" t="s" s="2">
        <f>HYPERLINK("http://ts.21cn.com/tousu/show/id/1369958","经过处理以后迟迟不退款")</f>
      </c>
      <c r="C3833" t="s" s="2">
        <v>15</v>
      </c>
      <c r="D3833" t="s" s="2">
        <v>16</v>
      </c>
      <c r="E3833" t="s" s="2">
        <v>17</v>
      </c>
      <c r="F3833" t="s" s="2">
        <f>HYPERLINK("http://ts.21cn.com/tousu/show/id/1369958","http://ts.21cn.com/tousu/show/id/1369958")</f>
      </c>
      <c r="G3833" t="s" s="2">
        <v>17</v>
      </c>
      <c r="H3833" t="s" s="2">
        <v>19</v>
      </c>
      <c r="I3833" t="s" s="2">
        <v>14945</v>
      </c>
      <c r="J3833" t="s" s="2">
        <v>14946</v>
      </c>
      <c r="K3833" t="s" s="2">
        <v>22</v>
      </c>
      <c r="L3833" t="s" s="2">
        <v>22</v>
      </c>
      <c r="M3833" t="s" s="2">
        <v>22</v>
      </c>
    </row>
    <row r="3834" ht="25.0" customHeight="true">
      <c r="A3834" t="s" s="2">
        <v>13</v>
      </c>
      <c r="B3834" t="s" s="2">
        <f>HYPERLINK("http://ts.21cn.com/tousu/show/id/1369957","不让提前还款")</f>
      </c>
      <c r="C3834" t="s" s="2">
        <v>15</v>
      </c>
      <c r="D3834" t="s" s="2">
        <v>16</v>
      </c>
      <c r="E3834" t="s" s="2">
        <v>17</v>
      </c>
      <c r="F3834" t="s" s="2">
        <f>HYPERLINK("http://ts.21cn.com/tousu/show/id/1369957","http://ts.21cn.com/tousu/show/id/1369957")</f>
      </c>
      <c r="G3834" t="s" s="2">
        <v>17</v>
      </c>
      <c r="H3834" t="s" s="2">
        <v>19</v>
      </c>
      <c r="I3834" t="s" s="2">
        <v>14949</v>
      </c>
      <c r="J3834" t="s" s="2">
        <v>14950</v>
      </c>
      <c r="K3834" t="s" s="2">
        <v>22</v>
      </c>
      <c r="L3834" t="s" s="2">
        <v>22</v>
      </c>
      <c r="M3834" t="s" s="2">
        <v>22</v>
      </c>
    </row>
    <row r="3835" ht="25.0" customHeight="true">
      <c r="A3835" t="s" s="2">
        <v>13</v>
      </c>
      <c r="B3835" t="s" s="2">
        <f>HYPERLINK("http://ts.21cn.com/tousu/show/id/1369956","360借条以侵犯个人隐私胁迫还款")</f>
      </c>
      <c r="C3835" t="s" s="2">
        <v>15</v>
      </c>
      <c r="D3835" t="s" s="2">
        <v>16</v>
      </c>
      <c r="E3835" t="s" s="2">
        <v>17</v>
      </c>
      <c r="F3835" t="s" s="2">
        <f>HYPERLINK("http://ts.21cn.com/tousu/show/id/1369956","http://ts.21cn.com/tousu/show/id/1369956")</f>
      </c>
      <c r="G3835" t="s" s="2">
        <v>17</v>
      </c>
      <c r="H3835" t="s" s="2">
        <v>19</v>
      </c>
      <c r="I3835" t="s" s="2">
        <v>14953</v>
      </c>
      <c r="J3835" t="s" s="2">
        <v>14954</v>
      </c>
      <c r="K3835" t="s" s="2">
        <v>22</v>
      </c>
      <c r="L3835" t="s" s="2">
        <v>22</v>
      </c>
      <c r="M3835" t="s" s="2">
        <v>22</v>
      </c>
    </row>
    <row r="3836" ht="25.0" customHeight="true">
      <c r="A3836" t="s" s="2">
        <v>13</v>
      </c>
      <c r="B3836" t="s" s="2">
        <f>HYPERLINK("http://ts.21cn.com/tousu/show/id/1369954","套路欺诈收取费")</f>
      </c>
      <c r="C3836" t="s" s="2">
        <v>15</v>
      </c>
      <c r="D3836" t="s" s="2">
        <v>16</v>
      </c>
      <c r="E3836" t="s" s="2">
        <v>17</v>
      </c>
      <c r="F3836" t="s" s="2">
        <f>HYPERLINK("http://ts.21cn.com/tousu/show/id/1369954","http://ts.21cn.com/tousu/show/id/1369954")</f>
      </c>
      <c r="G3836" t="s" s="2">
        <v>17</v>
      </c>
      <c r="H3836" t="s" s="2">
        <v>19</v>
      </c>
      <c r="I3836" t="s" s="2">
        <v>14957</v>
      </c>
      <c r="J3836" t="s" s="2">
        <v>14958</v>
      </c>
      <c r="K3836" t="s" s="2">
        <v>22</v>
      </c>
      <c r="L3836" t="s" s="2">
        <v>22</v>
      </c>
      <c r="M3836" t="s" s="2">
        <v>22</v>
      </c>
    </row>
    <row r="3837" ht="25.0" customHeight="true">
      <c r="A3837" t="s" s="2">
        <v>13</v>
      </c>
      <c r="B3837" t="s" s="2">
        <f>HYPERLINK("http://ts.21cn.com/tousu/show/id/1369955","及贷收取高额息费")</f>
      </c>
      <c r="C3837" t="s" s="2">
        <v>15</v>
      </c>
      <c r="D3837" t="s" s="2">
        <v>16</v>
      </c>
      <c r="E3837" t="s" s="2">
        <v>17</v>
      </c>
      <c r="F3837" t="s" s="2">
        <f>HYPERLINK("http://ts.21cn.com/tousu/show/id/1369955","http://ts.21cn.com/tousu/show/id/1369955")</f>
      </c>
      <c r="G3837" t="s" s="2">
        <v>17</v>
      </c>
      <c r="H3837" t="s" s="2">
        <v>19</v>
      </c>
      <c r="I3837" t="s" s="2">
        <v>14961</v>
      </c>
      <c r="J3837" t="s" s="2">
        <v>14962</v>
      </c>
      <c r="K3837" t="s" s="2">
        <v>22</v>
      </c>
      <c r="L3837" t="s" s="2">
        <v>22</v>
      </c>
      <c r="M3837" t="s" s="2">
        <v>22</v>
      </c>
    </row>
    <row r="3838" ht="25.0" customHeight="true">
      <c r="A3838" t="s" s="2">
        <v>13</v>
      </c>
      <c r="B3838" t="s" s="2">
        <f>HYPERLINK("http://ts.21cn.com/tousu/show/id/1369953","转转恶意扣取卖家保证金")</f>
      </c>
      <c r="C3838" t="s" s="2">
        <v>15</v>
      </c>
      <c r="D3838" t="s" s="2">
        <v>16</v>
      </c>
      <c r="E3838" t="s" s="2">
        <v>17</v>
      </c>
      <c r="F3838" t="s" s="2">
        <f>HYPERLINK("http://ts.21cn.com/tousu/show/id/1369953","http://ts.21cn.com/tousu/show/id/1369953")</f>
      </c>
      <c r="G3838" t="s" s="2">
        <v>17</v>
      </c>
      <c r="H3838" t="s" s="2">
        <v>19</v>
      </c>
      <c r="I3838" t="s" s="2">
        <v>14965</v>
      </c>
      <c r="J3838" t="s" s="2">
        <v>14966</v>
      </c>
      <c r="K3838" t="s" s="2">
        <v>22</v>
      </c>
      <c r="L3838" t="s" s="2">
        <v>22</v>
      </c>
      <c r="M3838" t="s" s="2">
        <v>22</v>
      </c>
    </row>
    <row r="3839" ht="25.0" customHeight="true">
      <c r="A3839" t="s" s="2">
        <v>13</v>
      </c>
      <c r="B3839" t="s" s="2">
        <f>HYPERLINK("http://ts.21cn.com/tousu/show/id/1369952","费用问题")</f>
      </c>
      <c r="C3839" t="s" s="2">
        <v>52</v>
      </c>
      <c r="D3839" t="s" s="2">
        <v>16</v>
      </c>
      <c r="E3839" t="s" s="2">
        <v>17</v>
      </c>
      <c r="F3839" t="s" s="2">
        <f>HYPERLINK("http://ts.21cn.com/tousu/show/id/1369952","http://ts.21cn.com/tousu/show/id/1369952")</f>
      </c>
      <c r="G3839" t="s" s="2">
        <v>17</v>
      </c>
      <c r="H3839" t="s" s="2">
        <v>19</v>
      </c>
      <c r="I3839" t="s" s="2">
        <v>14968</v>
      </c>
      <c r="J3839" t="s" s="2">
        <v>14969</v>
      </c>
      <c r="K3839" t="s" s="2">
        <v>22</v>
      </c>
      <c r="L3839" t="s" s="2">
        <v>22</v>
      </c>
      <c r="M3839" t="s" s="2">
        <v>22</v>
      </c>
    </row>
    <row r="3840" ht="25.0" customHeight="true">
      <c r="A3840" t="s" s="2">
        <v>13</v>
      </c>
      <c r="B3840" t="s" s="2">
        <f>HYPERLINK("http://ts.21cn.com/tousu/show/id/1369951","民生银行信用卡暴击催收")</f>
      </c>
      <c r="C3840" t="s" s="2">
        <v>15</v>
      </c>
      <c r="D3840" t="s" s="2">
        <v>16</v>
      </c>
      <c r="E3840" t="s" s="2">
        <v>17</v>
      </c>
      <c r="F3840" t="s" s="2">
        <f>HYPERLINK("http://ts.21cn.com/tousu/show/id/1369951","http://ts.21cn.com/tousu/show/id/1369951")</f>
      </c>
      <c r="G3840" t="s" s="2">
        <v>17</v>
      </c>
      <c r="H3840" t="s" s="2">
        <v>19</v>
      </c>
      <c r="I3840" t="s" s="2">
        <v>14972</v>
      </c>
      <c r="J3840" t="s" s="2">
        <v>14973</v>
      </c>
      <c r="K3840" t="s" s="2">
        <v>22</v>
      </c>
      <c r="L3840" t="s" s="2">
        <v>22</v>
      </c>
      <c r="M3840" t="s" s="2">
        <v>22</v>
      </c>
    </row>
    <row r="3841" ht="25.0" customHeight="true">
      <c r="A3841" t="s" s="2">
        <v>13</v>
      </c>
      <c r="B3841" t="s" s="2">
        <f>HYPERLINK("http://ts.21cn.com/tousu/show/id/1369949","移动营业厅关闭业务数次无果")</f>
      </c>
      <c r="C3841" t="s" s="2">
        <v>52</v>
      </c>
      <c r="D3841" t="s" s="2">
        <v>16</v>
      </c>
      <c r="E3841" t="s" s="2">
        <v>17</v>
      </c>
      <c r="F3841" t="s" s="2">
        <f>HYPERLINK("http://ts.21cn.com/tousu/show/id/1369949","http://ts.21cn.com/tousu/show/id/1369949")</f>
      </c>
      <c r="G3841" t="s" s="2">
        <v>17</v>
      </c>
      <c r="H3841" t="s" s="2">
        <v>19</v>
      </c>
      <c r="I3841" t="s" s="2">
        <v>14976</v>
      </c>
      <c r="J3841" t="s" s="2">
        <v>14977</v>
      </c>
      <c r="K3841" t="s" s="2">
        <v>22</v>
      </c>
      <c r="L3841" t="s" s="2">
        <v>22</v>
      </c>
      <c r="M3841" t="s" s="2">
        <v>22</v>
      </c>
    </row>
    <row r="3842" ht="25.0" customHeight="true">
      <c r="A3842" t="s" s="2">
        <v>13</v>
      </c>
      <c r="B3842" t="s" s="2">
        <f>HYPERLINK("http://ts.21cn.com/tousu/show/id/1369947","玖富万卡黑社会")</f>
      </c>
      <c r="C3842" t="s" s="2">
        <v>15</v>
      </c>
      <c r="D3842" t="s" s="2">
        <v>16</v>
      </c>
      <c r="E3842" t="s" s="2">
        <v>17</v>
      </c>
      <c r="F3842" t="s" s="2">
        <f>HYPERLINK("http://ts.21cn.com/tousu/show/id/1369947","http://ts.21cn.com/tousu/show/id/1369947")</f>
      </c>
      <c r="G3842" t="s" s="2">
        <v>17</v>
      </c>
      <c r="H3842" t="s" s="2">
        <v>19</v>
      </c>
      <c r="I3842" t="s" s="2">
        <v>14980</v>
      </c>
      <c r="J3842" t="s" s="2">
        <v>14981</v>
      </c>
      <c r="K3842" t="s" s="2">
        <v>22</v>
      </c>
      <c r="L3842" t="s" s="2">
        <v>22</v>
      </c>
      <c r="M3842" t="s" s="2">
        <v>22</v>
      </c>
    </row>
    <row r="3843" ht="25.0" customHeight="true">
      <c r="A3843" t="s" s="2">
        <v>13</v>
      </c>
      <c r="B3843" t="s" s="2">
        <f>HYPERLINK("http://ts.21cn.com/tousu/show/id/1369946","交通银行上门")</f>
      </c>
      <c r="C3843" t="s" s="2">
        <v>15</v>
      </c>
      <c r="D3843" t="s" s="2">
        <v>16</v>
      </c>
      <c r="E3843" t="s" s="2">
        <v>17</v>
      </c>
      <c r="F3843" t="s" s="2">
        <f>HYPERLINK("http://ts.21cn.com/tousu/show/id/1369946","http://ts.21cn.com/tousu/show/id/1369946")</f>
      </c>
      <c r="G3843" t="s" s="2">
        <v>17</v>
      </c>
      <c r="H3843" t="s" s="2">
        <v>19</v>
      </c>
      <c r="I3843" t="s" s="2">
        <v>14984</v>
      </c>
      <c r="J3843" t="s" s="2">
        <v>14985</v>
      </c>
      <c r="K3843" t="s" s="2">
        <v>22</v>
      </c>
      <c r="L3843" t="s" s="2">
        <v>22</v>
      </c>
      <c r="M3843" t="s" s="2">
        <v>22</v>
      </c>
    </row>
    <row r="3844" ht="25.0" customHeight="true">
      <c r="A3844" t="s" s="2">
        <v>13</v>
      </c>
      <c r="B3844" t="s" s="2">
        <f>HYPERLINK("http://ts.21cn.com/tousu/show/id/1369945","马上金融公司套取个人信息")</f>
      </c>
      <c r="C3844" t="s" s="2">
        <v>15</v>
      </c>
      <c r="D3844" t="s" s="2">
        <v>16</v>
      </c>
      <c r="E3844" t="s" s="2">
        <v>17</v>
      </c>
      <c r="F3844" t="s" s="2">
        <f>HYPERLINK("http://ts.21cn.com/tousu/show/id/1369945","http://ts.21cn.com/tousu/show/id/1369945")</f>
      </c>
      <c r="G3844" t="s" s="2">
        <v>17</v>
      </c>
      <c r="H3844" t="s" s="2">
        <v>19</v>
      </c>
      <c r="I3844" t="s" s="2">
        <v>14988</v>
      </c>
      <c r="J3844" t="s" s="2">
        <v>14989</v>
      </c>
      <c r="K3844" t="s" s="2">
        <v>22</v>
      </c>
      <c r="L3844" t="s" s="2">
        <v>22</v>
      </c>
      <c r="M3844" t="s" s="2">
        <v>22</v>
      </c>
    </row>
    <row r="3845" ht="25.0" customHeight="true">
      <c r="A3845" t="s" s="2">
        <v>13</v>
      </c>
      <c r="B3845" t="s" s="2">
        <f>HYPERLINK("http://ts.21cn.com/tousu/show/id/1369944","闪银高额利息贷款平台微信公众号是闪银奇异群发短信，已经打扰到我的正常生活")</f>
      </c>
      <c r="C3845" t="s" s="2">
        <v>52</v>
      </c>
      <c r="D3845" t="s" s="2">
        <v>16</v>
      </c>
      <c r="E3845" t="s" s="2">
        <v>17</v>
      </c>
      <c r="F3845" t="s" s="2">
        <f>HYPERLINK("http://ts.21cn.com/tousu/show/id/1369944","http://ts.21cn.com/tousu/show/id/1369944")</f>
      </c>
      <c r="G3845" t="s" s="2">
        <v>17</v>
      </c>
      <c r="H3845" t="s" s="2">
        <v>19</v>
      </c>
      <c r="I3845" t="s" s="2">
        <v>14992</v>
      </c>
      <c r="J3845" t="s" s="2">
        <v>14993</v>
      </c>
      <c r="K3845" t="s" s="2">
        <v>22</v>
      </c>
      <c r="L3845" t="s" s="2">
        <v>22</v>
      </c>
      <c r="M3845" t="s" s="2">
        <v>22</v>
      </c>
    </row>
    <row r="3846" ht="25.0" customHeight="true">
      <c r="A3846" t="s" s="2">
        <v>13</v>
      </c>
      <c r="B3846" t="s" s="2">
        <f>HYPERLINK("http://ts.21cn.com/tousu/show/id/1369943","富友支付为海南易联普惠的屌丝分期，元宝分期，悦分期，享分期等平台提供违规扣款")</f>
      </c>
      <c r="C3846" t="s" s="2">
        <v>15</v>
      </c>
      <c r="D3846" t="s" s="2">
        <v>16</v>
      </c>
      <c r="E3846" t="s" s="2">
        <v>17</v>
      </c>
      <c r="F3846" t="s" s="2">
        <f>HYPERLINK("http://ts.21cn.com/tousu/show/id/1369943","http://ts.21cn.com/tousu/show/id/1369943")</f>
      </c>
      <c r="G3846" t="s" s="2">
        <v>17</v>
      </c>
      <c r="H3846" t="s" s="2">
        <v>19</v>
      </c>
      <c r="I3846" t="s" s="2">
        <v>14996</v>
      </c>
      <c r="J3846" t="s" s="2">
        <v>14997</v>
      </c>
      <c r="K3846" t="s" s="2">
        <v>22</v>
      </c>
      <c r="L3846" t="s" s="2">
        <v>22</v>
      </c>
      <c r="M3846" t="s" s="2">
        <v>22</v>
      </c>
    </row>
    <row r="3847" ht="25.0" customHeight="true">
      <c r="A3847" t="s" s="2">
        <v>13</v>
      </c>
      <c r="B3847" t="s" s="2">
        <f>HYPERLINK("http://ts.21cn.com/tousu/show/id/1369942","闪银旗下平台哼哼")</f>
      </c>
      <c r="C3847" t="s" s="2">
        <v>15</v>
      </c>
      <c r="D3847" t="s" s="2">
        <v>16</v>
      </c>
      <c r="E3847" t="s" s="2">
        <v>17</v>
      </c>
      <c r="F3847" t="s" s="2">
        <f>HYPERLINK("http://ts.21cn.com/tousu/show/id/1369942","http://ts.21cn.com/tousu/show/id/1369942")</f>
      </c>
      <c r="G3847" t="s" s="2">
        <v>17</v>
      </c>
      <c r="H3847" t="s" s="2">
        <v>19</v>
      </c>
      <c r="I3847" t="s" s="2">
        <v>15000</v>
      </c>
      <c r="J3847" t="s" s="2">
        <v>15001</v>
      </c>
      <c r="K3847" t="s" s="2">
        <v>22</v>
      </c>
      <c r="L3847" t="s" s="2">
        <v>22</v>
      </c>
      <c r="M3847" t="s" s="2">
        <v>22</v>
      </c>
    </row>
    <row r="3848" ht="25.0" customHeight="true">
      <c r="A3848" t="s" s="2">
        <v>13</v>
      </c>
      <c r="B3848" t="s" s="2">
        <f>HYPERLINK("http://ts.21cn.com/tousu/show/id/1369940","京东金融污蔑我本人并将我本人信息透露给第三方催债公司对我本人造成恶劣影响")</f>
      </c>
      <c r="C3848" t="s" s="2">
        <v>15</v>
      </c>
      <c r="D3848" t="s" s="2">
        <v>16</v>
      </c>
      <c r="E3848" t="s" s="2">
        <v>17</v>
      </c>
      <c r="F3848" t="s" s="2">
        <f>HYPERLINK("http://ts.21cn.com/tousu/show/id/1369940","http://ts.21cn.com/tousu/show/id/1369940")</f>
      </c>
      <c r="G3848" t="s" s="2">
        <v>17</v>
      </c>
      <c r="H3848" t="s" s="2">
        <v>19</v>
      </c>
      <c r="I3848" t="s" s="2">
        <v>15004</v>
      </c>
      <c r="J3848" t="s" s="2">
        <v>15005</v>
      </c>
      <c r="K3848" t="s" s="2">
        <v>22</v>
      </c>
      <c r="L3848" t="s" s="2">
        <v>22</v>
      </c>
      <c r="M3848" t="s" s="2">
        <v>22</v>
      </c>
    </row>
    <row r="3849" ht="25.0" customHeight="true">
      <c r="A3849" t="s" s="2">
        <v>13</v>
      </c>
      <c r="B3849" t="s" s="2">
        <f>HYPERLINK("http://ts.21cn.com/tousu/show/id/1369941","侮辱诽谤人格侮辱")</f>
      </c>
      <c r="C3849" t="s" s="2">
        <v>15</v>
      </c>
      <c r="D3849" t="s" s="2">
        <v>16</v>
      </c>
      <c r="E3849" t="s" s="2">
        <v>17</v>
      </c>
      <c r="F3849" t="s" s="2">
        <f>HYPERLINK("http://ts.21cn.com/tousu/show/id/1369941","http://ts.21cn.com/tousu/show/id/1369941")</f>
      </c>
      <c r="G3849" t="s" s="2">
        <v>17</v>
      </c>
      <c r="H3849" t="s" s="2">
        <v>19</v>
      </c>
      <c r="I3849" t="s" s="2">
        <v>15008</v>
      </c>
      <c r="J3849" t="s" s="2">
        <v>15009</v>
      </c>
      <c r="K3849" t="s" s="2">
        <v>22</v>
      </c>
      <c r="L3849" t="s" s="2">
        <v>22</v>
      </c>
      <c r="M3849" t="s" s="2">
        <v>22</v>
      </c>
    </row>
    <row r="3850" ht="25.0" customHeight="true">
      <c r="A3850" t="s" s="2">
        <v>13</v>
      </c>
      <c r="B3850" t="s" s="2">
        <f>HYPERLINK("http://ts.21cn.com/tousu/show/id/1369939","没贷款，要我还钱，严重骚扰")</f>
      </c>
      <c r="C3850" t="s" s="2">
        <v>15</v>
      </c>
      <c r="D3850" t="s" s="2">
        <v>16</v>
      </c>
      <c r="E3850" t="s" s="2">
        <v>17</v>
      </c>
      <c r="F3850" t="s" s="2">
        <f>HYPERLINK("http://ts.21cn.com/tousu/show/id/1369939","http://ts.21cn.com/tousu/show/id/1369939")</f>
      </c>
      <c r="G3850" t="s" s="2">
        <v>17</v>
      </c>
      <c r="H3850" t="s" s="2">
        <v>19</v>
      </c>
      <c r="I3850" t="s" s="2">
        <v>15012</v>
      </c>
      <c r="J3850" t="s" s="2">
        <v>15013</v>
      </c>
      <c r="K3850" t="s" s="2">
        <v>22</v>
      </c>
      <c r="L3850" t="s" s="2">
        <v>22</v>
      </c>
      <c r="M3850" t="s" s="2">
        <v>22</v>
      </c>
    </row>
    <row r="3851" ht="25.0" customHeight="true">
      <c r="A3851" t="s" s="2">
        <v>13</v>
      </c>
      <c r="B3851" t="s" s="2">
        <f>HYPERLINK("http://ts.21cn.com/tousu/show/id/1369938","未经本人同意强行扣除我卡里的钱")</f>
      </c>
      <c r="C3851" t="s" s="2">
        <v>15</v>
      </c>
      <c r="D3851" t="s" s="2">
        <v>16</v>
      </c>
      <c r="E3851" t="s" s="2">
        <v>17</v>
      </c>
      <c r="F3851" t="s" s="2">
        <f>HYPERLINK("http://ts.21cn.com/tousu/show/id/1369938","http://ts.21cn.com/tousu/show/id/1369938")</f>
      </c>
      <c r="G3851" t="s" s="2">
        <v>17</v>
      </c>
      <c r="H3851" t="s" s="2">
        <v>19</v>
      </c>
      <c r="I3851" t="s" s="2">
        <v>15016</v>
      </c>
      <c r="J3851" t="s" s="2">
        <v>15017</v>
      </c>
      <c r="K3851" t="s" s="2">
        <v>22</v>
      </c>
      <c r="L3851" t="s" s="2">
        <v>22</v>
      </c>
      <c r="M3851" t="s" s="2">
        <v>22</v>
      </c>
    </row>
    <row r="3852" ht="25.0" customHeight="true">
      <c r="A3852" t="s" s="2">
        <v>13</v>
      </c>
      <c r="B3852" t="s" s="2">
        <f>HYPERLINK("http://ts.21cn.com/tousu/show/id/1369935","及贷侵犯个人隐私")</f>
      </c>
      <c r="C3852" t="s" s="2">
        <v>15</v>
      </c>
      <c r="D3852" t="s" s="2">
        <v>16</v>
      </c>
      <c r="E3852" t="s" s="2">
        <v>17</v>
      </c>
      <c r="F3852" t="s" s="2">
        <f>HYPERLINK("http://ts.21cn.com/tousu/show/id/1369935","http://ts.21cn.com/tousu/show/id/1369935")</f>
      </c>
      <c r="G3852" t="s" s="2">
        <v>17</v>
      </c>
      <c r="H3852" t="s" s="2">
        <v>19</v>
      </c>
      <c r="I3852" t="s" s="2">
        <v>15020</v>
      </c>
      <c r="J3852" t="s" s="2">
        <v>15021</v>
      </c>
      <c r="K3852" t="s" s="2">
        <v>22</v>
      </c>
      <c r="L3852" t="s" s="2">
        <v>22</v>
      </c>
      <c r="M3852" t="s" s="2">
        <v>22</v>
      </c>
    </row>
    <row r="3853" ht="25.0" customHeight="true">
      <c r="A3853" t="s" s="2">
        <v>13</v>
      </c>
      <c r="B3853" t="s" s="2">
        <f>HYPERLINK("http://ts.21cn.com/tousu/show/id/1369861","要求信服金融退还")</f>
      </c>
      <c r="C3853" t="s" s="2">
        <v>15</v>
      </c>
      <c r="D3853" t="s" s="2">
        <v>16</v>
      </c>
      <c r="E3853" t="s" s="2">
        <v>17</v>
      </c>
      <c r="F3853" t="s" s="2">
        <f>HYPERLINK("http://ts.21cn.com/tousu/show/id/1369861","http://ts.21cn.com/tousu/show/id/1369861")</f>
      </c>
      <c r="G3853" t="s" s="2">
        <v>17</v>
      </c>
      <c r="H3853" t="s" s="2">
        <v>19</v>
      </c>
      <c r="I3853" t="s" s="2">
        <v>15024</v>
      </c>
      <c r="J3853" t="s" s="2">
        <v>15025</v>
      </c>
      <c r="K3853" t="s" s="2">
        <v>22</v>
      </c>
      <c r="L3853" t="s" s="2">
        <v>22</v>
      </c>
      <c r="M3853" t="s" s="2">
        <v>22</v>
      </c>
    </row>
    <row r="3854" ht="25.0" customHeight="true">
      <c r="A3854" t="s" s="2">
        <v>13</v>
      </c>
      <c r="B3854" t="s" s="2">
        <f>HYPERLINK("http://ts.21cn.com/tousu/show/id/1369934","拍拍贷恶意骚扰本人家人朋友")</f>
      </c>
      <c r="C3854" t="s" s="2">
        <v>15</v>
      </c>
      <c r="D3854" t="s" s="2">
        <v>16</v>
      </c>
      <c r="E3854" t="s" s="2">
        <v>17</v>
      </c>
      <c r="F3854" t="s" s="2">
        <f>HYPERLINK("http://ts.21cn.com/tousu/show/id/1369934","http://ts.21cn.com/tousu/show/id/1369934")</f>
      </c>
      <c r="G3854" t="s" s="2">
        <v>17</v>
      </c>
      <c r="H3854" t="s" s="2">
        <v>19</v>
      </c>
      <c r="I3854" t="s" s="2">
        <v>15028</v>
      </c>
      <c r="J3854" t="s" s="2">
        <v>15029</v>
      </c>
      <c r="K3854" t="s" s="2">
        <v>22</v>
      </c>
      <c r="L3854" t="s" s="2">
        <v>22</v>
      </c>
      <c r="M3854" t="s" s="2">
        <v>22</v>
      </c>
    </row>
    <row r="3855" ht="25.0" customHeight="true">
      <c r="A3855" t="s" s="2">
        <v>13</v>
      </c>
      <c r="B3855" t="s" s="2">
        <f>HYPERLINK("http://ts.21cn.com/tousu/show/id/1369930","宜人贷砍头息严重，利率设置过高")</f>
      </c>
      <c r="C3855" t="s" s="2">
        <v>15</v>
      </c>
      <c r="D3855" t="s" s="2">
        <v>16</v>
      </c>
      <c r="E3855" t="s" s="2">
        <v>17</v>
      </c>
      <c r="F3855" t="s" s="2">
        <f>HYPERLINK("http://ts.21cn.com/tousu/show/id/1369930","http://ts.21cn.com/tousu/show/id/1369930")</f>
      </c>
      <c r="G3855" t="s" s="2">
        <v>17</v>
      </c>
      <c r="H3855" t="s" s="2">
        <v>19</v>
      </c>
      <c r="I3855" t="s" s="2">
        <v>15032</v>
      </c>
      <c r="J3855" t="s" s="2">
        <v>15033</v>
      </c>
      <c r="K3855" t="s" s="2">
        <v>22</v>
      </c>
      <c r="L3855" t="s" s="2">
        <v>22</v>
      </c>
      <c r="M3855" t="s" s="2">
        <v>22</v>
      </c>
    </row>
    <row r="3856" ht="25.0" customHeight="true">
      <c r="A3856" t="s" s="2">
        <v>13</v>
      </c>
      <c r="B3856" t="s" s="2">
        <f>HYPERLINK("http://ts.21cn.com/tousu/show/id/1369933","不给协商，爆通讯录")</f>
      </c>
      <c r="C3856" t="s" s="2">
        <v>15</v>
      </c>
      <c r="D3856" t="s" s="2">
        <v>16</v>
      </c>
      <c r="E3856" t="s" s="2">
        <v>17</v>
      </c>
      <c r="F3856" t="s" s="2">
        <f>HYPERLINK("http://ts.21cn.com/tousu/show/id/1369933","http://ts.21cn.com/tousu/show/id/1369933")</f>
      </c>
      <c r="G3856" t="s" s="2">
        <v>17</v>
      </c>
      <c r="H3856" t="s" s="2">
        <v>19</v>
      </c>
      <c r="I3856" t="s" s="2">
        <v>15036</v>
      </c>
      <c r="J3856" t="s" s="2">
        <v>15037</v>
      </c>
      <c r="K3856" t="s" s="2">
        <v>22</v>
      </c>
      <c r="L3856" t="s" s="2">
        <v>22</v>
      </c>
      <c r="M3856" t="s" s="2">
        <v>22</v>
      </c>
    </row>
    <row r="3857" ht="25.0" customHeight="true">
      <c r="A3857" t="s" s="2">
        <v>13</v>
      </c>
      <c r="B3857" t="s" s="2">
        <f>HYPERLINK("http://ts.21cn.com/tousu/show/id/1369932","佰锐分期")</f>
      </c>
      <c r="C3857" t="s" s="2">
        <v>15</v>
      </c>
      <c r="D3857" t="s" s="2">
        <v>16</v>
      </c>
      <c r="E3857" t="s" s="2">
        <v>17</v>
      </c>
      <c r="F3857" t="s" s="2">
        <f>HYPERLINK("http://ts.21cn.com/tousu/show/id/1369932","http://ts.21cn.com/tousu/show/id/1369932")</f>
      </c>
      <c r="G3857" t="s" s="2">
        <v>17</v>
      </c>
      <c r="H3857" t="s" s="2">
        <v>19</v>
      </c>
      <c r="I3857" t="s" s="2">
        <v>15039</v>
      </c>
      <c r="J3857" t="s" s="2">
        <v>15040</v>
      </c>
      <c r="K3857" t="s" s="2">
        <v>22</v>
      </c>
      <c r="L3857" t="s" s="2">
        <v>22</v>
      </c>
      <c r="M3857" t="s" s="2">
        <v>22</v>
      </c>
    </row>
    <row r="3858" ht="25.0" customHeight="true">
      <c r="A3858" t="s" s="2">
        <v>13</v>
      </c>
      <c r="B3858" t="s" s="2">
        <f>HYPERLINK("http://ts.21cn.com/tousu/show/id/1369931","通联支付第三方平台蓄意扣款")</f>
      </c>
      <c r="C3858" t="s" s="2">
        <v>15</v>
      </c>
      <c r="D3858" t="s" s="2">
        <v>16</v>
      </c>
      <c r="E3858" t="s" s="2">
        <v>17</v>
      </c>
      <c r="F3858" t="s" s="2">
        <f>HYPERLINK("http://ts.21cn.com/tousu/show/id/1369931","http://ts.21cn.com/tousu/show/id/1369931")</f>
      </c>
      <c r="G3858" t="s" s="2">
        <v>17</v>
      </c>
      <c r="H3858" t="s" s="2">
        <v>19</v>
      </c>
      <c r="I3858" t="s" s="2">
        <v>15043</v>
      </c>
      <c r="J3858" t="s" s="2">
        <v>15044</v>
      </c>
      <c r="K3858" t="s" s="2">
        <v>22</v>
      </c>
      <c r="L3858" t="s" s="2">
        <v>22</v>
      </c>
      <c r="M3858" t="s" s="2">
        <v>22</v>
      </c>
    </row>
    <row r="3859" ht="25.0" customHeight="true">
      <c r="A3859" t="s" s="2">
        <v>13</v>
      </c>
      <c r="B3859" t="s" s="2">
        <f>HYPERLINK("http://ts.21cn.com/tousu/show/id/1369927","借款平台打不开导致无法还款")</f>
      </c>
      <c r="C3859" t="s" s="2">
        <v>15</v>
      </c>
      <c r="D3859" t="s" s="2">
        <v>16</v>
      </c>
      <c r="E3859" t="s" s="2">
        <v>17</v>
      </c>
      <c r="F3859" t="s" s="2">
        <f>HYPERLINK("http://ts.21cn.com/tousu/show/id/1369927","http://ts.21cn.com/tousu/show/id/1369927")</f>
      </c>
      <c r="G3859" t="s" s="2">
        <v>17</v>
      </c>
      <c r="H3859" t="s" s="2">
        <v>19</v>
      </c>
      <c r="I3859" t="s" s="2">
        <v>15047</v>
      </c>
      <c r="J3859" t="s" s="2">
        <v>15048</v>
      </c>
      <c r="K3859" t="s" s="2">
        <v>22</v>
      </c>
      <c r="L3859" t="s" s="2">
        <v>22</v>
      </c>
      <c r="M3859" t="s" s="2">
        <v>22</v>
      </c>
    </row>
    <row r="3860" ht="25.0" customHeight="true">
      <c r="A3860" t="s" s="2">
        <v>13</v>
      </c>
      <c r="B3860" t="s" s="2">
        <f>HYPERLINK("http://ts.21cn.com/tousu/show/id/1369924","维信金科威胁恐吓")</f>
      </c>
      <c r="C3860" t="s" s="2">
        <v>15</v>
      </c>
      <c r="D3860" t="s" s="2">
        <v>16</v>
      </c>
      <c r="E3860" t="s" s="2">
        <v>17</v>
      </c>
      <c r="F3860" t="s" s="2">
        <f>HYPERLINK("http://ts.21cn.com/tousu/show/id/1369924","http://ts.21cn.com/tousu/show/id/1369924")</f>
      </c>
      <c r="G3860" t="s" s="2">
        <v>17</v>
      </c>
      <c r="H3860" t="s" s="2">
        <v>19</v>
      </c>
      <c r="I3860" t="s" s="2">
        <v>15051</v>
      </c>
      <c r="J3860" t="s" s="2">
        <v>15052</v>
      </c>
      <c r="K3860" t="s" s="2">
        <v>22</v>
      </c>
      <c r="L3860" t="s" s="2">
        <v>22</v>
      </c>
      <c r="M3860" t="s" s="2">
        <v>22</v>
      </c>
    </row>
    <row r="3861" ht="25.0" customHeight="true">
      <c r="A3861" t="s" s="2">
        <v>13</v>
      </c>
      <c r="B3861" t="s" s="2">
        <f>HYPERLINK("http://ts.21cn.com/tousu/show/id/1369925","喜鹊快贷阴阳合同高利息，要求重新协商还款")</f>
      </c>
      <c r="C3861" t="s" s="2">
        <v>15</v>
      </c>
      <c r="D3861" t="s" s="2">
        <v>16</v>
      </c>
      <c r="E3861" t="s" s="2">
        <v>17</v>
      </c>
      <c r="F3861" t="s" s="2">
        <f>HYPERLINK("http://ts.21cn.com/tousu/show/id/1369925","http://ts.21cn.com/tousu/show/id/1369925")</f>
      </c>
      <c r="G3861" t="s" s="2">
        <v>17</v>
      </c>
      <c r="H3861" t="s" s="2">
        <v>19</v>
      </c>
      <c r="I3861" t="s" s="2">
        <v>15055</v>
      </c>
      <c r="J3861" t="s" s="2">
        <v>15056</v>
      </c>
      <c r="K3861" t="s" s="2">
        <v>22</v>
      </c>
      <c r="L3861" t="s" s="2">
        <v>22</v>
      </c>
      <c r="M3861" t="s" s="2">
        <v>22</v>
      </c>
    </row>
    <row r="3862" ht="25.0" customHeight="true">
      <c r="A3862" t="s" s="2">
        <v>13</v>
      </c>
      <c r="B3862" t="s" s="2">
        <f>HYPERLINK("http://ts.21cn.com/tousu/show/id/1369922","钱站阴阳合同，高利贷")</f>
      </c>
      <c r="C3862" t="s" s="2">
        <v>15</v>
      </c>
      <c r="D3862" t="s" s="2">
        <v>16</v>
      </c>
      <c r="E3862" t="s" s="2">
        <v>17</v>
      </c>
      <c r="F3862" t="s" s="2">
        <f>HYPERLINK("http://ts.21cn.com/tousu/show/id/1369922","http://ts.21cn.com/tousu/show/id/1369922")</f>
      </c>
      <c r="G3862" t="s" s="2">
        <v>17</v>
      </c>
      <c r="H3862" t="s" s="2">
        <v>19</v>
      </c>
      <c r="I3862" t="s" s="2">
        <v>15059</v>
      </c>
      <c r="J3862" t="s" s="2">
        <v>15060</v>
      </c>
      <c r="K3862" t="s" s="2">
        <v>22</v>
      </c>
      <c r="L3862" t="s" s="2">
        <v>22</v>
      </c>
      <c r="M3862" t="s" s="2">
        <v>22</v>
      </c>
    </row>
    <row r="3863" ht="25.0" customHeight="true">
      <c r="A3863" t="s" s="2">
        <v>13</v>
      </c>
      <c r="B3863" t="s" s="2">
        <f>HYPERLINK("http://ts.21cn.com/tousu/show/id/1369921","拖欠工资联系不上")</f>
      </c>
      <c r="C3863" t="s" s="2">
        <v>15</v>
      </c>
      <c r="D3863" t="s" s="2">
        <v>16</v>
      </c>
      <c r="E3863" t="s" s="2">
        <v>17</v>
      </c>
      <c r="F3863" t="s" s="2">
        <f>HYPERLINK("http://ts.21cn.com/tousu/show/id/1369921","http://ts.21cn.com/tousu/show/id/1369921")</f>
      </c>
      <c r="G3863" t="s" s="2">
        <v>17</v>
      </c>
      <c r="H3863" t="s" s="2">
        <v>19</v>
      </c>
      <c r="I3863" t="s" s="2">
        <v>15063</v>
      </c>
      <c r="J3863" t="s" s="2">
        <v>15064</v>
      </c>
      <c r="K3863" t="s" s="2">
        <v>22</v>
      </c>
      <c r="L3863" t="s" s="2">
        <v>22</v>
      </c>
      <c r="M3863" t="s" s="2">
        <v>22</v>
      </c>
    </row>
    <row r="3864" ht="25.0" customHeight="true">
      <c r="A3864" t="s" s="2">
        <v>13</v>
      </c>
      <c r="B3864" t="s" s="2">
        <f>HYPERLINK("http://ts.21cn.com/tousu/show/id/1369920","投诉闪银暴力催收")</f>
      </c>
      <c r="C3864" t="s" s="2">
        <v>15</v>
      </c>
      <c r="D3864" t="s" s="2">
        <v>16</v>
      </c>
      <c r="E3864" t="s" s="2">
        <v>17</v>
      </c>
      <c r="F3864" t="s" s="2">
        <f>HYPERLINK("http://ts.21cn.com/tousu/show/id/1369920","http://ts.21cn.com/tousu/show/id/1369920")</f>
      </c>
      <c r="G3864" t="s" s="2">
        <v>17</v>
      </c>
      <c r="H3864" t="s" s="2">
        <v>19</v>
      </c>
      <c r="I3864" t="s" s="2">
        <v>15067</v>
      </c>
      <c r="J3864" t="s" s="2">
        <v>15068</v>
      </c>
      <c r="K3864" t="s" s="2">
        <v>22</v>
      </c>
      <c r="L3864" t="s" s="2">
        <v>22</v>
      </c>
      <c r="M3864" t="s" s="2">
        <v>22</v>
      </c>
    </row>
    <row r="3865" ht="25.0" customHeight="true">
      <c r="A3865" t="s" s="2">
        <v>13</v>
      </c>
      <c r="B3865" t="s" s="2">
        <f>HYPERLINK("http://ts.21cn.com/tousu/show/id/1369919","移动未经我允许开通业务")</f>
      </c>
      <c r="C3865" t="s" s="2">
        <v>15</v>
      </c>
      <c r="D3865" t="s" s="2">
        <v>16</v>
      </c>
      <c r="E3865" t="s" s="2">
        <v>17</v>
      </c>
      <c r="F3865" t="s" s="2">
        <f>HYPERLINK("http://ts.21cn.com/tousu/show/id/1369919","http://ts.21cn.com/tousu/show/id/1369919")</f>
      </c>
      <c r="G3865" t="s" s="2">
        <v>17</v>
      </c>
      <c r="H3865" t="s" s="2">
        <v>19</v>
      </c>
      <c r="I3865" t="s" s="2">
        <v>15071</v>
      </c>
      <c r="J3865" t="s" s="2">
        <v>15072</v>
      </c>
      <c r="K3865" t="s" s="2">
        <v>22</v>
      </c>
      <c r="L3865" t="s" s="2">
        <v>22</v>
      </c>
      <c r="M3865" t="s" s="2">
        <v>22</v>
      </c>
    </row>
    <row r="3866" ht="25.0" customHeight="true">
      <c r="A3866" t="s" s="2">
        <v>13</v>
      </c>
      <c r="B3866" t="s" s="2">
        <f>HYPERLINK("http://ts.21cn.com/tousu/show/id/1369917","兴业银行风控暴力催收")</f>
      </c>
      <c r="C3866" t="s" s="2">
        <v>15</v>
      </c>
      <c r="D3866" t="s" s="2">
        <v>16</v>
      </c>
      <c r="E3866" t="s" s="2">
        <v>17</v>
      </c>
      <c r="F3866" t="s" s="2">
        <f>HYPERLINK("http://ts.21cn.com/tousu/show/id/1369917","http://ts.21cn.com/tousu/show/id/1369917")</f>
      </c>
      <c r="G3866" t="s" s="2">
        <v>17</v>
      </c>
      <c r="H3866" t="s" s="2">
        <v>19</v>
      </c>
      <c r="I3866" t="s" s="2">
        <v>15075</v>
      </c>
      <c r="J3866" t="s" s="2">
        <v>15076</v>
      </c>
      <c r="K3866" t="s" s="2">
        <v>22</v>
      </c>
      <c r="L3866" t="s" s="2">
        <v>22</v>
      </c>
      <c r="M3866" t="s" s="2">
        <v>22</v>
      </c>
    </row>
    <row r="3867" ht="25.0" customHeight="true">
      <c r="A3867" t="s" s="2">
        <v>13</v>
      </c>
      <c r="B3867" t="s" s="2">
        <f>HYPERLINK("http://ts.21cn.com/tousu/show/id/1369916","招联金融乱扣费")</f>
      </c>
      <c r="C3867" t="s" s="2">
        <v>15</v>
      </c>
      <c r="D3867" t="s" s="2">
        <v>16</v>
      </c>
      <c r="E3867" t="s" s="2">
        <v>17</v>
      </c>
      <c r="F3867" t="s" s="2">
        <f>HYPERLINK("http://ts.21cn.com/tousu/show/id/1369916","http://ts.21cn.com/tousu/show/id/1369916")</f>
      </c>
      <c r="G3867" t="s" s="2">
        <v>17</v>
      </c>
      <c r="H3867" t="s" s="2">
        <v>19</v>
      </c>
      <c r="I3867" t="s" s="2">
        <v>15079</v>
      </c>
      <c r="J3867" t="s" s="2">
        <v>15080</v>
      </c>
      <c r="K3867" t="s" s="2">
        <v>22</v>
      </c>
      <c r="L3867" t="s" s="2">
        <v>22</v>
      </c>
      <c r="M3867" t="s" s="2">
        <v>22</v>
      </c>
    </row>
    <row r="3868" ht="25.0" customHeight="true">
      <c r="A3868" t="s" s="2">
        <v>13</v>
      </c>
      <c r="B3868" t="s" s="2">
        <f>HYPERLINK("http://ts.21cn.com/tousu/show/id/1369913","读秒合同欺诈，高利贷")</f>
      </c>
      <c r="C3868" t="s" s="2">
        <v>15</v>
      </c>
      <c r="D3868" t="s" s="2">
        <v>16</v>
      </c>
      <c r="E3868" t="s" s="2">
        <v>17</v>
      </c>
      <c r="F3868" t="s" s="2">
        <f>HYPERLINK("http://ts.21cn.com/tousu/show/id/1369913","http://ts.21cn.com/tousu/show/id/1369913")</f>
      </c>
      <c r="G3868" t="s" s="2">
        <v>17</v>
      </c>
      <c r="H3868" t="s" s="2">
        <v>19</v>
      </c>
      <c r="I3868" t="s" s="2">
        <v>15083</v>
      </c>
      <c r="J3868" t="s" s="2">
        <v>15084</v>
      </c>
      <c r="K3868" t="s" s="2">
        <v>22</v>
      </c>
      <c r="L3868" t="s" s="2">
        <v>22</v>
      </c>
      <c r="M3868" t="s" s="2">
        <v>22</v>
      </c>
    </row>
    <row r="3869" ht="25.0" customHeight="true">
      <c r="A3869" t="s" s="2">
        <v>13</v>
      </c>
      <c r="B3869" t="s" s="2">
        <f>HYPERLINK("http://ts.21cn.com/tousu/show/id/1369914","电话骚扰以还完本金714")</f>
      </c>
      <c r="C3869" t="s" s="2">
        <v>15</v>
      </c>
      <c r="D3869" t="s" s="2">
        <v>16</v>
      </c>
      <c r="E3869" t="s" s="2">
        <v>17</v>
      </c>
      <c r="F3869" t="s" s="2">
        <f>HYPERLINK("http://ts.21cn.com/tousu/show/id/1369914","http://ts.21cn.com/tousu/show/id/1369914")</f>
      </c>
      <c r="G3869" t="s" s="2">
        <v>17</v>
      </c>
      <c r="H3869" t="s" s="2">
        <v>19</v>
      </c>
      <c r="I3869" t="s" s="2">
        <v>15087</v>
      </c>
      <c r="J3869" t="s" s="2">
        <v>15088</v>
      </c>
      <c r="K3869" t="s" s="2">
        <v>22</v>
      </c>
      <c r="L3869" t="s" s="2">
        <v>22</v>
      </c>
      <c r="M3869" t="s" s="2">
        <v>22</v>
      </c>
    </row>
    <row r="3870" ht="25.0" customHeight="true">
      <c r="A3870" t="s" s="2">
        <v>13</v>
      </c>
      <c r="B3870" t="s" s="2">
        <f>HYPERLINK("http://ts.21cn.com/tousu/show/id/1369911","为网赌提供充值服务")</f>
      </c>
      <c r="C3870" t="s" s="2">
        <v>52</v>
      </c>
      <c r="D3870" t="s" s="2">
        <v>16</v>
      </c>
      <c r="E3870" t="s" s="2">
        <v>17</v>
      </c>
      <c r="F3870" t="s" s="2">
        <f>HYPERLINK("http://ts.21cn.com/tousu/show/id/1369911","http://ts.21cn.com/tousu/show/id/1369911")</f>
      </c>
      <c r="G3870" t="s" s="2">
        <v>17</v>
      </c>
      <c r="H3870" t="s" s="2">
        <v>19</v>
      </c>
      <c r="I3870" t="s" s="2">
        <v>15091</v>
      </c>
      <c r="J3870" t="s" s="2">
        <v>15092</v>
      </c>
      <c r="K3870" t="s" s="2">
        <v>22</v>
      </c>
      <c r="L3870" t="s" s="2">
        <v>22</v>
      </c>
      <c r="M3870" t="s" s="2">
        <v>22</v>
      </c>
    </row>
    <row r="3871" ht="25.0" customHeight="true">
      <c r="A3871" t="s" s="2">
        <v>13</v>
      </c>
      <c r="B3871" t="s" s="2">
        <f>HYPERLINK("http://ts.21cn.com/tousu/show/id/1369912","骚扰威胁")</f>
      </c>
      <c r="C3871" t="s" s="2">
        <v>15</v>
      </c>
      <c r="D3871" t="s" s="2">
        <v>16</v>
      </c>
      <c r="E3871" t="s" s="2">
        <v>17</v>
      </c>
      <c r="F3871" t="s" s="2">
        <f>HYPERLINK("http://ts.21cn.com/tousu/show/id/1369912","http://ts.21cn.com/tousu/show/id/1369912")</f>
      </c>
      <c r="G3871" t="s" s="2">
        <v>17</v>
      </c>
      <c r="H3871" t="s" s="2">
        <v>19</v>
      </c>
      <c r="I3871" t="s" s="2">
        <v>15094</v>
      </c>
      <c r="J3871" t="s" s="2">
        <v>15095</v>
      </c>
      <c r="K3871" t="s" s="2">
        <v>22</v>
      </c>
      <c r="L3871" t="s" s="2">
        <v>22</v>
      </c>
      <c r="M3871" t="s" s="2">
        <v>22</v>
      </c>
    </row>
    <row r="3872" ht="25.0" customHeight="true">
      <c r="A3872" t="s" s="2">
        <v>13</v>
      </c>
      <c r="B3872" t="s" s="2">
        <f>HYPERLINK("http://ts.21cn.com/tousu/show/id/1369910","淘宝佳泽加油卡专营店充值出到账")</f>
      </c>
      <c r="C3872" t="s" s="2">
        <v>15</v>
      </c>
      <c r="D3872" t="s" s="2">
        <v>16</v>
      </c>
      <c r="E3872" t="s" s="2">
        <v>17</v>
      </c>
      <c r="F3872" t="s" s="2">
        <f>HYPERLINK("http://ts.21cn.com/tousu/show/id/1369910","http://ts.21cn.com/tousu/show/id/1369910")</f>
      </c>
      <c r="G3872" t="s" s="2">
        <v>17</v>
      </c>
      <c r="H3872" t="s" s="2">
        <v>19</v>
      </c>
      <c r="I3872" t="s" s="2">
        <v>15098</v>
      </c>
      <c r="J3872" t="s" s="2">
        <v>15099</v>
      </c>
      <c r="K3872" t="s" s="2">
        <v>22</v>
      </c>
      <c r="L3872" t="s" s="2">
        <v>22</v>
      </c>
      <c r="M3872" t="s" s="2">
        <v>22</v>
      </c>
    </row>
    <row r="3873" ht="25.0" customHeight="true">
      <c r="A3873" t="s" s="2">
        <v>13</v>
      </c>
      <c r="B3873" t="s" s="2">
        <f>HYPERLINK("http://ts.21cn.com/tousu/show/id/1369909","人人花乱扣费")</f>
      </c>
      <c r="C3873" t="s" s="2">
        <v>15</v>
      </c>
      <c r="D3873" t="s" s="2">
        <v>16</v>
      </c>
      <c r="E3873" t="s" s="2">
        <v>17</v>
      </c>
      <c r="F3873" t="s" s="2">
        <f>HYPERLINK("http://ts.21cn.com/tousu/show/id/1369909","http://ts.21cn.com/tousu/show/id/1369909")</f>
      </c>
      <c r="G3873" t="s" s="2">
        <v>17</v>
      </c>
      <c r="H3873" t="s" s="2">
        <v>19</v>
      </c>
      <c r="I3873" t="s" s="2">
        <v>15102</v>
      </c>
      <c r="J3873" t="s" s="2">
        <v>15103</v>
      </c>
      <c r="K3873" t="s" s="2">
        <v>22</v>
      </c>
      <c r="L3873" t="s" s="2">
        <v>22</v>
      </c>
      <c r="M3873" t="s" s="2">
        <v>22</v>
      </c>
    </row>
    <row r="3874" ht="25.0" customHeight="true">
      <c r="A3874" t="s" s="2">
        <v>13</v>
      </c>
      <c r="B3874" t="s" s="2">
        <f>HYPERLINK("http://ts.21cn.com/tousu/show/id/1369908","招联金融伪造文书并撤诉后未处理")</f>
      </c>
      <c r="C3874" t="s" s="2">
        <v>15</v>
      </c>
      <c r="D3874" t="s" s="2">
        <v>16</v>
      </c>
      <c r="E3874" t="s" s="2">
        <v>17</v>
      </c>
      <c r="F3874" t="s" s="2">
        <f>HYPERLINK("http://ts.21cn.com/tousu/show/id/1369908","http://ts.21cn.com/tousu/show/id/1369908")</f>
      </c>
      <c r="G3874" t="s" s="2">
        <v>17</v>
      </c>
      <c r="H3874" t="s" s="2">
        <v>19</v>
      </c>
      <c r="I3874" t="s" s="2">
        <v>15105</v>
      </c>
      <c r="J3874" t="s" s="2">
        <v>14415</v>
      </c>
      <c r="K3874" t="s" s="2">
        <v>22</v>
      </c>
      <c r="L3874" t="s" s="2">
        <v>22</v>
      </c>
      <c r="M3874" t="s" s="2">
        <v>22</v>
      </c>
    </row>
    <row r="3875" ht="25.0" customHeight="true">
      <c r="A3875" t="s" s="2">
        <v>13</v>
      </c>
      <c r="B3875" t="s" s="2">
        <f>HYPERLINK("http://ts.21cn.com/tousu/show/id/1369906","代理的嘉联支付立刷商户版pos机分润被恶意拖欠")</f>
      </c>
      <c r="C3875" t="s" s="2">
        <v>15</v>
      </c>
      <c r="D3875" t="s" s="2">
        <v>16</v>
      </c>
      <c r="E3875" t="s" s="2">
        <v>17</v>
      </c>
      <c r="F3875" t="s" s="2">
        <f>HYPERLINK("http://ts.21cn.com/tousu/show/id/1369906","http://ts.21cn.com/tousu/show/id/1369906")</f>
      </c>
      <c r="G3875" t="s" s="2">
        <v>17</v>
      </c>
      <c r="H3875" t="s" s="2">
        <v>19</v>
      </c>
      <c r="I3875" t="s" s="2">
        <v>15108</v>
      </c>
      <c r="J3875" t="s" s="2">
        <v>15109</v>
      </c>
      <c r="K3875" t="s" s="2">
        <v>22</v>
      </c>
      <c r="L3875" t="s" s="2">
        <v>22</v>
      </c>
      <c r="M3875" t="s" s="2">
        <v>22</v>
      </c>
    </row>
    <row r="3876" ht="25.0" customHeight="true">
      <c r="A3876" t="s" s="2">
        <v>13</v>
      </c>
      <c r="B3876" t="s" s="2">
        <f>HYPERLINK("http://ts.21cn.com/tousu/show/id/1369905","立借平台高利贷，两个月要还三期")</f>
      </c>
      <c r="C3876" t="s" s="2">
        <v>15</v>
      </c>
      <c r="D3876" t="s" s="2">
        <v>16</v>
      </c>
      <c r="E3876" t="s" s="2">
        <v>17</v>
      </c>
      <c r="F3876" t="s" s="2">
        <f>HYPERLINK("http://ts.21cn.com/tousu/show/id/1369905","http://ts.21cn.com/tousu/show/id/1369905")</f>
      </c>
      <c r="G3876" t="s" s="2">
        <v>17</v>
      </c>
      <c r="H3876" t="s" s="2">
        <v>19</v>
      </c>
      <c r="I3876" t="s" s="2">
        <v>15112</v>
      </c>
      <c r="J3876" t="s" s="2">
        <v>15113</v>
      </c>
      <c r="K3876" t="s" s="2">
        <v>22</v>
      </c>
      <c r="L3876" t="s" s="2">
        <v>22</v>
      </c>
      <c r="M3876" t="s" s="2">
        <v>22</v>
      </c>
    </row>
    <row r="3877" ht="25.0" customHeight="true">
      <c r="A3877" t="s" s="2">
        <v>13</v>
      </c>
      <c r="B3877" t="s" s="2">
        <f>HYPERLINK("http://ts.21cn.com/tousu/show/id/1369903","拼多多不退款")</f>
      </c>
      <c r="C3877" t="s" s="2">
        <v>15</v>
      </c>
      <c r="D3877" t="s" s="2">
        <v>16</v>
      </c>
      <c r="E3877" t="s" s="2">
        <v>17</v>
      </c>
      <c r="F3877" t="s" s="2">
        <f>HYPERLINK("http://ts.21cn.com/tousu/show/id/1369903","http://ts.21cn.com/tousu/show/id/1369903")</f>
      </c>
      <c r="G3877" t="s" s="2">
        <v>17</v>
      </c>
      <c r="H3877" t="s" s="2">
        <v>19</v>
      </c>
      <c r="I3877" t="s" s="2">
        <v>15116</v>
      </c>
      <c r="J3877" t="s" s="2">
        <v>15117</v>
      </c>
      <c r="K3877" t="s" s="2">
        <v>22</v>
      </c>
      <c r="L3877" t="s" s="2">
        <v>22</v>
      </c>
      <c r="M3877" t="s" s="2">
        <v>22</v>
      </c>
    </row>
    <row r="3878" ht="25.0" customHeight="true">
      <c r="A3878" t="s" s="2">
        <v>13</v>
      </c>
      <c r="B3878" t="s" s="2">
        <f>HYPERLINK("http://ts.21cn.com/tousu/show/id/1369902","招商信用卡分期")</f>
      </c>
      <c r="C3878" t="s" s="2">
        <v>15</v>
      </c>
      <c r="D3878" t="s" s="2">
        <v>16</v>
      </c>
      <c r="E3878" t="s" s="2">
        <v>17</v>
      </c>
      <c r="F3878" t="s" s="2">
        <f>HYPERLINK("http://ts.21cn.com/tousu/show/id/1369902","http://ts.21cn.com/tousu/show/id/1369902")</f>
      </c>
      <c r="G3878" t="s" s="2">
        <v>17</v>
      </c>
      <c r="H3878" t="s" s="2">
        <v>19</v>
      </c>
      <c r="I3878" t="s" s="2">
        <v>15120</v>
      </c>
      <c r="J3878" t="s" s="2">
        <v>15121</v>
      </c>
      <c r="K3878" t="s" s="2">
        <v>22</v>
      </c>
      <c r="L3878" t="s" s="2">
        <v>22</v>
      </c>
      <c r="M3878" t="s" s="2">
        <v>22</v>
      </c>
    </row>
    <row r="3879" ht="25.0" customHeight="true">
      <c r="A3879" t="s" s="2">
        <v>13</v>
      </c>
      <c r="B3879" t="s" s="2">
        <f>HYPERLINK("http://ts.21cn.com/tousu/show/id/1369901","51talk老师当时承诺随时退费现在不给退了孩子高低不学了也听不懂")</f>
      </c>
      <c r="C3879" t="s" s="2">
        <v>15</v>
      </c>
      <c r="D3879" t="s" s="2">
        <v>16</v>
      </c>
      <c r="E3879" t="s" s="2">
        <v>17</v>
      </c>
      <c r="F3879" t="s" s="2">
        <f>HYPERLINK("http://ts.21cn.com/tousu/show/id/1369901","http://ts.21cn.com/tousu/show/id/1369901")</f>
      </c>
      <c r="G3879" t="s" s="2">
        <v>17</v>
      </c>
      <c r="H3879" t="s" s="2">
        <v>19</v>
      </c>
      <c r="I3879" t="s" s="2">
        <v>15124</v>
      </c>
      <c r="J3879" t="s" s="2">
        <v>15125</v>
      </c>
      <c r="K3879" t="s" s="2">
        <v>22</v>
      </c>
      <c r="L3879" t="s" s="2">
        <v>22</v>
      </c>
      <c r="M3879" t="s" s="2">
        <v>22</v>
      </c>
    </row>
    <row r="3880" ht="25.0" customHeight="true">
      <c r="A3880" t="s" s="2">
        <v>13</v>
      </c>
      <c r="B3880" t="s" s="2">
        <f>HYPERLINK("http://ts.21cn.com/tousu/show/id/1369899","玖富万卡发送虚假仲裁")</f>
      </c>
      <c r="C3880" t="s" s="2">
        <v>15</v>
      </c>
      <c r="D3880" t="s" s="2">
        <v>16</v>
      </c>
      <c r="E3880" t="s" s="2">
        <v>17</v>
      </c>
      <c r="F3880" t="s" s="2">
        <f>HYPERLINK("http://ts.21cn.com/tousu/show/id/1369899","http://ts.21cn.com/tousu/show/id/1369899")</f>
      </c>
      <c r="G3880" t="s" s="2">
        <v>17</v>
      </c>
      <c r="H3880" t="s" s="2">
        <v>19</v>
      </c>
      <c r="I3880" t="s" s="2">
        <v>15128</v>
      </c>
      <c r="J3880" t="s" s="2">
        <v>15129</v>
      </c>
      <c r="K3880" t="s" s="2">
        <v>22</v>
      </c>
      <c r="L3880" t="s" s="2">
        <v>22</v>
      </c>
      <c r="M3880" t="s" s="2">
        <v>22</v>
      </c>
    </row>
    <row r="3881" ht="25.0" customHeight="true">
      <c r="A3881" t="s" s="2">
        <v>13</v>
      </c>
      <c r="B3881" t="s" s="2">
        <f>HYPERLINK("http://ts.21cn.com/tousu/show/id/1369898","讯联智付－鲸伟科技旗下洋钱包app未经同意乱扣钱")</f>
      </c>
      <c r="C3881" t="s" s="2">
        <v>15</v>
      </c>
      <c r="D3881" t="s" s="2">
        <v>16</v>
      </c>
      <c r="E3881" t="s" s="2">
        <v>17</v>
      </c>
      <c r="F3881" t="s" s="2">
        <f>HYPERLINK("http://ts.21cn.com/tousu/show/id/1369898","http://ts.21cn.com/tousu/show/id/1369898")</f>
      </c>
      <c r="G3881" t="s" s="2">
        <v>17</v>
      </c>
      <c r="H3881" t="s" s="2">
        <v>19</v>
      </c>
      <c r="I3881" t="s" s="2">
        <v>15132</v>
      </c>
      <c r="J3881" t="s" s="2">
        <v>15133</v>
      </c>
      <c r="K3881" t="s" s="2">
        <v>22</v>
      </c>
      <c r="L3881" t="s" s="2">
        <v>22</v>
      </c>
      <c r="M3881" t="s" s="2">
        <v>22</v>
      </c>
    </row>
    <row r="3882" ht="25.0" customHeight="true">
      <c r="A3882" t="s" s="2">
        <v>13</v>
      </c>
      <c r="B3882" t="s" s="2">
        <f>HYPERLINK("http://ts.21cn.com/tousu/show/id/1369900","高利贷")</f>
      </c>
      <c r="C3882" t="s" s="2">
        <v>15</v>
      </c>
      <c r="D3882" t="s" s="2">
        <v>16</v>
      </c>
      <c r="E3882" t="s" s="2">
        <v>17</v>
      </c>
      <c r="F3882" t="s" s="2">
        <f>HYPERLINK("http://ts.21cn.com/tousu/show/id/1369900","http://ts.21cn.com/tousu/show/id/1369900")</f>
      </c>
      <c r="G3882" t="s" s="2">
        <v>17</v>
      </c>
      <c r="H3882" t="s" s="2">
        <v>19</v>
      </c>
      <c r="I3882" t="s" s="2">
        <v>15135</v>
      </c>
      <c r="J3882" t="s" s="2">
        <v>15136</v>
      </c>
      <c r="K3882" t="s" s="2">
        <v>22</v>
      </c>
      <c r="L3882" t="s" s="2">
        <v>22</v>
      </c>
      <c r="M3882" t="s" s="2">
        <v>22</v>
      </c>
    </row>
    <row r="3883" ht="25.0" customHeight="true">
      <c r="A3883" t="s" s="2">
        <v>13</v>
      </c>
      <c r="B3883" t="s" s="2">
        <f>HYPERLINK("http://ts.21cn.com/tousu/show/id/1369897","要求爱又米平台停止暴力催收")</f>
      </c>
      <c r="C3883" t="s" s="2">
        <v>15</v>
      </c>
      <c r="D3883" t="s" s="2">
        <v>16</v>
      </c>
      <c r="E3883" t="s" s="2">
        <v>17</v>
      </c>
      <c r="F3883" t="s" s="2">
        <f>HYPERLINK("http://ts.21cn.com/tousu/show/id/1369897","http://ts.21cn.com/tousu/show/id/1369897")</f>
      </c>
      <c r="G3883" t="s" s="2">
        <v>17</v>
      </c>
      <c r="H3883" t="s" s="2">
        <v>19</v>
      </c>
      <c r="I3883" t="s" s="2">
        <v>15138</v>
      </c>
      <c r="J3883" t="s" s="2">
        <v>15139</v>
      </c>
      <c r="K3883" t="s" s="2">
        <v>22</v>
      </c>
      <c r="L3883" t="s" s="2">
        <v>22</v>
      </c>
      <c r="M3883" t="s" s="2">
        <v>22</v>
      </c>
    </row>
    <row r="3884" ht="25.0" customHeight="true">
      <c r="A3884" t="s" s="2">
        <v>13</v>
      </c>
      <c r="B3884" t="s" s="2">
        <f>HYPERLINK("http://ts.21cn.com/tousu/show/id/1369896","有用分期恐吓暴力催收")</f>
      </c>
      <c r="C3884" t="s" s="2">
        <v>15</v>
      </c>
      <c r="D3884" t="s" s="2">
        <v>16</v>
      </c>
      <c r="E3884" t="s" s="2">
        <v>17</v>
      </c>
      <c r="F3884" t="s" s="2">
        <f>HYPERLINK("http://ts.21cn.com/tousu/show/id/1369896","http://ts.21cn.com/tousu/show/id/1369896")</f>
      </c>
      <c r="G3884" t="s" s="2">
        <v>17</v>
      </c>
      <c r="H3884" t="s" s="2">
        <v>19</v>
      </c>
      <c r="I3884" t="s" s="2">
        <v>15142</v>
      </c>
      <c r="J3884" t="s" s="2">
        <v>15143</v>
      </c>
      <c r="K3884" t="s" s="2">
        <v>22</v>
      </c>
      <c r="L3884" t="s" s="2">
        <v>22</v>
      </c>
      <c r="M3884" t="s" s="2">
        <v>22</v>
      </c>
    </row>
    <row r="3885" ht="25.0" customHeight="true">
      <c r="A3885" t="s" s="2">
        <v>13</v>
      </c>
      <c r="B3885" t="s" s="2">
        <f>HYPERLINK("http://ts.21cn.com/tousu/show/id/1369894","上海翰银为赌博输平台收单，请求瀚银为我退款挽回经济损失")</f>
      </c>
      <c r="C3885" t="s" s="2">
        <v>15</v>
      </c>
      <c r="D3885" t="s" s="2">
        <v>16</v>
      </c>
      <c r="E3885" t="s" s="2">
        <v>17</v>
      </c>
      <c r="F3885" t="s" s="2">
        <f>HYPERLINK("http://ts.21cn.com/tousu/show/id/1369894","http://ts.21cn.com/tousu/show/id/1369894")</f>
      </c>
      <c r="G3885" t="s" s="2">
        <v>17</v>
      </c>
      <c r="H3885" t="s" s="2">
        <v>19</v>
      </c>
      <c r="I3885" t="s" s="2">
        <v>15145</v>
      </c>
      <c r="J3885" t="s" s="2">
        <v>15146</v>
      </c>
      <c r="K3885" t="s" s="2">
        <v>22</v>
      </c>
      <c r="L3885" t="s" s="2">
        <v>22</v>
      </c>
      <c r="M3885" t="s" s="2">
        <v>22</v>
      </c>
    </row>
    <row r="3886" ht="25.0" customHeight="true">
      <c r="A3886" t="s" s="2">
        <v>13</v>
      </c>
      <c r="B3886" t="s" s="2">
        <f>HYPERLINK("http://ts.21cn.com/tousu/show/id/1369893","砍头息")</f>
      </c>
      <c r="C3886" t="s" s="2">
        <v>52</v>
      </c>
      <c r="D3886" t="s" s="2">
        <v>16</v>
      </c>
      <c r="E3886" t="s" s="2">
        <v>17</v>
      </c>
      <c r="F3886" t="s" s="2">
        <f>HYPERLINK("http://ts.21cn.com/tousu/show/id/1369893","http://ts.21cn.com/tousu/show/id/1369893")</f>
      </c>
      <c r="G3886" t="s" s="2">
        <v>17</v>
      </c>
      <c r="H3886" t="s" s="2">
        <v>19</v>
      </c>
      <c r="I3886" t="s" s="2">
        <v>15148</v>
      </c>
      <c r="J3886" t="s" s="2">
        <v>15149</v>
      </c>
      <c r="K3886" t="s" s="2">
        <v>22</v>
      </c>
      <c r="L3886" t="s" s="2">
        <v>22</v>
      </c>
      <c r="M3886" t="s" s="2">
        <v>22</v>
      </c>
    </row>
    <row r="3887" ht="25.0" customHeight="true">
      <c r="A3887" t="s" s="2">
        <v>13</v>
      </c>
      <c r="B3887" t="s" s="2">
        <f>HYPERLINK("http://ts.21cn.com/tousu/show/id/1369891","暴力催收")</f>
      </c>
      <c r="C3887" t="s" s="2">
        <v>15</v>
      </c>
      <c r="D3887" t="s" s="2">
        <v>16</v>
      </c>
      <c r="E3887" t="s" s="2">
        <v>17</v>
      </c>
      <c r="F3887" t="s" s="2">
        <f>HYPERLINK("http://ts.21cn.com/tousu/show/id/1369891","http://ts.21cn.com/tousu/show/id/1369891")</f>
      </c>
      <c r="G3887" t="s" s="2">
        <v>17</v>
      </c>
      <c r="H3887" t="s" s="2">
        <v>19</v>
      </c>
      <c r="I3887" t="s" s="2">
        <v>15151</v>
      </c>
      <c r="J3887" t="s" s="2">
        <v>15152</v>
      </c>
      <c r="K3887" t="s" s="2">
        <v>22</v>
      </c>
      <c r="L3887" t="s" s="2">
        <v>22</v>
      </c>
      <c r="M3887" t="s" s="2">
        <v>22</v>
      </c>
    </row>
    <row r="3888" ht="25.0" customHeight="true">
      <c r="A3888" t="s" s="2">
        <v>13</v>
      </c>
      <c r="B3888" t="s" s="2">
        <f>HYPERLINK("http://ts.21cn.com/tousu/show/id/1369889","用了人不给钱")</f>
      </c>
      <c r="C3888" t="s" s="2">
        <v>15</v>
      </c>
      <c r="D3888" t="s" s="2">
        <v>16</v>
      </c>
      <c r="E3888" t="s" s="2">
        <v>17</v>
      </c>
      <c r="F3888" t="s" s="2">
        <f>HYPERLINK("http://ts.21cn.com/tousu/show/id/1369889","http://ts.21cn.com/tousu/show/id/1369889")</f>
      </c>
      <c r="G3888" t="s" s="2">
        <v>17</v>
      </c>
      <c r="H3888" t="s" s="2">
        <v>19</v>
      </c>
      <c r="I3888" t="s" s="2">
        <v>15155</v>
      </c>
      <c r="J3888" t="s" s="2">
        <v>15156</v>
      </c>
      <c r="K3888" t="s" s="2">
        <v>22</v>
      </c>
      <c r="L3888" t="s" s="2">
        <v>22</v>
      </c>
      <c r="M3888" t="s" s="2">
        <v>22</v>
      </c>
    </row>
    <row r="3889" ht="25.0" customHeight="true">
      <c r="A3889" t="s" s="2">
        <v>13</v>
      </c>
      <c r="B3889" t="s" s="2">
        <f>HYPERLINK("http://ts.21cn.com/tousu/show/id/1369888","金银钱包超利贷")</f>
      </c>
      <c r="C3889" t="s" s="2">
        <v>52</v>
      </c>
      <c r="D3889" t="s" s="2">
        <v>16</v>
      </c>
      <c r="E3889" t="s" s="2">
        <v>17</v>
      </c>
      <c r="F3889" t="s" s="2">
        <f>HYPERLINK("http://ts.21cn.com/tousu/show/id/1369888","http://ts.21cn.com/tousu/show/id/1369888")</f>
      </c>
      <c r="G3889" t="s" s="2">
        <v>17</v>
      </c>
      <c r="H3889" t="s" s="2">
        <v>19</v>
      </c>
      <c r="I3889" t="s" s="2">
        <v>15159</v>
      </c>
      <c r="J3889" t="s" s="2">
        <v>15160</v>
      </c>
      <c r="K3889" t="s" s="2">
        <v>22</v>
      </c>
      <c r="L3889" t="s" s="2">
        <v>22</v>
      </c>
      <c r="M3889" t="s" s="2">
        <v>22</v>
      </c>
    </row>
    <row r="3890" ht="25.0" customHeight="true">
      <c r="A3890" t="s" s="2">
        <v>13</v>
      </c>
      <c r="B3890" t="s" s="2">
        <f>HYPERLINK("http://ts.21cn.com/tousu/show/id/1369887","语言侮辱轰炸骚扰通讯录")</f>
      </c>
      <c r="C3890" t="s" s="2">
        <v>15</v>
      </c>
      <c r="D3890" t="s" s="2">
        <v>16</v>
      </c>
      <c r="E3890" t="s" s="2">
        <v>17</v>
      </c>
      <c r="F3890" t="s" s="2">
        <f>HYPERLINK("http://ts.21cn.com/tousu/show/id/1369887","http://ts.21cn.com/tousu/show/id/1369887")</f>
      </c>
      <c r="G3890" t="s" s="2">
        <v>17</v>
      </c>
      <c r="H3890" t="s" s="2">
        <v>19</v>
      </c>
      <c r="I3890" t="s" s="2">
        <v>15163</v>
      </c>
      <c r="J3890" t="s" s="2">
        <v>15164</v>
      </c>
      <c r="K3890" t="s" s="2">
        <v>22</v>
      </c>
      <c r="L3890" t="s" s="2">
        <v>22</v>
      </c>
      <c r="M3890" t="s" s="2">
        <v>22</v>
      </c>
    </row>
    <row r="3891" ht="25.0" customHeight="true">
      <c r="A3891" t="s" s="2">
        <v>13</v>
      </c>
      <c r="B3891" t="s" s="2">
        <f>HYPERLINK("http://ts.21cn.com/tousu/show/id/1369886","萌推App萌推商城蓝色妖姬时装店退货已收到不退款")</f>
      </c>
      <c r="C3891" t="s" s="2">
        <v>52</v>
      </c>
      <c r="D3891" t="s" s="2">
        <v>16</v>
      </c>
      <c r="E3891" t="s" s="2">
        <v>17</v>
      </c>
      <c r="F3891" t="s" s="2">
        <f>HYPERLINK("http://ts.21cn.com/tousu/show/id/1369886","http://ts.21cn.com/tousu/show/id/1369886")</f>
      </c>
      <c r="G3891" t="s" s="2">
        <v>17</v>
      </c>
      <c r="H3891" t="s" s="2">
        <v>19</v>
      </c>
      <c r="I3891" t="s" s="2">
        <v>15167</v>
      </c>
      <c r="J3891" t="s" s="2">
        <v>15168</v>
      </c>
      <c r="K3891" t="s" s="2">
        <v>22</v>
      </c>
      <c r="L3891" t="s" s="2">
        <v>22</v>
      </c>
      <c r="M3891" t="s" s="2">
        <v>22</v>
      </c>
    </row>
    <row r="3892" ht="25.0" customHeight="true">
      <c r="A3892" t="s" s="2">
        <v>13</v>
      </c>
      <c r="B3892" t="s" s="2">
        <f>HYPERLINK("http://ts.21cn.com/tousu/show/id/1369883","拍拍贷恶意窃取通讯录资料")</f>
      </c>
      <c r="C3892" t="s" s="2">
        <v>15</v>
      </c>
      <c r="D3892" t="s" s="2">
        <v>16</v>
      </c>
      <c r="E3892" t="s" s="2">
        <v>17</v>
      </c>
      <c r="F3892" t="s" s="2">
        <f>HYPERLINK("http://ts.21cn.com/tousu/show/id/1369883","http://ts.21cn.com/tousu/show/id/1369883")</f>
      </c>
      <c r="G3892" t="s" s="2">
        <v>17</v>
      </c>
      <c r="H3892" t="s" s="2">
        <v>19</v>
      </c>
      <c r="I3892" t="s" s="2">
        <v>15171</v>
      </c>
      <c r="J3892" t="s" s="2">
        <v>15172</v>
      </c>
      <c r="K3892" t="s" s="2">
        <v>22</v>
      </c>
      <c r="L3892" t="s" s="2">
        <v>22</v>
      </c>
      <c r="M3892" t="s" s="2">
        <v>22</v>
      </c>
    </row>
    <row r="3893" ht="25.0" customHeight="true">
      <c r="A3893" t="s" s="2">
        <v>13</v>
      </c>
      <c r="B3893" t="s" s="2">
        <f>HYPERLINK("http://ts.21cn.com/tousu/show/id/1369882","爆通讯录，威胁恐吓")</f>
      </c>
      <c r="C3893" t="s" s="2">
        <v>15</v>
      </c>
      <c r="D3893" t="s" s="2">
        <v>16</v>
      </c>
      <c r="E3893" t="s" s="2">
        <v>17</v>
      </c>
      <c r="F3893" t="s" s="2">
        <f>HYPERLINK("http://ts.21cn.com/tousu/show/id/1369882","http://ts.21cn.com/tousu/show/id/1369882")</f>
      </c>
      <c r="G3893" t="s" s="2">
        <v>17</v>
      </c>
      <c r="H3893" t="s" s="2">
        <v>19</v>
      </c>
      <c r="I3893" t="s" s="2">
        <v>15175</v>
      </c>
      <c r="J3893" t="s" s="2">
        <v>15176</v>
      </c>
      <c r="K3893" t="s" s="2">
        <v>22</v>
      </c>
      <c r="L3893" t="s" s="2">
        <v>22</v>
      </c>
      <c r="M3893" t="s" s="2">
        <v>22</v>
      </c>
    </row>
    <row r="3894" ht="25.0" customHeight="true">
      <c r="A3894" t="s" s="2">
        <v>13</v>
      </c>
      <c r="B3894" t="s" s="2">
        <f>HYPERLINK("http://ts.21cn.com/tousu/show/id/1369880","集体举报百度有钱花协助广州核芯教育科技有限公司联合诱导培训贷事件")</f>
      </c>
      <c r="C3894" t="s" s="2">
        <v>15</v>
      </c>
      <c r="D3894" t="s" s="2">
        <v>16</v>
      </c>
      <c r="E3894" t="s" s="2">
        <v>17</v>
      </c>
      <c r="F3894" t="s" s="2">
        <f>HYPERLINK("http://ts.21cn.com/tousu/show/id/1369880","http://ts.21cn.com/tousu/show/id/1369880")</f>
      </c>
      <c r="G3894" t="s" s="2">
        <v>17</v>
      </c>
      <c r="H3894" t="s" s="2">
        <v>19</v>
      </c>
      <c r="I3894" t="s" s="2">
        <v>15179</v>
      </c>
      <c r="J3894" t="s" s="2">
        <v>15180</v>
      </c>
      <c r="K3894" t="s" s="2">
        <v>22</v>
      </c>
      <c r="L3894" t="s" s="2">
        <v>22</v>
      </c>
      <c r="M3894" t="s" s="2">
        <v>22</v>
      </c>
    </row>
    <row r="3895" ht="25.0" customHeight="true">
      <c r="A3895" t="s" s="2">
        <v>13</v>
      </c>
      <c r="B3895" t="s" s="2">
        <f>HYPERLINK("http://ts.21cn.com/tousu/show/id/1369879","上海瀚银与违法商家合作")</f>
      </c>
      <c r="C3895" t="s" s="2">
        <v>15</v>
      </c>
      <c r="D3895" t="s" s="2">
        <v>16</v>
      </c>
      <c r="E3895" t="s" s="2">
        <v>17</v>
      </c>
      <c r="F3895" t="s" s="2">
        <f>HYPERLINK("http://ts.21cn.com/tousu/show/id/1369879","http://ts.21cn.com/tousu/show/id/1369879")</f>
      </c>
      <c r="G3895" t="s" s="2">
        <v>17</v>
      </c>
      <c r="H3895" t="s" s="2">
        <v>19</v>
      </c>
      <c r="I3895" t="s" s="2">
        <v>15183</v>
      </c>
      <c r="J3895" t="s" s="2">
        <v>15184</v>
      </c>
      <c r="K3895" t="s" s="2">
        <v>22</v>
      </c>
      <c r="L3895" t="s" s="2">
        <v>22</v>
      </c>
      <c r="M3895" t="s" s="2">
        <v>22</v>
      </c>
    </row>
    <row r="3896" ht="25.0" customHeight="true">
      <c r="A3896" t="s" s="2">
        <v>13</v>
      </c>
      <c r="B3896" t="s" s="2">
        <f>HYPERLINK("http://ts.21cn.com/tousu/show/id/1369878","信而富莫名从我农行卡里扣去408.86")</f>
      </c>
      <c r="C3896" t="s" s="2">
        <v>15</v>
      </c>
      <c r="D3896" t="s" s="2">
        <v>16</v>
      </c>
      <c r="E3896" t="s" s="2">
        <v>17</v>
      </c>
      <c r="F3896" t="s" s="2">
        <f>HYPERLINK("http://ts.21cn.com/tousu/show/id/1369878","http://ts.21cn.com/tousu/show/id/1369878")</f>
      </c>
      <c r="G3896" t="s" s="2">
        <v>17</v>
      </c>
      <c r="H3896" t="s" s="2">
        <v>19</v>
      </c>
      <c r="I3896" t="s" s="2">
        <v>15187</v>
      </c>
      <c r="J3896" t="s" s="2">
        <v>15188</v>
      </c>
      <c r="K3896" t="s" s="2">
        <v>22</v>
      </c>
      <c r="L3896" t="s" s="2">
        <v>22</v>
      </c>
      <c r="M3896" t="s" s="2">
        <v>22</v>
      </c>
    </row>
    <row r="3897" ht="25.0" customHeight="true">
      <c r="A3897" t="s" s="2">
        <v>13</v>
      </c>
      <c r="B3897" t="s" s="2">
        <f>HYPERLINK("http://ts.21cn.com/tousu/show/id/1369877","客服0195")</f>
      </c>
      <c r="C3897" t="s" s="2">
        <v>52</v>
      </c>
      <c r="D3897" t="s" s="2">
        <v>16</v>
      </c>
      <c r="E3897" t="s" s="2">
        <v>17</v>
      </c>
      <c r="F3897" t="s" s="2">
        <f>HYPERLINK("http://ts.21cn.com/tousu/show/id/1369877","http://ts.21cn.com/tousu/show/id/1369877")</f>
      </c>
      <c r="G3897" t="s" s="2">
        <v>17</v>
      </c>
      <c r="H3897" t="s" s="2">
        <v>19</v>
      </c>
      <c r="I3897" t="s" s="2">
        <v>15191</v>
      </c>
      <c r="J3897" t="s" s="2">
        <v>15192</v>
      </c>
      <c r="K3897" t="s" s="2">
        <v>22</v>
      </c>
      <c r="L3897" t="s" s="2">
        <v>22</v>
      </c>
      <c r="M3897" t="s" s="2">
        <v>22</v>
      </c>
    </row>
    <row r="3898" ht="25.0" customHeight="true">
      <c r="A3898" t="s" s="2">
        <v>13</v>
      </c>
      <c r="B3898" t="s" s="2">
        <f>HYPERLINK("http://ts.21cn.com/tousu/show/id/1369876","立马进钱呆呆苞高利贷,收取超高逾期费用。协商无果，电话催收")</f>
      </c>
      <c r="C3898" t="s" s="2">
        <v>15</v>
      </c>
      <c r="D3898" t="s" s="2">
        <v>16</v>
      </c>
      <c r="E3898" t="s" s="2">
        <v>17</v>
      </c>
      <c r="F3898" t="s" s="2">
        <f>HYPERLINK("http://ts.21cn.com/tousu/show/id/1369876","http://ts.21cn.com/tousu/show/id/1369876")</f>
      </c>
      <c r="G3898" t="s" s="2">
        <v>17</v>
      </c>
      <c r="H3898" t="s" s="2">
        <v>19</v>
      </c>
      <c r="I3898" t="s" s="2">
        <v>15195</v>
      </c>
      <c r="J3898" t="s" s="2">
        <v>15196</v>
      </c>
      <c r="K3898" t="s" s="2">
        <v>22</v>
      </c>
      <c r="L3898" t="s" s="2">
        <v>22</v>
      </c>
      <c r="M3898" t="s" s="2">
        <v>22</v>
      </c>
    </row>
    <row r="3899" ht="25.0" customHeight="true">
      <c r="A3899" t="s" s="2">
        <v>13</v>
      </c>
      <c r="B3899" t="s" s="2">
        <f>HYPERLINK("http://ts.21cn.com/tousu/show/id/1369875","捷信高利贷，冒充国家律师")</f>
      </c>
      <c r="C3899" t="s" s="2">
        <v>15</v>
      </c>
      <c r="D3899" t="s" s="2">
        <v>16</v>
      </c>
      <c r="E3899" t="s" s="2">
        <v>17</v>
      </c>
      <c r="F3899" t="s" s="2">
        <f>HYPERLINK("http://ts.21cn.com/tousu/show/id/1369875","http://ts.21cn.com/tousu/show/id/1369875")</f>
      </c>
      <c r="G3899" t="s" s="2">
        <v>17</v>
      </c>
      <c r="H3899" t="s" s="2">
        <v>19</v>
      </c>
      <c r="I3899" t="s" s="2">
        <v>15199</v>
      </c>
      <c r="J3899" t="s" s="2">
        <v>15200</v>
      </c>
      <c r="K3899" t="s" s="2">
        <v>22</v>
      </c>
      <c r="L3899" t="s" s="2">
        <v>22</v>
      </c>
      <c r="M3899" t="s" s="2">
        <v>22</v>
      </c>
    </row>
    <row r="3900" ht="25.0" customHeight="true">
      <c r="A3900" t="s" s="2">
        <v>13</v>
      </c>
      <c r="B3900" t="s" s="2">
        <f>HYPERLINK("http://ts.21cn.com/tousu/show/id/1369120","银生宝为商户提供违规充值通道")</f>
      </c>
      <c r="C3900" t="s" s="2">
        <v>15</v>
      </c>
      <c r="D3900" t="s" s="2">
        <v>16</v>
      </c>
      <c r="E3900" t="s" s="2">
        <v>17</v>
      </c>
      <c r="F3900" t="s" s="2">
        <f>HYPERLINK("http://ts.21cn.com/tousu/show/id/1369120","http://ts.21cn.com/tousu/show/id/1369120")</f>
      </c>
      <c r="G3900" t="s" s="2">
        <v>17</v>
      </c>
      <c r="H3900" t="s" s="2">
        <v>19</v>
      </c>
      <c r="I3900" t="s" s="2">
        <v>15203</v>
      </c>
      <c r="J3900" t="s" s="2">
        <v>15204</v>
      </c>
      <c r="K3900" t="s" s="2">
        <v>22</v>
      </c>
      <c r="L3900" t="s" s="2">
        <v>22</v>
      </c>
      <c r="M3900" t="s" s="2">
        <v>22</v>
      </c>
    </row>
    <row r="3901" ht="25.0" customHeight="true">
      <c r="A3901" t="s" s="2">
        <v>13</v>
      </c>
      <c r="B3901" t="s" s="2">
        <f>HYPERLINK("http://ts.21cn.com/tousu/show/id/1369872","投诉拼多多偏向卖家，")</f>
      </c>
      <c r="C3901" t="s" s="2">
        <v>15</v>
      </c>
      <c r="D3901" t="s" s="2">
        <v>16</v>
      </c>
      <c r="E3901" t="s" s="2">
        <v>17</v>
      </c>
      <c r="F3901" t="s" s="2">
        <f>HYPERLINK("http://ts.21cn.com/tousu/show/id/1369872","http://ts.21cn.com/tousu/show/id/1369872")</f>
      </c>
      <c r="G3901" t="s" s="2">
        <v>17</v>
      </c>
      <c r="H3901" t="s" s="2">
        <v>19</v>
      </c>
      <c r="I3901" t="s" s="2">
        <v>15207</v>
      </c>
      <c r="J3901" t="s" s="2">
        <v>15208</v>
      </c>
      <c r="K3901" t="s" s="2">
        <v>22</v>
      </c>
      <c r="L3901" t="s" s="2">
        <v>22</v>
      </c>
      <c r="M3901" t="s" s="2">
        <v>22</v>
      </c>
    </row>
    <row r="3902" ht="25.0" customHeight="true">
      <c r="A3902" t="s" s="2">
        <v>13</v>
      </c>
      <c r="B3902" t="s" s="2">
        <f>HYPERLINK("http://ts.21cn.com/tousu/show/id/1369871","闪信分期存在变相砍头息")</f>
      </c>
      <c r="C3902" t="s" s="2">
        <v>15</v>
      </c>
      <c r="D3902" t="s" s="2">
        <v>16</v>
      </c>
      <c r="E3902" t="s" s="2">
        <v>17</v>
      </c>
      <c r="F3902" t="s" s="2">
        <f>HYPERLINK("http://ts.21cn.com/tousu/show/id/1369871","http://ts.21cn.com/tousu/show/id/1369871")</f>
      </c>
      <c r="G3902" t="s" s="2">
        <v>17</v>
      </c>
      <c r="H3902" t="s" s="2">
        <v>19</v>
      </c>
      <c r="I3902" t="s" s="2">
        <v>15211</v>
      </c>
      <c r="J3902" t="s" s="2">
        <v>15212</v>
      </c>
      <c r="K3902" t="s" s="2">
        <v>22</v>
      </c>
      <c r="L3902" t="s" s="2">
        <v>22</v>
      </c>
      <c r="M3902" t="s" s="2">
        <v>22</v>
      </c>
    </row>
    <row r="3903" ht="25.0" customHeight="true">
      <c r="A3903" t="s" s="2">
        <v>13</v>
      </c>
      <c r="B3903" t="s" s="2">
        <f>HYPERLINK("http://ts.21cn.com/tousu/show/id/1369867","砍头息")</f>
      </c>
      <c r="C3903" t="s" s="2">
        <v>52</v>
      </c>
      <c r="D3903" t="s" s="2">
        <v>16</v>
      </c>
      <c r="E3903" t="s" s="2">
        <v>17</v>
      </c>
      <c r="F3903" t="s" s="2">
        <f>HYPERLINK("http://ts.21cn.com/tousu/show/id/1369867","http://ts.21cn.com/tousu/show/id/1369867")</f>
      </c>
      <c r="G3903" t="s" s="2">
        <v>17</v>
      </c>
      <c r="H3903" t="s" s="2">
        <v>19</v>
      </c>
      <c r="I3903" t="s" s="2">
        <v>15214</v>
      </c>
      <c r="J3903" t="s" s="2">
        <v>15215</v>
      </c>
      <c r="K3903" t="s" s="2">
        <v>22</v>
      </c>
      <c r="L3903" t="s" s="2">
        <v>22</v>
      </c>
      <c r="M3903" t="s" s="2">
        <v>22</v>
      </c>
    </row>
    <row r="3904" ht="25.0" customHeight="true">
      <c r="A3904" t="s" s="2">
        <v>13</v>
      </c>
      <c r="B3904" t="s" s="2">
        <f>HYPERLINK("http://ts.21cn.com/tousu/show/id/1369868","闪银变相砍头息")</f>
      </c>
      <c r="C3904" t="s" s="2">
        <v>15</v>
      </c>
      <c r="D3904" t="s" s="2">
        <v>16</v>
      </c>
      <c r="E3904" t="s" s="2">
        <v>17</v>
      </c>
      <c r="F3904" t="s" s="2">
        <f>HYPERLINK("http://ts.21cn.com/tousu/show/id/1369868","http://ts.21cn.com/tousu/show/id/1369868")</f>
      </c>
      <c r="G3904" t="s" s="2">
        <v>17</v>
      </c>
      <c r="H3904" t="s" s="2">
        <v>19</v>
      </c>
      <c r="I3904" t="s" s="2">
        <v>15217</v>
      </c>
      <c r="J3904" t="s" s="2">
        <v>15218</v>
      </c>
      <c r="K3904" t="s" s="2">
        <v>22</v>
      </c>
      <c r="L3904" t="s" s="2">
        <v>22</v>
      </c>
      <c r="M3904" t="s" s="2">
        <v>22</v>
      </c>
    </row>
    <row r="3905" ht="25.0" customHeight="true">
      <c r="A3905" t="s" s="2">
        <v>13</v>
      </c>
      <c r="B3905" t="s" s="2">
        <f>HYPERLINK("http://ts.21cn.com/tousu/show/id/1369866","及贷软暴力催收")</f>
      </c>
      <c r="C3905" t="s" s="2">
        <v>15</v>
      </c>
      <c r="D3905" t="s" s="2">
        <v>16</v>
      </c>
      <c r="E3905" t="s" s="2">
        <v>17</v>
      </c>
      <c r="F3905" t="s" s="2">
        <f>HYPERLINK("http://ts.21cn.com/tousu/show/id/1369866","http://ts.21cn.com/tousu/show/id/1369866")</f>
      </c>
      <c r="G3905" t="s" s="2">
        <v>17</v>
      </c>
      <c r="H3905" t="s" s="2">
        <v>19</v>
      </c>
      <c r="I3905" t="s" s="2">
        <v>15221</v>
      </c>
      <c r="J3905" t="s" s="2">
        <v>15222</v>
      </c>
      <c r="K3905" t="s" s="2">
        <v>22</v>
      </c>
      <c r="L3905" t="s" s="2">
        <v>22</v>
      </c>
      <c r="M3905" t="s" s="2">
        <v>22</v>
      </c>
    </row>
    <row r="3906" ht="25.0" customHeight="true">
      <c r="A3906" t="s" s="2">
        <v>13</v>
      </c>
      <c r="B3906" t="s" s="2">
        <f>HYPERLINK("http://ts.21cn.com/tousu/show/id/1369864","中国电信翼支付暴力催收")</f>
      </c>
      <c r="C3906" t="s" s="2">
        <v>15</v>
      </c>
      <c r="D3906" t="s" s="2">
        <v>16</v>
      </c>
      <c r="E3906" t="s" s="2">
        <v>17</v>
      </c>
      <c r="F3906" t="s" s="2">
        <f>HYPERLINK("http://ts.21cn.com/tousu/show/id/1369864","http://ts.21cn.com/tousu/show/id/1369864")</f>
      </c>
      <c r="G3906" t="s" s="2">
        <v>17</v>
      </c>
      <c r="H3906" t="s" s="2">
        <v>19</v>
      </c>
      <c r="I3906" t="s" s="2">
        <v>15225</v>
      </c>
      <c r="J3906" t="s" s="2">
        <v>15226</v>
      </c>
      <c r="K3906" t="s" s="2">
        <v>22</v>
      </c>
      <c r="L3906" t="s" s="2">
        <v>22</v>
      </c>
      <c r="M3906" t="s" s="2">
        <v>22</v>
      </c>
    </row>
    <row r="3907" ht="25.0" customHeight="true">
      <c r="A3907" t="s" s="2">
        <v>13</v>
      </c>
      <c r="B3907" t="s" s="2">
        <f>HYPERLINK("http://ts.21cn.com/tousu/show/id/1369863","共享汽车押金退不了")</f>
      </c>
      <c r="C3907" t="s" s="2">
        <v>15</v>
      </c>
      <c r="D3907" t="s" s="2">
        <v>16</v>
      </c>
      <c r="E3907" t="s" s="2">
        <v>17</v>
      </c>
      <c r="F3907" t="s" s="2">
        <f>HYPERLINK("http://ts.21cn.com/tousu/show/id/1369863","http://ts.21cn.com/tousu/show/id/1369863")</f>
      </c>
      <c r="G3907" t="s" s="2">
        <v>17</v>
      </c>
      <c r="H3907" t="s" s="2">
        <v>19</v>
      </c>
      <c r="I3907" t="s" s="2">
        <v>15229</v>
      </c>
      <c r="J3907" t="s" s="2">
        <v>15230</v>
      </c>
      <c r="K3907" t="s" s="2">
        <v>22</v>
      </c>
      <c r="L3907" t="s" s="2">
        <v>22</v>
      </c>
      <c r="M3907" t="s" s="2">
        <v>22</v>
      </c>
    </row>
    <row r="3908" ht="25.0" customHeight="true">
      <c r="A3908" t="s" s="2">
        <v>13</v>
      </c>
      <c r="B3908" t="s" s="2">
        <f>HYPERLINK("http://ts.21cn.com/tousu/show/id/1369869","高顿财经不断打电话")</f>
      </c>
      <c r="C3908" t="s" s="2">
        <v>15</v>
      </c>
      <c r="D3908" t="s" s="2">
        <v>16</v>
      </c>
      <c r="E3908" t="s" s="2">
        <v>17</v>
      </c>
      <c r="F3908" t="s" s="2">
        <f>HYPERLINK("http://ts.21cn.com/tousu/show/id/1369869","http://ts.21cn.com/tousu/show/id/1369869")</f>
      </c>
      <c r="G3908" t="s" s="2">
        <v>17</v>
      </c>
      <c r="H3908" t="s" s="2">
        <v>19</v>
      </c>
      <c r="I3908" t="s" s="2">
        <v>15233</v>
      </c>
      <c r="J3908" t="s" s="2">
        <v>15234</v>
      </c>
      <c r="K3908" t="s" s="2">
        <v>22</v>
      </c>
      <c r="L3908" t="s" s="2">
        <v>22</v>
      </c>
      <c r="M3908" t="s" s="2">
        <v>22</v>
      </c>
    </row>
    <row r="3909" ht="25.0" customHeight="true">
      <c r="A3909" t="s" s="2">
        <v>13</v>
      </c>
      <c r="B3909" t="s" s="2">
        <f>HYPERLINK("http://ts.21cn.com/tousu/show/id/1369860","网贷")</f>
      </c>
      <c r="C3909" t="s" s="2">
        <v>52</v>
      </c>
      <c r="D3909" t="s" s="2">
        <v>16</v>
      </c>
      <c r="E3909" t="s" s="2">
        <v>17</v>
      </c>
      <c r="F3909" t="s" s="2">
        <f>HYPERLINK("http://ts.21cn.com/tousu/show/id/1369860","http://ts.21cn.com/tousu/show/id/1369860")</f>
      </c>
      <c r="G3909" t="s" s="2">
        <v>17</v>
      </c>
      <c r="H3909" t="s" s="2">
        <v>19</v>
      </c>
      <c r="I3909" t="s" s="2">
        <v>15236</v>
      </c>
      <c r="J3909" t="s" s="2">
        <v>15237</v>
      </c>
      <c r="K3909" t="s" s="2">
        <v>22</v>
      </c>
      <c r="L3909" t="s" s="2">
        <v>22</v>
      </c>
      <c r="M3909" t="s" s="2">
        <v>22</v>
      </c>
    </row>
    <row r="3910" ht="25.0" customHeight="true">
      <c r="A3910" t="s" s="2">
        <v>13</v>
      </c>
      <c r="B3910" t="s" s="2">
        <f>HYPERLINK("http://ts.21cn.com/tousu/show/id/1369859","快贷平台骚扰了电话轰炸")</f>
      </c>
      <c r="C3910" t="s" s="2">
        <v>15</v>
      </c>
      <c r="D3910" t="s" s="2">
        <v>16</v>
      </c>
      <c r="E3910" t="s" s="2">
        <v>17</v>
      </c>
      <c r="F3910" t="s" s="2">
        <f>HYPERLINK("http://ts.21cn.com/tousu/show/id/1369859","http://ts.21cn.com/tousu/show/id/1369859")</f>
      </c>
      <c r="G3910" t="s" s="2">
        <v>17</v>
      </c>
      <c r="H3910" t="s" s="2">
        <v>19</v>
      </c>
      <c r="I3910" t="s" s="2">
        <v>15240</v>
      </c>
      <c r="J3910" t="s" s="2">
        <v>15241</v>
      </c>
      <c r="K3910" t="s" s="2">
        <v>22</v>
      </c>
      <c r="L3910" t="s" s="2">
        <v>22</v>
      </c>
      <c r="M3910" t="s" s="2">
        <v>22</v>
      </c>
    </row>
    <row r="3911" ht="25.0" customHeight="true">
      <c r="A3911" t="s" s="2">
        <v>13</v>
      </c>
      <c r="B3911" t="s" s="2">
        <f>HYPERLINK("http://ts.21cn.com/tousu/show/id/1369858","花转转暴力催收骚扰")</f>
      </c>
      <c r="C3911" t="s" s="2">
        <v>15</v>
      </c>
      <c r="D3911" t="s" s="2">
        <v>16</v>
      </c>
      <c r="E3911" t="s" s="2">
        <v>17</v>
      </c>
      <c r="F3911" t="s" s="2">
        <f>HYPERLINK("http://ts.21cn.com/tousu/show/id/1369858","http://ts.21cn.com/tousu/show/id/1369858")</f>
      </c>
      <c r="G3911" t="s" s="2">
        <v>17</v>
      </c>
      <c r="H3911" t="s" s="2">
        <v>19</v>
      </c>
      <c r="I3911" t="s" s="2">
        <v>15244</v>
      </c>
      <c r="J3911" t="s" s="2">
        <v>15245</v>
      </c>
      <c r="K3911" t="s" s="2">
        <v>22</v>
      </c>
      <c r="L3911" t="s" s="2">
        <v>22</v>
      </c>
      <c r="M3911" t="s" s="2">
        <v>22</v>
      </c>
    </row>
    <row r="3912" ht="25.0" customHeight="true">
      <c r="A3912" t="s" s="2">
        <v>13</v>
      </c>
      <c r="B3912" t="s" s="2">
        <f>HYPERLINK("http://ts.21cn.com/tousu/show/id/1369857","美团团购不成功，退款迟迟不到账")</f>
      </c>
      <c r="C3912" t="s" s="2">
        <v>15</v>
      </c>
      <c r="D3912" t="s" s="2">
        <v>16</v>
      </c>
      <c r="E3912" t="s" s="2">
        <v>17</v>
      </c>
      <c r="F3912" t="s" s="2">
        <f>HYPERLINK("http://ts.21cn.com/tousu/show/id/1369857","http://ts.21cn.com/tousu/show/id/1369857")</f>
      </c>
      <c r="G3912" t="s" s="2">
        <v>17</v>
      </c>
      <c r="H3912" t="s" s="2">
        <v>19</v>
      </c>
      <c r="I3912" t="s" s="2">
        <v>15248</v>
      </c>
      <c r="J3912" t="s" s="2">
        <v>15249</v>
      </c>
      <c r="K3912" t="s" s="2">
        <v>22</v>
      </c>
      <c r="L3912" t="s" s="2">
        <v>22</v>
      </c>
      <c r="M3912" t="s" s="2">
        <v>22</v>
      </c>
    </row>
    <row r="3913" ht="25.0" customHeight="true">
      <c r="A3913" t="s" s="2">
        <v>13</v>
      </c>
      <c r="B3913" t="s" s="2">
        <f>HYPERLINK("http://ts.21cn.com/tousu/show/id/1369856","马上消费金融爆通讯录违法")</f>
      </c>
      <c r="C3913" t="s" s="2">
        <v>15</v>
      </c>
      <c r="D3913" t="s" s="2">
        <v>16</v>
      </c>
      <c r="E3913" t="s" s="2">
        <v>17</v>
      </c>
      <c r="F3913" t="s" s="2">
        <f>HYPERLINK("http://ts.21cn.com/tousu/show/id/1369856","http://ts.21cn.com/tousu/show/id/1369856")</f>
      </c>
      <c r="G3913" t="s" s="2">
        <v>17</v>
      </c>
      <c r="H3913" t="s" s="2">
        <v>19</v>
      </c>
      <c r="I3913" t="s" s="2">
        <v>15252</v>
      </c>
      <c r="J3913" t="s" s="2">
        <v>15253</v>
      </c>
      <c r="K3913" t="s" s="2">
        <v>22</v>
      </c>
      <c r="L3913" t="s" s="2">
        <v>22</v>
      </c>
      <c r="M3913" t="s" s="2">
        <v>22</v>
      </c>
    </row>
    <row r="3914" ht="25.0" customHeight="true">
      <c r="A3914" t="s" s="2">
        <v>13</v>
      </c>
      <c r="B3914" t="s" s="2">
        <f>HYPERLINK("http://ts.21cn.com/tousu/show/id/1369855","利息展期费")</f>
      </c>
      <c r="C3914" t="s" s="2">
        <v>15</v>
      </c>
      <c r="D3914" t="s" s="2">
        <v>16</v>
      </c>
      <c r="E3914" t="s" s="2">
        <v>17</v>
      </c>
      <c r="F3914" t="s" s="2">
        <f>HYPERLINK("http://ts.21cn.com/tousu/show/id/1369855","http://ts.21cn.com/tousu/show/id/1369855")</f>
      </c>
      <c r="G3914" t="s" s="2">
        <v>17</v>
      </c>
      <c r="H3914" t="s" s="2">
        <v>19</v>
      </c>
      <c r="I3914" t="s" s="2">
        <v>15256</v>
      </c>
      <c r="J3914" t="s" s="2">
        <v>15257</v>
      </c>
      <c r="K3914" t="s" s="2">
        <v>22</v>
      </c>
      <c r="L3914" t="s" s="2">
        <v>22</v>
      </c>
      <c r="M3914" t="s" s="2">
        <v>22</v>
      </c>
    </row>
    <row r="3915" ht="25.0" customHeight="true">
      <c r="A3915" t="s" s="2">
        <v>13</v>
      </c>
      <c r="B3915" t="s" s="2">
        <f>HYPERLINK("http://ts.21cn.com/tousu/show/id/1369854","高炮平台")</f>
      </c>
      <c r="C3915" t="s" s="2">
        <v>15</v>
      </c>
      <c r="D3915" t="s" s="2">
        <v>16</v>
      </c>
      <c r="E3915" t="s" s="2">
        <v>17</v>
      </c>
      <c r="F3915" t="s" s="2">
        <f>HYPERLINK("http://ts.21cn.com/tousu/show/id/1369854","http://ts.21cn.com/tousu/show/id/1369854")</f>
      </c>
      <c r="G3915" t="s" s="2">
        <v>17</v>
      </c>
      <c r="H3915" t="s" s="2">
        <v>19</v>
      </c>
      <c r="I3915" t="s" s="2">
        <v>15260</v>
      </c>
      <c r="J3915" t="s" s="2">
        <v>15261</v>
      </c>
      <c r="K3915" t="s" s="2">
        <v>22</v>
      </c>
      <c r="L3915" t="s" s="2">
        <v>22</v>
      </c>
      <c r="M3915" t="s" s="2">
        <v>22</v>
      </c>
    </row>
    <row r="3916" ht="25.0" customHeight="true">
      <c r="A3916" t="s" s="2">
        <v>13</v>
      </c>
      <c r="B3916" t="s" s="2">
        <f>HYPERLINK("http://ts.21cn.com/tousu/show/id/1369853","恢复支付宝转账功能")</f>
      </c>
      <c r="C3916" t="s" s="2">
        <v>15</v>
      </c>
      <c r="D3916" t="s" s="2">
        <v>16</v>
      </c>
      <c r="E3916" t="s" s="2">
        <v>17</v>
      </c>
      <c r="F3916" t="s" s="2">
        <f>HYPERLINK("http://ts.21cn.com/tousu/show/id/1369853","http://ts.21cn.com/tousu/show/id/1369853")</f>
      </c>
      <c r="G3916" t="s" s="2">
        <v>17</v>
      </c>
      <c r="H3916" t="s" s="2">
        <v>19</v>
      </c>
      <c r="I3916" t="s" s="2">
        <v>15264</v>
      </c>
      <c r="J3916" t="s" s="2">
        <v>15265</v>
      </c>
      <c r="K3916" t="s" s="2">
        <v>22</v>
      </c>
      <c r="L3916" t="s" s="2">
        <v>22</v>
      </c>
      <c r="M3916" t="s" s="2">
        <v>22</v>
      </c>
    </row>
    <row r="3917" ht="25.0" customHeight="true">
      <c r="A3917" t="s" s="2">
        <v>13</v>
      </c>
      <c r="B3917" t="s" s="2">
        <f>HYPERLINK("http://ts.21cn.com/tousu/show/id/1369852","中国移动态度差")</f>
      </c>
      <c r="C3917" t="s" s="2">
        <v>15</v>
      </c>
      <c r="D3917" t="s" s="2">
        <v>16</v>
      </c>
      <c r="E3917" t="s" s="2">
        <v>17</v>
      </c>
      <c r="F3917" t="s" s="2">
        <f>HYPERLINK("http://ts.21cn.com/tousu/show/id/1369852","http://ts.21cn.com/tousu/show/id/1369852")</f>
      </c>
      <c r="G3917" t="s" s="2">
        <v>17</v>
      </c>
      <c r="H3917" t="s" s="2">
        <v>19</v>
      </c>
      <c r="I3917" t="s" s="2">
        <v>15268</v>
      </c>
      <c r="J3917" t="s" s="2">
        <v>15269</v>
      </c>
      <c r="K3917" t="s" s="2">
        <v>22</v>
      </c>
      <c r="L3917" t="s" s="2">
        <v>22</v>
      </c>
      <c r="M3917" t="s" s="2">
        <v>22</v>
      </c>
    </row>
    <row r="3918" ht="25.0" customHeight="true">
      <c r="A3918" t="s" s="2">
        <v>13</v>
      </c>
      <c r="B3918" t="s" s="2">
        <f>HYPERLINK("http://ts.21cn.com/tousu/show/id/1369850","拍拍贷利息过高，本人想协商还款")</f>
      </c>
      <c r="C3918" t="s" s="2">
        <v>52</v>
      </c>
      <c r="D3918" t="s" s="2">
        <v>16</v>
      </c>
      <c r="E3918" t="s" s="2">
        <v>17</v>
      </c>
      <c r="F3918" t="s" s="2">
        <f>HYPERLINK("http://ts.21cn.com/tousu/show/id/1369850","http://ts.21cn.com/tousu/show/id/1369850")</f>
      </c>
      <c r="G3918" t="s" s="2">
        <v>17</v>
      </c>
      <c r="H3918" t="s" s="2">
        <v>19</v>
      </c>
      <c r="I3918" t="s" s="2">
        <v>15272</v>
      </c>
      <c r="J3918" t="s" s="2">
        <v>15273</v>
      </c>
      <c r="K3918" t="s" s="2">
        <v>22</v>
      </c>
      <c r="L3918" t="s" s="2">
        <v>22</v>
      </c>
      <c r="M3918" t="s" s="2">
        <v>22</v>
      </c>
    </row>
    <row r="3919" ht="25.0" customHeight="true">
      <c r="A3919" t="s" s="2">
        <v>13</v>
      </c>
      <c r="B3919" t="s" s="2">
        <f>HYPERLINK("http://ts.21cn.com/tousu/show/id/1369848","暴力催收暴通讯录威胁等手段")</f>
      </c>
      <c r="C3919" t="s" s="2">
        <v>15</v>
      </c>
      <c r="D3919" t="s" s="2">
        <v>16</v>
      </c>
      <c r="E3919" t="s" s="2">
        <v>17</v>
      </c>
      <c r="F3919" t="s" s="2">
        <f>HYPERLINK("http://ts.21cn.com/tousu/show/id/1369848","http://ts.21cn.com/tousu/show/id/1369848")</f>
      </c>
      <c r="G3919" t="s" s="2">
        <v>17</v>
      </c>
      <c r="H3919" t="s" s="2">
        <v>19</v>
      </c>
      <c r="I3919" t="s" s="2">
        <v>15276</v>
      </c>
      <c r="J3919" t="s" s="2">
        <v>15277</v>
      </c>
      <c r="K3919" t="s" s="2">
        <v>22</v>
      </c>
      <c r="L3919" t="s" s="2">
        <v>22</v>
      </c>
      <c r="M3919" t="s" s="2">
        <v>22</v>
      </c>
    </row>
    <row r="3920" ht="25.0" customHeight="true">
      <c r="A3920" t="s" s="2">
        <v>13</v>
      </c>
      <c r="B3920" t="s" s="2">
        <f>HYPERLINK("http://ts.21cn.com/tousu/show/id/1369846","在本人不知道的情况下乱扣我的钱")</f>
      </c>
      <c r="C3920" t="s" s="2">
        <v>15</v>
      </c>
      <c r="D3920" t="s" s="2">
        <v>16</v>
      </c>
      <c r="E3920" t="s" s="2">
        <v>17</v>
      </c>
      <c r="F3920" t="s" s="2">
        <f>HYPERLINK("http://ts.21cn.com/tousu/show/id/1369846","http://ts.21cn.com/tousu/show/id/1369846")</f>
      </c>
      <c r="G3920" t="s" s="2">
        <v>17</v>
      </c>
      <c r="H3920" t="s" s="2">
        <v>19</v>
      </c>
      <c r="I3920" t="s" s="2">
        <v>15280</v>
      </c>
      <c r="J3920" t="s" s="2">
        <v>15281</v>
      </c>
      <c r="K3920" t="s" s="2">
        <v>22</v>
      </c>
      <c r="L3920" t="s" s="2">
        <v>22</v>
      </c>
      <c r="M3920" t="s" s="2">
        <v>22</v>
      </c>
    </row>
    <row r="3921" ht="25.0" customHeight="true">
      <c r="A3921" t="s" s="2">
        <v>13</v>
      </c>
      <c r="B3921" t="s" s="2">
        <f>HYPERLINK("http://ts.21cn.com/tousu/show/id/1369847","oppor9splus大规模无限重启，请OPPO能够免费更换主板")</f>
      </c>
      <c r="C3921" t="s" s="2">
        <v>15</v>
      </c>
      <c r="D3921" t="s" s="2">
        <v>16</v>
      </c>
      <c r="E3921" t="s" s="2">
        <v>17</v>
      </c>
      <c r="F3921" t="s" s="2">
        <f>HYPERLINK("http://ts.21cn.com/tousu/show/id/1369847","http://ts.21cn.com/tousu/show/id/1369847")</f>
      </c>
      <c r="G3921" t="s" s="2">
        <v>17</v>
      </c>
      <c r="H3921" t="s" s="2">
        <v>19</v>
      </c>
      <c r="I3921" t="s" s="2">
        <v>15284</v>
      </c>
      <c r="J3921" t="s" s="2">
        <v>15285</v>
      </c>
      <c r="K3921" t="s" s="2">
        <v>22</v>
      </c>
      <c r="L3921" t="s" s="2">
        <v>22</v>
      </c>
      <c r="M3921" t="s" s="2">
        <v>22</v>
      </c>
    </row>
    <row r="3922" ht="25.0" customHeight="true">
      <c r="A3922" t="s" s="2">
        <v>13</v>
      </c>
      <c r="B3922" t="s" s="2">
        <f>HYPERLINK("http://ts.21cn.com/tousu/show/id/1369845","威胁给我所有亲戚朋友打骚扰电话")</f>
      </c>
      <c r="C3922" t="s" s="2">
        <v>15</v>
      </c>
      <c r="D3922" t="s" s="2">
        <v>16</v>
      </c>
      <c r="E3922" t="s" s="2">
        <v>17</v>
      </c>
      <c r="F3922" t="s" s="2">
        <f>HYPERLINK("http://ts.21cn.com/tousu/show/id/1369845","http://ts.21cn.com/tousu/show/id/1369845")</f>
      </c>
      <c r="G3922" t="s" s="2">
        <v>17</v>
      </c>
      <c r="H3922" t="s" s="2">
        <v>19</v>
      </c>
      <c r="I3922" t="s" s="2">
        <v>15288</v>
      </c>
      <c r="J3922" t="s" s="2">
        <v>15289</v>
      </c>
      <c r="K3922" t="s" s="2">
        <v>22</v>
      </c>
      <c r="L3922" t="s" s="2">
        <v>22</v>
      </c>
      <c r="M3922" t="s" s="2">
        <v>22</v>
      </c>
    </row>
    <row r="3923" ht="25.0" customHeight="true">
      <c r="A3923" t="s" s="2">
        <v>13</v>
      </c>
      <c r="B3923" t="s" s="2">
        <f>HYPERLINK("http://ts.21cn.com/tousu/show/id/1369844","信诚消费入金是什么，为什么无故扣了我的钱？")</f>
      </c>
      <c r="C3923" t="s" s="2">
        <v>15</v>
      </c>
      <c r="D3923" t="s" s="2">
        <v>16</v>
      </c>
      <c r="E3923" t="s" s="2">
        <v>17</v>
      </c>
      <c r="F3923" t="s" s="2">
        <f>HYPERLINK("http://ts.21cn.com/tousu/show/id/1369844","http://ts.21cn.com/tousu/show/id/1369844")</f>
      </c>
      <c r="G3923" t="s" s="2">
        <v>17</v>
      </c>
      <c r="H3923" t="s" s="2">
        <v>19</v>
      </c>
      <c r="I3923" t="s" s="2">
        <v>15292</v>
      </c>
      <c r="J3923" t="s" s="2">
        <v>15293</v>
      </c>
      <c r="K3923" t="s" s="2">
        <v>22</v>
      </c>
      <c r="L3923" t="s" s="2">
        <v>22</v>
      </c>
      <c r="M3923" t="s" s="2">
        <v>22</v>
      </c>
    </row>
    <row r="3924" ht="25.0" customHeight="true">
      <c r="A3924" t="s" s="2">
        <v>13</v>
      </c>
      <c r="B3924" t="s" s="2">
        <f>HYPERLINK("http://ts.21cn.com/tousu/show/id/1369843","随手记网贷公司恶意催收")</f>
      </c>
      <c r="C3924" t="s" s="2">
        <v>15</v>
      </c>
      <c r="D3924" t="s" s="2">
        <v>16</v>
      </c>
      <c r="E3924" t="s" s="2">
        <v>17</v>
      </c>
      <c r="F3924" t="s" s="2">
        <f>HYPERLINK("http://ts.21cn.com/tousu/show/id/1369843","http://ts.21cn.com/tousu/show/id/1369843")</f>
      </c>
      <c r="G3924" t="s" s="2">
        <v>17</v>
      </c>
      <c r="H3924" t="s" s="2">
        <v>19</v>
      </c>
      <c r="I3924" t="s" s="2">
        <v>15296</v>
      </c>
      <c r="J3924" t="s" s="2">
        <v>15297</v>
      </c>
      <c r="K3924" t="s" s="2">
        <v>22</v>
      </c>
      <c r="L3924" t="s" s="2">
        <v>22</v>
      </c>
      <c r="M3924" t="s" s="2">
        <v>22</v>
      </c>
    </row>
    <row r="3925" ht="25.0" customHeight="true">
      <c r="A3925" t="s" s="2">
        <v>13</v>
      </c>
      <c r="B3925" t="s" s="2">
        <f>HYPERLINK("http://ts.21cn.com/tousu/show/id/1369842","恶性吃贷")</f>
      </c>
      <c r="C3925" t="s" s="2">
        <v>15</v>
      </c>
      <c r="D3925" t="s" s="2">
        <v>16</v>
      </c>
      <c r="E3925" t="s" s="2">
        <v>17</v>
      </c>
      <c r="F3925" t="s" s="2">
        <f>HYPERLINK("http://ts.21cn.com/tousu/show/id/1369842","http://ts.21cn.com/tousu/show/id/1369842")</f>
      </c>
      <c r="G3925" t="s" s="2">
        <v>17</v>
      </c>
      <c r="H3925" t="s" s="2">
        <v>19</v>
      </c>
      <c r="I3925" t="s" s="2">
        <v>15300</v>
      </c>
      <c r="J3925" t="s" s="2">
        <v>15301</v>
      </c>
      <c r="K3925" t="s" s="2">
        <v>22</v>
      </c>
      <c r="L3925" t="s" s="2">
        <v>22</v>
      </c>
      <c r="M3925" t="s" s="2">
        <v>22</v>
      </c>
    </row>
    <row r="3926" ht="25.0" customHeight="true">
      <c r="A3926" t="s" s="2">
        <v>13</v>
      </c>
      <c r="B3926" t="s" s="2">
        <f>HYPERLINK("http://ts.21cn.com/tousu/show/id/1369841","高利贷砍头息")</f>
      </c>
      <c r="C3926" t="s" s="2">
        <v>15</v>
      </c>
      <c r="D3926" t="s" s="2">
        <v>16</v>
      </c>
      <c r="E3926" t="s" s="2">
        <v>17</v>
      </c>
      <c r="F3926" t="s" s="2">
        <f>HYPERLINK("http://ts.21cn.com/tousu/show/id/1369841","http://ts.21cn.com/tousu/show/id/1369841")</f>
      </c>
      <c r="G3926" t="s" s="2">
        <v>17</v>
      </c>
      <c r="H3926" t="s" s="2">
        <v>19</v>
      </c>
      <c r="I3926" t="s" s="2">
        <v>15303</v>
      </c>
      <c r="J3926" t="s" s="2">
        <v>15304</v>
      </c>
      <c r="K3926" t="s" s="2">
        <v>22</v>
      </c>
      <c r="L3926" t="s" s="2">
        <v>22</v>
      </c>
      <c r="M3926" t="s" s="2">
        <v>22</v>
      </c>
    </row>
    <row r="3927" ht="25.0" customHeight="true">
      <c r="A3927" t="s" s="2">
        <v>13</v>
      </c>
      <c r="B3927" t="s" s="2">
        <f>HYPERLINK("http://ts.21cn.com/tousu/show/id/1369840","360借条提前还款，就算只借一天，仍需偿还全部利息。")</f>
      </c>
      <c r="C3927" t="s" s="2">
        <v>15</v>
      </c>
      <c r="D3927" t="s" s="2">
        <v>16</v>
      </c>
      <c r="E3927" t="s" s="2">
        <v>17</v>
      </c>
      <c r="F3927" t="s" s="2">
        <f>HYPERLINK("http://ts.21cn.com/tousu/show/id/1369840","http://ts.21cn.com/tousu/show/id/1369840")</f>
      </c>
      <c r="G3927" t="s" s="2">
        <v>17</v>
      </c>
      <c r="H3927" t="s" s="2">
        <v>19</v>
      </c>
      <c r="I3927" t="s" s="2">
        <v>15307</v>
      </c>
      <c r="J3927" t="s" s="2">
        <v>15308</v>
      </c>
      <c r="K3927" t="s" s="2">
        <v>22</v>
      </c>
      <c r="L3927" t="s" s="2">
        <v>22</v>
      </c>
      <c r="M3927" t="s" s="2">
        <v>22</v>
      </c>
    </row>
    <row r="3928" ht="25.0" customHeight="true">
      <c r="A3928" t="s" s="2">
        <v>13</v>
      </c>
      <c r="B3928" t="s" s="2">
        <f>HYPERLINK("http://ts.21cn.com/tousu/show/id/1369839","南京玉恒商业管理有限公司疑似跑路")</f>
      </c>
      <c r="C3928" t="s" s="2">
        <v>15</v>
      </c>
      <c r="D3928" t="s" s="2">
        <v>16</v>
      </c>
      <c r="E3928" t="s" s="2">
        <v>17</v>
      </c>
      <c r="F3928" t="s" s="2">
        <f>HYPERLINK("http://ts.21cn.com/tousu/show/id/1369839","http://ts.21cn.com/tousu/show/id/1369839")</f>
      </c>
      <c r="G3928" t="s" s="2">
        <v>17</v>
      </c>
      <c r="H3928" t="s" s="2">
        <v>19</v>
      </c>
      <c r="I3928" t="s" s="2">
        <v>15310</v>
      </c>
      <c r="J3928" t="s" s="2">
        <v>15311</v>
      </c>
      <c r="K3928" t="s" s="2">
        <v>22</v>
      </c>
      <c r="L3928" t="s" s="2">
        <v>22</v>
      </c>
      <c r="M3928" t="s" s="2">
        <v>22</v>
      </c>
    </row>
    <row r="3929" ht="25.0" customHeight="true">
      <c r="A3929" t="s" s="2">
        <v>13</v>
      </c>
      <c r="B3929" t="s" s="2">
        <f>HYPERLINK("http://ts.21cn.com/tousu/show/id/1369837","骚扰恐吓")</f>
      </c>
      <c r="C3929" t="s" s="2">
        <v>15</v>
      </c>
      <c r="D3929" t="s" s="2">
        <v>16</v>
      </c>
      <c r="E3929" t="s" s="2">
        <v>17</v>
      </c>
      <c r="F3929" t="s" s="2">
        <f>HYPERLINK("http://ts.21cn.com/tousu/show/id/1369837","http://ts.21cn.com/tousu/show/id/1369837")</f>
      </c>
      <c r="G3929" t="s" s="2">
        <v>17</v>
      </c>
      <c r="H3929" t="s" s="2">
        <v>19</v>
      </c>
      <c r="I3929" t="s" s="2">
        <v>15314</v>
      </c>
      <c r="J3929" t="s" s="2">
        <v>15315</v>
      </c>
      <c r="K3929" t="s" s="2">
        <v>22</v>
      </c>
      <c r="L3929" t="s" s="2">
        <v>22</v>
      </c>
      <c r="M3929" t="s" s="2">
        <v>22</v>
      </c>
    </row>
    <row r="3930" ht="25.0" customHeight="true">
      <c r="A3930" t="s" s="2">
        <v>13</v>
      </c>
      <c r="B3930" t="s" s="2">
        <f>HYPERLINK("http://ts.21cn.com/tousu/show/id/1369835","美团点评恶意盗刷")</f>
      </c>
      <c r="C3930" t="s" s="2">
        <v>15</v>
      </c>
      <c r="D3930" t="s" s="2">
        <v>16</v>
      </c>
      <c r="E3930" t="s" s="2">
        <v>17</v>
      </c>
      <c r="F3930" t="s" s="2">
        <f>HYPERLINK("http://ts.21cn.com/tousu/show/id/1369835","http://ts.21cn.com/tousu/show/id/1369835")</f>
      </c>
      <c r="G3930" t="s" s="2">
        <v>17</v>
      </c>
      <c r="H3930" t="s" s="2">
        <v>19</v>
      </c>
      <c r="I3930" t="s" s="2">
        <v>15318</v>
      </c>
      <c r="J3930" t="s" s="2">
        <v>15319</v>
      </c>
      <c r="K3930" t="s" s="2">
        <v>22</v>
      </c>
      <c r="L3930" t="s" s="2">
        <v>22</v>
      </c>
      <c r="M3930" t="s" s="2">
        <v>22</v>
      </c>
    </row>
    <row r="3931" ht="25.0" customHeight="true">
      <c r="A3931" t="s" s="2">
        <v>13</v>
      </c>
      <c r="B3931" t="s" s="2">
        <f>HYPERLINK("http://ts.21cn.com/tousu/show/id/1369836","要求追回钱,还我钱,找出欺诈者移交警方,归还盗刷金额,退还盗刷金额，其中涉诉金额299元。")</f>
      </c>
      <c r="C3931" t="s" s="2">
        <v>15</v>
      </c>
      <c r="D3931" t="s" s="2">
        <v>16</v>
      </c>
      <c r="E3931" t="s" s="2">
        <v>17</v>
      </c>
      <c r="F3931" t="s" s="2">
        <f>HYPERLINK("http://ts.21cn.com/tousu/show/id/1369836","http://ts.21cn.com/tousu/show/id/1369836")</f>
      </c>
      <c r="G3931" t="s" s="2">
        <v>17</v>
      </c>
      <c r="H3931" t="s" s="2">
        <v>19</v>
      </c>
      <c r="I3931" t="s" s="2">
        <v>15322</v>
      </c>
      <c r="J3931" t="s" s="2">
        <v>15323</v>
      </c>
      <c r="K3931" t="s" s="2">
        <v>22</v>
      </c>
      <c r="L3931" t="s" s="2">
        <v>22</v>
      </c>
      <c r="M3931" t="s" s="2">
        <v>22</v>
      </c>
    </row>
    <row r="3932" ht="25.0" customHeight="true">
      <c r="A3932" t="s" s="2">
        <v>13</v>
      </c>
      <c r="B3932" t="s" s="2">
        <f>HYPERLINK("http://ts.21cn.com/tousu/show/id/1369833","招商银行不能协商分期还款，打电话到工作单位，还准备到工作单位催收")</f>
      </c>
      <c r="C3932" t="s" s="2">
        <v>52</v>
      </c>
      <c r="D3932" t="s" s="2">
        <v>16</v>
      </c>
      <c r="E3932" t="s" s="2">
        <v>17</v>
      </c>
      <c r="F3932" t="s" s="2">
        <f>HYPERLINK("http://ts.21cn.com/tousu/show/id/1369833","http://ts.21cn.com/tousu/show/id/1369833")</f>
      </c>
      <c r="G3932" t="s" s="2">
        <v>17</v>
      </c>
      <c r="H3932" t="s" s="2">
        <v>19</v>
      </c>
      <c r="I3932" t="s" s="2">
        <v>15326</v>
      </c>
      <c r="J3932" t="s" s="2">
        <v>15327</v>
      </c>
      <c r="K3932" t="s" s="2">
        <v>22</v>
      </c>
      <c r="L3932" t="s" s="2">
        <v>22</v>
      </c>
      <c r="M3932" t="s" s="2">
        <v>22</v>
      </c>
    </row>
    <row r="3933" ht="25.0" customHeight="true">
      <c r="A3933" t="s" s="2">
        <v>13</v>
      </c>
      <c r="B3933" t="s" s="2">
        <f>HYPERLINK("http://ts.21cn.com/tousu/show/id/1366403","遵义湘江投资公司卖房不交房")</f>
      </c>
      <c r="C3933" t="s" s="2">
        <v>15</v>
      </c>
      <c r="D3933" t="s" s="2">
        <v>16</v>
      </c>
      <c r="E3933" t="s" s="2">
        <v>17</v>
      </c>
      <c r="F3933" t="s" s="2">
        <f>HYPERLINK("http://ts.21cn.com/tousu/show/id/1366403","http://ts.21cn.com/tousu/show/id/1366403")</f>
      </c>
      <c r="G3933" t="s" s="2">
        <v>17</v>
      </c>
      <c r="H3933" t="s" s="2">
        <v>19</v>
      </c>
      <c r="I3933" t="s" s="2">
        <v>15330</v>
      </c>
      <c r="J3933" t="s" s="2">
        <v>15331</v>
      </c>
      <c r="K3933" t="s" s="2">
        <v>22</v>
      </c>
      <c r="L3933" t="s" s="2">
        <v>22</v>
      </c>
      <c r="M3933" t="s" s="2">
        <v>22</v>
      </c>
    </row>
    <row r="3934" ht="25.0" customHeight="true">
      <c r="A3934" t="s" s="2">
        <v>13</v>
      </c>
      <c r="B3934" t="s" s="2">
        <f>HYPERLINK("http://ts.21cn.com/tousu/show/id/1369834","骚扰通讯录")</f>
      </c>
      <c r="C3934" t="s" s="2">
        <v>15</v>
      </c>
      <c r="D3934" t="s" s="2">
        <v>16</v>
      </c>
      <c r="E3934" t="s" s="2">
        <v>17</v>
      </c>
      <c r="F3934" t="s" s="2">
        <f>HYPERLINK("http://ts.21cn.com/tousu/show/id/1369834","http://ts.21cn.com/tousu/show/id/1369834")</f>
      </c>
      <c r="G3934" t="s" s="2">
        <v>17</v>
      </c>
      <c r="H3934" t="s" s="2">
        <v>19</v>
      </c>
      <c r="I3934" t="s" s="2">
        <v>15333</v>
      </c>
      <c r="J3934" t="s" s="2">
        <v>15334</v>
      </c>
      <c r="K3934" t="s" s="2">
        <v>22</v>
      </c>
      <c r="L3934" t="s" s="2">
        <v>22</v>
      </c>
      <c r="M3934" t="s" s="2">
        <v>22</v>
      </c>
    </row>
    <row r="3935" ht="25.0" customHeight="true">
      <c r="A3935" t="s" s="2">
        <v>13</v>
      </c>
      <c r="B3935" t="s" s="2">
        <f>HYPERLINK("http://ts.21cn.com/tousu/show/id/1369832","易行商旅虚假宣传，诱导误消费")</f>
      </c>
      <c r="C3935" t="s" s="2">
        <v>15</v>
      </c>
      <c r="D3935" t="s" s="2">
        <v>16</v>
      </c>
      <c r="E3935" t="s" s="2">
        <v>17</v>
      </c>
      <c r="F3935" t="s" s="2">
        <f>HYPERLINK("http://ts.21cn.com/tousu/show/id/1369832","http://ts.21cn.com/tousu/show/id/1369832")</f>
      </c>
      <c r="G3935" t="s" s="2">
        <v>17</v>
      </c>
      <c r="H3935" t="s" s="2">
        <v>19</v>
      </c>
      <c r="I3935" t="s" s="2">
        <v>15336</v>
      </c>
      <c r="J3935" t="s" s="2">
        <v>15337</v>
      </c>
      <c r="K3935" t="s" s="2">
        <v>22</v>
      </c>
      <c r="L3935" t="s" s="2">
        <v>22</v>
      </c>
      <c r="M3935" t="s" s="2">
        <v>22</v>
      </c>
    </row>
    <row r="3936" ht="25.0" customHeight="true">
      <c r="A3936" t="s" s="2">
        <v>13</v>
      </c>
      <c r="B3936" t="s" s="2">
        <f>HYPERLINK("http://ts.21cn.com/tousu/show/id/1369627","超高利贷")</f>
      </c>
      <c r="C3936" t="s" s="2">
        <v>15</v>
      </c>
      <c r="D3936" t="s" s="2">
        <v>16</v>
      </c>
      <c r="E3936" t="s" s="2">
        <v>17</v>
      </c>
      <c r="F3936" t="s" s="2">
        <f>HYPERLINK("http://ts.21cn.com/tousu/show/id/1369627","http://ts.21cn.com/tousu/show/id/1369627")</f>
      </c>
      <c r="G3936" t="s" s="2">
        <v>17</v>
      </c>
      <c r="H3936" t="s" s="2">
        <v>19</v>
      </c>
      <c r="I3936" t="s" s="2">
        <v>15340</v>
      </c>
      <c r="J3936" t="s" s="2">
        <v>15341</v>
      </c>
      <c r="K3936" t="s" s="2">
        <v>22</v>
      </c>
      <c r="L3936" t="s" s="2">
        <v>22</v>
      </c>
      <c r="M3936" t="s" s="2">
        <v>22</v>
      </c>
    </row>
    <row r="3937" ht="25.0" customHeight="true">
      <c r="A3937" t="s" s="2">
        <v>13</v>
      </c>
      <c r="B3937" t="s" s="2">
        <f>HYPERLINK("http://ts.21cn.com/tousu/show/id/1369831","退我1800的咨询费")</f>
      </c>
      <c r="C3937" t="s" s="2">
        <v>52</v>
      </c>
      <c r="D3937" t="s" s="2">
        <v>16</v>
      </c>
      <c r="E3937" t="s" s="2">
        <v>17</v>
      </c>
      <c r="F3937" t="s" s="2">
        <f>HYPERLINK("http://ts.21cn.com/tousu/show/id/1369831","http://ts.21cn.com/tousu/show/id/1369831")</f>
      </c>
      <c r="G3937" t="s" s="2">
        <v>17</v>
      </c>
      <c r="H3937" t="s" s="2">
        <v>19</v>
      </c>
      <c r="I3937" t="s" s="2">
        <v>15344</v>
      </c>
      <c r="J3937" t="s" s="2">
        <v>15345</v>
      </c>
      <c r="K3937" t="s" s="2">
        <v>22</v>
      </c>
      <c r="L3937" t="s" s="2">
        <v>22</v>
      </c>
      <c r="M3937" t="s" s="2">
        <v>22</v>
      </c>
    </row>
    <row r="3938" ht="25.0" customHeight="true">
      <c r="A3938" t="s" s="2">
        <v>13</v>
      </c>
      <c r="B3938" t="s" s="2">
        <f>HYPERLINK("http://ts.21cn.com/tousu/show/id/1369830","人人花乱扣费，客服骂人")</f>
      </c>
      <c r="C3938" t="s" s="2">
        <v>15</v>
      </c>
      <c r="D3938" t="s" s="2">
        <v>16</v>
      </c>
      <c r="E3938" t="s" s="2">
        <v>17</v>
      </c>
      <c r="F3938" t="s" s="2">
        <f>HYPERLINK("http://ts.21cn.com/tousu/show/id/1369830","http://ts.21cn.com/tousu/show/id/1369830")</f>
      </c>
      <c r="G3938" t="s" s="2">
        <v>17</v>
      </c>
      <c r="H3938" t="s" s="2">
        <v>19</v>
      </c>
      <c r="I3938" t="s" s="2">
        <v>15348</v>
      </c>
      <c r="J3938" t="s" s="2">
        <v>15349</v>
      </c>
      <c r="K3938" t="s" s="2">
        <v>22</v>
      </c>
      <c r="L3938" t="s" s="2">
        <v>22</v>
      </c>
      <c r="M3938" t="s" s="2">
        <v>22</v>
      </c>
    </row>
    <row r="3939" ht="25.0" customHeight="true">
      <c r="A3939" t="s" s="2">
        <v>13</v>
      </c>
      <c r="B3939" t="s" s="2">
        <f>HYPERLINK("http://ts.21cn.com/tousu/show/id/1369829","碧桂园看房押金2万不退款")</f>
      </c>
      <c r="C3939" t="s" s="2">
        <v>15</v>
      </c>
      <c r="D3939" t="s" s="2">
        <v>16</v>
      </c>
      <c r="E3939" t="s" s="2">
        <v>17</v>
      </c>
      <c r="F3939" t="s" s="2">
        <f>HYPERLINK("http://ts.21cn.com/tousu/show/id/1369829","http://ts.21cn.com/tousu/show/id/1369829")</f>
      </c>
      <c r="G3939" t="s" s="2">
        <v>17</v>
      </c>
      <c r="H3939" t="s" s="2">
        <v>19</v>
      </c>
      <c r="I3939" t="s" s="2">
        <v>15352</v>
      </c>
      <c r="J3939" t="s" s="2">
        <v>15353</v>
      </c>
      <c r="K3939" t="s" s="2">
        <v>22</v>
      </c>
      <c r="L3939" t="s" s="2">
        <v>22</v>
      </c>
      <c r="M3939" t="s" s="2">
        <v>22</v>
      </c>
    </row>
    <row r="3940" ht="25.0" customHeight="true">
      <c r="A3940" t="s" s="2">
        <v>13</v>
      </c>
      <c r="B3940" t="s" s="2">
        <f>HYPERLINK("http://ts.21cn.com/tousu/show/id/1369828","电话催收")</f>
      </c>
      <c r="C3940" t="s" s="2">
        <v>15</v>
      </c>
      <c r="D3940" t="s" s="2">
        <v>16</v>
      </c>
      <c r="E3940" t="s" s="2">
        <v>17</v>
      </c>
      <c r="F3940" t="s" s="2">
        <f>HYPERLINK("http://ts.21cn.com/tousu/show/id/1369828","http://ts.21cn.com/tousu/show/id/1369828")</f>
      </c>
      <c r="G3940" t="s" s="2">
        <v>17</v>
      </c>
      <c r="H3940" t="s" s="2">
        <v>19</v>
      </c>
      <c r="I3940" t="s" s="2">
        <v>15355</v>
      </c>
      <c r="J3940" t="s" s="2">
        <v>15356</v>
      </c>
      <c r="K3940" t="s" s="2">
        <v>22</v>
      </c>
      <c r="L3940" t="s" s="2">
        <v>22</v>
      </c>
      <c r="M3940" t="s" s="2">
        <v>22</v>
      </c>
    </row>
    <row r="3941" ht="25.0" customHeight="true">
      <c r="A3941" t="s" s="2">
        <v>13</v>
      </c>
      <c r="B3941" t="s" s="2">
        <f>HYPERLINK("http://ts.21cn.com/tousu/show/id/1369826","虫虫快借收取高额砍头息")</f>
      </c>
      <c r="C3941" t="s" s="2">
        <v>15</v>
      </c>
      <c r="D3941" t="s" s="2">
        <v>16</v>
      </c>
      <c r="E3941" t="s" s="2">
        <v>17</v>
      </c>
      <c r="F3941" t="s" s="2">
        <f>HYPERLINK("http://ts.21cn.com/tousu/show/id/1369826","http://ts.21cn.com/tousu/show/id/1369826")</f>
      </c>
      <c r="G3941" t="s" s="2">
        <v>17</v>
      </c>
      <c r="H3941" t="s" s="2">
        <v>19</v>
      </c>
      <c r="I3941" t="s" s="2">
        <v>15359</v>
      </c>
      <c r="J3941" t="s" s="2">
        <v>15360</v>
      </c>
      <c r="K3941" t="s" s="2">
        <v>22</v>
      </c>
      <c r="L3941" t="s" s="2">
        <v>22</v>
      </c>
      <c r="M3941" t="s" s="2">
        <v>22</v>
      </c>
    </row>
    <row r="3942" ht="25.0" customHeight="true">
      <c r="A3942" t="s" s="2">
        <v>13</v>
      </c>
      <c r="B3942" t="s" s="2">
        <f>HYPERLINK("http://ts.21cn.com/tousu/show/id/1369825","恶意扣除服务费")</f>
      </c>
      <c r="C3942" t="s" s="2">
        <v>15</v>
      </c>
      <c r="D3942" t="s" s="2">
        <v>16</v>
      </c>
      <c r="E3942" t="s" s="2">
        <v>17</v>
      </c>
      <c r="F3942" t="s" s="2">
        <f>HYPERLINK("http://ts.21cn.com/tousu/show/id/1369825","http://ts.21cn.com/tousu/show/id/1369825")</f>
      </c>
      <c r="G3942" t="s" s="2">
        <v>17</v>
      </c>
      <c r="H3942" t="s" s="2">
        <v>19</v>
      </c>
      <c r="I3942" t="s" s="2">
        <v>15363</v>
      </c>
      <c r="J3942" t="s" s="2">
        <v>15364</v>
      </c>
      <c r="K3942" t="s" s="2">
        <v>22</v>
      </c>
      <c r="L3942" t="s" s="2">
        <v>22</v>
      </c>
      <c r="M3942" t="s" s="2">
        <v>22</v>
      </c>
    </row>
    <row r="3943" ht="25.0" customHeight="true">
      <c r="A3943" t="s" s="2">
        <v>13</v>
      </c>
      <c r="B3943" t="s" s="2">
        <f>HYPERLINK("http://ts.21cn.com/tousu/show/id/1369824","招联好期待骚扰公司导致失业")</f>
      </c>
      <c r="C3943" t="s" s="2">
        <v>52</v>
      </c>
      <c r="D3943" t="s" s="2">
        <v>16</v>
      </c>
      <c r="E3943" t="s" s="2">
        <v>17</v>
      </c>
      <c r="F3943" t="s" s="2">
        <f>HYPERLINK("http://ts.21cn.com/tousu/show/id/1369824","http://ts.21cn.com/tousu/show/id/1369824")</f>
      </c>
      <c r="G3943" t="s" s="2">
        <v>17</v>
      </c>
      <c r="H3943" t="s" s="2">
        <v>19</v>
      </c>
      <c r="I3943" t="s" s="2">
        <v>15367</v>
      </c>
      <c r="J3943" t="s" s="2">
        <v>15368</v>
      </c>
      <c r="K3943" t="s" s="2">
        <v>22</v>
      </c>
      <c r="L3943" t="s" s="2">
        <v>22</v>
      </c>
      <c r="M3943" t="s" s="2">
        <v>22</v>
      </c>
    </row>
    <row r="3944" ht="25.0" customHeight="true">
      <c r="A3944" t="s" s="2">
        <v>13</v>
      </c>
      <c r="B3944" t="s" s="2">
        <f>HYPERLINK("http://ts.21cn.com/tousu/show/id/1369722","绿森商城退款超时不退")</f>
      </c>
      <c r="C3944" t="s" s="2">
        <v>52</v>
      </c>
      <c r="D3944" t="s" s="2">
        <v>16</v>
      </c>
      <c r="E3944" t="s" s="2">
        <v>17</v>
      </c>
      <c r="F3944" t="s" s="2">
        <f>HYPERLINK("http://ts.21cn.com/tousu/show/id/1369722","http://ts.21cn.com/tousu/show/id/1369722")</f>
      </c>
      <c r="G3944" t="s" s="2">
        <v>17</v>
      </c>
      <c r="H3944" t="s" s="2">
        <v>19</v>
      </c>
      <c r="I3944" t="s" s="2">
        <v>15371</v>
      </c>
      <c r="J3944" t="s" s="2">
        <v>15372</v>
      </c>
      <c r="K3944" t="s" s="2">
        <v>22</v>
      </c>
      <c r="L3944" t="s" s="2">
        <v>22</v>
      </c>
      <c r="M3944" t="s" s="2">
        <v>22</v>
      </c>
    </row>
    <row r="3945" ht="25.0" customHeight="true">
      <c r="A3945" t="s" s="2">
        <v>13</v>
      </c>
      <c r="B3945" t="s" s="2">
        <f>HYPERLINK("http://ts.21cn.com/tousu/show/id/1369823","催收员态度极其差！")</f>
      </c>
      <c r="C3945" t="s" s="2">
        <v>15</v>
      </c>
      <c r="D3945" t="s" s="2">
        <v>16</v>
      </c>
      <c r="E3945" t="s" s="2">
        <v>17</v>
      </c>
      <c r="F3945" t="s" s="2">
        <f>HYPERLINK("http://ts.21cn.com/tousu/show/id/1369823","http://ts.21cn.com/tousu/show/id/1369823")</f>
      </c>
      <c r="G3945" t="s" s="2">
        <v>17</v>
      </c>
      <c r="H3945" t="s" s="2">
        <v>19</v>
      </c>
      <c r="I3945" t="s" s="2">
        <v>15375</v>
      </c>
      <c r="J3945" t="s" s="2">
        <v>15376</v>
      </c>
      <c r="K3945" t="s" s="2">
        <v>22</v>
      </c>
      <c r="L3945" t="s" s="2">
        <v>22</v>
      </c>
      <c r="M3945" t="s" s="2">
        <v>22</v>
      </c>
    </row>
    <row r="3946" ht="25.0" customHeight="true">
      <c r="A3946" t="s" s="2">
        <v>13</v>
      </c>
      <c r="B3946" t="s" s="2">
        <f>HYPERLINK("http://ts.21cn.com/tousu/show/id/1369822","玖富万卡对公还款已结清，不给销账")</f>
      </c>
      <c r="C3946" t="s" s="2">
        <v>15</v>
      </c>
      <c r="D3946" t="s" s="2">
        <v>16</v>
      </c>
      <c r="E3946" t="s" s="2">
        <v>17</v>
      </c>
      <c r="F3946" t="s" s="2">
        <f>HYPERLINK("http://ts.21cn.com/tousu/show/id/1369822","http://ts.21cn.com/tousu/show/id/1369822")</f>
      </c>
      <c r="G3946" t="s" s="2">
        <v>17</v>
      </c>
      <c r="H3946" t="s" s="2">
        <v>19</v>
      </c>
      <c r="I3946" t="s" s="2">
        <v>15379</v>
      </c>
      <c r="J3946" t="s" s="2">
        <v>15380</v>
      </c>
      <c r="K3946" t="s" s="2">
        <v>22</v>
      </c>
      <c r="L3946" t="s" s="2">
        <v>22</v>
      </c>
      <c r="M3946" t="s" s="2">
        <v>22</v>
      </c>
    </row>
    <row r="3947" ht="25.0" customHeight="true">
      <c r="A3947" t="s" s="2">
        <v>13</v>
      </c>
      <c r="B3947" t="s" s="2">
        <f>HYPERLINK("http://ts.21cn.com/tousu/show/id/1369820","我的快递上午就到转运中心了，到现在都没有分配网点")</f>
      </c>
      <c r="C3947" t="s" s="2">
        <v>52</v>
      </c>
      <c r="D3947" t="s" s="2">
        <v>16</v>
      </c>
      <c r="E3947" t="s" s="2">
        <v>17</v>
      </c>
      <c r="F3947" t="s" s="2">
        <f>HYPERLINK("http://ts.21cn.com/tousu/show/id/1369820","http://ts.21cn.com/tousu/show/id/1369820")</f>
      </c>
      <c r="G3947" t="s" s="2">
        <v>17</v>
      </c>
      <c r="H3947" t="s" s="2">
        <v>19</v>
      </c>
      <c r="I3947" t="s" s="2">
        <v>15383</v>
      </c>
      <c r="J3947" t="s" s="2">
        <v>15384</v>
      </c>
      <c r="K3947" t="s" s="2">
        <v>22</v>
      </c>
      <c r="L3947" t="s" s="2">
        <v>22</v>
      </c>
      <c r="M3947" t="s" s="2">
        <v>22</v>
      </c>
    </row>
    <row r="3948" ht="25.0" customHeight="true">
      <c r="A3948" t="s" s="2">
        <v>13</v>
      </c>
      <c r="B3948" t="s" s="2">
        <f>HYPERLINK("http://ts.21cn.com/tousu/show/id/1369821","交通银行恶意骚扰")</f>
      </c>
      <c r="C3948" t="s" s="2">
        <v>15</v>
      </c>
      <c r="D3948" t="s" s="2">
        <v>16</v>
      </c>
      <c r="E3948" t="s" s="2">
        <v>17</v>
      </c>
      <c r="F3948" t="s" s="2">
        <f>HYPERLINK("http://ts.21cn.com/tousu/show/id/1369821","http://ts.21cn.com/tousu/show/id/1369821")</f>
      </c>
      <c r="G3948" t="s" s="2">
        <v>17</v>
      </c>
      <c r="H3948" t="s" s="2">
        <v>19</v>
      </c>
      <c r="I3948" t="s" s="2">
        <v>15387</v>
      </c>
      <c r="J3948" t="s" s="2">
        <v>15388</v>
      </c>
      <c r="K3948" t="s" s="2">
        <v>22</v>
      </c>
      <c r="L3948" t="s" s="2">
        <v>22</v>
      </c>
      <c r="M3948" t="s" s="2">
        <v>22</v>
      </c>
    </row>
    <row r="3949" ht="25.0" customHeight="true">
      <c r="A3949" t="s" s="2">
        <v>13</v>
      </c>
      <c r="B3949" t="s" s="2">
        <f>HYPERLINK("http://ts.21cn.com/tousu/show/id/1369818","拍拍贷")</f>
      </c>
      <c r="C3949" t="s" s="2">
        <v>15</v>
      </c>
      <c r="D3949" t="s" s="2">
        <v>16</v>
      </c>
      <c r="E3949" t="s" s="2">
        <v>17</v>
      </c>
      <c r="F3949" t="s" s="2">
        <f>HYPERLINK("http://ts.21cn.com/tousu/show/id/1369818","http://ts.21cn.com/tousu/show/id/1369818")</f>
      </c>
      <c r="G3949" t="s" s="2">
        <v>17</v>
      </c>
      <c r="H3949" t="s" s="2">
        <v>19</v>
      </c>
      <c r="I3949" t="s" s="2">
        <v>15390</v>
      </c>
      <c r="J3949" t="s" s="2">
        <v>15391</v>
      </c>
      <c r="K3949" t="s" s="2">
        <v>22</v>
      </c>
      <c r="L3949" t="s" s="2">
        <v>22</v>
      </c>
      <c r="M3949" t="s" s="2">
        <v>22</v>
      </c>
    </row>
    <row r="3950" ht="25.0" customHeight="true">
      <c r="A3950" t="s" s="2">
        <v>13</v>
      </c>
      <c r="B3950" t="s" s="2">
        <f>HYPERLINK("http://ts.21cn.com/tousu/show/id/1369817","快闪卡贷高利贷")</f>
      </c>
      <c r="C3950" t="s" s="2">
        <v>15</v>
      </c>
      <c r="D3950" t="s" s="2">
        <v>16</v>
      </c>
      <c r="E3950" t="s" s="2">
        <v>17</v>
      </c>
      <c r="F3950" t="s" s="2">
        <f>HYPERLINK("http://ts.21cn.com/tousu/show/id/1369817","http://ts.21cn.com/tousu/show/id/1369817")</f>
      </c>
      <c r="G3950" t="s" s="2">
        <v>17</v>
      </c>
      <c r="H3950" t="s" s="2">
        <v>19</v>
      </c>
      <c r="I3950" t="s" s="2">
        <v>15394</v>
      </c>
      <c r="J3950" t="s" s="2">
        <v>15395</v>
      </c>
      <c r="K3950" t="s" s="2">
        <v>22</v>
      </c>
      <c r="L3950" t="s" s="2">
        <v>22</v>
      </c>
      <c r="M3950" t="s" s="2">
        <v>22</v>
      </c>
    </row>
    <row r="3951" ht="25.0" customHeight="true">
      <c r="A3951" t="s" s="2">
        <v>13</v>
      </c>
      <c r="B3951" t="s" s="2">
        <f>HYPERLINK("http://ts.21cn.com/tousu/show/id/1369815","你我贷太黑了")</f>
      </c>
      <c r="C3951" t="s" s="2">
        <v>15</v>
      </c>
      <c r="D3951" t="s" s="2">
        <v>16</v>
      </c>
      <c r="E3951" t="s" s="2">
        <v>17</v>
      </c>
      <c r="F3951" t="s" s="2">
        <f>HYPERLINK("http://ts.21cn.com/tousu/show/id/1369815","http://ts.21cn.com/tousu/show/id/1369815")</f>
      </c>
      <c r="G3951" t="s" s="2">
        <v>17</v>
      </c>
      <c r="H3951" t="s" s="2">
        <v>19</v>
      </c>
      <c r="I3951" t="s" s="2">
        <v>15398</v>
      </c>
      <c r="J3951" t="s" s="2">
        <v>15399</v>
      </c>
      <c r="K3951" t="s" s="2">
        <v>22</v>
      </c>
      <c r="L3951" t="s" s="2">
        <v>22</v>
      </c>
      <c r="M3951" t="s" s="2">
        <v>22</v>
      </c>
    </row>
    <row r="3952" ht="25.0" customHeight="true">
      <c r="A3952" t="s" s="2">
        <v>13</v>
      </c>
      <c r="B3952" t="s" s="2">
        <f>HYPERLINK("http://ts.21cn.com/tousu/show/id/1369814","结清金额不提供对公账户导致结清不了")</f>
      </c>
      <c r="C3952" t="s" s="2">
        <v>52</v>
      </c>
      <c r="D3952" t="s" s="2">
        <v>16</v>
      </c>
      <c r="E3952" t="s" s="2">
        <v>17</v>
      </c>
      <c r="F3952" t="s" s="2">
        <f>HYPERLINK("http://ts.21cn.com/tousu/show/id/1369814","http://ts.21cn.com/tousu/show/id/1369814")</f>
      </c>
      <c r="G3952" t="s" s="2">
        <v>17</v>
      </c>
      <c r="H3952" t="s" s="2">
        <v>19</v>
      </c>
      <c r="I3952" t="s" s="2">
        <v>15402</v>
      </c>
      <c r="J3952" t="s" s="2">
        <v>15403</v>
      </c>
      <c r="K3952" t="s" s="2">
        <v>22</v>
      </c>
      <c r="L3952" t="s" s="2">
        <v>22</v>
      </c>
      <c r="M3952" t="s" s="2">
        <v>22</v>
      </c>
    </row>
    <row r="3953" ht="25.0" customHeight="true">
      <c r="A3953" t="s" s="2">
        <v>13</v>
      </c>
      <c r="B3953" t="s" s="2">
        <f>HYPERLINK("http://ts.21cn.com/tousu/show/id/1369813","协商还款后继续威胁")</f>
      </c>
      <c r="C3953" t="s" s="2">
        <v>15</v>
      </c>
      <c r="D3953" t="s" s="2">
        <v>16</v>
      </c>
      <c r="E3953" t="s" s="2">
        <v>17</v>
      </c>
      <c r="F3953" t="s" s="2">
        <f>HYPERLINK("http://ts.21cn.com/tousu/show/id/1369813","http://ts.21cn.com/tousu/show/id/1369813")</f>
      </c>
      <c r="G3953" t="s" s="2">
        <v>17</v>
      </c>
      <c r="H3953" t="s" s="2">
        <v>19</v>
      </c>
      <c r="I3953" t="s" s="2">
        <v>15406</v>
      </c>
      <c r="J3953" t="s" s="2">
        <v>15407</v>
      </c>
      <c r="K3953" t="s" s="2">
        <v>22</v>
      </c>
      <c r="L3953" t="s" s="2">
        <v>22</v>
      </c>
      <c r="M3953" t="s" s="2">
        <v>22</v>
      </c>
    </row>
    <row r="3954" ht="25.0" customHeight="true">
      <c r="A3954" t="s" s="2">
        <v>13</v>
      </c>
      <c r="B3954" t="s" s="2">
        <f>HYPERLINK("http://ts.21cn.com/tousu/show/id/1369812","变相高利贷，借了三万五要还七万")</f>
      </c>
      <c r="C3954" t="s" s="2">
        <v>15</v>
      </c>
      <c r="D3954" t="s" s="2">
        <v>16</v>
      </c>
      <c r="E3954" t="s" s="2">
        <v>17</v>
      </c>
      <c r="F3954" t="s" s="2">
        <f>HYPERLINK("http://ts.21cn.com/tousu/show/id/1369812","http://ts.21cn.com/tousu/show/id/1369812")</f>
      </c>
      <c r="G3954" t="s" s="2">
        <v>17</v>
      </c>
      <c r="H3954" t="s" s="2">
        <v>19</v>
      </c>
      <c r="I3954" t="s" s="2">
        <v>15410</v>
      </c>
      <c r="J3954" t="s" s="2">
        <v>15411</v>
      </c>
      <c r="K3954" t="s" s="2">
        <v>22</v>
      </c>
      <c r="L3954" t="s" s="2">
        <v>22</v>
      </c>
      <c r="M3954" t="s" s="2">
        <v>22</v>
      </c>
    </row>
    <row r="3955" ht="25.0" customHeight="true">
      <c r="A3955" t="s" s="2">
        <v>13</v>
      </c>
      <c r="B3955" t="s" s="2">
        <f>HYPERLINK("http://ts.21cn.com/tousu/show/id/1369811","典型714高炮，强制绑定购买游戏会员，变相砍头息，严重违法放贷")</f>
      </c>
      <c r="C3955" t="s" s="2">
        <v>15</v>
      </c>
      <c r="D3955" t="s" s="2">
        <v>16</v>
      </c>
      <c r="E3955" t="s" s="2">
        <v>17</v>
      </c>
      <c r="F3955" t="s" s="2">
        <f>HYPERLINK("http://ts.21cn.com/tousu/show/id/1369811","http://ts.21cn.com/tousu/show/id/1369811")</f>
      </c>
      <c r="G3955" t="s" s="2">
        <v>17</v>
      </c>
      <c r="H3955" t="s" s="2">
        <v>19</v>
      </c>
      <c r="I3955" t="s" s="2">
        <v>15414</v>
      </c>
      <c r="J3955" t="s" s="2">
        <v>8000</v>
      </c>
      <c r="K3955" t="s" s="2">
        <v>22</v>
      </c>
      <c r="L3955" t="s" s="2">
        <v>22</v>
      </c>
      <c r="M3955" t="s" s="2">
        <v>22</v>
      </c>
    </row>
    <row r="3956" ht="25.0" customHeight="true">
      <c r="A3956" t="s" s="2">
        <v>13</v>
      </c>
      <c r="B3956" t="s" s="2">
        <f>HYPERLINK("http://ts.21cn.com/tousu/show/id/1369810","小米金融暴力催收")</f>
      </c>
      <c r="C3956" t="s" s="2">
        <v>15</v>
      </c>
      <c r="D3956" t="s" s="2">
        <v>16</v>
      </c>
      <c r="E3956" t="s" s="2">
        <v>17</v>
      </c>
      <c r="F3956" t="s" s="2">
        <f>HYPERLINK("http://ts.21cn.com/tousu/show/id/1369810","http://ts.21cn.com/tousu/show/id/1369810")</f>
      </c>
      <c r="G3956" t="s" s="2">
        <v>17</v>
      </c>
      <c r="H3956" t="s" s="2">
        <v>19</v>
      </c>
      <c r="I3956" t="s" s="2">
        <v>15417</v>
      </c>
      <c r="J3956" t="s" s="2">
        <v>15418</v>
      </c>
      <c r="K3956" t="s" s="2">
        <v>22</v>
      </c>
      <c r="L3956" t="s" s="2">
        <v>22</v>
      </c>
      <c r="M3956" t="s" s="2">
        <v>22</v>
      </c>
    </row>
    <row r="3957" ht="25.0" customHeight="true">
      <c r="A3957" t="s" s="2">
        <v>13</v>
      </c>
      <c r="B3957" t="s" s="2">
        <f>HYPERLINK("http://ts.21cn.com/tousu/show/id/1369809","美团金融贷款逾期涨息不合理")</f>
      </c>
      <c r="C3957" t="s" s="2">
        <v>15</v>
      </c>
      <c r="D3957" t="s" s="2">
        <v>16</v>
      </c>
      <c r="E3957" t="s" s="2">
        <v>17</v>
      </c>
      <c r="F3957" t="s" s="2">
        <f>HYPERLINK("http://ts.21cn.com/tousu/show/id/1369809","http://ts.21cn.com/tousu/show/id/1369809")</f>
      </c>
      <c r="G3957" t="s" s="2">
        <v>17</v>
      </c>
      <c r="H3957" t="s" s="2">
        <v>19</v>
      </c>
      <c r="I3957" t="s" s="2">
        <v>15421</v>
      </c>
      <c r="J3957" t="s" s="2">
        <v>15422</v>
      </c>
      <c r="K3957" t="s" s="2">
        <v>22</v>
      </c>
      <c r="L3957" t="s" s="2">
        <v>22</v>
      </c>
      <c r="M3957" t="s" s="2">
        <v>22</v>
      </c>
    </row>
    <row r="3958" ht="25.0" customHeight="true">
      <c r="A3958" t="s" s="2">
        <v>13</v>
      </c>
      <c r="B3958" t="s" s="2">
        <f>HYPERLINK("http://ts.21cn.com/tousu/show/id/1369807","支付宝运费险显示理赔成功，没收到钱")</f>
      </c>
      <c r="C3958" t="s" s="2">
        <v>15</v>
      </c>
      <c r="D3958" t="s" s="2">
        <v>16</v>
      </c>
      <c r="E3958" t="s" s="2">
        <v>17</v>
      </c>
      <c r="F3958" t="s" s="2">
        <f>HYPERLINK("http://ts.21cn.com/tousu/show/id/1369807","http://ts.21cn.com/tousu/show/id/1369807")</f>
      </c>
      <c r="G3958" t="s" s="2">
        <v>17</v>
      </c>
      <c r="H3958" t="s" s="2">
        <v>19</v>
      </c>
      <c r="I3958" t="s" s="2">
        <v>15425</v>
      </c>
      <c r="J3958" t="s" s="2">
        <v>15426</v>
      </c>
      <c r="K3958" t="s" s="2">
        <v>22</v>
      </c>
      <c r="L3958" t="s" s="2">
        <v>22</v>
      </c>
      <c r="M3958" t="s" s="2">
        <v>22</v>
      </c>
    </row>
    <row r="3959" ht="25.0" customHeight="true">
      <c r="A3959" t="s" s="2">
        <v>13</v>
      </c>
      <c r="B3959" t="s" s="2">
        <f>HYPERLINK("http://ts.21cn.com/tousu/show/id/1369799","提前还款收取全部利息")</f>
      </c>
      <c r="C3959" t="s" s="2">
        <v>15</v>
      </c>
      <c r="D3959" t="s" s="2">
        <v>16</v>
      </c>
      <c r="E3959" t="s" s="2">
        <v>17</v>
      </c>
      <c r="F3959" t="s" s="2">
        <f>HYPERLINK("http://ts.21cn.com/tousu/show/id/1369799","http://ts.21cn.com/tousu/show/id/1369799")</f>
      </c>
      <c r="G3959" t="s" s="2">
        <v>17</v>
      </c>
      <c r="H3959" t="s" s="2">
        <v>19</v>
      </c>
      <c r="I3959" t="s" s="2">
        <v>15428</v>
      </c>
      <c r="J3959" t="s" s="2">
        <v>15429</v>
      </c>
      <c r="K3959" t="s" s="2">
        <v>22</v>
      </c>
      <c r="L3959" t="s" s="2">
        <v>22</v>
      </c>
      <c r="M3959" t="s" s="2">
        <v>22</v>
      </c>
    </row>
    <row r="3960" ht="25.0" customHeight="true">
      <c r="A3960" t="s" s="2">
        <v>13</v>
      </c>
      <c r="B3960" t="s" s="2">
        <f>HYPERLINK("http://ts.21cn.com/tousu/show/id/1369806","360")</f>
      </c>
      <c r="C3960" t="s" s="2">
        <v>15</v>
      </c>
      <c r="D3960" t="s" s="2">
        <v>16</v>
      </c>
      <c r="E3960" t="s" s="2">
        <v>17</v>
      </c>
      <c r="F3960" t="s" s="2">
        <f>HYPERLINK("http://ts.21cn.com/tousu/show/id/1369806","http://ts.21cn.com/tousu/show/id/1369806")</f>
      </c>
      <c r="G3960" t="s" s="2">
        <v>17</v>
      </c>
      <c r="H3960" t="s" s="2">
        <v>19</v>
      </c>
      <c r="I3960" t="s" s="2">
        <v>15432</v>
      </c>
      <c r="J3960" t="s" s="2">
        <v>15433</v>
      </c>
      <c r="K3960" t="s" s="2">
        <v>22</v>
      </c>
      <c r="L3960" t="s" s="2">
        <v>22</v>
      </c>
      <c r="M3960" t="s" s="2">
        <v>22</v>
      </c>
    </row>
    <row r="3961" ht="25.0" customHeight="true">
      <c r="A3961" t="s" s="2">
        <v>13</v>
      </c>
      <c r="B3961" t="s" s="2">
        <f>HYPERLINK("http://ts.21cn.com/tousu/show/id/1369804","盗取个人信息，恐吓，骚扰，软暴力")</f>
      </c>
      <c r="C3961" t="s" s="2">
        <v>15</v>
      </c>
      <c r="D3961" t="s" s="2">
        <v>16</v>
      </c>
      <c r="E3961" t="s" s="2">
        <v>17</v>
      </c>
      <c r="F3961" t="s" s="2">
        <f>HYPERLINK("http://ts.21cn.com/tousu/show/id/1369804","http://ts.21cn.com/tousu/show/id/1369804")</f>
      </c>
      <c r="G3961" t="s" s="2">
        <v>17</v>
      </c>
      <c r="H3961" t="s" s="2">
        <v>19</v>
      </c>
      <c r="I3961" t="s" s="2">
        <v>15436</v>
      </c>
      <c r="J3961" t="s" s="2">
        <v>15437</v>
      </c>
      <c r="K3961" t="s" s="2">
        <v>22</v>
      </c>
      <c r="L3961" t="s" s="2">
        <v>22</v>
      </c>
      <c r="M3961" t="s" s="2">
        <v>22</v>
      </c>
    </row>
    <row r="3962" ht="25.0" customHeight="true">
      <c r="A3962" t="s" s="2">
        <v>13</v>
      </c>
      <c r="B3962" t="s" s="2">
        <f>HYPERLINK("http://ts.21cn.com/tousu/show/id/1081683","要求解决糯米白条订单")</f>
      </c>
      <c r="C3962" t="s" s="2">
        <v>52</v>
      </c>
      <c r="D3962" t="s" s="2">
        <v>16</v>
      </c>
      <c r="E3962" t="s" s="2">
        <v>17</v>
      </c>
      <c r="F3962" t="s" s="2">
        <f>HYPERLINK("http://ts.21cn.com/tousu/show/id/1081683","http://ts.21cn.com/tousu/show/id/1081683")</f>
      </c>
      <c r="G3962" t="s" s="2">
        <v>17</v>
      </c>
      <c r="H3962" t="s" s="2">
        <v>19</v>
      </c>
      <c r="I3962" t="s" s="2">
        <v>15440</v>
      </c>
      <c r="J3962" t="s" s="2">
        <v>15441</v>
      </c>
      <c r="K3962" t="s" s="2">
        <v>22</v>
      </c>
      <c r="L3962" t="s" s="2">
        <v>22</v>
      </c>
      <c r="M3962" t="s" s="2">
        <v>22</v>
      </c>
    </row>
    <row r="3963" ht="25.0" customHeight="true">
      <c r="A3963" t="s" s="2">
        <v>13</v>
      </c>
      <c r="B3963" t="s" s="2">
        <f>HYPERLINK("http://ts.21cn.com/tousu/show/id/1369803","拍拍贷催收人员好牛气")</f>
      </c>
      <c r="C3963" t="s" s="2">
        <v>15</v>
      </c>
      <c r="D3963" t="s" s="2">
        <v>16</v>
      </c>
      <c r="E3963" t="s" s="2">
        <v>17</v>
      </c>
      <c r="F3963" t="s" s="2">
        <f>HYPERLINK("http://ts.21cn.com/tousu/show/id/1369803","http://ts.21cn.com/tousu/show/id/1369803")</f>
      </c>
      <c r="G3963" t="s" s="2">
        <v>17</v>
      </c>
      <c r="H3963" t="s" s="2">
        <v>19</v>
      </c>
      <c r="I3963" t="s" s="2">
        <v>15444</v>
      </c>
      <c r="J3963" t="s" s="2">
        <v>15445</v>
      </c>
      <c r="K3963" t="s" s="2">
        <v>22</v>
      </c>
      <c r="L3963" t="s" s="2">
        <v>22</v>
      </c>
      <c r="M3963" t="s" s="2">
        <v>22</v>
      </c>
    </row>
    <row r="3964" ht="25.0" customHeight="true">
      <c r="A3964" t="s" s="2">
        <v>13</v>
      </c>
      <c r="B3964" t="s" s="2">
        <f>HYPERLINK("http://ts.21cn.com/tousu/show/id/1369800","你我贷高利贷")</f>
      </c>
      <c r="C3964" t="s" s="2">
        <v>15</v>
      </c>
      <c r="D3964" t="s" s="2">
        <v>16</v>
      </c>
      <c r="E3964" t="s" s="2">
        <v>17</v>
      </c>
      <c r="F3964" t="s" s="2">
        <f>HYPERLINK("http://ts.21cn.com/tousu/show/id/1369800","http://ts.21cn.com/tousu/show/id/1369800")</f>
      </c>
      <c r="G3964" t="s" s="2">
        <v>17</v>
      </c>
      <c r="H3964" t="s" s="2">
        <v>19</v>
      </c>
      <c r="I3964" t="s" s="2">
        <v>15447</v>
      </c>
      <c r="J3964" t="s" s="2">
        <v>15448</v>
      </c>
      <c r="K3964" t="s" s="2">
        <v>22</v>
      </c>
      <c r="L3964" t="s" s="2">
        <v>22</v>
      </c>
      <c r="M3964" t="s" s="2">
        <v>22</v>
      </c>
    </row>
    <row r="3965" ht="25.0" customHeight="true">
      <c r="A3965" t="s" s="2">
        <v>13</v>
      </c>
      <c r="B3965" t="s" s="2">
        <f>HYPERLINK("http://ts.21cn.com/tousu/show/id/1369801","无故扣费")</f>
      </c>
      <c r="C3965" t="s" s="2">
        <v>15</v>
      </c>
      <c r="D3965" t="s" s="2">
        <v>16</v>
      </c>
      <c r="E3965" t="s" s="2">
        <v>17</v>
      </c>
      <c r="F3965" t="s" s="2">
        <f>HYPERLINK("http://ts.21cn.com/tousu/show/id/1369801","http://ts.21cn.com/tousu/show/id/1369801")</f>
      </c>
      <c r="G3965" t="s" s="2">
        <v>17</v>
      </c>
      <c r="H3965" t="s" s="2">
        <v>19</v>
      </c>
      <c r="I3965" t="s" s="2">
        <v>15450</v>
      </c>
      <c r="J3965" t="s" s="2">
        <v>15451</v>
      </c>
      <c r="K3965" t="s" s="2">
        <v>22</v>
      </c>
      <c r="L3965" t="s" s="2">
        <v>22</v>
      </c>
      <c r="M3965" t="s" s="2">
        <v>22</v>
      </c>
    </row>
    <row r="3966" ht="25.0" customHeight="true">
      <c r="A3966" t="s" s="2">
        <v>13</v>
      </c>
      <c r="B3966" t="s" s="2">
        <f>HYPERLINK("http://ts.21cn.com/tousu/show/id/1369798","提前三天开始骚扰！没逾期开始恐吓辱骂！高利息")</f>
      </c>
      <c r="C3966" t="s" s="2">
        <v>15</v>
      </c>
      <c r="D3966" t="s" s="2">
        <v>16</v>
      </c>
      <c r="E3966" t="s" s="2">
        <v>17</v>
      </c>
      <c r="F3966" t="s" s="2">
        <f>HYPERLINK("http://ts.21cn.com/tousu/show/id/1369798","http://ts.21cn.com/tousu/show/id/1369798")</f>
      </c>
      <c r="G3966" t="s" s="2">
        <v>17</v>
      </c>
      <c r="H3966" t="s" s="2">
        <v>19</v>
      </c>
      <c r="I3966" t="s" s="2">
        <v>15454</v>
      </c>
      <c r="J3966" t="s" s="2">
        <v>15455</v>
      </c>
      <c r="K3966" t="s" s="2">
        <v>22</v>
      </c>
      <c r="L3966" t="s" s="2">
        <v>22</v>
      </c>
      <c r="M3966" t="s" s="2">
        <v>22</v>
      </c>
    </row>
    <row r="3967" ht="25.0" customHeight="true">
      <c r="A3967" t="s" s="2">
        <v>13</v>
      </c>
      <c r="B3967" t="s" s="2">
        <f>HYPERLINK("http://ts.21cn.com/tousu/show/id/1369795","白领贷！校园贷起家！！")</f>
      </c>
      <c r="C3967" t="s" s="2">
        <v>15</v>
      </c>
      <c r="D3967" t="s" s="2">
        <v>16</v>
      </c>
      <c r="E3967" t="s" s="2">
        <v>17</v>
      </c>
      <c r="F3967" t="s" s="2">
        <f>HYPERLINK("http://ts.21cn.com/tousu/show/id/1369795","http://ts.21cn.com/tousu/show/id/1369795")</f>
      </c>
      <c r="G3967" t="s" s="2">
        <v>17</v>
      </c>
      <c r="H3967" t="s" s="2">
        <v>19</v>
      </c>
      <c r="I3967" t="s" s="2">
        <v>15458</v>
      </c>
      <c r="J3967" t="s" s="2">
        <v>15459</v>
      </c>
      <c r="K3967" t="s" s="2">
        <v>22</v>
      </c>
      <c r="L3967" t="s" s="2">
        <v>22</v>
      </c>
      <c r="M3967" t="s" s="2">
        <v>22</v>
      </c>
    </row>
    <row r="3968" ht="25.0" customHeight="true">
      <c r="A3968" t="s" s="2">
        <v>13</v>
      </c>
      <c r="B3968" t="s" s="2">
        <f>HYPERLINK("http://ts.21cn.com/tousu/show/id/1369794","支付宝莫名其妙永久性封我收款功能")</f>
      </c>
      <c r="C3968" t="s" s="2">
        <v>15</v>
      </c>
      <c r="D3968" t="s" s="2">
        <v>16</v>
      </c>
      <c r="E3968" t="s" s="2">
        <v>17</v>
      </c>
      <c r="F3968" t="s" s="2">
        <f>HYPERLINK("http://ts.21cn.com/tousu/show/id/1369794","http://ts.21cn.com/tousu/show/id/1369794")</f>
      </c>
      <c r="G3968" t="s" s="2">
        <v>17</v>
      </c>
      <c r="H3968" t="s" s="2">
        <v>19</v>
      </c>
      <c r="I3968" t="s" s="2">
        <v>15462</v>
      </c>
      <c r="J3968" t="s" s="2">
        <v>15463</v>
      </c>
      <c r="K3968" t="s" s="2">
        <v>22</v>
      </c>
      <c r="L3968" t="s" s="2">
        <v>22</v>
      </c>
      <c r="M3968" t="s" s="2">
        <v>22</v>
      </c>
    </row>
    <row r="3969" ht="25.0" customHeight="true">
      <c r="A3969" t="s" s="2">
        <v>13</v>
      </c>
      <c r="B3969" t="s" s="2">
        <f>HYPERLINK("http://ts.21cn.com/tousu/show/id/1369792","厚钱包变相收取砍头息")</f>
      </c>
      <c r="C3969" t="s" s="2">
        <v>15</v>
      </c>
      <c r="D3969" t="s" s="2">
        <v>16</v>
      </c>
      <c r="E3969" t="s" s="2">
        <v>17</v>
      </c>
      <c r="F3969" t="s" s="2">
        <f>HYPERLINK("http://ts.21cn.com/tousu/show/id/1369792","http://ts.21cn.com/tousu/show/id/1369792")</f>
      </c>
      <c r="G3969" t="s" s="2">
        <v>17</v>
      </c>
      <c r="H3969" t="s" s="2">
        <v>19</v>
      </c>
      <c r="I3969" t="s" s="2">
        <v>15466</v>
      </c>
      <c r="J3969" t="s" s="2">
        <v>15467</v>
      </c>
      <c r="K3969" t="s" s="2">
        <v>22</v>
      </c>
      <c r="L3969" t="s" s="2">
        <v>22</v>
      </c>
      <c r="M3969" t="s" s="2">
        <v>22</v>
      </c>
    </row>
    <row r="3970" ht="25.0" customHeight="true">
      <c r="A3970" t="s" s="2">
        <v>13</v>
      </c>
      <c r="B3970" t="s" s="2">
        <f>HYPERLINK("http://ts.21cn.com/tousu/show/id/1369791","友信给父母打电话说话很重")</f>
      </c>
      <c r="C3970" t="s" s="2">
        <v>52</v>
      </c>
      <c r="D3970" t="s" s="2">
        <v>16</v>
      </c>
      <c r="E3970" t="s" s="2">
        <v>17</v>
      </c>
      <c r="F3970" t="s" s="2">
        <f>HYPERLINK("http://ts.21cn.com/tousu/show/id/1369791","http://ts.21cn.com/tousu/show/id/1369791")</f>
      </c>
      <c r="G3970" t="s" s="2">
        <v>17</v>
      </c>
      <c r="H3970" t="s" s="2">
        <v>19</v>
      </c>
      <c r="I3970" t="s" s="2">
        <v>15470</v>
      </c>
      <c r="J3970" t="s" s="2">
        <v>15471</v>
      </c>
      <c r="K3970" t="s" s="2">
        <v>22</v>
      </c>
      <c r="L3970" t="s" s="2">
        <v>22</v>
      </c>
      <c r="M3970" t="s" s="2">
        <v>22</v>
      </c>
    </row>
    <row r="3971" ht="25.0" customHeight="true">
      <c r="A3971" t="s" s="2">
        <v>13</v>
      </c>
      <c r="B3971" t="s" s="2">
        <f>HYPERLINK("http://ts.21cn.com/tousu/show/id/1369789","捷信高利贷，电话骚扰。")</f>
      </c>
      <c r="C3971" t="s" s="2">
        <v>15</v>
      </c>
      <c r="D3971" t="s" s="2">
        <v>16</v>
      </c>
      <c r="E3971" t="s" s="2">
        <v>17</v>
      </c>
      <c r="F3971" t="s" s="2">
        <f>HYPERLINK("http://ts.21cn.com/tousu/show/id/1369789","http://ts.21cn.com/tousu/show/id/1369789")</f>
      </c>
      <c r="G3971" t="s" s="2">
        <v>17</v>
      </c>
      <c r="H3971" t="s" s="2">
        <v>19</v>
      </c>
      <c r="I3971" t="s" s="2">
        <v>15474</v>
      </c>
      <c r="J3971" t="s" s="2">
        <v>15475</v>
      </c>
      <c r="K3971" t="s" s="2">
        <v>22</v>
      </c>
      <c r="L3971" t="s" s="2">
        <v>22</v>
      </c>
      <c r="M3971" t="s" s="2">
        <v>22</v>
      </c>
    </row>
    <row r="3972" ht="25.0" customHeight="true">
      <c r="A3972" t="s" s="2">
        <v>13</v>
      </c>
      <c r="B3972" t="s" s="2">
        <f>HYPERLINK("http://ts.21cn.com/tousu/show/id/1369788","今日头条，头条小店不让关店，保证金和货款无法退还。")</f>
      </c>
      <c r="C3972" t="s" s="2">
        <v>15</v>
      </c>
      <c r="D3972" t="s" s="2">
        <v>16</v>
      </c>
      <c r="E3972" t="s" s="2">
        <v>17</v>
      </c>
      <c r="F3972" t="s" s="2">
        <f>HYPERLINK("http://ts.21cn.com/tousu/show/id/1369788","http://ts.21cn.com/tousu/show/id/1369788")</f>
      </c>
      <c r="G3972" t="s" s="2">
        <v>17</v>
      </c>
      <c r="H3972" t="s" s="2">
        <v>19</v>
      </c>
      <c r="I3972" t="s" s="2">
        <v>15474</v>
      </c>
      <c r="J3972" t="s" s="2">
        <v>15478</v>
      </c>
      <c r="K3972" t="s" s="2">
        <v>22</v>
      </c>
      <c r="L3972" t="s" s="2">
        <v>22</v>
      </c>
      <c r="M3972" t="s" s="2">
        <v>22</v>
      </c>
    </row>
    <row r="3973" ht="25.0" customHeight="true">
      <c r="A3973" t="s" s="2">
        <v>13</v>
      </c>
      <c r="B3973" t="s" s="2">
        <f>HYPERLINK("http://ts.21cn.com/tousu/show/id/1369787","信用钱包高利贷")</f>
      </c>
      <c r="C3973" t="s" s="2">
        <v>15</v>
      </c>
      <c r="D3973" t="s" s="2">
        <v>16</v>
      </c>
      <c r="E3973" t="s" s="2">
        <v>17</v>
      </c>
      <c r="F3973" t="s" s="2">
        <f>HYPERLINK("http://ts.21cn.com/tousu/show/id/1369787","http://ts.21cn.com/tousu/show/id/1369787")</f>
      </c>
      <c r="G3973" t="s" s="2">
        <v>17</v>
      </c>
      <c r="H3973" t="s" s="2">
        <v>19</v>
      </c>
      <c r="I3973" t="s" s="2">
        <v>15481</v>
      </c>
      <c r="J3973" t="s" s="2">
        <v>15482</v>
      </c>
      <c r="K3973" t="s" s="2">
        <v>22</v>
      </c>
      <c r="L3973" t="s" s="2">
        <v>22</v>
      </c>
      <c r="M3973" t="s" s="2">
        <v>22</v>
      </c>
    </row>
    <row r="3974" ht="25.0" customHeight="true">
      <c r="A3974" t="s" s="2">
        <v>13</v>
      </c>
      <c r="B3974" t="s" s="2">
        <f>HYPERLINK("http://ts.21cn.com/tousu/show/id/1369786","凤金普惠高利贷砍头息骚扰")</f>
      </c>
      <c r="C3974" t="s" s="2">
        <v>15</v>
      </c>
      <c r="D3974" t="s" s="2">
        <v>16</v>
      </c>
      <c r="E3974" t="s" s="2">
        <v>17</v>
      </c>
      <c r="F3974" t="s" s="2">
        <f>HYPERLINK("http://ts.21cn.com/tousu/show/id/1369786","http://ts.21cn.com/tousu/show/id/1369786")</f>
      </c>
      <c r="G3974" t="s" s="2">
        <v>17</v>
      </c>
      <c r="H3974" t="s" s="2">
        <v>19</v>
      </c>
      <c r="I3974" t="s" s="2">
        <v>15485</v>
      </c>
      <c r="J3974" t="s" s="2">
        <v>15486</v>
      </c>
      <c r="K3974" t="s" s="2">
        <v>22</v>
      </c>
      <c r="L3974" t="s" s="2">
        <v>22</v>
      </c>
      <c r="M3974" t="s" s="2">
        <v>22</v>
      </c>
    </row>
    <row r="3975" ht="25.0" customHeight="true">
      <c r="A3975" t="s" s="2">
        <v>13</v>
      </c>
      <c r="B3975" t="s" s="2">
        <f>HYPERLINK("http://ts.21cn.com/tousu/show/id/1369783","拍拍贷")</f>
      </c>
      <c r="C3975" t="s" s="2">
        <v>52</v>
      </c>
      <c r="D3975" t="s" s="2">
        <v>16</v>
      </c>
      <c r="E3975" t="s" s="2">
        <v>17</v>
      </c>
      <c r="F3975" t="s" s="2">
        <f>HYPERLINK("http://ts.21cn.com/tousu/show/id/1369783","http://ts.21cn.com/tousu/show/id/1369783")</f>
      </c>
      <c r="G3975" t="s" s="2">
        <v>17</v>
      </c>
      <c r="H3975" t="s" s="2">
        <v>19</v>
      </c>
      <c r="I3975" t="s" s="2">
        <v>15488</v>
      </c>
      <c r="J3975" t="s" s="2">
        <v>15489</v>
      </c>
      <c r="K3975" t="s" s="2">
        <v>22</v>
      </c>
      <c r="L3975" t="s" s="2">
        <v>22</v>
      </c>
      <c r="M3975" t="s" s="2">
        <v>22</v>
      </c>
    </row>
    <row r="3976" ht="25.0" customHeight="true">
      <c r="A3976" t="s" s="2">
        <v>13</v>
      </c>
      <c r="B3976" t="s" s="2">
        <f>HYPERLINK("http://ts.21cn.com/tousu/show/id/1369533","你我贷，砍头息，年化率过24%")</f>
      </c>
      <c r="C3976" t="s" s="2">
        <v>15</v>
      </c>
      <c r="D3976" t="s" s="2">
        <v>16</v>
      </c>
      <c r="E3976" t="s" s="2">
        <v>17</v>
      </c>
      <c r="F3976" t="s" s="2">
        <f>HYPERLINK("http://ts.21cn.com/tousu/show/id/1369533","http://ts.21cn.com/tousu/show/id/1369533")</f>
      </c>
      <c r="G3976" t="s" s="2">
        <v>17</v>
      </c>
      <c r="H3976" t="s" s="2">
        <v>19</v>
      </c>
      <c r="I3976" t="s" s="2">
        <v>15492</v>
      </c>
      <c r="J3976" t="s" s="2">
        <v>15493</v>
      </c>
      <c r="K3976" t="s" s="2">
        <v>22</v>
      </c>
      <c r="L3976" t="s" s="2">
        <v>22</v>
      </c>
      <c r="M3976" t="s" s="2">
        <v>22</v>
      </c>
    </row>
    <row r="3977" ht="25.0" customHeight="true">
      <c r="A3977" t="s" s="2">
        <v>13</v>
      </c>
      <c r="B3977" t="s" s="2">
        <f>HYPERLINK("http://ts.21cn.com/tousu/show/id/1369277","上海翰银为赌博输平台收单，请求瀚银为我退款挽回经济损失")</f>
      </c>
      <c r="C3977" t="s" s="2">
        <v>15</v>
      </c>
      <c r="D3977" t="s" s="2">
        <v>16</v>
      </c>
      <c r="E3977" t="s" s="2">
        <v>17</v>
      </c>
      <c r="F3977" t="s" s="2">
        <f>HYPERLINK("http://ts.21cn.com/tousu/show/id/1369277","http://ts.21cn.com/tousu/show/id/1369277")</f>
      </c>
      <c r="G3977" t="s" s="2">
        <v>17</v>
      </c>
      <c r="H3977" t="s" s="2">
        <v>19</v>
      </c>
      <c r="I3977" t="s" s="2">
        <v>15495</v>
      </c>
      <c r="J3977" t="s" s="2">
        <v>15496</v>
      </c>
      <c r="K3977" t="s" s="2">
        <v>22</v>
      </c>
      <c r="L3977" t="s" s="2">
        <v>22</v>
      </c>
      <c r="M3977" t="s" s="2">
        <v>22</v>
      </c>
    </row>
    <row r="3978" ht="25.0" customHeight="true">
      <c r="A3978" t="s" s="2">
        <v>13</v>
      </c>
      <c r="B3978" t="s" s="2">
        <f>HYPERLINK("http://ts.21cn.com/tousu/show/id/1369780","误导消费无缘无故扣费")</f>
      </c>
      <c r="C3978" t="s" s="2">
        <v>15</v>
      </c>
      <c r="D3978" t="s" s="2">
        <v>16</v>
      </c>
      <c r="E3978" t="s" s="2">
        <v>17</v>
      </c>
      <c r="F3978" t="s" s="2">
        <f>HYPERLINK("http://ts.21cn.com/tousu/show/id/1369780","http://ts.21cn.com/tousu/show/id/1369780")</f>
      </c>
      <c r="G3978" t="s" s="2">
        <v>17</v>
      </c>
      <c r="H3978" t="s" s="2">
        <v>19</v>
      </c>
      <c r="I3978" t="s" s="2">
        <v>15499</v>
      </c>
      <c r="J3978" t="s" s="2">
        <v>15500</v>
      </c>
      <c r="K3978" t="s" s="2">
        <v>22</v>
      </c>
      <c r="L3978" t="s" s="2">
        <v>22</v>
      </c>
      <c r="M3978" t="s" s="2">
        <v>22</v>
      </c>
    </row>
    <row r="3979" ht="25.0" customHeight="true">
      <c r="A3979" t="s" s="2">
        <v>13</v>
      </c>
      <c r="B3979" t="s" s="2">
        <f>HYPERLINK("http://ts.21cn.com/tousu/show/id/1369779","拍拍贷暴力催收，恐吓家人孩子")</f>
      </c>
      <c r="C3979" t="s" s="2">
        <v>15</v>
      </c>
      <c r="D3979" t="s" s="2">
        <v>16</v>
      </c>
      <c r="E3979" t="s" s="2">
        <v>17</v>
      </c>
      <c r="F3979" t="s" s="2">
        <f>HYPERLINK("http://ts.21cn.com/tousu/show/id/1369779","http://ts.21cn.com/tousu/show/id/1369779")</f>
      </c>
      <c r="G3979" t="s" s="2">
        <v>17</v>
      </c>
      <c r="H3979" t="s" s="2">
        <v>19</v>
      </c>
      <c r="I3979" t="s" s="2">
        <v>15503</v>
      </c>
      <c r="J3979" t="s" s="2">
        <v>15504</v>
      </c>
      <c r="K3979" t="s" s="2">
        <v>22</v>
      </c>
      <c r="L3979" t="s" s="2">
        <v>22</v>
      </c>
      <c r="M3979" t="s" s="2">
        <v>22</v>
      </c>
    </row>
    <row r="3980" ht="25.0" customHeight="true">
      <c r="A3980" t="s" s="2">
        <v>13</v>
      </c>
      <c r="B3980" t="s" s="2">
        <f>HYPERLINK("http://ts.21cn.com/tousu/show/id/1369778","银盛通支付公司黑商家")</f>
      </c>
      <c r="C3980" t="s" s="2">
        <v>15</v>
      </c>
      <c r="D3980" t="s" s="2">
        <v>16</v>
      </c>
      <c r="E3980" t="s" s="2">
        <v>17</v>
      </c>
      <c r="F3980" t="s" s="2">
        <f>HYPERLINK("http://ts.21cn.com/tousu/show/id/1369778","http://ts.21cn.com/tousu/show/id/1369778")</f>
      </c>
      <c r="G3980" t="s" s="2">
        <v>17</v>
      </c>
      <c r="H3980" t="s" s="2">
        <v>19</v>
      </c>
      <c r="I3980" t="s" s="2">
        <v>15507</v>
      </c>
      <c r="J3980" t="s" s="2">
        <v>15508</v>
      </c>
      <c r="K3980" t="s" s="2">
        <v>22</v>
      </c>
      <c r="L3980" t="s" s="2">
        <v>22</v>
      </c>
      <c r="M3980" t="s" s="2">
        <v>22</v>
      </c>
    </row>
    <row r="3981" ht="25.0" customHeight="true">
      <c r="A3981" t="s" s="2">
        <v>13</v>
      </c>
      <c r="B3981" t="s" s="2">
        <f>HYPERLINK("http://ts.21cn.com/tousu/show/id/1369777","高利贷，高额手续费，借款两千分三个月还，一个月要还一千一百多")</f>
      </c>
      <c r="C3981" t="s" s="2">
        <v>15</v>
      </c>
      <c r="D3981" t="s" s="2">
        <v>16</v>
      </c>
      <c r="E3981" t="s" s="2">
        <v>17</v>
      </c>
      <c r="F3981" t="s" s="2">
        <f>HYPERLINK("http://ts.21cn.com/tousu/show/id/1369777","http://ts.21cn.com/tousu/show/id/1369777")</f>
      </c>
      <c r="G3981" t="s" s="2">
        <v>17</v>
      </c>
      <c r="H3981" t="s" s="2">
        <v>19</v>
      </c>
      <c r="I3981" t="s" s="2">
        <v>15511</v>
      </c>
      <c r="J3981" t="s" s="2">
        <v>15512</v>
      </c>
      <c r="K3981" t="s" s="2">
        <v>22</v>
      </c>
      <c r="L3981" t="s" s="2">
        <v>22</v>
      </c>
      <c r="M3981" t="s" s="2">
        <v>22</v>
      </c>
    </row>
    <row r="3982" ht="25.0" customHeight="true">
      <c r="A3982" t="s" s="2">
        <v>13</v>
      </c>
      <c r="B3982" t="s" s="2">
        <f>HYPERLINK("http://ts.21cn.com/tousu/show/id/1369764","支付宝蚂蚁金服限制我账户收款功能")</f>
      </c>
      <c r="C3982" t="s" s="2">
        <v>15</v>
      </c>
      <c r="D3982" t="s" s="2">
        <v>16</v>
      </c>
      <c r="E3982" t="s" s="2">
        <v>17</v>
      </c>
      <c r="F3982" t="s" s="2">
        <f>HYPERLINK("http://ts.21cn.com/tousu/show/id/1369764","http://ts.21cn.com/tousu/show/id/1369764")</f>
      </c>
      <c r="G3982" t="s" s="2">
        <v>17</v>
      </c>
      <c r="H3982" t="s" s="2">
        <v>19</v>
      </c>
      <c r="I3982" t="s" s="2">
        <v>15515</v>
      </c>
      <c r="J3982" t="s" s="2">
        <v>15516</v>
      </c>
      <c r="K3982" t="s" s="2">
        <v>22</v>
      </c>
      <c r="L3982" t="s" s="2">
        <v>22</v>
      </c>
      <c r="M3982" t="s" s="2">
        <v>22</v>
      </c>
    </row>
    <row r="3983" ht="25.0" customHeight="true">
      <c r="A3983" t="s" s="2">
        <v>13</v>
      </c>
      <c r="B3983" t="s" s="2">
        <f>HYPERLINK("http://ts.21cn.com/tousu/show/id/1369776","投诉上海得仕和瀚银为非法博彩机构提供支付通道")</f>
      </c>
      <c r="C3983" t="s" s="2">
        <v>15</v>
      </c>
      <c r="D3983" t="s" s="2">
        <v>16</v>
      </c>
      <c r="E3983" t="s" s="2">
        <v>17</v>
      </c>
      <c r="F3983" t="s" s="2">
        <f>HYPERLINK("http://ts.21cn.com/tousu/show/id/1369776","http://ts.21cn.com/tousu/show/id/1369776")</f>
      </c>
      <c r="G3983" t="s" s="2">
        <v>17</v>
      </c>
      <c r="H3983" t="s" s="2">
        <v>19</v>
      </c>
      <c r="I3983" t="s" s="2">
        <v>15519</v>
      </c>
      <c r="J3983" t="s" s="2">
        <v>15520</v>
      </c>
      <c r="K3983" t="s" s="2">
        <v>22</v>
      </c>
      <c r="L3983" t="s" s="2">
        <v>22</v>
      </c>
      <c r="M3983" t="s" s="2">
        <v>22</v>
      </c>
    </row>
    <row r="3984" ht="25.0" customHeight="true">
      <c r="A3984" t="s" s="2">
        <v>13</v>
      </c>
      <c r="B3984" t="s" s="2">
        <f>HYPERLINK("http://ts.21cn.com/tousu/show/id/1369775","没逾期打电话威胁")</f>
      </c>
      <c r="C3984" t="s" s="2">
        <v>15</v>
      </c>
      <c r="D3984" t="s" s="2">
        <v>16</v>
      </c>
      <c r="E3984" t="s" s="2">
        <v>17</v>
      </c>
      <c r="F3984" t="s" s="2">
        <f>HYPERLINK("http://ts.21cn.com/tousu/show/id/1369775","http://ts.21cn.com/tousu/show/id/1369775")</f>
      </c>
      <c r="G3984" t="s" s="2">
        <v>17</v>
      </c>
      <c r="H3984" t="s" s="2">
        <v>19</v>
      </c>
      <c r="I3984" t="s" s="2">
        <v>15523</v>
      </c>
      <c r="J3984" t="s" s="2">
        <v>15524</v>
      </c>
      <c r="K3984" t="s" s="2">
        <v>22</v>
      </c>
      <c r="L3984" t="s" s="2">
        <v>22</v>
      </c>
      <c r="M3984" t="s" s="2">
        <v>22</v>
      </c>
    </row>
    <row r="3985" ht="25.0" customHeight="true">
      <c r="A3985" t="s" s="2">
        <v>13</v>
      </c>
      <c r="B3985" t="s" s="2">
        <f>HYPERLINK("http://ts.21cn.com/tousu/show/id/1369772","信而富退会员费迟迟不到账")</f>
      </c>
      <c r="C3985" t="s" s="2">
        <v>52</v>
      </c>
      <c r="D3985" t="s" s="2">
        <v>16</v>
      </c>
      <c r="E3985" t="s" s="2">
        <v>17</v>
      </c>
      <c r="F3985" t="s" s="2">
        <f>HYPERLINK("http://ts.21cn.com/tousu/show/id/1369772","http://ts.21cn.com/tousu/show/id/1369772")</f>
      </c>
      <c r="G3985" t="s" s="2">
        <v>17</v>
      </c>
      <c r="H3985" t="s" s="2">
        <v>19</v>
      </c>
      <c r="I3985" t="s" s="2">
        <v>15527</v>
      </c>
      <c r="J3985" t="s" s="2">
        <v>15528</v>
      </c>
      <c r="K3985" t="s" s="2">
        <v>22</v>
      </c>
      <c r="L3985" t="s" s="2">
        <v>22</v>
      </c>
      <c r="M3985" t="s" s="2">
        <v>22</v>
      </c>
    </row>
    <row r="3986" ht="25.0" customHeight="true">
      <c r="A3986" t="s" s="2">
        <v>13</v>
      </c>
      <c r="B3986" t="s" s="2">
        <f>HYPERLINK("http://ts.21cn.com/tousu/show/id/1369773","快闪卡贷（小闪分期）")</f>
      </c>
      <c r="C3986" t="s" s="2">
        <v>52</v>
      </c>
      <c r="D3986" t="s" s="2">
        <v>16</v>
      </c>
      <c r="E3986" t="s" s="2">
        <v>17</v>
      </c>
      <c r="F3986" t="s" s="2">
        <f>HYPERLINK("http://ts.21cn.com/tousu/show/id/1369773","http://ts.21cn.com/tousu/show/id/1369773")</f>
      </c>
      <c r="G3986" t="s" s="2">
        <v>17</v>
      </c>
      <c r="H3986" t="s" s="2">
        <v>19</v>
      </c>
      <c r="I3986" t="s" s="2">
        <v>15531</v>
      </c>
      <c r="J3986" t="s" s="2">
        <v>15532</v>
      </c>
      <c r="K3986" t="s" s="2">
        <v>22</v>
      </c>
      <c r="L3986" t="s" s="2">
        <v>22</v>
      </c>
      <c r="M3986" t="s" s="2">
        <v>22</v>
      </c>
    </row>
    <row r="3987" ht="25.0" customHeight="true">
      <c r="A3987" t="s" s="2">
        <v>13</v>
      </c>
      <c r="B3987" t="s" s="2">
        <f>HYPERLINK("http://ts.21cn.com/tousu/show/id/1369770","希望捷信金融能宽限几天。")</f>
      </c>
      <c r="C3987" t="s" s="2">
        <v>52</v>
      </c>
      <c r="D3987" t="s" s="2">
        <v>16</v>
      </c>
      <c r="E3987" t="s" s="2">
        <v>17</v>
      </c>
      <c r="F3987" t="s" s="2">
        <f>HYPERLINK("http://ts.21cn.com/tousu/show/id/1369770","http://ts.21cn.com/tousu/show/id/1369770")</f>
      </c>
      <c r="G3987" t="s" s="2">
        <v>17</v>
      </c>
      <c r="H3987" t="s" s="2">
        <v>19</v>
      </c>
      <c r="I3987" t="s" s="2">
        <v>15535</v>
      </c>
      <c r="J3987" t="s" s="2">
        <v>15536</v>
      </c>
      <c r="K3987" t="s" s="2">
        <v>22</v>
      </c>
      <c r="L3987" t="s" s="2">
        <v>22</v>
      </c>
      <c r="M3987" t="s" s="2">
        <v>22</v>
      </c>
    </row>
    <row r="3988" ht="25.0" customHeight="true">
      <c r="A3988" t="s" s="2">
        <v>13</v>
      </c>
      <c r="B3988" t="s" s="2">
        <f>HYPERLINK("http://ts.21cn.com/tousu/show/id/1369769","招商银行收取高额费用")</f>
      </c>
      <c r="C3988" t="s" s="2">
        <v>15</v>
      </c>
      <c r="D3988" t="s" s="2">
        <v>16</v>
      </c>
      <c r="E3988" t="s" s="2">
        <v>17</v>
      </c>
      <c r="F3988" t="s" s="2">
        <f>HYPERLINK("http://ts.21cn.com/tousu/show/id/1369769","http://ts.21cn.com/tousu/show/id/1369769")</f>
      </c>
      <c r="G3988" t="s" s="2">
        <v>17</v>
      </c>
      <c r="H3988" t="s" s="2">
        <v>19</v>
      </c>
      <c r="I3988" t="s" s="2">
        <v>15539</v>
      </c>
      <c r="J3988" t="s" s="2">
        <v>15540</v>
      </c>
      <c r="K3988" t="s" s="2">
        <v>22</v>
      </c>
      <c r="L3988" t="s" s="2">
        <v>22</v>
      </c>
      <c r="M3988" t="s" s="2">
        <v>22</v>
      </c>
    </row>
    <row r="3989" ht="25.0" customHeight="true">
      <c r="A3989" t="s" s="2">
        <v>13</v>
      </c>
      <c r="B3989" t="s" s="2">
        <f>HYPERLINK("http://ts.21cn.com/tousu/show/id/1366968","人人贷冒充公安部门催收，骚扰影响正常生活")</f>
      </c>
      <c r="C3989" t="s" s="2">
        <v>15</v>
      </c>
      <c r="D3989" t="s" s="2">
        <v>16</v>
      </c>
      <c r="E3989" t="s" s="2">
        <v>17</v>
      </c>
      <c r="F3989" t="s" s="2">
        <f>HYPERLINK("http://ts.21cn.com/tousu/show/id/1366968","http://ts.21cn.com/tousu/show/id/1366968")</f>
      </c>
      <c r="G3989" t="s" s="2">
        <v>17</v>
      </c>
      <c r="H3989" t="s" s="2">
        <v>19</v>
      </c>
      <c r="I3989" t="s" s="2">
        <v>15543</v>
      </c>
      <c r="J3989" t="s" s="2">
        <v>15544</v>
      </c>
      <c r="K3989" t="s" s="2">
        <v>22</v>
      </c>
      <c r="L3989" t="s" s="2">
        <v>22</v>
      </c>
      <c r="M3989" t="s" s="2">
        <v>22</v>
      </c>
    </row>
    <row r="3990" ht="25.0" customHeight="true">
      <c r="A3990" t="s" s="2">
        <v>13</v>
      </c>
      <c r="B3990" t="s" s="2">
        <f>HYPERLINK("http://ts.21cn.com/tousu/show/id/1369768","即有分期超高利息")</f>
      </c>
      <c r="C3990" t="s" s="2">
        <v>15</v>
      </c>
      <c r="D3990" t="s" s="2">
        <v>16</v>
      </c>
      <c r="E3990" t="s" s="2">
        <v>17</v>
      </c>
      <c r="F3990" t="s" s="2">
        <f>HYPERLINK("http://ts.21cn.com/tousu/show/id/1369768","http://ts.21cn.com/tousu/show/id/1369768")</f>
      </c>
      <c r="G3990" t="s" s="2">
        <v>17</v>
      </c>
      <c r="H3990" t="s" s="2">
        <v>19</v>
      </c>
      <c r="I3990" t="s" s="2">
        <v>15547</v>
      </c>
      <c r="J3990" t="s" s="2">
        <v>15548</v>
      </c>
      <c r="K3990" t="s" s="2">
        <v>22</v>
      </c>
      <c r="L3990" t="s" s="2">
        <v>22</v>
      </c>
      <c r="M3990" t="s" s="2">
        <v>22</v>
      </c>
    </row>
    <row r="3991" ht="25.0" customHeight="true">
      <c r="A3991" t="s" s="2">
        <v>13</v>
      </c>
      <c r="B3991" t="s" s="2">
        <f>HYPERLINK("http://ts.21cn.com/tousu/show/id/1369767","你我贷，")</f>
      </c>
      <c r="C3991" t="s" s="2">
        <v>15</v>
      </c>
      <c r="D3991" t="s" s="2">
        <v>16</v>
      </c>
      <c r="E3991" t="s" s="2">
        <v>17</v>
      </c>
      <c r="F3991" t="s" s="2">
        <f>HYPERLINK("http://ts.21cn.com/tousu/show/id/1369767","http://ts.21cn.com/tousu/show/id/1369767")</f>
      </c>
      <c r="G3991" t="s" s="2">
        <v>17</v>
      </c>
      <c r="H3991" t="s" s="2">
        <v>19</v>
      </c>
      <c r="I3991" t="s" s="2">
        <v>15551</v>
      </c>
      <c r="J3991" t="s" s="2">
        <v>15552</v>
      </c>
      <c r="K3991" t="s" s="2">
        <v>22</v>
      </c>
      <c r="L3991" t="s" s="2">
        <v>22</v>
      </c>
      <c r="M3991" t="s" s="2">
        <v>22</v>
      </c>
    </row>
    <row r="3992" ht="25.0" customHeight="true">
      <c r="A3992" t="s" s="2">
        <v>13</v>
      </c>
      <c r="B3992" t="s" s="2">
        <f>HYPERLINK("http://ts.21cn.com/tousu/show/id/1369766","指上旅行，厉害厉害")</f>
      </c>
      <c r="C3992" t="s" s="2">
        <v>15554</v>
      </c>
      <c r="D3992" t="s" s="2">
        <v>16</v>
      </c>
      <c r="E3992" t="s" s="2">
        <v>17</v>
      </c>
      <c r="F3992" t="s" s="2">
        <f>HYPERLINK("http://ts.21cn.com/tousu/show/id/1369766","http://ts.21cn.com/tousu/show/id/1369766")</f>
      </c>
      <c r="G3992" t="s" s="2">
        <v>17</v>
      </c>
      <c r="H3992" t="s" s="2">
        <v>19</v>
      </c>
      <c r="I3992" t="s" s="2">
        <v>15556</v>
      </c>
      <c r="J3992" t="s" s="2">
        <v>15557</v>
      </c>
      <c r="K3992" t="s" s="2">
        <v>22</v>
      </c>
      <c r="L3992" t="s" s="2">
        <v>22</v>
      </c>
      <c r="M3992" t="s" s="2">
        <v>22</v>
      </c>
    </row>
    <row r="3993" ht="25.0" customHeight="true">
      <c r="A3993" t="s" s="2">
        <v>13</v>
      </c>
      <c r="B3993" t="s" s="2">
        <f>HYPERLINK("http://ts.21cn.com/tousu/show/id/1369762","钱战阴阳合同，电话骚扰家人")</f>
      </c>
      <c r="C3993" t="s" s="2">
        <v>15</v>
      </c>
      <c r="D3993" t="s" s="2">
        <v>16</v>
      </c>
      <c r="E3993" t="s" s="2">
        <v>17</v>
      </c>
      <c r="F3993" t="s" s="2">
        <f>HYPERLINK("http://ts.21cn.com/tousu/show/id/1369762","http://ts.21cn.com/tousu/show/id/1369762")</f>
      </c>
      <c r="G3993" t="s" s="2">
        <v>17</v>
      </c>
      <c r="H3993" t="s" s="2">
        <v>19</v>
      </c>
      <c r="I3993" t="s" s="2">
        <v>15560</v>
      </c>
      <c r="J3993" t="s" s="2">
        <v>15561</v>
      </c>
      <c r="K3993" t="s" s="2">
        <v>22</v>
      </c>
      <c r="L3993" t="s" s="2">
        <v>22</v>
      </c>
      <c r="M3993" t="s" s="2">
        <v>22</v>
      </c>
    </row>
    <row r="3994" ht="25.0" customHeight="true">
      <c r="A3994" t="s" s="2">
        <v>13</v>
      </c>
      <c r="B3994" t="s" s="2">
        <f>HYPERLINK("http://ts.21cn.com/tousu/show/id/1369761","招商银行骚扰家里人")</f>
      </c>
      <c r="C3994" t="s" s="2">
        <v>15</v>
      </c>
      <c r="D3994" t="s" s="2">
        <v>16</v>
      </c>
      <c r="E3994" t="s" s="2">
        <v>17</v>
      </c>
      <c r="F3994" t="s" s="2">
        <f>HYPERLINK("http://ts.21cn.com/tousu/show/id/1369761","http://ts.21cn.com/tousu/show/id/1369761")</f>
      </c>
      <c r="G3994" t="s" s="2">
        <v>17</v>
      </c>
      <c r="H3994" t="s" s="2">
        <v>19</v>
      </c>
      <c r="I3994" t="s" s="2">
        <v>15564</v>
      </c>
      <c r="J3994" t="s" s="2">
        <v>15565</v>
      </c>
      <c r="K3994" t="s" s="2">
        <v>22</v>
      </c>
      <c r="L3994" t="s" s="2">
        <v>22</v>
      </c>
      <c r="M3994" t="s" s="2">
        <v>22</v>
      </c>
    </row>
    <row r="3995" ht="25.0" customHeight="true">
      <c r="A3995" t="s" s="2">
        <v>13</v>
      </c>
      <c r="B3995" t="s" s="2">
        <f>HYPERLINK("http://ts.21cn.com/tousu/show/id/1369759","暴力崔收")</f>
      </c>
      <c r="C3995" t="s" s="2">
        <v>15</v>
      </c>
      <c r="D3995" t="s" s="2">
        <v>16</v>
      </c>
      <c r="E3995" t="s" s="2">
        <v>17</v>
      </c>
      <c r="F3995" t="s" s="2">
        <f>HYPERLINK("http://ts.21cn.com/tousu/show/id/1369759","http://ts.21cn.com/tousu/show/id/1369759")</f>
      </c>
      <c r="G3995" t="s" s="2">
        <v>17</v>
      </c>
      <c r="H3995" t="s" s="2">
        <v>19</v>
      </c>
      <c r="I3995" t="s" s="2">
        <v>15568</v>
      </c>
      <c r="J3995" t="s" s="2">
        <v>15569</v>
      </c>
      <c r="K3995" t="s" s="2">
        <v>22</v>
      </c>
      <c r="L3995" t="s" s="2">
        <v>22</v>
      </c>
      <c r="M3995" t="s" s="2">
        <v>22</v>
      </c>
    </row>
    <row r="3996" ht="25.0" customHeight="true">
      <c r="A3996" t="s" s="2">
        <v>13</v>
      </c>
      <c r="B3996" t="s" s="2">
        <f>HYPERLINK("http://ts.21cn.com/tousu/show/id/1369758","美团暴力催收")</f>
      </c>
      <c r="C3996" t="s" s="2">
        <v>15</v>
      </c>
      <c r="D3996" t="s" s="2">
        <v>16</v>
      </c>
      <c r="E3996" t="s" s="2">
        <v>17</v>
      </c>
      <c r="F3996" t="s" s="2">
        <f>HYPERLINK("http://ts.21cn.com/tousu/show/id/1369758","http://ts.21cn.com/tousu/show/id/1369758")</f>
      </c>
      <c r="G3996" t="s" s="2">
        <v>17</v>
      </c>
      <c r="H3996" t="s" s="2">
        <v>19</v>
      </c>
      <c r="I3996" t="s" s="2">
        <v>15571</v>
      </c>
      <c r="J3996" t="s" s="2">
        <v>15572</v>
      </c>
      <c r="K3996" t="s" s="2">
        <v>22</v>
      </c>
      <c r="L3996" t="s" s="2">
        <v>22</v>
      </c>
      <c r="M3996" t="s" s="2">
        <v>22</v>
      </c>
    </row>
    <row r="3997" ht="25.0" customHeight="true">
      <c r="A3997" t="s" s="2">
        <v>13</v>
      </c>
      <c r="B3997" t="s" s="2">
        <f>HYPERLINK("http://ts.21cn.com/tousu/show/id/1369757","鸿飞担保扣款900")</f>
      </c>
      <c r="C3997" t="s" s="2">
        <v>52</v>
      </c>
      <c r="D3997" t="s" s="2">
        <v>16</v>
      </c>
      <c r="E3997" t="s" s="2">
        <v>17</v>
      </c>
      <c r="F3997" t="s" s="2">
        <f>HYPERLINK("http://ts.21cn.com/tousu/show/id/1369757","http://ts.21cn.com/tousu/show/id/1369757")</f>
      </c>
      <c r="G3997" t="s" s="2">
        <v>17</v>
      </c>
      <c r="H3997" t="s" s="2">
        <v>19</v>
      </c>
      <c r="I3997" t="s" s="2">
        <v>15575</v>
      </c>
      <c r="J3997" t="s" s="2">
        <v>15576</v>
      </c>
      <c r="K3997" t="s" s="2">
        <v>22</v>
      </c>
      <c r="L3997" t="s" s="2">
        <v>22</v>
      </c>
      <c r="M3997" t="s" s="2">
        <v>22</v>
      </c>
    </row>
    <row r="3998" ht="25.0" customHeight="true">
      <c r="A3998" t="s" s="2">
        <v>13</v>
      </c>
      <c r="B3998" t="s" s="2">
        <f>HYPERLINK("http://ts.21cn.com/tousu/show/id/1369756","万达快易花非法催收，要求此后账单提前还款（只还本金）")</f>
      </c>
      <c r="C3998" t="s" s="2">
        <v>15</v>
      </c>
      <c r="D3998" t="s" s="2">
        <v>16</v>
      </c>
      <c r="E3998" t="s" s="2">
        <v>17</v>
      </c>
      <c r="F3998" t="s" s="2">
        <f>HYPERLINK("http://ts.21cn.com/tousu/show/id/1369756","http://ts.21cn.com/tousu/show/id/1369756")</f>
      </c>
      <c r="G3998" t="s" s="2">
        <v>17</v>
      </c>
      <c r="H3998" t="s" s="2">
        <v>19</v>
      </c>
      <c r="I3998" t="s" s="2">
        <v>15579</v>
      </c>
      <c r="J3998" t="s" s="2">
        <v>15580</v>
      </c>
      <c r="K3998" t="s" s="2">
        <v>22</v>
      </c>
      <c r="L3998" t="s" s="2">
        <v>22</v>
      </c>
      <c r="M3998" t="s" s="2">
        <v>22</v>
      </c>
    </row>
    <row r="3999" ht="25.0" customHeight="true">
      <c r="A3999" t="s" s="2">
        <v>13</v>
      </c>
      <c r="B3999" t="s" s="2">
        <f>HYPERLINK("http://ts.21cn.com/tousu/show/id/1369754","玖富砍头息！协商无果")</f>
      </c>
      <c r="C3999" t="s" s="2">
        <v>15</v>
      </c>
      <c r="D3999" t="s" s="2">
        <v>16</v>
      </c>
      <c r="E3999" t="s" s="2">
        <v>17</v>
      </c>
      <c r="F3999" t="s" s="2">
        <f>HYPERLINK("http://ts.21cn.com/tousu/show/id/1369754","http://ts.21cn.com/tousu/show/id/1369754")</f>
      </c>
      <c r="G3999" t="s" s="2">
        <v>17</v>
      </c>
      <c r="H3999" t="s" s="2">
        <v>19</v>
      </c>
      <c r="I3999" t="s" s="2">
        <v>15583</v>
      </c>
      <c r="J3999" t="s" s="2">
        <v>15584</v>
      </c>
      <c r="K3999" t="s" s="2">
        <v>22</v>
      </c>
      <c r="L3999" t="s" s="2">
        <v>22</v>
      </c>
      <c r="M3999" t="s" s="2">
        <v>22</v>
      </c>
    </row>
    <row r="4000" ht="25.0" customHeight="true">
      <c r="A4000" t="s" s="2">
        <v>13</v>
      </c>
      <c r="B4000" t="s" s="2">
        <f>HYPERLINK("http://ts.21cn.com/tousu/show/id/1369753","仙豆手游不作为，描述不符")</f>
      </c>
      <c r="C4000" t="s" s="2">
        <v>15</v>
      </c>
      <c r="D4000" t="s" s="2">
        <v>16</v>
      </c>
      <c r="E4000" t="s" s="2">
        <v>17</v>
      </c>
      <c r="F4000" t="s" s="2">
        <f>HYPERLINK("http://ts.21cn.com/tousu/show/id/1369753","http://ts.21cn.com/tousu/show/id/1369753")</f>
      </c>
      <c r="G4000" t="s" s="2">
        <v>17</v>
      </c>
      <c r="H4000" t="s" s="2">
        <v>19</v>
      </c>
      <c r="I4000" t="s" s="2">
        <v>15587</v>
      </c>
      <c r="J4000" t="s" s="2">
        <v>15588</v>
      </c>
      <c r="K4000" t="s" s="2">
        <v>22</v>
      </c>
      <c r="L4000" t="s" s="2">
        <v>22</v>
      </c>
      <c r="M4000" t="s" s="2">
        <v>22</v>
      </c>
    </row>
    <row r="4001" ht="25.0" customHeight="true">
      <c r="A4001" t="s" s="2">
        <v>13</v>
      </c>
      <c r="B4001" t="s" s="2">
        <f>HYPERLINK("http://ts.21cn.com/tousu/show/id/1369750","还呗提前结清借款，收取全部利息")</f>
      </c>
      <c r="C4001" t="s" s="2">
        <v>52</v>
      </c>
      <c r="D4001" t="s" s="2">
        <v>16</v>
      </c>
      <c r="E4001" t="s" s="2">
        <v>17</v>
      </c>
      <c r="F4001" t="s" s="2">
        <f>HYPERLINK("http://ts.21cn.com/tousu/show/id/1369750","http://ts.21cn.com/tousu/show/id/1369750")</f>
      </c>
      <c r="G4001" t="s" s="2">
        <v>17</v>
      </c>
      <c r="H4001" t="s" s="2">
        <v>19</v>
      </c>
      <c r="I4001" t="s" s="2">
        <v>15591</v>
      </c>
      <c r="J4001" t="s" s="2">
        <v>15592</v>
      </c>
      <c r="K4001" t="s" s="2">
        <v>22</v>
      </c>
      <c r="L4001" t="s" s="2">
        <v>22</v>
      </c>
      <c r="M4001" t="s" s="2">
        <v>22</v>
      </c>
    </row>
    <row r="4002" ht="25.0" customHeight="true">
      <c r="A4002" t="s" s="2">
        <v>13</v>
      </c>
      <c r="B4002" t="s" s="2">
        <f>HYPERLINK("http://ts.21cn.com/tousu/show/id/1369640","微信收款商业版提现功能冻结")</f>
      </c>
      <c r="C4002" t="s" s="2">
        <v>15</v>
      </c>
      <c r="D4002" t="s" s="2">
        <v>16</v>
      </c>
      <c r="E4002" t="s" s="2">
        <v>17</v>
      </c>
      <c r="F4002" t="s" s="2">
        <f>HYPERLINK("http://ts.21cn.com/tousu/show/id/1369640","http://ts.21cn.com/tousu/show/id/1369640")</f>
      </c>
      <c r="G4002" t="s" s="2">
        <v>17</v>
      </c>
      <c r="H4002" t="s" s="2">
        <v>19</v>
      </c>
      <c r="I4002" t="s" s="2">
        <v>15595</v>
      </c>
      <c r="J4002" t="s" s="2">
        <v>15596</v>
      </c>
      <c r="K4002" t="s" s="2">
        <v>22</v>
      </c>
      <c r="L4002" t="s" s="2">
        <v>22</v>
      </c>
      <c r="M4002" t="s" s="2">
        <v>22</v>
      </c>
    </row>
    <row r="4003" ht="25.0" customHeight="true">
      <c r="A4003" t="s" s="2">
        <v>13</v>
      </c>
      <c r="B4003" t="s" s="2">
        <f>HYPERLINK("http://ts.21cn.com/tousu/show/id/1369749","鞋盒破损，顺丰赔付不到位")</f>
      </c>
      <c r="C4003" t="s" s="2">
        <v>15</v>
      </c>
      <c r="D4003" t="s" s="2">
        <v>16</v>
      </c>
      <c r="E4003" t="s" s="2">
        <v>17</v>
      </c>
      <c r="F4003" t="s" s="2">
        <f>HYPERLINK("http://ts.21cn.com/tousu/show/id/1369749","http://ts.21cn.com/tousu/show/id/1369749")</f>
      </c>
      <c r="G4003" t="s" s="2">
        <v>17</v>
      </c>
      <c r="H4003" t="s" s="2">
        <v>19</v>
      </c>
      <c r="I4003" t="s" s="2">
        <v>15599</v>
      </c>
      <c r="J4003" t="s" s="2">
        <v>15600</v>
      </c>
      <c r="K4003" t="s" s="2">
        <v>22</v>
      </c>
      <c r="L4003" t="s" s="2">
        <v>22</v>
      </c>
      <c r="M4003" t="s" s="2">
        <v>22</v>
      </c>
    </row>
    <row r="4004" ht="25.0" customHeight="true">
      <c r="A4004" t="s" s="2">
        <v>13</v>
      </c>
      <c r="B4004" t="s" s="2">
        <f>HYPERLINK("http://ts.21cn.com/tousu/show/id/1369747","立刻出行无法退还押金499元")</f>
      </c>
      <c r="C4004" t="s" s="2">
        <v>15</v>
      </c>
      <c r="D4004" t="s" s="2">
        <v>16</v>
      </c>
      <c r="E4004" t="s" s="2">
        <v>17</v>
      </c>
      <c r="F4004" t="s" s="2">
        <f>HYPERLINK("http://ts.21cn.com/tousu/show/id/1369747","http://ts.21cn.com/tousu/show/id/1369747")</f>
      </c>
      <c r="G4004" t="s" s="2">
        <v>17</v>
      </c>
      <c r="H4004" t="s" s="2">
        <v>19</v>
      </c>
      <c r="I4004" t="s" s="2">
        <v>15603</v>
      </c>
      <c r="J4004" t="s" s="2">
        <v>15604</v>
      </c>
      <c r="K4004" t="s" s="2">
        <v>22</v>
      </c>
      <c r="L4004" t="s" s="2">
        <v>22</v>
      </c>
      <c r="M4004" t="s" s="2">
        <v>22</v>
      </c>
    </row>
    <row r="4005" ht="25.0" customHeight="true">
      <c r="A4005" t="s" s="2">
        <v>13</v>
      </c>
      <c r="B4005" t="s" s="2">
        <f>HYPERLINK("http://ts.21cn.com/tousu/show/id/1369748","客服不处理晋中市新橙优品迟迟不处理问题")</f>
      </c>
      <c r="C4005" t="s" s="2">
        <v>15</v>
      </c>
      <c r="D4005" t="s" s="2">
        <v>16</v>
      </c>
      <c r="E4005" t="s" s="2">
        <v>17</v>
      </c>
      <c r="F4005" t="s" s="2">
        <f>HYPERLINK("http://ts.21cn.com/tousu/show/id/1369748","http://ts.21cn.com/tousu/show/id/1369748")</f>
      </c>
      <c r="G4005" t="s" s="2">
        <v>17</v>
      </c>
      <c r="H4005" t="s" s="2">
        <v>19</v>
      </c>
      <c r="I4005" t="s" s="2">
        <v>15607</v>
      </c>
      <c r="J4005" t="s" s="2">
        <v>15608</v>
      </c>
      <c r="K4005" t="s" s="2">
        <v>22</v>
      </c>
      <c r="L4005" t="s" s="2">
        <v>22</v>
      </c>
      <c r="M4005" t="s" s="2">
        <v>22</v>
      </c>
    </row>
    <row r="4006" ht="25.0" customHeight="true">
      <c r="A4006" t="s" s="2">
        <v>13</v>
      </c>
      <c r="B4006" t="s" s="2">
        <f>HYPERLINK("http://ts.21cn.com/tousu/show/id/1369746","快贷宝，花无极砍头息高利贷")</f>
      </c>
      <c r="C4006" t="s" s="2">
        <v>15</v>
      </c>
      <c r="D4006" t="s" s="2">
        <v>16</v>
      </c>
      <c r="E4006" t="s" s="2">
        <v>17</v>
      </c>
      <c r="F4006" t="s" s="2">
        <f>HYPERLINK("http://ts.21cn.com/tousu/show/id/1369746","http://ts.21cn.com/tousu/show/id/1369746")</f>
      </c>
      <c r="G4006" t="s" s="2">
        <v>17</v>
      </c>
      <c r="H4006" t="s" s="2">
        <v>19</v>
      </c>
      <c r="I4006" t="s" s="2">
        <v>15611</v>
      </c>
      <c r="J4006" t="s" s="2">
        <v>15612</v>
      </c>
      <c r="K4006" t="s" s="2">
        <v>22</v>
      </c>
      <c r="L4006" t="s" s="2">
        <v>22</v>
      </c>
      <c r="M4006" t="s" s="2">
        <v>22</v>
      </c>
    </row>
    <row r="4007" ht="25.0" customHeight="true">
      <c r="A4007" t="s" s="2">
        <v>13</v>
      </c>
      <c r="B4007" t="s" s="2">
        <f>HYPERLINK("http://ts.21cn.com/tousu/show/id/1369745","高利贷，暴力催收")</f>
      </c>
      <c r="C4007" t="s" s="2">
        <v>15</v>
      </c>
      <c r="D4007" t="s" s="2">
        <v>16</v>
      </c>
      <c r="E4007" t="s" s="2">
        <v>17</v>
      </c>
      <c r="F4007" t="s" s="2">
        <f>HYPERLINK("http://ts.21cn.com/tousu/show/id/1369745","http://ts.21cn.com/tousu/show/id/1369745")</f>
      </c>
      <c r="G4007" t="s" s="2">
        <v>17</v>
      </c>
      <c r="H4007" t="s" s="2">
        <v>19</v>
      </c>
      <c r="I4007" t="s" s="2">
        <v>15615</v>
      </c>
      <c r="J4007" t="s" s="2">
        <v>15616</v>
      </c>
      <c r="K4007" t="s" s="2">
        <v>22</v>
      </c>
      <c r="L4007" t="s" s="2">
        <v>22</v>
      </c>
      <c r="M4007" t="s" s="2">
        <v>22</v>
      </c>
    </row>
    <row r="4008" ht="25.0" customHeight="true">
      <c r="A4008" t="s" s="2">
        <v>13</v>
      </c>
      <c r="B4008" t="s" s="2">
        <f>HYPERLINK("http://ts.21cn.com/tousu/show/id/1369744","暴力催收，恶意拨打骚扰第三方电话")</f>
      </c>
      <c r="C4008" t="s" s="2">
        <v>15</v>
      </c>
      <c r="D4008" t="s" s="2">
        <v>16</v>
      </c>
      <c r="E4008" t="s" s="2">
        <v>17</v>
      </c>
      <c r="F4008" t="s" s="2">
        <f>HYPERLINK("http://ts.21cn.com/tousu/show/id/1369744","http://ts.21cn.com/tousu/show/id/1369744")</f>
      </c>
      <c r="G4008" t="s" s="2">
        <v>17</v>
      </c>
      <c r="H4008" t="s" s="2">
        <v>19</v>
      </c>
      <c r="I4008" t="s" s="2">
        <v>15619</v>
      </c>
      <c r="J4008" t="s" s="2">
        <v>15620</v>
      </c>
      <c r="K4008" t="s" s="2">
        <v>22</v>
      </c>
      <c r="L4008" t="s" s="2">
        <v>22</v>
      </c>
      <c r="M4008" t="s" s="2">
        <v>22</v>
      </c>
    </row>
    <row r="4009" ht="25.0" customHeight="true">
      <c r="A4009" t="s" s="2">
        <v>13</v>
      </c>
      <c r="B4009" t="s" s="2">
        <f>HYPERLINK("http://ts.21cn.com/tousu/show/id/1369743","闪银奇异砍头息威胁恐吓，侵犯隐私，")</f>
      </c>
      <c r="C4009" t="s" s="2">
        <v>15</v>
      </c>
      <c r="D4009" t="s" s="2">
        <v>16</v>
      </c>
      <c r="E4009" t="s" s="2">
        <v>17</v>
      </c>
      <c r="F4009" t="s" s="2">
        <f>HYPERLINK("http://ts.21cn.com/tousu/show/id/1369743","http://ts.21cn.com/tousu/show/id/1369743")</f>
      </c>
      <c r="G4009" t="s" s="2">
        <v>17</v>
      </c>
      <c r="H4009" t="s" s="2">
        <v>19</v>
      </c>
      <c r="I4009" t="s" s="2">
        <v>15623</v>
      </c>
      <c r="J4009" t="s" s="2">
        <v>15624</v>
      </c>
      <c r="K4009" t="s" s="2">
        <v>22</v>
      </c>
      <c r="L4009" t="s" s="2">
        <v>22</v>
      </c>
      <c r="M4009" t="s" s="2">
        <v>22</v>
      </c>
    </row>
    <row r="4010" ht="25.0" customHeight="true">
      <c r="A4010" t="s" s="2">
        <v>13</v>
      </c>
      <c r="B4010" t="s" s="2">
        <f>HYPERLINK("http://ts.21cn.com/tousu/show/id/1369698","哈尔滨太平机场空铁领航虚假宣传，误导他人办卡，无售后！！！")</f>
      </c>
      <c r="C4010" t="s" s="2">
        <v>15</v>
      </c>
      <c r="D4010" t="s" s="2">
        <v>16</v>
      </c>
      <c r="E4010" t="s" s="2">
        <v>17</v>
      </c>
      <c r="F4010" t="s" s="2">
        <f>HYPERLINK("http://ts.21cn.com/tousu/show/id/1369698","http://ts.21cn.com/tousu/show/id/1369698")</f>
      </c>
      <c r="G4010" t="s" s="2">
        <v>17</v>
      </c>
      <c r="H4010" t="s" s="2">
        <v>19</v>
      </c>
      <c r="I4010" t="s" s="2">
        <v>15627</v>
      </c>
      <c r="J4010" t="s" s="2">
        <v>15628</v>
      </c>
      <c r="K4010" t="s" s="2">
        <v>22</v>
      </c>
      <c r="L4010" t="s" s="2">
        <v>22</v>
      </c>
      <c r="M4010" t="s" s="2">
        <v>22</v>
      </c>
    </row>
    <row r="4011" ht="25.0" customHeight="true">
      <c r="A4011" t="s" s="2">
        <v>13</v>
      </c>
      <c r="B4011" t="s" s="2">
        <f>HYPERLINK("http://ts.21cn.com/tousu/show/id/1369742","闪银暴力催收")</f>
      </c>
      <c r="C4011" t="s" s="2">
        <v>15</v>
      </c>
      <c r="D4011" t="s" s="2">
        <v>16</v>
      </c>
      <c r="E4011" t="s" s="2">
        <v>17</v>
      </c>
      <c r="F4011" t="s" s="2">
        <f>HYPERLINK("http://ts.21cn.com/tousu/show/id/1369742","http://ts.21cn.com/tousu/show/id/1369742")</f>
      </c>
      <c r="G4011" t="s" s="2">
        <v>17</v>
      </c>
      <c r="H4011" t="s" s="2">
        <v>19</v>
      </c>
      <c r="I4011" t="s" s="2">
        <v>15630</v>
      </c>
      <c r="J4011" t="s" s="2">
        <v>15631</v>
      </c>
      <c r="K4011" t="s" s="2">
        <v>22</v>
      </c>
      <c r="L4011" t="s" s="2">
        <v>22</v>
      </c>
      <c r="M4011" t="s" s="2">
        <v>22</v>
      </c>
    </row>
    <row r="4012" ht="25.0" customHeight="true">
      <c r="A4012" t="s" s="2">
        <v>13</v>
      </c>
      <c r="B4012" t="s" s="2">
        <f>HYPERLINK("http://ts.21cn.com/tousu/show/id/1369740","不明真相被网贷拒绝退学退款")</f>
      </c>
      <c r="C4012" t="s" s="2">
        <v>15</v>
      </c>
      <c r="D4012" t="s" s="2">
        <v>16</v>
      </c>
      <c r="E4012" t="s" s="2">
        <v>17</v>
      </c>
      <c r="F4012" t="s" s="2">
        <f>HYPERLINK("http://ts.21cn.com/tousu/show/id/1369740","http://ts.21cn.com/tousu/show/id/1369740")</f>
      </c>
      <c r="G4012" t="s" s="2">
        <v>17</v>
      </c>
      <c r="H4012" t="s" s="2">
        <v>19</v>
      </c>
      <c r="I4012" t="s" s="2">
        <v>15634</v>
      </c>
      <c r="J4012" t="s" s="2">
        <v>15635</v>
      </c>
      <c r="K4012" t="s" s="2">
        <v>22</v>
      </c>
      <c r="L4012" t="s" s="2">
        <v>22</v>
      </c>
      <c r="M4012" t="s" s="2">
        <v>22</v>
      </c>
    </row>
    <row r="4013" ht="25.0" customHeight="true">
      <c r="A4013" t="s" s="2">
        <v>13</v>
      </c>
      <c r="B4013" t="s" s="2">
        <f>HYPERLINK("http://ts.21cn.com/tousu/show/id/1368477","上海翰银科技为赌博平台收单，请求瀚银为我退款挽回经济损失")</f>
      </c>
      <c r="C4013" t="s" s="2">
        <v>15</v>
      </c>
      <c r="D4013" t="s" s="2">
        <v>16</v>
      </c>
      <c r="E4013" t="s" s="2">
        <v>17</v>
      </c>
      <c r="F4013" t="s" s="2">
        <f>HYPERLINK("http://ts.21cn.com/tousu/show/id/1368477","http://ts.21cn.com/tousu/show/id/1368477")</f>
      </c>
      <c r="G4013" t="s" s="2">
        <v>17</v>
      </c>
      <c r="H4013" t="s" s="2">
        <v>19</v>
      </c>
      <c r="I4013" t="s" s="2">
        <v>15638</v>
      </c>
      <c r="J4013" t="s" s="2">
        <v>15639</v>
      </c>
      <c r="K4013" t="s" s="2">
        <v>22</v>
      </c>
      <c r="L4013" t="s" s="2">
        <v>22</v>
      </c>
      <c r="M4013" t="s" s="2">
        <v>22</v>
      </c>
    </row>
    <row r="4014" ht="25.0" customHeight="true">
      <c r="A4014" t="s" s="2">
        <v>13</v>
      </c>
      <c r="B4014" t="s" s="2">
        <f>HYPERLINK("http://ts.21cn.com/tousu/show/id/1369738","玖富万卡高利息网贷")</f>
      </c>
      <c r="C4014" t="s" s="2">
        <v>15</v>
      </c>
      <c r="D4014" t="s" s="2">
        <v>16</v>
      </c>
      <c r="E4014" t="s" s="2">
        <v>17</v>
      </c>
      <c r="F4014" t="s" s="2">
        <f>HYPERLINK("http://ts.21cn.com/tousu/show/id/1369738","http://ts.21cn.com/tousu/show/id/1369738")</f>
      </c>
      <c r="G4014" t="s" s="2">
        <v>17</v>
      </c>
      <c r="H4014" t="s" s="2">
        <v>19</v>
      </c>
      <c r="I4014" t="s" s="2">
        <v>15642</v>
      </c>
      <c r="J4014" t="s" s="2">
        <v>15643</v>
      </c>
      <c r="K4014" t="s" s="2">
        <v>22</v>
      </c>
      <c r="L4014" t="s" s="2">
        <v>22</v>
      </c>
      <c r="M4014" t="s" s="2">
        <v>22</v>
      </c>
    </row>
    <row r="4015" ht="25.0" customHeight="true">
      <c r="A4015" t="s" s="2">
        <v>13</v>
      </c>
      <c r="B4015" t="s" s="2">
        <f>HYPERLINK("http://ts.21cn.com/tousu/show/id/1369707","万家乐儿童盾EA400营销虚假宣传")</f>
      </c>
      <c r="C4015" t="s" s="2">
        <v>15</v>
      </c>
      <c r="D4015" t="s" s="2">
        <v>16</v>
      </c>
      <c r="E4015" t="s" s="2">
        <v>17</v>
      </c>
      <c r="F4015" t="s" s="2">
        <f>HYPERLINK("http://ts.21cn.com/tousu/show/id/1369707","http://ts.21cn.com/tousu/show/id/1369707")</f>
      </c>
      <c r="G4015" t="s" s="2">
        <v>17</v>
      </c>
      <c r="H4015" t="s" s="2">
        <v>19</v>
      </c>
      <c r="I4015" t="s" s="2">
        <v>15646</v>
      </c>
      <c r="J4015" t="s" s="2">
        <v>15647</v>
      </c>
      <c r="K4015" t="s" s="2">
        <v>22</v>
      </c>
      <c r="L4015" t="s" s="2">
        <v>22</v>
      </c>
      <c r="M4015" t="s" s="2">
        <v>22</v>
      </c>
    </row>
    <row r="4016" ht="25.0" customHeight="true">
      <c r="A4016" t="s" s="2">
        <v>13</v>
      </c>
      <c r="B4016" t="s" s="2">
        <f>HYPERLINK("http://ts.21cn.com/tousu/show/id/1369737","51侵犯我隐私权")</f>
      </c>
      <c r="C4016" t="s" s="2">
        <v>15</v>
      </c>
      <c r="D4016" t="s" s="2">
        <v>16</v>
      </c>
      <c r="E4016" t="s" s="2">
        <v>17</v>
      </c>
      <c r="F4016" t="s" s="2">
        <f>HYPERLINK("http://ts.21cn.com/tousu/show/id/1369737","http://ts.21cn.com/tousu/show/id/1369737")</f>
      </c>
      <c r="G4016" t="s" s="2">
        <v>17</v>
      </c>
      <c r="H4016" t="s" s="2">
        <v>19</v>
      </c>
      <c r="I4016" t="s" s="2">
        <v>15650</v>
      </c>
      <c r="J4016" t="s" s="2">
        <v>15651</v>
      </c>
      <c r="K4016" t="s" s="2">
        <v>22</v>
      </c>
      <c r="L4016" t="s" s="2">
        <v>22</v>
      </c>
      <c r="M4016" t="s" s="2">
        <v>22</v>
      </c>
    </row>
    <row r="4017" ht="25.0" customHeight="true">
      <c r="A4017" t="s" s="2">
        <v>13</v>
      </c>
      <c r="B4017" t="s" s="2">
        <f>HYPERLINK("http://ts.21cn.com/tousu/show/id/1369736","建设银行信用卡逾期被爆通讯录")</f>
      </c>
      <c r="C4017" t="s" s="2">
        <v>15</v>
      </c>
      <c r="D4017" t="s" s="2">
        <v>16</v>
      </c>
      <c r="E4017" t="s" s="2">
        <v>17</v>
      </c>
      <c r="F4017" t="s" s="2">
        <f>HYPERLINK("http://ts.21cn.com/tousu/show/id/1369736","http://ts.21cn.com/tousu/show/id/1369736")</f>
      </c>
      <c r="G4017" t="s" s="2">
        <v>17</v>
      </c>
      <c r="H4017" t="s" s="2">
        <v>19</v>
      </c>
      <c r="I4017" t="s" s="2">
        <v>15654</v>
      </c>
      <c r="J4017" t="s" s="2">
        <v>15655</v>
      </c>
      <c r="K4017" t="s" s="2">
        <v>22</v>
      </c>
      <c r="L4017" t="s" s="2">
        <v>22</v>
      </c>
      <c r="M4017" t="s" s="2">
        <v>22</v>
      </c>
    </row>
    <row r="4018" ht="25.0" customHeight="true">
      <c r="A4018" t="s" s="2">
        <v>13</v>
      </c>
      <c r="B4018" t="s" s="2">
        <f>HYPERLINK("http://ts.21cn.com/tousu/show/id/1369735","短信骚扰通讯录")</f>
      </c>
      <c r="C4018" t="s" s="2">
        <v>15</v>
      </c>
      <c r="D4018" t="s" s="2">
        <v>16</v>
      </c>
      <c r="E4018" t="s" s="2">
        <v>17</v>
      </c>
      <c r="F4018" t="s" s="2">
        <f>HYPERLINK("http://ts.21cn.com/tousu/show/id/1369735","http://ts.21cn.com/tousu/show/id/1369735")</f>
      </c>
      <c r="G4018" t="s" s="2">
        <v>17</v>
      </c>
      <c r="H4018" t="s" s="2">
        <v>19</v>
      </c>
      <c r="I4018" t="s" s="2">
        <v>15658</v>
      </c>
      <c r="J4018" t="s" s="2">
        <v>15659</v>
      </c>
      <c r="K4018" t="s" s="2">
        <v>22</v>
      </c>
      <c r="L4018" t="s" s="2">
        <v>22</v>
      </c>
      <c r="M4018" t="s" s="2">
        <v>22</v>
      </c>
    </row>
    <row r="4019" ht="25.0" customHeight="true">
      <c r="A4019" t="s" s="2">
        <v>13</v>
      </c>
      <c r="B4019" t="s" s="2">
        <f>HYPERLINK("http://ts.21cn.com/tousu/show/id/1369732","马上消费金融")</f>
      </c>
      <c r="C4019" t="s" s="2">
        <v>15</v>
      </c>
      <c r="D4019" t="s" s="2">
        <v>16</v>
      </c>
      <c r="E4019" t="s" s="2">
        <v>17</v>
      </c>
      <c r="F4019" t="s" s="2">
        <f>HYPERLINK("http://ts.21cn.com/tousu/show/id/1369732","http://ts.21cn.com/tousu/show/id/1369732")</f>
      </c>
      <c r="G4019" t="s" s="2">
        <v>17</v>
      </c>
      <c r="H4019" t="s" s="2">
        <v>19</v>
      </c>
      <c r="I4019" t="s" s="2">
        <v>15661</v>
      </c>
      <c r="J4019" t="s" s="2">
        <v>15662</v>
      </c>
      <c r="K4019" t="s" s="2">
        <v>22</v>
      </c>
      <c r="L4019" t="s" s="2">
        <v>22</v>
      </c>
      <c r="M4019" t="s" s="2">
        <v>22</v>
      </c>
    </row>
    <row r="4020" ht="25.0" customHeight="true">
      <c r="A4020" t="s" s="2">
        <v>13</v>
      </c>
      <c r="B4020" t="s" s="2">
        <f>HYPERLINK("http://ts.21cn.com/tousu/show/id/1369734","语言辱骂暴力收款")</f>
      </c>
      <c r="C4020" t="s" s="2">
        <v>15</v>
      </c>
      <c r="D4020" t="s" s="2">
        <v>16</v>
      </c>
      <c r="E4020" t="s" s="2">
        <v>17</v>
      </c>
      <c r="F4020" t="s" s="2">
        <f>HYPERLINK("http://ts.21cn.com/tousu/show/id/1369734","http://ts.21cn.com/tousu/show/id/1369734")</f>
      </c>
      <c r="G4020" t="s" s="2">
        <v>17</v>
      </c>
      <c r="H4020" t="s" s="2">
        <v>19</v>
      </c>
      <c r="I4020" t="s" s="2">
        <v>15665</v>
      </c>
      <c r="J4020" t="s" s="2">
        <v>15666</v>
      </c>
      <c r="K4020" t="s" s="2">
        <v>22</v>
      </c>
      <c r="L4020" t="s" s="2">
        <v>22</v>
      </c>
      <c r="M4020" t="s" s="2">
        <v>22</v>
      </c>
    </row>
    <row r="4021" ht="25.0" customHeight="true">
      <c r="A4021" t="s" s="2">
        <v>13</v>
      </c>
      <c r="B4021" t="s" s="2">
        <f>HYPERLINK("http://ts.21cn.com/tousu/show/id/1369733","暴力催收")</f>
      </c>
      <c r="C4021" t="s" s="2">
        <v>15</v>
      </c>
      <c r="D4021" t="s" s="2">
        <v>16</v>
      </c>
      <c r="E4021" t="s" s="2">
        <v>17</v>
      </c>
      <c r="F4021" t="s" s="2">
        <f>HYPERLINK("http://ts.21cn.com/tousu/show/id/1369733","http://ts.21cn.com/tousu/show/id/1369733")</f>
      </c>
      <c r="G4021" t="s" s="2">
        <v>17</v>
      </c>
      <c r="H4021" t="s" s="2">
        <v>19</v>
      </c>
      <c r="I4021" t="s" s="2">
        <v>15668</v>
      </c>
      <c r="J4021" t="s" s="2">
        <v>15669</v>
      </c>
      <c r="K4021" t="s" s="2">
        <v>22</v>
      </c>
      <c r="L4021" t="s" s="2">
        <v>22</v>
      </c>
      <c r="M4021" t="s" s="2">
        <v>22</v>
      </c>
    </row>
    <row r="4022" ht="25.0" customHeight="true">
      <c r="A4022" t="s" s="2">
        <v>13</v>
      </c>
      <c r="B4022" t="s" s="2">
        <f>HYPERLINK("http://ts.21cn.com/tousu/show/id/1369731","杭州51人品客服不处理")</f>
      </c>
      <c r="C4022" t="s" s="2">
        <v>15</v>
      </c>
      <c r="D4022" t="s" s="2">
        <v>16</v>
      </c>
      <c r="E4022" t="s" s="2">
        <v>17</v>
      </c>
      <c r="F4022" t="s" s="2">
        <f>HYPERLINK("http://ts.21cn.com/tousu/show/id/1369731","http://ts.21cn.com/tousu/show/id/1369731")</f>
      </c>
      <c r="G4022" t="s" s="2">
        <v>17</v>
      </c>
      <c r="H4022" t="s" s="2">
        <v>19</v>
      </c>
      <c r="I4022" t="s" s="2">
        <v>15672</v>
      </c>
      <c r="J4022" t="s" s="2">
        <v>15673</v>
      </c>
      <c r="K4022" t="s" s="2">
        <v>22</v>
      </c>
      <c r="L4022" t="s" s="2">
        <v>22</v>
      </c>
      <c r="M4022" t="s" s="2">
        <v>22</v>
      </c>
    </row>
    <row r="4023" ht="25.0" customHeight="true">
      <c r="A4023" t="s" s="2">
        <v>13</v>
      </c>
      <c r="B4023" t="s" s="2">
        <f>HYPERLINK("http://ts.21cn.com/tousu/show/id/1369729","光大银行石家庄委托方态度恶劣骚扰无关人员")</f>
      </c>
      <c r="C4023" t="s" s="2">
        <v>15</v>
      </c>
      <c r="D4023" t="s" s="2">
        <v>16</v>
      </c>
      <c r="E4023" t="s" s="2">
        <v>17</v>
      </c>
      <c r="F4023" t="s" s="2">
        <f>HYPERLINK("http://ts.21cn.com/tousu/show/id/1369729","http://ts.21cn.com/tousu/show/id/1369729")</f>
      </c>
      <c r="G4023" t="s" s="2">
        <v>17</v>
      </c>
      <c r="H4023" t="s" s="2">
        <v>19</v>
      </c>
      <c r="I4023" t="s" s="2">
        <v>15676</v>
      </c>
      <c r="J4023" t="s" s="2">
        <v>15677</v>
      </c>
      <c r="K4023" t="s" s="2">
        <v>22</v>
      </c>
      <c r="L4023" t="s" s="2">
        <v>22</v>
      </c>
      <c r="M4023" t="s" s="2">
        <v>22</v>
      </c>
    </row>
    <row r="4024" ht="25.0" customHeight="true">
      <c r="A4024" t="s" s="2">
        <v>13</v>
      </c>
      <c r="B4024" t="s" s="2">
        <f>HYPERLINK("http://ts.21cn.com/tousu/show/id/1369727","平安普惠乱发信息")</f>
      </c>
      <c r="C4024" t="s" s="2">
        <v>15</v>
      </c>
      <c r="D4024" t="s" s="2">
        <v>16</v>
      </c>
      <c r="E4024" t="s" s="2">
        <v>17</v>
      </c>
      <c r="F4024" t="s" s="2">
        <f>HYPERLINK("http://ts.21cn.com/tousu/show/id/1369727","http://ts.21cn.com/tousu/show/id/1369727")</f>
      </c>
      <c r="G4024" t="s" s="2">
        <v>17</v>
      </c>
      <c r="H4024" t="s" s="2">
        <v>19</v>
      </c>
      <c r="I4024" t="s" s="2">
        <v>15680</v>
      </c>
      <c r="J4024" t="s" s="2">
        <v>15681</v>
      </c>
      <c r="K4024" t="s" s="2">
        <v>22</v>
      </c>
      <c r="L4024" t="s" s="2">
        <v>22</v>
      </c>
      <c r="M4024" t="s" s="2">
        <v>22</v>
      </c>
    </row>
    <row r="4025" ht="25.0" customHeight="true">
      <c r="A4025" t="s" s="2">
        <v>13</v>
      </c>
      <c r="B4025" t="s" s="2">
        <f>HYPERLINK("http://ts.21cn.com/tousu/show/id/1369726","恢复正常")</f>
      </c>
      <c r="C4025" t="s" s="2">
        <v>52</v>
      </c>
      <c r="D4025" t="s" s="2">
        <v>16</v>
      </c>
      <c r="E4025" t="s" s="2">
        <v>17</v>
      </c>
      <c r="F4025" t="s" s="2">
        <f>HYPERLINK("http://ts.21cn.com/tousu/show/id/1369726","http://ts.21cn.com/tousu/show/id/1369726")</f>
      </c>
      <c r="G4025" t="s" s="2">
        <v>17</v>
      </c>
      <c r="H4025" t="s" s="2">
        <v>19</v>
      </c>
      <c r="I4025" t="s" s="2">
        <v>15684</v>
      </c>
      <c r="J4025" t="s" s="2">
        <v>15685</v>
      </c>
      <c r="K4025" t="s" s="2">
        <v>22</v>
      </c>
      <c r="L4025" t="s" s="2">
        <v>22</v>
      </c>
      <c r="M4025" t="s" s="2">
        <v>22</v>
      </c>
    </row>
    <row r="4026" ht="25.0" customHeight="true">
      <c r="A4026" t="s" s="2">
        <v>13</v>
      </c>
      <c r="B4026" t="s" s="2">
        <f>HYPERLINK("http://ts.21cn.com/tousu/show/id/1369724","套路贷高利贷暴力催收")</f>
      </c>
      <c r="C4026" t="s" s="2">
        <v>15</v>
      </c>
      <c r="D4026" t="s" s="2">
        <v>16</v>
      </c>
      <c r="E4026" t="s" s="2">
        <v>17</v>
      </c>
      <c r="F4026" t="s" s="2">
        <f>HYPERLINK("http://ts.21cn.com/tousu/show/id/1369724","http://ts.21cn.com/tousu/show/id/1369724")</f>
      </c>
      <c r="G4026" t="s" s="2">
        <v>17</v>
      </c>
      <c r="H4026" t="s" s="2">
        <v>19</v>
      </c>
      <c r="I4026" t="s" s="2">
        <v>15688</v>
      </c>
      <c r="J4026" t="s" s="2">
        <v>15689</v>
      </c>
      <c r="K4026" t="s" s="2">
        <v>22</v>
      </c>
      <c r="L4026" t="s" s="2">
        <v>22</v>
      </c>
      <c r="M4026" t="s" s="2">
        <v>22</v>
      </c>
    </row>
    <row r="4027" ht="25.0" customHeight="true">
      <c r="A4027" t="s" s="2">
        <v>13</v>
      </c>
      <c r="B4027" t="s" s="2">
        <f>HYPERLINK("http://ts.21cn.com/tousu/show/id/1369723","你我贷高利贷暴力催收，恐吓威胁")</f>
      </c>
      <c r="C4027" t="s" s="2">
        <v>15</v>
      </c>
      <c r="D4027" t="s" s="2">
        <v>16</v>
      </c>
      <c r="E4027" t="s" s="2">
        <v>17</v>
      </c>
      <c r="F4027" t="s" s="2">
        <f>HYPERLINK("http://ts.21cn.com/tousu/show/id/1369723","http://ts.21cn.com/tousu/show/id/1369723")</f>
      </c>
      <c r="G4027" t="s" s="2">
        <v>17</v>
      </c>
      <c r="H4027" t="s" s="2">
        <v>19</v>
      </c>
      <c r="I4027" t="s" s="2">
        <v>15692</v>
      </c>
      <c r="J4027" t="s" s="2">
        <v>15693</v>
      </c>
      <c r="K4027" t="s" s="2">
        <v>22</v>
      </c>
      <c r="L4027" t="s" s="2">
        <v>22</v>
      </c>
      <c r="M4027" t="s" s="2">
        <v>22</v>
      </c>
    </row>
    <row r="4028" ht="25.0" customHeight="true">
      <c r="A4028" t="s" s="2">
        <v>13</v>
      </c>
      <c r="B4028" t="s" s="2">
        <f>HYPERLINK("http://ts.21cn.com/tousu/show/id/1369721","银盛通pos机业务员在我不知情况下扣我300押金而且拒绝退费")</f>
      </c>
      <c r="C4028" t="s" s="2">
        <v>15</v>
      </c>
      <c r="D4028" t="s" s="2">
        <v>16</v>
      </c>
      <c r="E4028" t="s" s="2">
        <v>17</v>
      </c>
      <c r="F4028" t="s" s="2">
        <f>HYPERLINK("http://ts.21cn.com/tousu/show/id/1369721","http://ts.21cn.com/tousu/show/id/1369721")</f>
      </c>
      <c r="G4028" t="s" s="2">
        <v>17</v>
      </c>
      <c r="H4028" t="s" s="2">
        <v>19</v>
      </c>
      <c r="I4028" t="s" s="2">
        <v>15696</v>
      </c>
      <c r="J4028" t="s" s="2">
        <v>15697</v>
      </c>
      <c r="K4028" t="s" s="2">
        <v>22</v>
      </c>
      <c r="L4028" t="s" s="2">
        <v>22</v>
      </c>
      <c r="M4028" t="s" s="2">
        <v>22</v>
      </c>
    </row>
    <row r="4029" ht="25.0" customHeight="true">
      <c r="A4029" t="s" s="2">
        <v>13</v>
      </c>
      <c r="B4029" t="s" s="2">
        <f>HYPERLINK("http://ts.21cn.com/tousu/show/id/1369720","高利贷，威胁恐吓，暴力催收")</f>
      </c>
      <c r="C4029" t="s" s="2">
        <v>15</v>
      </c>
      <c r="D4029" t="s" s="2">
        <v>16</v>
      </c>
      <c r="E4029" t="s" s="2">
        <v>17</v>
      </c>
      <c r="F4029" t="s" s="2">
        <f>HYPERLINK("http://ts.21cn.com/tousu/show/id/1369720","http://ts.21cn.com/tousu/show/id/1369720")</f>
      </c>
      <c r="G4029" t="s" s="2">
        <v>17</v>
      </c>
      <c r="H4029" t="s" s="2">
        <v>19</v>
      </c>
      <c r="I4029" t="s" s="2">
        <v>15700</v>
      </c>
      <c r="J4029" t="s" s="2">
        <v>15701</v>
      </c>
      <c r="K4029" t="s" s="2">
        <v>22</v>
      </c>
      <c r="L4029" t="s" s="2">
        <v>22</v>
      </c>
      <c r="M4029" t="s" s="2">
        <v>22</v>
      </c>
    </row>
    <row r="4030" ht="25.0" customHeight="true">
      <c r="A4030" t="s" s="2">
        <v>13</v>
      </c>
      <c r="B4030" t="s" s="2">
        <f>HYPERLINK("http://ts.21cn.com/tousu/show/id/1369719","举报套路贷恶意催收")</f>
      </c>
      <c r="C4030" t="s" s="2">
        <v>15</v>
      </c>
      <c r="D4030" t="s" s="2">
        <v>16</v>
      </c>
      <c r="E4030" t="s" s="2">
        <v>17</v>
      </c>
      <c r="F4030" t="s" s="2">
        <f>HYPERLINK("http://ts.21cn.com/tousu/show/id/1369719","http://ts.21cn.com/tousu/show/id/1369719")</f>
      </c>
      <c r="G4030" t="s" s="2">
        <v>17</v>
      </c>
      <c r="H4030" t="s" s="2">
        <v>19</v>
      </c>
      <c r="I4030" t="s" s="2">
        <v>15704</v>
      </c>
      <c r="J4030" t="s" s="2">
        <v>15705</v>
      </c>
      <c r="K4030" t="s" s="2">
        <v>22</v>
      </c>
      <c r="L4030" t="s" s="2">
        <v>22</v>
      </c>
      <c r="M4030" t="s" s="2">
        <v>22</v>
      </c>
    </row>
    <row r="4031" ht="25.0" customHeight="true">
      <c r="A4031" t="s" s="2">
        <v>13</v>
      </c>
      <c r="B4031" t="s" s="2">
        <f>HYPERLINK("http://ts.21cn.com/tousu/show/id/1369718","信用管家神马借协商减免逾期费")</f>
      </c>
      <c r="C4031" t="s" s="2">
        <v>52</v>
      </c>
      <c r="D4031" t="s" s="2">
        <v>16</v>
      </c>
      <c r="E4031" t="s" s="2">
        <v>17</v>
      </c>
      <c r="F4031" t="s" s="2">
        <f>HYPERLINK("http://ts.21cn.com/tousu/show/id/1369718","http://ts.21cn.com/tousu/show/id/1369718")</f>
      </c>
      <c r="G4031" t="s" s="2">
        <v>17</v>
      </c>
      <c r="H4031" t="s" s="2">
        <v>19</v>
      </c>
      <c r="I4031" t="s" s="2">
        <v>15708</v>
      </c>
      <c r="J4031" t="s" s="2">
        <v>15709</v>
      </c>
      <c r="K4031" t="s" s="2">
        <v>22</v>
      </c>
      <c r="L4031" t="s" s="2">
        <v>22</v>
      </c>
      <c r="M4031" t="s" s="2">
        <v>22</v>
      </c>
    </row>
    <row r="4032" ht="25.0" customHeight="true">
      <c r="A4032" t="s" s="2">
        <v>13</v>
      </c>
      <c r="B4032" t="s" s="2">
        <f>HYPERLINK("http://ts.21cn.com/tousu/show/id/1369657","中信银行信用卡")</f>
      </c>
      <c r="C4032" t="s" s="2">
        <v>15</v>
      </c>
      <c r="D4032" t="s" s="2">
        <v>16</v>
      </c>
      <c r="E4032" t="s" s="2">
        <v>17</v>
      </c>
      <c r="F4032" t="s" s="2">
        <f>HYPERLINK("http://ts.21cn.com/tousu/show/id/1369657","http://ts.21cn.com/tousu/show/id/1369657")</f>
      </c>
      <c r="G4032" t="s" s="2">
        <v>17</v>
      </c>
      <c r="H4032" t="s" s="2">
        <v>19</v>
      </c>
      <c r="I4032" t="s" s="2">
        <v>15711</v>
      </c>
      <c r="J4032" t="s" s="2">
        <v>15712</v>
      </c>
      <c r="K4032" t="s" s="2">
        <v>22</v>
      </c>
      <c r="L4032" t="s" s="2">
        <v>22</v>
      </c>
      <c r="M4032" t="s" s="2">
        <v>22</v>
      </c>
    </row>
    <row r="4033" ht="25.0" customHeight="true">
      <c r="A4033" t="s" s="2">
        <v>13</v>
      </c>
      <c r="B4033" t="s" s="2">
        <f>HYPERLINK("http://ts.21cn.com/tousu/show/id/1369716","强制消费者进行网上借贷，且很多网贷利息大于24%")</f>
      </c>
      <c r="C4033" t="s" s="2">
        <v>15</v>
      </c>
      <c r="D4033" t="s" s="2">
        <v>16</v>
      </c>
      <c r="E4033" t="s" s="2">
        <v>17</v>
      </c>
      <c r="F4033" t="s" s="2">
        <f>HYPERLINK("http://ts.21cn.com/tousu/show/id/1369716","http://ts.21cn.com/tousu/show/id/1369716")</f>
      </c>
      <c r="G4033" t="s" s="2">
        <v>17</v>
      </c>
      <c r="H4033" t="s" s="2">
        <v>19</v>
      </c>
      <c r="I4033" t="s" s="2">
        <v>15715</v>
      </c>
      <c r="J4033" t="s" s="2">
        <v>15716</v>
      </c>
      <c r="K4033" t="s" s="2">
        <v>22</v>
      </c>
      <c r="L4033" t="s" s="2">
        <v>22</v>
      </c>
      <c r="M4033" t="s" s="2">
        <v>22</v>
      </c>
    </row>
    <row r="4034" ht="25.0" customHeight="true">
      <c r="A4034" t="s" s="2">
        <v>13</v>
      </c>
      <c r="B4034" t="s" s="2">
        <f>HYPERLINK("http://ts.21cn.com/tousu/show/id/1369715","美团金融暴力催收")</f>
      </c>
      <c r="C4034" t="s" s="2">
        <v>15</v>
      </c>
      <c r="D4034" t="s" s="2">
        <v>16</v>
      </c>
      <c r="E4034" t="s" s="2">
        <v>17</v>
      </c>
      <c r="F4034" t="s" s="2">
        <f>HYPERLINK("http://ts.21cn.com/tousu/show/id/1369715","http://ts.21cn.com/tousu/show/id/1369715")</f>
      </c>
      <c r="G4034" t="s" s="2">
        <v>17</v>
      </c>
      <c r="H4034" t="s" s="2">
        <v>19</v>
      </c>
      <c r="I4034" t="s" s="2">
        <v>15718</v>
      </c>
      <c r="J4034" t="s" s="2">
        <v>15719</v>
      </c>
      <c r="K4034" t="s" s="2">
        <v>22</v>
      </c>
      <c r="L4034" t="s" s="2">
        <v>22</v>
      </c>
      <c r="M4034" t="s" s="2">
        <v>22</v>
      </c>
    </row>
    <row r="4035" ht="25.0" customHeight="true">
      <c r="A4035" t="s" s="2">
        <v>13</v>
      </c>
      <c r="B4035" t="s" s="2">
        <f>HYPERLINK("http://ts.21cn.com/tousu/show/id/1369714","骚扰家里面人")</f>
      </c>
      <c r="C4035" t="s" s="2">
        <v>52</v>
      </c>
      <c r="D4035" t="s" s="2">
        <v>16</v>
      </c>
      <c r="E4035" t="s" s="2">
        <v>17</v>
      </c>
      <c r="F4035" t="s" s="2">
        <f>HYPERLINK("http://ts.21cn.com/tousu/show/id/1369714","http://ts.21cn.com/tousu/show/id/1369714")</f>
      </c>
      <c r="G4035" t="s" s="2">
        <v>17</v>
      </c>
      <c r="H4035" t="s" s="2">
        <v>19</v>
      </c>
      <c r="I4035" t="s" s="2">
        <v>15722</v>
      </c>
      <c r="J4035" t="s" s="2">
        <v>15723</v>
      </c>
      <c r="K4035" t="s" s="2">
        <v>22</v>
      </c>
      <c r="L4035" t="s" s="2">
        <v>22</v>
      </c>
      <c r="M4035" t="s" s="2">
        <v>22</v>
      </c>
    </row>
    <row r="4036" ht="25.0" customHeight="true">
      <c r="A4036" t="s" s="2">
        <v>13</v>
      </c>
      <c r="B4036" t="s" s="2">
        <f>HYPERLINK("http://ts.21cn.com/tousu/show/id/1367690","中信银行")</f>
      </c>
      <c r="C4036" t="s" s="2">
        <v>15</v>
      </c>
      <c r="D4036" t="s" s="2">
        <v>16</v>
      </c>
      <c r="E4036" t="s" s="2">
        <v>17</v>
      </c>
      <c r="F4036" t="s" s="2">
        <f>HYPERLINK("http://ts.21cn.com/tousu/show/id/1367690","http://ts.21cn.com/tousu/show/id/1367690")</f>
      </c>
      <c r="G4036" t="s" s="2">
        <v>17</v>
      </c>
      <c r="H4036" t="s" s="2">
        <v>19</v>
      </c>
      <c r="I4036" t="s" s="2">
        <v>15726</v>
      </c>
      <c r="J4036" t="s" s="2">
        <v>15727</v>
      </c>
      <c r="K4036" t="s" s="2">
        <v>22</v>
      </c>
      <c r="L4036" t="s" s="2">
        <v>22</v>
      </c>
      <c r="M4036" t="s" s="2">
        <v>22</v>
      </c>
    </row>
    <row r="4037" ht="25.0" customHeight="true">
      <c r="A4037" t="s" s="2">
        <v>13</v>
      </c>
      <c r="B4037" t="s" s="2">
        <f>HYPERLINK("http://ts.21cn.com/tousu/show/id/1369713","额度不符")</f>
      </c>
      <c r="C4037" t="s" s="2">
        <v>15</v>
      </c>
      <c r="D4037" t="s" s="2">
        <v>16</v>
      </c>
      <c r="E4037" t="s" s="2">
        <v>17</v>
      </c>
      <c r="F4037" t="s" s="2">
        <f>HYPERLINK("http://ts.21cn.com/tousu/show/id/1369713","http://ts.21cn.com/tousu/show/id/1369713")</f>
      </c>
      <c r="G4037" t="s" s="2">
        <v>17</v>
      </c>
      <c r="H4037" t="s" s="2">
        <v>19</v>
      </c>
      <c r="I4037" t="s" s="2">
        <v>15730</v>
      </c>
      <c r="J4037" t="s" s="2">
        <v>15731</v>
      </c>
      <c r="K4037" t="s" s="2">
        <v>22</v>
      </c>
      <c r="L4037" t="s" s="2">
        <v>22</v>
      </c>
      <c r="M4037" t="s" s="2">
        <v>22</v>
      </c>
    </row>
    <row r="4038" ht="25.0" customHeight="true">
      <c r="A4038" t="s" s="2">
        <v>13</v>
      </c>
      <c r="B4038" t="s" s="2">
        <f>HYPERLINK("http://ts.21cn.com/tousu/show/id/1369712","招联金融催收真的厉害")</f>
      </c>
      <c r="C4038" t="s" s="2">
        <v>15</v>
      </c>
      <c r="D4038" t="s" s="2">
        <v>16</v>
      </c>
      <c r="E4038" t="s" s="2">
        <v>17</v>
      </c>
      <c r="F4038" t="s" s="2">
        <f>HYPERLINK("http://ts.21cn.com/tousu/show/id/1369712","http://ts.21cn.com/tousu/show/id/1369712")</f>
      </c>
      <c r="G4038" t="s" s="2">
        <v>17</v>
      </c>
      <c r="H4038" t="s" s="2">
        <v>19</v>
      </c>
      <c r="I4038" t="s" s="2">
        <v>15734</v>
      </c>
      <c r="J4038" t="s" s="2">
        <v>15735</v>
      </c>
      <c r="K4038" t="s" s="2">
        <v>22</v>
      </c>
      <c r="L4038" t="s" s="2">
        <v>22</v>
      </c>
      <c r="M4038" t="s" s="2">
        <v>22</v>
      </c>
    </row>
    <row r="4039" ht="25.0" customHeight="true">
      <c r="A4039" t="s" s="2">
        <v>13</v>
      </c>
      <c r="B4039" t="s" s="2">
        <f>HYPERLINK("http://ts.21cn.com/tousu/show/id/1369711","暴力催收骚扰")</f>
      </c>
      <c r="C4039" t="s" s="2">
        <v>15</v>
      </c>
      <c r="D4039" t="s" s="2">
        <v>16</v>
      </c>
      <c r="E4039" t="s" s="2">
        <v>17</v>
      </c>
      <c r="F4039" t="s" s="2">
        <f>HYPERLINK("http://ts.21cn.com/tousu/show/id/1369711","http://ts.21cn.com/tousu/show/id/1369711")</f>
      </c>
      <c r="G4039" t="s" s="2">
        <v>17</v>
      </c>
      <c r="H4039" t="s" s="2">
        <v>19</v>
      </c>
      <c r="I4039" t="s" s="2">
        <v>15738</v>
      </c>
      <c r="J4039" t="s" s="2">
        <v>15739</v>
      </c>
      <c r="K4039" t="s" s="2">
        <v>22</v>
      </c>
      <c r="L4039" t="s" s="2">
        <v>22</v>
      </c>
      <c r="M4039" t="s" s="2">
        <v>22</v>
      </c>
    </row>
    <row r="4040" ht="25.0" customHeight="true">
      <c r="A4040" t="s" s="2">
        <v>13</v>
      </c>
      <c r="B4040" t="s" s="2">
        <f>HYPERLINK("http://ts.21cn.com/tousu/show/id/1369710","宜人贷一天换3个不同催收过来骚扰")</f>
      </c>
      <c r="C4040" t="s" s="2">
        <v>15</v>
      </c>
      <c r="D4040" t="s" s="2">
        <v>16</v>
      </c>
      <c r="E4040" t="s" s="2">
        <v>17</v>
      </c>
      <c r="F4040" t="s" s="2">
        <f>HYPERLINK("http://ts.21cn.com/tousu/show/id/1369710","http://ts.21cn.com/tousu/show/id/1369710")</f>
      </c>
      <c r="G4040" t="s" s="2">
        <v>17</v>
      </c>
      <c r="H4040" t="s" s="2">
        <v>19</v>
      </c>
      <c r="I4040" t="s" s="2">
        <v>15742</v>
      </c>
      <c r="J4040" t="s" s="2">
        <v>15743</v>
      </c>
      <c r="K4040" t="s" s="2">
        <v>22</v>
      </c>
      <c r="L4040" t="s" s="2">
        <v>22</v>
      </c>
      <c r="M4040" t="s" s="2">
        <v>22</v>
      </c>
    </row>
    <row r="4041" ht="25.0" customHeight="true">
      <c r="A4041" t="s" s="2">
        <v>13</v>
      </c>
      <c r="B4041" t="s" s="2">
        <f>HYPERLINK("http://ts.21cn.com/tousu/show/id/1344950","平安普惠贷款隐瞒隐藏并强制收取高额保险费管理费投诉事宜")</f>
      </c>
      <c r="C4041" t="s" s="2">
        <v>15</v>
      </c>
      <c r="D4041" t="s" s="2">
        <v>16</v>
      </c>
      <c r="E4041" t="s" s="2">
        <v>17</v>
      </c>
      <c r="F4041" t="s" s="2">
        <f>HYPERLINK("http://ts.21cn.com/tousu/show/id/1344950","http://ts.21cn.com/tousu/show/id/1344950")</f>
      </c>
      <c r="G4041" t="s" s="2">
        <v>17</v>
      </c>
      <c r="H4041" t="s" s="2">
        <v>19</v>
      </c>
      <c r="I4041" t="s" s="2">
        <v>15745</v>
      </c>
      <c r="J4041" t="s" s="2">
        <v>15746</v>
      </c>
      <c r="K4041" t="s" s="2">
        <v>22</v>
      </c>
      <c r="L4041" t="s" s="2">
        <v>22</v>
      </c>
      <c r="M4041" t="s" s="2">
        <v>22</v>
      </c>
    </row>
    <row r="4042" ht="25.0" customHeight="true">
      <c r="A4042" t="s" s="2">
        <v>13</v>
      </c>
      <c r="B4042" t="s" s="2">
        <f>HYPERLINK("http://ts.21cn.com/tousu/show/id/1369708","暴击催收上门找我，我被吓到了")</f>
      </c>
      <c r="C4042" t="s" s="2">
        <v>15</v>
      </c>
      <c r="D4042" t="s" s="2">
        <v>16</v>
      </c>
      <c r="E4042" t="s" s="2">
        <v>17</v>
      </c>
      <c r="F4042" t="s" s="2">
        <f>HYPERLINK("http://ts.21cn.com/tousu/show/id/1369708","http://ts.21cn.com/tousu/show/id/1369708")</f>
      </c>
      <c r="G4042" t="s" s="2">
        <v>17</v>
      </c>
      <c r="H4042" t="s" s="2">
        <v>19</v>
      </c>
      <c r="I4042" t="s" s="2">
        <v>15749</v>
      </c>
      <c r="J4042" t="s" s="2">
        <v>15750</v>
      </c>
      <c r="K4042" t="s" s="2">
        <v>22</v>
      </c>
      <c r="L4042" t="s" s="2">
        <v>22</v>
      </c>
      <c r="M4042" t="s" s="2">
        <v>22</v>
      </c>
    </row>
    <row r="4043" ht="25.0" customHeight="true">
      <c r="A4043" t="s" s="2">
        <v>13</v>
      </c>
      <c r="B4043" t="s" s="2">
        <f>HYPERLINK("http://ts.21cn.com/tousu/show/id/1369705","及贷高利贷！暴力催收，不停骚扰亲戚朋友，威胁辱骂本人")</f>
      </c>
      <c r="C4043" t="s" s="2">
        <v>15</v>
      </c>
      <c r="D4043" t="s" s="2">
        <v>16</v>
      </c>
      <c r="E4043" t="s" s="2">
        <v>17</v>
      </c>
      <c r="F4043" t="s" s="2">
        <f>HYPERLINK("http://ts.21cn.com/tousu/show/id/1369705","http://ts.21cn.com/tousu/show/id/1369705")</f>
      </c>
      <c r="G4043" t="s" s="2">
        <v>17</v>
      </c>
      <c r="H4043" t="s" s="2">
        <v>19</v>
      </c>
      <c r="I4043" t="s" s="2">
        <v>15753</v>
      </c>
      <c r="J4043" t="s" s="2">
        <v>15754</v>
      </c>
      <c r="K4043" t="s" s="2">
        <v>22</v>
      </c>
      <c r="L4043" t="s" s="2">
        <v>22</v>
      </c>
      <c r="M4043" t="s" s="2">
        <v>22</v>
      </c>
    </row>
    <row r="4044" ht="25.0" customHeight="true">
      <c r="A4044" t="s" s="2">
        <v>13</v>
      </c>
      <c r="B4044" t="s" s="2">
        <f>HYPERLINK("http://ts.21cn.com/tousu/show/id/1369704","冒充律所乱发违规函件")</f>
      </c>
      <c r="C4044" t="s" s="2">
        <v>15</v>
      </c>
      <c r="D4044" t="s" s="2">
        <v>16</v>
      </c>
      <c r="E4044" t="s" s="2">
        <v>17</v>
      </c>
      <c r="F4044" t="s" s="2">
        <f>HYPERLINK("http://ts.21cn.com/tousu/show/id/1369704","http://ts.21cn.com/tousu/show/id/1369704")</f>
      </c>
      <c r="G4044" t="s" s="2">
        <v>17</v>
      </c>
      <c r="H4044" t="s" s="2">
        <v>19</v>
      </c>
      <c r="I4044" t="s" s="2">
        <v>15757</v>
      </c>
      <c r="J4044" t="s" s="2">
        <v>15758</v>
      </c>
      <c r="K4044" t="s" s="2">
        <v>22</v>
      </c>
      <c r="L4044" t="s" s="2">
        <v>22</v>
      </c>
      <c r="M4044" t="s" s="2">
        <v>22</v>
      </c>
    </row>
    <row r="4045" ht="25.0" customHeight="true">
      <c r="A4045" t="s" s="2">
        <v>13</v>
      </c>
      <c r="B4045" t="s" s="2">
        <f>HYPERLINK("http://ts.21cn.com/tousu/show/id/1369703","铜小发催收频繁骚扰恐吓")</f>
      </c>
      <c r="C4045" t="s" s="2">
        <v>15</v>
      </c>
      <c r="D4045" t="s" s="2">
        <v>16</v>
      </c>
      <c r="E4045" t="s" s="2">
        <v>17</v>
      </c>
      <c r="F4045" t="s" s="2">
        <f>HYPERLINK("http://ts.21cn.com/tousu/show/id/1369703","http://ts.21cn.com/tousu/show/id/1369703")</f>
      </c>
      <c r="G4045" t="s" s="2">
        <v>17</v>
      </c>
      <c r="H4045" t="s" s="2">
        <v>19</v>
      </c>
      <c r="I4045" t="s" s="2">
        <v>15761</v>
      </c>
      <c r="J4045" t="s" s="2">
        <v>15762</v>
      </c>
      <c r="K4045" t="s" s="2">
        <v>22</v>
      </c>
      <c r="L4045" t="s" s="2">
        <v>22</v>
      </c>
      <c r="M4045" t="s" s="2">
        <v>22</v>
      </c>
    </row>
    <row r="4046" ht="25.0" customHeight="true">
      <c r="A4046" t="s" s="2">
        <v>13</v>
      </c>
      <c r="B4046" t="s" s="2">
        <f>HYPERLINK("http://ts.21cn.com/tousu/show/id/1369702","私自爆通讯录")</f>
      </c>
      <c r="C4046" t="s" s="2">
        <v>15</v>
      </c>
      <c r="D4046" t="s" s="2">
        <v>16</v>
      </c>
      <c r="E4046" t="s" s="2">
        <v>17</v>
      </c>
      <c r="F4046" t="s" s="2">
        <f>HYPERLINK("http://ts.21cn.com/tousu/show/id/1369702","http://ts.21cn.com/tousu/show/id/1369702")</f>
      </c>
      <c r="G4046" t="s" s="2">
        <v>17</v>
      </c>
      <c r="H4046" t="s" s="2">
        <v>19</v>
      </c>
      <c r="I4046" t="s" s="2">
        <v>15761</v>
      </c>
      <c r="J4046" t="s" s="2">
        <v>15765</v>
      </c>
      <c r="K4046" t="s" s="2">
        <v>22</v>
      </c>
      <c r="L4046" t="s" s="2">
        <v>22</v>
      </c>
      <c r="M4046" t="s" s="2">
        <v>22</v>
      </c>
    </row>
    <row r="4047" ht="25.0" customHeight="true">
      <c r="A4047" t="s" s="2">
        <v>13</v>
      </c>
      <c r="B4047" t="s" s="2">
        <f>HYPERLINK("http://ts.21cn.com/tousu/show/id/1369700","苏宁易购质量问题不准退货")</f>
      </c>
      <c r="C4047" t="s" s="2">
        <v>52</v>
      </c>
      <c r="D4047" t="s" s="2">
        <v>16</v>
      </c>
      <c r="E4047" t="s" s="2">
        <v>17</v>
      </c>
      <c r="F4047" t="s" s="2">
        <f>HYPERLINK("http://ts.21cn.com/tousu/show/id/1369700","http://ts.21cn.com/tousu/show/id/1369700")</f>
      </c>
      <c r="G4047" t="s" s="2">
        <v>17</v>
      </c>
      <c r="H4047" t="s" s="2">
        <v>19</v>
      </c>
      <c r="I4047" t="s" s="2">
        <v>15768</v>
      </c>
      <c r="J4047" t="s" s="2">
        <v>15769</v>
      </c>
      <c r="K4047" t="s" s="2">
        <v>22</v>
      </c>
      <c r="L4047" t="s" s="2">
        <v>22</v>
      </c>
      <c r="M4047" t="s" s="2">
        <v>22</v>
      </c>
    </row>
    <row r="4048" ht="25.0" customHeight="true">
      <c r="A4048" t="s" s="2">
        <v>13</v>
      </c>
      <c r="B4048" t="s" s="2">
        <f>HYPERLINK("http://ts.21cn.com/tousu/show/id/1369681","宜人贷雇黑社会上门恐吓家人")</f>
      </c>
      <c r="C4048" t="s" s="2">
        <v>15</v>
      </c>
      <c r="D4048" t="s" s="2">
        <v>16</v>
      </c>
      <c r="E4048" t="s" s="2">
        <v>17</v>
      </c>
      <c r="F4048" t="s" s="2">
        <f>HYPERLINK("http://ts.21cn.com/tousu/show/id/1369681","http://ts.21cn.com/tousu/show/id/1369681")</f>
      </c>
      <c r="G4048" t="s" s="2">
        <v>17</v>
      </c>
      <c r="H4048" t="s" s="2">
        <v>19</v>
      </c>
      <c r="I4048" t="s" s="2">
        <v>15772</v>
      </c>
      <c r="J4048" t="s" s="2">
        <v>15773</v>
      </c>
      <c r="K4048" t="s" s="2">
        <v>22</v>
      </c>
      <c r="L4048" t="s" s="2">
        <v>22</v>
      </c>
      <c r="M4048" t="s" s="2">
        <v>22</v>
      </c>
    </row>
    <row r="4049" ht="25.0" customHeight="true">
      <c r="A4049" t="s" s="2">
        <v>13</v>
      </c>
      <c r="B4049" t="s" s="2">
        <f>HYPERLINK("http://ts.21cn.com/tousu/show/id/1369696","微信平台为了赚钱恶意承包给第三方出问题就冻结资金")</f>
      </c>
      <c r="C4049" t="s" s="2">
        <v>15</v>
      </c>
      <c r="D4049" t="s" s="2">
        <v>16</v>
      </c>
      <c r="E4049" t="s" s="2">
        <v>17</v>
      </c>
      <c r="F4049" t="s" s="2">
        <f>HYPERLINK("http://ts.21cn.com/tousu/show/id/1369696","http://ts.21cn.com/tousu/show/id/1369696")</f>
      </c>
      <c r="G4049" t="s" s="2">
        <v>17</v>
      </c>
      <c r="H4049" t="s" s="2">
        <v>19</v>
      </c>
      <c r="I4049" t="s" s="2">
        <v>15776</v>
      </c>
      <c r="J4049" t="s" s="2">
        <v>15777</v>
      </c>
      <c r="K4049" t="s" s="2">
        <v>22</v>
      </c>
      <c r="L4049" t="s" s="2">
        <v>22</v>
      </c>
      <c r="M4049" t="s" s="2">
        <v>22</v>
      </c>
    </row>
    <row r="4050" ht="25.0" customHeight="true">
      <c r="A4050" t="s" s="2">
        <v>13</v>
      </c>
      <c r="B4050" t="s" s="2">
        <f>HYPERLINK("http://ts.21cn.com/tousu/show/id/1369695","你我贷还款问题处理")</f>
      </c>
      <c r="C4050" t="s" s="2">
        <v>52</v>
      </c>
      <c r="D4050" t="s" s="2">
        <v>16</v>
      </c>
      <c r="E4050" t="s" s="2">
        <v>17</v>
      </c>
      <c r="F4050" t="s" s="2">
        <f>HYPERLINK("http://ts.21cn.com/tousu/show/id/1369695","http://ts.21cn.com/tousu/show/id/1369695")</f>
      </c>
      <c r="G4050" t="s" s="2">
        <v>17</v>
      </c>
      <c r="H4050" t="s" s="2">
        <v>19</v>
      </c>
      <c r="I4050" t="s" s="2">
        <v>15780</v>
      </c>
      <c r="J4050" t="s" s="2">
        <v>15781</v>
      </c>
      <c r="K4050" t="s" s="2">
        <v>22</v>
      </c>
      <c r="L4050" t="s" s="2">
        <v>22</v>
      </c>
      <c r="M4050" t="s" s="2">
        <v>22</v>
      </c>
    </row>
    <row r="4051" ht="25.0" customHeight="true">
      <c r="A4051" t="s" s="2">
        <v>13</v>
      </c>
      <c r="B4051" t="s" s="2">
        <f>HYPERLINK("http://ts.21cn.com/tousu/show/id/1369693","钱站高额的服务费，砍头息")</f>
      </c>
      <c r="C4051" t="s" s="2">
        <v>15</v>
      </c>
      <c r="D4051" t="s" s="2">
        <v>16</v>
      </c>
      <c r="E4051" t="s" s="2">
        <v>17</v>
      </c>
      <c r="F4051" t="s" s="2">
        <f>HYPERLINK("http://ts.21cn.com/tousu/show/id/1369693","http://ts.21cn.com/tousu/show/id/1369693")</f>
      </c>
      <c r="G4051" t="s" s="2">
        <v>17</v>
      </c>
      <c r="H4051" t="s" s="2">
        <v>19</v>
      </c>
      <c r="I4051" t="s" s="2">
        <v>15784</v>
      </c>
      <c r="J4051" t="s" s="2">
        <v>15785</v>
      </c>
      <c r="K4051" t="s" s="2">
        <v>22</v>
      </c>
      <c r="L4051" t="s" s="2">
        <v>22</v>
      </c>
      <c r="M4051" t="s" s="2">
        <v>22</v>
      </c>
    </row>
    <row r="4052" ht="25.0" customHeight="true">
      <c r="A4052" t="s" s="2">
        <v>13</v>
      </c>
      <c r="B4052" t="s" s="2">
        <f>HYPERLINK("http://ts.21cn.com/tousu/show/id/1369692","快闪卡贷暴力催收，私下添加亲朋好友的微信告诉他们的欠款问题")</f>
      </c>
      <c r="C4052" t="s" s="2">
        <v>15</v>
      </c>
      <c r="D4052" t="s" s="2">
        <v>16</v>
      </c>
      <c r="E4052" t="s" s="2">
        <v>17</v>
      </c>
      <c r="F4052" t="s" s="2">
        <f>HYPERLINK("http://ts.21cn.com/tousu/show/id/1369692","http://ts.21cn.com/tousu/show/id/1369692")</f>
      </c>
      <c r="G4052" t="s" s="2">
        <v>17</v>
      </c>
      <c r="H4052" t="s" s="2">
        <v>19</v>
      </c>
      <c r="I4052" t="s" s="2">
        <v>15788</v>
      </c>
      <c r="J4052" t="s" s="2">
        <v>15789</v>
      </c>
      <c r="K4052" t="s" s="2">
        <v>22</v>
      </c>
      <c r="L4052" t="s" s="2">
        <v>22</v>
      </c>
      <c r="M4052" t="s" s="2">
        <v>22</v>
      </c>
    </row>
    <row r="4053" ht="25.0" customHeight="true">
      <c r="A4053" t="s" s="2">
        <v>13</v>
      </c>
      <c r="B4053" t="s" s="2">
        <f>HYPERLINK("http://ts.21cn.com/tousu/show/id/1369691","钱包易贷黑心网贷")</f>
      </c>
      <c r="C4053" t="s" s="2">
        <v>15</v>
      </c>
      <c r="D4053" t="s" s="2">
        <v>16</v>
      </c>
      <c r="E4053" t="s" s="2">
        <v>17</v>
      </c>
      <c r="F4053" t="s" s="2">
        <f>HYPERLINK("http://ts.21cn.com/tousu/show/id/1369691","http://ts.21cn.com/tousu/show/id/1369691")</f>
      </c>
      <c r="G4053" t="s" s="2">
        <v>17</v>
      </c>
      <c r="H4053" t="s" s="2">
        <v>19</v>
      </c>
      <c r="I4053" t="s" s="2">
        <v>15792</v>
      </c>
      <c r="J4053" t="s" s="2">
        <v>15793</v>
      </c>
      <c r="K4053" t="s" s="2">
        <v>22</v>
      </c>
      <c r="L4053" t="s" s="2">
        <v>22</v>
      </c>
      <c r="M4053" t="s" s="2">
        <v>22</v>
      </c>
    </row>
    <row r="4054" ht="25.0" customHeight="true">
      <c r="A4054" t="s" s="2">
        <v>13</v>
      </c>
      <c r="B4054" t="s" s="2">
        <f>HYPERLINK("http://ts.21cn.com/tousu/show/id/1369690","东方银谷高利贷暴力催收")</f>
      </c>
      <c r="C4054" t="s" s="2">
        <v>15</v>
      </c>
      <c r="D4054" t="s" s="2">
        <v>16</v>
      </c>
      <c r="E4054" t="s" s="2">
        <v>17</v>
      </c>
      <c r="F4054" t="s" s="2">
        <f>HYPERLINK("http://ts.21cn.com/tousu/show/id/1369690","http://ts.21cn.com/tousu/show/id/1369690")</f>
      </c>
      <c r="G4054" t="s" s="2">
        <v>17</v>
      </c>
      <c r="H4054" t="s" s="2">
        <v>19</v>
      </c>
      <c r="I4054" t="s" s="2">
        <v>15796</v>
      </c>
      <c r="J4054" t="s" s="2">
        <v>15797</v>
      </c>
      <c r="K4054" t="s" s="2">
        <v>22</v>
      </c>
      <c r="L4054" t="s" s="2">
        <v>22</v>
      </c>
      <c r="M4054" t="s" s="2">
        <v>22</v>
      </c>
    </row>
    <row r="4055" ht="25.0" customHeight="true">
      <c r="A4055" t="s" s="2">
        <v>13</v>
      </c>
      <c r="B4055" t="s" s="2">
        <f>HYPERLINK("http://ts.21cn.com/tousu/show/id/1369688","你我贷暴力催收侮辱恐吓诽谤骚扰")</f>
      </c>
      <c r="C4055" t="s" s="2">
        <v>15</v>
      </c>
      <c r="D4055" t="s" s="2">
        <v>16</v>
      </c>
      <c r="E4055" t="s" s="2">
        <v>17</v>
      </c>
      <c r="F4055" t="s" s="2">
        <f>HYPERLINK("http://ts.21cn.com/tousu/show/id/1369688","http://ts.21cn.com/tousu/show/id/1369688")</f>
      </c>
      <c r="G4055" t="s" s="2">
        <v>17</v>
      </c>
      <c r="H4055" t="s" s="2">
        <v>19</v>
      </c>
      <c r="I4055" t="s" s="2">
        <v>15800</v>
      </c>
      <c r="J4055" t="s" s="2">
        <v>15801</v>
      </c>
      <c r="K4055" t="s" s="2">
        <v>22</v>
      </c>
      <c r="L4055" t="s" s="2">
        <v>22</v>
      </c>
      <c r="M4055" t="s" s="2">
        <v>22</v>
      </c>
    </row>
    <row r="4056" ht="25.0" customHeight="true">
      <c r="A4056" t="s" s="2">
        <v>13</v>
      </c>
      <c r="B4056" t="s" s="2">
        <f>HYPERLINK("http://ts.21cn.com/tousu/show/id/1369689","高利贷，利息高，提前还款需要还清12个月利息")</f>
      </c>
      <c r="C4056" t="s" s="2">
        <v>15</v>
      </c>
      <c r="D4056" t="s" s="2">
        <v>16</v>
      </c>
      <c r="E4056" t="s" s="2">
        <v>17</v>
      </c>
      <c r="F4056" t="s" s="2">
        <f>HYPERLINK("http://ts.21cn.com/tousu/show/id/1369689","http://ts.21cn.com/tousu/show/id/1369689")</f>
      </c>
      <c r="G4056" t="s" s="2">
        <v>17</v>
      </c>
      <c r="H4056" t="s" s="2">
        <v>19</v>
      </c>
      <c r="I4056" t="s" s="2">
        <v>15804</v>
      </c>
      <c r="J4056" t="s" s="2">
        <v>15805</v>
      </c>
      <c r="K4056" t="s" s="2">
        <v>22</v>
      </c>
      <c r="L4056" t="s" s="2">
        <v>22</v>
      </c>
      <c r="M4056" t="s" s="2">
        <v>22</v>
      </c>
    </row>
    <row r="4057" ht="25.0" customHeight="true">
      <c r="A4057" t="s" s="2">
        <v>13</v>
      </c>
      <c r="B4057" t="s" s="2">
        <f>HYPERLINK("http://ts.21cn.com/tousu/show/id/1369687","闪银收取砍头息")</f>
      </c>
      <c r="C4057" t="s" s="2">
        <v>52</v>
      </c>
      <c r="D4057" t="s" s="2">
        <v>16</v>
      </c>
      <c r="E4057" t="s" s="2">
        <v>17</v>
      </c>
      <c r="F4057" t="s" s="2">
        <f>HYPERLINK("http://ts.21cn.com/tousu/show/id/1369687","http://ts.21cn.com/tousu/show/id/1369687")</f>
      </c>
      <c r="G4057" t="s" s="2">
        <v>17</v>
      </c>
      <c r="H4057" t="s" s="2">
        <v>19</v>
      </c>
      <c r="I4057" t="s" s="2">
        <v>15808</v>
      </c>
      <c r="J4057" t="s" s="2">
        <v>15809</v>
      </c>
      <c r="K4057" t="s" s="2">
        <v>22</v>
      </c>
      <c r="L4057" t="s" s="2">
        <v>22</v>
      </c>
      <c r="M4057" t="s" s="2">
        <v>22</v>
      </c>
    </row>
    <row r="4058" ht="25.0" customHeight="true">
      <c r="A4058" t="s" s="2">
        <v>13</v>
      </c>
      <c r="B4058" t="s" s="2">
        <f>HYPERLINK("http://ts.21cn.com/tousu/show/id/1369686","小象优品催收频繁，骚扰家人")</f>
      </c>
      <c r="C4058" t="s" s="2">
        <v>15</v>
      </c>
      <c r="D4058" t="s" s="2">
        <v>16</v>
      </c>
      <c r="E4058" t="s" s="2">
        <v>17</v>
      </c>
      <c r="F4058" t="s" s="2">
        <f>HYPERLINK("http://ts.21cn.com/tousu/show/id/1369686","http://ts.21cn.com/tousu/show/id/1369686")</f>
      </c>
      <c r="G4058" t="s" s="2">
        <v>17</v>
      </c>
      <c r="H4058" t="s" s="2">
        <v>19</v>
      </c>
      <c r="I4058" t="s" s="2">
        <v>15812</v>
      </c>
      <c r="J4058" t="s" s="2">
        <v>15813</v>
      </c>
      <c r="K4058" t="s" s="2">
        <v>22</v>
      </c>
      <c r="L4058" t="s" s="2">
        <v>22</v>
      </c>
      <c r="M4058" t="s" s="2">
        <v>22</v>
      </c>
    </row>
    <row r="4059" ht="25.0" customHeight="true">
      <c r="A4059" t="s" s="2">
        <v>13</v>
      </c>
      <c r="B4059" t="s" s="2">
        <f>HYPERLINK("http://ts.21cn.com/tousu/show/id/1369685","美约恶意扣款")</f>
      </c>
      <c r="C4059" t="s" s="2">
        <v>15</v>
      </c>
      <c r="D4059" t="s" s="2">
        <v>16</v>
      </c>
      <c r="E4059" t="s" s="2">
        <v>17</v>
      </c>
      <c r="F4059" t="s" s="2">
        <f>HYPERLINK("http://ts.21cn.com/tousu/show/id/1369685","http://ts.21cn.com/tousu/show/id/1369685")</f>
      </c>
      <c r="G4059" t="s" s="2">
        <v>17</v>
      </c>
      <c r="H4059" t="s" s="2">
        <v>19</v>
      </c>
      <c r="I4059" t="s" s="2">
        <v>15816</v>
      </c>
      <c r="J4059" t="s" s="2">
        <v>15817</v>
      </c>
      <c r="K4059" t="s" s="2">
        <v>22</v>
      </c>
      <c r="L4059" t="s" s="2">
        <v>22</v>
      </c>
      <c r="M4059" t="s" s="2">
        <v>22</v>
      </c>
    </row>
    <row r="4060" ht="25.0" customHeight="true">
      <c r="A4060" t="s" s="2">
        <v>13</v>
      </c>
      <c r="B4060" t="s" s="2">
        <f>HYPERLINK("http://ts.21cn.com/tousu/show/id/1369684","威胁我爆通讯录")</f>
      </c>
      <c r="C4060" t="s" s="2">
        <v>15</v>
      </c>
      <c r="D4060" t="s" s="2">
        <v>16</v>
      </c>
      <c r="E4060" t="s" s="2">
        <v>17</v>
      </c>
      <c r="F4060" t="s" s="2">
        <f>HYPERLINK("http://ts.21cn.com/tousu/show/id/1369684","http://ts.21cn.com/tousu/show/id/1369684")</f>
      </c>
      <c r="G4060" t="s" s="2">
        <v>17</v>
      </c>
      <c r="H4060" t="s" s="2">
        <v>19</v>
      </c>
      <c r="I4060" t="s" s="2">
        <v>15820</v>
      </c>
      <c r="J4060" t="s" s="2">
        <v>15821</v>
      </c>
      <c r="K4060" t="s" s="2">
        <v>22</v>
      </c>
      <c r="L4060" t="s" s="2">
        <v>22</v>
      </c>
      <c r="M4060" t="s" s="2">
        <v>22</v>
      </c>
    </row>
    <row r="4061" ht="25.0" customHeight="true">
      <c r="A4061" t="s" s="2">
        <v>13</v>
      </c>
      <c r="B4061" t="s" s="2">
        <f>HYPERLINK("http://ts.21cn.com/tousu/show/id/1369682","你我贷高利贷")</f>
      </c>
      <c r="C4061" t="s" s="2">
        <v>15</v>
      </c>
      <c r="D4061" t="s" s="2">
        <v>16</v>
      </c>
      <c r="E4061" t="s" s="2">
        <v>17</v>
      </c>
      <c r="F4061" t="s" s="2">
        <f>HYPERLINK("http://ts.21cn.com/tousu/show/id/1369682","http://ts.21cn.com/tousu/show/id/1369682")</f>
      </c>
      <c r="G4061" t="s" s="2">
        <v>17</v>
      </c>
      <c r="H4061" t="s" s="2">
        <v>19</v>
      </c>
      <c r="I4061" t="s" s="2">
        <v>15823</v>
      </c>
      <c r="J4061" t="s" s="2">
        <v>15824</v>
      </c>
      <c r="K4061" t="s" s="2">
        <v>22</v>
      </c>
      <c r="L4061" t="s" s="2">
        <v>22</v>
      </c>
      <c r="M4061" t="s" s="2">
        <v>22</v>
      </c>
    </row>
    <row r="4062" ht="25.0" customHeight="true">
      <c r="A4062" t="s" s="2">
        <v>13</v>
      </c>
      <c r="B4062" t="s" s="2">
        <f>HYPERLINK("http://ts.21cn.com/tousu/show/id/1369680","兴业银行暴力催收，恐吓，骚扰，上门")</f>
      </c>
      <c r="C4062" t="s" s="2">
        <v>15</v>
      </c>
      <c r="D4062" t="s" s="2">
        <v>16</v>
      </c>
      <c r="E4062" t="s" s="2">
        <v>17</v>
      </c>
      <c r="F4062" t="s" s="2">
        <f>HYPERLINK("http://ts.21cn.com/tousu/show/id/1369680","http://ts.21cn.com/tousu/show/id/1369680")</f>
      </c>
      <c r="G4062" t="s" s="2">
        <v>17</v>
      </c>
      <c r="H4062" t="s" s="2">
        <v>19</v>
      </c>
      <c r="I4062" t="s" s="2">
        <v>15827</v>
      </c>
      <c r="J4062" t="s" s="2">
        <v>15828</v>
      </c>
      <c r="K4062" t="s" s="2">
        <v>22</v>
      </c>
      <c r="L4062" t="s" s="2">
        <v>22</v>
      </c>
      <c r="M4062" t="s" s="2">
        <v>22</v>
      </c>
    </row>
    <row r="4063" ht="25.0" customHeight="true">
      <c r="A4063" t="s" s="2">
        <v>13</v>
      </c>
      <c r="B4063" t="s" s="2">
        <f>HYPERLINK("http://ts.21cn.com/tousu/show/id/1369679","钱站阴阳合同，没到账不给取消放款")</f>
      </c>
      <c r="C4063" t="s" s="2">
        <v>15</v>
      </c>
      <c r="D4063" t="s" s="2">
        <v>16</v>
      </c>
      <c r="E4063" t="s" s="2">
        <v>17</v>
      </c>
      <c r="F4063" t="s" s="2">
        <f>HYPERLINK("http://ts.21cn.com/tousu/show/id/1369679","http://ts.21cn.com/tousu/show/id/1369679")</f>
      </c>
      <c r="G4063" t="s" s="2">
        <v>17</v>
      </c>
      <c r="H4063" t="s" s="2">
        <v>19</v>
      </c>
      <c r="I4063" t="s" s="2">
        <v>15831</v>
      </c>
      <c r="J4063" t="s" s="2">
        <v>15832</v>
      </c>
      <c r="K4063" t="s" s="2">
        <v>22</v>
      </c>
      <c r="L4063" t="s" s="2">
        <v>22</v>
      </c>
      <c r="M4063" t="s" s="2">
        <v>22</v>
      </c>
    </row>
    <row r="4064" ht="25.0" customHeight="true">
      <c r="A4064" t="s" s="2">
        <v>13</v>
      </c>
      <c r="B4064" t="s" s="2">
        <f>HYPERLINK("http://ts.21cn.com/tousu/show/id/1369678","暴力催收")</f>
      </c>
      <c r="C4064" t="s" s="2">
        <v>15</v>
      </c>
      <c r="D4064" t="s" s="2">
        <v>16</v>
      </c>
      <c r="E4064" t="s" s="2">
        <v>17</v>
      </c>
      <c r="F4064" t="s" s="2">
        <f>HYPERLINK("http://ts.21cn.com/tousu/show/id/1369678","http://ts.21cn.com/tousu/show/id/1369678")</f>
      </c>
      <c r="G4064" t="s" s="2">
        <v>17</v>
      </c>
      <c r="H4064" t="s" s="2">
        <v>19</v>
      </c>
      <c r="I4064" t="s" s="2">
        <v>15834</v>
      </c>
      <c r="J4064" t="s" s="2">
        <v>15835</v>
      </c>
      <c r="K4064" t="s" s="2">
        <v>22</v>
      </c>
      <c r="L4064" t="s" s="2">
        <v>22</v>
      </c>
      <c r="M4064" t="s" s="2">
        <v>22</v>
      </c>
    </row>
    <row r="4065" ht="25.0" customHeight="true">
      <c r="A4065" t="s" s="2">
        <v>13</v>
      </c>
      <c r="B4065" t="s" s="2">
        <f>HYPERLINK("http://ts.21cn.com/tousu/show/id/1369677","提前联系三方爆通讯录收取高额砍头息")</f>
      </c>
      <c r="C4065" t="s" s="2">
        <v>15</v>
      </c>
      <c r="D4065" t="s" s="2">
        <v>16</v>
      </c>
      <c r="E4065" t="s" s="2">
        <v>17</v>
      </c>
      <c r="F4065" t="s" s="2">
        <f>HYPERLINK("http://ts.21cn.com/tousu/show/id/1369677","http://ts.21cn.com/tousu/show/id/1369677")</f>
      </c>
      <c r="G4065" t="s" s="2">
        <v>17</v>
      </c>
      <c r="H4065" t="s" s="2">
        <v>19</v>
      </c>
      <c r="I4065" t="s" s="2">
        <v>15838</v>
      </c>
      <c r="J4065" t="s" s="2">
        <v>15839</v>
      </c>
      <c r="K4065" t="s" s="2">
        <v>22</v>
      </c>
      <c r="L4065" t="s" s="2">
        <v>22</v>
      </c>
      <c r="M4065" t="s" s="2">
        <v>22</v>
      </c>
    </row>
    <row r="4066" ht="25.0" customHeight="true">
      <c r="A4066" t="s" s="2">
        <v>13</v>
      </c>
      <c r="B4066" t="s" s="2">
        <f>HYPERLINK("http://ts.21cn.com/tousu/show/id/1369674","众安保险在投保人不之情的情况下捆绑销售保险")</f>
      </c>
      <c r="C4066" t="s" s="2">
        <v>15</v>
      </c>
      <c r="D4066" t="s" s="2">
        <v>16</v>
      </c>
      <c r="E4066" t="s" s="2">
        <v>17</v>
      </c>
      <c r="F4066" t="s" s="2">
        <f>HYPERLINK("http://ts.21cn.com/tousu/show/id/1369674","http://ts.21cn.com/tousu/show/id/1369674")</f>
      </c>
      <c r="G4066" t="s" s="2">
        <v>17</v>
      </c>
      <c r="H4066" t="s" s="2">
        <v>19</v>
      </c>
      <c r="I4066" t="s" s="2">
        <v>15842</v>
      </c>
      <c r="J4066" t="s" s="2">
        <v>15843</v>
      </c>
      <c r="K4066" t="s" s="2">
        <v>22</v>
      </c>
      <c r="L4066" t="s" s="2">
        <v>22</v>
      </c>
      <c r="M4066" t="s" s="2">
        <v>22</v>
      </c>
    </row>
    <row r="4067" ht="25.0" customHeight="true">
      <c r="A4067" t="s" s="2">
        <v>13</v>
      </c>
      <c r="B4067" t="s" s="2">
        <f>HYPERLINK("http://ts.21cn.com/tousu/show/id/1369671","拼多多为违规网站提供充值渠道")</f>
      </c>
      <c r="C4067" t="s" s="2">
        <v>15</v>
      </c>
      <c r="D4067" t="s" s="2">
        <v>16</v>
      </c>
      <c r="E4067" t="s" s="2">
        <v>17</v>
      </c>
      <c r="F4067" t="s" s="2">
        <f>HYPERLINK("http://ts.21cn.com/tousu/show/id/1369671","http://ts.21cn.com/tousu/show/id/1369671")</f>
      </c>
      <c r="G4067" t="s" s="2">
        <v>17</v>
      </c>
      <c r="H4067" t="s" s="2">
        <v>19</v>
      </c>
      <c r="I4067" t="s" s="2">
        <v>15846</v>
      </c>
      <c r="J4067" t="s" s="2">
        <v>15847</v>
      </c>
      <c r="K4067" t="s" s="2">
        <v>22</v>
      </c>
      <c r="L4067" t="s" s="2">
        <v>22</v>
      </c>
      <c r="M4067" t="s" s="2">
        <v>22</v>
      </c>
    </row>
    <row r="4068" ht="25.0" customHeight="true">
      <c r="A4068" t="s" s="2">
        <v>13</v>
      </c>
      <c r="B4068" t="s" s="2">
        <f>HYPERLINK("http://ts.21cn.com/tousu/show/id/1369669","暴力恐吓")</f>
      </c>
      <c r="C4068" t="s" s="2">
        <v>15</v>
      </c>
      <c r="D4068" t="s" s="2">
        <v>16</v>
      </c>
      <c r="E4068" t="s" s="2">
        <v>17</v>
      </c>
      <c r="F4068" t="s" s="2">
        <f>HYPERLINK("http://ts.21cn.com/tousu/show/id/1369669","http://ts.21cn.com/tousu/show/id/1369669")</f>
      </c>
      <c r="G4068" t="s" s="2">
        <v>17</v>
      </c>
      <c r="H4068" t="s" s="2">
        <v>19</v>
      </c>
      <c r="I4068" t="s" s="2">
        <v>15850</v>
      </c>
      <c r="J4068" t="s" s="2">
        <v>15851</v>
      </c>
      <c r="K4068" t="s" s="2">
        <v>22</v>
      </c>
      <c r="L4068" t="s" s="2">
        <v>22</v>
      </c>
      <c r="M4068" t="s" s="2">
        <v>22</v>
      </c>
    </row>
    <row r="4069" ht="25.0" customHeight="true">
      <c r="A4069" t="s" s="2">
        <v>13</v>
      </c>
      <c r="B4069" t="s" s="2">
        <f>HYPERLINK("http://ts.21cn.com/tousu/show/id/1369670","暴力催收，骚扰通讯录")</f>
      </c>
      <c r="C4069" t="s" s="2">
        <v>15</v>
      </c>
      <c r="D4069" t="s" s="2">
        <v>16</v>
      </c>
      <c r="E4069" t="s" s="2">
        <v>17</v>
      </c>
      <c r="F4069" t="s" s="2">
        <f>HYPERLINK("http://ts.21cn.com/tousu/show/id/1369670","http://ts.21cn.com/tousu/show/id/1369670")</f>
      </c>
      <c r="G4069" t="s" s="2">
        <v>17</v>
      </c>
      <c r="H4069" t="s" s="2">
        <v>19</v>
      </c>
      <c r="I4069" t="s" s="2">
        <v>15853</v>
      </c>
      <c r="J4069" t="s" s="2">
        <v>15854</v>
      </c>
      <c r="K4069" t="s" s="2">
        <v>22</v>
      </c>
      <c r="L4069" t="s" s="2">
        <v>22</v>
      </c>
      <c r="M4069" t="s" s="2">
        <v>22</v>
      </c>
    </row>
    <row r="4070" ht="25.0" customHeight="true">
      <c r="A4070" t="s" s="2">
        <v>13</v>
      </c>
      <c r="B4070" t="s" s="2">
        <f>HYPERLINK("http://ts.21cn.com/tousu/show/id/1369668","开始销售为了签单乱答应我们条件现在有是无理由单方面和我们解除合同以及扣除我们押金三天不搬走东西清走")</f>
      </c>
      <c r="C4070" t="s" s="2">
        <v>15</v>
      </c>
      <c r="D4070" t="s" s="2">
        <v>16</v>
      </c>
      <c r="E4070" t="s" s="2">
        <v>17</v>
      </c>
      <c r="F4070" t="s" s="2">
        <f>HYPERLINK("http://ts.21cn.com/tousu/show/id/1369668","http://ts.21cn.com/tousu/show/id/1369668")</f>
      </c>
      <c r="G4070" t="s" s="2">
        <v>17</v>
      </c>
      <c r="H4070" t="s" s="2">
        <v>19</v>
      </c>
      <c r="I4070" t="s" s="2">
        <v>15857</v>
      </c>
      <c r="J4070" t="s" s="2">
        <v>15858</v>
      </c>
      <c r="K4070" t="s" s="2">
        <v>22</v>
      </c>
      <c r="L4070" t="s" s="2">
        <v>22</v>
      </c>
      <c r="M4070" t="s" s="2">
        <v>22</v>
      </c>
    </row>
    <row r="4071" ht="25.0" customHeight="true">
      <c r="A4071" t="s" s="2">
        <v>13</v>
      </c>
      <c r="B4071" t="s" s="2">
        <f>HYPERLINK("http://ts.21cn.com/tousu/show/id/1369673","催收人员不断打电话骚扰亲戚朋友，给亲戚朋友发短信")</f>
      </c>
      <c r="C4071" t="s" s="2">
        <v>15</v>
      </c>
      <c r="D4071" t="s" s="2">
        <v>16</v>
      </c>
      <c r="E4071" t="s" s="2">
        <v>17</v>
      </c>
      <c r="F4071" t="s" s="2">
        <f>HYPERLINK("http://ts.21cn.com/tousu/show/id/1369673","http://ts.21cn.com/tousu/show/id/1369673")</f>
      </c>
      <c r="G4071" t="s" s="2">
        <v>17</v>
      </c>
      <c r="H4071" t="s" s="2">
        <v>19</v>
      </c>
      <c r="I4071" t="s" s="2">
        <v>15861</v>
      </c>
      <c r="J4071" t="s" s="2">
        <v>15862</v>
      </c>
      <c r="K4071" t="s" s="2">
        <v>22</v>
      </c>
      <c r="L4071" t="s" s="2">
        <v>22</v>
      </c>
      <c r="M4071" t="s" s="2">
        <v>22</v>
      </c>
    </row>
    <row r="4072" ht="25.0" customHeight="true">
      <c r="A4072" t="s" s="2">
        <v>13</v>
      </c>
      <c r="B4072" t="s" s="2">
        <f>HYPERLINK("http://ts.21cn.com/tousu/show/id/1369667","未经允许乱扣银行卡内金额")</f>
      </c>
      <c r="C4072" t="s" s="2">
        <v>15</v>
      </c>
      <c r="D4072" t="s" s="2">
        <v>16</v>
      </c>
      <c r="E4072" t="s" s="2">
        <v>17</v>
      </c>
      <c r="F4072" t="s" s="2">
        <f>HYPERLINK("http://ts.21cn.com/tousu/show/id/1369667","http://ts.21cn.com/tousu/show/id/1369667")</f>
      </c>
      <c r="G4072" t="s" s="2">
        <v>17</v>
      </c>
      <c r="H4072" t="s" s="2">
        <v>19</v>
      </c>
      <c r="I4072" t="s" s="2">
        <v>15865</v>
      </c>
      <c r="J4072" t="s" s="2">
        <v>15866</v>
      </c>
      <c r="K4072" t="s" s="2">
        <v>22</v>
      </c>
      <c r="L4072" t="s" s="2">
        <v>22</v>
      </c>
      <c r="M4072" t="s" s="2">
        <v>22</v>
      </c>
    </row>
    <row r="4073" ht="25.0" customHeight="true">
      <c r="A4073" t="s" s="2">
        <v>13</v>
      </c>
      <c r="B4073" t="s" s="2">
        <f>HYPERLINK("http://ts.21cn.com/tousu/show/id/1369666","优速快递在线客服处理不当")</f>
      </c>
      <c r="C4073" t="s" s="2">
        <v>15</v>
      </c>
      <c r="D4073" t="s" s="2">
        <v>16</v>
      </c>
      <c r="E4073" t="s" s="2">
        <v>17</v>
      </c>
      <c r="F4073" t="s" s="2">
        <f>HYPERLINK("http://ts.21cn.com/tousu/show/id/1369666","http://ts.21cn.com/tousu/show/id/1369666")</f>
      </c>
      <c r="G4073" t="s" s="2">
        <v>17</v>
      </c>
      <c r="H4073" t="s" s="2">
        <v>19</v>
      </c>
      <c r="I4073" t="s" s="2">
        <v>15869</v>
      </c>
      <c r="J4073" t="s" s="2">
        <v>15870</v>
      </c>
      <c r="K4073" t="s" s="2">
        <v>22</v>
      </c>
      <c r="L4073" t="s" s="2">
        <v>22</v>
      </c>
      <c r="M4073" t="s" s="2">
        <v>22</v>
      </c>
    </row>
    <row r="4074" ht="25.0" customHeight="true">
      <c r="A4074" t="s" s="2">
        <v>13</v>
      </c>
      <c r="B4074" t="s" s="2">
        <f>HYPERLINK("http://ts.21cn.com/tousu/show/id/1369665","首信易为赌博网站提供支付通道")</f>
      </c>
      <c r="C4074" t="s" s="2">
        <v>15</v>
      </c>
      <c r="D4074" t="s" s="2">
        <v>16</v>
      </c>
      <c r="E4074" t="s" s="2">
        <v>17</v>
      </c>
      <c r="F4074" t="s" s="2">
        <f>HYPERLINK("http://ts.21cn.com/tousu/show/id/1369665","http://ts.21cn.com/tousu/show/id/1369665")</f>
      </c>
      <c r="G4074" t="s" s="2">
        <v>17</v>
      </c>
      <c r="H4074" t="s" s="2">
        <v>19</v>
      </c>
      <c r="I4074" t="s" s="2">
        <v>15873</v>
      </c>
      <c r="J4074" t="s" s="2">
        <v>15874</v>
      </c>
      <c r="K4074" t="s" s="2">
        <v>22</v>
      </c>
      <c r="L4074" t="s" s="2">
        <v>22</v>
      </c>
      <c r="M4074" t="s" s="2">
        <v>22</v>
      </c>
    </row>
    <row r="4075" ht="25.0" customHeight="true">
      <c r="A4075" t="s" s="2">
        <v>13</v>
      </c>
      <c r="B4075" t="s" s="2">
        <f>HYPERLINK("http://ts.21cn.com/tousu/show/id/1369663","宜人贷砍头息逾期按月收取发息且取消了我的分期")</f>
      </c>
      <c r="C4075" t="s" s="2">
        <v>52</v>
      </c>
      <c r="D4075" t="s" s="2">
        <v>16</v>
      </c>
      <c r="E4075" t="s" s="2">
        <v>17</v>
      </c>
      <c r="F4075" t="s" s="2">
        <f>HYPERLINK("http://ts.21cn.com/tousu/show/id/1369663","http://ts.21cn.com/tousu/show/id/1369663")</f>
      </c>
      <c r="G4075" t="s" s="2">
        <v>17</v>
      </c>
      <c r="H4075" t="s" s="2">
        <v>19</v>
      </c>
      <c r="I4075" t="s" s="2">
        <v>15877</v>
      </c>
      <c r="J4075" t="s" s="2">
        <v>15878</v>
      </c>
      <c r="K4075" t="s" s="2">
        <v>22</v>
      </c>
      <c r="L4075" t="s" s="2">
        <v>22</v>
      </c>
      <c r="M4075" t="s" s="2">
        <v>22</v>
      </c>
    </row>
    <row r="4076" ht="25.0" customHeight="true">
      <c r="A4076" t="s" s="2">
        <v>13</v>
      </c>
      <c r="B4076" t="s" s="2">
        <f>HYPERLINK("http://ts.21cn.com/tousu/show/id/1369660","账号被盗申诉腾讯一直不通过打人工申诉也打不通")</f>
      </c>
      <c r="C4076" t="s" s="2">
        <v>15</v>
      </c>
      <c r="D4076" t="s" s="2">
        <v>16</v>
      </c>
      <c r="E4076" t="s" s="2">
        <v>17</v>
      </c>
      <c r="F4076" t="s" s="2">
        <f>HYPERLINK("http://ts.21cn.com/tousu/show/id/1369660","http://ts.21cn.com/tousu/show/id/1369660")</f>
      </c>
      <c r="G4076" t="s" s="2">
        <v>17</v>
      </c>
      <c r="H4076" t="s" s="2">
        <v>19</v>
      </c>
      <c r="I4076" t="s" s="2">
        <v>15881</v>
      </c>
      <c r="J4076" t="s" s="2">
        <v>15882</v>
      </c>
      <c r="K4076" t="s" s="2">
        <v>22</v>
      </c>
      <c r="L4076" t="s" s="2">
        <v>22</v>
      </c>
      <c r="M4076" t="s" s="2">
        <v>22</v>
      </c>
    </row>
    <row r="4077" ht="25.0" customHeight="true">
      <c r="A4077" t="s" s="2">
        <v>13</v>
      </c>
      <c r="B4077" t="s" s="2">
        <f>HYPERLINK("http://ts.21cn.com/tousu/show/id/1369662","微乐分暴力催收")</f>
      </c>
      <c r="C4077" t="s" s="2">
        <v>15</v>
      </c>
      <c r="D4077" t="s" s="2">
        <v>16</v>
      </c>
      <c r="E4077" t="s" s="2">
        <v>17</v>
      </c>
      <c r="F4077" t="s" s="2">
        <f>HYPERLINK("http://ts.21cn.com/tousu/show/id/1369662","http://ts.21cn.com/tousu/show/id/1369662")</f>
      </c>
      <c r="G4077" t="s" s="2">
        <v>17</v>
      </c>
      <c r="H4077" t="s" s="2">
        <v>19</v>
      </c>
      <c r="I4077" t="s" s="2">
        <v>15885</v>
      </c>
      <c r="J4077" t="s" s="2">
        <v>15886</v>
      </c>
      <c r="K4077" t="s" s="2">
        <v>22</v>
      </c>
      <c r="L4077" t="s" s="2">
        <v>22</v>
      </c>
      <c r="M4077" t="s" s="2">
        <v>22</v>
      </c>
    </row>
    <row r="4078" ht="25.0" customHeight="true">
      <c r="A4078" t="s" s="2">
        <v>13</v>
      </c>
      <c r="B4078" t="s" s="2">
        <f>HYPERLINK("http://ts.21cn.com/tousu/show/id/1369658","小花钱包暴力催收")</f>
      </c>
      <c r="C4078" t="s" s="2">
        <v>15</v>
      </c>
      <c r="D4078" t="s" s="2">
        <v>16</v>
      </c>
      <c r="E4078" t="s" s="2">
        <v>17</v>
      </c>
      <c r="F4078" t="s" s="2">
        <f>HYPERLINK("http://ts.21cn.com/tousu/show/id/1369658","http://ts.21cn.com/tousu/show/id/1369658")</f>
      </c>
      <c r="G4078" t="s" s="2">
        <v>17</v>
      </c>
      <c r="H4078" t="s" s="2">
        <v>19</v>
      </c>
      <c r="I4078" t="s" s="2">
        <v>15888</v>
      </c>
      <c r="J4078" t="s" s="2">
        <v>15889</v>
      </c>
      <c r="K4078" t="s" s="2">
        <v>22</v>
      </c>
      <c r="L4078" t="s" s="2">
        <v>22</v>
      </c>
      <c r="M4078" t="s" s="2">
        <v>22</v>
      </c>
    </row>
    <row r="4079" ht="25.0" customHeight="true">
      <c r="A4079" t="s" s="2">
        <v>13</v>
      </c>
      <c r="B4079" t="s" s="2">
        <f>HYPERLINK("http://ts.21cn.com/tousu/show/id/1369656","高炮网贷爆我通讯录")</f>
      </c>
      <c r="C4079" t="s" s="2">
        <v>52</v>
      </c>
      <c r="D4079" t="s" s="2">
        <v>16</v>
      </c>
      <c r="E4079" t="s" s="2">
        <v>17</v>
      </c>
      <c r="F4079" t="s" s="2">
        <f>HYPERLINK("http://ts.21cn.com/tousu/show/id/1369656","http://ts.21cn.com/tousu/show/id/1369656")</f>
      </c>
      <c r="G4079" t="s" s="2">
        <v>17</v>
      </c>
      <c r="H4079" t="s" s="2">
        <v>19</v>
      </c>
      <c r="I4079" t="s" s="2">
        <v>15892</v>
      </c>
      <c r="J4079" t="s" s="2">
        <v>15893</v>
      </c>
      <c r="K4079" t="s" s="2">
        <v>22</v>
      </c>
      <c r="L4079" t="s" s="2">
        <v>22</v>
      </c>
      <c r="M4079" t="s" s="2">
        <v>22</v>
      </c>
    </row>
    <row r="4080" ht="25.0" customHeight="true">
      <c r="A4080" t="s" s="2">
        <v>13</v>
      </c>
      <c r="B4080" t="s" s="2">
        <f>HYPERLINK("http://ts.21cn.com/tousu/show/id/1369655","网贷电话骚扰")</f>
      </c>
      <c r="C4080" t="s" s="2">
        <v>15</v>
      </c>
      <c r="D4080" t="s" s="2">
        <v>16</v>
      </c>
      <c r="E4080" t="s" s="2">
        <v>17</v>
      </c>
      <c r="F4080" t="s" s="2">
        <f>HYPERLINK("http://ts.21cn.com/tousu/show/id/1369655","http://ts.21cn.com/tousu/show/id/1369655")</f>
      </c>
      <c r="G4080" t="s" s="2">
        <v>17</v>
      </c>
      <c r="H4080" t="s" s="2">
        <v>19</v>
      </c>
      <c r="I4080" t="s" s="2">
        <v>15896</v>
      </c>
      <c r="J4080" t="s" s="2">
        <v>15897</v>
      </c>
      <c r="K4080" t="s" s="2">
        <v>22</v>
      </c>
      <c r="L4080" t="s" s="2">
        <v>22</v>
      </c>
      <c r="M4080" t="s" s="2">
        <v>22</v>
      </c>
    </row>
    <row r="4081" ht="25.0" customHeight="true">
      <c r="A4081" t="s" s="2">
        <v>13</v>
      </c>
      <c r="B4081" t="s" s="2">
        <f>HYPERLINK("http://ts.21cn.com/tousu/show/id/1369654","中信银行暴力催收")</f>
      </c>
      <c r="C4081" t="s" s="2">
        <v>15</v>
      </c>
      <c r="D4081" t="s" s="2">
        <v>16</v>
      </c>
      <c r="E4081" t="s" s="2">
        <v>17</v>
      </c>
      <c r="F4081" t="s" s="2">
        <f>HYPERLINK("http://ts.21cn.com/tousu/show/id/1369654","http://ts.21cn.com/tousu/show/id/1369654")</f>
      </c>
      <c r="G4081" t="s" s="2">
        <v>17</v>
      </c>
      <c r="H4081" t="s" s="2">
        <v>19</v>
      </c>
      <c r="I4081" t="s" s="2">
        <v>15899</v>
      </c>
      <c r="J4081" t="s" s="2">
        <v>15900</v>
      </c>
      <c r="K4081" t="s" s="2">
        <v>22</v>
      </c>
      <c r="L4081" t="s" s="2">
        <v>22</v>
      </c>
      <c r="M4081" t="s" s="2">
        <v>22</v>
      </c>
    </row>
    <row r="4082" ht="25.0" customHeight="true">
      <c r="A4082" t="s" s="2">
        <v>13</v>
      </c>
      <c r="B4082" t="s" s="2">
        <f>HYPERLINK("http://ts.21cn.com/tousu/show/id/1369653","钱站高利贷套路本人")</f>
      </c>
      <c r="C4082" t="s" s="2">
        <v>15</v>
      </c>
      <c r="D4082" t="s" s="2">
        <v>16</v>
      </c>
      <c r="E4082" t="s" s="2">
        <v>17</v>
      </c>
      <c r="F4082" t="s" s="2">
        <f>HYPERLINK("http://ts.21cn.com/tousu/show/id/1369653","http://ts.21cn.com/tousu/show/id/1369653")</f>
      </c>
      <c r="G4082" t="s" s="2">
        <v>17</v>
      </c>
      <c r="H4082" t="s" s="2">
        <v>19</v>
      </c>
      <c r="I4082" t="s" s="2">
        <v>15903</v>
      </c>
      <c r="J4082" t="s" s="2">
        <v>15904</v>
      </c>
      <c r="K4082" t="s" s="2">
        <v>22</v>
      </c>
      <c r="L4082" t="s" s="2">
        <v>22</v>
      </c>
      <c r="M4082" t="s" s="2">
        <v>22</v>
      </c>
    </row>
    <row r="4083" ht="25.0" customHeight="true">
      <c r="A4083" t="s" s="2">
        <v>13</v>
      </c>
      <c r="B4083" t="s" s="2">
        <f>HYPERLINK("http://ts.21cn.com/tousu/show/id/1369652","打通讯录威胁恐吓")</f>
      </c>
      <c r="C4083" t="s" s="2">
        <v>15</v>
      </c>
      <c r="D4083" t="s" s="2">
        <v>16</v>
      </c>
      <c r="E4083" t="s" s="2">
        <v>17</v>
      </c>
      <c r="F4083" t="s" s="2">
        <f>HYPERLINK("http://ts.21cn.com/tousu/show/id/1369652","http://ts.21cn.com/tousu/show/id/1369652")</f>
      </c>
      <c r="G4083" t="s" s="2">
        <v>17</v>
      </c>
      <c r="H4083" t="s" s="2">
        <v>19</v>
      </c>
      <c r="I4083" t="s" s="2">
        <v>15907</v>
      </c>
      <c r="J4083" t="s" s="2">
        <v>15908</v>
      </c>
      <c r="K4083" t="s" s="2">
        <v>22</v>
      </c>
      <c r="L4083" t="s" s="2">
        <v>22</v>
      </c>
      <c r="M4083" t="s" s="2">
        <v>22</v>
      </c>
    </row>
    <row r="4084" ht="25.0" customHeight="true">
      <c r="A4084" t="s" s="2">
        <v>13</v>
      </c>
      <c r="B4084" t="s" s="2">
        <f>HYPERLINK("http://ts.21cn.com/tousu/show/id/1369651","弹个车")</f>
      </c>
      <c r="C4084" t="s" s="2">
        <v>15</v>
      </c>
      <c r="D4084" t="s" s="2">
        <v>16</v>
      </c>
      <c r="E4084" t="s" s="2">
        <v>17</v>
      </c>
      <c r="F4084" t="s" s="2">
        <f>HYPERLINK("http://ts.21cn.com/tousu/show/id/1369651","http://ts.21cn.com/tousu/show/id/1369651")</f>
      </c>
      <c r="G4084" t="s" s="2">
        <v>17</v>
      </c>
      <c r="H4084" t="s" s="2">
        <v>19</v>
      </c>
      <c r="I4084" t="s" s="2">
        <v>15911</v>
      </c>
      <c r="J4084" t="s" s="2">
        <v>15912</v>
      </c>
      <c r="K4084" t="s" s="2">
        <v>22</v>
      </c>
      <c r="L4084" t="s" s="2">
        <v>22</v>
      </c>
      <c r="M4084" t="s" s="2">
        <v>22</v>
      </c>
    </row>
    <row r="4085" ht="25.0" customHeight="true">
      <c r="A4085" t="s" s="2">
        <v>13</v>
      </c>
      <c r="B4085" t="s" s="2">
        <f>HYPERLINK("http://ts.21cn.com/tousu/show/id/1369650","现金巴士逾期费不合理，催收不断")</f>
      </c>
      <c r="C4085" t="s" s="2">
        <v>15</v>
      </c>
      <c r="D4085" t="s" s="2">
        <v>16</v>
      </c>
      <c r="E4085" t="s" s="2">
        <v>17</v>
      </c>
      <c r="F4085" t="s" s="2">
        <f>HYPERLINK("http://ts.21cn.com/tousu/show/id/1369650","http://ts.21cn.com/tousu/show/id/1369650")</f>
      </c>
      <c r="G4085" t="s" s="2">
        <v>17</v>
      </c>
      <c r="H4085" t="s" s="2">
        <v>19</v>
      </c>
      <c r="I4085" t="s" s="2">
        <v>15915</v>
      </c>
      <c r="J4085" t="s" s="2">
        <v>15916</v>
      </c>
      <c r="K4085" t="s" s="2">
        <v>22</v>
      </c>
      <c r="L4085" t="s" s="2">
        <v>22</v>
      </c>
      <c r="M4085" t="s" s="2">
        <v>22</v>
      </c>
    </row>
    <row r="4086" ht="25.0" customHeight="true">
      <c r="A4086" t="s" s="2">
        <v>13</v>
      </c>
      <c r="B4086" t="s" s="2">
        <f>HYPERLINK("http://ts.21cn.com/tousu/show/id/1369649","恐吓收债")</f>
      </c>
      <c r="C4086" t="s" s="2">
        <v>52</v>
      </c>
      <c r="D4086" t="s" s="2">
        <v>16</v>
      </c>
      <c r="E4086" t="s" s="2">
        <v>17</v>
      </c>
      <c r="F4086" t="s" s="2">
        <f>HYPERLINK("http://ts.21cn.com/tousu/show/id/1369649","http://ts.21cn.com/tousu/show/id/1369649")</f>
      </c>
      <c r="G4086" t="s" s="2">
        <v>17</v>
      </c>
      <c r="H4086" t="s" s="2">
        <v>19</v>
      </c>
      <c r="I4086" t="s" s="2">
        <v>15919</v>
      </c>
      <c r="J4086" t="s" s="2">
        <v>15920</v>
      </c>
      <c r="K4086" t="s" s="2">
        <v>22</v>
      </c>
      <c r="L4086" t="s" s="2">
        <v>22</v>
      </c>
      <c r="M4086" t="s" s="2">
        <v>22</v>
      </c>
    </row>
    <row r="4087" ht="25.0" customHeight="true">
      <c r="A4087" t="s" s="2">
        <v>13</v>
      </c>
      <c r="B4087" t="s" s="2">
        <f>HYPERLINK("http://ts.21cn.com/tousu/show/id/1369565","捷信还款事宜")</f>
      </c>
      <c r="C4087" t="s" s="2">
        <v>15</v>
      </c>
      <c r="D4087" t="s" s="2">
        <v>16</v>
      </c>
      <c r="E4087" t="s" s="2">
        <v>17</v>
      </c>
      <c r="F4087" t="s" s="2">
        <f>HYPERLINK("http://ts.21cn.com/tousu/show/id/1369565","http://ts.21cn.com/tousu/show/id/1369565")</f>
      </c>
      <c r="G4087" t="s" s="2">
        <v>17</v>
      </c>
      <c r="H4087" t="s" s="2">
        <v>19</v>
      </c>
      <c r="I4087" t="s" s="2">
        <v>15923</v>
      </c>
      <c r="J4087" t="s" s="2">
        <v>15924</v>
      </c>
      <c r="K4087" t="s" s="2">
        <v>22</v>
      </c>
      <c r="L4087" t="s" s="2">
        <v>22</v>
      </c>
      <c r="M4087" t="s" s="2">
        <v>22</v>
      </c>
    </row>
    <row r="4088" ht="25.0" customHeight="true">
      <c r="A4088" t="s" s="2">
        <v>13</v>
      </c>
      <c r="B4088" t="s" s="2">
        <f>HYPERLINK("http://ts.21cn.com/tousu/show/id/1369648","投诉催收人员态度恶劣")</f>
      </c>
      <c r="C4088" t="s" s="2">
        <v>15</v>
      </c>
      <c r="D4088" t="s" s="2">
        <v>16</v>
      </c>
      <c r="E4088" t="s" s="2">
        <v>17</v>
      </c>
      <c r="F4088" t="s" s="2">
        <f>HYPERLINK("http://ts.21cn.com/tousu/show/id/1369648","http://ts.21cn.com/tousu/show/id/1369648")</f>
      </c>
      <c r="G4088" t="s" s="2">
        <v>17</v>
      </c>
      <c r="H4088" t="s" s="2">
        <v>19</v>
      </c>
      <c r="I4088" t="s" s="2">
        <v>15927</v>
      </c>
      <c r="J4088" t="s" s="2">
        <v>15928</v>
      </c>
      <c r="K4088" t="s" s="2">
        <v>22</v>
      </c>
      <c r="L4088" t="s" s="2">
        <v>22</v>
      </c>
      <c r="M4088" t="s" s="2">
        <v>22</v>
      </c>
    </row>
    <row r="4089" ht="25.0" customHeight="true">
      <c r="A4089" t="s" s="2">
        <v>13</v>
      </c>
      <c r="B4089" t="s" s="2">
        <f>HYPERLINK("http://ts.21cn.com/tousu/show/id/1369647","宜信公司苏州部的催收人员，盗取客户资料")</f>
      </c>
      <c r="C4089" t="s" s="2">
        <v>15</v>
      </c>
      <c r="D4089" t="s" s="2">
        <v>16</v>
      </c>
      <c r="E4089" t="s" s="2">
        <v>17</v>
      </c>
      <c r="F4089" t="s" s="2">
        <f>HYPERLINK("http://ts.21cn.com/tousu/show/id/1369647","http://ts.21cn.com/tousu/show/id/1369647")</f>
      </c>
      <c r="G4089" t="s" s="2">
        <v>17</v>
      </c>
      <c r="H4089" t="s" s="2">
        <v>19</v>
      </c>
      <c r="I4089" t="s" s="2">
        <v>15931</v>
      </c>
      <c r="J4089" t="s" s="2">
        <v>15932</v>
      </c>
      <c r="K4089" t="s" s="2">
        <v>22</v>
      </c>
      <c r="L4089" t="s" s="2">
        <v>22</v>
      </c>
      <c r="M4089" t="s" s="2">
        <v>22</v>
      </c>
    </row>
    <row r="4090" ht="25.0" customHeight="true">
      <c r="A4090" t="s" s="2">
        <v>13</v>
      </c>
      <c r="B4090" t="s" s="2">
        <f>HYPERLINK("http://ts.21cn.com/tousu/show/id/1369646","时光分期催收威胁骚扰家里人")</f>
      </c>
      <c r="C4090" t="s" s="2">
        <v>15</v>
      </c>
      <c r="D4090" t="s" s="2">
        <v>16</v>
      </c>
      <c r="E4090" t="s" s="2">
        <v>17</v>
      </c>
      <c r="F4090" t="s" s="2">
        <f>HYPERLINK("http://ts.21cn.com/tousu/show/id/1369646","http://ts.21cn.com/tousu/show/id/1369646")</f>
      </c>
      <c r="G4090" t="s" s="2">
        <v>17</v>
      </c>
      <c r="H4090" t="s" s="2">
        <v>19</v>
      </c>
      <c r="I4090" t="s" s="2">
        <v>15935</v>
      </c>
      <c r="J4090" t="s" s="2">
        <v>15936</v>
      </c>
      <c r="K4090" t="s" s="2">
        <v>22</v>
      </c>
      <c r="L4090" t="s" s="2">
        <v>22</v>
      </c>
      <c r="M4090" t="s" s="2">
        <v>22</v>
      </c>
    </row>
    <row r="4091" ht="25.0" customHeight="true">
      <c r="A4091" t="s" s="2">
        <v>13</v>
      </c>
      <c r="B4091" t="s" s="2">
        <f>HYPERLINK("http://ts.21cn.com/tousu/show/id/1369645","投诉贷上钱恶意恐吓，辱骂，骚扰")</f>
      </c>
      <c r="C4091" t="s" s="2">
        <v>15</v>
      </c>
      <c r="D4091" t="s" s="2">
        <v>16</v>
      </c>
      <c r="E4091" t="s" s="2">
        <v>17</v>
      </c>
      <c r="F4091" t="s" s="2">
        <f>HYPERLINK("http://ts.21cn.com/tousu/show/id/1369645","http://ts.21cn.com/tousu/show/id/1369645")</f>
      </c>
      <c r="G4091" t="s" s="2">
        <v>17</v>
      </c>
      <c r="H4091" t="s" s="2">
        <v>19</v>
      </c>
      <c r="I4091" t="s" s="2">
        <v>15939</v>
      </c>
      <c r="J4091" t="s" s="2">
        <v>15940</v>
      </c>
      <c r="K4091" t="s" s="2">
        <v>22</v>
      </c>
      <c r="L4091" t="s" s="2">
        <v>22</v>
      </c>
      <c r="M4091" t="s" s="2">
        <v>22</v>
      </c>
    </row>
    <row r="4092" ht="25.0" customHeight="true">
      <c r="A4092" t="s" s="2">
        <v>13</v>
      </c>
      <c r="B4092" t="s" s="2">
        <f>HYPERLINK("http://ts.21cn.com/tousu/show/id/1369644","钱站到处骚扰通讯录的人")</f>
      </c>
      <c r="C4092" t="s" s="2">
        <v>15</v>
      </c>
      <c r="D4092" t="s" s="2">
        <v>16</v>
      </c>
      <c r="E4092" t="s" s="2">
        <v>17</v>
      </c>
      <c r="F4092" t="s" s="2">
        <f>HYPERLINK("http://ts.21cn.com/tousu/show/id/1369644","http://ts.21cn.com/tousu/show/id/1369644")</f>
      </c>
      <c r="G4092" t="s" s="2">
        <v>17</v>
      </c>
      <c r="H4092" t="s" s="2">
        <v>19</v>
      </c>
      <c r="I4092" t="s" s="2">
        <v>15943</v>
      </c>
      <c r="J4092" t="s" s="2">
        <v>15944</v>
      </c>
      <c r="K4092" t="s" s="2">
        <v>22</v>
      </c>
      <c r="L4092" t="s" s="2">
        <v>22</v>
      </c>
      <c r="M4092" t="s" s="2">
        <v>22</v>
      </c>
    </row>
    <row r="4093" ht="25.0" customHeight="true">
      <c r="A4093" t="s" s="2">
        <v>13</v>
      </c>
      <c r="B4093" t="s" s="2">
        <f>HYPERLINK("http://ts.21cn.com/tousu/show/id/1369642","坑人手续费")</f>
      </c>
      <c r="C4093" t="s" s="2">
        <v>15</v>
      </c>
      <c r="D4093" t="s" s="2">
        <v>16</v>
      </c>
      <c r="E4093" t="s" s="2">
        <v>17</v>
      </c>
      <c r="F4093" t="s" s="2">
        <f>HYPERLINK("http://ts.21cn.com/tousu/show/id/1369642","http://ts.21cn.com/tousu/show/id/1369642")</f>
      </c>
      <c r="G4093" t="s" s="2">
        <v>17</v>
      </c>
      <c r="H4093" t="s" s="2">
        <v>19</v>
      </c>
      <c r="I4093" t="s" s="2">
        <v>15947</v>
      </c>
      <c r="J4093" t="s" s="2">
        <v>15948</v>
      </c>
      <c r="K4093" t="s" s="2">
        <v>22</v>
      </c>
      <c r="L4093" t="s" s="2">
        <v>22</v>
      </c>
      <c r="M4093" t="s" s="2">
        <v>22</v>
      </c>
    </row>
    <row r="4094" ht="25.0" customHeight="true">
      <c r="A4094" t="s" s="2">
        <v>13</v>
      </c>
      <c r="B4094" t="s" s="2">
        <f>HYPERLINK("http://ts.21cn.com/tousu/show/id/1369641","无法进行退店！")</f>
      </c>
      <c r="C4094" t="s" s="2">
        <v>15</v>
      </c>
      <c r="D4094" t="s" s="2">
        <v>16</v>
      </c>
      <c r="E4094" t="s" s="2">
        <v>17</v>
      </c>
      <c r="F4094" t="s" s="2">
        <f>HYPERLINK("http://ts.21cn.com/tousu/show/id/1369641","http://ts.21cn.com/tousu/show/id/1369641")</f>
      </c>
      <c r="G4094" t="s" s="2">
        <v>17</v>
      </c>
      <c r="H4094" t="s" s="2">
        <v>19</v>
      </c>
      <c r="I4094" t="s" s="2">
        <v>15951</v>
      </c>
      <c r="J4094" t="s" s="2">
        <v>15952</v>
      </c>
      <c r="K4094" t="s" s="2">
        <v>22</v>
      </c>
      <c r="L4094" t="s" s="2">
        <v>22</v>
      </c>
      <c r="M4094" t="s" s="2">
        <v>22</v>
      </c>
    </row>
    <row r="4095" ht="25.0" customHeight="true">
      <c r="A4095" t="s" s="2">
        <v>13</v>
      </c>
      <c r="B4095" t="s" s="2">
        <f>HYPERLINK("http://ts.21cn.com/tousu/show/id/1369643","蚂蚁金服暴力催收")</f>
      </c>
      <c r="C4095" t="s" s="2">
        <v>15</v>
      </c>
      <c r="D4095" t="s" s="2">
        <v>16</v>
      </c>
      <c r="E4095" t="s" s="2">
        <v>17</v>
      </c>
      <c r="F4095" t="s" s="2">
        <f>HYPERLINK("http://ts.21cn.com/tousu/show/id/1369643","http://ts.21cn.com/tousu/show/id/1369643")</f>
      </c>
      <c r="G4095" t="s" s="2">
        <v>17</v>
      </c>
      <c r="H4095" t="s" s="2">
        <v>19</v>
      </c>
      <c r="I4095" t="s" s="2">
        <v>15955</v>
      </c>
      <c r="J4095" t="s" s="2">
        <v>15956</v>
      </c>
      <c r="K4095" t="s" s="2">
        <v>22</v>
      </c>
      <c r="L4095" t="s" s="2">
        <v>22</v>
      </c>
      <c r="M4095" t="s" s="2">
        <v>22</v>
      </c>
    </row>
    <row r="4096" ht="25.0" customHeight="true">
      <c r="A4096" t="s" s="2">
        <v>13</v>
      </c>
      <c r="B4096" t="s" s="2">
        <f>HYPERLINK("http://ts.21cn.com/tousu/show/id/1369639","小安人工号发消息让我下载优钱花说下款")</f>
      </c>
      <c r="C4096" t="s" s="2">
        <v>15</v>
      </c>
      <c r="D4096" t="s" s="2">
        <v>16</v>
      </c>
      <c r="E4096" t="s" s="2">
        <v>17</v>
      </c>
      <c r="F4096" t="s" s="2">
        <f>HYPERLINK("http://ts.21cn.com/tousu/show/id/1369639","http://ts.21cn.com/tousu/show/id/1369639")</f>
      </c>
      <c r="G4096" t="s" s="2">
        <v>17</v>
      </c>
      <c r="H4096" t="s" s="2">
        <v>19</v>
      </c>
      <c r="I4096" t="s" s="2">
        <v>15959</v>
      </c>
      <c r="J4096" t="s" s="2">
        <v>15960</v>
      </c>
      <c r="K4096" t="s" s="2">
        <v>22</v>
      </c>
      <c r="L4096" t="s" s="2">
        <v>22</v>
      </c>
      <c r="M4096" t="s" s="2">
        <v>22</v>
      </c>
    </row>
    <row r="4097" ht="25.0" customHeight="true">
      <c r="A4097" t="s" s="2">
        <v>13</v>
      </c>
      <c r="B4097" t="s" s="2">
        <f>HYPERLINK("http://ts.21cn.com/tousu/show/id/1369638","手机借款多宝分期高利贷")</f>
      </c>
      <c r="C4097" t="s" s="2">
        <v>15</v>
      </c>
      <c r="D4097" t="s" s="2">
        <v>16</v>
      </c>
      <c r="E4097" t="s" s="2">
        <v>17</v>
      </c>
      <c r="F4097" t="s" s="2">
        <f>HYPERLINK("http://ts.21cn.com/tousu/show/id/1369638","http://ts.21cn.com/tousu/show/id/1369638")</f>
      </c>
      <c r="G4097" t="s" s="2">
        <v>17</v>
      </c>
      <c r="H4097" t="s" s="2">
        <v>19</v>
      </c>
      <c r="I4097" t="s" s="2">
        <v>15963</v>
      </c>
      <c r="J4097" t="s" s="2">
        <v>15964</v>
      </c>
      <c r="K4097" t="s" s="2">
        <v>22</v>
      </c>
      <c r="L4097" t="s" s="2">
        <v>22</v>
      </c>
      <c r="M4097" t="s" s="2">
        <v>22</v>
      </c>
    </row>
    <row r="4098" ht="25.0" customHeight="true">
      <c r="A4098" t="s" s="2">
        <v>13</v>
      </c>
      <c r="B4098" t="s" s="2">
        <f>HYPERLINK("http://ts.21cn.com/tousu/show/id/1369637","软暴力催收、恐吓")</f>
      </c>
      <c r="C4098" t="s" s="2">
        <v>15</v>
      </c>
      <c r="D4098" t="s" s="2">
        <v>16</v>
      </c>
      <c r="E4098" t="s" s="2">
        <v>17</v>
      </c>
      <c r="F4098" t="s" s="2">
        <f>HYPERLINK("http://ts.21cn.com/tousu/show/id/1369637","http://ts.21cn.com/tousu/show/id/1369637")</f>
      </c>
      <c r="G4098" t="s" s="2">
        <v>17</v>
      </c>
      <c r="H4098" t="s" s="2">
        <v>19</v>
      </c>
      <c r="I4098" t="s" s="2">
        <v>15967</v>
      </c>
      <c r="J4098" t="s" s="2">
        <v>15968</v>
      </c>
      <c r="K4098" t="s" s="2">
        <v>22</v>
      </c>
      <c r="L4098" t="s" s="2">
        <v>22</v>
      </c>
      <c r="M4098" t="s" s="2">
        <v>22</v>
      </c>
    </row>
    <row r="4099" ht="25.0" customHeight="true">
      <c r="A4099" t="s" s="2">
        <v>13</v>
      </c>
      <c r="B4099" t="s" s="2">
        <f>HYPERLINK("http://ts.21cn.com/tousu/show/id/1369636","高利贷钱站")</f>
      </c>
      <c r="C4099" t="s" s="2">
        <v>15</v>
      </c>
      <c r="D4099" t="s" s="2">
        <v>16</v>
      </c>
      <c r="E4099" t="s" s="2">
        <v>17</v>
      </c>
      <c r="F4099" t="s" s="2">
        <f>HYPERLINK("http://ts.21cn.com/tousu/show/id/1369636","http://ts.21cn.com/tousu/show/id/1369636")</f>
      </c>
      <c r="G4099" t="s" s="2">
        <v>17</v>
      </c>
      <c r="H4099" t="s" s="2">
        <v>19</v>
      </c>
      <c r="I4099" t="s" s="2">
        <v>15971</v>
      </c>
      <c r="J4099" t="s" s="2">
        <v>15972</v>
      </c>
      <c r="K4099" t="s" s="2">
        <v>22</v>
      </c>
      <c r="L4099" t="s" s="2">
        <v>22</v>
      </c>
      <c r="M4099" t="s" s="2">
        <v>22</v>
      </c>
    </row>
    <row r="4100" ht="25.0" customHeight="true">
      <c r="A4100" t="s" s="2">
        <v>13</v>
      </c>
      <c r="B4100" t="s" s="2">
        <f>HYPERLINK("http://ts.21cn.com/tousu/show/id/1369635","暴力催收威胁恐吓")</f>
      </c>
      <c r="C4100" t="s" s="2">
        <v>15</v>
      </c>
      <c r="D4100" t="s" s="2">
        <v>16</v>
      </c>
      <c r="E4100" t="s" s="2">
        <v>17</v>
      </c>
      <c r="F4100" t="s" s="2">
        <f>HYPERLINK("http://ts.21cn.com/tousu/show/id/1369635","http://ts.21cn.com/tousu/show/id/1369635")</f>
      </c>
      <c r="G4100" t="s" s="2">
        <v>17</v>
      </c>
      <c r="H4100" t="s" s="2">
        <v>19</v>
      </c>
      <c r="I4100" t="s" s="2">
        <v>15974</v>
      </c>
      <c r="J4100" t="s" s="2">
        <v>15975</v>
      </c>
      <c r="K4100" t="s" s="2">
        <v>22</v>
      </c>
      <c r="L4100" t="s" s="2">
        <v>22</v>
      </c>
      <c r="M4100" t="s" s="2">
        <v>22</v>
      </c>
    </row>
    <row r="4101" ht="25.0" customHeight="true">
      <c r="A4101" t="s" s="2">
        <v>13</v>
      </c>
      <c r="B4101" t="s" s="2">
        <f>HYPERLINK("http://ts.21cn.com/tousu/show/id/1369633","钱站变相阴阳合同高利贷，侵犯个人隐私暴力催收，")</f>
      </c>
      <c r="C4101" t="s" s="2">
        <v>15</v>
      </c>
      <c r="D4101" t="s" s="2">
        <v>16</v>
      </c>
      <c r="E4101" t="s" s="2">
        <v>17</v>
      </c>
      <c r="F4101" t="s" s="2">
        <f>HYPERLINK("http://ts.21cn.com/tousu/show/id/1369633","http://ts.21cn.com/tousu/show/id/1369633")</f>
      </c>
      <c r="G4101" t="s" s="2">
        <v>17</v>
      </c>
      <c r="H4101" t="s" s="2">
        <v>19</v>
      </c>
      <c r="I4101" t="s" s="2">
        <v>15978</v>
      </c>
      <c r="J4101" t="s" s="2">
        <v>15979</v>
      </c>
      <c r="K4101" t="s" s="2">
        <v>22</v>
      </c>
      <c r="L4101" t="s" s="2">
        <v>22</v>
      </c>
      <c r="M4101" t="s" s="2">
        <v>22</v>
      </c>
    </row>
    <row r="4102" ht="25.0" customHeight="true">
      <c r="A4102" t="s" s="2">
        <v>13</v>
      </c>
      <c r="B4102" t="s" s="2">
        <f>HYPERLINK("http://ts.21cn.com/tousu/show/id/1369632","包银消费软暴力催收")</f>
      </c>
      <c r="C4102" t="s" s="2">
        <v>15</v>
      </c>
      <c r="D4102" t="s" s="2">
        <v>16</v>
      </c>
      <c r="E4102" t="s" s="2">
        <v>17</v>
      </c>
      <c r="F4102" t="s" s="2">
        <f>HYPERLINK("http://ts.21cn.com/tousu/show/id/1369632","http://ts.21cn.com/tousu/show/id/1369632")</f>
      </c>
      <c r="G4102" t="s" s="2">
        <v>17</v>
      </c>
      <c r="H4102" t="s" s="2">
        <v>19</v>
      </c>
      <c r="I4102" t="s" s="2">
        <v>15982</v>
      </c>
      <c r="J4102" t="s" s="2">
        <v>15983</v>
      </c>
      <c r="K4102" t="s" s="2">
        <v>22</v>
      </c>
      <c r="L4102" t="s" s="2">
        <v>22</v>
      </c>
      <c r="M4102" t="s" s="2">
        <v>22</v>
      </c>
    </row>
    <row r="4103" ht="25.0" customHeight="true">
      <c r="A4103" t="s" s="2">
        <v>13</v>
      </c>
      <c r="B4103" t="s" s="2">
        <f>HYPERLINK("http://ts.21cn.com/tousu/show/id/1369631","恐吓，辱骂")</f>
      </c>
      <c r="C4103" t="s" s="2">
        <v>15</v>
      </c>
      <c r="D4103" t="s" s="2">
        <v>16</v>
      </c>
      <c r="E4103" t="s" s="2">
        <v>17</v>
      </c>
      <c r="F4103" t="s" s="2">
        <f>HYPERLINK("http://ts.21cn.com/tousu/show/id/1369631","http://ts.21cn.com/tousu/show/id/1369631")</f>
      </c>
      <c r="G4103" t="s" s="2">
        <v>17</v>
      </c>
      <c r="H4103" t="s" s="2">
        <v>19</v>
      </c>
      <c r="I4103" t="s" s="2">
        <v>15986</v>
      </c>
      <c r="J4103" t="s" s="2">
        <v>15987</v>
      </c>
      <c r="K4103" t="s" s="2">
        <v>22</v>
      </c>
      <c r="L4103" t="s" s="2">
        <v>22</v>
      </c>
      <c r="M4103" t="s" s="2">
        <v>22</v>
      </c>
    </row>
    <row r="4104" ht="25.0" customHeight="true">
      <c r="A4104" t="s" s="2">
        <v>13</v>
      </c>
      <c r="B4104" t="s" s="2">
        <f>HYPERLINK("http://ts.21cn.com/tousu/show/id/1369630","套路贷砍头息")</f>
      </c>
      <c r="C4104" t="s" s="2">
        <v>15</v>
      </c>
      <c r="D4104" t="s" s="2">
        <v>16</v>
      </c>
      <c r="E4104" t="s" s="2">
        <v>17</v>
      </c>
      <c r="F4104" t="s" s="2">
        <f>HYPERLINK("http://ts.21cn.com/tousu/show/id/1369630","http://ts.21cn.com/tousu/show/id/1369630")</f>
      </c>
      <c r="G4104" t="s" s="2">
        <v>17</v>
      </c>
      <c r="H4104" t="s" s="2">
        <v>19</v>
      </c>
      <c r="I4104" t="s" s="2">
        <v>15990</v>
      </c>
      <c r="J4104" t="s" s="2">
        <v>15991</v>
      </c>
      <c r="K4104" t="s" s="2">
        <v>22</v>
      </c>
      <c r="L4104" t="s" s="2">
        <v>22</v>
      </c>
      <c r="M4104" t="s" s="2">
        <v>22</v>
      </c>
    </row>
    <row r="4105" ht="25.0" customHeight="true">
      <c r="A4105" t="s" s="2">
        <v>13</v>
      </c>
      <c r="B4105" t="s" s="2">
        <f>HYPERLINK("http://ts.21cn.com/tousu/show/id/1369629","超职教育ACi国际心理咨询师的忽悠")</f>
      </c>
      <c r="C4105" t="s" s="2">
        <v>15</v>
      </c>
      <c r="D4105" t="s" s="2">
        <v>16</v>
      </c>
      <c r="E4105" t="s" s="2">
        <v>17</v>
      </c>
      <c r="F4105" t="s" s="2">
        <f>HYPERLINK("http://ts.21cn.com/tousu/show/id/1369629","http://ts.21cn.com/tousu/show/id/1369629")</f>
      </c>
      <c r="G4105" t="s" s="2">
        <v>17</v>
      </c>
      <c r="H4105" t="s" s="2">
        <v>19</v>
      </c>
      <c r="I4105" t="s" s="2">
        <v>15994</v>
      </c>
      <c r="J4105" t="s" s="2">
        <v>15995</v>
      </c>
      <c r="K4105" t="s" s="2">
        <v>22</v>
      </c>
      <c r="L4105" t="s" s="2">
        <v>22</v>
      </c>
      <c r="M4105" t="s" s="2">
        <v>22</v>
      </c>
    </row>
    <row r="4106" ht="25.0" customHeight="true">
      <c r="A4106" t="s" s="2">
        <v>13</v>
      </c>
      <c r="B4106" t="s" s="2">
        <f>HYPERLINK("http://ts.21cn.com/tousu/show/id/1369628","信用管家的神马借还款不了.28天才联系")</f>
      </c>
      <c r="C4106" t="s" s="2">
        <v>15</v>
      </c>
      <c r="D4106" t="s" s="2">
        <v>16</v>
      </c>
      <c r="E4106" t="s" s="2">
        <v>17</v>
      </c>
      <c r="F4106" t="s" s="2">
        <f>HYPERLINK("http://ts.21cn.com/tousu/show/id/1369628","http://ts.21cn.com/tousu/show/id/1369628")</f>
      </c>
      <c r="G4106" t="s" s="2">
        <v>17</v>
      </c>
      <c r="H4106" t="s" s="2">
        <v>19</v>
      </c>
      <c r="I4106" t="s" s="2">
        <v>15998</v>
      </c>
      <c r="J4106" t="s" s="2">
        <v>15999</v>
      </c>
      <c r="K4106" t="s" s="2">
        <v>22</v>
      </c>
      <c r="L4106" t="s" s="2">
        <v>22</v>
      </c>
      <c r="M4106" t="s" s="2">
        <v>22</v>
      </c>
    </row>
    <row r="4107" ht="25.0" customHeight="true">
      <c r="A4107" t="s" s="2">
        <v>13</v>
      </c>
      <c r="B4107" t="s" s="2">
        <f>HYPERLINK("http://ts.21cn.com/tousu/show/id/1369626","平安普惠暴力催收，一直骚扰联系人，还加微信一直骚扰")</f>
      </c>
      <c r="C4107" t="s" s="2">
        <v>15</v>
      </c>
      <c r="D4107" t="s" s="2">
        <v>16</v>
      </c>
      <c r="E4107" t="s" s="2">
        <v>17</v>
      </c>
      <c r="F4107" t="s" s="2">
        <f>HYPERLINK("http://ts.21cn.com/tousu/show/id/1369626","http://ts.21cn.com/tousu/show/id/1369626")</f>
      </c>
      <c r="G4107" t="s" s="2">
        <v>17</v>
      </c>
      <c r="H4107" t="s" s="2">
        <v>19</v>
      </c>
      <c r="I4107" t="s" s="2">
        <v>16002</v>
      </c>
      <c r="J4107" t="s" s="2">
        <v>16003</v>
      </c>
      <c r="K4107" t="s" s="2">
        <v>22</v>
      </c>
      <c r="L4107" t="s" s="2">
        <v>22</v>
      </c>
      <c r="M4107" t="s" s="2">
        <v>22</v>
      </c>
    </row>
    <row r="4108" ht="25.0" customHeight="true">
      <c r="A4108" t="s" s="2">
        <v>13</v>
      </c>
      <c r="B4108" t="s" s="2">
        <f>HYPERLINK("http://ts.21cn.com/tousu/show/id/1369625","中信银行")</f>
      </c>
      <c r="C4108" t="s" s="2">
        <v>15</v>
      </c>
      <c r="D4108" t="s" s="2">
        <v>16</v>
      </c>
      <c r="E4108" t="s" s="2">
        <v>17</v>
      </c>
      <c r="F4108" t="s" s="2">
        <f>HYPERLINK("http://ts.21cn.com/tousu/show/id/1369625","http://ts.21cn.com/tousu/show/id/1369625")</f>
      </c>
      <c r="G4108" t="s" s="2">
        <v>17</v>
      </c>
      <c r="H4108" t="s" s="2">
        <v>19</v>
      </c>
      <c r="I4108" t="s" s="2">
        <v>16005</v>
      </c>
      <c r="J4108" t="s" s="2">
        <v>16006</v>
      </c>
      <c r="K4108" t="s" s="2">
        <v>22</v>
      </c>
      <c r="L4108" t="s" s="2">
        <v>22</v>
      </c>
      <c r="M4108" t="s" s="2">
        <v>22</v>
      </c>
    </row>
    <row r="4109" ht="25.0" customHeight="true">
      <c r="A4109" t="s" s="2">
        <v>13</v>
      </c>
      <c r="B4109" t="s" s="2">
        <f>HYPERLINK("http://ts.21cn.com/tousu/show/id/1369624","暴力催收，威胁，高利贷")</f>
      </c>
      <c r="C4109" t="s" s="2">
        <v>15</v>
      </c>
      <c r="D4109" t="s" s="2">
        <v>16</v>
      </c>
      <c r="E4109" t="s" s="2">
        <v>17</v>
      </c>
      <c r="F4109" t="s" s="2">
        <f>HYPERLINK("http://ts.21cn.com/tousu/show/id/1369624","http://ts.21cn.com/tousu/show/id/1369624")</f>
      </c>
      <c r="G4109" t="s" s="2">
        <v>17</v>
      </c>
      <c r="H4109" t="s" s="2">
        <v>19</v>
      </c>
      <c r="I4109" t="s" s="2">
        <v>16009</v>
      </c>
      <c r="J4109" t="s" s="2">
        <v>16010</v>
      </c>
      <c r="K4109" t="s" s="2">
        <v>22</v>
      </c>
      <c r="L4109" t="s" s="2">
        <v>22</v>
      </c>
      <c r="M4109" t="s" s="2">
        <v>22</v>
      </c>
    </row>
    <row r="4110" ht="25.0" customHeight="true">
      <c r="A4110" t="s" s="2">
        <v>13</v>
      </c>
      <c r="B4110" t="s" s="2">
        <f>HYPERLINK("http://ts.21cn.com/tousu/show/id/1369623","美团点评恶意拖欠推广费不退还")</f>
      </c>
      <c r="C4110" t="s" s="2">
        <v>15</v>
      </c>
      <c r="D4110" t="s" s="2">
        <v>16</v>
      </c>
      <c r="E4110" t="s" s="2">
        <v>17</v>
      </c>
      <c r="F4110" t="s" s="2">
        <f>HYPERLINK("http://ts.21cn.com/tousu/show/id/1369623","http://ts.21cn.com/tousu/show/id/1369623")</f>
      </c>
      <c r="G4110" t="s" s="2">
        <v>17</v>
      </c>
      <c r="H4110" t="s" s="2">
        <v>19</v>
      </c>
      <c r="I4110" t="s" s="2">
        <v>16009</v>
      </c>
      <c r="J4110" t="s" s="2">
        <v>16013</v>
      </c>
      <c r="K4110" t="s" s="2">
        <v>22</v>
      </c>
      <c r="L4110" t="s" s="2">
        <v>22</v>
      </c>
      <c r="M4110" t="s" s="2">
        <v>22</v>
      </c>
    </row>
    <row r="4111" ht="25.0" customHeight="true">
      <c r="A4111" t="s" s="2">
        <v>13</v>
      </c>
      <c r="B4111" t="s" s="2">
        <f>HYPERLINK("http://ts.21cn.com/tousu/show/id/1369621","洋钱罐现金借款暴力催收")</f>
      </c>
      <c r="C4111" t="s" s="2">
        <v>15</v>
      </c>
      <c r="D4111" t="s" s="2">
        <v>16</v>
      </c>
      <c r="E4111" t="s" s="2">
        <v>17</v>
      </c>
      <c r="F4111" t="s" s="2">
        <f>HYPERLINK("http://ts.21cn.com/tousu/show/id/1369621","http://ts.21cn.com/tousu/show/id/1369621")</f>
      </c>
      <c r="G4111" t="s" s="2">
        <v>17</v>
      </c>
      <c r="H4111" t="s" s="2">
        <v>19</v>
      </c>
      <c r="I4111" t="s" s="2">
        <v>16016</v>
      </c>
      <c r="J4111" t="s" s="2">
        <v>16017</v>
      </c>
      <c r="K4111" t="s" s="2">
        <v>22</v>
      </c>
      <c r="L4111" t="s" s="2">
        <v>22</v>
      </c>
      <c r="M4111" t="s" s="2">
        <v>22</v>
      </c>
    </row>
    <row r="4112" ht="25.0" customHeight="true">
      <c r="A4112" t="s" s="2">
        <v>13</v>
      </c>
      <c r="B4112" t="s" s="2">
        <f>HYPERLINK("http://ts.21cn.com/tousu/show/id/1369620","APP无法登陆客户电话不接故意导致我逾期")</f>
      </c>
      <c r="C4112" t="s" s="2">
        <v>15</v>
      </c>
      <c r="D4112" t="s" s="2">
        <v>16</v>
      </c>
      <c r="E4112" t="s" s="2">
        <v>17</v>
      </c>
      <c r="F4112" t="s" s="2">
        <f>HYPERLINK("http://ts.21cn.com/tousu/show/id/1369620","http://ts.21cn.com/tousu/show/id/1369620")</f>
      </c>
      <c r="G4112" t="s" s="2">
        <v>17</v>
      </c>
      <c r="H4112" t="s" s="2">
        <v>19</v>
      </c>
      <c r="I4112" t="s" s="2">
        <v>16020</v>
      </c>
      <c r="J4112" t="s" s="2">
        <v>16021</v>
      </c>
      <c r="K4112" t="s" s="2">
        <v>22</v>
      </c>
      <c r="L4112" t="s" s="2">
        <v>22</v>
      </c>
      <c r="M4112" t="s" s="2">
        <v>22</v>
      </c>
    </row>
    <row r="4113" ht="25.0" customHeight="true">
      <c r="A4113" t="s" s="2">
        <v>13</v>
      </c>
      <c r="B4113" t="s" s="2">
        <f>HYPERLINK("http://ts.21cn.com/tousu/show/id/1369619","贷上钱高利贷暴力催收")</f>
      </c>
      <c r="C4113" t="s" s="2">
        <v>15</v>
      </c>
      <c r="D4113" t="s" s="2">
        <v>16</v>
      </c>
      <c r="E4113" t="s" s="2">
        <v>17</v>
      </c>
      <c r="F4113" t="s" s="2">
        <f>HYPERLINK("http://ts.21cn.com/tousu/show/id/1369619","http://ts.21cn.com/tousu/show/id/1369619")</f>
      </c>
      <c r="G4113" t="s" s="2">
        <v>17</v>
      </c>
      <c r="H4113" t="s" s="2">
        <v>19</v>
      </c>
      <c r="I4113" t="s" s="2">
        <v>16023</v>
      </c>
      <c r="J4113" t="s" s="2">
        <v>16024</v>
      </c>
      <c r="K4113" t="s" s="2">
        <v>22</v>
      </c>
      <c r="L4113" t="s" s="2">
        <v>22</v>
      </c>
      <c r="M4113" t="s" s="2">
        <v>22</v>
      </c>
    </row>
    <row r="4114" ht="25.0" customHeight="true">
      <c r="A4114" t="s" s="2">
        <v>13</v>
      </c>
      <c r="B4114" t="s" s="2">
        <f>HYPERLINK("http://ts.21cn.com/tousu/show/id/1369618","闲鱼盗用本人图片，泄露个人信息")</f>
      </c>
      <c r="C4114" t="s" s="2">
        <v>15</v>
      </c>
      <c r="D4114" t="s" s="2">
        <v>16</v>
      </c>
      <c r="E4114" t="s" s="2">
        <v>17</v>
      </c>
      <c r="F4114" t="s" s="2">
        <f>HYPERLINK("http://ts.21cn.com/tousu/show/id/1369618","http://ts.21cn.com/tousu/show/id/1369618")</f>
      </c>
      <c r="G4114" t="s" s="2">
        <v>17</v>
      </c>
      <c r="H4114" t="s" s="2">
        <v>19</v>
      </c>
      <c r="I4114" t="s" s="2">
        <v>16027</v>
      </c>
      <c r="J4114" t="s" s="2">
        <v>16028</v>
      </c>
      <c r="K4114" t="s" s="2">
        <v>22</v>
      </c>
      <c r="L4114" t="s" s="2">
        <v>22</v>
      </c>
      <c r="M4114" t="s" s="2">
        <v>22</v>
      </c>
    </row>
    <row r="4115" ht="25.0" customHeight="true">
      <c r="A4115" t="s" s="2">
        <v>13</v>
      </c>
      <c r="B4115" t="s" s="2">
        <f>HYPERLINK("http://ts.21cn.com/tousu/show/id/1369616","要求招商银行退罚息")</f>
      </c>
      <c r="C4115" t="s" s="2">
        <v>52</v>
      </c>
      <c r="D4115" t="s" s="2">
        <v>16</v>
      </c>
      <c r="E4115" t="s" s="2">
        <v>17</v>
      </c>
      <c r="F4115" t="s" s="2">
        <f>HYPERLINK("http://ts.21cn.com/tousu/show/id/1369616","http://ts.21cn.com/tousu/show/id/1369616")</f>
      </c>
      <c r="G4115" t="s" s="2">
        <v>17</v>
      </c>
      <c r="H4115" t="s" s="2">
        <v>19</v>
      </c>
      <c r="I4115" t="s" s="2">
        <v>16031</v>
      </c>
      <c r="J4115" t="s" s="2">
        <v>16032</v>
      </c>
      <c r="K4115" t="s" s="2">
        <v>22</v>
      </c>
      <c r="L4115" t="s" s="2">
        <v>22</v>
      </c>
      <c r="M4115" t="s" s="2">
        <v>22</v>
      </c>
    </row>
    <row r="4116" ht="25.0" customHeight="true">
      <c r="A4116" t="s" s="2">
        <v>13</v>
      </c>
      <c r="B4116" t="s" s="2">
        <f>HYPERLINK("http://ts.21cn.com/tousu/show/id/1369615","唯品会买的浪琴手表表盘后盖自动脱落")</f>
      </c>
      <c r="C4116" t="s" s="2">
        <v>15</v>
      </c>
      <c r="D4116" t="s" s="2">
        <v>16</v>
      </c>
      <c r="E4116" t="s" s="2">
        <v>17</v>
      </c>
      <c r="F4116" t="s" s="2">
        <f>HYPERLINK("http://ts.21cn.com/tousu/show/id/1369615","http://ts.21cn.com/tousu/show/id/1369615")</f>
      </c>
      <c r="G4116" t="s" s="2">
        <v>17</v>
      </c>
      <c r="H4116" t="s" s="2">
        <v>19</v>
      </c>
      <c r="I4116" t="s" s="2">
        <v>16035</v>
      </c>
      <c r="J4116" t="s" s="2">
        <v>16036</v>
      </c>
      <c r="K4116" t="s" s="2">
        <v>22</v>
      </c>
      <c r="L4116" t="s" s="2">
        <v>22</v>
      </c>
      <c r="M4116" t="s" s="2">
        <v>22</v>
      </c>
    </row>
    <row r="4117" ht="25.0" customHeight="true">
      <c r="A4117" t="s" s="2">
        <v>13</v>
      </c>
      <c r="B4117" t="s" s="2">
        <f>HYPERLINK("http://ts.21cn.com/tousu/show/id/1369617","上海翰银为赌博输平台收单，请求瀚银为我退款挽回经济损失")</f>
      </c>
      <c r="C4117" t="s" s="2">
        <v>15</v>
      </c>
      <c r="D4117" t="s" s="2">
        <v>16</v>
      </c>
      <c r="E4117" t="s" s="2">
        <v>17</v>
      </c>
      <c r="F4117" t="s" s="2">
        <f>HYPERLINK("http://ts.21cn.com/tousu/show/id/1369617","http://ts.21cn.com/tousu/show/id/1369617")</f>
      </c>
      <c r="G4117" t="s" s="2">
        <v>17</v>
      </c>
      <c r="H4117" t="s" s="2">
        <v>19</v>
      </c>
      <c r="I4117" t="s" s="2">
        <v>16038</v>
      </c>
      <c r="J4117" t="s" s="2">
        <v>16039</v>
      </c>
      <c r="K4117" t="s" s="2">
        <v>22</v>
      </c>
      <c r="L4117" t="s" s="2">
        <v>22</v>
      </c>
      <c r="M4117" t="s" s="2">
        <v>22</v>
      </c>
    </row>
    <row r="4118" ht="25.0" customHeight="true">
      <c r="A4118" t="s" s="2">
        <v>13</v>
      </c>
      <c r="B4118" t="s" s="2">
        <f>HYPERLINK("http://ts.21cn.com/tousu/show/id/1369613","360借条收取高额利息问题")</f>
      </c>
      <c r="C4118" t="s" s="2">
        <v>15</v>
      </c>
      <c r="D4118" t="s" s="2">
        <v>16</v>
      </c>
      <c r="E4118" t="s" s="2">
        <v>17</v>
      </c>
      <c r="F4118" t="s" s="2">
        <f>HYPERLINK("http://ts.21cn.com/tousu/show/id/1369613","http://ts.21cn.com/tousu/show/id/1369613")</f>
      </c>
      <c r="G4118" t="s" s="2">
        <v>17</v>
      </c>
      <c r="H4118" t="s" s="2">
        <v>19</v>
      </c>
      <c r="I4118" t="s" s="2">
        <v>16042</v>
      </c>
      <c r="J4118" t="s" s="2">
        <v>16043</v>
      </c>
      <c r="K4118" t="s" s="2">
        <v>22</v>
      </c>
      <c r="L4118" t="s" s="2">
        <v>22</v>
      </c>
      <c r="M4118" t="s" s="2">
        <v>22</v>
      </c>
    </row>
    <row r="4119" ht="25.0" customHeight="true">
      <c r="A4119" t="s" s="2">
        <v>13</v>
      </c>
      <c r="B4119" t="s" s="2">
        <f>HYPERLINK("http://ts.21cn.com/tousu/show/id/1369612","京东金条三方催款短信恐吓威胁")</f>
      </c>
      <c r="C4119" t="s" s="2">
        <v>15</v>
      </c>
      <c r="D4119" t="s" s="2">
        <v>16</v>
      </c>
      <c r="E4119" t="s" s="2">
        <v>17</v>
      </c>
      <c r="F4119" t="s" s="2">
        <f>HYPERLINK("http://ts.21cn.com/tousu/show/id/1369612","http://ts.21cn.com/tousu/show/id/1369612")</f>
      </c>
      <c r="G4119" t="s" s="2">
        <v>17</v>
      </c>
      <c r="H4119" t="s" s="2">
        <v>19</v>
      </c>
      <c r="I4119" t="s" s="2">
        <v>16046</v>
      </c>
      <c r="J4119" t="s" s="2">
        <v>16047</v>
      </c>
      <c r="K4119" t="s" s="2">
        <v>22</v>
      </c>
      <c r="L4119" t="s" s="2">
        <v>22</v>
      </c>
      <c r="M4119" t="s" s="2">
        <v>22</v>
      </c>
    </row>
    <row r="4120" ht="25.0" customHeight="true">
      <c r="A4120" t="s" s="2">
        <v>13</v>
      </c>
      <c r="B4120" t="s" s="2">
        <f>HYPERLINK("http://ts.21cn.com/tousu/show/id/1369614","来客优打电话骚扰")</f>
      </c>
      <c r="C4120" t="s" s="2">
        <v>15</v>
      </c>
      <c r="D4120" t="s" s="2">
        <v>16</v>
      </c>
      <c r="E4120" t="s" s="2">
        <v>17</v>
      </c>
      <c r="F4120" t="s" s="2">
        <f>HYPERLINK("http://ts.21cn.com/tousu/show/id/1369614","http://ts.21cn.com/tousu/show/id/1369614")</f>
      </c>
      <c r="G4120" t="s" s="2">
        <v>17</v>
      </c>
      <c r="H4120" t="s" s="2">
        <v>19</v>
      </c>
      <c r="I4120" t="s" s="2">
        <v>16050</v>
      </c>
      <c r="J4120" t="s" s="2">
        <v>16051</v>
      </c>
      <c r="K4120" t="s" s="2">
        <v>22</v>
      </c>
      <c r="L4120" t="s" s="2">
        <v>22</v>
      </c>
      <c r="M4120" t="s" s="2">
        <v>22</v>
      </c>
    </row>
    <row r="4121" ht="25.0" customHeight="true">
      <c r="A4121" t="s" s="2">
        <v>13</v>
      </c>
      <c r="B4121" t="s" s="2">
        <f>HYPERLINK("http://ts.21cn.com/tousu/show/id/1369611","兴业银行骚要")</f>
      </c>
      <c r="C4121" t="s" s="2">
        <v>52</v>
      </c>
      <c r="D4121" t="s" s="2">
        <v>16</v>
      </c>
      <c r="E4121" t="s" s="2">
        <v>17</v>
      </c>
      <c r="F4121" t="s" s="2">
        <f>HYPERLINK("http://ts.21cn.com/tousu/show/id/1369611","http://ts.21cn.com/tousu/show/id/1369611")</f>
      </c>
      <c r="G4121" t="s" s="2">
        <v>17</v>
      </c>
      <c r="H4121" t="s" s="2">
        <v>19</v>
      </c>
      <c r="I4121" t="s" s="2">
        <v>16054</v>
      </c>
      <c r="J4121" t="s" s="2">
        <v>16055</v>
      </c>
      <c r="K4121" t="s" s="2">
        <v>22</v>
      </c>
      <c r="L4121" t="s" s="2">
        <v>22</v>
      </c>
      <c r="M4121" t="s" s="2">
        <v>22</v>
      </c>
    </row>
    <row r="4122" ht="25.0" customHeight="true">
      <c r="A4122" t="s" s="2">
        <v>13</v>
      </c>
      <c r="B4122" t="s" s="2">
        <f>HYPERLINK("http://ts.21cn.com/tousu/show/id/1369610","9月24号车贷就已经生成了")</f>
      </c>
      <c r="C4122" t="s" s="2">
        <v>52</v>
      </c>
      <c r="D4122" t="s" s="2">
        <v>16</v>
      </c>
      <c r="E4122" t="s" s="2">
        <v>17</v>
      </c>
      <c r="F4122" t="s" s="2">
        <f>HYPERLINK("http://ts.21cn.com/tousu/show/id/1369610","http://ts.21cn.com/tousu/show/id/1369610")</f>
      </c>
      <c r="G4122" t="s" s="2">
        <v>17</v>
      </c>
      <c r="H4122" t="s" s="2">
        <v>19</v>
      </c>
      <c r="I4122" t="s" s="2">
        <v>16058</v>
      </c>
      <c r="J4122" t="s" s="2">
        <v>16059</v>
      </c>
      <c r="K4122" t="s" s="2">
        <v>22</v>
      </c>
      <c r="L4122" t="s" s="2">
        <v>22</v>
      </c>
      <c r="M4122" t="s" s="2">
        <v>22</v>
      </c>
    </row>
    <row r="4123" ht="25.0" customHeight="true">
      <c r="A4123" t="s" s="2">
        <v>13</v>
      </c>
      <c r="B4123" t="s" s="2">
        <f>HYPERLINK("http://ts.21cn.com/tousu/show/id/1369609","网络借贷误导性虚假宣传")</f>
      </c>
      <c r="C4123" t="s" s="2">
        <v>15</v>
      </c>
      <c r="D4123" t="s" s="2">
        <v>16</v>
      </c>
      <c r="E4123" t="s" s="2">
        <v>17</v>
      </c>
      <c r="F4123" t="s" s="2">
        <f>HYPERLINK("http://ts.21cn.com/tousu/show/id/1369609","http://ts.21cn.com/tousu/show/id/1369609")</f>
      </c>
      <c r="G4123" t="s" s="2">
        <v>17</v>
      </c>
      <c r="H4123" t="s" s="2">
        <v>19</v>
      </c>
      <c r="I4123" t="s" s="2">
        <v>16062</v>
      </c>
      <c r="J4123" t="s" s="2">
        <v>16063</v>
      </c>
      <c r="K4123" t="s" s="2">
        <v>22</v>
      </c>
      <c r="L4123" t="s" s="2">
        <v>22</v>
      </c>
      <c r="M4123" t="s" s="2">
        <v>22</v>
      </c>
    </row>
    <row r="4124" ht="25.0" customHeight="true">
      <c r="A4124" t="s" s="2">
        <v>13</v>
      </c>
      <c r="B4124" t="s" s="2">
        <f>HYPERLINK("http://ts.21cn.com/tousu/show/id/1369607","安逸花偷偷扣钱")</f>
      </c>
      <c r="C4124" t="s" s="2">
        <v>15</v>
      </c>
      <c r="D4124" t="s" s="2">
        <v>16</v>
      </c>
      <c r="E4124" t="s" s="2">
        <v>17</v>
      </c>
      <c r="F4124" t="s" s="2">
        <f>HYPERLINK("http://ts.21cn.com/tousu/show/id/1369607","http://ts.21cn.com/tousu/show/id/1369607")</f>
      </c>
      <c r="G4124" t="s" s="2">
        <v>17</v>
      </c>
      <c r="H4124" t="s" s="2">
        <v>19</v>
      </c>
      <c r="I4124" t="s" s="2">
        <v>16066</v>
      </c>
      <c r="J4124" t="s" s="2">
        <v>14347</v>
      </c>
      <c r="K4124" t="s" s="2">
        <v>22</v>
      </c>
      <c r="L4124" t="s" s="2">
        <v>22</v>
      </c>
      <c r="M4124" t="s" s="2">
        <v>22</v>
      </c>
    </row>
    <row r="4125" ht="25.0" customHeight="true">
      <c r="A4125" t="s" s="2">
        <v>13</v>
      </c>
      <c r="B4125" t="s" s="2">
        <f>HYPERLINK("http://ts.21cn.com/tousu/show/id/1036229","玖富万卡擅自改写合同，变相提高手续费用")</f>
      </c>
      <c r="C4125" t="s" s="2">
        <v>15</v>
      </c>
      <c r="D4125" t="s" s="2">
        <v>16</v>
      </c>
      <c r="E4125" t="s" s="2">
        <v>17</v>
      </c>
      <c r="F4125" t="s" s="2">
        <f>HYPERLINK("http://ts.21cn.com/tousu/show/id/1036229","http://ts.21cn.com/tousu/show/id/1036229")</f>
      </c>
      <c r="G4125" t="s" s="2">
        <v>17</v>
      </c>
      <c r="H4125" t="s" s="2">
        <v>19</v>
      </c>
      <c r="I4125" t="s" s="2">
        <v>16069</v>
      </c>
      <c r="J4125" t="s" s="2">
        <v>16070</v>
      </c>
      <c r="K4125" t="s" s="2">
        <v>22</v>
      </c>
      <c r="L4125" t="s" s="2">
        <v>22</v>
      </c>
      <c r="M4125" t="s" s="2">
        <v>22</v>
      </c>
    </row>
    <row r="4126" ht="25.0" customHeight="true">
      <c r="A4126" t="s" s="2">
        <v>13</v>
      </c>
      <c r="B4126" t="s" s="2">
        <f>HYPERLINK("http://ts.21cn.com/tousu/show/id/1369608","捷信高利息借款，按照合理利率还款")</f>
      </c>
      <c r="C4126" t="s" s="2">
        <v>15</v>
      </c>
      <c r="D4126" t="s" s="2">
        <v>16</v>
      </c>
      <c r="E4126" t="s" s="2">
        <v>17</v>
      </c>
      <c r="F4126" t="s" s="2">
        <f>HYPERLINK("http://ts.21cn.com/tousu/show/id/1369608","http://ts.21cn.com/tousu/show/id/1369608")</f>
      </c>
      <c r="G4126" t="s" s="2">
        <v>17</v>
      </c>
      <c r="H4126" t="s" s="2">
        <v>19</v>
      </c>
      <c r="I4126" t="s" s="2">
        <v>16073</v>
      </c>
      <c r="J4126" t="s" s="2">
        <v>16074</v>
      </c>
      <c r="K4126" t="s" s="2">
        <v>22</v>
      </c>
      <c r="L4126" t="s" s="2">
        <v>22</v>
      </c>
      <c r="M4126" t="s" s="2">
        <v>22</v>
      </c>
    </row>
    <row r="4127" ht="25.0" customHeight="true">
      <c r="A4127" t="s" s="2">
        <v>13</v>
      </c>
      <c r="B4127" t="s" s="2">
        <f>HYPERLINK("http://ts.21cn.com/tousu/show/id/1369606","钱站高利息")</f>
      </c>
      <c r="C4127" t="s" s="2">
        <v>15</v>
      </c>
      <c r="D4127" t="s" s="2">
        <v>16</v>
      </c>
      <c r="E4127" t="s" s="2">
        <v>17</v>
      </c>
      <c r="F4127" t="s" s="2">
        <f>HYPERLINK("http://ts.21cn.com/tousu/show/id/1369606","http://ts.21cn.com/tousu/show/id/1369606")</f>
      </c>
      <c r="G4127" t="s" s="2">
        <v>17</v>
      </c>
      <c r="H4127" t="s" s="2">
        <v>19</v>
      </c>
      <c r="I4127" t="s" s="2">
        <v>16077</v>
      </c>
      <c r="J4127" t="s" s="2">
        <v>16078</v>
      </c>
      <c r="K4127" t="s" s="2">
        <v>22</v>
      </c>
      <c r="L4127" t="s" s="2">
        <v>22</v>
      </c>
      <c r="M4127" t="s" s="2">
        <v>22</v>
      </c>
    </row>
    <row r="4128" ht="25.0" customHeight="true">
      <c r="A4128" t="s" s="2">
        <v>13</v>
      </c>
      <c r="B4128" t="s" s="2">
        <f>HYPERLINK("http://ts.21cn.com/tousu/show/id/1369604","误操作向亿览在线充值1000元要求退还。")</f>
      </c>
      <c r="C4128" t="s" s="2">
        <v>15</v>
      </c>
      <c r="D4128" t="s" s="2">
        <v>16</v>
      </c>
      <c r="E4128" t="s" s="2">
        <v>17</v>
      </c>
      <c r="F4128" t="s" s="2">
        <f>HYPERLINK("http://ts.21cn.com/tousu/show/id/1369604","http://ts.21cn.com/tousu/show/id/1369604")</f>
      </c>
      <c r="G4128" t="s" s="2">
        <v>17</v>
      </c>
      <c r="H4128" t="s" s="2">
        <v>19</v>
      </c>
      <c r="I4128" t="s" s="2">
        <v>16081</v>
      </c>
      <c r="J4128" t="s" s="2">
        <v>16082</v>
      </c>
      <c r="K4128" t="s" s="2">
        <v>22</v>
      </c>
      <c r="L4128" t="s" s="2">
        <v>22</v>
      </c>
      <c r="M4128" t="s" s="2">
        <v>22</v>
      </c>
    </row>
    <row r="4129" ht="25.0" customHeight="true">
      <c r="A4129" t="s" s="2">
        <v>13</v>
      </c>
      <c r="B4129" t="s" s="2">
        <f>HYPERLINK("http://ts.21cn.com/tousu/show/id/1369603","对无关人员进行恶意骚扰")</f>
      </c>
      <c r="C4129" t="s" s="2">
        <v>15</v>
      </c>
      <c r="D4129" t="s" s="2">
        <v>16</v>
      </c>
      <c r="E4129" t="s" s="2">
        <v>17</v>
      </c>
      <c r="F4129" t="s" s="2">
        <f>HYPERLINK("http://ts.21cn.com/tousu/show/id/1369603","http://ts.21cn.com/tousu/show/id/1369603")</f>
      </c>
      <c r="G4129" t="s" s="2">
        <v>17</v>
      </c>
      <c r="H4129" t="s" s="2">
        <v>19</v>
      </c>
      <c r="I4129" t="s" s="2">
        <v>16084</v>
      </c>
      <c r="J4129" t="s" s="2">
        <v>16085</v>
      </c>
      <c r="K4129" t="s" s="2">
        <v>22</v>
      </c>
      <c r="L4129" t="s" s="2">
        <v>22</v>
      </c>
      <c r="M4129" t="s" s="2">
        <v>22</v>
      </c>
    </row>
    <row r="4130" ht="25.0" customHeight="true">
      <c r="A4130" t="s" s="2">
        <v>13</v>
      </c>
      <c r="B4130" t="s" s="2">
        <f>HYPERLINK("http://ts.21cn.com/tousu/show/id/1369602","小赢催收一定要打联系人电话确认情况")</f>
      </c>
      <c r="C4130" t="s" s="2">
        <v>15</v>
      </c>
      <c r="D4130" t="s" s="2">
        <v>16</v>
      </c>
      <c r="E4130" t="s" s="2">
        <v>17</v>
      </c>
      <c r="F4130" t="s" s="2">
        <f>HYPERLINK("http://ts.21cn.com/tousu/show/id/1369602","http://ts.21cn.com/tousu/show/id/1369602")</f>
      </c>
      <c r="G4130" t="s" s="2">
        <v>17</v>
      </c>
      <c r="H4130" t="s" s="2">
        <v>19</v>
      </c>
      <c r="I4130" t="s" s="2">
        <v>16088</v>
      </c>
      <c r="J4130" t="s" s="2">
        <v>16089</v>
      </c>
      <c r="K4130" t="s" s="2">
        <v>22</v>
      </c>
      <c r="L4130" t="s" s="2">
        <v>22</v>
      </c>
      <c r="M4130" t="s" s="2">
        <v>22</v>
      </c>
    </row>
    <row r="4131" ht="25.0" customHeight="true">
      <c r="A4131" t="s" s="2">
        <v>13</v>
      </c>
      <c r="B4131" t="s" s="2">
        <f>HYPERLINK("http://ts.21cn.com/tousu/show/id/1369605","暴力催收")</f>
      </c>
      <c r="C4131" t="s" s="2">
        <v>15</v>
      </c>
      <c r="D4131" t="s" s="2">
        <v>16</v>
      </c>
      <c r="E4131" t="s" s="2">
        <v>17</v>
      </c>
      <c r="F4131" t="s" s="2">
        <f>HYPERLINK("http://ts.21cn.com/tousu/show/id/1369605","http://ts.21cn.com/tousu/show/id/1369605")</f>
      </c>
      <c r="G4131" t="s" s="2">
        <v>17</v>
      </c>
      <c r="H4131" t="s" s="2">
        <v>19</v>
      </c>
      <c r="I4131" t="s" s="2">
        <v>16091</v>
      </c>
      <c r="J4131" t="s" s="2">
        <v>16092</v>
      </c>
      <c r="K4131" t="s" s="2">
        <v>22</v>
      </c>
      <c r="L4131" t="s" s="2">
        <v>22</v>
      </c>
      <c r="M4131" t="s" s="2">
        <v>22</v>
      </c>
    </row>
    <row r="4132" ht="25.0" customHeight="true">
      <c r="A4132" t="s" s="2">
        <v>13</v>
      </c>
      <c r="B4132" t="s" s="2">
        <f>HYPERLINK("http://ts.21cn.com/tousu/show/id/1369600","连连银通支付违规为高利贷提供支付通道，你我贷变相收取高额砍头息，超出国家规定利率")</f>
      </c>
      <c r="C4132" t="s" s="2">
        <v>15</v>
      </c>
      <c r="D4132" t="s" s="2">
        <v>16</v>
      </c>
      <c r="E4132" t="s" s="2">
        <v>17</v>
      </c>
      <c r="F4132" t="s" s="2">
        <f>HYPERLINK("http://ts.21cn.com/tousu/show/id/1369600","http://ts.21cn.com/tousu/show/id/1369600")</f>
      </c>
      <c r="G4132" t="s" s="2">
        <v>17</v>
      </c>
      <c r="H4132" t="s" s="2">
        <v>19</v>
      </c>
      <c r="I4132" t="s" s="2">
        <v>16095</v>
      </c>
      <c r="J4132" t="s" s="2">
        <v>16096</v>
      </c>
      <c r="K4132" t="s" s="2">
        <v>22</v>
      </c>
      <c r="L4132" t="s" s="2">
        <v>22</v>
      </c>
      <c r="M4132" t="s" s="2">
        <v>22</v>
      </c>
    </row>
    <row r="4133" ht="25.0" customHeight="true">
      <c r="A4133" t="s" s="2">
        <v>13</v>
      </c>
      <c r="B4133" t="s" s="2">
        <f>HYPERLINK("http://ts.21cn.com/tousu/show/id/1369601","及贷公司扬言P图群发通讯录")</f>
      </c>
      <c r="C4133" t="s" s="2">
        <v>15</v>
      </c>
      <c r="D4133" t="s" s="2">
        <v>16</v>
      </c>
      <c r="E4133" t="s" s="2">
        <v>17</v>
      </c>
      <c r="F4133" t="s" s="2">
        <f>HYPERLINK("http://ts.21cn.com/tousu/show/id/1369601","http://ts.21cn.com/tousu/show/id/1369601")</f>
      </c>
      <c r="G4133" t="s" s="2">
        <v>17</v>
      </c>
      <c r="H4133" t="s" s="2">
        <v>19</v>
      </c>
      <c r="I4133" t="s" s="2">
        <v>16099</v>
      </c>
      <c r="J4133" t="s" s="2">
        <v>16100</v>
      </c>
      <c r="K4133" t="s" s="2">
        <v>22</v>
      </c>
      <c r="L4133" t="s" s="2">
        <v>22</v>
      </c>
      <c r="M4133" t="s" s="2">
        <v>22</v>
      </c>
    </row>
    <row r="4134" ht="25.0" customHeight="true">
      <c r="A4134" t="s" s="2">
        <v>13</v>
      </c>
      <c r="B4134" t="s" s="2">
        <f>HYPERLINK("http://ts.21cn.com/tousu/show/id/1369599","高利贷")</f>
      </c>
      <c r="C4134" t="s" s="2">
        <v>15</v>
      </c>
      <c r="D4134" t="s" s="2">
        <v>16</v>
      </c>
      <c r="E4134" t="s" s="2">
        <v>17</v>
      </c>
      <c r="F4134" t="s" s="2">
        <f>HYPERLINK("http://ts.21cn.com/tousu/show/id/1369599","http://ts.21cn.com/tousu/show/id/1369599")</f>
      </c>
      <c r="G4134" t="s" s="2">
        <v>17</v>
      </c>
      <c r="H4134" t="s" s="2">
        <v>19</v>
      </c>
      <c r="I4134" t="s" s="2">
        <v>16102</v>
      </c>
      <c r="J4134" t="s" s="2">
        <v>16103</v>
      </c>
      <c r="K4134" t="s" s="2">
        <v>22</v>
      </c>
      <c r="L4134" t="s" s="2">
        <v>22</v>
      </c>
      <c r="M4134" t="s" s="2">
        <v>22</v>
      </c>
    </row>
    <row r="4135" ht="25.0" customHeight="true">
      <c r="A4135" t="s" s="2">
        <v>13</v>
      </c>
      <c r="B4135" t="s" s="2">
        <f>HYPERLINK("http://ts.21cn.com/tousu/show/id/1369557","随手记收砍头息，爆力催收，乱爆通讯录")</f>
      </c>
      <c r="C4135" t="s" s="2">
        <v>15</v>
      </c>
      <c r="D4135" t="s" s="2">
        <v>16</v>
      </c>
      <c r="E4135" t="s" s="2">
        <v>17</v>
      </c>
      <c r="F4135" t="s" s="2">
        <f>HYPERLINK("http://ts.21cn.com/tousu/show/id/1369557","http://ts.21cn.com/tousu/show/id/1369557")</f>
      </c>
      <c r="G4135" t="s" s="2">
        <v>17</v>
      </c>
      <c r="H4135" t="s" s="2">
        <v>19</v>
      </c>
      <c r="I4135" t="s" s="2">
        <v>16106</v>
      </c>
      <c r="J4135" t="s" s="2">
        <v>16107</v>
      </c>
      <c r="K4135" t="s" s="2">
        <v>22</v>
      </c>
      <c r="L4135" t="s" s="2">
        <v>22</v>
      </c>
      <c r="M4135" t="s" s="2">
        <v>22</v>
      </c>
    </row>
    <row r="4136" ht="25.0" customHeight="true">
      <c r="A4136" t="s" s="2">
        <v>13</v>
      </c>
      <c r="B4136" t="s" s="2">
        <f>HYPERLINK("http://ts.21cn.com/tousu/show/id/1369598","好易贷，高利套路贷，还款后不销帐")</f>
      </c>
      <c r="C4136" t="s" s="2">
        <v>15</v>
      </c>
      <c r="D4136" t="s" s="2">
        <v>16</v>
      </c>
      <c r="E4136" t="s" s="2">
        <v>17</v>
      </c>
      <c r="F4136" t="s" s="2">
        <f>HYPERLINK("http://ts.21cn.com/tousu/show/id/1369598","http://ts.21cn.com/tousu/show/id/1369598")</f>
      </c>
      <c r="G4136" t="s" s="2">
        <v>17</v>
      </c>
      <c r="H4136" t="s" s="2">
        <v>19</v>
      </c>
      <c r="I4136" t="s" s="2">
        <v>16110</v>
      </c>
      <c r="J4136" t="s" s="2">
        <v>16111</v>
      </c>
      <c r="K4136" t="s" s="2">
        <v>22</v>
      </c>
      <c r="L4136" t="s" s="2">
        <v>22</v>
      </c>
      <c r="M4136" t="s" s="2">
        <v>22</v>
      </c>
    </row>
    <row r="4137" ht="25.0" customHeight="true">
      <c r="A4137" t="s" s="2">
        <v>13</v>
      </c>
      <c r="B4137" t="s" s="2">
        <f>HYPERLINK("http://ts.21cn.com/tousu/show/id/1369573","玖富万卡合同违规，高利贷！中国人民财产保险未告知本人任何情况！平安银行明知道高利贷参与放款！")</f>
      </c>
      <c r="C4137" t="s" s="2">
        <v>15</v>
      </c>
      <c r="D4137" t="s" s="2">
        <v>16</v>
      </c>
      <c r="E4137" t="s" s="2">
        <v>17</v>
      </c>
      <c r="F4137" t="s" s="2">
        <f>HYPERLINK("http://ts.21cn.com/tousu/show/id/1369573","http://ts.21cn.com/tousu/show/id/1369573")</f>
      </c>
      <c r="G4137" t="s" s="2">
        <v>17</v>
      </c>
      <c r="H4137" t="s" s="2">
        <v>19</v>
      </c>
      <c r="I4137" t="s" s="2">
        <v>16114</v>
      </c>
      <c r="J4137" t="s" s="2">
        <v>16115</v>
      </c>
      <c r="K4137" t="s" s="2">
        <v>22</v>
      </c>
      <c r="L4137" t="s" s="2">
        <v>22</v>
      </c>
      <c r="M4137" t="s" s="2">
        <v>22</v>
      </c>
    </row>
    <row r="4138" ht="25.0" customHeight="true">
      <c r="A4138" t="s" s="2">
        <v>13</v>
      </c>
      <c r="B4138" t="s" s="2">
        <f>HYPERLINK("http://ts.21cn.com/tousu/show/id/1369597","腾讯视频会员自动扣费从6月份开始多扣费每月多扣15元连续5个月")</f>
      </c>
      <c r="C4138" t="s" s="2">
        <v>52</v>
      </c>
      <c r="D4138" t="s" s="2">
        <v>16</v>
      </c>
      <c r="E4138" t="s" s="2">
        <v>17</v>
      </c>
      <c r="F4138" t="s" s="2">
        <f>HYPERLINK("http://ts.21cn.com/tousu/show/id/1369597","http://ts.21cn.com/tousu/show/id/1369597")</f>
      </c>
      <c r="G4138" t="s" s="2">
        <v>17</v>
      </c>
      <c r="H4138" t="s" s="2">
        <v>19</v>
      </c>
      <c r="I4138" t="s" s="2">
        <v>16118</v>
      </c>
      <c r="J4138" t="s" s="2">
        <v>16119</v>
      </c>
      <c r="K4138" t="s" s="2">
        <v>22</v>
      </c>
      <c r="L4138" t="s" s="2">
        <v>22</v>
      </c>
      <c r="M4138" t="s" s="2">
        <v>22</v>
      </c>
    </row>
    <row r="4139" ht="25.0" customHeight="true">
      <c r="A4139" t="s" s="2">
        <v>13</v>
      </c>
      <c r="B4139" t="s" s="2">
        <f>HYPERLINK("http://ts.21cn.com/tousu/show/id/1369596","贷上钱变相砍头息")</f>
      </c>
      <c r="C4139" t="s" s="2">
        <v>15</v>
      </c>
      <c r="D4139" t="s" s="2">
        <v>16</v>
      </c>
      <c r="E4139" t="s" s="2">
        <v>17</v>
      </c>
      <c r="F4139" t="s" s="2">
        <f>HYPERLINK("http://ts.21cn.com/tousu/show/id/1369596","http://ts.21cn.com/tousu/show/id/1369596")</f>
      </c>
      <c r="G4139" t="s" s="2">
        <v>17</v>
      </c>
      <c r="H4139" t="s" s="2">
        <v>19</v>
      </c>
      <c r="I4139" t="s" s="2">
        <v>16122</v>
      </c>
      <c r="J4139" t="s" s="2">
        <v>16123</v>
      </c>
      <c r="K4139" t="s" s="2">
        <v>22</v>
      </c>
      <c r="L4139" t="s" s="2">
        <v>22</v>
      </c>
      <c r="M4139" t="s" s="2">
        <v>22</v>
      </c>
    </row>
    <row r="4140" ht="25.0" customHeight="true">
      <c r="A4140" t="s" s="2">
        <v>13</v>
      </c>
      <c r="B4140" t="s" s="2">
        <f>HYPERLINK("http://ts.21cn.com/tousu/show/id/1369595","及贷高利贷，暴力催收")</f>
      </c>
      <c r="C4140" t="s" s="2">
        <v>15</v>
      </c>
      <c r="D4140" t="s" s="2">
        <v>16</v>
      </c>
      <c r="E4140" t="s" s="2">
        <v>17</v>
      </c>
      <c r="F4140" t="s" s="2">
        <f>HYPERLINK("http://ts.21cn.com/tousu/show/id/1369595","http://ts.21cn.com/tousu/show/id/1369595")</f>
      </c>
      <c r="G4140" t="s" s="2">
        <v>17</v>
      </c>
      <c r="H4140" t="s" s="2">
        <v>19</v>
      </c>
      <c r="I4140" t="s" s="2">
        <v>16126</v>
      </c>
      <c r="J4140" t="s" s="2">
        <v>16127</v>
      </c>
      <c r="K4140" t="s" s="2">
        <v>22</v>
      </c>
      <c r="L4140" t="s" s="2">
        <v>22</v>
      </c>
      <c r="M4140" t="s" s="2">
        <v>22</v>
      </c>
    </row>
    <row r="4141" ht="25.0" customHeight="true">
      <c r="A4141" t="s" s="2">
        <v>13</v>
      </c>
      <c r="B4141" t="s" s="2">
        <f>HYPERLINK("http://ts.21cn.com/tousu/show/id/1369594","丹鸟快递送错不改正")</f>
      </c>
      <c r="C4141" t="s" s="2">
        <v>15</v>
      </c>
      <c r="D4141" t="s" s="2">
        <v>16</v>
      </c>
      <c r="E4141" t="s" s="2">
        <v>17</v>
      </c>
      <c r="F4141" t="s" s="2">
        <f>HYPERLINK("http://ts.21cn.com/tousu/show/id/1369594","http://ts.21cn.com/tousu/show/id/1369594")</f>
      </c>
      <c r="G4141" t="s" s="2">
        <v>17</v>
      </c>
      <c r="H4141" t="s" s="2">
        <v>19</v>
      </c>
      <c r="I4141" t="s" s="2">
        <v>16130</v>
      </c>
      <c r="J4141" t="s" s="2">
        <v>16131</v>
      </c>
      <c r="K4141" t="s" s="2">
        <v>22</v>
      </c>
      <c r="L4141" t="s" s="2">
        <v>22</v>
      </c>
      <c r="M4141" t="s" s="2">
        <v>22</v>
      </c>
    </row>
    <row r="4142" ht="25.0" customHeight="true">
      <c r="A4142" t="s" s="2">
        <v>13</v>
      </c>
      <c r="B4142" t="s" s="2">
        <f>HYPERLINK("http://ts.21cn.com/tousu/show/id/1369593","信用飞阴阳合同案，无故收取费用")</f>
      </c>
      <c r="C4142" t="s" s="2">
        <v>15</v>
      </c>
      <c r="D4142" t="s" s="2">
        <v>16</v>
      </c>
      <c r="E4142" t="s" s="2">
        <v>17</v>
      </c>
      <c r="F4142" t="s" s="2">
        <f>HYPERLINK("http://ts.21cn.com/tousu/show/id/1369593","http://ts.21cn.com/tousu/show/id/1369593")</f>
      </c>
      <c r="G4142" t="s" s="2">
        <v>17</v>
      </c>
      <c r="H4142" t="s" s="2">
        <v>19</v>
      </c>
      <c r="I4142" t="s" s="2">
        <v>16134</v>
      </c>
      <c r="J4142" t="s" s="2">
        <v>16135</v>
      </c>
      <c r="K4142" t="s" s="2">
        <v>22</v>
      </c>
      <c r="L4142" t="s" s="2">
        <v>22</v>
      </c>
      <c r="M4142" t="s" s="2">
        <v>22</v>
      </c>
    </row>
    <row r="4143" ht="25.0" customHeight="true">
      <c r="A4143" t="s" s="2">
        <v>13</v>
      </c>
      <c r="B4143" t="s" s="2">
        <f>HYPERLINK("http://ts.21cn.com/tousu/show/id/1369592","维信卡卡贷恶意扣款")</f>
      </c>
      <c r="C4143" t="s" s="2">
        <v>15</v>
      </c>
      <c r="D4143" t="s" s="2">
        <v>16</v>
      </c>
      <c r="E4143" t="s" s="2">
        <v>17</v>
      </c>
      <c r="F4143" t="s" s="2">
        <f>HYPERLINK("http://ts.21cn.com/tousu/show/id/1369592","http://ts.21cn.com/tousu/show/id/1369592")</f>
      </c>
      <c r="G4143" t="s" s="2">
        <v>17</v>
      </c>
      <c r="H4143" t="s" s="2">
        <v>19</v>
      </c>
      <c r="I4143" t="s" s="2">
        <v>16138</v>
      </c>
      <c r="J4143" t="s" s="2">
        <v>16139</v>
      </c>
      <c r="K4143" t="s" s="2">
        <v>22</v>
      </c>
      <c r="L4143" t="s" s="2">
        <v>22</v>
      </c>
      <c r="M4143" t="s" s="2">
        <v>22</v>
      </c>
    </row>
    <row r="4144" ht="25.0" customHeight="true">
      <c r="A4144" t="s" s="2">
        <v>13</v>
      </c>
      <c r="B4144" t="s" s="2">
        <f>HYPERLINK("http://ts.21cn.com/tousu/show/id/1369591","省呗损坏我的荣誉，曝光我的通讯录")</f>
      </c>
      <c r="C4144" t="s" s="2">
        <v>52</v>
      </c>
      <c r="D4144" t="s" s="2">
        <v>16</v>
      </c>
      <c r="E4144" t="s" s="2">
        <v>17</v>
      </c>
      <c r="F4144" t="s" s="2">
        <f>HYPERLINK("http://ts.21cn.com/tousu/show/id/1369591","http://ts.21cn.com/tousu/show/id/1369591")</f>
      </c>
      <c r="G4144" t="s" s="2">
        <v>17</v>
      </c>
      <c r="H4144" t="s" s="2">
        <v>19</v>
      </c>
      <c r="I4144" t="s" s="2">
        <v>16142</v>
      </c>
      <c r="J4144" t="s" s="2">
        <v>16143</v>
      </c>
      <c r="K4144" t="s" s="2">
        <v>22</v>
      </c>
      <c r="L4144" t="s" s="2">
        <v>22</v>
      </c>
      <c r="M4144" t="s" s="2">
        <v>22</v>
      </c>
    </row>
    <row r="4145" ht="25.0" customHeight="true">
      <c r="A4145" t="s" s="2">
        <v>13</v>
      </c>
      <c r="B4145" t="s" s="2">
        <f>HYPERLINK("http://ts.21cn.com/tousu/show/id/1369590","钱站")</f>
      </c>
      <c r="C4145" t="s" s="2">
        <v>15</v>
      </c>
      <c r="D4145" t="s" s="2">
        <v>16</v>
      </c>
      <c r="E4145" t="s" s="2">
        <v>17</v>
      </c>
      <c r="F4145" t="s" s="2">
        <f>HYPERLINK("http://ts.21cn.com/tousu/show/id/1369590","http://ts.21cn.com/tousu/show/id/1369590")</f>
      </c>
      <c r="G4145" t="s" s="2">
        <v>17</v>
      </c>
      <c r="H4145" t="s" s="2">
        <v>19</v>
      </c>
      <c r="I4145" t="s" s="2">
        <v>16145</v>
      </c>
      <c r="J4145" t="s" s="2">
        <v>16146</v>
      </c>
      <c r="K4145" t="s" s="2">
        <v>22</v>
      </c>
      <c r="L4145" t="s" s="2">
        <v>22</v>
      </c>
      <c r="M4145" t="s" s="2">
        <v>22</v>
      </c>
    </row>
    <row r="4146" ht="25.0" customHeight="true">
      <c r="A4146" t="s" s="2">
        <v>13</v>
      </c>
      <c r="B4146" t="s" s="2">
        <f>HYPERLINK("http://ts.21cn.com/tousu/show/id/1369589","无故被特约中智划走钱")</f>
      </c>
      <c r="C4146" t="s" s="2">
        <v>52</v>
      </c>
      <c r="D4146" t="s" s="2">
        <v>16</v>
      </c>
      <c r="E4146" t="s" s="2">
        <v>17</v>
      </c>
      <c r="F4146" t="s" s="2">
        <f>HYPERLINK("http://ts.21cn.com/tousu/show/id/1369589","http://ts.21cn.com/tousu/show/id/1369589")</f>
      </c>
      <c r="G4146" t="s" s="2">
        <v>17</v>
      </c>
      <c r="H4146" t="s" s="2">
        <v>19</v>
      </c>
      <c r="I4146" t="s" s="2">
        <v>16149</v>
      </c>
      <c r="J4146" t="s" s="2">
        <v>16150</v>
      </c>
      <c r="K4146" t="s" s="2">
        <v>22</v>
      </c>
      <c r="L4146" t="s" s="2">
        <v>22</v>
      </c>
      <c r="M4146" t="s" s="2">
        <v>22</v>
      </c>
    </row>
    <row r="4147" ht="25.0" customHeight="true">
      <c r="A4147" t="s" s="2">
        <v>13</v>
      </c>
      <c r="B4147" t="s" s="2">
        <f>HYPERLINK("http://ts.21cn.com/tousu/show/id/1369588","钱站故意制造逾期")</f>
      </c>
      <c r="C4147" t="s" s="2">
        <v>15</v>
      </c>
      <c r="D4147" t="s" s="2">
        <v>16</v>
      </c>
      <c r="E4147" t="s" s="2">
        <v>17</v>
      </c>
      <c r="F4147" t="s" s="2">
        <f>HYPERLINK("http://ts.21cn.com/tousu/show/id/1369588","http://ts.21cn.com/tousu/show/id/1369588")</f>
      </c>
      <c r="G4147" t="s" s="2">
        <v>17</v>
      </c>
      <c r="H4147" t="s" s="2">
        <v>19</v>
      </c>
      <c r="I4147" t="s" s="2">
        <v>16153</v>
      </c>
      <c r="J4147" t="s" s="2">
        <v>16154</v>
      </c>
      <c r="K4147" t="s" s="2">
        <v>22</v>
      </c>
      <c r="L4147" t="s" s="2">
        <v>22</v>
      </c>
      <c r="M4147" t="s" s="2">
        <v>22</v>
      </c>
    </row>
    <row r="4148" ht="25.0" customHeight="true">
      <c r="A4148" t="s" s="2">
        <v>13</v>
      </c>
      <c r="B4148" t="s" s="2">
        <f>HYPERLINK("http://ts.21cn.com/tousu/show/id/1369568","出借人叫我打条不放款不销账")</f>
      </c>
      <c r="C4148" t="s" s="2">
        <v>52</v>
      </c>
      <c r="D4148" t="s" s="2">
        <v>16</v>
      </c>
      <c r="E4148" t="s" s="2">
        <v>17</v>
      </c>
      <c r="F4148" t="s" s="2">
        <f>HYPERLINK("http://ts.21cn.com/tousu/show/id/1369568","http://ts.21cn.com/tousu/show/id/1369568")</f>
      </c>
      <c r="G4148" t="s" s="2">
        <v>17</v>
      </c>
      <c r="H4148" t="s" s="2">
        <v>19</v>
      </c>
      <c r="I4148" t="s" s="2">
        <v>16157</v>
      </c>
      <c r="J4148" t="s" s="2">
        <v>16158</v>
      </c>
      <c r="K4148" t="s" s="2">
        <v>22</v>
      </c>
      <c r="L4148" t="s" s="2">
        <v>22</v>
      </c>
      <c r="M4148" t="s" s="2">
        <v>22</v>
      </c>
    </row>
    <row r="4149" ht="25.0" customHeight="true">
      <c r="A4149" t="s" s="2">
        <v>13</v>
      </c>
      <c r="B4149" t="s" s="2">
        <f>HYPERLINK("http://ts.21cn.com/tousu/show/id/1369587","714叮当想花恶意催收，辱骂")</f>
      </c>
      <c r="C4149" t="s" s="2">
        <v>15</v>
      </c>
      <c r="D4149" t="s" s="2">
        <v>16</v>
      </c>
      <c r="E4149" t="s" s="2">
        <v>17</v>
      </c>
      <c r="F4149" t="s" s="2">
        <f>HYPERLINK("http://ts.21cn.com/tousu/show/id/1369587","http://ts.21cn.com/tousu/show/id/1369587")</f>
      </c>
      <c r="G4149" t="s" s="2">
        <v>17</v>
      </c>
      <c r="H4149" t="s" s="2">
        <v>19</v>
      </c>
      <c r="I4149" t="s" s="2">
        <v>16161</v>
      </c>
      <c r="J4149" t="s" s="2">
        <v>16162</v>
      </c>
      <c r="K4149" t="s" s="2">
        <v>22</v>
      </c>
      <c r="L4149" t="s" s="2">
        <v>22</v>
      </c>
      <c r="M4149" t="s" s="2">
        <v>22</v>
      </c>
    </row>
    <row r="4150" ht="25.0" customHeight="true">
      <c r="A4150" t="s" s="2">
        <v>13</v>
      </c>
      <c r="B4150" t="s" s="2">
        <f>HYPERLINK("http://ts.21cn.com/tousu/show/id/1369586","广东信汇卫赌博网站提供支付通道")</f>
      </c>
      <c r="C4150" t="s" s="2">
        <v>15</v>
      </c>
      <c r="D4150" t="s" s="2">
        <v>16</v>
      </c>
      <c r="E4150" t="s" s="2">
        <v>17</v>
      </c>
      <c r="F4150" t="s" s="2">
        <f>HYPERLINK("http://ts.21cn.com/tousu/show/id/1369586","http://ts.21cn.com/tousu/show/id/1369586")</f>
      </c>
      <c r="G4150" t="s" s="2">
        <v>17</v>
      </c>
      <c r="H4150" t="s" s="2">
        <v>19</v>
      </c>
      <c r="I4150" t="s" s="2">
        <v>16165</v>
      </c>
      <c r="J4150" t="s" s="2">
        <v>16166</v>
      </c>
      <c r="K4150" t="s" s="2">
        <v>22</v>
      </c>
      <c r="L4150" t="s" s="2">
        <v>22</v>
      </c>
      <c r="M4150" t="s" s="2">
        <v>22</v>
      </c>
    </row>
    <row r="4151" ht="25.0" customHeight="true">
      <c r="A4151" t="s" s="2">
        <v>13</v>
      </c>
      <c r="B4151" t="s" s="2">
        <f>HYPERLINK("http://ts.21cn.com/tousu/show/id/1369585","砍头高利贷，威胁还款")</f>
      </c>
      <c r="C4151" t="s" s="2">
        <v>15</v>
      </c>
      <c r="D4151" t="s" s="2">
        <v>16</v>
      </c>
      <c r="E4151" t="s" s="2">
        <v>17</v>
      </c>
      <c r="F4151" t="s" s="2">
        <f>HYPERLINK("http://ts.21cn.com/tousu/show/id/1369585","http://ts.21cn.com/tousu/show/id/1369585")</f>
      </c>
      <c r="G4151" t="s" s="2">
        <v>17</v>
      </c>
      <c r="H4151" t="s" s="2">
        <v>19</v>
      </c>
      <c r="I4151" t="s" s="2">
        <v>16169</v>
      </c>
      <c r="J4151" t="s" s="2">
        <v>16170</v>
      </c>
      <c r="K4151" t="s" s="2">
        <v>22</v>
      </c>
      <c r="L4151" t="s" s="2">
        <v>22</v>
      </c>
      <c r="M4151" t="s" s="2">
        <v>22</v>
      </c>
    </row>
    <row r="4152" ht="25.0" customHeight="true">
      <c r="A4152" t="s" s="2">
        <v>13</v>
      </c>
      <c r="B4152" t="s" s="2">
        <f>HYPERLINK("http://ts.21cn.com/tousu/show/id/1369583","催收威胁恐吓")</f>
      </c>
      <c r="C4152" t="s" s="2">
        <v>15</v>
      </c>
      <c r="D4152" t="s" s="2">
        <v>16</v>
      </c>
      <c r="E4152" t="s" s="2">
        <v>17</v>
      </c>
      <c r="F4152" t="s" s="2">
        <f>HYPERLINK("http://ts.21cn.com/tousu/show/id/1369583","http://ts.21cn.com/tousu/show/id/1369583")</f>
      </c>
      <c r="G4152" t="s" s="2">
        <v>17</v>
      </c>
      <c r="H4152" t="s" s="2">
        <v>19</v>
      </c>
      <c r="I4152" t="s" s="2">
        <v>16173</v>
      </c>
      <c r="J4152" t="s" s="2">
        <v>16174</v>
      </c>
      <c r="K4152" t="s" s="2">
        <v>22</v>
      </c>
      <c r="L4152" t="s" s="2">
        <v>22</v>
      </c>
      <c r="M4152" t="s" s="2">
        <v>22</v>
      </c>
    </row>
    <row r="4153" ht="25.0" customHeight="true">
      <c r="A4153" t="s" s="2">
        <v>13</v>
      </c>
      <c r="B4153" t="s" s="2">
        <f>HYPERLINK("http://ts.21cn.com/tousu/show/id/1369584","大力水手暴力催收，恐吓")</f>
      </c>
      <c r="C4153" t="s" s="2">
        <v>15</v>
      </c>
      <c r="D4153" t="s" s="2">
        <v>16</v>
      </c>
      <c r="E4153" t="s" s="2">
        <v>17</v>
      </c>
      <c r="F4153" t="s" s="2">
        <f>HYPERLINK("http://ts.21cn.com/tousu/show/id/1369584","http://ts.21cn.com/tousu/show/id/1369584")</f>
      </c>
      <c r="G4153" t="s" s="2">
        <v>17</v>
      </c>
      <c r="H4153" t="s" s="2">
        <v>19</v>
      </c>
      <c r="I4153" t="s" s="2">
        <v>16177</v>
      </c>
      <c r="J4153" t="s" s="2">
        <v>16178</v>
      </c>
      <c r="K4153" t="s" s="2">
        <v>22</v>
      </c>
      <c r="L4153" t="s" s="2">
        <v>22</v>
      </c>
      <c r="M4153" t="s" s="2">
        <v>22</v>
      </c>
    </row>
    <row r="4154" ht="25.0" customHeight="true">
      <c r="A4154" t="s" s="2">
        <v>13</v>
      </c>
      <c r="B4154" t="s" s="2">
        <f>HYPERLINK("http://ts.21cn.com/tousu/show/id/1369581","高利贷需要延期")</f>
      </c>
      <c r="C4154" t="s" s="2">
        <v>15</v>
      </c>
      <c r="D4154" t="s" s="2">
        <v>16</v>
      </c>
      <c r="E4154" t="s" s="2">
        <v>17</v>
      </c>
      <c r="F4154" t="s" s="2">
        <f>HYPERLINK("http://ts.21cn.com/tousu/show/id/1369581","http://ts.21cn.com/tousu/show/id/1369581")</f>
      </c>
      <c r="G4154" t="s" s="2">
        <v>17</v>
      </c>
      <c r="H4154" t="s" s="2">
        <v>19</v>
      </c>
      <c r="I4154" t="s" s="2">
        <v>16181</v>
      </c>
      <c r="J4154" t="s" s="2">
        <v>16182</v>
      </c>
      <c r="K4154" t="s" s="2">
        <v>22</v>
      </c>
      <c r="L4154" t="s" s="2">
        <v>22</v>
      </c>
      <c r="M4154" t="s" s="2">
        <v>22</v>
      </c>
    </row>
    <row r="4155" ht="25.0" customHeight="true">
      <c r="A4155" t="s" s="2">
        <v>13</v>
      </c>
      <c r="B4155" t="s" s="2">
        <f>HYPERLINK("http://ts.21cn.com/tousu/show/id/1369580","网贷催收侮辱家人P图")</f>
      </c>
      <c r="C4155" t="s" s="2">
        <v>15</v>
      </c>
      <c r="D4155" t="s" s="2">
        <v>16</v>
      </c>
      <c r="E4155" t="s" s="2">
        <v>17</v>
      </c>
      <c r="F4155" t="s" s="2">
        <f>HYPERLINK("http://ts.21cn.com/tousu/show/id/1369580","http://ts.21cn.com/tousu/show/id/1369580")</f>
      </c>
      <c r="G4155" t="s" s="2">
        <v>17</v>
      </c>
      <c r="H4155" t="s" s="2">
        <v>19</v>
      </c>
      <c r="I4155" t="s" s="2">
        <v>16185</v>
      </c>
      <c r="J4155" t="s" s="2">
        <v>16186</v>
      </c>
      <c r="K4155" t="s" s="2">
        <v>22</v>
      </c>
      <c r="L4155" t="s" s="2">
        <v>22</v>
      </c>
      <c r="M4155" t="s" s="2">
        <v>22</v>
      </c>
    </row>
    <row r="4156" ht="25.0" customHeight="true">
      <c r="A4156" t="s" s="2">
        <v>13</v>
      </c>
      <c r="B4156" t="s" s="2">
        <f>HYPERLINK("http://ts.21cn.com/tousu/show/id/1369579","联系第三方催收暴力催收打通讯录")</f>
      </c>
      <c r="C4156" t="s" s="2">
        <v>15</v>
      </c>
      <c r="D4156" t="s" s="2">
        <v>16</v>
      </c>
      <c r="E4156" t="s" s="2">
        <v>17</v>
      </c>
      <c r="F4156" t="s" s="2">
        <f>HYPERLINK("http://ts.21cn.com/tousu/show/id/1369579","http://ts.21cn.com/tousu/show/id/1369579")</f>
      </c>
      <c r="G4156" t="s" s="2">
        <v>17</v>
      </c>
      <c r="H4156" t="s" s="2">
        <v>19</v>
      </c>
      <c r="I4156" t="s" s="2">
        <v>16189</v>
      </c>
      <c r="J4156" t="s" s="2">
        <v>16190</v>
      </c>
      <c r="K4156" t="s" s="2">
        <v>22</v>
      </c>
      <c r="L4156" t="s" s="2">
        <v>22</v>
      </c>
      <c r="M4156" t="s" s="2">
        <v>22</v>
      </c>
    </row>
    <row r="4157" ht="25.0" customHeight="true">
      <c r="A4157" t="s" s="2">
        <v>13</v>
      </c>
      <c r="B4157" t="s" s="2">
        <f>HYPERLINK("http://ts.21cn.com/tousu/show/id/1369578","恶意扣款299元")</f>
      </c>
      <c r="C4157" t="s" s="2">
        <v>15</v>
      </c>
      <c r="D4157" t="s" s="2">
        <v>16</v>
      </c>
      <c r="E4157" t="s" s="2">
        <v>17</v>
      </c>
      <c r="F4157" t="s" s="2">
        <f>HYPERLINK("http://ts.21cn.com/tousu/show/id/1369578","http://ts.21cn.com/tousu/show/id/1369578")</f>
      </c>
      <c r="G4157" t="s" s="2">
        <v>17</v>
      </c>
      <c r="H4157" t="s" s="2">
        <v>19</v>
      </c>
      <c r="I4157" t="s" s="2">
        <v>16193</v>
      </c>
      <c r="J4157" t="s" s="2">
        <v>16194</v>
      </c>
      <c r="K4157" t="s" s="2">
        <v>22</v>
      </c>
      <c r="L4157" t="s" s="2">
        <v>22</v>
      </c>
      <c r="M4157" t="s" s="2">
        <v>22</v>
      </c>
    </row>
    <row r="4158" ht="25.0" customHeight="true">
      <c r="A4158" t="s" s="2">
        <v>13</v>
      </c>
      <c r="B4158" t="s" s="2">
        <f>HYPERLINK("http://ts.21cn.com/tousu/show/id/1369576","暴力催收，恶意骚扰无关人员，威胁辱骂，")</f>
      </c>
      <c r="C4158" t="s" s="2">
        <v>15</v>
      </c>
      <c r="D4158" t="s" s="2">
        <v>16</v>
      </c>
      <c r="E4158" t="s" s="2">
        <v>17</v>
      </c>
      <c r="F4158" t="s" s="2">
        <f>HYPERLINK("http://ts.21cn.com/tousu/show/id/1369576","http://ts.21cn.com/tousu/show/id/1369576")</f>
      </c>
      <c r="G4158" t="s" s="2">
        <v>17</v>
      </c>
      <c r="H4158" t="s" s="2">
        <v>19</v>
      </c>
      <c r="I4158" t="s" s="2">
        <v>16197</v>
      </c>
      <c r="J4158" t="s" s="2">
        <v>16198</v>
      </c>
      <c r="K4158" t="s" s="2">
        <v>22</v>
      </c>
      <c r="L4158" t="s" s="2">
        <v>22</v>
      </c>
      <c r="M4158" t="s" s="2">
        <v>22</v>
      </c>
    </row>
    <row r="4159" ht="25.0" customHeight="true">
      <c r="A4159" t="s" s="2">
        <v>13</v>
      </c>
      <c r="B4159" t="s" s="2">
        <f>HYPERLINK("http://ts.21cn.com/tousu/show/id/1369577","深圳市顺鑫隆实业发展有限公司未安约定退还定金，出尔反尔")</f>
      </c>
      <c r="C4159" t="s" s="2">
        <v>15</v>
      </c>
      <c r="D4159" t="s" s="2">
        <v>16</v>
      </c>
      <c r="E4159" t="s" s="2">
        <v>17</v>
      </c>
      <c r="F4159" t="s" s="2">
        <f>HYPERLINK("http://ts.21cn.com/tousu/show/id/1369577","http://ts.21cn.com/tousu/show/id/1369577")</f>
      </c>
      <c r="G4159" t="s" s="2">
        <v>17</v>
      </c>
      <c r="H4159" t="s" s="2">
        <v>19</v>
      </c>
      <c r="I4159" t="s" s="2">
        <v>16201</v>
      </c>
      <c r="J4159" t="s" s="2">
        <v>16202</v>
      </c>
      <c r="K4159" t="s" s="2">
        <v>22</v>
      </c>
      <c r="L4159" t="s" s="2">
        <v>22</v>
      </c>
      <c r="M4159" t="s" s="2">
        <v>22</v>
      </c>
    </row>
    <row r="4160" ht="25.0" customHeight="true">
      <c r="A4160" t="s" s="2">
        <v>13</v>
      </c>
      <c r="B4160" t="s" s="2">
        <f>HYPERLINK("http://ts.21cn.com/tousu/show/id/1369574","新生-安庆盛通信息科技有限公司无缘故扣款288元，没有任何理由和服务就扣款")</f>
      </c>
      <c r="C4160" t="s" s="2">
        <v>15</v>
      </c>
      <c r="D4160" t="s" s="2">
        <v>16</v>
      </c>
      <c r="E4160" t="s" s="2">
        <v>17</v>
      </c>
      <c r="F4160" t="s" s="2">
        <f>HYPERLINK("http://ts.21cn.com/tousu/show/id/1369574","http://ts.21cn.com/tousu/show/id/1369574")</f>
      </c>
      <c r="G4160" t="s" s="2">
        <v>17</v>
      </c>
      <c r="H4160" t="s" s="2">
        <v>19</v>
      </c>
      <c r="I4160" t="s" s="2">
        <v>16205</v>
      </c>
      <c r="J4160" t="s" s="2">
        <v>16206</v>
      </c>
      <c r="K4160" t="s" s="2">
        <v>22</v>
      </c>
      <c r="L4160" t="s" s="2">
        <v>22</v>
      </c>
      <c r="M4160" t="s" s="2">
        <v>22</v>
      </c>
    </row>
    <row r="4161" ht="25.0" customHeight="true">
      <c r="A4161" t="s" s="2">
        <v>13</v>
      </c>
      <c r="B4161" t="s" s="2">
        <f>HYPERLINK("http://ts.21cn.com/tousu/show/id/1369572","违规套路贷")</f>
      </c>
      <c r="C4161" t="s" s="2">
        <v>15</v>
      </c>
      <c r="D4161" t="s" s="2">
        <v>16</v>
      </c>
      <c r="E4161" t="s" s="2">
        <v>17</v>
      </c>
      <c r="F4161" t="s" s="2">
        <f>HYPERLINK("http://ts.21cn.com/tousu/show/id/1369572","http://ts.21cn.com/tousu/show/id/1369572")</f>
      </c>
      <c r="G4161" t="s" s="2">
        <v>17</v>
      </c>
      <c r="H4161" t="s" s="2">
        <v>19</v>
      </c>
      <c r="I4161" t="s" s="2">
        <v>16209</v>
      </c>
      <c r="J4161" t="s" s="2">
        <v>16210</v>
      </c>
      <c r="K4161" t="s" s="2">
        <v>22</v>
      </c>
      <c r="L4161" t="s" s="2">
        <v>22</v>
      </c>
      <c r="M4161" t="s" s="2">
        <v>22</v>
      </c>
    </row>
    <row r="4162" ht="25.0" customHeight="true">
      <c r="A4162" t="s" s="2">
        <v>13</v>
      </c>
      <c r="B4162" t="s" s="2">
        <f>HYPERLINK("http://ts.21cn.com/tousu/show/id/1369571","威胁上门让后果自负")</f>
      </c>
      <c r="C4162" t="s" s="2">
        <v>15</v>
      </c>
      <c r="D4162" t="s" s="2">
        <v>16</v>
      </c>
      <c r="E4162" t="s" s="2">
        <v>17</v>
      </c>
      <c r="F4162" t="s" s="2">
        <f>HYPERLINK("http://ts.21cn.com/tousu/show/id/1369571","http://ts.21cn.com/tousu/show/id/1369571")</f>
      </c>
      <c r="G4162" t="s" s="2">
        <v>17</v>
      </c>
      <c r="H4162" t="s" s="2">
        <v>19</v>
      </c>
      <c r="I4162" t="s" s="2">
        <v>16213</v>
      </c>
      <c r="J4162" t="s" s="2">
        <v>16214</v>
      </c>
      <c r="K4162" t="s" s="2">
        <v>22</v>
      </c>
      <c r="L4162" t="s" s="2">
        <v>22</v>
      </c>
      <c r="M4162" t="s" s="2">
        <v>22</v>
      </c>
    </row>
    <row r="4163" ht="25.0" customHeight="true">
      <c r="A4163" t="s" s="2">
        <v>13</v>
      </c>
      <c r="B4163" t="s" s="2">
        <f>HYPERLINK("http://ts.21cn.com/tousu/show/id/1369570","退还高利息")</f>
      </c>
      <c r="C4163" t="s" s="2">
        <v>15</v>
      </c>
      <c r="D4163" t="s" s="2">
        <v>16</v>
      </c>
      <c r="E4163" t="s" s="2">
        <v>17</v>
      </c>
      <c r="F4163" t="s" s="2">
        <f>HYPERLINK("http://ts.21cn.com/tousu/show/id/1369570","http://ts.21cn.com/tousu/show/id/1369570")</f>
      </c>
      <c r="G4163" t="s" s="2">
        <v>17</v>
      </c>
      <c r="H4163" t="s" s="2">
        <v>19</v>
      </c>
      <c r="I4163" t="s" s="2">
        <v>16217</v>
      </c>
      <c r="J4163" t="s" s="2">
        <v>16218</v>
      </c>
      <c r="K4163" t="s" s="2">
        <v>22</v>
      </c>
      <c r="L4163" t="s" s="2">
        <v>22</v>
      </c>
      <c r="M4163" t="s" s="2">
        <v>22</v>
      </c>
    </row>
    <row r="4164" ht="25.0" customHeight="true">
      <c r="A4164" t="s" s="2">
        <v>13</v>
      </c>
      <c r="B4164" t="s" s="2">
        <f>HYPERLINK("http://ts.21cn.com/tousu/show/id/1369569","唯品会不给补偿差价")</f>
      </c>
      <c r="C4164" t="s" s="2">
        <v>15</v>
      </c>
      <c r="D4164" t="s" s="2">
        <v>16</v>
      </c>
      <c r="E4164" t="s" s="2">
        <v>17</v>
      </c>
      <c r="F4164" t="s" s="2">
        <f>HYPERLINK("http://ts.21cn.com/tousu/show/id/1369569","http://ts.21cn.com/tousu/show/id/1369569")</f>
      </c>
      <c r="G4164" t="s" s="2">
        <v>17</v>
      </c>
      <c r="H4164" t="s" s="2">
        <v>19</v>
      </c>
      <c r="I4164" t="s" s="2">
        <v>16221</v>
      </c>
      <c r="J4164" t="s" s="2">
        <v>16222</v>
      </c>
      <c r="K4164" t="s" s="2">
        <v>22</v>
      </c>
      <c r="L4164" t="s" s="2">
        <v>22</v>
      </c>
      <c r="M4164" t="s" s="2">
        <v>22</v>
      </c>
    </row>
    <row r="4165" ht="25.0" customHeight="true">
      <c r="A4165" t="s" s="2">
        <v>13</v>
      </c>
      <c r="B4165" t="s" s="2">
        <f>HYPERLINK("http://ts.21cn.com/tousu/show/id/1369567","赫美微贷蛮横无理")</f>
      </c>
      <c r="C4165" t="s" s="2">
        <v>15</v>
      </c>
      <c r="D4165" t="s" s="2">
        <v>16</v>
      </c>
      <c r="E4165" t="s" s="2">
        <v>17</v>
      </c>
      <c r="F4165" t="s" s="2">
        <f>HYPERLINK("http://ts.21cn.com/tousu/show/id/1369567","http://ts.21cn.com/tousu/show/id/1369567")</f>
      </c>
      <c r="G4165" t="s" s="2">
        <v>17</v>
      </c>
      <c r="H4165" t="s" s="2">
        <v>19</v>
      </c>
      <c r="I4165" t="s" s="2">
        <v>16225</v>
      </c>
      <c r="J4165" t="s" s="2">
        <v>16226</v>
      </c>
      <c r="K4165" t="s" s="2">
        <v>22</v>
      </c>
      <c r="L4165" t="s" s="2">
        <v>22</v>
      </c>
      <c r="M4165" t="s" s="2">
        <v>22</v>
      </c>
    </row>
    <row r="4166" ht="25.0" customHeight="true">
      <c r="A4166" t="s" s="2">
        <v>13</v>
      </c>
      <c r="B4166" t="s" s="2">
        <f>HYPERLINK("http://ts.21cn.com/tousu/show/id/1369566","闪银砍头息")</f>
      </c>
      <c r="C4166" t="s" s="2">
        <v>15</v>
      </c>
      <c r="D4166" t="s" s="2">
        <v>16</v>
      </c>
      <c r="E4166" t="s" s="2">
        <v>17</v>
      </c>
      <c r="F4166" t="s" s="2">
        <f>HYPERLINK("http://ts.21cn.com/tousu/show/id/1369566","http://ts.21cn.com/tousu/show/id/1369566")</f>
      </c>
      <c r="G4166" t="s" s="2">
        <v>17</v>
      </c>
      <c r="H4166" t="s" s="2">
        <v>19</v>
      </c>
      <c r="I4166" t="s" s="2">
        <v>16229</v>
      </c>
      <c r="J4166" t="s" s="2">
        <v>16230</v>
      </c>
      <c r="K4166" t="s" s="2">
        <v>22</v>
      </c>
      <c r="L4166" t="s" s="2">
        <v>22</v>
      </c>
      <c r="M4166" t="s" s="2">
        <v>22</v>
      </c>
    </row>
    <row r="4167" ht="25.0" customHeight="true">
      <c r="A4167" t="s" s="2">
        <v>13</v>
      </c>
      <c r="B4167" t="s" s="2">
        <f>HYPERLINK("http://ts.21cn.com/tousu/show/id/1369564","湖南浩瀚原钱金金平台退我游戏币砍头息费用")</f>
      </c>
      <c r="C4167" t="s" s="2">
        <v>52</v>
      </c>
      <c r="D4167" t="s" s="2">
        <v>16</v>
      </c>
      <c r="E4167" t="s" s="2">
        <v>17</v>
      </c>
      <c r="F4167" t="s" s="2">
        <f>HYPERLINK("http://ts.21cn.com/tousu/show/id/1369564","http://ts.21cn.com/tousu/show/id/1369564")</f>
      </c>
      <c r="G4167" t="s" s="2">
        <v>17</v>
      </c>
      <c r="H4167" t="s" s="2">
        <v>19</v>
      </c>
      <c r="I4167" t="s" s="2">
        <v>16233</v>
      </c>
      <c r="J4167" t="s" s="2">
        <v>16234</v>
      </c>
      <c r="K4167" t="s" s="2">
        <v>22</v>
      </c>
      <c r="L4167" t="s" s="2">
        <v>22</v>
      </c>
      <c r="M4167" t="s" s="2">
        <v>22</v>
      </c>
    </row>
    <row r="4168" ht="25.0" customHeight="true">
      <c r="A4168" t="s" s="2">
        <v>13</v>
      </c>
      <c r="B4168" t="s" s="2">
        <f>HYPERLINK("http://ts.21cn.com/tousu/show/id/1369563","乐刷威胁强制退30%,不同意连30都没了")</f>
      </c>
      <c r="C4168" t="s" s="2">
        <v>52</v>
      </c>
      <c r="D4168" t="s" s="2">
        <v>16</v>
      </c>
      <c r="E4168" t="s" s="2">
        <v>17</v>
      </c>
      <c r="F4168" t="s" s="2">
        <f>HYPERLINK("http://ts.21cn.com/tousu/show/id/1369563","http://ts.21cn.com/tousu/show/id/1369563")</f>
      </c>
      <c r="G4168" t="s" s="2">
        <v>17</v>
      </c>
      <c r="H4168" t="s" s="2">
        <v>19</v>
      </c>
      <c r="I4168" t="s" s="2">
        <v>16237</v>
      </c>
      <c r="J4168" t="s" s="2">
        <v>16238</v>
      </c>
      <c r="K4168" t="s" s="2">
        <v>22</v>
      </c>
      <c r="L4168" t="s" s="2">
        <v>22</v>
      </c>
      <c r="M4168" t="s" s="2">
        <v>22</v>
      </c>
    </row>
    <row r="4169" ht="25.0" customHeight="true">
      <c r="A4169" t="s" s="2">
        <v>13</v>
      </c>
      <c r="B4169" t="s" s="2">
        <f>HYPERLINK("http://ts.21cn.com/tousu/show/id/1369561","凡普信暴力催收群发短信")</f>
      </c>
      <c r="C4169" t="s" s="2">
        <v>15</v>
      </c>
      <c r="D4169" t="s" s="2">
        <v>16</v>
      </c>
      <c r="E4169" t="s" s="2">
        <v>17</v>
      </c>
      <c r="F4169" t="s" s="2">
        <f>HYPERLINK("http://ts.21cn.com/tousu/show/id/1369561","http://ts.21cn.com/tousu/show/id/1369561")</f>
      </c>
      <c r="G4169" t="s" s="2">
        <v>17</v>
      </c>
      <c r="H4169" t="s" s="2">
        <v>19</v>
      </c>
      <c r="I4169" t="s" s="2">
        <v>16241</v>
      </c>
      <c r="J4169" t="s" s="2">
        <v>16242</v>
      </c>
      <c r="K4169" t="s" s="2">
        <v>22</v>
      </c>
      <c r="L4169" t="s" s="2">
        <v>22</v>
      </c>
      <c r="M4169" t="s" s="2">
        <v>22</v>
      </c>
    </row>
    <row r="4170" ht="25.0" customHeight="true">
      <c r="A4170" t="s" s="2">
        <v>13</v>
      </c>
      <c r="B4170" t="s" s="2">
        <f>HYPERLINK("http://ts.21cn.com/tousu/show/id/1369560","好分期，借2700还3500请问合理吗")</f>
      </c>
      <c r="C4170" t="s" s="2">
        <v>15</v>
      </c>
      <c r="D4170" t="s" s="2">
        <v>16</v>
      </c>
      <c r="E4170" t="s" s="2">
        <v>17</v>
      </c>
      <c r="F4170" t="s" s="2">
        <f>HYPERLINK("http://ts.21cn.com/tousu/show/id/1369560","http://ts.21cn.com/tousu/show/id/1369560")</f>
      </c>
      <c r="G4170" t="s" s="2">
        <v>17</v>
      </c>
      <c r="H4170" t="s" s="2">
        <v>19</v>
      </c>
      <c r="I4170" t="s" s="2">
        <v>16245</v>
      </c>
      <c r="J4170" t="s" s="2">
        <v>16246</v>
      </c>
      <c r="K4170" t="s" s="2">
        <v>22</v>
      </c>
      <c r="L4170" t="s" s="2">
        <v>22</v>
      </c>
      <c r="M4170" t="s" s="2">
        <v>22</v>
      </c>
    </row>
    <row r="4171" ht="25.0" customHeight="true">
      <c r="A4171" t="s" s="2">
        <v>13</v>
      </c>
      <c r="B4171" t="s" s="2">
        <f>HYPERLINK("http://ts.21cn.com/tousu/show/id/1369559","你我贷暴力让我还款，我经济确实有问题了，要求协商还款，但是他们不同意")</f>
      </c>
      <c r="C4171" t="s" s="2">
        <v>15</v>
      </c>
      <c r="D4171" t="s" s="2">
        <v>16</v>
      </c>
      <c r="E4171" t="s" s="2">
        <v>17</v>
      </c>
      <c r="F4171" t="s" s="2">
        <f>HYPERLINK("http://ts.21cn.com/tousu/show/id/1369559","http://ts.21cn.com/tousu/show/id/1369559")</f>
      </c>
      <c r="G4171" t="s" s="2">
        <v>17</v>
      </c>
      <c r="H4171" t="s" s="2">
        <v>19</v>
      </c>
      <c r="I4171" t="s" s="2">
        <v>16249</v>
      </c>
      <c r="J4171" t="s" s="2">
        <v>16250</v>
      </c>
      <c r="K4171" t="s" s="2">
        <v>22</v>
      </c>
      <c r="L4171" t="s" s="2">
        <v>22</v>
      </c>
      <c r="M4171" t="s" s="2">
        <v>22</v>
      </c>
    </row>
    <row r="4172" ht="25.0" customHeight="true">
      <c r="A4172" t="s" s="2">
        <v>13</v>
      </c>
      <c r="B4172" t="s" s="2">
        <f>HYPERLINK("http://ts.21cn.com/tousu/show/id/1369555","修改信用卡分期")</f>
      </c>
      <c r="C4172" t="s" s="2">
        <v>15</v>
      </c>
      <c r="D4172" t="s" s="2">
        <v>16</v>
      </c>
      <c r="E4172" t="s" s="2">
        <v>17</v>
      </c>
      <c r="F4172" t="s" s="2">
        <f>HYPERLINK("http://ts.21cn.com/tousu/show/id/1369555","http://ts.21cn.com/tousu/show/id/1369555")</f>
      </c>
      <c r="G4172" t="s" s="2">
        <v>17</v>
      </c>
      <c r="H4172" t="s" s="2">
        <v>19</v>
      </c>
      <c r="I4172" t="s" s="2">
        <v>16253</v>
      </c>
      <c r="J4172" t="s" s="2">
        <v>16254</v>
      </c>
      <c r="K4172" t="s" s="2">
        <v>22</v>
      </c>
      <c r="L4172" t="s" s="2">
        <v>22</v>
      </c>
      <c r="M4172" t="s" s="2">
        <v>22</v>
      </c>
    </row>
    <row r="4173" ht="25.0" customHeight="true">
      <c r="A4173" t="s" s="2">
        <v>13</v>
      </c>
      <c r="B4173" t="s" s="2">
        <f>HYPERLINK("http://ts.21cn.com/tousu/show/id/1369556","51即刻有恶意催收爆通讯录")</f>
      </c>
      <c r="C4173" t="s" s="2">
        <v>15</v>
      </c>
      <c r="D4173" t="s" s="2">
        <v>16</v>
      </c>
      <c r="E4173" t="s" s="2">
        <v>17</v>
      </c>
      <c r="F4173" t="s" s="2">
        <f>HYPERLINK("http://ts.21cn.com/tousu/show/id/1369556","http://ts.21cn.com/tousu/show/id/1369556")</f>
      </c>
      <c r="G4173" t="s" s="2">
        <v>17</v>
      </c>
      <c r="H4173" t="s" s="2">
        <v>19</v>
      </c>
      <c r="I4173" t="s" s="2">
        <v>16257</v>
      </c>
      <c r="J4173" t="s" s="2">
        <v>16258</v>
      </c>
      <c r="K4173" t="s" s="2">
        <v>22</v>
      </c>
      <c r="L4173" t="s" s="2">
        <v>22</v>
      </c>
      <c r="M4173" t="s" s="2">
        <v>22</v>
      </c>
    </row>
    <row r="4174" ht="25.0" customHeight="true">
      <c r="A4174" t="s" s="2">
        <v>13</v>
      </c>
      <c r="B4174" t="s" s="2">
        <f>HYPERLINK("http://ts.21cn.com/tousu/show/id/1369554","携程助力差几人助力无记录")</f>
      </c>
      <c r="C4174" t="s" s="2">
        <v>52</v>
      </c>
      <c r="D4174" t="s" s="2">
        <v>16</v>
      </c>
      <c r="E4174" t="s" s="2">
        <v>17</v>
      </c>
      <c r="F4174" t="s" s="2">
        <f>HYPERLINK("http://ts.21cn.com/tousu/show/id/1369554","http://ts.21cn.com/tousu/show/id/1369554")</f>
      </c>
      <c r="G4174" t="s" s="2">
        <v>17</v>
      </c>
      <c r="H4174" t="s" s="2">
        <v>19</v>
      </c>
      <c r="I4174" t="s" s="2">
        <v>16261</v>
      </c>
      <c r="J4174" t="s" s="2">
        <v>16262</v>
      </c>
      <c r="K4174" t="s" s="2">
        <v>22</v>
      </c>
      <c r="L4174" t="s" s="2">
        <v>22</v>
      </c>
      <c r="M4174" t="s" s="2">
        <v>22</v>
      </c>
    </row>
    <row r="4175" ht="25.0" customHeight="true">
      <c r="A4175" t="s" s="2">
        <v>13</v>
      </c>
      <c r="B4175" t="s" s="2">
        <f>HYPERLINK("http://ts.21cn.com/tousu/show/id/1369553","一个接一个电话骚扰我和我的亲戚")</f>
      </c>
      <c r="C4175" t="s" s="2">
        <v>52</v>
      </c>
      <c r="D4175" t="s" s="2">
        <v>16</v>
      </c>
      <c r="E4175" t="s" s="2">
        <v>17</v>
      </c>
      <c r="F4175" t="s" s="2">
        <f>HYPERLINK("http://ts.21cn.com/tousu/show/id/1369553","http://ts.21cn.com/tousu/show/id/1369553")</f>
      </c>
      <c r="G4175" t="s" s="2">
        <v>17</v>
      </c>
      <c r="H4175" t="s" s="2">
        <v>19</v>
      </c>
      <c r="I4175" t="s" s="2">
        <v>16265</v>
      </c>
      <c r="J4175" t="s" s="2">
        <v>16266</v>
      </c>
      <c r="K4175" t="s" s="2">
        <v>22</v>
      </c>
      <c r="L4175" t="s" s="2">
        <v>22</v>
      </c>
      <c r="M4175" t="s" s="2">
        <v>22</v>
      </c>
    </row>
    <row r="4176" ht="25.0" customHeight="true">
      <c r="A4176" t="s" s="2">
        <v>13</v>
      </c>
      <c r="B4176" t="s" s="2">
        <f>HYPERLINK("http://ts.21cn.com/tousu/show/id/1369552","钱站更改还款日期")</f>
      </c>
      <c r="C4176" t="s" s="2">
        <v>15</v>
      </c>
      <c r="D4176" t="s" s="2">
        <v>16</v>
      </c>
      <c r="E4176" t="s" s="2">
        <v>17</v>
      </c>
      <c r="F4176" t="s" s="2">
        <f>HYPERLINK("http://ts.21cn.com/tousu/show/id/1369552","http://ts.21cn.com/tousu/show/id/1369552")</f>
      </c>
      <c r="G4176" t="s" s="2">
        <v>17</v>
      </c>
      <c r="H4176" t="s" s="2">
        <v>19</v>
      </c>
      <c r="I4176" t="s" s="2">
        <v>16269</v>
      </c>
      <c r="J4176" t="s" s="2">
        <v>16270</v>
      </c>
      <c r="K4176" t="s" s="2">
        <v>22</v>
      </c>
      <c r="L4176" t="s" s="2">
        <v>22</v>
      </c>
      <c r="M4176" t="s" s="2">
        <v>22</v>
      </c>
    </row>
    <row r="4177" ht="25.0" customHeight="true">
      <c r="A4177" t="s" s="2">
        <v>13</v>
      </c>
      <c r="B4177" t="s" s="2">
        <f>HYPERLINK("http://ts.21cn.com/tousu/show/id/1369551","自由摩卡零压贷砍头息高利贷不退款")</f>
      </c>
      <c r="C4177" t="s" s="2">
        <v>15</v>
      </c>
      <c r="D4177" t="s" s="2">
        <v>16</v>
      </c>
      <c r="E4177" t="s" s="2">
        <v>17</v>
      </c>
      <c r="F4177" t="s" s="2">
        <f>HYPERLINK("http://ts.21cn.com/tousu/show/id/1369551","http://ts.21cn.com/tousu/show/id/1369551")</f>
      </c>
      <c r="G4177" t="s" s="2">
        <v>17</v>
      </c>
      <c r="H4177" t="s" s="2">
        <v>19</v>
      </c>
      <c r="I4177" t="s" s="2">
        <v>16273</v>
      </c>
      <c r="J4177" t="s" s="2">
        <v>16274</v>
      </c>
      <c r="K4177" t="s" s="2">
        <v>22</v>
      </c>
      <c r="L4177" t="s" s="2">
        <v>22</v>
      </c>
      <c r="M4177" t="s" s="2">
        <v>22</v>
      </c>
    </row>
    <row r="4178" ht="25.0" customHeight="true">
      <c r="A4178" t="s" s="2">
        <v>13</v>
      </c>
      <c r="B4178" t="s" s="2">
        <f>HYPERLINK("http://ts.21cn.com/tousu/show/id/1369549","中国银行信用卡中心雇佣三方骚扰我")</f>
      </c>
      <c r="C4178" t="s" s="2">
        <v>15</v>
      </c>
      <c r="D4178" t="s" s="2">
        <v>16</v>
      </c>
      <c r="E4178" t="s" s="2">
        <v>17</v>
      </c>
      <c r="F4178" t="s" s="2">
        <f>HYPERLINK("http://ts.21cn.com/tousu/show/id/1369549","http://ts.21cn.com/tousu/show/id/1369549")</f>
      </c>
      <c r="G4178" t="s" s="2">
        <v>17</v>
      </c>
      <c r="H4178" t="s" s="2">
        <v>19</v>
      </c>
      <c r="I4178" t="s" s="2">
        <v>16277</v>
      </c>
      <c r="J4178" t="s" s="2">
        <v>16278</v>
      </c>
      <c r="K4178" t="s" s="2">
        <v>22</v>
      </c>
      <c r="L4178" t="s" s="2">
        <v>22</v>
      </c>
      <c r="M4178" t="s" s="2">
        <v>22</v>
      </c>
    </row>
    <row r="4179" ht="25.0" customHeight="true">
      <c r="A4179" t="s" s="2">
        <v>13</v>
      </c>
      <c r="B4179" t="s" s="2">
        <f>HYPERLINK("http://ts.21cn.com/tousu/show/id/1369548","今日头条，请退还我的血汗钱")</f>
      </c>
      <c r="C4179" t="s" s="2">
        <v>15</v>
      </c>
      <c r="D4179" t="s" s="2">
        <v>16</v>
      </c>
      <c r="E4179" t="s" s="2">
        <v>17</v>
      </c>
      <c r="F4179" t="s" s="2">
        <f>HYPERLINK("http://ts.21cn.com/tousu/show/id/1369548","http://ts.21cn.com/tousu/show/id/1369548")</f>
      </c>
      <c r="G4179" t="s" s="2">
        <v>17</v>
      </c>
      <c r="H4179" t="s" s="2">
        <v>19</v>
      </c>
      <c r="I4179" t="s" s="2">
        <v>16281</v>
      </c>
      <c r="J4179" t="s" s="2">
        <v>16282</v>
      </c>
      <c r="K4179" t="s" s="2">
        <v>22</v>
      </c>
      <c r="L4179" t="s" s="2">
        <v>22</v>
      </c>
      <c r="M4179" t="s" s="2">
        <v>22</v>
      </c>
    </row>
    <row r="4180" ht="25.0" customHeight="true">
      <c r="A4180" t="s" s="2">
        <v>13</v>
      </c>
      <c r="B4180" t="s" s="2">
        <f>HYPERLINK("http://ts.21cn.com/tousu/show/id/1369547","浦发万用金协商处理")</f>
      </c>
      <c r="C4180" t="s" s="2">
        <v>15</v>
      </c>
      <c r="D4180" t="s" s="2">
        <v>16</v>
      </c>
      <c r="E4180" t="s" s="2">
        <v>17</v>
      </c>
      <c r="F4180" t="s" s="2">
        <f>HYPERLINK("http://ts.21cn.com/tousu/show/id/1369547","http://ts.21cn.com/tousu/show/id/1369547")</f>
      </c>
      <c r="G4180" t="s" s="2">
        <v>17</v>
      </c>
      <c r="H4180" t="s" s="2">
        <v>19</v>
      </c>
      <c r="I4180" t="s" s="2">
        <v>16285</v>
      </c>
      <c r="J4180" t="s" s="2">
        <v>16286</v>
      </c>
      <c r="K4180" t="s" s="2">
        <v>22</v>
      </c>
      <c r="L4180" t="s" s="2">
        <v>22</v>
      </c>
      <c r="M4180" t="s" s="2">
        <v>22</v>
      </c>
    </row>
    <row r="4181" ht="25.0" customHeight="true">
      <c r="A4181" t="s" s="2">
        <v>13</v>
      </c>
      <c r="B4181" t="s" s="2">
        <f>HYPERLINK("http://ts.21cn.com/tousu/show/id/1369544","淘宝商家恶意短信轰炸，淘宝监管不力，不作为")</f>
      </c>
      <c r="C4181" t="s" s="2">
        <v>15</v>
      </c>
      <c r="D4181" t="s" s="2">
        <v>16</v>
      </c>
      <c r="E4181" t="s" s="2">
        <v>17</v>
      </c>
      <c r="F4181" t="s" s="2">
        <f>HYPERLINK("http://ts.21cn.com/tousu/show/id/1369544","http://ts.21cn.com/tousu/show/id/1369544")</f>
      </c>
      <c r="G4181" t="s" s="2">
        <v>17</v>
      </c>
      <c r="H4181" t="s" s="2">
        <v>19</v>
      </c>
      <c r="I4181" t="s" s="2">
        <v>16289</v>
      </c>
      <c r="J4181" t="s" s="2">
        <v>16290</v>
      </c>
      <c r="K4181" t="s" s="2">
        <v>22</v>
      </c>
      <c r="L4181" t="s" s="2">
        <v>22</v>
      </c>
      <c r="M4181" t="s" s="2">
        <v>22</v>
      </c>
    </row>
    <row r="4182" ht="25.0" customHeight="true">
      <c r="A4182" t="s" s="2">
        <v>13</v>
      </c>
      <c r="B4182" t="s" s="2">
        <f>HYPERLINK("http://ts.21cn.com/tousu/show/id/1369545","拍怕贷高利率")</f>
      </c>
      <c r="C4182" t="s" s="2">
        <v>52</v>
      </c>
      <c r="D4182" t="s" s="2">
        <v>16</v>
      </c>
      <c r="E4182" t="s" s="2">
        <v>17</v>
      </c>
      <c r="F4182" t="s" s="2">
        <f>HYPERLINK("http://ts.21cn.com/tousu/show/id/1369545","http://ts.21cn.com/tousu/show/id/1369545")</f>
      </c>
      <c r="G4182" t="s" s="2">
        <v>17</v>
      </c>
      <c r="H4182" t="s" s="2">
        <v>19</v>
      </c>
      <c r="I4182" t="s" s="2">
        <v>16293</v>
      </c>
      <c r="J4182" t="s" s="2">
        <v>16294</v>
      </c>
      <c r="K4182" t="s" s="2">
        <v>22</v>
      </c>
      <c r="L4182" t="s" s="2">
        <v>22</v>
      </c>
      <c r="M4182" t="s" s="2">
        <v>22</v>
      </c>
    </row>
    <row r="4183" ht="25.0" customHeight="true">
      <c r="A4183" t="s" s="2">
        <v>13</v>
      </c>
      <c r="B4183" t="s" s="2">
        <f>HYPERLINK("http://ts.21cn.com/tousu/show/id/1369546","信用钱包短信轰炸同事")</f>
      </c>
      <c r="C4183" t="s" s="2">
        <v>52</v>
      </c>
      <c r="D4183" t="s" s="2">
        <v>16</v>
      </c>
      <c r="E4183" t="s" s="2">
        <v>17</v>
      </c>
      <c r="F4183" t="s" s="2">
        <f>HYPERLINK("http://ts.21cn.com/tousu/show/id/1369546","http://ts.21cn.com/tousu/show/id/1369546")</f>
      </c>
      <c r="G4183" t="s" s="2">
        <v>17</v>
      </c>
      <c r="H4183" t="s" s="2">
        <v>19</v>
      </c>
      <c r="I4183" t="s" s="2">
        <v>16297</v>
      </c>
      <c r="J4183" t="s" s="2">
        <v>16298</v>
      </c>
      <c r="K4183" t="s" s="2">
        <v>22</v>
      </c>
      <c r="L4183" t="s" s="2">
        <v>22</v>
      </c>
      <c r="M4183" t="s" s="2">
        <v>22</v>
      </c>
    </row>
    <row r="4184" ht="25.0" customHeight="true">
      <c r="A4184" t="s" s="2">
        <v>13</v>
      </c>
      <c r="B4184" t="s" s="2">
        <f>HYPERLINK("http://ts.21cn.com/tousu/show/id/1369543","拉卡拉随意扣取我账户资金，要求退回非法所得")</f>
      </c>
      <c r="C4184" t="s" s="2">
        <v>15</v>
      </c>
      <c r="D4184" t="s" s="2">
        <v>16</v>
      </c>
      <c r="E4184" t="s" s="2">
        <v>17</v>
      </c>
      <c r="F4184" t="s" s="2">
        <f>HYPERLINK("http://ts.21cn.com/tousu/show/id/1369543","http://ts.21cn.com/tousu/show/id/1369543")</f>
      </c>
      <c r="G4184" t="s" s="2">
        <v>17</v>
      </c>
      <c r="H4184" t="s" s="2">
        <v>19</v>
      </c>
      <c r="I4184" t="s" s="2">
        <v>16297</v>
      </c>
      <c r="J4184" t="s" s="2">
        <v>16301</v>
      </c>
      <c r="K4184" t="s" s="2">
        <v>22</v>
      </c>
      <c r="L4184" t="s" s="2">
        <v>22</v>
      </c>
      <c r="M4184" t="s" s="2">
        <v>22</v>
      </c>
    </row>
    <row r="4185" ht="25.0" customHeight="true">
      <c r="A4185" t="s" s="2">
        <v>13</v>
      </c>
      <c r="B4185" t="s" s="2">
        <f>HYPERLINK("http://ts.21cn.com/tousu/show/id/1369542","高利贷")</f>
      </c>
      <c r="C4185" t="s" s="2">
        <v>15</v>
      </c>
      <c r="D4185" t="s" s="2">
        <v>16</v>
      </c>
      <c r="E4185" t="s" s="2">
        <v>17</v>
      </c>
      <c r="F4185" t="s" s="2">
        <f>HYPERLINK("http://ts.21cn.com/tousu/show/id/1369542","http://ts.21cn.com/tousu/show/id/1369542")</f>
      </c>
      <c r="G4185" t="s" s="2">
        <v>17</v>
      </c>
      <c r="H4185" t="s" s="2">
        <v>19</v>
      </c>
      <c r="I4185" t="s" s="2">
        <v>16303</v>
      </c>
      <c r="J4185" t="s" s="2">
        <v>16304</v>
      </c>
      <c r="K4185" t="s" s="2">
        <v>22</v>
      </c>
      <c r="L4185" t="s" s="2">
        <v>22</v>
      </c>
      <c r="M4185" t="s" s="2">
        <v>22</v>
      </c>
    </row>
    <row r="4186" ht="25.0" customHeight="true">
      <c r="A4186" t="s" s="2">
        <v>13</v>
      </c>
      <c r="B4186" t="s" s="2">
        <f>HYPERLINK("http://ts.21cn.com/tousu/show/id/1369541","你我贷上市公司收取服务费不开发票高利贷且暴力催收")</f>
      </c>
      <c r="C4186" t="s" s="2">
        <v>15</v>
      </c>
      <c r="D4186" t="s" s="2">
        <v>16</v>
      </c>
      <c r="E4186" t="s" s="2">
        <v>17</v>
      </c>
      <c r="F4186" t="s" s="2">
        <f>HYPERLINK("http://ts.21cn.com/tousu/show/id/1369541","http://ts.21cn.com/tousu/show/id/1369541")</f>
      </c>
      <c r="G4186" t="s" s="2">
        <v>17</v>
      </c>
      <c r="H4186" t="s" s="2">
        <v>19</v>
      </c>
      <c r="I4186" t="s" s="2">
        <v>16307</v>
      </c>
      <c r="J4186" t="s" s="2">
        <v>16308</v>
      </c>
      <c r="K4186" t="s" s="2">
        <v>22</v>
      </c>
      <c r="L4186" t="s" s="2">
        <v>22</v>
      </c>
      <c r="M4186" t="s" s="2">
        <v>22</v>
      </c>
    </row>
    <row r="4187" ht="25.0" customHeight="true">
      <c r="A4187" t="s" s="2">
        <v>13</v>
      </c>
      <c r="B4187" t="s" s="2">
        <f>HYPERLINK("http://ts.21cn.com/tousu/show/id/1369540","马上金融骚扰通讯录")</f>
      </c>
      <c r="C4187" t="s" s="2">
        <v>15</v>
      </c>
      <c r="D4187" t="s" s="2">
        <v>16</v>
      </c>
      <c r="E4187" t="s" s="2">
        <v>17</v>
      </c>
      <c r="F4187" t="s" s="2">
        <f>HYPERLINK("http://ts.21cn.com/tousu/show/id/1369540","http://ts.21cn.com/tousu/show/id/1369540")</f>
      </c>
      <c r="G4187" t="s" s="2">
        <v>17</v>
      </c>
      <c r="H4187" t="s" s="2">
        <v>19</v>
      </c>
      <c r="I4187" t="s" s="2">
        <v>16311</v>
      </c>
      <c r="J4187" t="s" s="2">
        <v>16312</v>
      </c>
      <c r="K4187" t="s" s="2">
        <v>22</v>
      </c>
      <c r="L4187" t="s" s="2">
        <v>22</v>
      </c>
      <c r="M4187" t="s" s="2">
        <v>22</v>
      </c>
    </row>
    <row r="4188" ht="25.0" customHeight="true">
      <c r="A4188" t="s" s="2">
        <v>13</v>
      </c>
      <c r="B4188" t="s" s="2">
        <f>HYPERLINK("http://ts.21cn.com/tousu/show/id/1369539","拖欠工资")</f>
      </c>
      <c r="C4188" t="s" s="2">
        <v>15</v>
      </c>
      <c r="D4188" t="s" s="2">
        <v>16</v>
      </c>
      <c r="E4188" t="s" s="2">
        <v>17</v>
      </c>
      <c r="F4188" t="s" s="2">
        <f>HYPERLINK("http://ts.21cn.com/tousu/show/id/1369539","http://ts.21cn.com/tousu/show/id/1369539")</f>
      </c>
      <c r="G4188" t="s" s="2">
        <v>17</v>
      </c>
      <c r="H4188" t="s" s="2">
        <v>19</v>
      </c>
      <c r="I4188" t="s" s="2">
        <v>16315</v>
      </c>
      <c r="J4188" t="s" s="2">
        <v>16316</v>
      </c>
      <c r="K4188" t="s" s="2">
        <v>22</v>
      </c>
      <c r="L4188" t="s" s="2">
        <v>22</v>
      </c>
      <c r="M4188" t="s" s="2">
        <v>22</v>
      </c>
    </row>
    <row r="4189" ht="25.0" customHeight="true">
      <c r="A4189" t="s" s="2">
        <v>13</v>
      </c>
      <c r="B4189" t="s" s="2">
        <f>HYPERLINK("http://ts.21cn.com/tousu/show/id/1369537","及贷暴力催收雇佣黑社会恐吓威胁")</f>
      </c>
      <c r="C4189" t="s" s="2">
        <v>15</v>
      </c>
      <c r="D4189" t="s" s="2">
        <v>16</v>
      </c>
      <c r="E4189" t="s" s="2">
        <v>17</v>
      </c>
      <c r="F4189" t="s" s="2">
        <f>HYPERLINK("http://ts.21cn.com/tousu/show/id/1369537","http://ts.21cn.com/tousu/show/id/1369537")</f>
      </c>
      <c r="G4189" t="s" s="2">
        <v>17</v>
      </c>
      <c r="H4189" t="s" s="2">
        <v>19</v>
      </c>
      <c r="I4189" t="s" s="2">
        <v>16319</v>
      </c>
      <c r="J4189" t="s" s="2">
        <v>16320</v>
      </c>
      <c r="K4189" t="s" s="2">
        <v>22</v>
      </c>
      <c r="L4189" t="s" s="2">
        <v>22</v>
      </c>
      <c r="M4189" t="s" s="2">
        <v>22</v>
      </c>
    </row>
    <row r="4190" ht="25.0" customHeight="true">
      <c r="A4190" t="s" s="2">
        <v>13</v>
      </c>
      <c r="B4190" t="s" s="2">
        <f>HYPERLINK("http://ts.21cn.com/tousu/show/id/1369538","星赫梁山信息科技有限公司乱扣费")</f>
      </c>
      <c r="C4190" t="s" s="2">
        <v>15</v>
      </c>
      <c r="D4190" t="s" s="2">
        <v>16</v>
      </c>
      <c r="E4190" t="s" s="2">
        <v>17</v>
      </c>
      <c r="F4190" t="s" s="2">
        <f>HYPERLINK("http://ts.21cn.com/tousu/show/id/1369538","http://ts.21cn.com/tousu/show/id/1369538")</f>
      </c>
      <c r="G4190" t="s" s="2">
        <v>17</v>
      </c>
      <c r="H4190" t="s" s="2">
        <v>19</v>
      </c>
      <c r="I4190" t="s" s="2">
        <v>16319</v>
      </c>
      <c r="J4190" t="s" s="2">
        <v>16323</v>
      </c>
      <c r="K4190" t="s" s="2">
        <v>22</v>
      </c>
      <c r="L4190" t="s" s="2">
        <v>22</v>
      </c>
      <c r="M4190" t="s" s="2">
        <v>22</v>
      </c>
    </row>
    <row r="4191" ht="25.0" customHeight="true">
      <c r="A4191" t="s" s="2">
        <v>13</v>
      </c>
      <c r="B4191" t="s" s="2">
        <f>HYPERLINK("http://ts.21cn.com/tousu/show/id/1369536","高炮高利贷")</f>
      </c>
      <c r="C4191" t="s" s="2">
        <v>15</v>
      </c>
      <c r="D4191" t="s" s="2">
        <v>16</v>
      </c>
      <c r="E4191" t="s" s="2">
        <v>17</v>
      </c>
      <c r="F4191" t="s" s="2">
        <f>HYPERLINK("http://ts.21cn.com/tousu/show/id/1369536","http://ts.21cn.com/tousu/show/id/1369536")</f>
      </c>
      <c r="G4191" t="s" s="2">
        <v>17</v>
      </c>
      <c r="H4191" t="s" s="2">
        <v>19</v>
      </c>
      <c r="I4191" t="s" s="2">
        <v>16326</v>
      </c>
      <c r="J4191" t="s" s="2">
        <v>16327</v>
      </c>
      <c r="K4191" t="s" s="2">
        <v>22</v>
      </c>
      <c r="L4191" t="s" s="2">
        <v>22</v>
      </c>
      <c r="M4191" t="s" s="2">
        <v>22</v>
      </c>
    </row>
    <row r="4192" ht="25.0" customHeight="true">
      <c r="A4192" t="s" s="2">
        <v>13</v>
      </c>
      <c r="B4192" t="s" s="2">
        <f>HYPERLINK("http://ts.21cn.com/tousu/show/id/1369535","人品贷转让借款，要求协商减免，开通还款方式，还有我之前所有的借款都有砍头息，而且已经还的利息都已经超借款金额")</f>
      </c>
      <c r="C4192" t="s" s="2">
        <v>15</v>
      </c>
      <c r="D4192" t="s" s="2">
        <v>16</v>
      </c>
      <c r="E4192" t="s" s="2">
        <v>17</v>
      </c>
      <c r="F4192" t="s" s="2">
        <f>HYPERLINK("http://ts.21cn.com/tousu/show/id/1369535","http://ts.21cn.com/tousu/show/id/1369535")</f>
      </c>
      <c r="G4192" t="s" s="2">
        <v>17</v>
      </c>
      <c r="H4192" t="s" s="2">
        <v>19</v>
      </c>
      <c r="I4192" t="s" s="2">
        <v>16330</v>
      </c>
      <c r="J4192" t="s" s="2">
        <v>16331</v>
      </c>
      <c r="K4192" t="s" s="2">
        <v>22</v>
      </c>
      <c r="L4192" t="s" s="2">
        <v>22</v>
      </c>
      <c r="M4192" t="s" s="2">
        <v>22</v>
      </c>
    </row>
    <row r="4193" ht="25.0" customHeight="true">
      <c r="A4193" t="s" s="2">
        <v>13</v>
      </c>
      <c r="B4193" t="s" s="2">
        <f>HYPERLINK("http://ts.21cn.com/tousu/show/id/1369534","未安约定退还定金，出尔反尔")</f>
      </c>
      <c r="C4193" t="s" s="2">
        <v>15</v>
      </c>
      <c r="D4193" t="s" s="2">
        <v>16</v>
      </c>
      <c r="E4193" t="s" s="2">
        <v>17</v>
      </c>
      <c r="F4193" t="s" s="2">
        <f>HYPERLINK("http://ts.21cn.com/tousu/show/id/1369534","http://ts.21cn.com/tousu/show/id/1369534")</f>
      </c>
      <c r="G4193" t="s" s="2">
        <v>17</v>
      </c>
      <c r="H4193" t="s" s="2">
        <v>19</v>
      </c>
      <c r="I4193" t="s" s="2">
        <v>16334</v>
      </c>
      <c r="J4193" t="s" s="2">
        <v>16202</v>
      </c>
      <c r="K4193" t="s" s="2">
        <v>22</v>
      </c>
      <c r="L4193" t="s" s="2">
        <v>22</v>
      </c>
      <c r="M4193" t="s" s="2">
        <v>22</v>
      </c>
    </row>
    <row r="4194" ht="25.0" customHeight="true">
      <c r="A4194" t="s" s="2">
        <v>13</v>
      </c>
      <c r="B4194" t="s" s="2">
        <f>HYPERLINK("http://ts.21cn.com/tousu/show/id/1369532","宝付乱扣费")</f>
      </c>
      <c r="C4194" t="s" s="2">
        <v>15</v>
      </c>
      <c r="D4194" t="s" s="2">
        <v>16</v>
      </c>
      <c r="E4194" t="s" s="2">
        <v>17</v>
      </c>
      <c r="F4194" t="s" s="2">
        <f>HYPERLINK("http://ts.21cn.com/tousu/show/id/1369532","http://ts.21cn.com/tousu/show/id/1369532")</f>
      </c>
      <c r="G4194" t="s" s="2">
        <v>17</v>
      </c>
      <c r="H4194" t="s" s="2">
        <v>19</v>
      </c>
      <c r="I4194" t="s" s="2">
        <v>16337</v>
      </c>
      <c r="J4194" t="s" s="2">
        <v>16338</v>
      </c>
      <c r="K4194" t="s" s="2">
        <v>22</v>
      </c>
      <c r="L4194" t="s" s="2">
        <v>22</v>
      </c>
      <c r="M4194" t="s" s="2">
        <v>22</v>
      </c>
    </row>
    <row r="4195" ht="25.0" customHeight="true">
      <c r="A4195" t="s" s="2">
        <v>13</v>
      </c>
      <c r="B4195" t="s" s="2">
        <f>HYPERLINK("http://ts.21cn.com/tousu/show/id/1369531","牛人有品威胁")</f>
      </c>
      <c r="C4195" t="s" s="2">
        <v>15</v>
      </c>
      <c r="D4195" t="s" s="2">
        <v>16</v>
      </c>
      <c r="E4195" t="s" s="2">
        <v>17</v>
      </c>
      <c r="F4195" t="s" s="2">
        <f>HYPERLINK("http://ts.21cn.com/tousu/show/id/1369531","http://ts.21cn.com/tousu/show/id/1369531")</f>
      </c>
      <c r="G4195" t="s" s="2">
        <v>17</v>
      </c>
      <c r="H4195" t="s" s="2">
        <v>19</v>
      </c>
      <c r="I4195" t="s" s="2">
        <v>16341</v>
      </c>
      <c r="J4195" t="s" s="2">
        <v>16342</v>
      </c>
      <c r="K4195" t="s" s="2">
        <v>22</v>
      </c>
      <c r="L4195" t="s" s="2">
        <v>22</v>
      </c>
      <c r="M4195" t="s" s="2">
        <v>22</v>
      </c>
    </row>
    <row r="4196" ht="25.0" customHeight="true">
      <c r="A4196" t="s" s="2">
        <v>13</v>
      </c>
      <c r="B4196" t="s" s="2">
        <f>HYPERLINK("http://ts.21cn.com/tousu/show/id/1369530","闪银骚扰本人，骚扰联系人")</f>
      </c>
      <c r="C4196" t="s" s="2">
        <v>15</v>
      </c>
      <c r="D4196" t="s" s="2">
        <v>16</v>
      </c>
      <c r="E4196" t="s" s="2">
        <v>17</v>
      </c>
      <c r="F4196" t="s" s="2">
        <f>HYPERLINK("http://ts.21cn.com/tousu/show/id/1369530","http://ts.21cn.com/tousu/show/id/1369530")</f>
      </c>
      <c r="G4196" t="s" s="2">
        <v>17</v>
      </c>
      <c r="H4196" t="s" s="2">
        <v>19</v>
      </c>
      <c r="I4196" t="s" s="2">
        <v>16345</v>
      </c>
      <c r="J4196" t="s" s="2">
        <v>16346</v>
      </c>
      <c r="K4196" t="s" s="2">
        <v>22</v>
      </c>
      <c r="L4196" t="s" s="2">
        <v>22</v>
      </c>
      <c r="M4196" t="s" s="2">
        <v>22</v>
      </c>
    </row>
    <row r="4197" ht="25.0" customHeight="true">
      <c r="A4197" t="s" s="2">
        <v>13</v>
      </c>
      <c r="B4197" t="s" s="2">
        <f>HYPERLINK("http://ts.21cn.com/tousu/show/id/1369527","公告与实际不符带来的后果让玩家承担")</f>
      </c>
      <c r="C4197" t="s" s="2">
        <v>52</v>
      </c>
      <c r="D4197" t="s" s="2">
        <v>16</v>
      </c>
      <c r="E4197" t="s" s="2">
        <v>17</v>
      </c>
      <c r="F4197" t="s" s="2">
        <f>HYPERLINK("http://ts.21cn.com/tousu/show/id/1369527","http://ts.21cn.com/tousu/show/id/1369527")</f>
      </c>
      <c r="G4197" t="s" s="2">
        <v>17</v>
      </c>
      <c r="H4197" t="s" s="2">
        <v>19</v>
      </c>
      <c r="I4197" t="s" s="2">
        <v>16349</v>
      </c>
      <c r="J4197" t="s" s="2">
        <v>16350</v>
      </c>
      <c r="K4197" t="s" s="2">
        <v>22</v>
      </c>
      <c r="L4197" t="s" s="2">
        <v>22</v>
      </c>
      <c r="M4197" t="s" s="2">
        <v>22</v>
      </c>
    </row>
    <row r="4198" ht="25.0" customHeight="true">
      <c r="A4198" t="s" s="2">
        <v>13</v>
      </c>
      <c r="B4198" t="s" s="2">
        <f>HYPERLINK("http://ts.21cn.com/tousu/show/id/1369526","暴力催收")</f>
      </c>
      <c r="C4198" t="s" s="2">
        <v>15</v>
      </c>
      <c r="D4198" t="s" s="2">
        <v>16</v>
      </c>
      <c r="E4198" t="s" s="2">
        <v>17</v>
      </c>
      <c r="F4198" t="s" s="2">
        <f>HYPERLINK("http://ts.21cn.com/tousu/show/id/1369526","http://ts.21cn.com/tousu/show/id/1369526")</f>
      </c>
      <c r="G4198" t="s" s="2">
        <v>17</v>
      </c>
      <c r="H4198" t="s" s="2">
        <v>19</v>
      </c>
      <c r="I4198" t="s" s="2">
        <v>16352</v>
      </c>
      <c r="J4198" t="s" s="2">
        <v>16353</v>
      </c>
      <c r="K4198" t="s" s="2">
        <v>22</v>
      </c>
      <c r="L4198" t="s" s="2">
        <v>22</v>
      </c>
      <c r="M4198" t="s" s="2">
        <v>22</v>
      </c>
    </row>
    <row r="4199" ht="25.0" customHeight="true">
      <c r="A4199" t="s" s="2">
        <v>13</v>
      </c>
      <c r="B4199" t="s" s="2">
        <f>HYPERLINK("http://ts.21cn.com/tousu/show/id/1369529","投诉用钱宝利息高提前结清，利息费用不减免")</f>
      </c>
      <c r="C4199" t="s" s="2">
        <v>15</v>
      </c>
      <c r="D4199" t="s" s="2">
        <v>16</v>
      </c>
      <c r="E4199" t="s" s="2">
        <v>17</v>
      </c>
      <c r="F4199" t="s" s="2">
        <f>HYPERLINK("http://ts.21cn.com/tousu/show/id/1369529","http://ts.21cn.com/tousu/show/id/1369529")</f>
      </c>
      <c r="G4199" t="s" s="2">
        <v>17</v>
      </c>
      <c r="H4199" t="s" s="2">
        <v>19</v>
      </c>
      <c r="I4199" t="s" s="2">
        <v>16352</v>
      </c>
      <c r="J4199" t="s" s="2">
        <v>16356</v>
      </c>
      <c r="K4199" t="s" s="2">
        <v>22</v>
      </c>
      <c r="L4199" t="s" s="2">
        <v>22</v>
      </c>
      <c r="M4199" t="s" s="2">
        <v>22</v>
      </c>
    </row>
    <row r="4200" ht="25.0" customHeight="true">
      <c r="A4200" t="s" s="2">
        <v>13</v>
      </c>
      <c r="B4200" t="s" s="2">
        <f>HYPERLINK("http://ts.21cn.com/tousu/show/id/1369525","维信卡卡贷审核通过一直没有放款到账")</f>
      </c>
      <c r="C4200" t="s" s="2">
        <v>52</v>
      </c>
      <c r="D4200" t="s" s="2">
        <v>16</v>
      </c>
      <c r="E4200" t="s" s="2">
        <v>17</v>
      </c>
      <c r="F4200" t="s" s="2">
        <f>HYPERLINK("http://ts.21cn.com/tousu/show/id/1369525","http://ts.21cn.com/tousu/show/id/1369525")</f>
      </c>
      <c r="G4200" t="s" s="2">
        <v>17</v>
      </c>
      <c r="H4200" t="s" s="2">
        <v>19</v>
      </c>
      <c r="I4200" t="s" s="2">
        <v>16359</v>
      </c>
      <c r="J4200" t="s" s="2">
        <v>16360</v>
      </c>
      <c r="K4200" t="s" s="2">
        <v>22</v>
      </c>
      <c r="L4200" t="s" s="2">
        <v>22</v>
      </c>
      <c r="M4200" t="s" s="2">
        <v>22</v>
      </c>
    </row>
    <row r="4201" ht="25.0" customHeight="true">
      <c r="A4201" t="s" s="2">
        <v>13</v>
      </c>
      <c r="B4201" t="s" s="2">
        <f>HYPERLINK("http://ts.21cn.com/tousu/show/id/1369528","网贷高利贷暴力催收")</f>
      </c>
      <c r="C4201" t="s" s="2">
        <v>15</v>
      </c>
      <c r="D4201" t="s" s="2">
        <v>16</v>
      </c>
      <c r="E4201" t="s" s="2">
        <v>17</v>
      </c>
      <c r="F4201" t="s" s="2">
        <f>HYPERLINK("http://ts.21cn.com/tousu/show/id/1369528","http://ts.21cn.com/tousu/show/id/1369528")</f>
      </c>
      <c r="G4201" t="s" s="2">
        <v>17</v>
      </c>
      <c r="H4201" t="s" s="2">
        <v>19</v>
      </c>
      <c r="I4201" t="s" s="2">
        <v>16363</v>
      </c>
      <c r="J4201" t="s" s="2">
        <v>16364</v>
      </c>
      <c r="K4201" t="s" s="2">
        <v>22</v>
      </c>
      <c r="L4201" t="s" s="2">
        <v>22</v>
      </c>
      <c r="M4201" t="s" s="2">
        <v>22</v>
      </c>
    </row>
    <row r="4202" ht="25.0" customHeight="true">
      <c r="A4202" t="s" s="2">
        <v>13</v>
      </c>
      <c r="B4202" t="s" s="2">
        <f>HYPERLINK("http://ts.21cn.com/tousu/show/id/1369524","广发银行委托第三方暴力催收")</f>
      </c>
      <c r="C4202" t="s" s="2">
        <v>15</v>
      </c>
      <c r="D4202" t="s" s="2">
        <v>16</v>
      </c>
      <c r="E4202" t="s" s="2">
        <v>17</v>
      </c>
      <c r="F4202" t="s" s="2">
        <f>HYPERLINK("http://ts.21cn.com/tousu/show/id/1369524","http://ts.21cn.com/tousu/show/id/1369524")</f>
      </c>
      <c r="G4202" t="s" s="2">
        <v>17</v>
      </c>
      <c r="H4202" t="s" s="2">
        <v>19</v>
      </c>
      <c r="I4202" t="s" s="2">
        <v>16367</v>
      </c>
      <c r="J4202" t="s" s="2">
        <v>16368</v>
      </c>
      <c r="K4202" t="s" s="2">
        <v>22</v>
      </c>
      <c r="L4202" t="s" s="2">
        <v>22</v>
      </c>
      <c r="M4202" t="s" s="2">
        <v>22</v>
      </c>
    </row>
    <row r="4203" ht="25.0" customHeight="true">
      <c r="A4203" t="s" s="2">
        <v>13</v>
      </c>
      <c r="B4203" t="s" s="2">
        <f>HYPERLINK("http://ts.21cn.com/tousu/show/id/1369523","贷上钱乱报通讯录催收还以购买游戏币理由乱收费")</f>
      </c>
      <c r="C4203" t="s" s="2">
        <v>15</v>
      </c>
      <c r="D4203" t="s" s="2">
        <v>16</v>
      </c>
      <c r="E4203" t="s" s="2">
        <v>17</v>
      </c>
      <c r="F4203" t="s" s="2">
        <f>HYPERLINK("http://ts.21cn.com/tousu/show/id/1369523","http://ts.21cn.com/tousu/show/id/1369523")</f>
      </c>
      <c r="G4203" t="s" s="2">
        <v>17</v>
      </c>
      <c r="H4203" t="s" s="2">
        <v>19</v>
      </c>
      <c r="I4203" t="s" s="2">
        <v>16371</v>
      </c>
      <c r="J4203" t="s" s="2">
        <v>16372</v>
      </c>
      <c r="K4203" t="s" s="2">
        <v>22</v>
      </c>
      <c r="L4203" t="s" s="2">
        <v>22</v>
      </c>
      <c r="M4203" t="s" s="2">
        <v>22</v>
      </c>
    </row>
    <row r="4204" ht="25.0" customHeight="true">
      <c r="A4204" t="s" s="2">
        <v>13</v>
      </c>
      <c r="B4204" t="s" s="2">
        <f>HYPERLINK("http://ts.21cn.com/tousu/show/id/1369521","已经影响到我的正常生活骚扰我家里人，导致我现在没法工作")</f>
      </c>
      <c r="C4204" t="s" s="2">
        <v>15</v>
      </c>
      <c r="D4204" t="s" s="2">
        <v>16</v>
      </c>
      <c r="E4204" t="s" s="2">
        <v>17</v>
      </c>
      <c r="F4204" t="s" s="2">
        <f>HYPERLINK("http://ts.21cn.com/tousu/show/id/1369521","http://ts.21cn.com/tousu/show/id/1369521")</f>
      </c>
      <c r="G4204" t="s" s="2">
        <v>17</v>
      </c>
      <c r="H4204" t="s" s="2">
        <v>19</v>
      </c>
      <c r="I4204" t="s" s="2">
        <v>16375</v>
      </c>
      <c r="J4204" t="s" s="2">
        <v>16376</v>
      </c>
      <c r="K4204" t="s" s="2">
        <v>22</v>
      </c>
      <c r="L4204" t="s" s="2">
        <v>22</v>
      </c>
      <c r="M4204" t="s" s="2">
        <v>22</v>
      </c>
    </row>
    <row r="4205" ht="25.0" customHeight="true">
      <c r="A4205" t="s" s="2">
        <v>13</v>
      </c>
      <c r="B4205" t="s" s="2">
        <f>HYPERLINK("http://ts.21cn.com/tousu/show/id/1369520","点点通高利贷清了不结案")</f>
      </c>
      <c r="C4205" t="s" s="2">
        <v>15</v>
      </c>
      <c r="D4205" t="s" s="2">
        <v>16</v>
      </c>
      <c r="E4205" t="s" s="2">
        <v>17</v>
      </c>
      <c r="F4205" t="s" s="2">
        <f>HYPERLINK("http://ts.21cn.com/tousu/show/id/1369520","http://ts.21cn.com/tousu/show/id/1369520")</f>
      </c>
      <c r="G4205" t="s" s="2">
        <v>17</v>
      </c>
      <c r="H4205" t="s" s="2">
        <v>19</v>
      </c>
      <c r="I4205" t="s" s="2">
        <v>16379</v>
      </c>
      <c r="J4205" t="s" s="2">
        <v>16380</v>
      </c>
      <c r="K4205" t="s" s="2">
        <v>22</v>
      </c>
      <c r="L4205" t="s" s="2">
        <v>22</v>
      </c>
      <c r="M4205" t="s" s="2">
        <v>22</v>
      </c>
    </row>
    <row r="4206" ht="25.0" customHeight="true">
      <c r="A4206" t="s" s="2">
        <v>13</v>
      </c>
      <c r="B4206" t="s" s="2">
        <f>HYPERLINK("http://ts.21cn.com/tousu/show/id/1369519","你我贷短信轰炸通讯录")</f>
      </c>
      <c r="C4206" t="s" s="2">
        <v>15</v>
      </c>
      <c r="D4206" t="s" s="2">
        <v>16</v>
      </c>
      <c r="E4206" t="s" s="2">
        <v>17</v>
      </c>
      <c r="F4206" t="s" s="2">
        <f>HYPERLINK("http://ts.21cn.com/tousu/show/id/1369519","http://ts.21cn.com/tousu/show/id/1369519")</f>
      </c>
      <c r="G4206" t="s" s="2">
        <v>17</v>
      </c>
      <c r="H4206" t="s" s="2">
        <v>19</v>
      </c>
      <c r="I4206" t="s" s="2">
        <v>16383</v>
      </c>
      <c r="J4206" t="s" s="2">
        <v>16384</v>
      </c>
      <c r="K4206" t="s" s="2">
        <v>22</v>
      </c>
      <c r="L4206" t="s" s="2">
        <v>22</v>
      </c>
      <c r="M4206" t="s" s="2">
        <v>22</v>
      </c>
    </row>
    <row r="4207" ht="25.0" customHeight="true">
      <c r="A4207" t="s" s="2">
        <v>13</v>
      </c>
      <c r="B4207" t="s" s="2">
        <f>HYPERLINK("http://ts.21cn.com/tousu/show/id/1369518","海风教育代理商退保证金")</f>
      </c>
      <c r="C4207" t="s" s="2">
        <v>15</v>
      </c>
      <c r="D4207" t="s" s="2">
        <v>16</v>
      </c>
      <c r="E4207" t="s" s="2">
        <v>17</v>
      </c>
      <c r="F4207" t="s" s="2">
        <f>HYPERLINK("http://ts.21cn.com/tousu/show/id/1369518","http://ts.21cn.com/tousu/show/id/1369518")</f>
      </c>
      <c r="G4207" t="s" s="2">
        <v>17</v>
      </c>
      <c r="H4207" t="s" s="2">
        <v>19</v>
      </c>
      <c r="I4207" t="s" s="2">
        <v>16387</v>
      </c>
      <c r="J4207" t="s" s="2">
        <v>16388</v>
      </c>
      <c r="K4207" t="s" s="2">
        <v>22</v>
      </c>
      <c r="L4207" t="s" s="2">
        <v>22</v>
      </c>
      <c r="M4207" t="s" s="2">
        <v>22</v>
      </c>
    </row>
    <row r="4208" ht="25.0" customHeight="true">
      <c r="A4208" t="s" s="2">
        <v>13</v>
      </c>
      <c r="B4208" t="s" s="2">
        <f>HYPERLINK("http://ts.21cn.com/tousu/show/id/1369516","银行卡扣款")</f>
      </c>
      <c r="C4208" t="s" s="2">
        <v>52</v>
      </c>
      <c r="D4208" t="s" s="2">
        <v>16</v>
      </c>
      <c r="E4208" t="s" s="2">
        <v>17</v>
      </c>
      <c r="F4208" t="s" s="2">
        <f>HYPERLINK("http://ts.21cn.com/tousu/show/id/1369516","http://ts.21cn.com/tousu/show/id/1369516")</f>
      </c>
      <c r="G4208" t="s" s="2">
        <v>17</v>
      </c>
      <c r="H4208" t="s" s="2">
        <v>19</v>
      </c>
      <c r="I4208" t="s" s="2">
        <v>16391</v>
      </c>
      <c r="J4208" t="s" s="2">
        <v>16392</v>
      </c>
      <c r="K4208" t="s" s="2">
        <v>22</v>
      </c>
      <c r="L4208" t="s" s="2">
        <v>22</v>
      </c>
      <c r="M4208" t="s" s="2">
        <v>22</v>
      </c>
    </row>
    <row r="4209" ht="25.0" customHeight="true">
      <c r="A4209" t="s" s="2">
        <v>13</v>
      </c>
      <c r="B4209" t="s" s="2">
        <f>HYPERLINK("http://ts.21cn.com/tousu/show/id/1369515","捆绑式恶意扣钱")</f>
      </c>
      <c r="C4209" t="s" s="2">
        <v>15</v>
      </c>
      <c r="D4209" t="s" s="2">
        <v>16</v>
      </c>
      <c r="E4209" t="s" s="2">
        <v>17</v>
      </c>
      <c r="F4209" t="s" s="2">
        <f>HYPERLINK("http://ts.21cn.com/tousu/show/id/1369515","http://ts.21cn.com/tousu/show/id/1369515")</f>
      </c>
      <c r="G4209" t="s" s="2">
        <v>17</v>
      </c>
      <c r="H4209" t="s" s="2">
        <v>19</v>
      </c>
      <c r="I4209" t="s" s="2">
        <v>16395</v>
      </c>
      <c r="J4209" t="s" s="2">
        <v>16396</v>
      </c>
      <c r="K4209" t="s" s="2">
        <v>22</v>
      </c>
      <c r="L4209" t="s" s="2">
        <v>22</v>
      </c>
      <c r="M4209" t="s" s="2">
        <v>22</v>
      </c>
    </row>
    <row r="4210" ht="25.0" customHeight="true">
      <c r="A4210" t="s" s="2">
        <v>13</v>
      </c>
      <c r="B4210" t="s" s="2">
        <f>HYPERLINK("http://ts.21cn.com/tousu/show/id/1369514","江湖救急退回查询费")</f>
      </c>
      <c r="C4210" t="s" s="2">
        <v>15</v>
      </c>
      <c r="D4210" t="s" s="2">
        <v>16</v>
      </c>
      <c r="E4210" t="s" s="2">
        <v>17</v>
      </c>
      <c r="F4210" t="s" s="2">
        <f>HYPERLINK("http://ts.21cn.com/tousu/show/id/1369514","http://ts.21cn.com/tousu/show/id/1369514")</f>
      </c>
      <c r="G4210" t="s" s="2">
        <v>17</v>
      </c>
      <c r="H4210" t="s" s="2">
        <v>19</v>
      </c>
      <c r="I4210" t="s" s="2">
        <v>16399</v>
      </c>
      <c r="J4210" t="s" s="2">
        <v>16400</v>
      </c>
      <c r="K4210" t="s" s="2">
        <v>22</v>
      </c>
      <c r="L4210" t="s" s="2">
        <v>22</v>
      </c>
      <c r="M4210" t="s" s="2">
        <v>22</v>
      </c>
    </row>
    <row r="4211" ht="25.0" customHeight="true">
      <c r="A4211" t="s" s="2">
        <v>13</v>
      </c>
      <c r="B4211" t="s" s="2">
        <f>HYPERLINK("http://ts.21cn.com/tousu/show/id/1369513","网龙魔域赌博现象一点都没改")</f>
      </c>
      <c r="C4211" t="s" s="2">
        <v>15</v>
      </c>
      <c r="D4211" t="s" s="2">
        <v>16</v>
      </c>
      <c r="E4211" t="s" s="2">
        <v>17</v>
      </c>
      <c r="F4211" t="s" s="2">
        <f>HYPERLINK("http://ts.21cn.com/tousu/show/id/1369513","http://ts.21cn.com/tousu/show/id/1369513")</f>
      </c>
      <c r="G4211" t="s" s="2">
        <v>17</v>
      </c>
      <c r="H4211" t="s" s="2">
        <v>19</v>
      </c>
      <c r="I4211" t="s" s="2">
        <v>16403</v>
      </c>
      <c r="J4211" t="s" s="2">
        <v>16404</v>
      </c>
      <c r="K4211" t="s" s="2">
        <v>22</v>
      </c>
      <c r="L4211" t="s" s="2">
        <v>22</v>
      </c>
      <c r="M4211" t="s" s="2">
        <v>22</v>
      </c>
    </row>
    <row r="4212" ht="25.0" customHeight="true">
      <c r="A4212" t="s" s="2">
        <v>13</v>
      </c>
      <c r="B4212" t="s" s="2">
        <f>HYPERLINK("http://ts.21cn.com/tousu/show/id/1369512","超职教育ACi国际心理咨询师的忽悠")</f>
      </c>
      <c r="C4212" t="s" s="2">
        <v>15</v>
      </c>
      <c r="D4212" t="s" s="2">
        <v>16</v>
      </c>
      <c r="E4212" t="s" s="2">
        <v>17</v>
      </c>
      <c r="F4212" t="s" s="2">
        <f>HYPERLINK("http://ts.21cn.com/tousu/show/id/1369512","http://ts.21cn.com/tousu/show/id/1369512")</f>
      </c>
      <c r="G4212" t="s" s="2">
        <v>17</v>
      </c>
      <c r="H4212" t="s" s="2">
        <v>19</v>
      </c>
      <c r="I4212" t="s" s="2">
        <v>16406</v>
      </c>
      <c r="J4212" t="s" s="2">
        <v>16407</v>
      </c>
      <c r="K4212" t="s" s="2">
        <v>22</v>
      </c>
      <c r="L4212" t="s" s="2">
        <v>22</v>
      </c>
      <c r="M4212" t="s" s="2">
        <v>22</v>
      </c>
    </row>
    <row r="4213" ht="25.0" customHeight="true">
      <c r="A4213" t="s" s="2">
        <v>13</v>
      </c>
      <c r="B4213" t="s" s="2">
        <f>HYPERLINK("http://ts.21cn.com/tousu/show/id/1369511","暴力催收")</f>
      </c>
      <c r="C4213" t="s" s="2">
        <v>15</v>
      </c>
      <c r="D4213" t="s" s="2">
        <v>16</v>
      </c>
      <c r="E4213" t="s" s="2">
        <v>17</v>
      </c>
      <c r="F4213" t="s" s="2">
        <f>HYPERLINK("http://ts.21cn.com/tousu/show/id/1369511","http://ts.21cn.com/tousu/show/id/1369511")</f>
      </c>
      <c r="G4213" t="s" s="2">
        <v>17</v>
      </c>
      <c r="H4213" t="s" s="2">
        <v>19</v>
      </c>
      <c r="I4213" t="s" s="2">
        <v>16409</v>
      </c>
      <c r="J4213" t="s" s="2">
        <v>16410</v>
      </c>
      <c r="K4213" t="s" s="2">
        <v>22</v>
      </c>
      <c r="L4213" t="s" s="2">
        <v>22</v>
      </c>
      <c r="M4213" t="s" s="2">
        <v>22</v>
      </c>
    </row>
    <row r="4214" ht="25.0" customHeight="true">
      <c r="A4214" t="s" s="2">
        <v>13</v>
      </c>
      <c r="B4214" t="s" s="2">
        <f>HYPERLINK("http://ts.21cn.com/tousu/show/id/1369510","app升级联系客户询问其他还款方式态度恶劣推卸责任")</f>
      </c>
      <c r="C4214" t="s" s="2">
        <v>15</v>
      </c>
      <c r="D4214" t="s" s="2">
        <v>16</v>
      </c>
      <c r="E4214" t="s" s="2">
        <v>17</v>
      </c>
      <c r="F4214" t="s" s="2">
        <f>HYPERLINK("http://ts.21cn.com/tousu/show/id/1369510","http://ts.21cn.com/tousu/show/id/1369510")</f>
      </c>
      <c r="G4214" t="s" s="2">
        <v>17</v>
      </c>
      <c r="H4214" t="s" s="2">
        <v>19</v>
      </c>
      <c r="I4214" t="s" s="2">
        <v>16413</v>
      </c>
      <c r="J4214" t="s" s="2">
        <v>16414</v>
      </c>
      <c r="K4214" t="s" s="2">
        <v>22</v>
      </c>
      <c r="L4214" t="s" s="2">
        <v>22</v>
      </c>
      <c r="M4214" t="s" s="2">
        <v>22</v>
      </c>
    </row>
    <row r="4215" ht="25.0" customHeight="true">
      <c r="A4215" t="s" s="2">
        <v>13</v>
      </c>
      <c r="B4215" t="s" s="2">
        <f>HYPERLINK("http://ts.21cn.com/tousu/show/id/1369509","趣惠买高利贷")</f>
      </c>
      <c r="C4215" t="s" s="2">
        <v>15</v>
      </c>
      <c r="D4215" t="s" s="2">
        <v>16</v>
      </c>
      <c r="E4215" t="s" s="2">
        <v>17</v>
      </c>
      <c r="F4215" t="s" s="2">
        <f>HYPERLINK("http://ts.21cn.com/tousu/show/id/1369509","http://ts.21cn.com/tousu/show/id/1369509")</f>
      </c>
      <c r="G4215" t="s" s="2">
        <v>17</v>
      </c>
      <c r="H4215" t="s" s="2">
        <v>19</v>
      </c>
      <c r="I4215" t="s" s="2">
        <v>16417</v>
      </c>
      <c r="J4215" t="s" s="2">
        <v>16418</v>
      </c>
      <c r="K4215" t="s" s="2">
        <v>22</v>
      </c>
      <c r="L4215" t="s" s="2">
        <v>22</v>
      </c>
      <c r="M4215" t="s" s="2">
        <v>22</v>
      </c>
    </row>
    <row r="4216" ht="25.0" customHeight="true">
      <c r="A4216" t="s" s="2">
        <v>13</v>
      </c>
      <c r="B4216" t="s" s="2">
        <f>HYPERLINK("http://ts.21cn.com/tousu/show/id/1369508","来分期是套路贷")</f>
      </c>
      <c r="C4216" t="s" s="2">
        <v>15</v>
      </c>
      <c r="D4216" t="s" s="2">
        <v>16</v>
      </c>
      <c r="E4216" t="s" s="2">
        <v>17</v>
      </c>
      <c r="F4216" t="s" s="2">
        <f>HYPERLINK("http://ts.21cn.com/tousu/show/id/1369508","http://ts.21cn.com/tousu/show/id/1369508")</f>
      </c>
      <c r="G4216" t="s" s="2">
        <v>17</v>
      </c>
      <c r="H4216" t="s" s="2">
        <v>19</v>
      </c>
      <c r="I4216" t="s" s="2">
        <v>16421</v>
      </c>
      <c r="J4216" t="s" s="2">
        <v>16422</v>
      </c>
      <c r="K4216" t="s" s="2">
        <v>22</v>
      </c>
      <c r="L4216" t="s" s="2">
        <v>22</v>
      </c>
      <c r="M4216" t="s" s="2">
        <v>22</v>
      </c>
    </row>
    <row r="4217" ht="25.0" customHeight="true">
      <c r="A4217" t="s" s="2">
        <v>13</v>
      </c>
      <c r="B4217" t="s" s="2">
        <f>HYPERLINK("http://ts.21cn.com/tousu/show/id/1369506","钱伴暴力催收高额利息")</f>
      </c>
      <c r="C4217" t="s" s="2">
        <v>15</v>
      </c>
      <c r="D4217" t="s" s="2">
        <v>16</v>
      </c>
      <c r="E4217" t="s" s="2">
        <v>17</v>
      </c>
      <c r="F4217" t="s" s="2">
        <f>HYPERLINK("http://ts.21cn.com/tousu/show/id/1369506","http://ts.21cn.com/tousu/show/id/1369506")</f>
      </c>
      <c r="G4217" t="s" s="2">
        <v>17</v>
      </c>
      <c r="H4217" t="s" s="2">
        <v>19</v>
      </c>
      <c r="I4217" t="s" s="2">
        <v>16425</v>
      </c>
      <c r="J4217" t="s" s="2">
        <v>16426</v>
      </c>
      <c r="K4217" t="s" s="2">
        <v>22</v>
      </c>
      <c r="L4217" t="s" s="2">
        <v>22</v>
      </c>
      <c r="M4217" t="s" s="2">
        <v>22</v>
      </c>
    </row>
    <row r="4218" ht="25.0" customHeight="true">
      <c r="A4218" t="s" s="2">
        <v>13</v>
      </c>
      <c r="B4218" t="s" s="2">
        <f>HYPERLINK("http://ts.21cn.com/tousu/show/id/1369507","滴滴不解决问题还对司机报复")</f>
      </c>
      <c r="C4218" t="s" s="2">
        <v>15</v>
      </c>
      <c r="D4218" t="s" s="2">
        <v>16</v>
      </c>
      <c r="E4218" t="s" s="2">
        <v>17</v>
      </c>
      <c r="F4218" t="s" s="2">
        <f>HYPERLINK("http://ts.21cn.com/tousu/show/id/1369507","http://ts.21cn.com/tousu/show/id/1369507")</f>
      </c>
      <c r="G4218" t="s" s="2">
        <v>17</v>
      </c>
      <c r="H4218" t="s" s="2">
        <v>19</v>
      </c>
      <c r="I4218" t="s" s="2">
        <v>16429</v>
      </c>
      <c r="J4218" t="s" s="2">
        <v>16430</v>
      </c>
      <c r="K4218" t="s" s="2">
        <v>22</v>
      </c>
      <c r="L4218" t="s" s="2">
        <v>22</v>
      </c>
      <c r="M4218" t="s" s="2">
        <v>22</v>
      </c>
    </row>
    <row r="4219" ht="25.0" customHeight="true">
      <c r="A4219" t="s" s="2">
        <v>13</v>
      </c>
      <c r="B4219" t="s" s="2">
        <f>HYPERLINK("http://ts.21cn.com/tousu/show/id/1369505","聚福钱包恶意扣款要求退款")</f>
      </c>
      <c r="C4219" t="s" s="2">
        <v>15</v>
      </c>
      <c r="D4219" t="s" s="2">
        <v>16</v>
      </c>
      <c r="E4219" t="s" s="2">
        <v>17</v>
      </c>
      <c r="F4219" t="s" s="2">
        <f>HYPERLINK("http://ts.21cn.com/tousu/show/id/1369505","http://ts.21cn.com/tousu/show/id/1369505")</f>
      </c>
      <c r="G4219" t="s" s="2">
        <v>17</v>
      </c>
      <c r="H4219" t="s" s="2">
        <v>19</v>
      </c>
      <c r="I4219" t="s" s="2">
        <v>16433</v>
      </c>
      <c r="J4219" t="s" s="2">
        <v>16434</v>
      </c>
      <c r="K4219" t="s" s="2">
        <v>22</v>
      </c>
      <c r="L4219" t="s" s="2">
        <v>22</v>
      </c>
      <c r="M4219" t="s" s="2">
        <v>22</v>
      </c>
    </row>
    <row r="4220" ht="25.0" customHeight="true">
      <c r="A4220" t="s" s="2">
        <v>13</v>
      </c>
      <c r="B4220" t="s" s="2">
        <f>HYPERLINK("http://ts.21cn.com/tousu/show/id/1369504","高利贷利息太高")</f>
      </c>
      <c r="C4220" t="s" s="2">
        <v>15</v>
      </c>
      <c r="D4220" t="s" s="2">
        <v>16</v>
      </c>
      <c r="E4220" t="s" s="2">
        <v>17</v>
      </c>
      <c r="F4220" t="s" s="2">
        <f>HYPERLINK("http://ts.21cn.com/tousu/show/id/1369504","http://ts.21cn.com/tousu/show/id/1369504")</f>
      </c>
      <c r="G4220" t="s" s="2">
        <v>17</v>
      </c>
      <c r="H4220" t="s" s="2">
        <v>19</v>
      </c>
      <c r="I4220" t="s" s="2">
        <v>16437</v>
      </c>
      <c r="J4220" t="s" s="2">
        <v>16438</v>
      </c>
      <c r="K4220" t="s" s="2">
        <v>22</v>
      </c>
      <c r="L4220" t="s" s="2">
        <v>22</v>
      </c>
      <c r="M4220" t="s" s="2">
        <v>22</v>
      </c>
    </row>
    <row r="4221" ht="25.0" customHeight="true">
      <c r="A4221" t="s" s="2">
        <v>13</v>
      </c>
      <c r="B4221" t="s" s="2">
        <f>HYPERLINK("http://ts.21cn.com/tousu/show/id/1369503","交通银行信用卡爆通讯录")</f>
      </c>
      <c r="C4221" t="s" s="2">
        <v>15</v>
      </c>
      <c r="D4221" t="s" s="2">
        <v>16</v>
      </c>
      <c r="E4221" t="s" s="2">
        <v>17</v>
      </c>
      <c r="F4221" t="s" s="2">
        <f>HYPERLINK("http://ts.21cn.com/tousu/show/id/1369503","http://ts.21cn.com/tousu/show/id/1369503")</f>
      </c>
      <c r="G4221" t="s" s="2">
        <v>17</v>
      </c>
      <c r="H4221" t="s" s="2">
        <v>19</v>
      </c>
      <c r="I4221" t="s" s="2">
        <v>16441</v>
      </c>
      <c r="J4221" t="s" s="2">
        <v>16442</v>
      </c>
      <c r="K4221" t="s" s="2">
        <v>22</v>
      </c>
      <c r="L4221" t="s" s="2">
        <v>22</v>
      </c>
      <c r="M4221" t="s" s="2">
        <v>22</v>
      </c>
    </row>
    <row r="4222" ht="25.0" customHeight="true">
      <c r="A4222" t="s" s="2">
        <v>13</v>
      </c>
      <c r="B4222" t="s" s="2">
        <f>HYPERLINK("http://ts.21cn.com/tousu/show/id/1369502","拍拍贷非法途径获取我的工作单位并进行骚扰")</f>
      </c>
      <c r="C4222" t="s" s="2">
        <v>15</v>
      </c>
      <c r="D4222" t="s" s="2">
        <v>16</v>
      </c>
      <c r="E4222" t="s" s="2">
        <v>17</v>
      </c>
      <c r="F4222" t="s" s="2">
        <f>HYPERLINK("http://ts.21cn.com/tousu/show/id/1369502","http://ts.21cn.com/tousu/show/id/1369502")</f>
      </c>
      <c r="G4222" t="s" s="2">
        <v>17</v>
      </c>
      <c r="H4222" t="s" s="2">
        <v>19</v>
      </c>
      <c r="I4222" t="s" s="2">
        <v>16445</v>
      </c>
      <c r="J4222" t="s" s="2">
        <v>16446</v>
      </c>
      <c r="K4222" t="s" s="2">
        <v>22</v>
      </c>
      <c r="L4222" t="s" s="2">
        <v>22</v>
      </c>
      <c r="M4222" t="s" s="2">
        <v>22</v>
      </c>
    </row>
    <row r="4223" ht="25.0" customHeight="true">
      <c r="A4223" t="s" s="2">
        <v>13</v>
      </c>
      <c r="B4223" t="s" s="2">
        <f>HYPERLINK("http://ts.21cn.com/tousu/show/id/1369501","套路我")</f>
      </c>
      <c r="C4223" t="s" s="2">
        <v>15</v>
      </c>
      <c r="D4223" t="s" s="2">
        <v>16</v>
      </c>
      <c r="E4223" t="s" s="2">
        <v>17</v>
      </c>
      <c r="F4223" t="s" s="2">
        <f>HYPERLINK("http://ts.21cn.com/tousu/show/id/1369501","http://ts.21cn.com/tousu/show/id/1369501")</f>
      </c>
      <c r="G4223" t="s" s="2">
        <v>17</v>
      </c>
      <c r="H4223" t="s" s="2">
        <v>19</v>
      </c>
      <c r="I4223" t="s" s="2">
        <v>16449</v>
      </c>
      <c r="J4223" t="s" s="2">
        <v>16450</v>
      </c>
      <c r="K4223" t="s" s="2">
        <v>22</v>
      </c>
      <c r="L4223" t="s" s="2">
        <v>22</v>
      </c>
      <c r="M4223" t="s" s="2">
        <v>22</v>
      </c>
    </row>
    <row r="4224" ht="25.0" customHeight="true">
      <c r="A4224" t="s" s="2">
        <v>13</v>
      </c>
      <c r="B4224" t="s" s="2">
        <f>HYPERLINK("http://ts.21cn.com/tousu/show/id/1369500","打电话骚扰我天天骚扰还威胁")</f>
      </c>
      <c r="C4224" t="s" s="2">
        <v>15</v>
      </c>
      <c r="D4224" t="s" s="2">
        <v>16</v>
      </c>
      <c r="E4224" t="s" s="2">
        <v>17</v>
      </c>
      <c r="F4224" t="s" s="2">
        <f>HYPERLINK("http://ts.21cn.com/tousu/show/id/1369500","http://ts.21cn.com/tousu/show/id/1369500")</f>
      </c>
      <c r="G4224" t="s" s="2">
        <v>17</v>
      </c>
      <c r="H4224" t="s" s="2">
        <v>19</v>
      </c>
      <c r="I4224" t="s" s="2">
        <v>16453</v>
      </c>
      <c r="J4224" t="s" s="2">
        <v>16454</v>
      </c>
      <c r="K4224" t="s" s="2">
        <v>22</v>
      </c>
      <c r="L4224" t="s" s="2">
        <v>22</v>
      </c>
      <c r="M4224" t="s" s="2">
        <v>22</v>
      </c>
    </row>
    <row r="4225" ht="25.0" customHeight="true">
      <c r="A4225" t="s" s="2">
        <v>13</v>
      </c>
      <c r="B4225" t="s" s="2">
        <f>HYPERLINK("http://ts.21cn.com/tousu/show/id/1369499","现金巴士违规收取前期费用")</f>
      </c>
      <c r="C4225" t="s" s="2">
        <v>15</v>
      </c>
      <c r="D4225" t="s" s="2">
        <v>16</v>
      </c>
      <c r="E4225" t="s" s="2">
        <v>17</v>
      </c>
      <c r="F4225" t="s" s="2">
        <f>HYPERLINK("http://ts.21cn.com/tousu/show/id/1369499","http://ts.21cn.com/tousu/show/id/1369499")</f>
      </c>
      <c r="G4225" t="s" s="2">
        <v>17</v>
      </c>
      <c r="H4225" t="s" s="2">
        <v>19</v>
      </c>
      <c r="I4225" t="s" s="2">
        <v>16453</v>
      </c>
      <c r="J4225" t="s" s="2">
        <v>16457</v>
      </c>
      <c r="K4225" t="s" s="2">
        <v>22</v>
      </c>
      <c r="L4225" t="s" s="2">
        <v>22</v>
      </c>
      <c r="M4225" t="s" s="2">
        <v>22</v>
      </c>
    </row>
    <row r="4226" ht="25.0" customHeight="true">
      <c r="A4226" t="s" s="2">
        <v>13</v>
      </c>
      <c r="B4226" t="s" s="2">
        <f>HYPERLINK("http://ts.21cn.com/tousu/show/id/1369479","联通易借非法获取本人通讯记录并软暴力催收")</f>
      </c>
      <c r="C4226" t="s" s="2">
        <v>15</v>
      </c>
      <c r="D4226" t="s" s="2">
        <v>16</v>
      </c>
      <c r="E4226" t="s" s="2">
        <v>17</v>
      </c>
      <c r="F4226" t="s" s="2">
        <f>HYPERLINK("http://ts.21cn.com/tousu/show/id/1369479","http://ts.21cn.com/tousu/show/id/1369479")</f>
      </c>
      <c r="G4226" t="s" s="2">
        <v>17</v>
      </c>
      <c r="H4226" t="s" s="2">
        <v>19</v>
      </c>
      <c r="I4226" t="s" s="2">
        <v>16460</v>
      </c>
      <c r="J4226" t="s" s="2">
        <v>16461</v>
      </c>
      <c r="K4226" t="s" s="2">
        <v>22</v>
      </c>
      <c r="L4226" t="s" s="2">
        <v>22</v>
      </c>
      <c r="M4226" t="s" s="2">
        <v>22</v>
      </c>
    </row>
    <row r="4227" ht="25.0" customHeight="true">
      <c r="A4227" t="s" s="2">
        <v>13</v>
      </c>
      <c r="B4227" t="s" s="2">
        <f>HYPERLINK("http://ts.21cn.com/tousu/show/id/1369496","投诉中国银联调单回复提供虚假交易凭证")</f>
      </c>
      <c r="C4227" t="s" s="2">
        <v>15</v>
      </c>
      <c r="D4227" t="s" s="2">
        <v>16</v>
      </c>
      <c r="E4227" t="s" s="2">
        <v>17</v>
      </c>
      <c r="F4227" t="s" s="2">
        <f>HYPERLINK("http://ts.21cn.com/tousu/show/id/1369496","http://ts.21cn.com/tousu/show/id/1369496")</f>
      </c>
      <c r="G4227" t="s" s="2">
        <v>17</v>
      </c>
      <c r="H4227" t="s" s="2">
        <v>19</v>
      </c>
      <c r="I4227" t="s" s="2">
        <v>16464</v>
      </c>
      <c r="J4227" t="s" s="2">
        <v>16465</v>
      </c>
      <c r="K4227" t="s" s="2">
        <v>22</v>
      </c>
      <c r="L4227" t="s" s="2">
        <v>22</v>
      </c>
      <c r="M4227" t="s" s="2">
        <v>22</v>
      </c>
    </row>
    <row r="4228" ht="25.0" customHeight="true">
      <c r="A4228" t="s" s="2">
        <v>13</v>
      </c>
      <c r="B4228" t="s" s="2">
        <f>HYPERLINK("http://ts.21cn.com/tousu/show/id/1369494","未到还款期平安普惠频发骚扰信息")</f>
      </c>
      <c r="C4228" t="s" s="2">
        <v>15</v>
      </c>
      <c r="D4228" t="s" s="2">
        <v>16</v>
      </c>
      <c r="E4228" t="s" s="2">
        <v>17</v>
      </c>
      <c r="F4228" t="s" s="2">
        <f>HYPERLINK("http://ts.21cn.com/tousu/show/id/1369494","http://ts.21cn.com/tousu/show/id/1369494")</f>
      </c>
      <c r="G4228" t="s" s="2">
        <v>17</v>
      </c>
      <c r="H4228" t="s" s="2">
        <v>19</v>
      </c>
      <c r="I4228" t="s" s="2">
        <v>16468</v>
      </c>
      <c r="J4228" t="s" s="2">
        <v>16469</v>
      </c>
      <c r="K4228" t="s" s="2">
        <v>22</v>
      </c>
      <c r="L4228" t="s" s="2">
        <v>22</v>
      </c>
      <c r="M4228" t="s" s="2">
        <v>22</v>
      </c>
    </row>
    <row r="4229" ht="25.0" customHeight="true">
      <c r="A4229" t="s" s="2">
        <v>13</v>
      </c>
      <c r="B4229" t="s" s="2">
        <f>HYPERLINK("http://ts.21cn.com/tousu/show/id/1369495","未经同意恶意扣款")</f>
      </c>
      <c r="C4229" t="s" s="2">
        <v>15</v>
      </c>
      <c r="D4229" t="s" s="2">
        <v>16</v>
      </c>
      <c r="E4229" t="s" s="2">
        <v>17</v>
      </c>
      <c r="F4229" t="s" s="2">
        <f>HYPERLINK("http://ts.21cn.com/tousu/show/id/1369495","http://ts.21cn.com/tousu/show/id/1369495")</f>
      </c>
      <c r="G4229" t="s" s="2">
        <v>17</v>
      </c>
      <c r="H4229" t="s" s="2">
        <v>19</v>
      </c>
      <c r="I4229" t="s" s="2">
        <v>16472</v>
      </c>
      <c r="J4229" t="s" s="2">
        <v>16473</v>
      </c>
      <c r="K4229" t="s" s="2">
        <v>22</v>
      </c>
      <c r="L4229" t="s" s="2">
        <v>22</v>
      </c>
      <c r="M4229" t="s" s="2">
        <v>22</v>
      </c>
    </row>
    <row r="4230" ht="25.0" customHeight="true">
      <c r="A4230" t="s" s="2">
        <v>13</v>
      </c>
      <c r="B4230" t="s" s="2">
        <f>HYPERLINK("http://ts.21cn.com/tousu/show/id/1369493","my钱包高利贷")</f>
      </c>
      <c r="C4230" t="s" s="2">
        <v>15</v>
      </c>
      <c r="D4230" t="s" s="2">
        <v>16</v>
      </c>
      <c r="E4230" t="s" s="2">
        <v>17</v>
      </c>
      <c r="F4230" t="s" s="2">
        <f>HYPERLINK("http://ts.21cn.com/tousu/show/id/1369493","http://ts.21cn.com/tousu/show/id/1369493")</f>
      </c>
      <c r="G4230" t="s" s="2">
        <v>17</v>
      </c>
      <c r="H4230" t="s" s="2">
        <v>19</v>
      </c>
      <c r="I4230" t="s" s="2">
        <v>16476</v>
      </c>
      <c r="J4230" t="s" s="2">
        <v>16477</v>
      </c>
      <c r="K4230" t="s" s="2">
        <v>22</v>
      </c>
      <c r="L4230" t="s" s="2">
        <v>22</v>
      </c>
      <c r="M4230" t="s" s="2">
        <v>22</v>
      </c>
    </row>
    <row r="4231" ht="25.0" customHeight="true">
      <c r="A4231" t="s" s="2">
        <v>13</v>
      </c>
      <c r="B4231" t="s" s="2">
        <f>HYPERLINK("http://ts.21cn.com/tousu/show/id/1369492","汇聚支付违规交易")</f>
      </c>
      <c r="C4231" t="s" s="2">
        <v>15</v>
      </c>
      <c r="D4231" t="s" s="2">
        <v>16</v>
      </c>
      <c r="E4231" t="s" s="2">
        <v>17</v>
      </c>
      <c r="F4231" t="s" s="2">
        <f>HYPERLINK("http://ts.21cn.com/tousu/show/id/1369492","http://ts.21cn.com/tousu/show/id/1369492")</f>
      </c>
      <c r="G4231" t="s" s="2">
        <v>17</v>
      </c>
      <c r="H4231" t="s" s="2">
        <v>19</v>
      </c>
      <c r="I4231" t="s" s="2">
        <v>16480</v>
      </c>
      <c r="J4231" t="s" s="2">
        <v>16481</v>
      </c>
      <c r="K4231" t="s" s="2">
        <v>22</v>
      </c>
      <c r="L4231" t="s" s="2">
        <v>22</v>
      </c>
      <c r="M4231" t="s" s="2">
        <v>22</v>
      </c>
    </row>
    <row r="4232" ht="25.0" customHeight="true">
      <c r="A4232" t="s" s="2">
        <v>13</v>
      </c>
      <c r="B4232" t="s" s="2">
        <f>HYPERLINK("http://ts.21cn.com/tousu/show/id/1369491","民生银行信用卡非法催收")</f>
      </c>
      <c r="C4232" t="s" s="2">
        <v>15</v>
      </c>
      <c r="D4232" t="s" s="2">
        <v>16</v>
      </c>
      <c r="E4232" t="s" s="2">
        <v>17</v>
      </c>
      <c r="F4232" t="s" s="2">
        <f>HYPERLINK("http://ts.21cn.com/tousu/show/id/1369491","http://ts.21cn.com/tousu/show/id/1369491")</f>
      </c>
      <c r="G4232" t="s" s="2">
        <v>17</v>
      </c>
      <c r="H4232" t="s" s="2">
        <v>19</v>
      </c>
      <c r="I4232" t="s" s="2">
        <v>16484</v>
      </c>
      <c r="J4232" t="s" s="2">
        <v>16485</v>
      </c>
      <c r="K4232" t="s" s="2">
        <v>22</v>
      </c>
      <c r="L4232" t="s" s="2">
        <v>22</v>
      </c>
      <c r="M4232" t="s" s="2">
        <v>22</v>
      </c>
    </row>
    <row r="4233" ht="25.0" customHeight="true">
      <c r="A4233" t="s" s="2">
        <v>13</v>
      </c>
      <c r="B4233" t="s" s="2">
        <f>HYPERLINK("http://ts.21cn.com/tousu/show/id/1369489","请退还砍头息")</f>
      </c>
      <c r="C4233" t="s" s="2">
        <v>15</v>
      </c>
      <c r="D4233" t="s" s="2">
        <v>16</v>
      </c>
      <c r="E4233" t="s" s="2">
        <v>17</v>
      </c>
      <c r="F4233" t="s" s="2">
        <f>HYPERLINK("http://ts.21cn.com/tousu/show/id/1369489","http://ts.21cn.com/tousu/show/id/1369489")</f>
      </c>
      <c r="G4233" t="s" s="2">
        <v>17</v>
      </c>
      <c r="H4233" t="s" s="2">
        <v>19</v>
      </c>
      <c r="I4233" t="s" s="2">
        <v>16488</v>
      </c>
      <c r="J4233" t="s" s="2">
        <v>16489</v>
      </c>
      <c r="K4233" t="s" s="2">
        <v>22</v>
      </c>
      <c r="L4233" t="s" s="2">
        <v>22</v>
      </c>
      <c r="M4233" t="s" s="2">
        <v>22</v>
      </c>
    </row>
    <row r="4234" ht="25.0" customHeight="true">
      <c r="A4234" t="s" s="2">
        <v>13</v>
      </c>
      <c r="B4234" t="s" s="2">
        <f>HYPERLINK("http://ts.21cn.com/tousu/show/id/1369490","骚扰联系人")</f>
      </c>
      <c r="C4234" t="s" s="2">
        <v>52</v>
      </c>
      <c r="D4234" t="s" s="2">
        <v>16</v>
      </c>
      <c r="E4234" t="s" s="2">
        <v>17</v>
      </c>
      <c r="F4234" t="s" s="2">
        <f>HYPERLINK("http://ts.21cn.com/tousu/show/id/1369490","http://ts.21cn.com/tousu/show/id/1369490")</f>
      </c>
      <c r="G4234" t="s" s="2">
        <v>17</v>
      </c>
      <c r="H4234" t="s" s="2">
        <v>19</v>
      </c>
      <c r="I4234" t="s" s="2">
        <v>16492</v>
      </c>
      <c r="J4234" t="s" s="2">
        <v>16493</v>
      </c>
      <c r="K4234" t="s" s="2">
        <v>22</v>
      </c>
      <c r="L4234" t="s" s="2">
        <v>22</v>
      </c>
      <c r="M4234" t="s" s="2">
        <v>22</v>
      </c>
    </row>
    <row r="4235" ht="25.0" customHeight="true">
      <c r="A4235" t="s" s="2">
        <v>13</v>
      </c>
      <c r="B4235" t="s" s="2">
        <f>HYPERLINK("http://ts.21cn.com/tousu/show/id/1369488","在玖富万卡平台借款，平台收取高额利息和平台费，利息和之前约定的合同上不一致")</f>
      </c>
      <c r="C4235" t="s" s="2">
        <v>15</v>
      </c>
      <c r="D4235" t="s" s="2">
        <v>16</v>
      </c>
      <c r="E4235" t="s" s="2">
        <v>17</v>
      </c>
      <c r="F4235" t="s" s="2">
        <f>HYPERLINK("http://ts.21cn.com/tousu/show/id/1369488","http://ts.21cn.com/tousu/show/id/1369488")</f>
      </c>
      <c r="G4235" t="s" s="2">
        <v>17</v>
      </c>
      <c r="H4235" t="s" s="2">
        <v>19</v>
      </c>
      <c r="I4235" t="s" s="2">
        <v>16496</v>
      </c>
      <c r="J4235" t="s" s="2">
        <v>16497</v>
      </c>
      <c r="K4235" t="s" s="2">
        <v>22</v>
      </c>
      <c r="L4235" t="s" s="2">
        <v>22</v>
      </c>
      <c r="M4235" t="s" s="2">
        <v>22</v>
      </c>
    </row>
    <row r="4236" ht="25.0" customHeight="true">
      <c r="A4236" t="s" s="2">
        <v>13</v>
      </c>
      <c r="B4236" t="s" s="2">
        <f>HYPERLINK("http://ts.21cn.com/tousu/show/id/1369487","淘宝小二乱处理")</f>
      </c>
      <c r="C4236" t="s" s="2">
        <v>52</v>
      </c>
      <c r="D4236" t="s" s="2">
        <v>16</v>
      </c>
      <c r="E4236" t="s" s="2">
        <v>17</v>
      </c>
      <c r="F4236" t="s" s="2">
        <f>HYPERLINK("http://ts.21cn.com/tousu/show/id/1369487","http://ts.21cn.com/tousu/show/id/1369487")</f>
      </c>
      <c r="G4236" t="s" s="2">
        <v>17</v>
      </c>
      <c r="H4236" t="s" s="2">
        <v>19</v>
      </c>
      <c r="I4236" t="s" s="2">
        <v>16500</v>
      </c>
      <c r="J4236" t="s" s="2">
        <v>16501</v>
      </c>
      <c r="K4236" t="s" s="2">
        <v>22</v>
      </c>
      <c r="L4236" t="s" s="2">
        <v>22</v>
      </c>
      <c r="M4236" t="s" s="2">
        <v>22</v>
      </c>
    </row>
    <row r="4237" ht="25.0" customHeight="true">
      <c r="A4237" t="s" s="2">
        <v>13</v>
      </c>
      <c r="B4237" t="s" s="2">
        <f>HYPERLINK("http://ts.21cn.com/tousu/show/id/1369486","暴力催收")</f>
      </c>
      <c r="C4237" t="s" s="2">
        <v>15</v>
      </c>
      <c r="D4237" t="s" s="2">
        <v>16</v>
      </c>
      <c r="E4237" t="s" s="2">
        <v>17</v>
      </c>
      <c r="F4237" t="s" s="2">
        <f>HYPERLINK("http://ts.21cn.com/tousu/show/id/1369486","http://ts.21cn.com/tousu/show/id/1369486")</f>
      </c>
      <c r="G4237" t="s" s="2">
        <v>17</v>
      </c>
      <c r="H4237" t="s" s="2">
        <v>19</v>
      </c>
      <c r="I4237" t="s" s="2">
        <v>16503</v>
      </c>
      <c r="J4237" t="s" s="2">
        <v>16504</v>
      </c>
      <c r="K4237" t="s" s="2">
        <v>22</v>
      </c>
      <c r="L4237" t="s" s="2">
        <v>22</v>
      </c>
      <c r="M4237" t="s" s="2">
        <v>22</v>
      </c>
    </row>
    <row r="4238" ht="25.0" customHeight="true">
      <c r="A4238" t="s" s="2">
        <v>13</v>
      </c>
      <c r="B4238" t="s" s="2">
        <f>HYPERLINK("http://ts.21cn.com/tousu/show/id/1369485","易宝支付集体投诉")</f>
      </c>
      <c r="C4238" t="s" s="2">
        <v>15</v>
      </c>
      <c r="D4238" t="s" s="2">
        <v>16</v>
      </c>
      <c r="E4238" t="s" s="2">
        <v>17</v>
      </c>
      <c r="F4238" t="s" s="2">
        <f>HYPERLINK("http://ts.21cn.com/tousu/show/id/1369485","http://ts.21cn.com/tousu/show/id/1369485")</f>
      </c>
      <c r="G4238" t="s" s="2">
        <v>17</v>
      </c>
      <c r="H4238" t="s" s="2">
        <v>19</v>
      </c>
      <c r="I4238" t="s" s="2">
        <v>16507</v>
      </c>
      <c r="J4238" t="s" s="2">
        <v>16508</v>
      </c>
      <c r="K4238" t="s" s="2">
        <v>22</v>
      </c>
      <c r="L4238" t="s" s="2">
        <v>22</v>
      </c>
      <c r="M4238" t="s" s="2">
        <v>22</v>
      </c>
    </row>
    <row r="4239" ht="25.0" customHeight="true">
      <c r="A4239" t="s" s="2">
        <v>13</v>
      </c>
      <c r="B4239" t="s" s="2">
        <f>HYPERLINK("http://ts.21cn.com/tousu/show/id/1369484","暴力催收，骚扰亲朋好友就一期还款协商不了，客服态度恶劣辱骂我，最后一期，就一百多了")</f>
      </c>
      <c r="C4239" t="s" s="2">
        <v>15</v>
      </c>
      <c r="D4239" t="s" s="2">
        <v>16</v>
      </c>
      <c r="E4239" t="s" s="2">
        <v>17</v>
      </c>
      <c r="F4239" t="s" s="2">
        <f>HYPERLINK("http://ts.21cn.com/tousu/show/id/1369484","http://ts.21cn.com/tousu/show/id/1369484")</f>
      </c>
      <c r="G4239" t="s" s="2">
        <v>17</v>
      </c>
      <c r="H4239" t="s" s="2">
        <v>19</v>
      </c>
      <c r="I4239" t="s" s="2">
        <v>16511</v>
      </c>
      <c r="J4239" t="s" s="2">
        <v>16512</v>
      </c>
      <c r="K4239" t="s" s="2">
        <v>22</v>
      </c>
      <c r="L4239" t="s" s="2">
        <v>22</v>
      </c>
      <c r="M4239" t="s" s="2">
        <v>22</v>
      </c>
    </row>
    <row r="4240" ht="25.0" customHeight="true">
      <c r="A4240" t="s" s="2">
        <v>13</v>
      </c>
      <c r="B4240" t="s" s="2">
        <f>HYPERLINK("http://ts.21cn.com/tousu/show/id/1369483","浙商银行信用卡乱扣费且旗下支行骚扰我及家人")</f>
      </c>
      <c r="C4240" t="s" s="2">
        <v>15</v>
      </c>
      <c r="D4240" t="s" s="2">
        <v>16</v>
      </c>
      <c r="E4240" t="s" s="2">
        <v>17</v>
      </c>
      <c r="F4240" t="s" s="2">
        <f>HYPERLINK("http://ts.21cn.com/tousu/show/id/1369483","http://ts.21cn.com/tousu/show/id/1369483")</f>
      </c>
      <c r="G4240" t="s" s="2">
        <v>17</v>
      </c>
      <c r="H4240" t="s" s="2">
        <v>19</v>
      </c>
      <c r="I4240" t="s" s="2">
        <v>16515</v>
      </c>
      <c r="J4240" t="s" s="2">
        <v>16516</v>
      </c>
      <c r="K4240" t="s" s="2">
        <v>22</v>
      </c>
      <c r="L4240" t="s" s="2">
        <v>22</v>
      </c>
      <c r="M4240" t="s" s="2">
        <v>22</v>
      </c>
    </row>
    <row r="4241" ht="25.0" customHeight="true">
      <c r="A4241" t="s" s="2">
        <v>13</v>
      </c>
      <c r="B4241" t="s" s="2">
        <f>HYPERLINK("http://ts.21cn.com/tousu/show/id/1369478","平安普惠恶意威胁催款恐吓并骚扰俩人")</f>
      </c>
      <c r="C4241" t="s" s="2">
        <v>15</v>
      </c>
      <c r="D4241" t="s" s="2">
        <v>16</v>
      </c>
      <c r="E4241" t="s" s="2">
        <v>17</v>
      </c>
      <c r="F4241" t="s" s="2">
        <f>HYPERLINK("http://ts.21cn.com/tousu/show/id/1369478","http://ts.21cn.com/tousu/show/id/1369478")</f>
      </c>
      <c r="G4241" t="s" s="2">
        <v>17</v>
      </c>
      <c r="H4241" t="s" s="2">
        <v>19</v>
      </c>
      <c r="I4241" t="s" s="2">
        <v>16519</v>
      </c>
      <c r="J4241" t="s" s="2">
        <v>16520</v>
      </c>
      <c r="K4241" t="s" s="2">
        <v>22</v>
      </c>
      <c r="L4241" t="s" s="2">
        <v>22</v>
      </c>
      <c r="M4241" t="s" s="2">
        <v>22</v>
      </c>
    </row>
    <row r="4242" ht="25.0" customHeight="true">
      <c r="A4242" t="s" s="2">
        <v>13</v>
      </c>
      <c r="B4242" t="s" s="2">
        <f>HYPERLINK("http://ts.21cn.com/tousu/show/id/1369480","未经本人同意私自购买扣款收费")</f>
      </c>
      <c r="C4242" t="s" s="2">
        <v>15</v>
      </c>
      <c r="D4242" t="s" s="2">
        <v>16</v>
      </c>
      <c r="E4242" t="s" s="2">
        <v>17</v>
      </c>
      <c r="F4242" t="s" s="2">
        <f>HYPERLINK("http://ts.21cn.com/tousu/show/id/1369480","http://ts.21cn.com/tousu/show/id/1369480")</f>
      </c>
      <c r="G4242" t="s" s="2">
        <v>17</v>
      </c>
      <c r="H4242" t="s" s="2">
        <v>19</v>
      </c>
      <c r="I4242" t="s" s="2">
        <v>16523</v>
      </c>
      <c r="J4242" t="s" s="2">
        <v>16524</v>
      </c>
      <c r="K4242" t="s" s="2">
        <v>22</v>
      </c>
      <c r="L4242" t="s" s="2">
        <v>22</v>
      </c>
      <c r="M4242" t="s" s="2">
        <v>22</v>
      </c>
    </row>
    <row r="4243" ht="25.0" customHeight="true">
      <c r="A4243" t="s" s="2">
        <v>13</v>
      </c>
      <c r="B4243" t="s" s="2">
        <f>HYPERLINK("http://ts.21cn.com/tousu/show/id/1369477","第三方支付机构违规")</f>
      </c>
      <c r="C4243" t="s" s="2">
        <v>15</v>
      </c>
      <c r="D4243" t="s" s="2">
        <v>16</v>
      </c>
      <c r="E4243" t="s" s="2">
        <v>17</v>
      </c>
      <c r="F4243" t="s" s="2">
        <f>HYPERLINK("http://ts.21cn.com/tousu/show/id/1369477","http://ts.21cn.com/tousu/show/id/1369477")</f>
      </c>
      <c r="G4243" t="s" s="2">
        <v>17</v>
      </c>
      <c r="H4243" t="s" s="2">
        <v>19</v>
      </c>
      <c r="I4243" t="s" s="2">
        <v>16527</v>
      </c>
      <c r="J4243" t="s" s="2">
        <v>16528</v>
      </c>
      <c r="K4243" t="s" s="2">
        <v>22</v>
      </c>
      <c r="L4243" t="s" s="2">
        <v>22</v>
      </c>
      <c r="M4243" t="s" s="2">
        <v>22</v>
      </c>
    </row>
    <row r="4244" ht="25.0" customHeight="true">
      <c r="A4244" t="s" s="2">
        <v>13</v>
      </c>
      <c r="B4244" t="s" s="2">
        <f>HYPERLINK("http://ts.21cn.com/tousu/show/id/1369476","未借款遭遇速贷宝催收")</f>
      </c>
      <c r="C4244" t="s" s="2">
        <v>15</v>
      </c>
      <c r="D4244" t="s" s="2">
        <v>16</v>
      </c>
      <c r="E4244" t="s" s="2">
        <v>17</v>
      </c>
      <c r="F4244" t="s" s="2">
        <f>HYPERLINK("http://ts.21cn.com/tousu/show/id/1369476","http://ts.21cn.com/tousu/show/id/1369476")</f>
      </c>
      <c r="G4244" t="s" s="2">
        <v>17</v>
      </c>
      <c r="H4244" t="s" s="2">
        <v>19</v>
      </c>
      <c r="I4244" t="s" s="2">
        <v>16531</v>
      </c>
      <c r="J4244" t="s" s="2">
        <v>16532</v>
      </c>
      <c r="K4244" t="s" s="2">
        <v>22</v>
      </c>
      <c r="L4244" t="s" s="2">
        <v>22</v>
      </c>
      <c r="M4244" t="s" s="2">
        <v>22</v>
      </c>
    </row>
    <row r="4245" ht="25.0" customHeight="true">
      <c r="A4245" t="s" s="2">
        <v>13</v>
      </c>
      <c r="B4245" t="s" s="2">
        <f>HYPERLINK("http://ts.21cn.com/tousu/show/id/1369475","好分期是套路贷，利息高")</f>
      </c>
      <c r="C4245" t="s" s="2">
        <v>15</v>
      </c>
      <c r="D4245" t="s" s="2">
        <v>16</v>
      </c>
      <c r="E4245" t="s" s="2">
        <v>17</v>
      </c>
      <c r="F4245" t="s" s="2">
        <f>HYPERLINK("http://ts.21cn.com/tousu/show/id/1369475","http://ts.21cn.com/tousu/show/id/1369475")</f>
      </c>
      <c r="G4245" t="s" s="2">
        <v>17</v>
      </c>
      <c r="H4245" t="s" s="2">
        <v>19</v>
      </c>
      <c r="I4245" t="s" s="2">
        <v>16535</v>
      </c>
      <c r="J4245" t="s" s="2">
        <v>16536</v>
      </c>
      <c r="K4245" t="s" s="2">
        <v>22</v>
      </c>
      <c r="L4245" t="s" s="2">
        <v>22</v>
      </c>
      <c r="M4245" t="s" s="2">
        <v>22</v>
      </c>
    </row>
    <row r="4246" ht="25.0" customHeight="true">
      <c r="A4246" t="s" s="2">
        <v>13</v>
      </c>
      <c r="B4246" t="s" s="2">
        <f>HYPERLINK("http://ts.21cn.com/tousu/show/id/1369474","暴力催收")</f>
      </c>
      <c r="C4246" t="s" s="2">
        <v>15</v>
      </c>
      <c r="D4246" t="s" s="2">
        <v>16</v>
      </c>
      <c r="E4246" t="s" s="2">
        <v>17</v>
      </c>
      <c r="F4246" t="s" s="2">
        <f>HYPERLINK("http://ts.21cn.com/tousu/show/id/1369474","http://ts.21cn.com/tousu/show/id/1369474")</f>
      </c>
      <c r="G4246" t="s" s="2">
        <v>17</v>
      </c>
      <c r="H4246" t="s" s="2">
        <v>19</v>
      </c>
      <c r="I4246" t="s" s="2">
        <v>16538</v>
      </c>
      <c r="J4246" t="s" s="2">
        <v>16539</v>
      </c>
      <c r="K4246" t="s" s="2">
        <v>22</v>
      </c>
      <c r="L4246" t="s" s="2">
        <v>22</v>
      </c>
      <c r="M4246" t="s" s="2">
        <v>22</v>
      </c>
    </row>
    <row r="4247" ht="25.0" customHeight="true">
      <c r="A4247" t="s" s="2">
        <v>13</v>
      </c>
      <c r="B4247" t="s" s="2">
        <f>HYPERLINK("http://ts.21cn.com/tousu/show/id/1369472","催收")</f>
      </c>
      <c r="C4247" t="s" s="2">
        <v>15</v>
      </c>
      <c r="D4247" t="s" s="2">
        <v>16</v>
      </c>
      <c r="E4247" t="s" s="2">
        <v>17</v>
      </c>
      <c r="F4247" t="s" s="2">
        <f>HYPERLINK("http://ts.21cn.com/tousu/show/id/1369472","http://ts.21cn.com/tousu/show/id/1369472")</f>
      </c>
      <c r="G4247" t="s" s="2">
        <v>17</v>
      </c>
      <c r="H4247" t="s" s="2">
        <v>19</v>
      </c>
      <c r="I4247" t="s" s="2">
        <v>16541</v>
      </c>
      <c r="J4247" t="s" s="2">
        <v>16542</v>
      </c>
      <c r="K4247" t="s" s="2">
        <v>22</v>
      </c>
      <c r="L4247" t="s" s="2">
        <v>22</v>
      </c>
      <c r="M4247" t="s" s="2">
        <v>22</v>
      </c>
    </row>
    <row r="4248" ht="25.0" customHeight="true">
      <c r="A4248" t="s" s="2">
        <v>13</v>
      </c>
      <c r="B4248" t="s" s="2">
        <f>HYPERLINK("http://ts.21cn.com/tousu/show/id/1369473","凡普信暴力催收恐吓")</f>
      </c>
      <c r="C4248" t="s" s="2">
        <v>15</v>
      </c>
      <c r="D4248" t="s" s="2">
        <v>16</v>
      </c>
      <c r="E4248" t="s" s="2">
        <v>17</v>
      </c>
      <c r="F4248" t="s" s="2">
        <f>HYPERLINK("http://ts.21cn.com/tousu/show/id/1369473","http://ts.21cn.com/tousu/show/id/1369473")</f>
      </c>
      <c r="G4248" t="s" s="2">
        <v>17</v>
      </c>
      <c r="H4248" t="s" s="2">
        <v>19</v>
      </c>
      <c r="I4248" t="s" s="2">
        <v>16545</v>
      </c>
      <c r="J4248" t="s" s="2">
        <v>16546</v>
      </c>
      <c r="K4248" t="s" s="2">
        <v>22</v>
      </c>
      <c r="L4248" t="s" s="2">
        <v>22</v>
      </c>
      <c r="M4248" t="s" s="2">
        <v>22</v>
      </c>
    </row>
    <row r="4249" ht="25.0" customHeight="true">
      <c r="A4249" t="s" s="2">
        <v>13</v>
      </c>
      <c r="B4249" t="s" s="2">
        <f>HYPERLINK("http://ts.21cn.com/tousu/show/id/1369471","专坑老用户垃圾售后")</f>
      </c>
      <c r="C4249" t="s" s="2">
        <v>15</v>
      </c>
      <c r="D4249" t="s" s="2">
        <v>16</v>
      </c>
      <c r="E4249" t="s" s="2">
        <v>17</v>
      </c>
      <c r="F4249" t="s" s="2">
        <f>HYPERLINK("http://ts.21cn.com/tousu/show/id/1369471","http://ts.21cn.com/tousu/show/id/1369471")</f>
      </c>
      <c r="G4249" t="s" s="2">
        <v>17</v>
      </c>
      <c r="H4249" t="s" s="2">
        <v>19</v>
      </c>
      <c r="I4249" t="s" s="2">
        <v>16549</v>
      </c>
      <c r="J4249" t="s" s="2">
        <v>16550</v>
      </c>
      <c r="K4249" t="s" s="2">
        <v>22</v>
      </c>
      <c r="L4249" t="s" s="2">
        <v>22</v>
      </c>
      <c r="M4249" t="s" s="2">
        <v>22</v>
      </c>
    </row>
    <row r="4250" ht="25.0" customHeight="true">
      <c r="A4250" t="s" s="2">
        <v>13</v>
      </c>
      <c r="B4250" t="s" s="2">
        <f>HYPERLINK("http://ts.21cn.com/tousu/show/id/1369470","马上金融乱收利息")</f>
      </c>
      <c r="C4250" t="s" s="2">
        <v>15</v>
      </c>
      <c r="D4250" t="s" s="2">
        <v>16</v>
      </c>
      <c r="E4250" t="s" s="2">
        <v>17</v>
      </c>
      <c r="F4250" t="s" s="2">
        <f>HYPERLINK("http://ts.21cn.com/tousu/show/id/1369470","http://ts.21cn.com/tousu/show/id/1369470")</f>
      </c>
      <c r="G4250" t="s" s="2">
        <v>17</v>
      </c>
      <c r="H4250" t="s" s="2">
        <v>19</v>
      </c>
      <c r="I4250" t="s" s="2">
        <v>16553</v>
      </c>
      <c r="J4250" t="s" s="2">
        <v>16554</v>
      </c>
      <c r="K4250" t="s" s="2">
        <v>22</v>
      </c>
      <c r="L4250" t="s" s="2">
        <v>22</v>
      </c>
      <c r="M4250" t="s" s="2">
        <v>22</v>
      </c>
    </row>
    <row r="4251" ht="25.0" customHeight="true">
      <c r="A4251" t="s" s="2">
        <v>13</v>
      </c>
      <c r="B4251" t="s" s="2">
        <f>HYPERLINK("http://ts.21cn.com/tousu/show/id/1369439","辱骂通讯录好友暴力崔收，")</f>
      </c>
      <c r="C4251" t="s" s="2">
        <v>15</v>
      </c>
      <c r="D4251" t="s" s="2">
        <v>16</v>
      </c>
      <c r="E4251" t="s" s="2">
        <v>17</v>
      </c>
      <c r="F4251" t="s" s="2">
        <f>HYPERLINK("http://ts.21cn.com/tousu/show/id/1369439","http://ts.21cn.com/tousu/show/id/1369439")</f>
      </c>
      <c r="G4251" t="s" s="2">
        <v>17</v>
      </c>
      <c r="H4251" t="s" s="2">
        <v>19</v>
      </c>
      <c r="I4251" t="s" s="2">
        <v>16557</v>
      </c>
      <c r="J4251" t="s" s="2">
        <v>16558</v>
      </c>
      <c r="K4251" t="s" s="2">
        <v>22</v>
      </c>
      <c r="L4251" t="s" s="2">
        <v>22</v>
      </c>
      <c r="M4251" t="s" s="2">
        <v>22</v>
      </c>
    </row>
    <row r="4252" ht="25.0" customHeight="true">
      <c r="A4252" t="s" s="2">
        <v>13</v>
      </c>
      <c r="B4252" t="s" s="2">
        <f>HYPERLINK("http://ts.21cn.com/tousu/show/id/1369469","宜人贷催收骚扰未授权通讯录电话并且态度恶劣")</f>
      </c>
      <c r="C4252" t="s" s="2">
        <v>15</v>
      </c>
      <c r="D4252" t="s" s="2">
        <v>16</v>
      </c>
      <c r="E4252" t="s" s="2">
        <v>17</v>
      </c>
      <c r="F4252" t="s" s="2">
        <f>HYPERLINK("http://ts.21cn.com/tousu/show/id/1369469","http://ts.21cn.com/tousu/show/id/1369469")</f>
      </c>
      <c r="G4252" t="s" s="2">
        <v>17</v>
      </c>
      <c r="H4252" t="s" s="2">
        <v>19</v>
      </c>
      <c r="I4252" t="s" s="2">
        <v>16561</v>
      </c>
      <c r="J4252" t="s" s="2">
        <v>16562</v>
      </c>
      <c r="K4252" t="s" s="2">
        <v>22</v>
      </c>
      <c r="L4252" t="s" s="2">
        <v>22</v>
      </c>
      <c r="M4252" t="s" s="2">
        <v>22</v>
      </c>
    </row>
    <row r="4253" ht="25.0" customHeight="true">
      <c r="A4253" t="s" s="2">
        <v>13</v>
      </c>
      <c r="B4253" t="s" s="2">
        <f>HYPERLINK("http://ts.21cn.com/tousu/show/id/1369468","联动优势辽宁无故盗刷我2200元")</f>
      </c>
      <c r="C4253" t="s" s="2">
        <v>15</v>
      </c>
      <c r="D4253" t="s" s="2">
        <v>16</v>
      </c>
      <c r="E4253" t="s" s="2">
        <v>17</v>
      </c>
      <c r="F4253" t="s" s="2">
        <f>HYPERLINK("http://ts.21cn.com/tousu/show/id/1369468","http://ts.21cn.com/tousu/show/id/1369468")</f>
      </c>
      <c r="G4253" t="s" s="2">
        <v>17</v>
      </c>
      <c r="H4253" t="s" s="2">
        <v>19</v>
      </c>
      <c r="I4253" t="s" s="2">
        <v>16565</v>
      </c>
      <c r="J4253" t="s" s="2">
        <v>16566</v>
      </c>
      <c r="K4253" t="s" s="2">
        <v>22</v>
      </c>
      <c r="L4253" t="s" s="2">
        <v>22</v>
      </c>
      <c r="M4253" t="s" s="2">
        <v>22</v>
      </c>
    </row>
    <row r="4254" ht="25.0" customHeight="true">
      <c r="A4254" t="s" s="2">
        <v>13</v>
      </c>
      <c r="B4254" t="s" s="2">
        <f>HYPERLINK("http://ts.21cn.com/tousu/show/id/1369467","违法催收，骚扰家人")</f>
      </c>
      <c r="C4254" t="s" s="2">
        <v>15</v>
      </c>
      <c r="D4254" t="s" s="2">
        <v>16</v>
      </c>
      <c r="E4254" t="s" s="2">
        <v>17</v>
      </c>
      <c r="F4254" t="s" s="2">
        <f>HYPERLINK("http://ts.21cn.com/tousu/show/id/1369467","http://ts.21cn.com/tousu/show/id/1369467")</f>
      </c>
      <c r="G4254" t="s" s="2">
        <v>17</v>
      </c>
      <c r="H4254" t="s" s="2">
        <v>19</v>
      </c>
      <c r="I4254" t="s" s="2">
        <v>16569</v>
      </c>
      <c r="J4254" t="s" s="2">
        <v>16570</v>
      </c>
      <c r="K4254" t="s" s="2">
        <v>22</v>
      </c>
      <c r="L4254" t="s" s="2">
        <v>22</v>
      </c>
      <c r="M4254" t="s" s="2">
        <v>22</v>
      </c>
    </row>
    <row r="4255" ht="25.0" customHeight="true">
      <c r="A4255" t="s" s="2">
        <v>13</v>
      </c>
      <c r="B4255" t="s" s="2">
        <f>HYPERLINK("http://ts.21cn.com/tousu/show/id/1369466","充值游戏里面物品使用不了多余的东西无法出售无法升级")</f>
      </c>
      <c r="C4255" t="s" s="2">
        <v>52</v>
      </c>
      <c r="D4255" t="s" s="2">
        <v>16</v>
      </c>
      <c r="E4255" t="s" s="2">
        <v>17</v>
      </c>
      <c r="F4255" t="s" s="2">
        <f>HYPERLINK("http://ts.21cn.com/tousu/show/id/1369466","http://ts.21cn.com/tousu/show/id/1369466")</f>
      </c>
      <c r="G4255" t="s" s="2">
        <v>17</v>
      </c>
      <c r="H4255" t="s" s="2">
        <v>19</v>
      </c>
      <c r="I4255" t="s" s="2">
        <v>16573</v>
      </c>
      <c r="J4255" t="s" s="2">
        <v>16574</v>
      </c>
      <c r="K4255" t="s" s="2">
        <v>22</v>
      </c>
      <c r="L4255" t="s" s="2">
        <v>22</v>
      </c>
      <c r="M4255" t="s" s="2">
        <v>22</v>
      </c>
    </row>
    <row r="4256" ht="25.0" customHeight="true">
      <c r="A4256" t="s" s="2">
        <v>13</v>
      </c>
      <c r="B4256" t="s" s="2">
        <f>HYPERLINK("http://ts.21cn.com/tousu/show/id/1369465","2016年房屋发现漏水，反馈给物业三年都不予处理！")</f>
      </c>
      <c r="C4256" t="s" s="2">
        <v>15</v>
      </c>
      <c r="D4256" t="s" s="2">
        <v>16</v>
      </c>
      <c r="E4256" t="s" s="2">
        <v>17</v>
      </c>
      <c r="F4256" t="s" s="2">
        <f>HYPERLINK("http://ts.21cn.com/tousu/show/id/1369465","http://ts.21cn.com/tousu/show/id/1369465")</f>
      </c>
      <c r="G4256" t="s" s="2">
        <v>17</v>
      </c>
      <c r="H4256" t="s" s="2">
        <v>19</v>
      </c>
      <c r="I4256" t="s" s="2">
        <v>16577</v>
      </c>
      <c r="J4256" t="s" s="2">
        <v>16578</v>
      </c>
      <c r="K4256" t="s" s="2">
        <v>22</v>
      </c>
      <c r="L4256" t="s" s="2">
        <v>22</v>
      </c>
      <c r="M4256" t="s" s="2">
        <v>22</v>
      </c>
    </row>
    <row r="4257" ht="25.0" customHeight="true">
      <c r="A4257" t="s" s="2">
        <v>13</v>
      </c>
      <c r="B4257" t="s" s="2">
        <f>HYPERLINK("http://ts.21cn.com/tousu/show/id/1369447","玖富万卡高息假合同，态度恶劣")</f>
      </c>
      <c r="C4257" t="s" s="2">
        <v>15</v>
      </c>
      <c r="D4257" t="s" s="2">
        <v>16</v>
      </c>
      <c r="E4257" t="s" s="2">
        <v>17</v>
      </c>
      <c r="F4257" t="s" s="2">
        <f>HYPERLINK("http://ts.21cn.com/tousu/show/id/1369447","http://ts.21cn.com/tousu/show/id/1369447")</f>
      </c>
      <c r="G4257" t="s" s="2">
        <v>17</v>
      </c>
      <c r="H4257" t="s" s="2">
        <v>19</v>
      </c>
      <c r="I4257" t="s" s="2">
        <v>16581</v>
      </c>
      <c r="J4257" t="s" s="2">
        <v>16582</v>
      </c>
      <c r="K4257" t="s" s="2">
        <v>22</v>
      </c>
      <c r="L4257" t="s" s="2">
        <v>22</v>
      </c>
      <c r="M4257" t="s" s="2">
        <v>22</v>
      </c>
    </row>
    <row r="4258" ht="25.0" customHeight="true">
      <c r="A4258" t="s" s="2">
        <v>13</v>
      </c>
      <c r="B4258" t="s" s="2">
        <f>HYPERLINK("http://ts.21cn.com/tousu/show/id/1369426","714高利贷催收辱骂骚扰")</f>
      </c>
      <c r="C4258" t="s" s="2">
        <v>15</v>
      </c>
      <c r="D4258" t="s" s="2">
        <v>16</v>
      </c>
      <c r="E4258" t="s" s="2">
        <v>17</v>
      </c>
      <c r="F4258" t="s" s="2">
        <f>HYPERLINK("http://ts.21cn.com/tousu/show/id/1369426","http://ts.21cn.com/tousu/show/id/1369426")</f>
      </c>
      <c r="G4258" t="s" s="2">
        <v>17</v>
      </c>
      <c r="H4258" t="s" s="2">
        <v>19</v>
      </c>
      <c r="I4258" t="s" s="2">
        <v>16585</v>
      </c>
      <c r="J4258" t="s" s="2">
        <v>16586</v>
      </c>
      <c r="K4258" t="s" s="2">
        <v>22</v>
      </c>
      <c r="L4258" t="s" s="2">
        <v>22</v>
      </c>
      <c r="M4258" t="s" s="2">
        <v>22</v>
      </c>
    </row>
    <row r="4259" ht="25.0" customHeight="true">
      <c r="A4259" t="s" s="2">
        <v>13</v>
      </c>
      <c r="B4259" t="s" s="2">
        <f>HYPERLINK("http://ts.21cn.com/tousu/show/id/1369463","凡普信暴力催收")</f>
      </c>
      <c r="C4259" t="s" s="2">
        <v>15</v>
      </c>
      <c r="D4259" t="s" s="2">
        <v>16</v>
      </c>
      <c r="E4259" t="s" s="2">
        <v>17</v>
      </c>
      <c r="F4259" t="s" s="2">
        <f>HYPERLINK("http://ts.21cn.com/tousu/show/id/1369463","http://ts.21cn.com/tousu/show/id/1369463")</f>
      </c>
      <c r="G4259" t="s" s="2">
        <v>17</v>
      </c>
      <c r="H4259" t="s" s="2">
        <v>19</v>
      </c>
      <c r="I4259" t="s" s="2">
        <v>16589</v>
      </c>
      <c r="J4259" t="s" s="2">
        <v>16590</v>
      </c>
      <c r="K4259" t="s" s="2">
        <v>22</v>
      </c>
      <c r="L4259" t="s" s="2">
        <v>22</v>
      </c>
      <c r="M4259" t="s" s="2">
        <v>22</v>
      </c>
    </row>
    <row r="4260" ht="25.0" customHeight="true">
      <c r="A4260" t="s" s="2">
        <v>13</v>
      </c>
      <c r="B4260" t="s" s="2">
        <f>HYPERLINK("http://ts.21cn.com/tousu/show/id/1369464","小花钱包催收骚扰我的通讯录联系人")</f>
      </c>
      <c r="C4260" t="s" s="2">
        <v>15</v>
      </c>
      <c r="D4260" t="s" s="2">
        <v>16</v>
      </c>
      <c r="E4260" t="s" s="2">
        <v>17</v>
      </c>
      <c r="F4260" t="s" s="2">
        <f>HYPERLINK("http://ts.21cn.com/tousu/show/id/1369464","http://ts.21cn.com/tousu/show/id/1369464")</f>
      </c>
      <c r="G4260" t="s" s="2">
        <v>17</v>
      </c>
      <c r="H4260" t="s" s="2">
        <v>19</v>
      </c>
      <c r="I4260" t="s" s="2">
        <v>16593</v>
      </c>
      <c r="J4260" t="s" s="2">
        <v>16594</v>
      </c>
      <c r="K4260" t="s" s="2">
        <v>22</v>
      </c>
      <c r="L4260" t="s" s="2">
        <v>22</v>
      </c>
      <c r="M4260" t="s" s="2">
        <v>22</v>
      </c>
    </row>
    <row r="4261" ht="25.0" customHeight="true">
      <c r="A4261" t="s" s="2">
        <v>13</v>
      </c>
      <c r="B4261" t="s" s="2">
        <f>HYPERLINK("http://ts.21cn.com/tousu/show/id/1369462","我投诉的的被骚扰问题得不到解决")</f>
      </c>
      <c r="C4261" t="s" s="2">
        <v>15</v>
      </c>
      <c r="D4261" t="s" s="2">
        <v>16</v>
      </c>
      <c r="E4261" t="s" s="2">
        <v>17</v>
      </c>
      <c r="F4261" t="s" s="2">
        <f>HYPERLINK("http://ts.21cn.com/tousu/show/id/1369462","http://ts.21cn.com/tousu/show/id/1369462")</f>
      </c>
      <c r="G4261" t="s" s="2">
        <v>17</v>
      </c>
      <c r="H4261" t="s" s="2">
        <v>19</v>
      </c>
      <c r="I4261" t="s" s="2">
        <v>16597</v>
      </c>
      <c r="J4261" t="s" s="2">
        <v>16598</v>
      </c>
      <c r="K4261" t="s" s="2">
        <v>22</v>
      </c>
      <c r="L4261" t="s" s="2">
        <v>22</v>
      </c>
      <c r="M4261" t="s" s="2">
        <v>22</v>
      </c>
    </row>
    <row r="4262" ht="25.0" customHeight="true">
      <c r="A4262" t="s" s="2">
        <v>13</v>
      </c>
      <c r="B4262" t="s" s="2">
        <f>HYPERLINK("http://ts.21cn.com/tousu/show/id/1369460","建行快贷客服电话一直打不通")</f>
      </c>
      <c r="C4262" t="s" s="2">
        <v>15</v>
      </c>
      <c r="D4262" t="s" s="2">
        <v>16</v>
      </c>
      <c r="E4262" t="s" s="2">
        <v>17</v>
      </c>
      <c r="F4262" t="s" s="2">
        <f>HYPERLINK("http://ts.21cn.com/tousu/show/id/1369460","http://ts.21cn.com/tousu/show/id/1369460")</f>
      </c>
      <c r="G4262" t="s" s="2">
        <v>17</v>
      </c>
      <c r="H4262" t="s" s="2">
        <v>19</v>
      </c>
      <c r="I4262" t="s" s="2">
        <v>16601</v>
      </c>
      <c r="J4262" t="s" s="2">
        <v>16602</v>
      </c>
      <c r="K4262" t="s" s="2">
        <v>22</v>
      </c>
      <c r="L4262" t="s" s="2">
        <v>22</v>
      </c>
      <c r="M4262" t="s" s="2">
        <v>22</v>
      </c>
    </row>
    <row r="4263" ht="25.0" customHeight="true">
      <c r="A4263" t="s" s="2">
        <v>13</v>
      </c>
      <c r="B4263" t="s" s="2">
        <f>HYPERLINK("http://ts.21cn.com/tousu/show/id/1369461","连连支付为万贯游戏游戏贷款714高炮提供支付通道要求退还砍头息")</f>
      </c>
      <c r="C4263" t="s" s="2">
        <v>52</v>
      </c>
      <c r="D4263" t="s" s="2">
        <v>16</v>
      </c>
      <c r="E4263" t="s" s="2">
        <v>17</v>
      </c>
      <c r="F4263" t="s" s="2">
        <f>HYPERLINK("http://ts.21cn.com/tousu/show/id/1369461","http://ts.21cn.com/tousu/show/id/1369461")</f>
      </c>
      <c r="G4263" t="s" s="2">
        <v>17</v>
      </c>
      <c r="H4263" t="s" s="2">
        <v>19</v>
      </c>
      <c r="I4263" t="s" s="2">
        <v>16605</v>
      </c>
      <c r="J4263" t="s" s="2">
        <v>16606</v>
      </c>
      <c r="K4263" t="s" s="2">
        <v>22</v>
      </c>
      <c r="L4263" t="s" s="2">
        <v>22</v>
      </c>
      <c r="M4263" t="s" s="2">
        <v>22</v>
      </c>
    </row>
    <row r="4264" ht="25.0" customHeight="true">
      <c r="A4264" t="s" s="2">
        <v>13</v>
      </c>
      <c r="B4264" t="s" s="2">
        <f>HYPERLINK("http://ts.21cn.com/tousu/show/id/1369459","退服务费")</f>
      </c>
      <c r="C4264" t="s" s="2">
        <v>15</v>
      </c>
      <c r="D4264" t="s" s="2">
        <v>16</v>
      </c>
      <c r="E4264" t="s" s="2">
        <v>17</v>
      </c>
      <c r="F4264" t="s" s="2">
        <f>HYPERLINK("http://ts.21cn.com/tousu/show/id/1369459","http://ts.21cn.com/tousu/show/id/1369459")</f>
      </c>
      <c r="G4264" t="s" s="2">
        <v>17</v>
      </c>
      <c r="H4264" t="s" s="2">
        <v>19</v>
      </c>
      <c r="I4264" t="s" s="2">
        <v>16609</v>
      </c>
      <c r="J4264" t="s" s="2">
        <v>16610</v>
      </c>
      <c r="K4264" t="s" s="2">
        <v>22</v>
      </c>
      <c r="L4264" t="s" s="2">
        <v>22</v>
      </c>
      <c r="M4264" t="s" s="2">
        <v>22</v>
      </c>
    </row>
    <row r="4265" ht="25.0" customHeight="true">
      <c r="A4265" t="s" s="2">
        <v>13</v>
      </c>
      <c r="B4265" t="s" s="2">
        <f>HYPERLINK("http://ts.21cn.com/tousu/show/id/1369458","现金巴士套路贷")</f>
      </c>
      <c r="C4265" t="s" s="2">
        <v>15</v>
      </c>
      <c r="D4265" t="s" s="2">
        <v>16</v>
      </c>
      <c r="E4265" t="s" s="2">
        <v>17</v>
      </c>
      <c r="F4265" t="s" s="2">
        <f>HYPERLINK("http://ts.21cn.com/tousu/show/id/1369458","http://ts.21cn.com/tousu/show/id/1369458")</f>
      </c>
      <c r="G4265" t="s" s="2">
        <v>17</v>
      </c>
      <c r="H4265" t="s" s="2">
        <v>19</v>
      </c>
      <c r="I4265" t="s" s="2">
        <v>16613</v>
      </c>
      <c r="J4265" t="s" s="2">
        <v>16614</v>
      </c>
      <c r="K4265" t="s" s="2">
        <v>22</v>
      </c>
      <c r="L4265" t="s" s="2">
        <v>22</v>
      </c>
      <c r="M4265" t="s" s="2">
        <v>22</v>
      </c>
    </row>
    <row r="4266" ht="25.0" customHeight="true">
      <c r="A4266" t="s" s="2">
        <v>13</v>
      </c>
      <c r="B4266" t="s" s="2">
        <f>HYPERLINK("http://ts.21cn.com/tousu/show/id/1369457","马上消费金融安逸花乱收服务费")</f>
      </c>
      <c r="C4266" t="s" s="2">
        <v>15</v>
      </c>
      <c r="D4266" t="s" s="2">
        <v>16</v>
      </c>
      <c r="E4266" t="s" s="2">
        <v>17</v>
      </c>
      <c r="F4266" t="s" s="2">
        <f>HYPERLINK("http://ts.21cn.com/tousu/show/id/1369457","http://ts.21cn.com/tousu/show/id/1369457")</f>
      </c>
      <c r="G4266" t="s" s="2">
        <v>17</v>
      </c>
      <c r="H4266" t="s" s="2">
        <v>19</v>
      </c>
      <c r="I4266" t="s" s="2">
        <v>16617</v>
      </c>
      <c r="J4266" t="s" s="2">
        <v>16618</v>
      </c>
      <c r="K4266" t="s" s="2">
        <v>22</v>
      </c>
      <c r="L4266" t="s" s="2">
        <v>22</v>
      </c>
      <c r="M4266" t="s" s="2">
        <v>22</v>
      </c>
    </row>
    <row r="4267" ht="25.0" customHeight="true">
      <c r="A4267" t="s" s="2">
        <v>13</v>
      </c>
      <c r="B4267" t="s" s="2">
        <f>HYPERLINK("http://ts.21cn.com/tousu/show/id/1369456","友信信贷在未逾期的时间内对借款人进行暴力催收")</f>
      </c>
      <c r="C4267" t="s" s="2">
        <v>15</v>
      </c>
      <c r="D4267" t="s" s="2">
        <v>16</v>
      </c>
      <c r="E4267" t="s" s="2">
        <v>17</v>
      </c>
      <c r="F4267" t="s" s="2">
        <f>HYPERLINK("http://ts.21cn.com/tousu/show/id/1369456","http://ts.21cn.com/tousu/show/id/1369456")</f>
      </c>
      <c r="G4267" t="s" s="2">
        <v>17</v>
      </c>
      <c r="H4267" t="s" s="2">
        <v>19</v>
      </c>
      <c r="I4267" t="s" s="2">
        <v>16620</v>
      </c>
      <c r="J4267" t="s" s="2">
        <v>16621</v>
      </c>
      <c r="K4267" t="s" s="2">
        <v>22</v>
      </c>
      <c r="L4267" t="s" s="2">
        <v>22</v>
      </c>
      <c r="M4267" t="s" s="2">
        <v>22</v>
      </c>
    </row>
    <row r="4268" ht="25.0" customHeight="true">
      <c r="A4268" t="s" s="2">
        <v>13</v>
      </c>
      <c r="B4268" t="s" s="2">
        <f>HYPERLINK("http://ts.21cn.com/tousu/show/id/1369455","51人品贷高利贷")</f>
      </c>
      <c r="C4268" t="s" s="2">
        <v>15</v>
      </c>
      <c r="D4268" t="s" s="2">
        <v>16</v>
      </c>
      <c r="E4268" t="s" s="2">
        <v>17</v>
      </c>
      <c r="F4268" t="s" s="2">
        <f>HYPERLINK("http://ts.21cn.com/tousu/show/id/1369455","http://ts.21cn.com/tousu/show/id/1369455")</f>
      </c>
      <c r="G4268" t="s" s="2">
        <v>17</v>
      </c>
      <c r="H4268" t="s" s="2">
        <v>19</v>
      </c>
      <c r="I4268" t="s" s="2">
        <v>16623</v>
      </c>
      <c r="J4268" t="s" s="2">
        <v>16624</v>
      </c>
      <c r="K4268" t="s" s="2">
        <v>22</v>
      </c>
      <c r="L4268" t="s" s="2">
        <v>22</v>
      </c>
      <c r="M4268" t="s" s="2">
        <v>22</v>
      </c>
    </row>
    <row r="4269" ht="25.0" customHeight="true">
      <c r="A4269" t="s" s="2">
        <v>13</v>
      </c>
      <c r="B4269" t="s" s="2">
        <f>HYPERLINK("http://ts.21cn.com/tousu/show/id/1369454","贷款收保费过高")</f>
      </c>
      <c r="C4269" t="s" s="2">
        <v>52</v>
      </c>
      <c r="D4269" t="s" s="2">
        <v>16</v>
      </c>
      <c r="E4269" t="s" s="2">
        <v>17</v>
      </c>
      <c r="F4269" t="s" s="2">
        <f>HYPERLINK("http://ts.21cn.com/tousu/show/id/1369454","http://ts.21cn.com/tousu/show/id/1369454")</f>
      </c>
      <c r="G4269" t="s" s="2">
        <v>17</v>
      </c>
      <c r="H4269" t="s" s="2">
        <v>19</v>
      </c>
      <c r="I4269" t="s" s="2">
        <v>16627</v>
      </c>
      <c r="J4269" t="s" s="2">
        <v>16628</v>
      </c>
      <c r="K4269" t="s" s="2">
        <v>22</v>
      </c>
      <c r="L4269" t="s" s="2">
        <v>22</v>
      </c>
      <c r="M4269" t="s" s="2">
        <v>22</v>
      </c>
    </row>
    <row r="4270" ht="25.0" customHeight="true">
      <c r="A4270" t="s" s="2">
        <v>13</v>
      </c>
      <c r="B4270" t="s" s="2">
        <f>HYPERLINK("http://ts.21cn.com/tousu/show/id/1369453","一再骚扰请求停止")</f>
      </c>
      <c r="C4270" t="s" s="2">
        <v>15</v>
      </c>
      <c r="D4270" t="s" s="2">
        <v>16</v>
      </c>
      <c r="E4270" t="s" s="2">
        <v>17</v>
      </c>
      <c r="F4270" t="s" s="2">
        <f>HYPERLINK("http://ts.21cn.com/tousu/show/id/1369453","http://ts.21cn.com/tousu/show/id/1369453")</f>
      </c>
      <c r="G4270" t="s" s="2">
        <v>17</v>
      </c>
      <c r="H4270" t="s" s="2">
        <v>19</v>
      </c>
      <c r="I4270" t="s" s="2">
        <v>16631</v>
      </c>
      <c r="J4270" t="s" s="2">
        <v>16632</v>
      </c>
      <c r="K4270" t="s" s="2">
        <v>22</v>
      </c>
      <c r="L4270" t="s" s="2">
        <v>22</v>
      </c>
      <c r="M4270" t="s" s="2">
        <v>22</v>
      </c>
    </row>
    <row r="4271" ht="25.0" customHeight="true">
      <c r="A4271" t="s" s="2">
        <v>13</v>
      </c>
      <c r="B4271" t="s" s="2">
        <f>HYPERLINK("http://ts.21cn.com/tousu/show/id/1369451","去哪儿强制收取退票高额费用")</f>
      </c>
      <c r="C4271" t="s" s="2">
        <v>15</v>
      </c>
      <c r="D4271" t="s" s="2">
        <v>16</v>
      </c>
      <c r="E4271" t="s" s="2">
        <v>17</v>
      </c>
      <c r="F4271" t="s" s="2">
        <f>HYPERLINK("http://ts.21cn.com/tousu/show/id/1369451","http://ts.21cn.com/tousu/show/id/1369451")</f>
      </c>
      <c r="G4271" t="s" s="2">
        <v>17</v>
      </c>
      <c r="H4271" t="s" s="2">
        <v>19</v>
      </c>
      <c r="I4271" t="s" s="2">
        <v>16635</v>
      </c>
      <c r="J4271" t="s" s="2">
        <v>16636</v>
      </c>
      <c r="K4271" t="s" s="2">
        <v>22</v>
      </c>
      <c r="L4271" t="s" s="2">
        <v>22</v>
      </c>
      <c r="M4271" t="s" s="2">
        <v>22</v>
      </c>
    </row>
    <row r="4272" ht="25.0" customHeight="true">
      <c r="A4272" t="s" s="2">
        <v>13</v>
      </c>
      <c r="B4272" t="s" s="2">
        <f>HYPERLINK("http://ts.21cn.com/tousu/show/id/1369452","网贷")</f>
      </c>
      <c r="C4272" t="s" s="2">
        <v>15</v>
      </c>
      <c r="D4272" t="s" s="2">
        <v>16</v>
      </c>
      <c r="E4272" t="s" s="2">
        <v>17</v>
      </c>
      <c r="F4272" t="s" s="2">
        <f>HYPERLINK("http://ts.21cn.com/tousu/show/id/1369452","http://ts.21cn.com/tousu/show/id/1369452")</f>
      </c>
      <c r="G4272" t="s" s="2">
        <v>17</v>
      </c>
      <c r="H4272" t="s" s="2">
        <v>19</v>
      </c>
      <c r="I4272" t="s" s="2">
        <v>16638</v>
      </c>
      <c r="J4272" t="s" s="2">
        <v>16639</v>
      </c>
      <c r="K4272" t="s" s="2">
        <v>22</v>
      </c>
      <c r="L4272" t="s" s="2">
        <v>22</v>
      </c>
      <c r="M4272" t="s" s="2">
        <v>22</v>
      </c>
    </row>
    <row r="4273" ht="25.0" customHeight="true">
      <c r="A4273" t="s" s="2">
        <v>13</v>
      </c>
      <c r="B4273" t="s" s="2">
        <f>HYPERLINK("http://ts.21cn.com/tousu/show/id/1369450","你我贷公司多次拨打我的手机号")</f>
      </c>
      <c r="C4273" t="s" s="2">
        <v>15</v>
      </c>
      <c r="D4273" t="s" s="2">
        <v>16</v>
      </c>
      <c r="E4273" t="s" s="2">
        <v>17</v>
      </c>
      <c r="F4273" t="s" s="2">
        <f>HYPERLINK("http://ts.21cn.com/tousu/show/id/1369450","http://ts.21cn.com/tousu/show/id/1369450")</f>
      </c>
      <c r="G4273" t="s" s="2">
        <v>17</v>
      </c>
      <c r="H4273" t="s" s="2">
        <v>19</v>
      </c>
      <c r="I4273" t="s" s="2">
        <v>16642</v>
      </c>
      <c r="J4273" t="s" s="2">
        <v>16643</v>
      </c>
      <c r="K4273" t="s" s="2">
        <v>22</v>
      </c>
      <c r="L4273" t="s" s="2">
        <v>22</v>
      </c>
      <c r="M4273" t="s" s="2">
        <v>22</v>
      </c>
    </row>
    <row r="4274" ht="25.0" customHeight="true">
      <c r="A4274" t="s" s="2">
        <v>13</v>
      </c>
      <c r="B4274" t="s" s="2">
        <f>HYPERLINK("http://ts.21cn.com/tousu/show/id/1369449","充值游戏里面物品使用不了多余的东西无法出售无法升级")</f>
      </c>
      <c r="C4274" t="s" s="2">
        <v>52</v>
      </c>
      <c r="D4274" t="s" s="2">
        <v>16</v>
      </c>
      <c r="E4274" t="s" s="2">
        <v>17</v>
      </c>
      <c r="F4274" t="s" s="2">
        <f>HYPERLINK("http://ts.21cn.com/tousu/show/id/1369449","http://ts.21cn.com/tousu/show/id/1369449")</f>
      </c>
      <c r="G4274" t="s" s="2">
        <v>17</v>
      </c>
      <c r="H4274" t="s" s="2">
        <v>19</v>
      </c>
      <c r="I4274" t="s" s="2">
        <v>16645</v>
      </c>
      <c r="J4274" t="s" s="2">
        <v>16646</v>
      </c>
      <c r="K4274" t="s" s="2">
        <v>22</v>
      </c>
      <c r="L4274" t="s" s="2">
        <v>22</v>
      </c>
      <c r="M4274" t="s" s="2">
        <v>22</v>
      </c>
    </row>
    <row r="4275" ht="25.0" customHeight="true">
      <c r="A4275" t="s" s="2">
        <v>13</v>
      </c>
      <c r="B4275" t="s" s="2">
        <f>HYPERLINK("http://ts.21cn.com/tousu/show/id/1369448","砍头息")</f>
      </c>
      <c r="C4275" t="s" s="2">
        <v>15</v>
      </c>
      <c r="D4275" t="s" s="2">
        <v>16</v>
      </c>
      <c r="E4275" t="s" s="2">
        <v>17</v>
      </c>
      <c r="F4275" t="s" s="2">
        <f>HYPERLINK("http://ts.21cn.com/tousu/show/id/1369448","http://ts.21cn.com/tousu/show/id/1369448")</f>
      </c>
      <c r="G4275" t="s" s="2">
        <v>17</v>
      </c>
      <c r="H4275" t="s" s="2">
        <v>19</v>
      </c>
      <c r="I4275" t="s" s="2">
        <v>16648</v>
      </c>
      <c r="J4275" t="s" s="2">
        <v>16649</v>
      </c>
      <c r="K4275" t="s" s="2">
        <v>22</v>
      </c>
      <c r="L4275" t="s" s="2">
        <v>22</v>
      </c>
      <c r="M4275" t="s" s="2">
        <v>22</v>
      </c>
    </row>
    <row r="4276" ht="25.0" customHeight="true">
      <c r="A4276" t="s" s="2">
        <v>13</v>
      </c>
      <c r="B4276" t="s" s="2">
        <f>HYPERLINK("http://ts.21cn.com/tousu/show/id/1369446","无故扣款，要求退款")</f>
      </c>
      <c r="C4276" t="s" s="2">
        <v>15</v>
      </c>
      <c r="D4276" t="s" s="2">
        <v>16</v>
      </c>
      <c r="E4276" t="s" s="2">
        <v>17</v>
      </c>
      <c r="F4276" t="s" s="2">
        <f>HYPERLINK("http://ts.21cn.com/tousu/show/id/1369446","http://ts.21cn.com/tousu/show/id/1369446")</f>
      </c>
      <c r="G4276" t="s" s="2">
        <v>17</v>
      </c>
      <c r="H4276" t="s" s="2">
        <v>19</v>
      </c>
      <c r="I4276" t="s" s="2">
        <v>16652</v>
      </c>
      <c r="J4276" t="s" s="2">
        <v>16653</v>
      </c>
      <c r="K4276" t="s" s="2">
        <v>22</v>
      </c>
      <c r="L4276" t="s" s="2">
        <v>22</v>
      </c>
      <c r="M4276" t="s" s="2">
        <v>22</v>
      </c>
    </row>
    <row r="4277" ht="25.0" customHeight="true">
      <c r="A4277" t="s" s="2">
        <v>13</v>
      </c>
      <c r="B4277" t="s" s="2">
        <f>HYPERLINK("http://ts.21cn.com/tousu/show/id/1369444","门客鲜花没有按约定送货")</f>
      </c>
      <c r="C4277" t="s" s="2">
        <v>15</v>
      </c>
      <c r="D4277" t="s" s="2">
        <v>16</v>
      </c>
      <c r="E4277" t="s" s="2">
        <v>17</v>
      </c>
      <c r="F4277" t="s" s="2">
        <f>HYPERLINK("http://ts.21cn.com/tousu/show/id/1369444","http://ts.21cn.com/tousu/show/id/1369444")</f>
      </c>
      <c r="G4277" t="s" s="2">
        <v>17</v>
      </c>
      <c r="H4277" t="s" s="2">
        <v>19</v>
      </c>
      <c r="I4277" t="s" s="2">
        <v>16656</v>
      </c>
      <c r="J4277" t="s" s="2">
        <v>16657</v>
      </c>
      <c r="K4277" t="s" s="2">
        <v>22</v>
      </c>
      <c r="L4277" t="s" s="2">
        <v>22</v>
      </c>
      <c r="M4277" t="s" s="2">
        <v>22</v>
      </c>
    </row>
    <row r="4278" ht="25.0" customHeight="true">
      <c r="A4278" t="s" s="2">
        <v>13</v>
      </c>
      <c r="B4278" t="s" s="2">
        <f>HYPERLINK("http://ts.21cn.com/tousu/show/id/1369442","京东白条暴力催收")</f>
      </c>
      <c r="C4278" t="s" s="2">
        <v>15</v>
      </c>
      <c r="D4278" t="s" s="2">
        <v>16</v>
      </c>
      <c r="E4278" t="s" s="2">
        <v>17</v>
      </c>
      <c r="F4278" t="s" s="2">
        <f>HYPERLINK("http://ts.21cn.com/tousu/show/id/1369442","http://ts.21cn.com/tousu/show/id/1369442")</f>
      </c>
      <c r="G4278" t="s" s="2">
        <v>17</v>
      </c>
      <c r="H4278" t="s" s="2">
        <v>19</v>
      </c>
      <c r="I4278" t="s" s="2">
        <v>16660</v>
      </c>
      <c r="J4278" t="s" s="2">
        <v>16661</v>
      </c>
      <c r="K4278" t="s" s="2">
        <v>22</v>
      </c>
      <c r="L4278" t="s" s="2">
        <v>22</v>
      </c>
      <c r="M4278" t="s" s="2">
        <v>22</v>
      </c>
    </row>
    <row r="4279" ht="25.0" customHeight="true">
      <c r="A4279" t="s" s="2">
        <v>13</v>
      </c>
      <c r="B4279" t="s" s="2">
        <f>HYPERLINK("http://ts.21cn.com/tousu/show/id/1369429","存钱柜群发短信骚扰我家人朋友我本金利息已经还清拒绝支付所谓的服务费")</f>
      </c>
      <c r="C4279" t="s" s="2">
        <v>15</v>
      </c>
      <c r="D4279" t="s" s="2">
        <v>16</v>
      </c>
      <c r="E4279" t="s" s="2">
        <v>17</v>
      </c>
      <c r="F4279" t="s" s="2">
        <f>HYPERLINK("http://ts.21cn.com/tousu/show/id/1369429","http://ts.21cn.com/tousu/show/id/1369429")</f>
      </c>
      <c r="G4279" t="s" s="2">
        <v>17</v>
      </c>
      <c r="H4279" t="s" s="2">
        <v>19</v>
      </c>
      <c r="I4279" t="s" s="2">
        <v>16664</v>
      </c>
      <c r="J4279" t="s" s="2">
        <v>16665</v>
      </c>
      <c r="K4279" t="s" s="2">
        <v>22</v>
      </c>
      <c r="L4279" t="s" s="2">
        <v>22</v>
      </c>
      <c r="M4279" t="s" s="2">
        <v>22</v>
      </c>
    </row>
    <row r="4280" ht="25.0" customHeight="true">
      <c r="A4280" t="s" s="2">
        <v>13</v>
      </c>
      <c r="B4280" t="s" s="2">
        <f>HYPERLINK("http://ts.21cn.com/tousu/show/id/1369443","恶意扣费")</f>
      </c>
      <c r="C4280" t="s" s="2">
        <v>15</v>
      </c>
      <c r="D4280" t="s" s="2">
        <v>16</v>
      </c>
      <c r="E4280" t="s" s="2">
        <v>17</v>
      </c>
      <c r="F4280" t="s" s="2">
        <f>HYPERLINK("http://ts.21cn.com/tousu/show/id/1369443","http://ts.21cn.com/tousu/show/id/1369443")</f>
      </c>
      <c r="G4280" t="s" s="2">
        <v>17</v>
      </c>
      <c r="H4280" t="s" s="2">
        <v>19</v>
      </c>
      <c r="I4280" t="s" s="2">
        <v>16664</v>
      </c>
      <c r="J4280" t="s" s="2">
        <v>16667</v>
      </c>
      <c r="K4280" t="s" s="2">
        <v>22</v>
      </c>
      <c r="L4280" t="s" s="2">
        <v>22</v>
      </c>
      <c r="M4280" t="s" s="2">
        <v>22</v>
      </c>
    </row>
    <row r="4281" ht="25.0" customHeight="true">
      <c r="A4281" t="s" s="2">
        <v>13</v>
      </c>
      <c r="B4281" t="s" s="2">
        <f>HYPERLINK("http://ts.21cn.com/tousu/show/id/1369441","九游账号申诉不通过")</f>
      </c>
      <c r="C4281" t="s" s="2">
        <v>52</v>
      </c>
      <c r="D4281" t="s" s="2">
        <v>16</v>
      </c>
      <c r="E4281" t="s" s="2">
        <v>17</v>
      </c>
      <c r="F4281" t="s" s="2">
        <f>HYPERLINK("http://ts.21cn.com/tousu/show/id/1369441","http://ts.21cn.com/tousu/show/id/1369441")</f>
      </c>
      <c r="G4281" t="s" s="2">
        <v>17</v>
      </c>
      <c r="H4281" t="s" s="2">
        <v>19</v>
      </c>
      <c r="I4281" t="s" s="2">
        <v>16670</v>
      </c>
      <c r="J4281" t="s" s="2">
        <v>16671</v>
      </c>
      <c r="K4281" t="s" s="2">
        <v>22</v>
      </c>
      <c r="L4281" t="s" s="2">
        <v>22</v>
      </c>
      <c r="M4281" t="s" s="2">
        <v>22</v>
      </c>
    </row>
    <row r="4282" ht="25.0" customHeight="true">
      <c r="A4282" t="s" s="2">
        <v>13</v>
      </c>
      <c r="B4282" t="s" s="2">
        <f>HYPERLINK("http://ts.21cn.com/tousu/show/id/1369440","苹果产品有问题不给保修和检测，保修期内还要消费者自费修理")</f>
      </c>
      <c r="C4282" t="s" s="2">
        <v>15</v>
      </c>
      <c r="D4282" t="s" s="2">
        <v>16</v>
      </c>
      <c r="E4282" t="s" s="2">
        <v>17</v>
      </c>
      <c r="F4282" t="s" s="2">
        <f>HYPERLINK("http://ts.21cn.com/tousu/show/id/1369440","http://ts.21cn.com/tousu/show/id/1369440")</f>
      </c>
      <c r="G4282" t="s" s="2">
        <v>17</v>
      </c>
      <c r="H4282" t="s" s="2">
        <v>19</v>
      </c>
      <c r="I4282" t="s" s="2">
        <v>16674</v>
      </c>
      <c r="J4282" t="s" s="2">
        <v>16675</v>
      </c>
      <c r="K4282" t="s" s="2">
        <v>22</v>
      </c>
      <c r="L4282" t="s" s="2">
        <v>22</v>
      </c>
      <c r="M4282" t="s" s="2">
        <v>22</v>
      </c>
    </row>
    <row r="4283" ht="25.0" customHeight="true">
      <c r="A4283" t="s" s="2">
        <v>13</v>
      </c>
      <c r="B4283" t="s" s="2">
        <f>HYPERLINK("http://ts.21cn.com/tousu/show/id/1369437","易宝支付为豆豆金714高炮提供支付通道要求退还砍头息")</f>
      </c>
      <c r="C4283" t="s" s="2">
        <v>52</v>
      </c>
      <c r="D4283" t="s" s="2">
        <v>16</v>
      </c>
      <c r="E4283" t="s" s="2">
        <v>17</v>
      </c>
      <c r="F4283" t="s" s="2">
        <f>HYPERLINK("http://ts.21cn.com/tousu/show/id/1369437","http://ts.21cn.com/tousu/show/id/1369437")</f>
      </c>
      <c r="G4283" t="s" s="2">
        <v>17</v>
      </c>
      <c r="H4283" t="s" s="2">
        <v>19</v>
      </c>
      <c r="I4283" t="s" s="2">
        <v>16678</v>
      </c>
      <c r="J4283" t="s" s="2">
        <v>16679</v>
      </c>
      <c r="K4283" t="s" s="2">
        <v>22</v>
      </c>
      <c r="L4283" t="s" s="2">
        <v>22</v>
      </c>
      <c r="M4283" t="s" s="2">
        <v>22</v>
      </c>
    </row>
    <row r="4284" ht="25.0" customHeight="true">
      <c r="A4284" t="s" s="2">
        <v>13</v>
      </c>
      <c r="B4284" t="s" s="2">
        <f>HYPERLINK("http://ts.21cn.com/tousu/show/id/1369399","航盟忽悠旅客办理1980会员卡退款投诉")</f>
      </c>
      <c r="C4284" t="s" s="2">
        <v>15</v>
      </c>
      <c r="D4284" t="s" s="2">
        <v>16</v>
      </c>
      <c r="E4284" t="s" s="2">
        <v>17</v>
      </c>
      <c r="F4284" t="s" s="2">
        <f>HYPERLINK("http://ts.21cn.com/tousu/show/id/1369399","http://ts.21cn.com/tousu/show/id/1369399")</f>
      </c>
      <c r="G4284" t="s" s="2">
        <v>17</v>
      </c>
      <c r="H4284" t="s" s="2">
        <v>19</v>
      </c>
      <c r="I4284" t="s" s="2">
        <v>16682</v>
      </c>
      <c r="J4284" t="s" s="2">
        <v>16683</v>
      </c>
      <c r="K4284" t="s" s="2">
        <v>22</v>
      </c>
      <c r="L4284" t="s" s="2">
        <v>22</v>
      </c>
      <c r="M4284" t="s" s="2">
        <v>22</v>
      </c>
    </row>
    <row r="4285" ht="25.0" customHeight="true">
      <c r="A4285" t="s" s="2">
        <v>13</v>
      </c>
      <c r="B4285" t="s" s="2">
        <f>HYPERLINK("http://ts.21cn.com/tousu/show/id/1369438","闪电借款高利贷")</f>
      </c>
      <c r="C4285" t="s" s="2">
        <v>15</v>
      </c>
      <c r="D4285" t="s" s="2">
        <v>16</v>
      </c>
      <c r="E4285" t="s" s="2">
        <v>17</v>
      </c>
      <c r="F4285" t="s" s="2">
        <f>HYPERLINK("http://ts.21cn.com/tousu/show/id/1369438","http://ts.21cn.com/tousu/show/id/1369438")</f>
      </c>
      <c r="G4285" t="s" s="2">
        <v>17</v>
      </c>
      <c r="H4285" t="s" s="2">
        <v>19</v>
      </c>
      <c r="I4285" t="s" s="2">
        <v>16686</v>
      </c>
      <c r="J4285" t="s" s="2">
        <v>16687</v>
      </c>
      <c r="K4285" t="s" s="2">
        <v>22</v>
      </c>
      <c r="L4285" t="s" s="2">
        <v>22</v>
      </c>
      <c r="M4285" t="s" s="2">
        <v>22</v>
      </c>
    </row>
    <row r="4286" ht="25.0" customHeight="true">
      <c r="A4286" t="s" s="2">
        <v>13</v>
      </c>
      <c r="B4286" t="s" s="2">
        <f>HYPERLINK("http://ts.21cn.com/tousu/show/id/1369436","杭州广剑网络科技公司无缘扣了199元望归还")</f>
      </c>
      <c r="C4286" t="s" s="2">
        <v>15</v>
      </c>
      <c r="D4286" t="s" s="2">
        <v>16</v>
      </c>
      <c r="E4286" t="s" s="2">
        <v>17</v>
      </c>
      <c r="F4286" t="s" s="2">
        <f>HYPERLINK("http://ts.21cn.com/tousu/show/id/1369436","http://ts.21cn.com/tousu/show/id/1369436")</f>
      </c>
      <c r="G4286" t="s" s="2">
        <v>17</v>
      </c>
      <c r="H4286" t="s" s="2">
        <v>19</v>
      </c>
      <c r="I4286" t="s" s="2">
        <v>16690</v>
      </c>
      <c r="J4286" t="s" s="2">
        <v>16691</v>
      </c>
      <c r="K4286" t="s" s="2">
        <v>22</v>
      </c>
      <c r="L4286" t="s" s="2">
        <v>22</v>
      </c>
      <c r="M4286" t="s" s="2">
        <v>22</v>
      </c>
    </row>
    <row r="4287" ht="25.0" customHeight="true">
      <c r="A4287" t="s" s="2">
        <v>13</v>
      </c>
      <c r="B4287" t="s" s="2">
        <f>HYPERLINK("http://ts.21cn.com/tousu/show/id/1369435","网商贷强制扣款")</f>
      </c>
      <c r="C4287" t="s" s="2">
        <v>15</v>
      </c>
      <c r="D4287" t="s" s="2">
        <v>16</v>
      </c>
      <c r="E4287" t="s" s="2">
        <v>17</v>
      </c>
      <c r="F4287" t="s" s="2">
        <f>HYPERLINK("http://ts.21cn.com/tousu/show/id/1369435","http://ts.21cn.com/tousu/show/id/1369435")</f>
      </c>
      <c r="G4287" t="s" s="2">
        <v>17</v>
      </c>
      <c r="H4287" t="s" s="2">
        <v>19</v>
      </c>
      <c r="I4287" t="s" s="2">
        <v>16694</v>
      </c>
      <c r="J4287" t="s" s="2">
        <v>16695</v>
      </c>
      <c r="K4287" t="s" s="2">
        <v>22</v>
      </c>
      <c r="L4287" t="s" s="2">
        <v>22</v>
      </c>
      <c r="M4287" t="s" s="2">
        <v>22</v>
      </c>
    </row>
    <row r="4288" ht="25.0" customHeight="true">
      <c r="A4288" t="s" s="2">
        <v>13</v>
      </c>
      <c r="B4288" t="s" s="2">
        <f>HYPERLINK("http://ts.21cn.com/tousu/show/id/1369434","信用帮分期，渡小贷高利贷砍头息")</f>
      </c>
      <c r="C4288" t="s" s="2">
        <v>15</v>
      </c>
      <c r="D4288" t="s" s="2">
        <v>16</v>
      </c>
      <c r="E4288" t="s" s="2">
        <v>17</v>
      </c>
      <c r="F4288" t="s" s="2">
        <f>HYPERLINK("http://ts.21cn.com/tousu/show/id/1369434","http://ts.21cn.com/tousu/show/id/1369434")</f>
      </c>
      <c r="G4288" t="s" s="2">
        <v>17</v>
      </c>
      <c r="H4288" t="s" s="2">
        <v>19</v>
      </c>
      <c r="I4288" t="s" s="2">
        <v>16698</v>
      </c>
      <c r="J4288" t="s" s="2">
        <v>16699</v>
      </c>
      <c r="K4288" t="s" s="2">
        <v>22</v>
      </c>
      <c r="L4288" t="s" s="2">
        <v>22</v>
      </c>
      <c r="M4288" t="s" s="2">
        <v>22</v>
      </c>
    </row>
    <row r="4289" ht="25.0" customHeight="true">
      <c r="A4289" t="s" s="2">
        <v>13</v>
      </c>
      <c r="B4289" t="s" s="2">
        <f>HYPERLINK("http://ts.21cn.com/tousu/show/id/1369433","恐吓威胁")</f>
      </c>
      <c r="C4289" t="s" s="2">
        <v>15</v>
      </c>
      <c r="D4289" t="s" s="2">
        <v>16</v>
      </c>
      <c r="E4289" t="s" s="2">
        <v>17</v>
      </c>
      <c r="F4289" t="s" s="2">
        <f>HYPERLINK("http://ts.21cn.com/tousu/show/id/1369433","http://ts.21cn.com/tousu/show/id/1369433")</f>
      </c>
      <c r="G4289" t="s" s="2">
        <v>17</v>
      </c>
      <c r="H4289" t="s" s="2">
        <v>19</v>
      </c>
      <c r="I4289" t="s" s="2">
        <v>16701</v>
      </c>
      <c r="J4289" t="s" s="2">
        <v>16702</v>
      </c>
      <c r="K4289" t="s" s="2">
        <v>22</v>
      </c>
      <c r="L4289" t="s" s="2">
        <v>22</v>
      </c>
      <c r="M4289" t="s" s="2">
        <v>22</v>
      </c>
    </row>
    <row r="4290" ht="25.0" customHeight="true">
      <c r="A4290" t="s" s="2">
        <v>13</v>
      </c>
      <c r="B4290" t="s" s="2">
        <f>HYPERLINK("http://ts.21cn.com/tousu/show/id/1369432","明珠票务中心办卡买票无优惠")</f>
      </c>
      <c r="C4290" t="s" s="2">
        <v>15</v>
      </c>
      <c r="D4290" t="s" s="2">
        <v>16</v>
      </c>
      <c r="E4290" t="s" s="2">
        <v>17</v>
      </c>
      <c r="F4290" t="s" s="2">
        <f>HYPERLINK("http://ts.21cn.com/tousu/show/id/1369432","http://ts.21cn.com/tousu/show/id/1369432")</f>
      </c>
      <c r="G4290" t="s" s="2">
        <v>17</v>
      </c>
      <c r="H4290" t="s" s="2">
        <v>19</v>
      </c>
      <c r="I4290" t="s" s="2">
        <v>16705</v>
      </c>
      <c r="J4290" t="s" s="2">
        <v>16706</v>
      </c>
      <c r="K4290" t="s" s="2">
        <v>22</v>
      </c>
      <c r="L4290" t="s" s="2">
        <v>22</v>
      </c>
      <c r="M4290" t="s" s="2">
        <v>22</v>
      </c>
    </row>
    <row r="4291" ht="25.0" customHeight="true">
      <c r="A4291" t="s" s="2">
        <v>13</v>
      </c>
      <c r="B4291" t="s" s="2">
        <f>HYPERLINK("http://ts.21cn.com/tousu/show/id/1369431","骚扰联系人")</f>
      </c>
      <c r="C4291" t="s" s="2">
        <v>15</v>
      </c>
      <c r="D4291" t="s" s="2">
        <v>16</v>
      </c>
      <c r="E4291" t="s" s="2">
        <v>17</v>
      </c>
      <c r="F4291" t="s" s="2">
        <f>HYPERLINK("http://ts.21cn.com/tousu/show/id/1369431","http://ts.21cn.com/tousu/show/id/1369431")</f>
      </c>
      <c r="G4291" t="s" s="2">
        <v>17</v>
      </c>
      <c r="H4291" t="s" s="2">
        <v>19</v>
      </c>
      <c r="I4291" t="s" s="2">
        <v>16708</v>
      </c>
      <c r="J4291" t="s" s="2">
        <v>16709</v>
      </c>
      <c r="K4291" t="s" s="2">
        <v>22</v>
      </c>
      <c r="L4291" t="s" s="2">
        <v>22</v>
      </c>
      <c r="M4291" t="s" s="2">
        <v>22</v>
      </c>
    </row>
    <row r="4292" ht="25.0" customHeight="true">
      <c r="A4292" t="s" s="2">
        <v>13</v>
      </c>
      <c r="B4292" t="s" s="2">
        <f>HYPERLINK("http://ts.21cn.com/tousu/show/id/1369430","马上消费金融招联好期贷暴力催收")</f>
      </c>
      <c r="C4292" t="s" s="2">
        <v>15</v>
      </c>
      <c r="D4292" t="s" s="2">
        <v>16</v>
      </c>
      <c r="E4292" t="s" s="2">
        <v>17</v>
      </c>
      <c r="F4292" t="s" s="2">
        <f>HYPERLINK("http://ts.21cn.com/tousu/show/id/1369430","http://ts.21cn.com/tousu/show/id/1369430")</f>
      </c>
      <c r="G4292" t="s" s="2">
        <v>17</v>
      </c>
      <c r="H4292" t="s" s="2">
        <v>19</v>
      </c>
      <c r="I4292" t="s" s="2">
        <v>16712</v>
      </c>
      <c r="J4292" t="s" s="2">
        <v>16713</v>
      </c>
      <c r="K4292" t="s" s="2">
        <v>22</v>
      </c>
      <c r="L4292" t="s" s="2">
        <v>22</v>
      </c>
      <c r="M4292" t="s" s="2">
        <v>22</v>
      </c>
    </row>
    <row r="4293" ht="25.0" customHeight="true">
      <c r="A4293" t="s" s="2">
        <v>13</v>
      </c>
      <c r="B4293" t="s" s="2">
        <f>HYPERLINK("http://ts.21cn.com/tousu/show/id/1369428","几百块的工资也不发？？？")</f>
      </c>
      <c r="C4293" t="s" s="2">
        <v>15</v>
      </c>
      <c r="D4293" t="s" s="2">
        <v>16</v>
      </c>
      <c r="E4293" t="s" s="2">
        <v>17</v>
      </c>
      <c r="F4293" t="s" s="2">
        <f>HYPERLINK("http://ts.21cn.com/tousu/show/id/1369428","http://ts.21cn.com/tousu/show/id/1369428")</f>
      </c>
      <c r="G4293" t="s" s="2">
        <v>17</v>
      </c>
      <c r="H4293" t="s" s="2">
        <v>19</v>
      </c>
      <c r="I4293" t="s" s="2">
        <v>16716</v>
      </c>
      <c r="J4293" t="s" s="2">
        <v>16717</v>
      </c>
      <c r="K4293" t="s" s="2">
        <v>22</v>
      </c>
      <c r="L4293" t="s" s="2">
        <v>22</v>
      </c>
      <c r="M4293" t="s" s="2">
        <v>22</v>
      </c>
    </row>
    <row r="4294" ht="25.0" customHeight="true">
      <c r="A4294" t="s" s="2">
        <v>13</v>
      </c>
      <c r="B4294" t="s" s="2">
        <f>HYPERLINK("http://ts.21cn.com/tousu/show/id/1369425","立借贷款恶意爆通讯录")</f>
      </c>
      <c r="C4294" t="s" s="2">
        <v>15</v>
      </c>
      <c r="D4294" t="s" s="2">
        <v>16</v>
      </c>
      <c r="E4294" t="s" s="2">
        <v>17</v>
      </c>
      <c r="F4294" t="s" s="2">
        <f>HYPERLINK("http://ts.21cn.com/tousu/show/id/1369425","http://ts.21cn.com/tousu/show/id/1369425")</f>
      </c>
      <c r="G4294" t="s" s="2">
        <v>17</v>
      </c>
      <c r="H4294" t="s" s="2">
        <v>19</v>
      </c>
      <c r="I4294" t="s" s="2">
        <v>16720</v>
      </c>
      <c r="J4294" t="s" s="2">
        <v>16721</v>
      </c>
      <c r="K4294" t="s" s="2">
        <v>22</v>
      </c>
      <c r="L4294" t="s" s="2">
        <v>22</v>
      </c>
      <c r="M4294" t="s" s="2">
        <v>22</v>
      </c>
    </row>
    <row r="4295" ht="25.0" customHeight="true">
      <c r="A4295" t="s" s="2">
        <v>13</v>
      </c>
      <c r="B4295" t="s" s="2">
        <f>HYPERLINK("http://ts.21cn.com/tousu/show/id/1369423","苹果分期高利贷高额砍头息")</f>
      </c>
      <c r="C4295" t="s" s="2">
        <v>15</v>
      </c>
      <c r="D4295" t="s" s="2">
        <v>16</v>
      </c>
      <c r="E4295" t="s" s="2">
        <v>17</v>
      </c>
      <c r="F4295" t="s" s="2">
        <f>HYPERLINK("http://ts.21cn.com/tousu/show/id/1369423","http://ts.21cn.com/tousu/show/id/1369423")</f>
      </c>
      <c r="G4295" t="s" s="2">
        <v>17</v>
      </c>
      <c r="H4295" t="s" s="2">
        <v>19</v>
      </c>
      <c r="I4295" t="s" s="2">
        <v>16724</v>
      </c>
      <c r="J4295" t="s" s="2">
        <v>16725</v>
      </c>
      <c r="K4295" t="s" s="2">
        <v>22</v>
      </c>
      <c r="L4295" t="s" s="2">
        <v>22</v>
      </c>
      <c r="M4295" t="s" s="2">
        <v>22</v>
      </c>
    </row>
    <row r="4296" ht="25.0" customHeight="true">
      <c r="A4296" t="s" s="2">
        <v>13</v>
      </c>
      <c r="B4296" t="s" s="2">
        <f>HYPERLINK("http://ts.21cn.com/tousu/show/id/1369404","钱站砍头息，催收不讲信用，恶意扣费")</f>
      </c>
      <c r="C4296" t="s" s="2">
        <v>15</v>
      </c>
      <c r="D4296" t="s" s="2">
        <v>16</v>
      </c>
      <c r="E4296" t="s" s="2">
        <v>17</v>
      </c>
      <c r="F4296" t="s" s="2">
        <f>HYPERLINK("http://ts.21cn.com/tousu/show/id/1369404","http://ts.21cn.com/tousu/show/id/1369404")</f>
      </c>
      <c r="G4296" t="s" s="2">
        <v>17</v>
      </c>
      <c r="H4296" t="s" s="2">
        <v>19</v>
      </c>
      <c r="I4296" t="s" s="2">
        <v>16728</v>
      </c>
      <c r="J4296" t="s" s="2">
        <v>16729</v>
      </c>
      <c r="K4296" t="s" s="2">
        <v>22</v>
      </c>
      <c r="L4296" t="s" s="2">
        <v>22</v>
      </c>
      <c r="M4296" t="s" s="2">
        <v>22</v>
      </c>
    </row>
    <row r="4297" ht="25.0" customHeight="true">
      <c r="A4297" t="s" s="2">
        <v>13</v>
      </c>
      <c r="B4297" t="s" s="2">
        <f>HYPERLINK("http://ts.21cn.com/tousu/show/id/1369421","客服非要说我的鞋子是假的，但是又不肯提供证明")</f>
      </c>
      <c r="C4297" t="s" s="2">
        <v>15</v>
      </c>
      <c r="D4297" t="s" s="2">
        <v>16</v>
      </c>
      <c r="E4297" t="s" s="2">
        <v>17</v>
      </c>
      <c r="F4297" t="s" s="2">
        <f>HYPERLINK("http://ts.21cn.com/tousu/show/id/1369421","http://ts.21cn.com/tousu/show/id/1369421")</f>
      </c>
      <c r="G4297" t="s" s="2">
        <v>17</v>
      </c>
      <c r="H4297" t="s" s="2">
        <v>19</v>
      </c>
      <c r="I4297" t="s" s="2">
        <v>16732</v>
      </c>
      <c r="J4297" t="s" s="2">
        <v>16733</v>
      </c>
      <c r="K4297" t="s" s="2">
        <v>22</v>
      </c>
      <c r="L4297" t="s" s="2">
        <v>22</v>
      </c>
      <c r="M4297" t="s" s="2">
        <v>22</v>
      </c>
    </row>
    <row r="4298" ht="25.0" customHeight="true">
      <c r="A4298" t="s" s="2">
        <v>13</v>
      </c>
      <c r="B4298" t="s" s="2">
        <f>HYPERLINK("http://ts.21cn.com/tousu/show/id/1369422","自由魔卡零压贷套路贷退还砍头息")</f>
      </c>
      <c r="C4298" t="s" s="2">
        <v>15</v>
      </c>
      <c r="D4298" t="s" s="2">
        <v>16</v>
      </c>
      <c r="E4298" t="s" s="2">
        <v>17</v>
      </c>
      <c r="F4298" t="s" s="2">
        <f>HYPERLINK("http://ts.21cn.com/tousu/show/id/1369422","http://ts.21cn.com/tousu/show/id/1369422")</f>
      </c>
      <c r="G4298" t="s" s="2">
        <v>17</v>
      </c>
      <c r="H4298" t="s" s="2">
        <v>19</v>
      </c>
      <c r="I4298" t="s" s="2">
        <v>16736</v>
      </c>
      <c r="J4298" t="s" s="2">
        <v>16737</v>
      </c>
      <c r="K4298" t="s" s="2">
        <v>22</v>
      </c>
      <c r="L4298" t="s" s="2">
        <v>22</v>
      </c>
      <c r="M4298" t="s" s="2">
        <v>22</v>
      </c>
    </row>
    <row r="4299" ht="25.0" customHeight="true">
      <c r="A4299" t="s" s="2">
        <v>13</v>
      </c>
      <c r="B4299" t="s" s="2">
        <f>HYPERLINK("http://ts.21cn.com/tousu/show/id/1369420","高利贷爆通讯录威胁")</f>
      </c>
      <c r="C4299" t="s" s="2">
        <v>15</v>
      </c>
      <c r="D4299" t="s" s="2">
        <v>16</v>
      </c>
      <c r="E4299" t="s" s="2">
        <v>17</v>
      </c>
      <c r="F4299" t="s" s="2">
        <f>HYPERLINK("http://ts.21cn.com/tousu/show/id/1369420","http://ts.21cn.com/tousu/show/id/1369420")</f>
      </c>
      <c r="G4299" t="s" s="2">
        <v>17</v>
      </c>
      <c r="H4299" t="s" s="2">
        <v>19</v>
      </c>
      <c r="I4299" t="s" s="2">
        <v>16740</v>
      </c>
      <c r="J4299" t="s" s="2">
        <v>16741</v>
      </c>
      <c r="K4299" t="s" s="2">
        <v>22</v>
      </c>
      <c r="L4299" t="s" s="2">
        <v>22</v>
      </c>
      <c r="M4299" t="s" s="2">
        <v>22</v>
      </c>
    </row>
    <row r="4300" ht="25.0" customHeight="true">
      <c r="A4300" t="s" s="2">
        <v>13</v>
      </c>
      <c r="B4300" t="s" s="2">
        <f>HYPERLINK("http://ts.21cn.com/tousu/show/id/1369417","和融通支付业务人员诱导客户激活机器，套路押金，要求予以退还")</f>
      </c>
      <c r="C4300" t="s" s="2">
        <v>15</v>
      </c>
      <c r="D4300" t="s" s="2">
        <v>16</v>
      </c>
      <c r="E4300" t="s" s="2">
        <v>17</v>
      </c>
      <c r="F4300" t="s" s="2">
        <f>HYPERLINK("http://ts.21cn.com/tousu/show/id/1369417","http://ts.21cn.com/tousu/show/id/1369417")</f>
      </c>
      <c r="G4300" t="s" s="2">
        <v>17</v>
      </c>
      <c r="H4300" t="s" s="2">
        <v>19</v>
      </c>
      <c r="I4300" t="s" s="2">
        <v>16744</v>
      </c>
      <c r="J4300" t="s" s="2">
        <v>16745</v>
      </c>
      <c r="K4300" t="s" s="2">
        <v>22</v>
      </c>
      <c r="L4300" t="s" s="2">
        <v>22</v>
      </c>
      <c r="M4300" t="s" s="2">
        <v>22</v>
      </c>
    </row>
    <row r="4301" ht="25.0" customHeight="true">
      <c r="A4301" t="s" s="2">
        <v>13</v>
      </c>
      <c r="B4301" t="s" s="2">
        <f>HYPERLINK("http://ts.21cn.com/tousu/show/id/1369416","暴力催收骚扰通讯录")</f>
      </c>
      <c r="C4301" t="s" s="2">
        <v>15</v>
      </c>
      <c r="D4301" t="s" s="2">
        <v>16</v>
      </c>
      <c r="E4301" t="s" s="2">
        <v>17</v>
      </c>
      <c r="F4301" t="s" s="2">
        <f>HYPERLINK("http://ts.21cn.com/tousu/show/id/1369416","http://ts.21cn.com/tousu/show/id/1369416")</f>
      </c>
      <c r="G4301" t="s" s="2">
        <v>17</v>
      </c>
      <c r="H4301" t="s" s="2">
        <v>19</v>
      </c>
      <c r="I4301" t="s" s="2">
        <v>16748</v>
      </c>
      <c r="J4301" t="s" s="2">
        <v>16749</v>
      </c>
      <c r="K4301" t="s" s="2">
        <v>22</v>
      </c>
      <c r="L4301" t="s" s="2">
        <v>22</v>
      </c>
      <c r="M4301" t="s" s="2">
        <v>22</v>
      </c>
    </row>
    <row r="4302" ht="25.0" customHeight="true">
      <c r="A4302" t="s" s="2">
        <v>13</v>
      </c>
      <c r="B4302" t="s" s="2">
        <f>HYPERLINK("http://ts.21cn.com/tousu/show/id/1369418","要求合理的收费标准，停子骚扰电话骚扰通讯录电话")</f>
      </c>
      <c r="C4302" t="s" s="2">
        <v>15</v>
      </c>
      <c r="D4302" t="s" s="2">
        <v>16</v>
      </c>
      <c r="E4302" t="s" s="2">
        <v>17</v>
      </c>
      <c r="F4302" t="s" s="2">
        <f>HYPERLINK("http://ts.21cn.com/tousu/show/id/1369418","http://ts.21cn.com/tousu/show/id/1369418")</f>
      </c>
      <c r="G4302" t="s" s="2">
        <v>17</v>
      </c>
      <c r="H4302" t="s" s="2">
        <v>19</v>
      </c>
      <c r="I4302" t="s" s="2">
        <v>16752</v>
      </c>
      <c r="J4302" t="s" s="2">
        <v>16753</v>
      </c>
      <c r="K4302" t="s" s="2">
        <v>22</v>
      </c>
      <c r="L4302" t="s" s="2">
        <v>22</v>
      </c>
      <c r="M4302" t="s" s="2">
        <v>22</v>
      </c>
    </row>
    <row r="4303" ht="25.0" customHeight="true">
      <c r="A4303" t="s" s="2">
        <v>13</v>
      </c>
      <c r="B4303" t="s" s="2">
        <f>HYPERLINK("http://ts.21cn.com/tousu/show/id/1369414","高利贷")</f>
      </c>
      <c r="C4303" t="s" s="2">
        <v>15</v>
      </c>
      <c r="D4303" t="s" s="2">
        <v>16</v>
      </c>
      <c r="E4303" t="s" s="2">
        <v>17</v>
      </c>
      <c r="F4303" t="s" s="2">
        <f>HYPERLINK("http://ts.21cn.com/tousu/show/id/1369414","http://ts.21cn.com/tousu/show/id/1369414")</f>
      </c>
      <c r="G4303" t="s" s="2">
        <v>17</v>
      </c>
      <c r="H4303" t="s" s="2">
        <v>19</v>
      </c>
      <c r="I4303" t="s" s="2">
        <v>16755</v>
      </c>
      <c r="J4303" t="s" s="2">
        <v>16756</v>
      </c>
      <c r="K4303" t="s" s="2">
        <v>22</v>
      </c>
      <c r="L4303" t="s" s="2">
        <v>22</v>
      </c>
      <c r="M4303" t="s" s="2">
        <v>22</v>
      </c>
    </row>
    <row r="4304" ht="25.0" customHeight="true">
      <c r="A4304" t="s" s="2">
        <v>13</v>
      </c>
      <c r="B4304" t="s" s="2">
        <f>HYPERLINK("http://ts.21cn.com/tousu/show/id/1369413","钱站阴阳合同高利贷")</f>
      </c>
      <c r="C4304" t="s" s="2">
        <v>15</v>
      </c>
      <c r="D4304" t="s" s="2">
        <v>16</v>
      </c>
      <c r="E4304" t="s" s="2">
        <v>17</v>
      </c>
      <c r="F4304" t="s" s="2">
        <f>HYPERLINK("http://ts.21cn.com/tousu/show/id/1369413","http://ts.21cn.com/tousu/show/id/1369413")</f>
      </c>
      <c r="G4304" t="s" s="2">
        <v>17</v>
      </c>
      <c r="H4304" t="s" s="2">
        <v>19</v>
      </c>
      <c r="I4304" t="s" s="2">
        <v>16758</v>
      </c>
      <c r="J4304" t="s" s="2">
        <v>16759</v>
      </c>
      <c r="K4304" t="s" s="2">
        <v>22</v>
      </c>
      <c r="L4304" t="s" s="2">
        <v>22</v>
      </c>
      <c r="M4304" t="s" s="2">
        <v>22</v>
      </c>
    </row>
    <row r="4305" ht="25.0" customHeight="true">
      <c r="A4305" t="s" s="2">
        <v>13</v>
      </c>
      <c r="B4305" t="s" s="2">
        <f>HYPERLINK("http://ts.21cn.com/tousu/show/id/1369415","现金巴士威胁本人")</f>
      </c>
      <c r="C4305" t="s" s="2">
        <v>15</v>
      </c>
      <c r="D4305" t="s" s="2">
        <v>16</v>
      </c>
      <c r="E4305" t="s" s="2">
        <v>17</v>
      </c>
      <c r="F4305" t="s" s="2">
        <f>HYPERLINK("http://ts.21cn.com/tousu/show/id/1369415","http://ts.21cn.com/tousu/show/id/1369415")</f>
      </c>
      <c r="G4305" t="s" s="2">
        <v>17</v>
      </c>
      <c r="H4305" t="s" s="2">
        <v>19</v>
      </c>
      <c r="I4305" t="s" s="2">
        <v>16762</v>
      </c>
      <c r="J4305" t="s" s="2">
        <v>16763</v>
      </c>
      <c r="K4305" t="s" s="2">
        <v>22</v>
      </c>
      <c r="L4305" t="s" s="2">
        <v>22</v>
      </c>
      <c r="M4305" t="s" s="2">
        <v>22</v>
      </c>
    </row>
    <row r="4306" ht="25.0" customHeight="true">
      <c r="A4306" t="s" s="2">
        <v>13</v>
      </c>
      <c r="B4306" t="s" s="2">
        <f>HYPERLINK("http://ts.21cn.com/tousu/show/id/1369411","投诉橙分期借款登录不进去，逾期不告知")</f>
      </c>
      <c r="C4306" t="s" s="2">
        <v>15</v>
      </c>
      <c r="D4306" t="s" s="2">
        <v>16</v>
      </c>
      <c r="E4306" t="s" s="2">
        <v>17</v>
      </c>
      <c r="F4306" t="s" s="2">
        <f>HYPERLINK("http://ts.21cn.com/tousu/show/id/1369411","http://ts.21cn.com/tousu/show/id/1369411")</f>
      </c>
      <c r="G4306" t="s" s="2">
        <v>17</v>
      </c>
      <c r="H4306" t="s" s="2">
        <v>19</v>
      </c>
      <c r="I4306" t="s" s="2">
        <v>16766</v>
      </c>
      <c r="J4306" t="s" s="2">
        <v>16767</v>
      </c>
      <c r="K4306" t="s" s="2">
        <v>22</v>
      </c>
      <c r="L4306" t="s" s="2">
        <v>22</v>
      </c>
      <c r="M4306" t="s" s="2">
        <v>22</v>
      </c>
    </row>
    <row r="4307" ht="25.0" customHeight="true">
      <c r="A4307" t="s" s="2">
        <v>13</v>
      </c>
      <c r="B4307" t="s" s="2">
        <f>HYPERLINK("http://ts.21cn.com/tousu/show/id/1369412","小赢卡贷高利贷，捆绑恶意保险")</f>
      </c>
      <c r="C4307" t="s" s="2">
        <v>15</v>
      </c>
      <c r="D4307" t="s" s="2">
        <v>16</v>
      </c>
      <c r="E4307" t="s" s="2">
        <v>17</v>
      </c>
      <c r="F4307" t="s" s="2">
        <f>HYPERLINK("http://ts.21cn.com/tousu/show/id/1369412","http://ts.21cn.com/tousu/show/id/1369412")</f>
      </c>
      <c r="G4307" t="s" s="2">
        <v>17</v>
      </c>
      <c r="H4307" t="s" s="2">
        <v>19</v>
      </c>
      <c r="I4307" t="s" s="2">
        <v>16770</v>
      </c>
      <c r="J4307" t="s" s="2">
        <v>16771</v>
      </c>
      <c r="K4307" t="s" s="2">
        <v>22</v>
      </c>
      <c r="L4307" t="s" s="2">
        <v>22</v>
      </c>
      <c r="M4307" t="s" s="2">
        <v>22</v>
      </c>
    </row>
    <row r="4308" ht="25.0" customHeight="true">
      <c r="A4308" t="s" s="2">
        <v>13</v>
      </c>
      <c r="B4308" t="s" s="2">
        <f>HYPERLINK("http://ts.21cn.com/tousu/show/id/1369410","交通银行催收不合规，造成本人失业")</f>
      </c>
      <c r="C4308" t="s" s="2">
        <v>15</v>
      </c>
      <c r="D4308" t="s" s="2">
        <v>16</v>
      </c>
      <c r="E4308" t="s" s="2">
        <v>17</v>
      </c>
      <c r="F4308" t="s" s="2">
        <f>HYPERLINK("http://ts.21cn.com/tousu/show/id/1369410","http://ts.21cn.com/tousu/show/id/1369410")</f>
      </c>
      <c r="G4308" t="s" s="2">
        <v>17</v>
      </c>
      <c r="H4308" t="s" s="2">
        <v>19</v>
      </c>
      <c r="I4308" t="s" s="2">
        <v>16774</v>
      </c>
      <c r="J4308" t="s" s="2">
        <v>16775</v>
      </c>
      <c r="K4308" t="s" s="2">
        <v>22</v>
      </c>
      <c r="L4308" t="s" s="2">
        <v>22</v>
      </c>
      <c r="M4308" t="s" s="2">
        <v>22</v>
      </c>
    </row>
    <row r="4309" ht="25.0" customHeight="true">
      <c r="A4309" t="s" s="2">
        <v>13</v>
      </c>
      <c r="B4309" t="s" s="2">
        <f>HYPERLINK("http://ts.21cn.com/tousu/show/id/1369409","喜鹊快贷高利息暴力催收多次爆通讯录发短信骚扰")</f>
      </c>
      <c r="C4309" t="s" s="2">
        <v>15</v>
      </c>
      <c r="D4309" t="s" s="2">
        <v>16</v>
      </c>
      <c r="E4309" t="s" s="2">
        <v>17</v>
      </c>
      <c r="F4309" t="s" s="2">
        <f>HYPERLINK("http://ts.21cn.com/tousu/show/id/1369409","http://ts.21cn.com/tousu/show/id/1369409")</f>
      </c>
      <c r="G4309" t="s" s="2">
        <v>17</v>
      </c>
      <c r="H4309" t="s" s="2">
        <v>19</v>
      </c>
      <c r="I4309" t="s" s="2">
        <v>16778</v>
      </c>
      <c r="J4309" t="s" s="2">
        <v>16779</v>
      </c>
      <c r="K4309" t="s" s="2">
        <v>22</v>
      </c>
      <c r="L4309" t="s" s="2">
        <v>22</v>
      </c>
      <c r="M4309" t="s" s="2">
        <v>22</v>
      </c>
    </row>
    <row r="4310" ht="25.0" customHeight="true">
      <c r="A4310" t="s" s="2">
        <v>13</v>
      </c>
      <c r="B4310" t="s" s="2">
        <f>HYPERLINK("http://ts.21cn.com/tousu/show/id/1369408","恶意骚扰，爆通讯录")</f>
      </c>
      <c r="C4310" t="s" s="2">
        <v>15</v>
      </c>
      <c r="D4310" t="s" s="2">
        <v>16</v>
      </c>
      <c r="E4310" t="s" s="2">
        <v>17</v>
      </c>
      <c r="F4310" t="s" s="2">
        <f>HYPERLINK("http://ts.21cn.com/tousu/show/id/1369408","http://ts.21cn.com/tousu/show/id/1369408")</f>
      </c>
      <c r="G4310" t="s" s="2">
        <v>17</v>
      </c>
      <c r="H4310" t="s" s="2">
        <v>19</v>
      </c>
      <c r="I4310" t="s" s="2">
        <v>16778</v>
      </c>
      <c r="J4310" t="s" s="2">
        <v>16782</v>
      </c>
      <c r="K4310" t="s" s="2">
        <v>22</v>
      </c>
      <c r="L4310" t="s" s="2">
        <v>22</v>
      </c>
      <c r="M4310" t="s" s="2">
        <v>22</v>
      </c>
    </row>
    <row r="4311" ht="25.0" customHeight="true">
      <c r="A4311" t="s" s="2">
        <v>13</v>
      </c>
      <c r="B4311" t="s" s="2">
        <f>HYPERLINK("http://ts.21cn.com/tousu/show/id/1369406","尚德培训机构退费")</f>
      </c>
      <c r="C4311" t="s" s="2">
        <v>15</v>
      </c>
      <c r="D4311" t="s" s="2">
        <v>16</v>
      </c>
      <c r="E4311" t="s" s="2">
        <v>17</v>
      </c>
      <c r="F4311" t="s" s="2">
        <f>HYPERLINK("http://ts.21cn.com/tousu/show/id/1369406","http://ts.21cn.com/tousu/show/id/1369406")</f>
      </c>
      <c r="G4311" t="s" s="2">
        <v>17</v>
      </c>
      <c r="H4311" t="s" s="2">
        <v>19</v>
      </c>
      <c r="I4311" t="s" s="2">
        <v>16785</v>
      </c>
      <c r="J4311" t="s" s="2">
        <v>16786</v>
      </c>
      <c r="K4311" t="s" s="2">
        <v>22</v>
      </c>
      <c r="L4311" t="s" s="2">
        <v>22</v>
      </c>
      <c r="M4311" t="s" s="2">
        <v>22</v>
      </c>
    </row>
    <row r="4312" ht="25.0" customHeight="true">
      <c r="A4312" t="s" s="2">
        <v>13</v>
      </c>
      <c r="B4312" t="s" s="2">
        <f>HYPERLINK("http://ts.21cn.com/tousu/show/id/1369407","交通银行信用卡骚扰亲朋")</f>
      </c>
      <c r="C4312" t="s" s="2">
        <v>15</v>
      </c>
      <c r="D4312" t="s" s="2">
        <v>16</v>
      </c>
      <c r="E4312" t="s" s="2">
        <v>17</v>
      </c>
      <c r="F4312" t="s" s="2">
        <f>HYPERLINK("http://ts.21cn.com/tousu/show/id/1369407","http://ts.21cn.com/tousu/show/id/1369407")</f>
      </c>
      <c r="G4312" t="s" s="2">
        <v>17</v>
      </c>
      <c r="H4312" t="s" s="2">
        <v>19</v>
      </c>
      <c r="I4312" t="s" s="2">
        <v>16789</v>
      </c>
      <c r="J4312" t="s" s="2">
        <v>16790</v>
      </c>
      <c r="K4312" t="s" s="2">
        <v>22</v>
      </c>
      <c r="L4312" t="s" s="2">
        <v>22</v>
      </c>
      <c r="M4312" t="s" s="2">
        <v>22</v>
      </c>
    </row>
    <row r="4313" ht="25.0" customHeight="true">
      <c r="A4313" t="s" s="2">
        <v>13</v>
      </c>
      <c r="B4313" t="s" s="2">
        <f>HYPERLINK("http://ts.21cn.com/tousu/show/id/1369405","快闪卡贷强制买保险，砍头息")</f>
      </c>
      <c r="C4313" t="s" s="2">
        <v>15</v>
      </c>
      <c r="D4313" t="s" s="2">
        <v>16</v>
      </c>
      <c r="E4313" t="s" s="2">
        <v>17</v>
      </c>
      <c r="F4313" t="s" s="2">
        <f>HYPERLINK("http://ts.21cn.com/tousu/show/id/1369405","http://ts.21cn.com/tousu/show/id/1369405")</f>
      </c>
      <c r="G4313" t="s" s="2">
        <v>17</v>
      </c>
      <c r="H4313" t="s" s="2">
        <v>19</v>
      </c>
      <c r="I4313" t="s" s="2">
        <v>16793</v>
      </c>
      <c r="J4313" t="s" s="2">
        <v>16794</v>
      </c>
      <c r="K4313" t="s" s="2">
        <v>22</v>
      </c>
      <c r="L4313" t="s" s="2">
        <v>22</v>
      </c>
      <c r="M4313" t="s" s="2">
        <v>22</v>
      </c>
    </row>
    <row r="4314" ht="25.0" customHeight="true">
      <c r="A4314" t="s" s="2">
        <v>13</v>
      </c>
      <c r="B4314" t="s" s="2">
        <f>HYPERLINK("http://ts.21cn.com/tousu/show/id/1369352","紫梧桐北京资产管理有限公司诱导客户办分期")</f>
      </c>
      <c r="C4314" t="s" s="2">
        <v>15</v>
      </c>
      <c r="D4314" t="s" s="2">
        <v>16</v>
      </c>
      <c r="E4314" t="s" s="2">
        <v>17</v>
      </c>
      <c r="F4314" t="s" s="2">
        <f>HYPERLINK("http://ts.21cn.com/tousu/show/id/1369352","http://ts.21cn.com/tousu/show/id/1369352")</f>
      </c>
      <c r="G4314" t="s" s="2">
        <v>17</v>
      </c>
      <c r="H4314" t="s" s="2">
        <v>19</v>
      </c>
      <c r="I4314" t="s" s="2">
        <v>16797</v>
      </c>
      <c r="J4314" t="s" s="2">
        <v>16798</v>
      </c>
      <c r="K4314" t="s" s="2">
        <v>22</v>
      </c>
      <c r="L4314" t="s" s="2">
        <v>22</v>
      </c>
      <c r="M4314" t="s" s="2">
        <v>22</v>
      </c>
    </row>
    <row r="4315" ht="25.0" customHeight="true">
      <c r="A4315" t="s" s="2">
        <v>13</v>
      </c>
      <c r="B4315" t="s" s="2">
        <f>HYPERLINK("http://ts.21cn.com/tousu/show/id/1369403","钱包商家")</f>
      </c>
      <c r="C4315" t="s" s="2">
        <v>15</v>
      </c>
      <c r="D4315" t="s" s="2">
        <v>16</v>
      </c>
      <c r="E4315" t="s" s="2">
        <v>17</v>
      </c>
      <c r="F4315" t="s" s="2">
        <f>HYPERLINK("http://ts.21cn.com/tousu/show/id/1369403","http://ts.21cn.com/tousu/show/id/1369403")</f>
      </c>
      <c r="G4315" t="s" s="2">
        <v>17</v>
      </c>
      <c r="H4315" t="s" s="2">
        <v>19</v>
      </c>
      <c r="I4315" t="s" s="2">
        <v>16801</v>
      </c>
      <c r="J4315" t="s" s="2">
        <v>16802</v>
      </c>
      <c r="K4315" t="s" s="2">
        <v>22</v>
      </c>
      <c r="L4315" t="s" s="2">
        <v>22</v>
      </c>
      <c r="M4315" t="s" s="2">
        <v>22</v>
      </c>
    </row>
    <row r="4316" ht="25.0" customHeight="true">
      <c r="A4316" t="s" s="2">
        <v>13</v>
      </c>
      <c r="B4316" t="s" s="2">
        <f>HYPERLINK("http://ts.21cn.com/tousu/show/id/1369401","招商银行拒绝违约金退还")</f>
      </c>
      <c r="C4316" t="s" s="2">
        <v>15</v>
      </c>
      <c r="D4316" t="s" s="2">
        <v>16</v>
      </c>
      <c r="E4316" t="s" s="2">
        <v>17</v>
      </c>
      <c r="F4316" t="s" s="2">
        <f>HYPERLINK("http://ts.21cn.com/tousu/show/id/1369401","http://ts.21cn.com/tousu/show/id/1369401")</f>
      </c>
      <c r="G4316" t="s" s="2">
        <v>17</v>
      </c>
      <c r="H4316" t="s" s="2">
        <v>19</v>
      </c>
      <c r="I4316" t="s" s="2">
        <v>16805</v>
      </c>
      <c r="J4316" t="s" s="2">
        <v>16806</v>
      </c>
      <c r="K4316" t="s" s="2">
        <v>22</v>
      </c>
      <c r="L4316" t="s" s="2">
        <v>22</v>
      </c>
      <c r="M4316" t="s" s="2">
        <v>22</v>
      </c>
    </row>
    <row r="4317" ht="25.0" customHeight="true">
      <c r="A4317" t="s" s="2">
        <v>13</v>
      </c>
      <c r="B4317" t="s" s="2">
        <f>HYPERLINK("http://ts.21cn.com/tousu/show/id/1369400","保险")</f>
      </c>
      <c r="C4317" t="s" s="2">
        <v>15</v>
      </c>
      <c r="D4317" t="s" s="2">
        <v>16</v>
      </c>
      <c r="E4317" t="s" s="2">
        <v>17</v>
      </c>
      <c r="F4317" t="s" s="2">
        <f>HYPERLINK("http://ts.21cn.com/tousu/show/id/1369400","http://ts.21cn.com/tousu/show/id/1369400")</f>
      </c>
      <c r="G4317" t="s" s="2">
        <v>17</v>
      </c>
      <c r="H4317" t="s" s="2">
        <v>19</v>
      </c>
      <c r="I4317" t="s" s="2">
        <v>16809</v>
      </c>
      <c r="J4317" t="s" s="2">
        <v>16810</v>
      </c>
      <c r="K4317" t="s" s="2">
        <v>22</v>
      </c>
      <c r="L4317" t="s" s="2">
        <v>22</v>
      </c>
      <c r="M4317" t="s" s="2">
        <v>22</v>
      </c>
    </row>
    <row r="4318" ht="25.0" customHeight="true">
      <c r="A4318" t="s" s="2">
        <v>13</v>
      </c>
      <c r="B4318" t="s" s="2">
        <f>HYPERLINK("http://ts.21cn.com/tousu/show/id/1369398","达飞云贷高利贷暴力催收")</f>
      </c>
      <c r="C4318" t="s" s="2">
        <v>15</v>
      </c>
      <c r="D4318" t="s" s="2">
        <v>16</v>
      </c>
      <c r="E4318" t="s" s="2">
        <v>17</v>
      </c>
      <c r="F4318" t="s" s="2">
        <f>HYPERLINK("http://ts.21cn.com/tousu/show/id/1369398","http://ts.21cn.com/tousu/show/id/1369398")</f>
      </c>
      <c r="G4318" t="s" s="2">
        <v>17</v>
      </c>
      <c r="H4318" t="s" s="2">
        <v>19</v>
      </c>
      <c r="I4318" t="s" s="2">
        <v>16813</v>
      </c>
      <c r="J4318" t="s" s="2">
        <v>16814</v>
      </c>
      <c r="K4318" t="s" s="2">
        <v>22</v>
      </c>
      <c r="L4318" t="s" s="2">
        <v>22</v>
      </c>
      <c r="M4318" t="s" s="2">
        <v>22</v>
      </c>
    </row>
    <row r="4319" ht="25.0" customHeight="true">
      <c r="A4319" t="s" s="2">
        <v>13</v>
      </c>
      <c r="B4319" t="s" s="2">
        <f>HYPERLINK("http://ts.21cn.com/tousu/show/id/1369396","现金巴士平台下载不了导致逾期")</f>
      </c>
      <c r="C4319" t="s" s="2">
        <v>52</v>
      </c>
      <c r="D4319" t="s" s="2">
        <v>16</v>
      </c>
      <c r="E4319" t="s" s="2">
        <v>17</v>
      </c>
      <c r="F4319" t="s" s="2">
        <f>HYPERLINK("http://ts.21cn.com/tousu/show/id/1369396","http://ts.21cn.com/tousu/show/id/1369396")</f>
      </c>
      <c r="G4319" t="s" s="2">
        <v>17</v>
      </c>
      <c r="H4319" t="s" s="2">
        <v>19</v>
      </c>
      <c r="I4319" t="s" s="2">
        <v>16817</v>
      </c>
      <c r="J4319" t="s" s="2">
        <v>16818</v>
      </c>
      <c r="K4319" t="s" s="2">
        <v>22</v>
      </c>
      <c r="L4319" t="s" s="2">
        <v>22</v>
      </c>
      <c r="M4319" t="s" s="2">
        <v>22</v>
      </c>
    </row>
    <row r="4320" ht="25.0" customHeight="true">
      <c r="A4320" t="s" s="2">
        <v>13</v>
      </c>
      <c r="B4320" t="s" s="2">
        <f>HYPERLINK("http://ts.21cn.com/tousu/show/id/1369397","闪银百万钱包高利贷")</f>
      </c>
      <c r="C4320" t="s" s="2">
        <v>52</v>
      </c>
      <c r="D4320" t="s" s="2">
        <v>16</v>
      </c>
      <c r="E4320" t="s" s="2">
        <v>17</v>
      </c>
      <c r="F4320" t="s" s="2">
        <f>HYPERLINK("http://ts.21cn.com/tousu/show/id/1369397","http://ts.21cn.com/tousu/show/id/1369397")</f>
      </c>
      <c r="G4320" t="s" s="2">
        <v>17</v>
      </c>
      <c r="H4320" t="s" s="2">
        <v>19</v>
      </c>
      <c r="I4320" t="s" s="2">
        <v>16821</v>
      </c>
      <c r="J4320" t="s" s="2">
        <v>16822</v>
      </c>
      <c r="K4320" t="s" s="2">
        <v>22</v>
      </c>
      <c r="L4320" t="s" s="2">
        <v>22</v>
      </c>
      <c r="M4320" t="s" s="2">
        <v>22</v>
      </c>
    </row>
    <row r="4321" ht="25.0" customHeight="true">
      <c r="A4321" t="s" s="2">
        <v>13</v>
      </c>
      <c r="B4321" t="s" s="2">
        <f>HYPERLINK("http://ts.21cn.com/tousu/show/id/1369393","爆通讯录，，，骚扰我的家人朋友")</f>
      </c>
      <c r="C4321" t="s" s="2">
        <v>15</v>
      </c>
      <c r="D4321" t="s" s="2">
        <v>16</v>
      </c>
      <c r="E4321" t="s" s="2">
        <v>17</v>
      </c>
      <c r="F4321" t="s" s="2">
        <f>HYPERLINK("http://ts.21cn.com/tousu/show/id/1369393","http://ts.21cn.com/tousu/show/id/1369393")</f>
      </c>
      <c r="G4321" t="s" s="2">
        <v>17</v>
      </c>
      <c r="H4321" t="s" s="2">
        <v>19</v>
      </c>
      <c r="I4321" t="s" s="2">
        <v>16825</v>
      </c>
      <c r="J4321" t="s" s="2">
        <v>16826</v>
      </c>
      <c r="K4321" t="s" s="2">
        <v>22</v>
      </c>
      <c r="L4321" t="s" s="2">
        <v>22</v>
      </c>
      <c r="M4321" t="s" s="2">
        <v>22</v>
      </c>
    </row>
    <row r="4322" ht="25.0" customHeight="true">
      <c r="A4322" t="s" s="2">
        <v>13</v>
      </c>
      <c r="B4322" t="s" s="2">
        <f>HYPERLINK("http://ts.21cn.com/tousu/show/id/1369395","砍头息太高")</f>
      </c>
      <c r="C4322" t="s" s="2">
        <v>52</v>
      </c>
      <c r="D4322" t="s" s="2">
        <v>16</v>
      </c>
      <c r="E4322" t="s" s="2">
        <v>17</v>
      </c>
      <c r="F4322" t="s" s="2">
        <f>HYPERLINK("http://ts.21cn.com/tousu/show/id/1369395","http://ts.21cn.com/tousu/show/id/1369395")</f>
      </c>
      <c r="G4322" t="s" s="2">
        <v>17</v>
      </c>
      <c r="H4322" t="s" s="2">
        <v>19</v>
      </c>
      <c r="I4322" t="s" s="2">
        <v>16829</v>
      </c>
      <c r="J4322" t="s" s="2">
        <v>16830</v>
      </c>
      <c r="K4322" t="s" s="2">
        <v>22</v>
      </c>
      <c r="L4322" t="s" s="2">
        <v>22</v>
      </c>
      <c r="M4322" t="s" s="2">
        <v>22</v>
      </c>
    </row>
    <row r="4323" ht="25.0" customHeight="true">
      <c r="A4323" t="s" s="2">
        <v>13</v>
      </c>
      <c r="B4323" t="s" s="2">
        <f>HYPERLINK("http://ts.21cn.com/tousu/show/id/1369394","科沃斯扫地机器人使用10余次后，出现主板损坏问题，质量太差。")</f>
      </c>
      <c r="C4323" t="s" s="2">
        <v>15</v>
      </c>
      <c r="D4323" t="s" s="2">
        <v>16</v>
      </c>
      <c r="E4323" t="s" s="2">
        <v>17</v>
      </c>
      <c r="F4323" t="s" s="2">
        <f>HYPERLINK("http://ts.21cn.com/tousu/show/id/1369394","http://ts.21cn.com/tousu/show/id/1369394")</f>
      </c>
      <c r="G4323" t="s" s="2">
        <v>17</v>
      </c>
      <c r="H4323" t="s" s="2">
        <v>19</v>
      </c>
      <c r="I4323" t="s" s="2">
        <v>16833</v>
      </c>
      <c r="J4323" t="s" s="2">
        <v>16834</v>
      </c>
      <c r="K4323" t="s" s="2">
        <v>22</v>
      </c>
      <c r="L4323" t="s" s="2">
        <v>22</v>
      </c>
      <c r="M4323" t="s" s="2">
        <v>22</v>
      </c>
    </row>
    <row r="4324" ht="25.0" customHeight="true">
      <c r="A4324" t="s" s="2">
        <v>13</v>
      </c>
      <c r="B4324" t="s" s="2">
        <f>HYPERLINK("http://ts.21cn.com/tousu/show/id/1369392","停止骚扰马上结案")</f>
      </c>
      <c r="C4324" t="s" s="2">
        <v>15</v>
      </c>
      <c r="D4324" t="s" s="2">
        <v>16</v>
      </c>
      <c r="E4324" t="s" s="2">
        <v>17</v>
      </c>
      <c r="F4324" t="s" s="2">
        <f>HYPERLINK("http://ts.21cn.com/tousu/show/id/1369392","http://ts.21cn.com/tousu/show/id/1369392")</f>
      </c>
      <c r="G4324" t="s" s="2">
        <v>17</v>
      </c>
      <c r="H4324" t="s" s="2">
        <v>19</v>
      </c>
      <c r="I4324" t="s" s="2">
        <v>16837</v>
      </c>
      <c r="J4324" t="s" s="2">
        <v>16838</v>
      </c>
      <c r="K4324" t="s" s="2">
        <v>22</v>
      </c>
      <c r="L4324" t="s" s="2">
        <v>22</v>
      </c>
      <c r="M4324" t="s" s="2">
        <v>22</v>
      </c>
    </row>
    <row r="4325" ht="25.0" customHeight="true">
      <c r="A4325" t="s" s="2">
        <v>13</v>
      </c>
      <c r="B4325" t="s" s="2">
        <f>HYPERLINK("http://ts.21cn.com/tousu/show/id/1369391","还款日")</f>
      </c>
      <c r="C4325" t="s" s="2">
        <v>15</v>
      </c>
      <c r="D4325" t="s" s="2">
        <v>16</v>
      </c>
      <c r="E4325" t="s" s="2">
        <v>17</v>
      </c>
      <c r="F4325" t="s" s="2">
        <f>HYPERLINK("http://ts.21cn.com/tousu/show/id/1369391","http://ts.21cn.com/tousu/show/id/1369391")</f>
      </c>
      <c r="G4325" t="s" s="2">
        <v>17</v>
      </c>
      <c r="H4325" t="s" s="2">
        <v>19</v>
      </c>
      <c r="I4325" t="s" s="2">
        <v>16841</v>
      </c>
      <c r="J4325" t="s" s="2">
        <v>16842</v>
      </c>
      <c r="K4325" t="s" s="2">
        <v>22</v>
      </c>
      <c r="L4325" t="s" s="2">
        <v>22</v>
      </c>
      <c r="M4325" t="s" s="2">
        <v>22</v>
      </c>
    </row>
    <row r="4326" ht="25.0" customHeight="true">
      <c r="A4326" t="s" s="2">
        <v>13</v>
      </c>
      <c r="B4326" t="s" s="2">
        <f>HYPERLINK("http://ts.21cn.com/tousu/show/id/1369390","好易借高利贷")</f>
      </c>
      <c r="C4326" t="s" s="2">
        <v>15</v>
      </c>
      <c r="D4326" t="s" s="2">
        <v>16</v>
      </c>
      <c r="E4326" t="s" s="2">
        <v>17</v>
      </c>
      <c r="F4326" t="s" s="2">
        <f>HYPERLINK("http://ts.21cn.com/tousu/show/id/1369390","http://ts.21cn.com/tousu/show/id/1369390")</f>
      </c>
      <c r="G4326" t="s" s="2">
        <v>17</v>
      </c>
      <c r="H4326" t="s" s="2">
        <v>19</v>
      </c>
      <c r="I4326" t="s" s="2">
        <v>16841</v>
      </c>
      <c r="J4326" t="s" s="2">
        <v>16845</v>
      </c>
      <c r="K4326" t="s" s="2">
        <v>22</v>
      </c>
      <c r="L4326" t="s" s="2">
        <v>22</v>
      </c>
      <c r="M4326" t="s" s="2">
        <v>22</v>
      </c>
    </row>
    <row r="4327" ht="25.0" customHeight="true">
      <c r="A4327" t="s" s="2">
        <v>13</v>
      </c>
      <c r="B4327" t="s" s="2">
        <f>HYPERLINK("http://ts.21cn.com/tousu/show/id/1369389","货拉拉不开发票")</f>
      </c>
      <c r="C4327" t="s" s="2">
        <v>15</v>
      </c>
      <c r="D4327" t="s" s="2">
        <v>16</v>
      </c>
      <c r="E4327" t="s" s="2">
        <v>17</v>
      </c>
      <c r="F4327" t="s" s="2">
        <f>HYPERLINK("http://ts.21cn.com/tousu/show/id/1369389","http://ts.21cn.com/tousu/show/id/1369389")</f>
      </c>
      <c r="G4327" t="s" s="2">
        <v>17</v>
      </c>
      <c r="H4327" t="s" s="2">
        <v>19</v>
      </c>
      <c r="I4327" t="s" s="2">
        <v>16848</v>
      </c>
      <c r="J4327" t="s" s="2">
        <v>16849</v>
      </c>
      <c r="K4327" t="s" s="2">
        <v>22</v>
      </c>
      <c r="L4327" t="s" s="2">
        <v>22</v>
      </c>
      <c r="M4327" t="s" s="2">
        <v>22</v>
      </c>
    </row>
    <row r="4328" ht="25.0" customHeight="true">
      <c r="A4328" t="s" s="2">
        <v>13</v>
      </c>
      <c r="B4328" t="s" s="2">
        <f>HYPERLINK("http://ts.21cn.com/tousu/show/id/1369388","经过同意乱扣费用")</f>
      </c>
      <c r="C4328" t="s" s="2">
        <v>15</v>
      </c>
      <c r="D4328" t="s" s="2">
        <v>16</v>
      </c>
      <c r="E4328" t="s" s="2">
        <v>17</v>
      </c>
      <c r="F4328" t="s" s="2">
        <f>HYPERLINK("http://ts.21cn.com/tousu/show/id/1369388","http://ts.21cn.com/tousu/show/id/1369388")</f>
      </c>
      <c r="G4328" t="s" s="2">
        <v>17</v>
      </c>
      <c r="H4328" t="s" s="2">
        <v>19</v>
      </c>
      <c r="I4328" t="s" s="2">
        <v>16852</v>
      </c>
      <c r="J4328" t="s" s="2">
        <v>16853</v>
      </c>
      <c r="K4328" t="s" s="2">
        <v>22</v>
      </c>
      <c r="L4328" t="s" s="2">
        <v>22</v>
      </c>
      <c r="M4328" t="s" s="2">
        <v>22</v>
      </c>
    </row>
    <row r="4329" ht="25.0" customHeight="true">
      <c r="A4329" t="s" s="2">
        <v>13</v>
      </c>
      <c r="B4329" t="s" s="2">
        <f>HYPERLINK("http://ts.21cn.com/tousu/show/id/1369387","汇潮支付聚合支付为高利贷提供通道")</f>
      </c>
      <c r="C4329" t="s" s="2">
        <v>15</v>
      </c>
      <c r="D4329" t="s" s="2">
        <v>16</v>
      </c>
      <c r="E4329" t="s" s="2">
        <v>17</v>
      </c>
      <c r="F4329" t="s" s="2">
        <f>HYPERLINK("http://ts.21cn.com/tousu/show/id/1369387","http://ts.21cn.com/tousu/show/id/1369387")</f>
      </c>
      <c r="G4329" t="s" s="2">
        <v>17</v>
      </c>
      <c r="H4329" t="s" s="2">
        <v>19</v>
      </c>
      <c r="I4329" t="s" s="2">
        <v>16856</v>
      </c>
      <c r="J4329" t="s" s="2">
        <v>16857</v>
      </c>
      <c r="K4329" t="s" s="2">
        <v>22</v>
      </c>
      <c r="L4329" t="s" s="2">
        <v>22</v>
      </c>
      <c r="M4329" t="s" s="2">
        <v>22</v>
      </c>
    </row>
    <row r="4330" ht="25.0" customHeight="true">
      <c r="A4330" t="s" s="2">
        <v>13</v>
      </c>
      <c r="B4330" t="s" s="2">
        <f>HYPERLINK("http://ts.21cn.com/tousu/show/id/1369386","360借条骚扰高龄老人")</f>
      </c>
      <c r="C4330" t="s" s="2">
        <v>15</v>
      </c>
      <c r="D4330" t="s" s="2">
        <v>16</v>
      </c>
      <c r="E4330" t="s" s="2">
        <v>17</v>
      </c>
      <c r="F4330" t="s" s="2">
        <f>HYPERLINK("http://ts.21cn.com/tousu/show/id/1369386","http://ts.21cn.com/tousu/show/id/1369386")</f>
      </c>
      <c r="G4330" t="s" s="2">
        <v>17</v>
      </c>
      <c r="H4330" t="s" s="2">
        <v>19</v>
      </c>
      <c r="I4330" t="s" s="2">
        <v>16860</v>
      </c>
      <c r="J4330" t="s" s="2">
        <v>16861</v>
      </c>
      <c r="K4330" t="s" s="2">
        <v>22</v>
      </c>
      <c r="L4330" t="s" s="2">
        <v>22</v>
      </c>
      <c r="M4330" t="s" s="2">
        <v>22</v>
      </c>
    </row>
    <row r="4331" ht="25.0" customHeight="true">
      <c r="A4331" t="s" s="2">
        <v>13</v>
      </c>
      <c r="B4331" t="s" s="2">
        <f>HYPERLINK("http://ts.21cn.com/tousu/show/id/1369385","友信信贷在未逾期的时间内对借款人进行暴力催收")</f>
      </c>
      <c r="C4331" t="s" s="2">
        <v>15</v>
      </c>
      <c r="D4331" t="s" s="2">
        <v>16</v>
      </c>
      <c r="E4331" t="s" s="2">
        <v>17</v>
      </c>
      <c r="F4331" t="s" s="2">
        <f>HYPERLINK("http://ts.21cn.com/tousu/show/id/1369385","http://ts.21cn.com/tousu/show/id/1369385")</f>
      </c>
      <c r="G4331" t="s" s="2">
        <v>17</v>
      </c>
      <c r="H4331" t="s" s="2">
        <v>19</v>
      </c>
      <c r="I4331" t="s" s="2">
        <v>16863</v>
      </c>
      <c r="J4331" t="s" s="2">
        <v>16864</v>
      </c>
      <c r="K4331" t="s" s="2">
        <v>22</v>
      </c>
      <c r="L4331" t="s" s="2">
        <v>22</v>
      </c>
      <c r="M4331" t="s" s="2">
        <v>22</v>
      </c>
    </row>
    <row r="4332" ht="25.0" customHeight="true">
      <c r="A4332" t="s" s="2">
        <v>13</v>
      </c>
      <c r="B4332" t="s" s="2">
        <f>HYPERLINK("http://ts.21cn.com/tousu/show/id/1369384","新浪趣用分期宝付支付借贷平台，超高额利息现金贷平台，暴力催收引诱还款")</f>
      </c>
      <c r="C4332" t="s" s="2">
        <v>15</v>
      </c>
      <c r="D4332" t="s" s="2">
        <v>16</v>
      </c>
      <c r="E4332" t="s" s="2">
        <v>17</v>
      </c>
      <c r="F4332" t="s" s="2">
        <f>HYPERLINK("http://ts.21cn.com/tousu/show/id/1369384","http://ts.21cn.com/tousu/show/id/1369384")</f>
      </c>
      <c r="G4332" t="s" s="2">
        <v>17</v>
      </c>
      <c r="H4332" t="s" s="2">
        <v>19</v>
      </c>
      <c r="I4332" t="s" s="2">
        <v>16867</v>
      </c>
      <c r="J4332" t="s" s="2">
        <v>16868</v>
      </c>
      <c r="K4332" t="s" s="2">
        <v>22</v>
      </c>
      <c r="L4332" t="s" s="2">
        <v>22</v>
      </c>
      <c r="M4332" t="s" s="2">
        <v>22</v>
      </c>
    </row>
    <row r="4333" ht="25.0" customHeight="true">
      <c r="A4333" t="s" s="2">
        <v>13</v>
      </c>
      <c r="B4333" t="s" s="2">
        <f>HYPERLINK("http://ts.21cn.com/tousu/show/id/662468","平安普惠一直说我没有我这个人，又一直在乱发短信")</f>
      </c>
      <c r="C4333" t="s" s="2">
        <v>52</v>
      </c>
      <c r="D4333" t="s" s="2">
        <v>16</v>
      </c>
      <c r="E4333" t="s" s="2">
        <v>17</v>
      </c>
      <c r="F4333" t="s" s="2">
        <f>HYPERLINK("http://ts.21cn.com/tousu/show/id/662468","http://ts.21cn.com/tousu/show/id/662468")</f>
      </c>
      <c r="G4333" t="s" s="2">
        <v>17</v>
      </c>
      <c r="H4333" t="s" s="2">
        <v>19</v>
      </c>
      <c r="I4333" t="s" s="2">
        <v>16871</v>
      </c>
      <c r="J4333" t="s" s="2">
        <v>16872</v>
      </c>
      <c r="K4333" t="s" s="2">
        <v>22</v>
      </c>
      <c r="L4333" t="s" s="2">
        <v>22</v>
      </c>
      <c r="M4333" t="s" s="2">
        <v>22</v>
      </c>
    </row>
    <row r="4334" ht="25.0" customHeight="true">
      <c r="A4334" t="s" s="2">
        <v>13</v>
      </c>
      <c r="B4334" t="s" s="2">
        <f>HYPERLINK("http://ts.21cn.com/tousu/show/id/1369381","退还保费，减免逾期费用")</f>
      </c>
      <c r="C4334" t="s" s="2">
        <v>52</v>
      </c>
      <c r="D4334" t="s" s="2">
        <v>16</v>
      </c>
      <c r="E4334" t="s" s="2">
        <v>17</v>
      </c>
      <c r="F4334" t="s" s="2">
        <f>HYPERLINK("http://ts.21cn.com/tousu/show/id/1369381","http://ts.21cn.com/tousu/show/id/1369381")</f>
      </c>
      <c r="G4334" t="s" s="2">
        <v>17</v>
      </c>
      <c r="H4334" t="s" s="2">
        <v>19</v>
      </c>
      <c r="I4334" t="s" s="2">
        <v>16875</v>
      </c>
      <c r="J4334" t="s" s="2">
        <v>16876</v>
      </c>
      <c r="K4334" t="s" s="2">
        <v>22</v>
      </c>
      <c r="L4334" t="s" s="2">
        <v>22</v>
      </c>
      <c r="M4334" t="s" s="2">
        <v>22</v>
      </c>
    </row>
    <row r="4335" ht="25.0" customHeight="true">
      <c r="A4335" t="s" s="2">
        <v>13</v>
      </c>
      <c r="B4335" t="s" s="2">
        <f>HYPERLINK("http://ts.21cn.com/tousu/show/id/1369380","支付宝借呗暴力催收以及爆通讯录")</f>
      </c>
      <c r="C4335" t="s" s="2">
        <v>15</v>
      </c>
      <c r="D4335" t="s" s="2">
        <v>16</v>
      </c>
      <c r="E4335" t="s" s="2">
        <v>17</v>
      </c>
      <c r="F4335" t="s" s="2">
        <f>HYPERLINK("http://ts.21cn.com/tousu/show/id/1369380","http://ts.21cn.com/tousu/show/id/1369380")</f>
      </c>
      <c r="G4335" t="s" s="2">
        <v>17</v>
      </c>
      <c r="H4335" t="s" s="2">
        <v>19</v>
      </c>
      <c r="I4335" t="s" s="2">
        <v>16879</v>
      </c>
      <c r="J4335" t="s" s="2">
        <v>16880</v>
      </c>
      <c r="K4335" t="s" s="2">
        <v>22</v>
      </c>
      <c r="L4335" t="s" s="2">
        <v>22</v>
      </c>
      <c r="M4335" t="s" s="2">
        <v>22</v>
      </c>
    </row>
    <row r="4336" ht="25.0" customHeight="true">
      <c r="A4336" t="s" s="2">
        <v>13</v>
      </c>
      <c r="B4336" t="s" s="2">
        <f>HYPERLINK("http://ts.21cn.com/tousu/show/id/1369382","友信信贷在未逾期的时间内对借款人进行暴力催收")</f>
      </c>
      <c r="C4336" t="s" s="2">
        <v>15</v>
      </c>
      <c r="D4336" t="s" s="2">
        <v>16</v>
      </c>
      <c r="E4336" t="s" s="2">
        <v>17</v>
      </c>
      <c r="F4336" t="s" s="2">
        <f>HYPERLINK("http://ts.21cn.com/tousu/show/id/1369382","http://ts.21cn.com/tousu/show/id/1369382")</f>
      </c>
      <c r="G4336" t="s" s="2">
        <v>17</v>
      </c>
      <c r="H4336" t="s" s="2">
        <v>19</v>
      </c>
      <c r="I4336" t="s" s="2">
        <v>16879</v>
      </c>
      <c r="J4336" t="s" s="2">
        <v>16882</v>
      </c>
      <c r="K4336" t="s" s="2">
        <v>22</v>
      </c>
      <c r="L4336" t="s" s="2">
        <v>22</v>
      </c>
      <c r="M4336" t="s" s="2">
        <v>22</v>
      </c>
    </row>
    <row r="4337" ht="25.0" customHeight="true">
      <c r="A4337" t="s" s="2">
        <v>13</v>
      </c>
      <c r="B4337" t="s" s="2">
        <f>HYPERLINK("http://ts.21cn.com/tousu/show/id/1369379","工行信用卡协商分期或宽限")</f>
      </c>
      <c r="C4337" t="s" s="2">
        <v>15</v>
      </c>
      <c r="D4337" t="s" s="2">
        <v>16</v>
      </c>
      <c r="E4337" t="s" s="2">
        <v>17</v>
      </c>
      <c r="F4337" t="s" s="2">
        <f>HYPERLINK("http://ts.21cn.com/tousu/show/id/1369379","http://ts.21cn.com/tousu/show/id/1369379")</f>
      </c>
      <c r="G4337" t="s" s="2">
        <v>17</v>
      </c>
      <c r="H4337" t="s" s="2">
        <v>19</v>
      </c>
      <c r="I4337" t="s" s="2">
        <v>16885</v>
      </c>
      <c r="J4337" t="s" s="2">
        <v>16886</v>
      </c>
      <c r="K4337" t="s" s="2">
        <v>22</v>
      </c>
      <c r="L4337" t="s" s="2">
        <v>22</v>
      </c>
      <c r="M4337" t="s" s="2">
        <v>22</v>
      </c>
    </row>
    <row r="4338" ht="25.0" customHeight="true">
      <c r="A4338" t="s" s="2">
        <v>13</v>
      </c>
      <c r="B4338" t="s" s="2">
        <f>HYPERLINK("http://ts.21cn.com/tousu/show/id/1369378","安逸花")</f>
      </c>
      <c r="C4338" t="s" s="2">
        <v>52</v>
      </c>
      <c r="D4338" t="s" s="2">
        <v>16</v>
      </c>
      <c r="E4338" t="s" s="2">
        <v>17</v>
      </c>
      <c r="F4338" t="s" s="2">
        <f>HYPERLINK("http://ts.21cn.com/tousu/show/id/1369378","http://ts.21cn.com/tousu/show/id/1369378")</f>
      </c>
      <c r="G4338" t="s" s="2">
        <v>17</v>
      </c>
      <c r="H4338" t="s" s="2">
        <v>19</v>
      </c>
      <c r="I4338" t="s" s="2">
        <v>16888</v>
      </c>
      <c r="J4338" t="s" s="2">
        <v>16889</v>
      </c>
      <c r="K4338" t="s" s="2">
        <v>22</v>
      </c>
      <c r="L4338" t="s" s="2">
        <v>22</v>
      </c>
      <c r="M4338" t="s" s="2">
        <v>22</v>
      </c>
    </row>
    <row r="4339" ht="25.0" customHeight="true">
      <c r="A4339" t="s" s="2">
        <v>13</v>
      </c>
      <c r="B4339" t="s" s="2">
        <f>HYPERLINK("http://ts.21cn.com/tousu/show/id/1369374","广州合利宝，富友支付为714高炮快米钱庄提供支付通道")</f>
      </c>
      <c r="C4339" t="s" s="2">
        <v>52</v>
      </c>
      <c r="D4339" t="s" s="2">
        <v>16</v>
      </c>
      <c r="E4339" t="s" s="2">
        <v>17</v>
      </c>
      <c r="F4339" t="s" s="2">
        <f>HYPERLINK("http://ts.21cn.com/tousu/show/id/1369374","http://ts.21cn.com/tousu/show/id/1369374")</f>
      </c>
      <c r="G4339" t="s" s="2">
        <v>17</v>
      </c>
      <c r="H4339" t="s" s="2">
        <v>19</v>
      </c>
      <c r="I4339" t="s" s="2">
        <v>16892</v>
      </c>
      <c r="J4339" t="s" s="2">
        <v>16893</v>
      </c>
      <c r="K4339" t="s" s="2">
        <v>22</v>
      </c>
      <c r="L4339" t="s" s="2">
        <v>22</v>
      </c>
      <c r="M4339" t="s" s="2">
        <v>22</v>
      </c>
    </row>
    <row r="4340" ht="25.0" customHeight="true">
      <c r="A4340" t="s" s="2">
        <v>13</v>
      </c>
      <c r="B4340" t="s" s="2">
        <f>HYPERLINK("http://ts.21cn.com/tousu/show/id/1369375","钱站套路贷")</f>
      </c>
      <c r="C4340" t="s" s="2">
        <v>15</v>
      </c>
      <c r="D4340" t="s" s="2">
        <v>16</v>
      </c>
      <c r="E4340" t="s" s="2">
        <v>17</v>
      </c>
      <c r="F4340" t="s" s="2">
        <f>HYPERLINK("http://ts.21cn.com/tousu/show/id/1369375","http://ts.21cn.com/tousu/show/id/1369375")</f>
      </c>
      <c r="G4340" t="s" s="2">
        <v>17</v>
      </c>
      <c r="H4340" t="s" s="2">
        <v>19</v>
      </c>
      <c r="I4340" t="s" s="2">
        <v>16896</v>
      </c>
      <c r="J4340" t="s" s="2">
        <v>16897</v>
      </c>
      <c r="K4340" t="s" s="2">
        <v>22</v>
      </c>
      <c r="L4340" t="s" s="2">
        <v>22</v>
      </c>
      <c r="M4340" t="s" s="2">
        <v>22</v>
      </c>
    </row>
    <row r="4341" ht="25.0" customHeight="true">
      <c r="A4341" t="s" s="2">
        <v>13</v>
      </c>
      <c r="B4341" t="s" s="2">
        <f>HYPERLINK("http://ts.21cn.com/tousu/show/id/1369373","尚德机构投诉专题")</f>
      </c>
      <c r="C4341" t="s" s="2">
        <v>15</v>
      </c>
      <c r="D4341" t="s" s="2">
        <v>16</v>
      </c>
      <c r="E4341" t="s" s="2">
        <v>17</v>
      </c>
      <c r="F4341" t="s" s="2">
        <f>HYPERLINK("http://ts.21cn.com/tousu/show/id/1369373","http://ts.21cn.com/tousu/show/id/1369373")</f>
      </c>
      <c r="G4341" t="s" s="2">
        <v>17</v>
      </c>
      <c r="H4341" t="s" s="2">
        <v>19</v>
      </c>
      <c r="I4341" t="s" s="2">
        <v>16899</v>
      </c>
      <c r="J4341" t="s" s="2">
        <v>16900</v>
      </c>
      <c r="K4341" t="s" s="2">
        <v>22</v>
      </c>
      <c r="L4341" t="s" s="2">
        <v>22</v>
      </c>
      <c r="M4341" t="s" s="2">
        <v>22</v>
      </c>
    </row>
    <row r="4342" ht="25.0" customHeight="true">
      <c r="A4342" t="s" s="2">
        <v>13</v>
      </c>
      <c r="B4342" t="s" s="2">
        <f>HYPERLINK("http://ts.21cn.com/tousu/show/id/1369372","乱扣费")</f>
      </c>
      <c r="C4342" t="s" s="2">
        <v>15</v>
      </c>
      <c r="D4342" t="s" s="2">
        <v>16</v>
      </c>
      <c r="E4342" t="s" s="2">
        <v>17</v>
      </c>
      <c r="F4342" t="s" s="2">
        <f>HYPERLINK("http://ts.21cn.com/tousu/show/id/1369372","http://ts.21cn.com/tousu/show/id/1369372")</f>
      </c>
      <c r="G4342" t="s" s="2">
        <v>17</v>
      </c>
      <c r="H4342" t="s" s="2">
        <v>19</v>
      </c>
      <c r="I4342" t="s" s="2">
        <v>16902</v>
      </c>
      <c r="J4342" t="s" s="2">
        <v>16903</v>
      </c>
      <c r="K4342" t="s" s="2">
        <v>22</v>
      </c>
      <c r="L4342" t="s" s="2">
        <v>22</v>
      </c>
      <c r="M4342" t="s" s="2">
        <v>22</v>
      </c>
    </row>
    <row r="4343" ht="25.0" customHeight="true">
      <c r="A4343" t="s" s="2">
        <v>13</v>
      </c>
      <c r="B4343" t="s" s="2">
        <f>HYPERLINK("http://ts.21cn.com/tousu/show/id/1369369","优信二手车集体投诉专题")</f>
      </c>
      <c r="C4343" t="s" s="2">
        <v>15</v>
      </c>
      <c r="D4343" t="s" s="2">
        <v>16</v>
      </c>
      <c r="E4343" t="s" s="2">
        <v>17</v>
      </c>
      <c r="F4343" t="s" s="2">
        <f>HYPERLINK("http://ts.21cn.com/tousu/show/id/1369369","http://ts.21cn.com/tousu/show/id/1369369")</f>
      </c>
      <c r="G4343" t="s" s="2">
        <v>17</v>
      </c>
      <c r="H4343" t="s" s="2">
        <v>19</v>
      </c>
      <c r="I4343" t="s" s="2">
        <v>16906</v>
      </c>
      <c r="J4343" t="s" s="2">
        <v>16907</v>
      </c>
      <c r="K4343" t="s" s="2">
        <v>22</v>
      </c>
      <c r="L4343" t="s" s="2">
        <v>22</v>
      </c>
      <c r="M4343" t="s" s="2">
        <v>22</v>
      </c>
    </row>
    <row r="4344" ht="25.0" customHeight="true">
      <c r="A4344" t="s" s="2">
        <v>13</v>
      </c>
      <c r="B4344" t="s" s="2">
        <f>HYPERLINK("http://ts.21cn.com/tousu/show/id/1369370","钱站高利贷")</f>
      </c>
      <c r="C4344" t="s" s="2">
        <v>15</v>
      </c>
      <c r="D4344" t="s" s="2">
        <v>16</v>
      </c>
      <c r="E4344" t="s" s="2">
        <v>17</v>
      </c>
      <c r="F4344" t="s" s="2">
        <f>HYPERLINK("http://ts.21cn.com/tousu/show/id/1369370","http://ts.21cn.com/tousu/show/id/1369370")</f>
      </c>
      <c r="G4344" t="s" s="2">
        <v>17</v>
      </c>
      <c r="H4344" t="s" s="2">
        <v>19</v>
      </c>
      <c r="I4344" t="s" s="2">
        <v>16909</v>
      </c>
      <c r="J4344" t="s" s="2">
        <v>16910</v>
      </c>
      <c r="K4344" t="s" s="2">
        <v>22</v>
      </c>
      <c r="L4344" t="s" s="2">
        <v>22</v>
      </c>
      <c r="M4344" t="s" s="2">
        <v>22</v>
      </c>
    </row>
    <row r="4345" ht="25.0" customHeight="true">
      <c r="A4345" t="s" s="2">
        <v>13</v>
      </c>
      <c r="B4345" t="s" s="2">
        <f>HYPERLINK("http://ts.21cn.com/tousu/show/id/1369347","淘豆分期在没有提示的情况下扣款")</f>
      </c>
      <c r="C4345" t="s" s="2">
        <v>15</v>
      </c>
      <c r="D4345" t="s" s="2">
        <v>16</v>
      </c>
      <c r="E4345" t="s" s="2">
        <v>17</v>
      </c>
      <c r="F4345" t="s" s="2">
        <f>HYPERLINK("http://ts.21cn.com/tousu/show/id/1369347","http://ts.21cn.com/tousu/show/id/1369347")</f>
      </c>
      <c r="G4345" t="s" s="2">
        <v>17</v>
      </c>
      <c r="H4345" t="s" s="2">
        <v>19</v>
      </c>
      <c r="I4345" t="s" s="2">
        <v>16913</v>
      </c>
      <c r="J4345" t="s" s="2">
        <v>16914</v>
      </c>
      <c r="K4345" t="s" s="2">
        <v>22</v>
      </c>
      <c r="L4345" t="s" s="2">
        <v>22</v>
      </c>
      <c r="M4345" t="s" s="2">
        <v>22</v>
      </c>
    </row>
    <row r="4346" ht="25.0" customHeight="true">
      <c r="A4346" t="s" s="2">
        <v>13</v>
      </c>
      <c r="B4346" t="s" s="2">
        <f>HYPERLINK("http://ts.21cn.com/tousu/show/id/1369368","招联金融暴力催收")</f>
      </c>
      <c r="C4346" t="s" s="2">
        <v>15</v>
      </c>
      <c r="D4346" t="s" s="2">
        <v>16</v>
      </c>
      <c r="E4346" t="s" s="2">
        <v>17</v>
      </c>
      <c r="F4346" t="s" s="2">
        <f>HYPERLINK("http://ts.21cn.com/tousu/show/id/1369368","http://ts.21cn.com/tousu/show/id/1369368")</f>
      </c>
      <c r="G4346" t="s" s="2">
        <v>17</v>
      </c>
      <c r="H4346" t="s" s="2">
        <v>19</v>
      </c>
      <c r="I4346" t="s" s="2">
        <v>16916</v>
      </c>
      <c r="J4346" t="s" s="2">
        <v>16917</v>
      </c>
      <c r="K4346" t="s" s="2">
        <v>22</v>
      </c>
      <c r="L4346" t="s" s="2">
        <v>22</v>
      </c>
      <c r="M4346" t="s" s="2">
        <v>22</v>
      </c>
    </row>
    <row r="4347" ht="25.0" customHeight="true">
      <c r="A4347" t="s" s="2">
        <v>13</v>
      </c>
      <c r="B4347" t="s" s="2">
        <f>HYPERLINK("http://ts.21cn.com/tousu/show/id/1369366","零零发平台高利贷，各种威胁恐吓ps照片")</f>
      </c>
      <c r="C4347" t="s" s="2">
        <v>15</v>
      </c>
      <c r="D4347" t="s" s="2">
        <v>16</v>
      </c>
      <c r="E4347" t="s" s="2">
        <v>17</v>
      </c>
      <c r="F4347" t="s" s="2">
        <f>HYPERLINK("http://ts.21cn.com/tousu/show/id/1369366","http://ts.21cn.com/tousu/show/id/1369366")</f>
      </c>
      <c r="G4347" t="s" s="2">
        <v>17</v>
      </c>
      <c r="H4347" t="s" s="2">
        <v>19</v>
      </c>
      <c r="I4347" t="s" s="2">
        <v>16920</v>
      </c>
      <c r="J4347" t="s" s="2">
        <v>16921</v>
      </c>
      <c r="K4347" t="s" s="2">
        <v>22</v>
      </c>
      <c r="L4347" t="s" s="2">
        <v>22</v>
      </c>
      <c r="M4347" t="s" s="2">
        <v>22</v>
      </c>
    </row>
    <row r="4348" ht="25.0" customHeight="true">
      <c r="A4348" t="s" s="2">
        <v>13</v>
      </c>
      <c r="B4348" t="s" s="2">
        <f>HYPERLINK("http://ts.21cn.com/tousu/show/id/1369365","在交易猫卖号被买家恶意仲裁")</f>
      </c>
      <c r="C4348" t="s" s="2">
        <v>52</v>
      </c>
      <c r="D4348" t="s" s="2">
        <v>16</v>
      </c>
      <c r="E4348" t="s" s="2">
        <v>17</v>
      </c>
      <c r="F4348" t="s" s="2">
        <f>HYPERLINK("http://ts.21cn.com/tousu/show/id/1369365","http://ts.21cn.com/tousu/show/id/1369365")</f>
      </c>
      <c r="G4348" t="s" s="2">
        <v>17</v>
      </c>
      <c r="H4348" t="s" s="2">
        <v>19</v>
      </c>
      <c r="I4348" t="s" s="2">
        <v>16924</v>
      </c>
      <c r="J4348" t="s" s="2">
        <v>16925</v>
      </c>
      <c r="K4348" t="s" s="2">
        <v>22</v>
      </c>
      <c r="L4348" t="s" s="2">
        <v>22</v>
      </c>
      <c r="M4348" t="s" s="2">
        <v>22</v>
      </c>
    </row>
    <row r="4349" ht="25.0" customHeight="true">
      <c r="A4349" t="s" s="2">
        <v>13</v>
      </c>
      <c r="B4349" t="s" s="2">
        <f>HYPERLINK("http://ts.21cn.com/tousu/show/id/1369364","贷上钱高利贷")</f>
      </c>
      <c r="C4349" t="s" s="2">
        <v>15</v>
      </c>
      <c r="D4349" t="s" s="2">
        <v>16</v>
      </c>
      <c r="E4349" t="s" s="2">
        <v>17</v>
      </c>
      <c r="F4349" t="s" s="2">
        <f>HYPERLINK("http://ts.21cn.com/tousu/show/id/1369364","http://ts.21cn.com/tousu/show/id/1369364")</f>
      </c>
      <c r="G4349" t="s" s="2">
        <v>17</v>
      </c>
      <c r="H4349" t="s" s="2">
        <v>19</v>
      </c>
      <c r="I4349" t="s" s="2">
        <v>16928</v>
      </c>
      <c r="J4349" t="s" s="2">
        <v>16929</v>
      </c>
      <c r="K4349" t="s" s="2">
        <v>22</v>
      </c>
      <c r="L4349" t="s" s="2">
        <v>22</v>
      </c>
      <c r="M4349" t="s" s="2">
        <v>22</v>
      </c>
    </row>
    <row r="4350" ht="25.0" customHeight="true">
      <c r="A4350" t="s" s="2">
        <v>13</v>
      </c>
      <c r="B4350" t="s" s="2">
        <f>HYPERLINK("http://ts.21cn.com/tousu/show/id/1369363","退回商品分期金额或者商品")</f>
      </c>
      <c r="C4350" t="s" s="2">
        <v>15</v>
      </c>
      <c r="D4350" t="s" s="2">
        <v>16</v>
      </c>
      <c r="E4350" t="s" s="2">
        <v>17</v>
      </c>
      <c r="F4350" t="s" s="2">
        <f>HYPERLINK("http://ts.21cn.com/tousu/show/id/1369363","http://ts.21cn.com/tousu/show/id/1369363")</f>
      </c>
      <c r="G4350" t="s" s="2">
        <v>17</v>
      </c>
      <c r="H4350" t="s" s="2">
        <v>19</v>
      </c>
      <c r="I4350" t="s" s="2">
        <v>16932</v>
      </c>
      <c r="J4350" t="s" s="2">
        <v>16933</v>
      </c>
      <c r="K4350" t="s" s="2">
        <v>22</v>
      </c>
      <c r="L4350" t="s" s="2">
        <v>22</v>
      </c>
      <c r="M4350" t="s" s="2">
        <v>22</v>
      </c>
    </row>
    <row r="4351" ht="25.0" customHeight="true">
      <c r="A4351" t="s" s="2">
        <v>13</v>
      </c>
      <c r="B4351" t="s" s="2">
        <f>HYPERLINK("http://ts.21cn.com/tousu/show/id/1369362","平安普惠贷款隐瞒隐藏并强制收取高额保险费管理费投诉事宜")</f>
      </c>
      <c r="C4351" t="s" s="2">
        <v>15</v>
      </c>
      <c r="D4351" t="s" s="2">
        <v>16</v>
      </c>
      <c r="E4351" t="s" s="2">
        <v>17</v>
      </c>
      <c r="F4351" t="s" s="2">
        <f>HYPERLINK("http://ts.21cn.com/tousu/show/id/1369362","http://ts.21cn.com/tousu/show/id/1369362")</f>
      </c>
      <c r="G4351" t="s" s="2">
        <v>17</v>
      </c>
      <c r="H4351" t="s" s="2">
        <v>19</v>
      </c>
      <c r="I4351" t="s" s="2">
        <v>16935</v>
      </c>
      <c r="J4351" t="s" s="2">
        <v>16936</v>
      </c>
      <c r="K4351" t="s" s="2">
        <v>22</v>
      </c>
      <c r="L4351" t="s" s="2">
        <v>22</v>
      </c>
      <c r="M4351" t="s" s="2">
        <v>22</v>
      </c>
    </row>
    <row r="4352" ht="25.0" customHeight="true">
      <c r="A4352" t="s" s="2">
        <v>13</v>
      </c>
      <c r="B4352" t="s" s="2">
        <f>HYPERLINK("http://ts.21cn.com/tousu/show/id/1369360","钱站高利贷，假合同")</f>
      </c>
      <c r="C4352" t="s" s="2">
        <v>15</v>
      </c>
      <c r="D4352" t="s" s="2">
        <v>16</v>
      </c>
      <c r="E4352" t="s" s="2">
        <v>17</v>
      </c>
      <c r="F4352" t="s" s="2">
        <f>HYPERLINK("http://ts.21cn.com/tousu/show/id/1369360","http://ts.21cn.com/tousu/show/id/1369360")</f>
      </c>
      <c r="G4352" t="s" s="2">
        <v>17</v>
      </c>
      <c r="H4352" t="s" s="2">
        <v>19</v>
      </c>
      <c r="I4352" t="s" s="2">
        <v>16939</v>
      </c>
      <c r="J4352" t="s" s="2">
        <v>16940</v>
      </c>
      <c r="K4352" t="s" s="2">
        <v>22</v>
      </c>
      <c r="L4352" t="s" s="2">
        <v>22</v>
      </c>
      <c r="M4352" t="s" s="2">
        <v>22</v>
      </c>
    </row>
    <row r="4353" ht="25.0" customHeight="true">
      <c r="A4353" t="s" s="2">
        <v>13</v>
      </c>
      <c r="B4353" t="s" s="2">
        <f>HYPERLINK("http://ts.21cn.com/tousu/show/id/1369361","友信信贷在未逾期的时间内对借款人进行暴力催收")</f>
      </c>
      <c r="C4353" t="s" s="2">
        <v>15</v>
      </c>
      <c r="D4353" t="s" s="2">
        <v>16</v>
      </c>
      <c r="E4353" t="s" s="2">
        <v>17</v>
      </c>
      <c r="F4353" t="s" s="2">
        <f>HYPERLINK("http://ts.21cn.com/tousu/show/id/1369361","http://ts.21cn.com/tousu/show/id/1369361")</f>
      </c>
      <c r="G4353" t="s" s="2">
        <v>17</v>
      </c>
      <c r="H4353" t="s" s="2">
        <v>19</v>
      </c>
      <c r="I4353" t="s" s="2">
        <v>16942</v>
      </c>
      <c r="J4353" t="s" s="2">
        <v>16943</v>
      </c>
      <c r="K4353" t="s" s="2">
        <v>22</v>
      </c>
      <c r="L4353" t="s" s="2">
        <v>22</v>
      </c>
      <c r="M4353" t="s" s="2">
        <v>22</v>
      </c>
    </row>
    <row r="4354" ht="25.0" customHeight="true">
      <c r="A4354" t="s" s="2">
        <v>13</v>
      </c>
      <c r="B4354" t="s" s="2">
        <f>HYPERLINK("http://ts.21cn.com/tousu/show/id/1369339","拼多多为赌博平台提供收款渠道诱导消费")</f>
      </c>
      <c r="C4354" t="s" s="2">
        <v>15</v>
      </c>
      <c r="D4354" t="s" s="2">
        <v>16</v>
      </c>
      <c r="E4354" t="s" s="2">
        <v>17</v>
      </c>
      <c r="F4354" t="s" s="2">
        <f>HYPERLINK("http://ts.21cn.com/tousu/show/id/1369339","http://ts.21cn.com/tousu/show/id/1369339")</f>
      </c>
      <c r="G4354" t="s" s="2">
        <v>17</v>
      </c>
      <c r="H4354" t="s" s="2">
        <v>19</v>
      </c>
      <c r="I4354" t="s" s="2">
        <v>16946</v>
      </c>
      <c r="J4354" t="s" s="2">
        <v>16947</v>
      </c>
      <c r="K4354" t="s" s="2">
        <v>22</v>
      </c>
      <c r="L4354" t="s" s="2">
        <v>22</v>
      </c>
      <c r="M4354" t="s" s="2">
        <v>22</v>
      </c>
    </row>
    <row r="4355" ht="25.0" customHeight="true">
      <c r="A4355" t="s" s="2">
        <v>13</v>
      </c>
      <c r="B4355" t="s" s="2">
        <f>HYPERLINK("http://ts.21cn.com/tousu/show/id/1369358","平安普惠催收骚扰")</f>
      </c>
      <c r="C4355" t="s" s="2">
        <v>15</v>
      </c>
      <c r="D4355" t="s" s="2">
        <v>16</v>
      </c>
      <c r="E4355" t="s" s="2">
        <v>17</v>
      </c>
      <c r="F4355" t="s" s="2">
        <f>HYPERLINK("http://ts.21cn.com/tousu/show/id/1369358","http://ts.21cn.com/tousu/show/id/1369358")</f>
      </c>
      <c r="G4355" t="s" s="2">
        <v>17</v>
      </c>
      <c r="H4355" t="s" s="2">
        <v>19</v>
      </c>
      <c r="I4355" t="s" s="2">
        <v>16950</v>
      </c>
      <c r="J4355" t="s" s="2">
        <v>16951</v>
      </c>
      <c r="K4355" t="s" s="2">
        <v>22</v>
      </c>
      <c r="L4355" t="s" s="2">
        <v>22</v>
      </c>
      <c r="M4355" t="s" s="2">
        <v>22</v>
      </c>
    </row>
    <row r="4356" ht="25.0" customHeight="true">
      <c r="A4356" t="s" s="2">
        <v>13</v>
      </c>
      <c r="B4356" t="s" s="2">
        <f>HYPERLINK("http://ts.21cn.com/tousu/show/id/1369356","马上金融暴力催收长期骚扰客户和客户家人")</f>
      </c>
      <c r="C4356" t="s" s="2">
        <v>15</v>
      </c>
      <c r="D4356" t="s" s="2">
        <v>16</v>
      </c>
      <c r="E4356" t="s" s="2">
        <v>17</v>
      </c>
      <c r="F4356" t="s" s="2">
        <f>HYPERLINK("http://ts.21cn.com/tousu/show/id/1369356","http://ts.21cn.com/tousu/show/id/1369356")</f>
      </c>
      <c r="G4356" t="s" s="2">
        <v>17</v>
      </c>
      <c r="H4356" t="s" s="2">
        <v>19</v>
      </c>
      <c r="I4356" t="s" s="2">
        <v>16954</v>
      </c>
      <c r="J4356" t="s" s="2">
        <v>16955</v>
      </c>
      <c r="K4356" t="s" s="2">
        <v>22</v>
      </c>
      <c r="L4356" t="s" s="2">
        <v>22</v>
      </c>
      <c r="M4356" t="s" s="2">
        <v>22</v>
      </c>
    </row>
    <row r="4357" ht="25.0" customHeight="true">
      <c r="A4357" t="s" s="2">
        <v>13</v>
      </c>
      <c r="B4357" t="s" s="2">
        <f>HYPERLINK("http://ts.21cn.com/tousu/show/id/1369357","立借平台钱置宝无法还款造成逾期，高利贷")</f>
      </c>
      <c r="C4357" t="s" s="2">
        <v>15</v>
      </c>
      <c r="D4357" t="s" s="2">
        <v>16</v>
      </c>
      <c r="E4357" t="s" s="2">
        <v>17</v>
      </c>
      <c r="F4357" t="s" s="2">
        <f>HYPERLINK("http://ts.21cn.com/tousu/show/id/1369357","http://ts.21cn.com/tousu/show/id/1369357")</f>
      </c>
      <c r="G4357" t="s" s="2">
        <v>17</v>
      </c>
      <c r="H4357" t="s" s="2">
        <v>19</v>
      </c>
      <c r="I4357" t="s" s="2">
        <v>16958</v>
      </c>
      <c r="J4357" t="s" s="2">
        <v>16959</v>
      </c>
      <c r="K4357" t="s" s="2">
        <v>22</v>
      </c>
      <c r="L4357" t="s" s="2">
        <v>22</v>
      </c>
      <c r="M4357" t="s" s="2">
        <v>22</v>
      </c>
    </row>
    <row r="4358" ht="25.0" customHeight="true">
      <c r="A4358" t="s" s="2">
        <v>13</v>
      </c>
      <c r="B4358" t="s" s="2">
        <f>HYPERLINK("http://ts.21cn.com/tousu/show/id/1369355","平安普惠贷款利息")</f>
      </c>
      <c r="C4358" t="s" s="2">
        <v>52</v>
      </c>
      <c r="D4358" t="s" s="2">
        <v>16</v>
      </c>
      <c r="E4358" t="s" s="2">
        <v>17</v>
      </c>
      <c r="F4358" t="s" s="2">
        <f>HYPERLINK("http://ts.21cn.com/tousu/show/id/1369355","http://ts.21cn.com/tousu/show/id/1369355")</f>
      </c>
      <c r="G4358" t="s" s="2">
        <v>17</v>
      </c>
      <c r="H4358" t="s" s="2">
        <v>19</v>
      </c>
      <c r="I4358" t="s" s="2">
        <v>16962</v>
      </c>
      <c r="J4358" t="s" s="2">
        <v>16963</v>
      </c>
      <c r="K4358" t="s" s="2">
        <v>22</v>
      </c>
      <c r="L4358" t="s" s="2">
        <v>22</v>
      </c>
      <c r="M4358" t="s" s="2">
        <v>22</v>
      </c>
    </row>
    <row r="4359" ht="25.0" customHeight="true">
      <c r="A4359" t="s" s="2">
        <v>13</v>
      </c>
      <c r="B4359" t="s" s="2">
        <f>HYPERLINK("http://ts.21cn.com/tousu/show/id/1369353","捷信利息纯属高利贷，老还钱进去都还不掉")</f>
      </c>
      <c r="C4359" t="s" s="2">
        <v>15</v>
      </c>
      <c r="D4359" t="s" s="2">
        <v>16</v>
      </c>
      <c r="E4359" t="s" s="2">
        <v>17</v>
      </c>
      <c r="F4359" t="s" s="2">
        <f>HYPERLINK("http://ts.21cn.com/tousu/show/id/1369353","http://ts.21cn.com/tousu/show/id/1369353")</f>
      </c>
      <c r="G4359" t="s" s="2">
        <v>17</v>
      </c>
      <c r="H4359" t="s" s="2">
        <v>19</v>
      </c>
      <c r="I4359" t="s" s="2">
        <v>16966</v>
      </c>
      <c r="J4359" t="s" s="2">
        <v>16967</v>
      </c>
      <c r="K4359" t="s" s="2">
        <v>22</v>
      </c>
      <c r="L4359" t="s" s="2">
        <v>22</v>
      </c>
      <c r="M4359" t="s" s="2">
        <v>22</v>
      </c>
    </row>
    <row r="4360" ht="25.0" customHeight="true">
      <c r="A4360" t="s" s="2">
        <v>13</v>
      </c>
      <c r="B4360" t="s" s="2">
        <f>HYPERLINK("http://ts.21cn.com/tousu/show/id/1369354","爆通讯录，泄露隐私信息")</f>
      </c>
      <c r="C4360" t="s" s="2">
        <v>15</v>
      </c>
      <c r="D4360" t="s" s="2">
        <v>16</v>
      </c>
      <c r="E4360" t="s" s="2">
        <v>17</v>
      </c>
      <c r="F4360" t="s" s="2">
        <f>HYPERLINK("http://ts.21cn.com/tousu/show/id/1369354","http://ts.21cn.com/tousu/show/id/1369354")</f>
      </c>
      <c r="G4360" t="s" s="2">
        <v>17</v>
      </c>
      <c r="H4360" t="s" s="2">
        <v>19</v>
      </c>
      <c r="I4360" t="s" s="2">
        <v>16970</v>
      </c>
      <c r="J4360" t="s" s="2">
        <v>16971</v>
      </c>
      <c r="K4360" t="s" s="2">
        <v>22</v>
      </c>
      <c r="L4360" t="s" s="2">
        <v>22</v>
      </c>
      <c r="M4360" t="s" s="2">
        <v>22</v>
      </c>
    </row>
    <row r="4361" ht="25.0" customHeight="true">
      <c r="A4361" t="s" s="2">
        <v>13</v>
      </c>
      <c r="B4361" t="s" s="2">
        <f>HYPERLINK("http://ts.21cn.com/tousu/show/id/1369351","账号被找回，买的保险不给处理。")</f>
      </c>
      <c r="C4361" t="s" s="2">
        <v>15</v>
      </c>
      <c r="D4361" t="s" s="2">
        <v>16</v>
      </c>
      <c r="E4361" t="s" s="2">
        <v>17</v>
      </c>
      <c r="F4361" t="s" s="2">
        <f>HYPERLINK("http://ts.21cn.com/tousu/show/id/1369351","http://ts.21cn.com/tousu/show/id/1369351")</f>
      </c>
      <c r="G4361" t="s" s="2">
        <v>17</v>
      </c>
      <c r="H4361" t="s" s="2">
        <v>19</v>
      </c>
      <c r="I4361" t="s" s="2">
        <v>16974</v>
      </c>
      <c r="J4361" t="s" s="2">
        <v>16975</v>
      </c>
      <c r="K4361" t="s" s="2">
        <v>22</v>
      </c>
      <c r="L4361" t="s" s="2">
        <v>22</v>
      </c>
      <c r="M4361" t="s" s="2">
        <v>22</v>
      </c>
    </row>
    <row r="4362" ht="25.0" customHeight="true">
      <c r="A4362" t="s" s="2">
        <v>13</v>
      </c>
      <c r="B4362" t="s" s="2">
        <f>HYPERLINK("http://ts.21cn.com/tousu/show/id/1369349","爆通讯录收取逾期管理费")</f>
      </c>
      <c r="C4362" t="s" s="2">
        <v>15</v>
      </c>
      <c r="D4362" t="s" s="2">
        <v>16</v>
      </c>
      <c r="E4362" t="s" s="2">
        <v>17</v>
      </c>
      <c r="F4362" t="s" s="2">
        <f>HYPERLINK("http://ts.21cn.com/tousu/show/id/1369349","http://ts.21cn.com/tousu/show/id/1369349")</f>
      </c>
      <c r="G4362" t="s" s="2">
        <v>17</v>
      </c>
      <c r="H4362" t="s" s="2">
        <v>19</v>
      </c>
      <c r="I4362" t="s" s="2">
        <v>16978</v>
      </c>
      <c r="J4362" t="s" s="2">
        <v>16979</v>
      </c>
      <c r="K4362" t="s" s="2">
        <v>22</v>
      </c>
      <c r="L4362" t="s" s="2">
        <v>22</v>
      </c>
      <c r="M4362" t="s" s="2">
        <v>22</v>
      </c>
    </row>
    <row r="4363" ht="25.0" customHeight="true">
      <c r="A4363" t="s" s="2">
        <v>13</v>
      </c>
      <c r="B4363" t="s" s="2">
        <f>HYPERLINK("http://ts.21cn.com/tousu/show/id/1369350","招商银行信用卡暴力催收，恐吓父母")</f>
      </c>
      <c r="C4363" t="s" s="2">
        <v>15</v>
      </c>
      <c r="D4363" t="s" s="2">
        <v>16</v>
      </c>
      <c r="E4363" t="s" s="2">
        <v>17</v>
      </c>
      <c r="F4363" t="s" s="2">
        <f>HYPERLINK("http://ts.21cn.com/tousu/show/id/1369350","http://ts.21cn.com/tousu/show/id/1369350")</f>
      </c>
      <c r="G4363" t="s" s="2">
        <v>17</v>
      </c>
      <c r="H4363" t="s" s="2">
        <v>19</v>
      </c>
      <c r="I4363" t="s" s="2">
        <v>16982</v>
      </c>
      <c r="J4363" t="s" s="2">
        <v>16983</v>
      </c>
      <c r="K4363" t="s" s="2">
        <v>22</v>
      </c>
      <c r="L4363" t="s" s="2">
        <v>22</v>
      </c>
      <c r="M4363" t="s" s="2">
        <v>22</v>
      </c>
    </row>
    <row r="4364" ht="25.0" customHeight="true">
      <c r="A4364" t="s" s="2">
        <v>13</v>
      </c>
      <c r="B4364" t="s" s="2">
        <f>HYPERLINK("http://ts.21cn.com/tousu/show/id/1369348","还没到时间点就打电话给家里人骚扰亲戚朋友")</f>
      </c>
      <c r="C4364" t="s" s="2">
        <v>52</v>
      </c>
      <c r="D4364" t="s" s="2">
        <v>16</v>
      </c>
      <c r="E4364" t="s" s="2">
        <v>17</v>
      </c>
      <c r="F4364" t="s" s="2">
        <f>HYPERLINK("http://ts.21cn.com/tousu/show/id/1369348","http://ts.21cn.com/tousu/show/id/1369348")</f>
      </c>
      <c r="G4364" t="s" s="2">
        <v>17</v>
      </c>
      <c r="H4364" t="s" s="2">
        <v>19</v>
      </c>
      <c r="I4364" t="s" s="2">
        <v>16982</v>
      </c>
      <c r="J4364" t="s" s="2">
        <v>16986</v>
      </c>
      <c r="K4364" t="s" s="2">
        <v>22</v>
      </c>
      <c r="L4364" t="s" s="2">
        <v>22</v>
      </c>
      <c r="M4364" t="s" s="2">
        <v>22</v>
      </c>
    </row>
    <row r="4365" ht="25.0" customHeight="true">
      <c r="A4365" t="s" s="2">
        <v>13</v>
      </c>
      <c r="B4365" t="s" s="2">
        <f>HYPERLINK("http://ts.21cn.com/tousu/show/id/1369346","友信信贷在未逾期的时间内对借款人进行暴力催收")</f>
      </c>
      <c r="C4365" t="s" s="2">
        <v>15</v>
      </c>
      <c r="D4365" t="s" s="2">
        <v>16</v>
      </c>
      <c r="E4365" t="s" s="2">
        <v>17</v>
      </c>
      <c r="F4365" t="s" s="2">
        <f>HYPERLINK("http://ts.21cn.com/tousu/show/id/1369346","http://ts.21cn.com/tousu/show/id/1369346")</f>
      </c>
      <c r="G4365" t="s" s="2">
        <v>17</v>
      </c>
      <c r="H4365" t="s" s="2">
        <v>19</v>
      </c>
      <c r="I4365" t="s" s="2">
        <v>16988</v>
      </c>
      <c r="J4365" t="s" s="2">
        <v>16989</v>
      </c>
      <c r="K4365" t="s" s="2">
        <v>22</v>
      </c>
      <c r="L4365" t="s" s="2">
        <v>22</v>
      </c>
      <c r="M4365" t="s" s="2">
        <v>22</v>
      </c>
    </row>
    <row r="4366" ht="25.0" customHeight="true">
      <c r="A4366" t="s" s="2">
        <v>13</v>
      </c>
      <c r="B4366" t="s" s="2">
        <f>HYPERLINK("http://ts.21cn.com/tousu/show/id/1369345","小花钱包暴力催收")</f>
      </c>
      <c r="C4366" t="s" s="2">
        <v>15</v>
      </c>
      <c r="D4366" t="s" s="2">
        <v>16</v>
      </c>
      <c r="E4366" t="s" s="2">
        <v>17</v>
      </c>
      <c r="F4366" t="s" s="2">
        <f>HYPERLINK("http://ts.21cn.com/tousu/show/id/1369345","http://ts.21cn.com/tousu/show/id/1369345")</f>
      </c>
      <c r="G4366" t="s" s="2">
        <v>17</v>
      </c>
      <c r="H4366" t="s" s="2">
        <v>19</v>
      </c>
      <c r="I4366" t="s" s="2">
        <v>16991</v>
      </c>
      <c r="J4366" t="s" s="2">
        <v>16992</v>
      </c>
      <c r="K4366" t="s" s="2">
        <v>22</v>
      </c>
      <c r="L4366" t="s" s="2">
        <v>22</v>
      </c>
      <c r="M4366" t="s" s="2">
        <v>22</v>
      </c>
    </row>
    <row r="4367" ht="25.0" customHeight="true">
      <c r="A4367" t="s" s="2">
        <v>13</v>
      </c>
      <c r="B4367" t="s" s="2">
        <f>HYPERLINK("http://ts.21cn.com/tousu/show/id/1369344","钱站高利贷公司没有放款资质违规放贷")</f>
      </c>
      <c r="C4367" t="s" s="2">
        <v>15</v>
      </c>
      <c r="D4367" t="s" s="2">
        <v>16</v>
      </c>
      <c r="E4367" t="s" s="2">
        <v>17</v>
      </c>
      <c r="F4367" t="s" s="2">
        <f>HYPERLINK("http://ts.21cn.com/tousu/show/id/1369344","http://ts.21cn.com/tousu/show/id/1369344")</f>
      </c>
      <c r="G4367" t="s" s="2">
        <v>17</v>
      </c>
      <c r="H4367" t="s" s="2">
        <v>19</v>
      </c>
      <c r="I4367" t="s" s="2">
        <v>16995</v>
      </c>
      <c r="J4367" t="s" s="2">
        <v>16996</v>
      </c>
      <c r="K4367" t="s" s="2">
        <v>22</v>
      </c>
      <c r="L4367" t="s" s="2">
        <v>22</v>
      </c>
      <c r="M4367" t="s" s="2">
        <v>22</v>
      </c>
    </row>
    <row r="4368" ht="25.0" customHeight="true">
      <c r="A4368" t="s" s="2">
        <v>13</v>
      </c>
      <c r="B4368" t="s" s="2">
        <f>HYPERLINK("http://ts.21cn.com/tousu/show/id/1369343","要求马上金融退之前不让提前还款多出来的费用")</f>
      </c>
      <c r="C4368" t="s" s="2">
        <v>52</v>
      </c>
      <c r="D4368" t="s" s="2">
        <v>16</v>
      </c>
      <c r="E4368" t="s" s="2">
        <v>17</v>
      </c>
      <c r="F4368" t="s" s="2">
        <f>HYPERLINK("http://ts.21cn.com/tousu/show/id/1369343","http://ts.21cn.com/tousu/show/id/1369343")</f>
      </c>
      <c r="G4368" t="s" s="2">
        <v>17</v>
      </c>
      <c r="H4368" t="s" s="2">
        <v>19</v>
      </c>
      <c r="I4368" t="s" s="2">
        <v>16999</v>
      </c>
      <c r="J4368" t="s" s="2">
        <v>17000</v>
      </c>
      <c r="K4368" t="s" s="2">
        <v>22</v>
      </c>
      <c r="L4368" t="s" s="2">
        <v>22</v>
      </c>
      <c r="M4368" t="s" s="2">
        <v>22</v>
      </c>
    </row>
    <row r="4369" ht="25.0" customHeight="true">
      <c r="A4369" t="s" s="2">
        <v>13</v>
      </c>
      <c r="B4369" t="s" s="2">
        <f>HYPERLINK("http://ts.21cn.com/tousu/show/id/1369342","要求退款")</f>
      </c>
      <c r="C4369" t="s" s="2">
        <v>15</v>
      </c>
      <c r="D4369" t="s" s="2">
        <v>16</v>
      </c>
      <c r="E4369" t="s" s="2">
        <v>17</v>
      </c>
      <c r="F4369" t="s" s="2">
        <f>HYPERLINK("http://ts.21cn.com/tousu/show/id/1369342","http://ts.21cn.com/tousu/show/id/1369342")</f>
      </c>
      <c r="G4369" t="s" s="2">
        <v>17</v>
      </c>
      <c r="H4369" t="s" s="2">
        <v>19</v>
      </c>
      <c r="I4369" t="s" s="2">
        <v>17002</v>
      </c>
      <c r="J4369" t="s" s="2">
        <v>17003</v>
      </c>
      <c r="K4369" t="s" s="2">
        <v>22</v>
      </c>
      <c r="L4369" t="s" s="2">
        <v>22</v>
      </c>
      <c r="M4369" t="s" s="2">
        <v>22</v>
      </c>
    </row>
    <row r="4370" ht="25.0" customHeight="true">
      <c r="A4370" t="s" s="2">
        <v>13</v>
      </c>
      <c r="B4370" t="s" s="2">
        <f>HYPERLINK("http://ts.21cn.com/tousu/show/id/1369341","神灯小贷恶意收取高额费用")</f>
      </c>
      <c r="C4370" t="s" s="2">
        <v>15</v>
      </c>
      <c r="D4370" t="s" s="2">
        <v>16</v>
      </c>
      <c r="E4370" t="s" s="2">
        <v>17</v>
      </c>
      <c r="F4370" t="s" s="2">
        <f>HYPERLINK("http://ts.21cn.com/tousu/show/id/1369341","http://ts.21cn.com/tousu/show/id/1369341")</f>
      </c>
      <c r="G4370" t="s" s="2">
        <v>17</v>
      </c>
      <c r="H4370" t="s" s="2">
        <v>19</v>
      </c>
      <c r="I4370" t="s" s="2">
        <v>17006</v>
      </c>
      <c r="J4370" t="s" s="2">
        <v>17007</v>
      </c>
      <c r="K4370" t="s" s="2">
        <v>22</v>
      </c>
      <c r="L4370" t="s" s="2">
        <v>22</v>
      </c>
      <c r="M4370" t="s" s="2">
        <v>22</v>
      </c>
    </row>
    <row r="4371" ht="25.0" customHeight="true">
      <c r="A4371" t="s" s="2">
        <v>13</v>
      </c>
      <c r="B4371" t="s" s="2">
        <f>HYPERLINK("http://ts.21cn.com/tousu/show/id/1369340","交通银行催收态度极其恶劣")</f>
      </c>
      <c r="C4371" t="s" s="2">
        <v>15</v>
      </c>
      <c r="D4371" t="s" s="2">
        <v>16</v>
      </c>
      <c r="E4371" t="s" s="2">
        <v>17</v>
      </c>
      <c r="F4371" t="s" s="2">
        <f>HYPERLINK("http://ts.21cn.com/tousu/show/id/1369340","http://ts.21cn.com/tousu/show/id/1369340")</f>
      </c>
      <c r="G4371" t="s" s="2">
        <v>17</v>
      </c>
      <c r="H4371" t="s" s="2">
        <v>19</v>
      </c>
      <c r="I4371" t="s" s="2">
        <v>17010</v>
      </c>
      <c r="J4371" t="s" s="2">
        <v>17011</v>
      </c>
      <c r="K4371" t="s" s="2">
        <v>22</v>
      </c>
      <c r="L4371" t="s" s="2">
        <v>22</v>
      </c>
      <c r="M4371" t="s" s="2">
        <v>22</v>
      </c>
    </row>
    <row r="4372" ht="25.0" customHeight="true">
      <c r="A4372" t="s" s="2">
        <v>13</v>
      </c>
      <c r="B4372" t="s" s="2">
        <f>HYPERLINK("http://ts.21cn.com/tousu/show/id/1369338","盗取用户个人信息")</f>
      </c>
      <c r="C4372" t="s" s="2">
        <v>15</v>
      </c>
      <c r="D4372" t="s" s="2">
        <v>16</v>
      </c>
      <c r="E4372" t="s" s="2">
        <v>17</v>
      </c>
      <c r="F4372" t="s" s="2">
        <f>HYPERLINK("http://ts.21cn.com/tousu/show/id/1369338","http://ts.21cn.com/tousu/show/id/1369338")</f>
      </c>
      <c r="G4372" t="s" s="2">
        <v>17</v>
      </c>
      <c r="H4372" t="s" s="2">
        <v>19</v>
      </c>
      <c r="I4372" t="s" s="2">
        <v>17014</v>
      </c>
      <c r="J4372" t="s" s="2">
        <v>17015</v>
      </c>
      <c r="K4372" t="s" s="2">
        <v>22</v>
      </c>
      <c r="L4372" t="s" s="2">
        <v>22</v>
      </c>
      <c r="M4372" t="s" s="2">
        <v>22</v>
      </c>
    </row>
    <row r="4373" ht="25.0" customHeight="true">
      <c r="A4373" t="s" s="2">
        <v>13</v>
      </c>
      <c r="B4373" t="s" s="2">
        <f>HYPERLINK("http://ts.21cn.com/tousu/show/id/1369337","赔偿损失")</f>
      </c>
      <c r="C4373" t="s" s="2">
        <v>52</v>
      </c>
      <c r="D4373" t="s" s="2">
        <v>16</v>
      </c>
      <c r="E4373" t="s" s="2">
        <v>17</v>
      </c>
      <c r="F4373" t="s" s="2">
        <f>HYPERLINK("http://ts.21cn.com/tousu/show/id/1369337","http://ts.21cn.com/tousu/show/id/1369337")</f>
      </c>
      <c r="G4373" t="s" s="2">
        <v>17</v>
      </c>
      <c r="H4373" t="s" s="2">
        <v>19</v>
      </c>
      <c r="I4373" t="s" s="2">
        <v>17018</v>
      </c>
      <c r="J4373" t="s" s="2">
        <v>17019</v>
      </c>
      <c r="K4373" t="s" s="2">
        <v>22</v>
      </c>
      <c r="L4373" t="s" s="2">
        <v>22</v>
      </c>
      <c r="M4373" t="s" s="2">
        <v>22</v>
      </c>
    </row>
    <row r="4374" ht="25.0" customHeight="true">
      <c r="A4374" t="s" s="2">
        <v>13</v>
      </c>
      <c r="B4374" t="s" s="2">
        <f>HYPERLINK("http://ts.21cn.com/tousu/show/id/1369336","暴力催收威胁恐吓")</f>
      </c>
      <c r="C4374" t="s" s="2">
        <v>15</v>
      </c>
      <c r="D4374" t="s" s="2">
        <v>16</v>
      </c>
      <c r="E4374" t="s" s="2">
        <v>17</v>
      </c>
      <c r="F4374" t="s" s="2">
        <f>HYPERLINK("http://ts.21cn.com/tousu/show/id/1369336","http://ts.21cn.com/tousu/show/id/1369336")</f>
      </c>
      <c r="G4374" t="s" s="2">
        <v>17</v>
      </c>
      <c r="H4374" t="s" s="2">
        <v>19</v>
      </c>
      <c r="I4374" t="s" s="2">
        <v>17021</v>
      </c>
      <c r="J4374" t="s" s="2">
        <v>17022</v>
      </c>
      <c r="K4374" t="s" s="2">
        <v>22</v>
      </c>
      <c r="L4374" t="s" s="2">
        <v>22</v>
      </c>
      <c r="M4374" t="s" s="2">
        <v>22</v>
      </c>
    </row>
    <row r="4375" ht="25.0" customHeight="true">
      <c r="A4375" t="s" s="2">
        <v>13</v>
      </c>
      <c r="B4375" t="s" s="2">
        <f>HYPERLINK("http://ts.21cn.com/tousu/show/id/1369335","高利贷")</f>
      </c>
      <c r="C4375" t="s" s="2">
        <v>15</v>
      </c>
      <c r="D4375" t="s" s="2">
        <v>16</v>
      </c>
      <c r="E4375" t="s" s="2">
        <v>17</v>
      </c>
      <c r="F4375" t="s" s="2">
        <f>HYPERLINK("http://ts.21cn.com/tousu/show/id/1369335","http://ts.21cn.com/tousu/show/id/1369335")</f>
      </c>
      <c r="G4375" t="s" s="2">
        <v>17</v>
      </c>
      <c r="H4375" t="s" s="2">
        <v>19</v>
      </c>
      <c r="I4375" t="s" s="2">
        <v>17024</v>
      </c>
      <c r="J4375" t="s" s="2">
        <v>17025</v>
      </c>
      <c r="K4375" t="s" s="2">
        <v>22</v>
      </c>
      <c r="L4375" t="s" s="2">
        <v>22</v>
      </c>
      <c r="M4375" t="s" s="2">
        <v>22</v>
      </c>
    </row>
    <row r="4376" ht="25.0" customHeight="true">
      <c r="A4376" t="s" s="2">
        <v>13</v>
      </c>
      <c r="B4376" t="s" s="2">
        <f>HYPERLINK("http://ts.21cn.com/tousu/show/id/1369300","建设银行“充值兑卡金秋季”活动中网站出错，拒不解决客户反馈的问题，诱导客户重复多消费")</f>
      </c>
      <c r="C4376" t="s" s="2">
        <v>15</v>
      </c>
      <c r="D4376" t="s" s="2">
        <v>16</v>
      </c>
      <c r="E4376" t="s" s="2">
        <v>17</v>
      </c>
      <c r="F4376" t="s" s="2">
        <f>HYPERLINK("http://ts.21cn.com/tousu/show/id/1369300","http://ts.21cn.com/tousu/show/id/1369300")</f>
      </c>
      <c r="G4376" t="s" s="2">
        <v>17</v>
      </c>
      <c r="H4376" t="s" s="2">
        <v>19</v>
      </c>
      <c r="I4376" t="s" s="2">
        <v>17028</v>
      </c>
      <c r="J4376" t="s" s="2">
        <v>17029</v>
      </c>
      <c r="K4376" t="s" s="2">
        <v>22</v>
      </c>
      <c r="L4376" t="s" s="2">
        <v>22</v>
      </c>
      <c r="M4376" t="s" s="2">
        <v>22</v>
      </c>
    </row>
    <row r="4377" ht="25.0" customHeight="true">
      <c r="A4377" t="s" s="2">
        <v>13</v>
      </c>
      <c r="B4377" t="s" s="2">
        <f>HYPERLINK("http://ts.21cn.com/tousu/show/id/1369334","京东商城商家拦截货物")</f>
      </c>
      <c r="C4377" t="s" s="2">
        <v>52</v>
      </c>
      <c r="D4377" t="s" s="2">
        <v>16</v>
      </c>
      <c r="E4377" t="s" s="2">
        <v>17</v>
      </c>
      <c r="F4377" t="s" s="2">
        <f>HYPERLINK("http://ts.21cn.com/tousu/show/id/1369334","http://ts.21cn.com/tousu/show/id/1369334")</f>
      </c>
      <c r="G4377" t="s" s="2">
        <v>17</v>
      </c>
      <c r="H4377" t="s" s="2">
        <v>19</v>
      </c>
      <c r="I4377" t="s" s="2">
        <v>17032</v>
      </c>
      <c r="J4377" t="s" s="2">
        <v>17033</v>
      </c>
      <c r="K4377" t="s" s="2">
        <v>22</v>
      </c>
      <c r="L4377" t="s" s="2">
        <v>22</v>
      </c>
      <c r="M4377" t="s" s="2">
        <v>22</v>
      </c>
    </row>
    <row r="4378" ht="25.0" customHeight="true">
      <c r="A4378" t="s" s="2">
        <v>13</v>
      </c>
      <c r="B4378" t="s" s="2">
        <f>HYPERLINK("http://ts.21cn.com/tousu/show/id/1369333","电话骚扰")</f>
      </c>
      <c r="C4378" t="s" s="2">
        <v>15</v>
      </c>
      <c r="D4378" t="s" s="2">
        <v>16</v>
      </c>
      <c r="E4378" t="s" s="2">
        <v>17</v>
      </c>
      <c r="F4378" t="s" s="2">
        <f>HYPERLINK("http://ts.21cn.com/tousu/show/id/1369333","http://ts.21cn.com/tousu/show/id/1369333")</f>
      </c>
      <c r="G4378" t="s" s="2">
        <v>17</v>
      </c>
      <c r="H4378" t="s" s="2">
        <v>19</v>
      </c>
      <c r="I4378" t="s" s="2">
        <v>17035</v>
      </c>
      <c r="J4378" t="s" s="2">
        <v>17036</v>
      </c>
      <c r="K4378" t="s" s="2">
        <v>22</v>
      </c>
      <c r="L4378" t="s" s="2">
        <v>22</v>
      </c>
      <c r="M4378" t="s" s="2">
        <v>22</v>
      </c>
    </row>
    <row r="4379" ht="25.0" customHeight="true">
      <c r="A4379" t="s" s="2">
        <v>13</v>
      </c>
      <c r="B4379" t="s" s="2">
        <f>HYPERLINK("http://ts.21cn.com/tousu/show/id/1369331","连城分期三天超利贷快捷通支付提供的支付平台服务")</f>
      </c>
      <c r="C4379" t="s" s="2">
        <v>15</v>
      </c>
      <c r="D4379" t="s" s="2">
        <v>16</v>
      </c>
      <c r="E4379" t="s" s="2">
        <v>17</v>
      </c>
      <c r="F4379" t="s" s="2">
        <f>HYPERLINK("http://ts.21cn.com/tousu/show/id/1369331","http://ts.21cn.com/tousu/show/id/1369331")</f>
      </c>
      <c r="G4379" t="s" s="2">
        <v>17</v>
      </c>
      <c r="H4379" t="s" s="2">
        <v>19</v>
      </c>
      <c r="I4379" t="s" s="2">
        <v>17039</v>
      </c>
      <c r="J4379" t="s" s="2">
        <v>17040</v>
      </c>
      <c r="K4379" t="s" s="2">
        <v>22</v>
      </c>
      <c r="L4379" t="s" s="2">
        <v>22</v>
      </c>
      <c r="M4379" t="s" s="2">
        <v>22</v>
      </c>
    </row>
    <row r="4380" ht="25.0" customHeight="true">
      <c r="A4380" t="s" s="2">
        <v>13</v>
      </c>
      <c r="B4380" t="s" s="2">
        <f>HYPERLINK("http://ts.21cn.com/tousu/show/id/1369329","《大麦网》霸道规则，不实承诺")</f>
      </c>
      <c r="C4380" t="s" s="2">
        <v>15</v>
      </c>
      <c r="D4380" t="s" s="2">
        <v>16</v>
      </c>
      <c r="E4380" t="s" s="2">
        <v>17</v>
      </c>
      <c r="F4380" t="s" s="2">
        <f>HYPERLINK("http://ts.21cn.com/tousu/show/id/1369329","http://ts.21cn.com/tousu/show/id/1369329")</f>
      </c>
      <c r="G4380" t="s" s="2">
        <v>17</v>
      </c>
      <c r="H4380" t="s" s="2">
        <v>19</v>
      </c>
      <c r="I4380" t="s" s="2">
        <v>17043</v>
      </c>
      <c r="J4380" t="s" s="2">
        <v>17044</v>
      </c>
      <c r="K4380" t="s" s="2">
        <v>22</v>
      </c>
      <c r="L4380" t="s" s="2">
        <v>22</v>
      </c>
      <c r="M4380" t="s" s="2">
        <v>22</v>
      </c>
    </row>
    <row r="4381" ht="25.0" customHeight="true">
      <c r="A4381" t="s" s="2">
        <v>13</v>
      </c>
      <c r="B4381" t="s" s="2">
        <f>HYPERLINK("http://ts.21cn.com/tousu/show/id/1369330","威胁，恐吓")</f>
      </c>
      <c r="C4381" t="s" s="2">
        <v>15</v>
      </c>
      <c r="D4381" t="s" s="2">
        <v>16</v>
      </c>
      <c r="E4381" t="s" s="2">
        <v>17</v>
      </c>
      <c r="F4381" t="s" s="2">
        <f>HYPERLINK("http://ts.21cn.com/tousu/show/id/1369330","http://ts.21cn.com/tousu/show/id/1369330")</f>
      </c>
      <c r="G4381" t="s" s="2">
        <v>17</v>
      </c>
      <c r="H4381" t="s" s="2">
        <v>19</v>
      </c>
      <c r="I4381" t="s" s="2">
        <v>17047</v>
      </c>
      <c r="J4381" t="s" s="2">
        <v>17048</v>
      </c>
      <c r="K4381" t="s" s="2">
        <v>22</v>
      </c>
      <c r="L4381" t="s" s="2">
        <v>22</v>
      </c>
      <c r="M4381" t="s" s="2">
        <v>22</v>
      </c>
    </row>
    <row r="4382" ht="25.0" customHeight="true">
      <c r="A4382" t="s" s="2">
        <v>13</v>
      </c>
      <c r="B4382" t="s" s="2">
        <f>HYPERLINK("http://ts.21cn.com/tousu/show/id/1369327","钱站老友计划套路贷")</f>
      </c>
      <c r="C4382" t="s" s="2">
        <v>15</v>
      </c>
      <c r="D4382" t="s" s="2">
        <v>16</v>
      </c>
      <c r="E4382" t="s" s="2">
        <v>17</v>
      </c>
      <c r="F4382" t="s" s="2">
        <f>HYPERLINK("http://ts.21cn.com/tousu/show/id/1369327","http://ts.21cn.com/tousu/show/id/1369327")</f>
      </c>
      <c r="G4382" t="s" s="2">
        <v>17</v>
      </c>
      <c r="H4382" t="s" s="2">
        <v>19</v>
      </c>
      <c r="I4382" t="s" s="2">
        <v>17051</v>
      </c>
      <c r="J4382" t="s" s="2">
        <v>17052</v>
      </c>
      <c r="K4382" t="s" s="2">
        <v>22</v>
      </c>
      <c r="L4382" t="s" s="2">
        <v>22</v>
      </c>
      <c r="M4382" t="s" s="2">
        <v>22</v>
      </c>
    </row>
    <row r="4383" ht="25.0" customHeight="true">
      <c r="A4383" t="s" s="2">
        <v>13</v>
      </c>
      <c r="B4383" t="s" s="2">
        <f>HYPERLINK("http://ts.21cn.com/tousu/show/id/1369328","滴滴平台黑心黑肺")</f>
      </c>
      <c r="C4383" t="s" s="2">
        <v>15</v>
      </c>
      <c r="D4383" t="s" s="2">
        <v>16</v>
      </c>
      <c r="E4383" t="s" s="2">
        <v>17</v>
      </c>
      <c r="F4383" t="s" s="2">
        <f>HYPERLINK("http://ts.21cn.com/tousu/show/id/1369328","http://ts.21cn.com/tousu/show/id/1369328")</f>
      </c>
      <c r="G4383" t="s" s="2">
        <v>17</v>
      </c>
      <c r="H4383" t="s" s="2">
        <v>19</v>
      </c>
      <c r="I4383" t="s" s="2">
        <v>17051</v>
      </c>
      <c r="J4383" t="s" s="2">
        <v>17055</v>
      </c>
      <c r="K4383" t="s" s="2">
        <v>22</v>
      </c>
      <c r="L4383" t="s" s="2">
        <v>22</v>
      </c>
      <c r="M4383" t="s" s="2">
        <v>22</v>
      </c>
    </row>
    <row r="4384" ht="25.0" customHeight="true">
      <c r="A4384" t="s" s="2">
        <v>13</v>
      </c>
      <c r="B4384" t="s" s="2">
        <f>HYPERLINK("http://ts.21cn.com/tousu/show/id/1369326","禁止暴力催收")</f>
      </c>
      <c r="C4384" t="s" s="2">
        <v>15</v>
      </c>
      <c r="D4384" t="s" s="2">
        <v>16</v>
      </c>
      <c r="E4384" t="s" s="2">
        <v>17</v>
      </c>
      <c r="F4384" t="s" s="2">
        <f>HYPERLINK("http://ts.21cn.com/tousu/show/id/1369326","http://ts.21cn.com/tousu/show/id/1369326")</f>
      </c>
      <c r="G4384" t="s" s="2">
        <v>17</v>
      </c>
      <c r="H4384" t="s" s="2">
        <v>19</v>
      </c>
      <c r="I4384" t="s" s="2">
        <v>17058</v>
      </c>
      <c r="J4384" t="s" s="2">
        <v>17059</v>
      </c>
      <c r="K4384" t="s" s="2">
        <v>22</v>
      </c>
      <c r="L4384" t="s" s="2">
        <v>22</v>
      </c>
      <c r="M4384" t="s" s="2">
        <v>22</v>
      </c>
    </row>
    <row r="4385" ht="25.0" customHeight="true">
      <c r="A4385" t="s" s="2">
        <v>13</v>
      </c>
      <c r="B4385" t="s" s="2">
        <f>HYPERLINK("http://ts.21cn.com/tousu/show/id/1369325","车子被拖走，还要交车贷，私人物品也不给")</f>
      </c>
      <c r="C4385" t="s" s="2">
        <v>52</v>
      </c>
      <c r="D4385" t="s" s="2">
        <v>16</v>
      </c>
      <c r="E4385" t="s" s="2">
        <v>17</v>
      </c>
      <c r="F4385" t="s" s="2">
        <f>HYPERLINK("http://ts.21cn.com/tousu/show/id/1369325","http://ts.21cn.com/tousu/show/id/1369325")</f>
      </c>
      <c r="G4385" t="s" s="2">
        <v>17</v>
      </c>
      <c r="H4385" t="s" s="2">
        <v>19</v>
      </c>
      <c r="I4385" t="s" s="2">
        <v>17062</v>
      </c>
      <c r="J4385" t="s" s="2">
        <v>17063</v>
      </c>
      <c r="K4385" t="s" s="2">
        <v>22</v>
      </c>
      <c r="L4385" t="s" s="2">
        <v>22</v>
      </c>
      <c r="M4385" t="s" s="2">
        <v>22</v>
      </c>
    </row>
    <row r="4386" ht="25.0" customHeight="true">
      <c r="A4386" t="s" s="2">
        <v>13</v>
      </c>
      <c r="B4386" t="s" s="2">
        <f>HYPERLINK("http://ts.21cn.com/tousu/show/id/1369311","拼多多帮助妙蛙商城开通第三方通道收取套路费")</f>
      </c>
      <c r="C4386" t="s" s="2">
        <v>15</v>
      </c>
      <c r="D4386" t="s" s="2">
        <v>16</v>
      </c>
      <c r="E4386" t="s" s="2">
        <v>17</v>
      </c>
      <c r="F4386" t="s" s="2">
        <f>HYPERLINK("http://ts.21cn.com/tousu/show/id/1369311","http://ts.21cn.com/tousu/show/id/1369311")</f>
      </c>
      <c r="G4386" t="s" s="2">
        <v>17</v>
      </c>
      <c r="H4386" t="s" s="2">
        <v>19</v>
      </c>
      <c r="I4386" t="s" s="2">
        <v>17066</v>
      </c>
      <c r="J4386" t="s" s="2">
        <v>17067</v>
      </c>
      <c r="K4386" t="s" s="2">
        <v>22</v>
      </c>
      <c r="L4386" t="s" s="2">
        <v>22</v>
      </c>
      <c r="M4386" t="s" s="2">
        <v>22</v>
      </c>
    </row>
    <row r="4387" ht="25.0" customHeight="true">
      <c r="A4387" t="s" s="2">
        <v>13</v>
      </c>
      <c r="B4387" t="s" s="2">
        <f>HYPERLINK("http://ts.21cn.com/tousu/show/id/1369324","玖富万卡套路贷，砍头收取高额利息，阴阳合同，暴力骚扰")</f>
      </c>
      <c r="C4387" t="s" s="2">
        <v>15</v>
      </c>
      <c r="D4387" t="s" s="2">
        <v>16</v>
      </c>
      <c r="E4387" t="s" s="2">
        <v>17</v>
      </c>
      <c r="F4387" t="s" s="2">
        <f>HYPERLINK("http://ts.21cn.com/tousu/show/id/1369324","http://ts.21cn.com/tousu/show/id/1369324")</f>
      </c>
      <c r="G4387" t="s" s="2">
        <v>17</v>
      </c>
      <c r="H4387" t="s" s="2">
        <v>19</v>
      </c>
      <c r="I4387" t="s" s="2">
        <v>17070</v>
      </c>
      <c r="J4387" t="s" s="2">
        <v>17071</v>
      </c>
      <c r="K4387" t="s" s="2">
        <v>22</v>
      </c>
      <c r="L4387" t="s" s="2">
        <v>22</v>
      </c>
      <c r="M4387" t="s" s="2">
        <v>22</v>
      </c>
    </row>
    <row r="4388" ht="25.0" customHeight="true">
      <c r="A4388" t="s" s="2">
        <v>13</v>
      </c>
      <c r="B4388" t="s" s="2">
        <f>HYPERLINK("http://ts.21cn.com/tousu/show/id/1369322","阳光保险")</f>
      </c>
      <c r="C4388" t="s" s="2">
        <v>15</v>
      </c>
      <c r="D4388" t="s" s="2">
        <v>16</v>
      </c>
      <c r="E4388" t="s" s="2">
        <v>17</v>
      </c>
      <c r="F4388" t="s" s="2">
        <f>HYPERLINK("http://ts.21cn.com/tousu/show/id/1369322","http://ts.21cn.com/tousu/show/id/1369322")</f>
      </c>
      <c r="G4388" t="s" s="2">
        <v>17</v>
      </c>
      <c r="H4388" t="s" s="2">
        <v>19</v>
      </c>
      <c r="I4388" t="s" s="2">
        <v>17074</v>
      </c>
      <c r="J4388" t="s" s="2">
        <v>17075</v>
      </c>
      <c r="K4388" t="s" s="2">
        <v>22</v>
      </c>
      <c r="L4388" t="s" s="2">
        <v>22</v>
      </c>
      <c r="M4388" t="s" s="2">
        <v>22</v>
      </c>
    </row>
    <row r="4389" ht="25.0" customHeight="true">
      <c r="A4389" t="s" s="2">
        <v>13</v>
      </c>
      <c r="B4389" t="s" s="2">
        <f>HYPERLINK("http://ts.21cn.com/tousu/show/id/1369321","投诉小花钱包暴力催收")</f>
      </c>
      <c r="C4389" t="s" s="2">
        <v>15</v>
      </c>
      <c r="D4389" t="s" s="2">
        <v>16</v>
      </c>
      <c r="E4389" t="s" s="2">
        <v>17</v>
      </c>
      <c r="F4389" t="s" s="2">
        <f>HYPERLINK("http://ts.21cn.com/tousu/show/id/1369321","http://ts.21cn.com/tousu/show/id/1369321")</f>
      </c>
      <c r="G4389" t="s" s="2">
        <v>17</v>
      </c>
      <c r="H4389" t="s" s="2">
        <v>19</v>
      </c>
      <c r="I4389" t="s" s="2">
        <v>17078</v>
      </c>
      <c r="J4389" t="s" s="2">
        <v>17079</v>
      </c>
      <c r="K4389" t="s" s="2">
        <v>22</v>
      </c>
      <c r="L4389" t="s" s="2">
        <v>22</v>
      </c>
      <c r="M4389" t="s" s="2">
        <v>22</v>
      </c>
    </row>
    <row r="4390" ht="25.0" customHeight="true">
      <c r="A4390" t="s" s="2">
        <v>13</v>
      </c>
      <c r="B4390" t="s" s="2">
        <f>HYPERLINK("http://ts.21cn.com/tousu/show/id/1369320","平安信用卡恶意催收")</f>
      </c>
      <c r="C4390" t="s" s="2">
        <v>15</v>
      </c>
      <c r="D4390" t="s" s="2">
        <v>16</v>
      </c>
      <c r="E4390" t="s" s="2">
        <v>17</v>
      </c>
      <c r="F4390" t="s" s="2">
        <f>HYPERLINK("http://ts.21cn.com/tousu/show/id/1369320","http://ts.21cn.com/tousu/show/id/1369320")</f>
      </c>
      <c r="G4390" t="s" s="2">
        <v>17</v>
      </c>
      <c r="H4390" t="s" s="2">
        <v>19</v>
      </c>
      <c r="I4390" t="s" s="2">
        <v>17082</v>
      </c>
      <c r="J4390" t="s" s="2">
        <v>17083</v>
      </c>
      <c r="K4390" t="s" s="2">
        <v>22</v>
      </c>
      <c r="L4390" t="s" s="2">
        <v>22</v>
      </c>
      <c r="M4390" t="s" s="2">
        <v>22</v>
      </c>
    </row>
    <row r="4391" ht="25.0" customHeight="true">
      <c r="A4391" t="s" s="2">
        <v>13</v>
      </c>
      <c r="B4391" t="s" s="2">
        <f>HYPERLINK("http://ts.21cn.com/tousu/show/id/1369319","卡卡计袋贷上钱APP暴力催收，骚扰家人朋友")</f>
      </c>
      <c r="C4391" t="s" s="2">
        <v>15</v>
      </c>
      <c r="D4391" t="s" s="2">
        <v>16</v>
      </c>
      <c r="E4391" t="s" s="2">
        <v>17</v>
      </c>
      <c r="F4391" t="s" s="2">
        <f>HYPERLINK("http://ts.21cn.com/tousu/show/id/1369319","http://ts.21cn.com/tousu/show/id/1369319")</f>
      </c>
      <c r="G4391" t="s" s="2">
        <v>17</v>
      </c>
      <c r="H4391" t="s" s="2">
        <v>19</v>
      </c>
      <c r="I4391" t="s" s="2">
        <v>17086</v>
      </c>
      <c r="J4391" t="s" s="2">
        <v>17087</v>
      </c>
      <c r="K4391" t="s" s="2">
        <v>22</v>
      </c>
      <c r="L4391" t="s" s="2">
        <v>22</v>
      </c>
      <c r="M4391" t="s" s="2">
        <v>22</v>
      </c>
    </row>
    <row r="4392" ht="25.0" customHeight="true">
      <c r="A4392" t="s" s="2">
        <v>13</v>
      </c>
      <c r="B4392" t="s" s="2">
        <f>HYPERLINK("http://ts.21cn.com/tousu/show/id/1369272","银钱包推广业务员虚假宣传")</f>
      </c>
      <c r="C4392" t="s" s="2">
        <v>15</v>
      </c>
      <c r="D4392" t="s" s="2">
        <v>16</v>
      </c>
      <c r="E4392" t="s" s="2">
        <v>17</v>
      </c>
      <c r="F4392" t="s" s="2">
        <f>HYPERLINK("http://ts.21cn.com/tousu/show/id/1369272","http://ts.21cn.com/tousu/show/id/1369272")</f>
      </c>
      <c r="G4392" t="s" s="2">
        <v>17</v>
      </c>
      <c r="H4392" t="s" s="2">
        <v>19</v>
      </c>
      <c r="I4392" t="s" s="2">
        <v>17090</v>
      </c>
      <c r="J4392" t="s" s="2">
        <v>17091</v>
      </c>
      <c r="K4392" t="s" s="2">
        <v>22</v>
      </c>
      <c r="L4392" t="s" s="2">
        <v>22</v>
      </c>
      <c r="M4392" t="s" s="2">
        <v>22</v>
      </c>
    </row>
    <row r="4393" ht="25.0" customHeight="true">
      <c r="A4393" t="s" s="2">
        <v>13</v>
      </c>
      <c r="B4393" t="s" s="2">
        <f>HYPERLINK("http://ts.21cn.com/tousu/show/id/1369323","你我贷暴力催收")</f>
      </c>
      <c r="C4393" t="s" s="2">
        <v>15</v>
      </c>
      <c r="D4393" t="s" s="2">
        <v>16</v>
      </c>
      <c r="E4393" t="s" s="2">
        <v>17</v>
      </c>
      <c r="F4393" t="s" s="2">
        <f>HYPERLINK("http://ts.21cn.com/tousu/show/id/1369323","http://ts.21cn.com/tousu/show/id/1369323")</f>
      </c>
      <c r="G4393" t="s" s="2">
        <v>17</v>
      </c>
      <c r="H4393" t="s" s="2">
        <v>19</v>
      </c>
      <c r="I4393" t="s" s="2">
        <v>17090</v>
      </c>
      <c r="J4393" t="s" s="2">
        <v>17093</v>
      </c>
      <c r="K4393" t="s" s="2">
        <v>22</v>
      </c>
      <c r="L4393" t="s" s="2">
        <v>22</v>
      </c>
      <c r="M4393" t="s" s="2">
        <v>22</v>
      </c>
    </row>
    <row r="4394" ht="25.0" customHeight="true">
      <c r="A4394" t="s" s="2">
        <v>13</v>
      </c>
      <c r="B4394" t="s" s="2">
        <f>HYPERLINK("http://ts.21cn.com/tousu/show/id/1369318","来分期上借2700还3400请问合理吗")</f>
      </c>
      <c r="C4394" t="s" s="2">
        <v>15</v>
      </c>
      <c r="D4394" t="s" s="2">
        <v>16</v>
      </c>
      <c r="E4394" t="s" s="2">
        <v>17</v>
      </c>
      <c r="F4394" t="s" s="2">
        <f>HYPERLINK("http://ts.21cn.com/tousu/show/id/1369318","http://ts.21cn.com/tousu/show/id/1369318")</f>
      </c>
      <c r="G4394" t="s" s="2">
        <v>17</v>
      </c>
      <c r="H4394" t="s" s="2">
        <v>19</v>
      </c>
      <c r="I4394" t="s" s="2">
        <v>17096</v>
      </c>
      <c r="J4394" t="s" s="2">
        <v>17097</v>
      </c>
      <c r="K4394" t="s" s="2">
        <v>22</v>
      </c>
      <c r="L4394" t="s" s="2">
        <v>22</v>
      </c>
      <c r="M4394" t="s" s="2">
        <v>22</v>
      </c>
    </row>
    <row r="4395" ht="25.0" customHeight="true">
      <c r="A4395" t="s" s="2">
        <v>13</v>
      </c>
      <c r="B4395" t="s" s="2">
        <f>HYPERLINK("http://ts.21cn.com/tousu/show/id/1369317","富友支付为714高炮小蘑菇提供支付通道")</f>
      </c>
      <c r="C4395" t="s" s="2">
        <v>52</v>
      </c>
      <c r="D4395" t="s" s="2">
        <v>16</v>
      </c>
      <c r="E4395" t="s" s="2">
        <v>17</v>
      </c>
      <c r="F4395" t="s" s="2">
        <f>HYPERLINK("http://ts.21cn.com/tousu/show/id/1369317","http://ts.21cn.com/tousu/show/id/1369317")</f>
      </c>
      <c r="G4395" t="s" s="2">
        <v>17</v>
      </c>
      <c r="H4395" t="s" s="2">
        <v>19</v>
      </c>
      <c r="I4395" t="s" s="2">
        <v>17100</v>
      </c>
      <c r="J4395" t="s" s="2">
        <v>17101</v>
      </c>
      <c r="K4395" t="s" s="2">
        <v>22</v>
      </c>
      <c r="L4395" t="s" s="2">
        <v>22</v>
      </c>
      <c r="M4395" t="s" s="2">
        <v>22</v>
      </c>
    </row>
    <row r="4396" ht="25.0" customHeight="true">
      <c r="A4396" t="s" s="2">
        <v>13</v>
      </c>
      <c r="B4396" t="s" s="2">
        <f>HYPERLINK("http://ts.21cn.com/tousu/show/id/1369316","销账处理")</f>
      </c>
      <c r="C4396" t="s" s="2">
        <v>15</v>
      </c>
      <c r="D4396" t="s" s="2">
        <v>16</v>
      </c>
      <c r="E4396" t="s" s="2">
        <v>17</v>
      </c>
      <c r="F4396" t="s" s="2">
        <f>HYPERLINK("http://ts.21cn.com/tousu/show/id/1369316","http://ts.21cn.com/tousu/show/id/1369316")</f>
      </c>
      <c r="G4396" t="s" s="2">
        <v>17</v>
      </c>
      <c r="H4396" t="s" s="2">
        <v>19</v>
      </c>
      <c r="I4396" t="s" s="2">
        <v>17104</v>
      </c>
      <c r="J4396" t="s" s="2">
        <v>17105</v>
      </c>
      <c r="K4396" t="s" s="2">
        <v>22</v>
      </c>
      <c r="L4396" t="s" s="2">
        <v>22</v>
      </c>
      <c r="M4396" t="s" s="2">
        <v>22</v>
      </c>
    </row>
    <row r="4397" ht="25.0" customHeight="true">
      <c r="A4397" t="s" s="2">
        <v>13</v>
      </c>
      <c r="B4397" t="s" s="2">
        <f>HYPERLINK("http://ts.21cn.com/tousu/show/id/1369315","捷信金融在不知情的情况下购买了保险")</f>
      </c>
      <c r="C4397" t="s" s="2">
        <v>15</v>
      </c>
      <c r="D4397" t="s" s="2">
        <v>16</v>
      </c>
      <c r="E4397" t="s" s="2">
        <v>17</v>
      </c>
      <c r="F4397" t="s" s="2">
        <f>HYPERLINK("http://ts.21cn.com/tousu/show/id/1369315","http://ts.21cn.com/tousu/show/id/1369315")</f>
      </c>
      <c r="G4397" t="s" s="2">
        <v>17</v>
      </c>
      <c r="H4397" t="s" s="2">
        <v>19</v>
      </c>
      <c r="I4397" t="s" s="2">
        <v>17108</v>
      </c>
      <c r="J4397" t="s" s="2">
        <v>17109</v>
      </c>
      <c r="K4397" t="s" s="2">
        <v>22</v>
      </c>
      <c r="L4397" t="s" s="2">
        <v>22</v>
      </c>
      <c r="M4397" t="s" s="2">
        <v>22</v>
      </c>
    </row>
    <row r="4398" ht="25.0" customHeight="true">
      <c r="A4398" t="s" s="2">
        <v>13</v>
      </c>
      <c r="B4398" t="s" s="2">
        <f>HYPERLINK("http://ts.21cn.com/tousu/show/id/1369314","拍拍贷暴力催收严重扰乱我的生活")</f>
      </c>
      <c r="C4398" t="s" s="2">
        <v>15</v>
      </c>
      <c r="D4398" t="s" s="2">
        <v>16</v>
      </c>
      <c r="E4398" t="s" s="2">
        <v>17</v>
      </c>
      <c r="F4398" t="s" s="2">
        <f>HYPERLINK("http://ts.21cn.com/tousu/show/id/1369314","http://ts.21cn.com/tousu/show/id/1369314")</f>
      </c>
      <c r="G4398" t="s" s="2">
        <v>17</v>
      </c>
      <c r="H4398" t="s" s="2">
        <v>19</v>
      </c>
      <c r="I4398" t="s" s="2">
        <v>17112</v>
      </c>
      <c r="J4398" t="s" s="2">
        <v>17113</v>
      </c>
      <c r="K4398" t="s" s="2">
        <v>22</v>
      </c>
      <c r="L4398" t="s" s="2">
        <v>22</v>
      </c>
      <c r="M4398" t="s" s="2">
        <v>22</v>
      </c>
    </row>
    <row r="4399" ht="25.0" customHeight="true">
      <c r="A4399" t="s" s="2">
        <v>13</v>
      </c>
      <c r="B4399" t="s" s="2">
        <f>HYPERLINK("http://ts.21cn.com/tousu/show/id/1369313","账号让找回有证据交易猫都不管")</f>
      </c>
      <c r="C4399" t="s" s="2">
        <v>15</v>
      </c>
      <c r="D4399" t="s" s="2">
        <v>16</v>
      </c>
      <c r="E4399" t="s" s="2">
        <v>17</v>
      </c>
      <c r="F4399" t="s" s="2">
        <f>HYPERLINK("http://ts.21cn.com/tousu/show/id/1369313","http://ts.21cn.com/tousu/show/id/1369313")</f>
      </c>
      <c r="G4399" t="s" s="2">
        <v>17</v>
      </c>
      <c r="H4399" t="s" s="2">
        <v>19</v>
      </c>
      <c r="I4399" t="s" s="2">
        <v>17116</v>
      </c>
      <c r="J4399" t="s" s="2">
        <v>17117</v>
      </c>
      <c r="K4399" t="s" s="2">
        <v>22</v>
      </c>
      <c r="L4399" t="s" s="2">
        <v>22</v>
      </c>
      <c r="M4399" t="s" s="2">
        <v>22</v>
      </c>
    </row>
    <row r="4400" ht="25.0" customHeight="true">
      <c r="A4400" t="s" s="2">
        <v>13</v>
      </c>
      <c r="B4400" t="s" s="2">
        <f>HYPERLINK("http://ts.21cn.com/tousu/show/id/1369310","京东白条逾期后，逾期部分已还，一直打电话叫还全款，还发短信说发律师函")</f>
      </c>
      <c r="C4400" t="s" s="2">
        <v>52</v>
      </c>
      <c r="D4400" t="s" s="2">
        <v>16</v>
      </c>
      <c r="E4400" t="s" s="2">
        <v>17</v>
      </c>
      <c r="F4400" t="s" s="2">
        <f>HYPERLINK("http://ts.21cn.com/tousu/show/id/1369310","http://ts.21cn.com/tousu/show/id/1369310")</f>
      </c>
      <c r="G4400" t="s" s="2">
        <v>17</v>
      </c>
      <c r="H4400" t="s" s="2">
        <v>19</v>
      </c>
      <c r="I4400" t="s" s="2">
        <v>17120</v>
      </c>
      <c r="J4400" t="s" s="2">
        <v>17121</v>
      </c>
      <c r="K4400" t="s" s="2">
        <v>22</v>
      </c>
      <c r="L4400" t="s" s="2">
        <v>22</v>
      </c>
      <c r="M4400" t="s" s="2">
        <v>22</v>
      </c>
    </row>
    <row r="4401" ht="25.0" customHeight="true">
      <c r="A4401" t="s" s="2">
        <v>13</v>
      </c>
      <c r="B4401" t="s" s="2">
        <f>HYPERLINK("http://ts.21cn.com/tousu/show/id/1369136","哈喽出行助力车钓鱼收费")</f>
      </c>
      <c r="C4401" t="s" s="2">
        <v>15</v>
      </c>
      <c r="D4401" t="s" s="2">
        <v>16</v>
      </c>
      <c r="E4401" t="s" s="2">
        <v>17</v>
      </c>
      <c r="F4401" t="s" s="2">
        <f>HYPERLINK("http://ts.21cn.com/tousu/show/id/1369136","http://ts.21cn.com/tousu/show/id/1369136")</f>
      </c>
      <c r="G4401" t="s" s="2">
        <v>17</v>
      </c>
      <c r="H4401" t="s" s="2">
        <v>19</v>
      </c>
      <c r="I4401" t="s" s="2">
        <v>17124</v>
      </c>
      <c r="J4401" t="s" s="2">
        <v>17125</v>
      </c>
      <c r="K4401" t="s" s="2">
        <v>22</v>
      </c>
      <c r="L4401" t="s" s="2">
        <v>22</v>
      </c>
      <c r="M4401" t="s" s="2">
        <v>22</v>
      </c>
    </row>
    <row r="4402" ht="25.0" customHeight="true">
      <c r="A4402" t="s" s="2">
        <v>13</v>
      </c>
      <c r="B4402" t="s" s="2">
        <f>HYPERLINK("http://ts.21cn.com/tousu/show/id/1369308","暴力催收，合同欺诈，高利贷")</f>
      </c>
      <c r="C4402" t="s" s="2">
        <v>15</v>
      </c>
      <c r="D4402" t="s" s="2">
        <v>16</v>
      </c>
      <c r="E4402" t="s" s="2">
        <v>17</v>
      </c>
      <c r="F4402" t="s" s="2">
        <f>HYPERLINK("http://ts.21cn.com/tousu/show/id/1369308","http://ts.21cn.com/tousu/show/id/1369308")</f>
      </c>
      <c r="G4402" t="s" s="2">
        <v>17</v>
      </c>
      <c r="H4402" t="s" s="2">
        <v>19</v>
      </c>
      <c r="I4402" t="s" s="2">
        <v>17128</v>
      </c>
      <c r="J4402" t="s" s="2">
        <v>17129</v>
      </c>
      <c r="K4402" t="s" s="2">
        <v>22</v>
      </c>
      <c r="L4402" t="s" s="2">
        <v>22</v>
      </c>
      <c r="M4402" t="s" s="2">
        <v>22</v>
      </c>
    </row>
    <row r="4403" ht="25.0" customHeight="true">
      <c r="A4403" t="s" s="2">
        <v>13</v>
      </c>
      <c r="B4403" t="s" s="2">
        <f>HYPERLINK("http://ts.21cn.com/tousu/show/id/1369306","夸大宣传，各种套路，利用大众创业心理，诱导创业者加入会员，获取9800会员费，存在欺诈")</f>
      </c>
      <c r="C4403" t="s" s="2">
        <v>15</v>
      </c>
      <c r="D4403" t="s" s="2">
        <v>16</v>
      </c>
      <c r="E4403" t="s" s="2">
        <v>17</v>
      </c>
      <c r="F4403" t="s" s="2">
        <f>HYPERLINK("http://ts.21cn.com/tousu/show/id/1369306","http://ts.21cn.com/tousu/show/id/1369306")</f>
      </c>
      <c r="G4403" t="s" s="2">
        <v>17</v>
      </c>
      <c r="H4403" t="s" s="2">
        <v>19</v>
      </c>
      <c r="I4403" t="s" s="2">
        <v>17132</v>
      </c>
      <c r="J4403" t="s" s="2">
        <v>17133</v>
      </c>
      <c r="K4403" t="s" s="2">
        <v>22</v>
      </c>
      <c r="L4403" t="s" s="2">
        <v>22</v>
      </c>
      <c r="M4403" t="s" s="2">
        <v>22</v>
      </c>
    </row>
    <row r="4404" ht="25.0" customHeight="true">
      <c r="A4404" t="s" s="2">
        <v>13</v>
      </c>
      <c r="B4404" t="s" s="2">
        <f>HYPERLINK("http://ts.21cn.com/tousu/show/id/1369307","未经同意聚富分期开通免密支付，乱扣款")</f>
      </c>
      <c r="C4404" t="s" s="2">
        <v>15</v>
      </c>
      <c r="D4404" t="s" s="2">
        <v>16</v>
      </c>
      <c r="E4404" t="s" s="2">
        <v>17</v>
      </c>
      <c r="F4404" t="s" s="2">
        <f>HYPERLINK("http://ts.21cn.com/tousu/show/id/1369307","http://ts.21cn.com/tousu/show/id/1369307")</f>
      </c>
      <c r="G4404" t="s" s="2">
        <v>17</v>
      </c>
      <c r="H4404" t="s" s="2">
        <v>19</v>
      </c>
      <c r="I4404" t="s" s="2">
        <v>17136</v>
      </c>
      <c r="J4404" t="s" s="2">
        <v>17137</v>
      </c>
      <c r="K4404" t="s" s="2">
        <v>22</v>
      </c>
      <c r="L4404" t="s" s="2">
        <v>22</v>
      </c>
      <c r="M4404" t="s" s="2">
        <v>22</v>
      </c>
    </row>
    <row r="4405" ht="25.0" customHeight="true">
      <c r="A4405" t="s" s="2">
        <v>13</v>
      </c>
      <c r="B4405" t="s" s="2">
        <f>HYPERLINK("http://ts.21cn.com/tousu/show/id/1369262","宜信惠民高额砍头息")</f>
      </c>
      <c r="C4405" t="s" s="2">
        <v>15</v>
      </c>
      <c r="D4405" t="s" s="2">
        <v>16</v>
      </c>
      <c r="E4405" t="s" s="2">
        <v>17</v>
      </c>
      <c r="F4405" t="s" s="2">
        <f>HYPERLINK("http://ts.21cn.com/tousu/show/id/1369262","http://ts.21cn.com/tousu/show/id/1369262")</f>
      </c>
      <c r="G4405" t="s" s="2">
        <v>17</v>
      </c>
      <c r="H4405" t="s" s="2">
        <v>19</v>
      </c>
      <c r="I4405" t="s" s="2">
        <v>17139</v>
      </c>
      <c r="J4405" t="s" s="2">
        <v>17140</v>
      </c>
      <c r="K4405" t="s" s="2">
        <v>22</v>
      </c>
      <c r="L4405" t="s" s="2">
        <v>22</v>
      </c>
      <c r="M4405" t="s" s="2">
        <v>22</v>
      </c>
    </row>
    <row r="4406" ht="25.0" customHeight="true">
      <c r="A4406" t="s" s="2">
        <v>13</v>
      </c>
      <c r="B4406" t="s" s="2">
        <f>HYPERLINK("http://ts.21cn.com/tousu/show/id/1369305","炒菜火大，涂层就坏的锅")</f>
      </c>
      <c r="C4406" t="s" s="2">
        <v>15</v>
      </c>
      <c r="D4406" t="s" s="2">
        <v>16</v>
      </c>
      <c r="E4406" t="s" s="2">
        <v>17</v>
      </c>
      <c r="F4406" t="s" s="2">
        <f>HYPERLINK("http://ts.21cn.com/tousu/show/id/1369305","http://ts.21cn.com/tousu/show/id/1369305")</f>
      </c>
      <c r="G4406" t="s" s="2">
        <v>17</v>
      </c>
      <c r="H4406" t="s" s="2">
        <v>19</v>
      </c>
      <c r="I4406" t="s" s="2">
        <v>17143</v>
      </c>
      <c r="J4406" t="s" s="2">
        <v>17144</v>
      </c>
      <c r="K4406" t="s" s="2">
        <v>22</v>
      </c>
      <c r="L4406" t="s" s="2">
        <v>22</v>
      </c>
      <c r="M4406" t="s" s="2">
        <v>22</v>
      </c>
    </row>
    <row r="4407" ht="25.0" customHeight="true">
      <c r="A4407" t="s" s="2">
        <v>13</v>
      </c>
      <c r="B4407" t="s" s="2">
        <f>HYPERLINK("http://ts.21cn.com/tousu/show/id/1369304","花花乐")</f>
      </c>
      <c r="C4407" t="s" s="2">
        <v>15</v>
      </c>
      <c r="D4407" t="s" s="2">
        <v>16</v>
      </c>
      <c r="E4407" t="s" s="2">
        <v>17</v>
      </c>
      <c r="F4407" t="s" s="2">
        <f>HYPERLINK("http://ts.21cn.com/tousu/show/id/1369304","http://ts.21cn.com/tousu/show/id/1369304")</f>
      </c>
      <c r="G4407" t="s" s="2">
        <v>17</v>
      </c>
      <c r="H4407" t="s" s="2">
        <v>19</v>
      </c>
      <c r="I4407" t="s" s="2">
        <v>17147</v>
      </c>
      <c r="J4407" t="s" s="2">
        <v>17148</v>
      </c>
      <c r="K4407" t="s" s="2">
        <v>22</v>
      </c>
      <c r="L4407" t="s" s="2">
        <v>22</v>
      </c>
      <c r="M4407" t="s" s="2">
        <v>22</v>
      </c>
    </row>
    <row r="4408" ht="25.0" customHeight="true">
      <c r="A4408" t="s" s="2">
        <v>13</v>
      </c>
      <c r="B4408" t="s" s="2">
        <f>HYPERLINK("http://ts.21cn.com/tousu/show/id/1369303","兴业银行全额套路催收")</f>
      </c>
      <c r="C4408" t="s" s="2">
        <v>15</v>
      </c>
      <c r="D4408" t="s" s="2">
        <v>16</v>
      </c>
      <c r="E4408" t="s" s="2">
        <v>17</v>
      </c>
      <c r="F4408" t="s" s="2">
        <f>HYPERLINK("http://ts.21cn.com/tousu/show/id/1369303","http://ts.21cn.com/tousu/show/id/1369303")</f>
      </c>
      <c r="G4408" t="s" s="2">
        <v>17</v>
      </c>
      <c r="H4408" t="s" s="2">
        <v>19</v>
      </c>
      <c r="I4408" t="s" s="2">
        <v>17151</v>
      </c>
      <c r="J4408" t="s" s="2">
        <v>17152</v>
      </c>
      <c r="K4408" t="s" s="2">
        <v>22</v>
      </c>
      <c r="L4408" t="s" s="2">
        <v>22</v>
      </c>
      <c r="M4408" t="s" s="2">
        <v>22</v>
      </c>
    </row>
    <row r="4409" ht="25.0" customHeight="true">
      <c r="A4409" t="s" s="2">
        <v>13</v>
      </c>
      <c r="B4409" t="s" s="2">
        <f>HYPERLINK("http://ts.21cn.com/tousu/show/id/1369312","小黑鱼点心贷强制买保险500元，咨询客服还不给退款")</f>
      </c>
      <c r="C4409" t="s" s="2">
        <v>15</v>
      </c>
      <c r="D4409" t="s" s="2">
        <v>16</v>
      </c>
      <c r="E4409" t="s" s="2">
        <v>17</v>
      </c>
      <c r="F4409" t="s" s="2">
        <f>HYPERLINK("http://ts.21cn.com/tousu/show/id/1369312","http://ts.21cn.com/tousu/show/id/1369312")</f>
      </c>
      <c r="G4409" t="s" s="2">
        <v>17</v>
      </c>
      <c r="H4409" t="s" s="2">
        <v>19</v>
      </c>
      <c r="I4409" t="s" s="2">
        <v>17155</v>
      </c>
      <c r="J4409" t="s" s="2">
        <v>17156</v>
      </c>
      <c r="K4409" t="s" s="2">
        <v>22</v>
      </c>
      <c r="L4409" t="s" s="2">
        <v>22</v>
      </c>
      <c r="M4409" t="s" s="2">
        <v>22</v>
      </c>
    </row>
    <row r="4410" ht="25.0" customHeight="true">
      <c r="A4410" t="s" s="2">
        <v>13</v>
      </c>
      <c r="B4410" t="s" s="2">
        <f>HYPERLINK("http://ts.21cn.com/tousu/show/id/1369309","平安普惠暴力催收，反应无果，外包三方威胁")</f>
      </c>
      <c r="C4410" t="s" s="2">
        <v>15</v>
      </c>
      <c r="D4410" t="s" s="2">
        <v>16</v>
      </c>
      <c r="E4410" t="s" s="2">
        <v>17</v>
      </c>
      <c r="F4410" t="s" s="2">
        <f>HYPERLINK("http://ts.21cn.com/tousu/show/id/1369309","http://ts.21cn.com/tousu/show/id/1369309")</f>
      </c>
      <c r="G4410" t="s" s="2">
        <v>17</v>
      </c>
      <c r="H4410" t="s" s="2">
        <v>19</v>
      </c>
      <c r="I4410" t="s" s="2">
        <v>17155</v>
      </c>
      <c r="J4410" t="s" s="2">
        <v>17159</v>
      </c>
      <c r="K4410" t="s" s="2">
        <v>22</v>
      </c>
      <c r="L4410" t="s" s="2">
        <v>22</v>
      </c>
      <c r="M4410" t="s" s="2">
        <v>22</v>
      </c>
    </row>
    <row r="4411" ht="25.0" customHeight="true">
      <c r="A4411" t="s" s="2">
        <v>13</v>
      </c>
      <c r="B4411" t="s" s="2">
        <f>HYPERLINK("http://ts.21cn.com/tousu/show/id/1369302","闪银以担保为由收取砍头息以及高额利息")</f>
      </c>
      <c r="C4411" t="s" s="2">
        <v>15</v>
      </c>
      <c r="D4411" t="s" s="2">
        <v>16</v>
      </c>
      <c r="E4411" t="s" s="2">
        <v>17</v>
      </c>
      <c r="F4411" t="s" s="2">
        <f>HYPERLINK("http://ts.21cn.com/tousu/show/id/1369302","http://ts.21cn.com/tousu/show/id/1369302")</f>
      </c>
      <c r="G4411" t="s" s="2">
        <v>17</v>
      </c>
      <c r="H4411" t="s" s="2">
        <v>19</v>
      </c>
      <c r="I4411" t="s" s="2">
        <v>17162</v>
      </c>
      <c r="J4411" t="s" s="2">
        <v>17163</v>
      </c>
      <c r="K4411" t="s" s="2">
        <v>22</v>
      </c>
      <c r="L4411" t="s" s="2">
        <v>22</v>
      </c>
      <c r="M4411" t="s" s="2">
        <v>22</v>
      </c>
    </row>
    <row r="4412" ht="25.0" customHeight="true">
      <c r="A4412" t="s" s="2">
        <v>13</v>
      </c>
      <c r="B4412" t="s" s="2">
        <f>HYPERLINK("http://ts.21cn.com/tousu/show/id/1369301","高利贷")</f>
      </c>
      <c r="C4412" t="s" s="2">
        <v>15</v>
      </c>
      <c r="D4412" t="s" s="2">
        <v>16</v>
      </c>
      <c r="E4412" t="s" s="2">
        <v>17</v>
      </c>
      <c r="F4412" t="s" s="2">
        <f>HYPERLINK("http://ts.21cn.com/tousu/show/id/1369301","http://ts.21cn.com/tousu/show/id/1369301")</f>
      </c>
      <c r="G4412" t="s" s="2">
        <v>17</v>
      </c>
      <c r="H4412" t="s" s="2">
        <v>19</v>
      </c>
      <c r="I4412" t="s" s="2">
        <v>17165</v>
      </c>
      <c r="J4412" t="s" s="2">
        <v>17166</v>
      </c>
      <c r="K4412" t="s" s="2">
        <v>22</v>
      </c>
      <c r="L4412" t="s" s="2">
        <v>22</v>
      </c>
      <c r="M4412" t="s" s="2">
        <v>22</v>
      </c>
    </row>
    <row r="4413" ht="25.0" customHeight="true">
      <c r="A4413" t="s" s="2">
        <v>13</v>
      </c>
      <c r="B4413" t="s" s="2">
        <f>HYPERLINK("http://ts.21cn.com/tousu/show/id/1369299","建设银行")</f>
      </c>
      <c r="C4413" t="s" s="2">
        <v>15</v>
      </c>
      <c r="D4413" t="s" s="2">
        <v>16</v>
      </c>
      <c r="E4413" t="s" s="2">
        <v>17</v>
      </c>
      <c r="F4413" t="s" s="2">
        <f>HYPERLINK("http://ts.21cn.com/tousu/show/id/1369299","http://ts.21cn.com/tousu/show/id/1369299")</f>
      </c>
      <c r="G4413" t="s" s="2">
        <v>17</v>
      </c>
      <c r="H4413" t="s" s="2">
        <v>19</v>
      </c>
      <c r="I4413" t="s" s="2">
        <v>17169</v>
      </c>
      <c r="J4413" t="s" s="2">
        <v>17170</v>
      </c>
      <c r="K4413" t="s" s="2">
        <v>22</v>
      </c>
      <c r="L4413" t="s" s="2">
        <v>22</v>
      </c>
      <c r="M4413" t="s" s="2">
        <v>22</v>
      </c>
    </row>
    <row r="4414" ht="25.0" customHeight="true">
      <c r="A4414" t="s" s="2">
        <v>13</v>
      </c>
      <c r="B4414" t="s" s="2">
        <f>HYPERLINK("http://ts.21cn.com/tousu/show/id/1369298","暴力催收威胁")</f>
      </c>
      <c r="C4414" t="s" s="2">
        <v>15</v>
      </c>
      <c r="D4414" t="s" s="2">
        <v>16</v>
      </c>
      <c r="E4414" t="s" s="2">
        <v>17</v>
      </c>
      <c r="F4414" t="s" s="2">
        <f>HYPERLINK("http://ts.21cn.com/tousu/show/id/1369298","http://ts.21cn.com/tousu/show/id/1369298")</f>
      </c>
      <c r="G4414" t="s" s="2">
        <v>17</v>
      </c>
      <c r="H4414" t="s" s="2">
        <v>19</v>
      </c>
      <c r="I4414" t="s" s="2">
        <v>17172</v>
      </c>
      <c r="J4414" t="s" s="2">
        <v>17173</v>
      </c>
      <c r="K4414" t="s" s="2">
        <v>22</v>
      </c>
      <c r="L4414" t="s" s="2">
        <v>22</v>
      </c>
      <c r="M4414" t="s" s="2">
        <v>22</v>
      </c>
    </row>
    <row r="4415" ht="25.0" customHeight="true">
      <c r="A4415" t="s" s="2">
        <v>13</v>
      </c>
      <c r="B4415" t="s" s="2">
        <f>HYPERLINK("http://ts.21cn.com/tousu/show/id/1369297","民航联盟总统卡功能与销售人员解释的不一样")</f>
      </c>
      <c r="C4415" t="s" s="2">
        <v>15</v>
      </c>
      <c r="D4415" t="s" s="2">
        <v>16</v>
      </c>
      <c r="E4415" t="s" s="2">
        <v>17</v>
      </c>
      <c r="F4415" t="s" s="2">
        <f>HYPERLINK("http://ts.21cn.com/tousu/show/id/1369297","http://ts.21cn.com/tousu/show/id/1369297")</f>
      </c>
      <c r="G4415" t="s" s="2">
        <v>17</v>
      </c>
      <c r="H4415" t="s" s="2">
        <v>19</v>
      </c>
      <c r="I4415" t="s" s="2">
        <v>17176</v>
      </c>
      <c r="J4415" t="s" s="2">
        <v>17177</v>
      </c>
      <c r="K4415" t="s" s="2">
        <v>22</v>
      </c>
      <c r="L4415" t="s" s="2">
        <v>22</v>
      </c>
      <c r="M4415" t="s" s="2">
        <v>22</v>
      </c>
    </row>
    <row r="4416" ht="25.0" customHeight="true">
      <c r="A4416" t="s" s="2">
        <v>13</v>
      </c>
      <c r="B4416" t="s" s="2">
        <f>HYPERLINK("http://ts.21cn.com/tousu/show/id/1369296","玖富万卡退差价，到现在没到帐，别忽悠了")</f>
      </c>
      <c r="C4416" t="s" s="2">
        <v>52</v>
      </c>
      <c r="D4416" t="s" s="2">
        <v>16</v>
      </c>
      <c r="E4416" t="s" s="2">
        <v>17</v>
      </c>
      <c r="F4416" t="s" s="2">
        <f>HYPERLINK("http://ts.21cn.com/tousu/show/id/1369296","http://ts.21cn.com/tousu/show/id/1369296")</f>
      </c>
      <c r="G4416" t="s" s="2">
        <v>17</v>
      </c>
      <c r="H4416" t="s" s="2">
        <v>19</v>
      </c>
      <c r="I4416" t="s" s="2">
        <v>17180</v>
      </c>
      <c r="J4416" t="s" s="2">
        <v>17181</v>
      </c>
      <c r="K4416" t="s" s="2">
        <v>22</v>
      </c>
      <c r="L4416" t="s" s="2">
        <v>22</v>
      </c>
      <c r="M4416" t="s" s="2">
        <v>22</v>
      </c>
    </row>
    <row r="4417" ht="25.0" customHeight="true">
      <c r="A4417" t="s" s="2">
        <v>13</v>
      </c>
      <c r="B4417" t="s" s="2">
        <f>HYPERLINK("http://ts.21cn.com/tousu/show/id/1369295","富友支付为714高炮秒到侠提供支付通道")</f>
      </c>
      <c r="C4417" t="s" s="2">
        <v>52</v>
      </c>
      <c r="D4417" t="s" s="2">
        <v>16</v>
      </c>
      <c r="E4417" t="s" s="2">
        <v>17</v>
      </c>
      <c r="F4417" t="s" s="2">
        <f>HYPERLINK("http://ts.21cn.com/tousu/show/id/1369295","http://ts.21cn.com/tousu/show/id/1369295")</f>
      </c>
      <c r="G4417" t="s" s="2">
        <v>17</v>
      </c>
      <c r="H4417" t="s" s="2">
        <v>19</v>
      </c>
      <c r="I4417" t="s" s="2">
        <v>17184</v>
      </c>
      <c r="J4417" t="s" s="2">
        <v>17185</v>
      </c>
      <c r="K4417" t="s" s="2">
        <v>22</v>
      </c>
      <c r="L4417" t="s" s="2">
        <v>22</v>
      </c>
      <c r="M4417" t="s" s="2">
        <v>22</v>
      </c>
    </row>
    <row r="4418" ht="25.0" customHeight="true">
      <c r="A4418" t="s" s="2">
        <v>13</v>
      </c>
      <c r="B4418" t="s" s="2">
        <f>HYPERLINK("http://ts.21cn.com/tousu/show/id/1369294","恶心读取通讯录，群发骚扰信息")</f>
      </c>
      <c r="C4418" t="s" s="2">
        <v>15</v>
      </c>
      <c r="D4418" t="s" s="2">
        <v>16</v>
      </c>
      <c r="E4418" t="s" s="2">
        <v>17</v>
      </c>
      <c r="F4418" t="s" s="2">
        <f>HYPERLINK("http://ts.21cn.com/tousu/show/id/1369294","http://ts.21cn.com/tousu/show/id/1369294")</f>
      </c>
      <c r="G4418" t="s" s="2">
        <v>17</v>
      </c>
      <c r="H4418" t="s" s="2">
        <v>19</v>
      </c>
      <c r="I4418" t="s" s="2">
        <v>17188</v>
      </c>
      <c r="J4418" t="s" s="2">
        <v>17189</v>
      </c>
      <c r="K4418" t="s" s="2">
        <v>22</v>
      </c>
      <c r="L4418" t="s" s="2">
        <v>22</v>
      </c>
      <c r="M4418" t="s" s="2">
        <v>22</v>
      </c>
    </row>
    <row r="4419" ht="25.0" customHeight="true">
      <c r="A4419" t="s" s="2">
        <v>13</v>
      </c>
      <c r="B4419" t="s" s="2">
        <f>HYPERLINK("http://ts.21cn.com/tousu/show/id/1369293","宜信公司高利贷阴阳合同本金还清骚扰亲朋")</f>
      </c>
      <c r="C4419" t="s" s="2">
        <v>15</v>
      </c>
      <c r="D4419" t="s" s="2">
        <v>16</v>
      </c>
      <c r="E4419" t="s" s="2">
        <v>17</v>
      </c>
      <c r="F4419" t="s" s="2">
        <f>HYPERLINK("http://ts.21cn.com/tousu/show/id/1369293","http://ts.21cn.com/tousu/show/id/1369293")</f>
      </c>
      <c r="G4419" t="s" s="2">
        <v>17</v>
      </c>
      <c r="H4419" t="s" s="2">
        <v>19</v>
      </c>
      <c r="I4419" t="s" s="2">
        <v>17192</v>
      </c>
      <c r="J4419" t="s" s="2">
        <v>17193</v>
      </c>
      <c r="K4419" t="s" s="2">
        <v>22</v>
      </c>
      <c r="L4419" t="s" s="2">
        <v>22</v>
      </c>
      <c r="M4419" t="s" s="2">
        <v>22</v>
      </c>
    </row>
    <row r="4420" ht="25.0" customHeight="true">
      <c r="A4420" t="s" s="2">
        <v>13</v>
      </c>
      <c r="B4420" t="s" s="2">
        <f>HYPERLINK("http://ts.21cn.com/tousu/show/id/1369292","恶意骚扰通讯录")</f>
      </c>
      <c r="C4420" t="s" s="2">
        <v>15</v>
      </c>
      <c r="D4420" t="s" s="2">
        <v>16</v>
      </c>
      <c r="E4420" t="s" s="2">
        <v>17</v>
      </c>
      <c r="F4420" t="s" s="2">
        <f>HYPERLINK("http://ts.21cn.com/tousu/show/id/1369292","http://ts.21cn.com/tousu/show/id/1369292")</f>
      </c>
      <c r="G4420" t="s" s="2">
        <v>17</v>
      </c>
      <c r="H4420" t="s" s="2">
        <v>19</v>
      </c>
      <c r="I4420" t="s" s="2">
        <v>17196</v>
      </c>
      <c r="J4420" t="s" s="2">
        <v>17197</v>
      </c>
      <c r="K4420" t="s" s="2">
        <v>22</v>
      </c>
      <c r="L4420" t="s" s="2">
        <v>22</v>
      </c>
      <c r="M4420" t="s" s="2">
        <v>22</v>
      </c>
    </row>
    <row r="4421" ht="25.0" customHeight="true">
      <c r="A4421" t="s" s="2">
        <v>13</v>
      </c>
      <c r="B4421" t="s" s="2">
        <f>HYPERLINK("http://ts.21cn.com/tousu/show/id/1369291","建行还我被盗刷的钱")</f>
      </c>
      <c r="C4421" t="s" s="2">
        <v>15</v>
      </c>
      <c r="D4421" t="s" s="2">
        <v>16</v>
      </c>
      <c r="E4421" t="s" s="2">
        <v>17</v>
      </c>
      <c r="F4421" t="s" s="2">
        <f>HYPERLINK("http://ts.21cn.com/tousu/show/id/1369291","http://ts.21cn.com/tousu/show/id/1369291")</f>
      </c>
      <c r="G4421" t="s" s="2">
        <v>17</v>
      </c>
      <c r="H4421" t="s" s="2">
        <v>19</v>
      </c>
      <c r="I4421" t="s" s="2">
        <v>17199</v>
      </c>
      <c r="J4421" t="s" s="2">
        <v>17200</v>
      </c>
      <c r="K4421" t="s" s="2">
        <v>22</v>
      </c>
      <c r="L4421" t="s" s="2">
        <v>22</v>
      </c>
      <c r="M4421" t="s" s="2">
        <v>22</v>
      </c>
    </row>
    <row r="4422" ht="25.0" customHeight="true">
      <c r="A4422" t="s" s="2">
        <v>13</v>
      </c>
      <c r="B4422" t="s" s="2">
        <f>HYPERLINK("http://ts.21cn.com/tousu/show/id/1369290","韩银支付为境外赌博提供支付渠道")</f>
      </c>
      <c r="C4422" t="s" s="2">
        <v>15</v>
      </c>
      <c r="D4422" t="s" s="2">
        <v>16</v>
      </c>
      <c r="E4422" t="s" s="2">
        <v>17</v>
      </c>
      <c r="F4422" t="s" s="2">
        <f>HYPERLINK("http://ts.21cn.com/tousu/show/id/1369290","http://ts.21cn.com/tousu/show/id/1369290")</f>
      </c>
      <c r="G4422" t="s" s="2">
        <v>17</v>
      </c>
      <c r="H4422" t="s" s="2">
        <v>19</v>
      </c>
      <c r="I4422" t="s" s="2">
        <v>17203</v>
      </c>
      <c r="J4422" t="s" s="2">
        <v>17204</v>
      </c>
      <c r="K4422" t="s" s="2">
        <v>22</v>
      </c>
      <c r="L4422" t="s" s="2">
        <v>22</v>
      </c>
      <c r="M4422" t="s" s="2">
        <v>22</v>
      </c>
    </row>
    <row r="4423" ht="25.0" customHeight="true">
      <c r="A4423" t="s" s="2">
        <v>13</v>
      </c>
      <c r="B4423" t="s" s="2">
        <f>HYPERLINK("http://ts.21cn.com/tousu/show/id/1369289","友信信贷在未逾期的时间内对借款人进行暴力催收")</f>
      </c>
      <c r="C4423" t="s" s="2">
        <v>15</v>
      </c>
      <c r="D4423" t="s" s="2">
        <v>16</v>
      </c>
      <c r="E4423" t="s" s="2">
        <v>17</v>
      </c>
      <c r="F4423" t="s" s="2">
        <f>HYPERLINK("http://ts.21cn.com/tousu/show/id/1369289","http://ts.21cn.com/tousu/show/id/1369289")</f>
      </c>
      <c r="G4423" t="s" s="2">
        <v>17</v>
      </c>
      <c r="H4423" t="s" s="2">
        <v>19</v>
      </c>
      <c r="I4423" t="s" s="2">
        <v>17206</v>
      </c>
      <c r="J4423" t="s" s="2">
        <v>17207</v>
      </c>
      <c r="K4423" t="s" s="2">
        <v>22</v>
      </c>
      <c r="L4423" t="s" s="2">
        <v>22</v>
      </c>
      <c r="M4423" t="s" s="2">
        <v>22</v>
      </c>
    </row>
    <row r="4424" ht="25.0" customHeight="true">
      <c r="A4424" t="s" s="2">
        <v>13</v>
      </c>
      <c r="B4424" t="s" s="2">
        <f>HYPERLINK("http://ts.21cn.com/tousu/show/id/1369287","说了退保又推三阻四")</f>
      </c>
      <c r="C4424" t="s" s="2">
        <v>15</v>
      </c>
      <c r="D4424" t="s" s="2">
        <v>16</v>
      </c>
      <c r="E4424" t="s" s="2">
        <v>17</v>
      </c>
      <c r="F4424" t="s" s="2">
        <f>HYPERLINK("http://ts.21cn.com/tousu/show/id/1369287","http://ts.21cn.com/tousu/show/id/1369287")</f>
      </c>
      <c r="G4424" t="s" s="2">
        <v>17</v>
      </c>
      <c r="H4424" t="s" s="2">
        <v>19</v>
      </c>
      <c r="I4424" t="s" s="2">
        <v>17210</v>
      </c>
      <c r="J4424" t="s" s="2">
        <v>17211</v>
      </c>
      <c r="K4424" t="s" s="2">
        <v>22</v>
      </c>
      <c r="L4424" t="s" s="2">
        <v>22</v>
      </c>
      <c r="M4424" t="s" s="2">
        <v>22</v>
      </c>
    </row>
    <row r="4425" ht="25.0" customHeight="true">
      <c r="A4425" t="s" s="2">
        <v>13</v>
      </c>
      <c r="B4425" t="s" s="2">
        <f>HYPERLINK("http://ts.21cn.com/tousu/show/id/1369286","要求掌门公司按照其宣传进行退费")</f>
      </c>
      <c r="C4425" t="s" s="2">
        <v>15</v>
      </c>
      <c r="D4425" t="s" s="2">
        <v>16</v>
      </c>
      <c r="E4425" t="s" s="2">
        <v>17</v>
      </c>
      <c r="F4425" t="s" s="2">
        <f>HYPERLINK("http://ts.21cn.com/tousu/show/id/1369286","http://ts.21cn.com/tousu/show/id/1369286")</f>
      </c>
      <c r="G4425" t="s" s="2">
        <v>17</v>
      </c>
      <c r="H4425" t="s" s="2">
        <v>19</v>
      </c>
      <c r="I4425" t="s" s="2">
        <v>17214</v>
      </c>
      <c r="J4425" t="s" s="2">
        <v>17215</v>
      </c>
      <c r="K4425" t="s" s="2">
        <v>22</v>
      </c>
      <c r="L4425" t="s" s="2">
        <v>22</v>
      </c>
      <c r="M4425" t="s" s="2">
        <v>22</v>
      </c>
    </row>
    <row r="4426" ht="25.0" customHeight="true">
      <c r="A4426" t="s" s="2">
        <v>13</v>
      </c>
      <c r="B4426" t="s" s="2">
        <f>HYPERLINK("http://ts.21cn.com/tousu/show/id/1369285","星驿付POS机业务员虚假宣传")</f>
      </c>
      <c r="C4426" t="s" s="2">
        <v>15</v>
      </c>
      <c r="D4426" t="s" s="2">
        <v>16</v>
      </c>
      <c r="E4426" t="s" s="2">
        <v>17</v>
      </c>
      <c r="F4426" t="s" s="2">
        <f>HYPERLINK("http://ts.21cn.com/tousu/show/id/1369285","http://ts.21cn.com/tousu/show/id/1369285")</f>
      </c>
      <c r="G4426" t="s" s="2">
        <v>17</v>
      </c>
      <c r="H4426" t="s" s="2">
        <v>19</v>
      </c>
      <c r="I4426" t="s" s="2">
        <v>17218</v>
      </c>
      <c r="J4426" t="s" s="2">
        <v>17219</v>
      </c>
      <c r="K4426" t="s" s="2">
        <v>22</v>
      </c>
      <c r="L4426" t="s" s="2">
        <v>22</v>
      </c>
      <c r="M4426" t="s" s="2">
        <v>22</v>
      </c>
    </row>
    <row r="4427" ht="25.0" customHeight="true">
      <c r="A4427" t="s" s="2">
        <v>13</v>
      </c>
      <c r="B4427" t="s" s="2">
        <f>HYPERLINK("http://ts.21cn.com/tousu/show/id/1369284","暴力催收恐吓催收群发短信")</f>
      </c>
      <c r="C4427" t="s" s="2">
        <v>15</v>
      </c>
      <c r="D4427" t="s" s="2">
        <v>16</v>
      </c>
      <c r="E4427" t="s" s="2">
        <v>17</v>
      </c>
      <c r="F4427" t="s" s="2">
        <f>HYPERLINK("http://ts.21cn.com/tousu/show/id/1369284","http://ts.21cn.com/tousu/show/id/1369284")</f>
      </c>
      <c r="G4427" t="s" s="2">
        <v>17</v>
      </c>
      <c r="H4427" t="s" s="2">
        <v>19</v>
      </c>
      <c r="I4427" t="s" s="2">
        <v>17222</v>
      </c>
      <c r="J4427" t="s" s="2">
        <v>17223</v>
      </c>
      <c r="K4427" t="s" s="2">
        <v>22</v>
      </c>
      <c r="L4427" t="s" s="2">
        <v>22</v>
      </c>
      <c r="M4427" t="s" s="2">
        <v>22</v>
      </c>
    </row>
    <row r="4428" ht="25.0" customHeight="true">
      <c r="A4428" t="s" s="2">
        <v>13</v>
      </c>
      <c r="B4428" t="s" s="2">
        <f>HYPERLINK("http://ts.21cn.com/tousu/show/id/1369283","微贷网")</f>
      </c>
      <c r="C4428" t="s" s="2">
        <v>15</v>
      </c>
      <c r="D4428" t="s" s="2">
        <v>16</v>
      </c>
      <c r="E4428" t="s" s="2">
        <v>17</v>
      </c>
      <c r="F4428" t="s" s="2">
        <f>HYPERLINK("http://ts.21cn.com/tousu/show/id/1369283","http://ts.21cn.com/tousu/show/id/1369283")</f>
      </c>
      <c r="G4428" t="s" s="2">
        <v>17</v>
      </c>
      <c r="H4428" t="s" s="2">
        <v>19</v>
      </c>
      <c r="I4428" t="s" s="2">
        <v>17226</v>
      </c>
      <c r="J4428" t="s" s="2">
        <v>17227</v>
      </c>
      <c r="K4428" t="s" s="2">
        <v>22</v>
      </c>
      <c r="L4428" t="s" s="2">
        <v>22</v>
      </c>
      <c r="M4428" t="s" s="2">
        <v>22</v>
      </c>
    </row>
    <row r="4429" ht="25.0" customHeight="true">
      <c r="A4429" t="s" s="2">
        <v>13</v>
      </c>
      <c r="B4429" t="s" s="2">
        <f>HYPERLINK("http://ts.21cn.com/tousu/show/id/1369282","爆通讯录，骚扰亲朋好友")</f>
      </c>
      <c r="C4429" t="s" s="2">
        <v>15</v>
      </c>
      <c r="D4429" t="s" s="2">
        <v>16</v>
      </c>
      <c r="E4429" t="s" s="2">
        <v>17</v>
      </c>
      <c r="F4429" t="s" s="2">
        <f>HYPERLINK("http://ts.21cn.com/tousu/show/id/1369282","http://ts.21cn.com/tousu/show/id/1369282")</f>
      </c>
      <c r="G4429" t="s" s="2">
        <v>17</v>
      </c>
      <c r="H4429" t="s" s="2">
        <v>19</v>
      </c>
      <c r="I4429" t="s" s="2">
        <v>17230</v>
      </c>
      <c r="J4429" t="s" s="2">
        <v>17231</v>
      </c>
      <c r="K4429" t="s" s="2">
        <v>22</v>
      </c>
      <c r="L4429" t="s" s="2">
        <v>22</v>
      </c>
      <c r="M4429" t="s" s="2">
        <v>22</v>
      </c>
    </row>
    <row r="4430" ht="25.0" customHeight="true">
      <c r="A4430" t="s" s="2">
        <v>13</v>
      </c>
      <c r="B4430" t="s" s="2">
        <f>HYPERLINK("http://ts.21cn.com/tousu/show/id/1369278","高利贷，骚扰，态度恶劣")</f>
      </c>
      <c r="C4430" t="s" s="2">
        <v>15</v>
      </c>
      <c r="D4430" t="s" s="2">
        <v>16</v>
      </c>
      <c r="E4430" t="s" s="2">
        <v>17</v>
      </c>
      <c r="F4430" t="s" s="2">
        <f>HYPERLINK("http://ts.21cn.com/tousu/show/id/1369278","http://ts.21cn.com/tousu/show/id/1369278")</f>
      </c>
      <c r="G4430" t="s" s="2">
        <v>17</v>
      </c>
      <c r="H4430" t="s" s="2">
        <v>19</v>
      </c>
      <c r="I4430" t="s" s="2">
        <v>17234</v>
      </c>
      <c r="J4430" t="s" s="2">
        <v>17235</v>
      </c>
      <c r="K4430" t="s" s="2">
        <v>22</v>
      </c>
      <c r="L4430" t="s" s="2">
        <v>22</v>
      </c>
      <c r="M4430" t="s" s="2">
        <v>22</v>
      </c>
    </row>
    <row r="4431" ht="25.0" customHeight="true">
      <c r="A4431" t="s" s="2">
        <v>13</v>
      </c>
      <c r="B4431" t="s" s="2">
        <f>HYPERLINK("http://ts.21cn.com/tousu/show/id/1369276","富友支付为714高炮都来花提供支付通道")</f>
      </c>
      <c r="C4431" t="s" s="2">
        <v>52</v>
      </c>
      <c r="D4431" t="s" s="2">
        <v>16</v>
      </c>
      <c r="E4431" t="s" s="2">
        <v>17</v>
      </c>
      <c r="F4431" t="s" s="2">
        <f>HYPERLINK("http://ts.21cn.com/tousu/show/id/1369276","http://ts.21cn.com/tousu/show/id/1369276")</f>
      </c>
      <c r="G4431" t="s" s="2">
        <v>17</v>
      </c>
      <c r="H4431" t="s" s="2">
        <v>19</v>
      </c>
      <c r="I4431" t="s" s="2">
        <v>17238</v>
      </c>
      <c r="J4431" t="s" s="2">
        <v>17239</v>
      </c>
      <c r="K4431" t="s" s="2">
        <v>22</v>
      </c>
      <c r="L4431" t="s" s="2">
        <v>22</v>
      </c>
      <c r="M4431" t="s" s="2">
        <v>22</v>
      </c>
    </row>
    <row r="4432" ht="25.0" customHeight="true">
      <c r="A4432" t="s" s="2">
        <v>13</v>
      </c>
      <c r="B4432" t="s" s="2">
        <f>HYPERLINK("http://ts.21cn.com/tousu/show/id/1369238","微应急套路贷高利贷骚扰威胁")</f>
      </c>
      <c r="C4432" t="s" s="2">
        <v>15</v>
      </c>
      <c r="D4432" t="s" s="2">
        <v>16</v>
      </c>
      <c r="E4432" t="s" s="2">
        <v>17</v>
      </c>
      <c r="F4432" t="s" s="2">
        <f>HYPERLINK("http://ts.21cn.com/tousu/show/id/1369238","http://ts.21cn.com/tousu/show/id/1369238")</f>
      </c>
      <c r="G4432" t="s" s="2">
        <v>17</v>
      </c>
      <c r="H4432" t="s" s="2">
        <v>19</v>
      </c>
      <c r="I4432" t="s" s="2">
        <v>17242</v>
      </c>
      <c r="J4432" t="s" s="2">
        <v>17243</v>
      </c>
      <c r="K4432" t="s" s="2">
        <v>22</v>
      </c>
      <c r="L4432" t="s" s="2">
        <v>22</v>
      </c>
      <c r="M4432" t="s" s="2">
        <v>22</v>
      </c>
    </row>
    <row r="4433" ht="25.0" customHeight="true">
      <c r="A4433" t="s" s="2">
        <v>13</v>
      </c>
      <c r="B4433" t="s" s="2">
        <f>HYPERLINK("http://ts.21cn.com/tousu/show/id/1369271","钱伴高利贷暴力催收")</f>
      </c>
      <c r="C4433" t="s" s="2">
        <v>15</v>
      </c>
      <c r="D4433" t="s" s="2">
        <v>16</v>
      </c>
      <c r="E4433" t="s" s="2">
        <v>17</v>
      </c>
      <c r="F4433" t="s" s="2">
        <f>HYPERLINK("http://ts.21cn.com/tousu/show/id/1369271","http://ts.21cn.com/tousu/show/id/1369271")</f>
      </c>
      <c r="G4433" t="s" s="2">
        <v>17</v>
      </c>
      <c r="H4433" t="s" s="2">
        <v>19</v>
      </c>
      <c r="I4433" t="s" s="2">
        <v>17246</v>
      </c>
      <c r="J4433" t="s" s="2">
        <v>17247</v>
      </c>
      <c r="K4433" t="s" s="2">
        <v>22</v>
      </c>
      <c r="L4433" t="s" s="2">
        <v>22</v>
      </c>
      <c r="M4433" t="s" s="2">
        <v>22</v>
      </c>
    </row>
    <row r="4434" ht="25.0" customHeight="true">
      <c r="A4434" t="s" s="2">
        <v>13</v>
      </c>
      <c r="B4434" t="s" s="2">
        <f>HYPERLINK("http://ts.21cn.com/tousu/show/id/1369274","威胁骚扰")</f>
      </c>
      <c r="C4434" t="s" s="2">
        <v>15</v>
      </c>
      <c r="D4434" t="s" s="2">
        <v>16</v>
      </c>
      <c r="E4434" t="s" s="2">
        <v>17</v>
      </c>
      <c r="F4434" t="s" s="2">
        <f>HYPERLINK("http://ts.21cn.com/tousu/show/id/1369274","http://ts.21cn.com/tousu/show/id/1369274")</f>
      </c>
      <c r="G4434" t="s" s="2">
        <v>17</v>
      </c>
      <c r="H4434" t="s" s="2">
        <v>19</v>
      </c>
      <c r="I4434" t="s" s="2">
        <v>17250</v>
      </c>
      <c r="J4434" t="s" s="2">
        <v>17251</v>
      </c>
      <c r="K4434" t="s" s="2">
        <v>22</v>
      </c>
      <c r="L4434" t="s" s="2">
        <v>22</v>
      </c>
      <c r="M4434" t="s" s="2">
        <v>22</v>
      </c>
    </row>
    <row r="4435" ht="25.0" customHeight="true">
      <c r="A4435" t="s" s="2">
        <v>13</v>
      </c>
      <c r="B4435" t="s" s="2">
        <f>HYPERLINK("http://ts.21cn.com/tousu/show/id/1369275","每日优鲜先开始同意退款后又拒绝退款")</f>
      </c>
      <c r="C4435" t="s" s="2">
        <v>15</v>
      </c>
      <c r="D4435" t="s" s="2">
        <v>16</v>
      </c>
      <c r="E4435" t="s" s="2">
        <v>17</v>
      </c>
      <c r="F4435" t="s" s="2">
        <f>HYPERLINK("http://ts.21cn.com/tousu/show/id/1369275","http://ts.21cn.com/tousu/show/id/1369275")</f>
      </c>
      <c r="G4435" t="s" s="2">
        <v>17</v>
      </c>
      <c r="H4435" t="s" s="2">
        <v>19</v>
      </c>
      <c r="I4435" t="s" s="2">
        <v>17254</v>
      </c>
      <c r="J4435" t="s" s="2">
        <v>17255</v>
      </c>
      <c r="K4435" t="s" s="2">
        <v>22</v>
      </c>
      <c r="L4435" t="s" s="2">
        <v>22</v>
      </c>
      <c r="M4435" t="s" s="2">
        <v>22</v>
      </c>
    </row>
    <row r="4436" ht="25.0" customHeight="true">
      <c r="A4436" t="s" s="2">
        <v>13</v>
      </c>
      <c r="B4436" t="s" s="2">
        <f>HYPERLINK("http://ts.21cn.com/tousu/show/id/1369270","米条联盟违规放超级高利贷")</f>
      </c>
      <c r="C4436" t="s" s="2">
        <v>15</v>
      </c>
      <c r="D4436" t="s" s="2">
        <v>16</v>
      </c>
      <c r="E4436" t="s" s="2">
        <v>17</v>
      </c>
      <c r="F4436" t="s" s="2">
        <f>HYPERLINK("http://ts.21cn.com/tousu/show/id/1369270","http://ts.21cn.com/tousu/show/id/1369270")</f>
      </c>
      <c r="G4436" t="s" s="2">
        <v>17</v>
      </c>
      <c r="H4436" t="s" s="2">
        <v>19</v>
      </c>
      <c r="I4436" t="s" s="2">
        <v>17258</v>
      </c>
      <c r="J4436" t="s" s="2">
        <v>17259</v>
      </c>
      <c r="K4436" t="s" s="2">
        <v>22</v>
      </c>
      <c r="L4436" t="s" s="2">
        <v>22</v>
      </c>
      <c r="M4436" t="s" s="2">
        <v>22</v>
      </c>
    </row>
    <row r="4437" ht="25.0" customHeight="true">
      <c r="A4437" t="s" s="2">
        <v>13</v>
      </c>
      <c r="B4437" t="s" s="2">
        <f>HYPERLINK("http://ts.21cn.com/tousu/show/id/1369269","催收")</f>
      </c>
      <c r="C4437" t="s" s="2">
        <v>15</v>
      </c>
      <c r="D4437" t="s" s="2">
        <v>16</v>
      </c>
      <c r="E4437" t="s" s="2">
        <v>17</v>
      </c>
      <c r="F4437" t="s" s="2">
        <f>HYPERLINK("http://ts.21cn.com/tousu/show/id/1369269","http://ts.21cn.com/tousu/show/id/1369269")</f>
      </c>
      <c r="G4437" t="s" s="2">
        <v>17</v>
      </c>
      <c r="H4437" t="s" s="2">
        <v>19</v>
      </c>
      <c r="I4437" t="s" s="2">
        <v>17261</v>
      </c>
      <c r="J4437" t="s" s="2">
        <v>17262</v>
      </c>
      <c r="K4437" t="s" s="2">
        <v>22</v>
      </c>
      <c r="L4437" t="s" s="2">
        <v>22</v>
      </c>
      <c r="M4437" t="s" s="2">
        <v>22</v>
      </c>
    </row>
    <row r="4438" ht="25.0" customHeight="true">
      <c r="A4438" t="s" s="2">
        <v>13</v>
      </c>
      <c r="B4438" t="s" s="2">
        <f>HYPERLINK("http://ts.21cn.com/tousu/show/id/1369268","花转转高利贷催收")</f>
      </c>
      <c r="C4438" t="s" s="2">
        <v>15</v>
      </c>
      <c r="D4438" t="s" s="2">
        <v>16</v>
      </c>
      <c r="E4438" t="s" s="2">
        <v>17</v>
      </c>
      <c r="F4438" t="s" s="2">
        <f>HYPERLINK("http://ts.21cn.com/tousu/show/id/1369268","http://ts.21cn.com/tousu/show/id/1369268")</f>
      </c>
      <c r="G4438" t="s" s="2">
        <v>17</v>
      </c>
      <c r="H4438" t="s" s="2">
        <v>19</v>
      </c>
      <c r="I4438" t="s" s="2">
        <v>17265</v>
      </c>
      <c r="J4438" t="s" s="2">
        <v>17266</v>
      </c>
      <c r="K4438" t="s" s="2">
        <v>22</v>
      </c>
      <c r="L4438" t="s" s="2">
        <v>22</v>
      </c>
      <c r="M4438" t="s" s="2">
        <v>22</v>
      </c>
    </row>
    <row r="4439" ht="25.0" customHeight="true">
      <c r="A4439" t="s" s="2">
        <v>13</v>
      </c>
      <c r="B4439" t="s" s="2">
        <f>HYPERLINK("http://ts.21cn.com/tousu/show/id/1369267","注销小闪分期账号")</f>
      </c>
      <c r="C4439" t="s" s="2">
        <v>52</v>
      </c>
      <c r="D4439" t="s" s="2">
        <v>16</v>
      </c>
      <c r="E4439" t="s" s="2">
        <v>17</v>
      </c>
      <c r="F4439" t="s" s="2">
        <f>HYPERLINK("http://ts.21cn.com/tousu/show/id/1369267","http://ts.21cn.com/tousu/show/id/1369267")</f>
      </c>
      <c r="G4439" t="s" s="2">
        <v>17</v>
      </c>
      <c r="H4439" t="s" s="2">
        <v>19</v>
      </c>
      <c r="I4439" t="s" s="2">
        <v>17265</v>
      </c>
      <c r="J4439" t="s" s="2">
        <v>17269</v>
      </c>
      <c r="K4439" t="s" s="2">
        <v>22</v>
      </c>
      <c r="L4439" t="s" s="2">
        <v>22</v>
      </c>
      <c r="M4439" t="s" s="2">
        <v>22</v>
      </c>
    </row>
    <row r="4440" ht="25.0" customHeight="true">
      <c r="A4440" t="s" s="2">
        <v>13</v>
      </c>
      <c r="B4440" t="s" s="2">
        <f>HYPERLINK("http://ts.21cn.com/tousu/show/id/1369266","京东给高利贷扣款渠道")</f>
      </c>
      <c r="C4440" t="s" s="2">
        <v>15</v>
      </c>
      <c r="D4440" t="s" s="2">
        <v>16</v>
      </c>
      <c r="E4440" t="s" s="2">
        <v>17</v>
      </c>
      <c r="F4440" t="s" s="2">
        <f>HYPERLINK("http://ts.21cn.com/tousu/show/id/1369266","http://ts.21cn.com/tousu/show/id/1369266")</f>
      </c>
      <c r="G4440" t="s" s="2">
        <v>17</v>
      </c>
      <c r="H4440" t="s" s="2">
        <v>19</v>
      </c>
      <c r="I4440" t="s" s="2">
        <v>17272</v>
      </c>
      <c r="J4440" t="s" s="2">
        <v>17273</v>
      </c>
      <c r="K4440" t="s" s="2">
        <v>22</v>
      </c>
      <c r="L4440" t="s" s="2">
        <v>22</v>
      </c>
      <c r="M4440" t="s" s="2">
        <v>22</v>
      </c>
    </row>
    <row r="4441" ht="25.0" customHeight="true">
      <c r="A4441" t="s" s="2">
        <v>13</v>
      </c>
      <c r="B4441" t="s" s="2">
        <f>HYPERLINK("http://ts.21cn.com/tousu/show/id/1369265","及贷放款时直接扣除所谓的保费，存在欺诈消费行为")</f>
      </c>
      <c r="C4441" t="s" s="2">
        <v>15</v>
      </c>
      <c r="D4441" t="s" s="2">
        <v>16</v>
      </c>
      <c r="E4441" t="s" s="2">
        <v>17</v>
      </c>
      <c r="F4441" t="s" s="2">
        <f>HYPERLINK("http://ts.21cn.com/tousu/show/id/1369265","http://ts.21cn.com/tousu/show/id/1369265")</f>
      </c>
      <c r="G4441" t="s" s="2">
        <v>17</v>
      </c>
      <c r="H4441" t="s" s="2">
        <v>19</v>
      </c>
      <c r="I4441" t="s" s="2">
        <v>17275</v>
      </c>
      <c r="J4441" t="s" s="2">
        <v>17276</v>
      </c>
      <c r="K4441" t="s" s="2">
        <v>22</v>
      </c>
      <c r="L4441" t="s" s="2">
        <v>22</v>
      </c>
      <c r="M4441" t="s" s="2">
        <v>22</v>
      </c>
    </row>
    <row r="4442" ht="25.0" customHeight="true">
      <c r="A4442" t="s" s="2">
        <v>13</v>
      </c>
      <c r="B4442" t="s" s="2">
        <f>HYPERLINK("http://ts.21cn.com/tousu/show/id/1369264","逾期2天开始骚扰家老人")</f>
      </c>
      <c r="C4442" t="s" s="2">
        <v>15</v>
      </c>
      <c r="D4442" t="s" s="2">
        <v>16</v>
      </c>
      <c r="E4442" t="s" s="2">
        <v>17</v>
      </c>
      <c r="F4442" t="s" s="2">
        <f>HYPERLINK("http://ts.21cn.com/tousu/show/id/1369264","http://ts.21cn.com/tousu/show/id/1369264")</f>
      </c>
      <c r="G4442" t="s" s="2">
        <v>17</v>
      </c>
      <c r="H4442" t="s" s="2">
        <v>19</v>
      </c>
      <c r="I4442" t="s" s="2">
        <v>17279</v>
      </c>
      <c r="J4442" t="s" s="2">
        <v>17280</v>
      </c>
      <c r="K4442" t="s" s="2">
        <v>22</v>
      </c>
      <c r="L4442" t="s" s="2">
        <v>22</v>
      </c>
      <c r="M4442" t="s" s="2">
        <v>22</v>
      </c>
    </row>
    <row r="4443" ht="25.0" customHeight="true">
      <c r="A4443" t="s" s="2">
        <v>13</v>
      </c>
      <c r="B4443" t="s" s="2">
        <f>HYPERLINK("http://ts.21cn.com/tousu/show/id/1369261","我来贷高利贷套路贷反复变动还款数额")</f>
      </c>
      <c r="C4443" t="s" s="2">
        <v>15</v>
      </c>
      <c r="D4443" t="s" s="2">
        <v>16</v>
      </c>
      <c r="E4443" t="s" s="2">
        <v>17</v>
      </c>
      <c r="F4443" t="s" s="2">
        <f>HYPERLINK("http://ts.21cn.com/tousu/show/id/1369261","http://ts.21cn.com/tousu/show/id/1369261")</f>
      </c>
      <c r="G4443" t="s" s="2">
        <v>17</v>
      </c>
      <c r="H4443" t="s" s="2">
        <v>19</v>
      </c>
      <c r="I4443" t="s" s="2">
        <v>17283</v>
      </c>
      <c r="J4443" t="s" s="2">
        <v>17284</v>
      </c>
      <c r="K4443" t="s" s="2">
        <v>22</v>
      </c>
      <c r="L4443" t="s" s="2">
        <v>22</v>
      </c>
      <c r="M4443" t="s" s="2">
        <v>22</v>
      </c>
    </row>
    <row r="4444" ht="25.0" customHeight="true">
      <c r="A4444" t="s" s="2">
        <v>13</v>
      </c>
      <c r="B4444" t="s" s="2">
        <f>HYPERLINK("http://ts.21cn.com/tousu/show/id/1369260","创客照妖镜恶意降权本人淘宝号")</f>
      </c>
      <c r="C4444" t="s" s="2">
        <v>52</v>
      </c>
      <c r="D4444" t="s" s="2">
        <v>16</v>
      </c>
      <c r="E4444" t="s" s="2">
        <v>17</v>
      </c>
      <c r="F4444" t="s" s="2">
        <f>HYPERLINK("http://ts.21cn.com/tousu/show/id/1369260","http://ts.21cn.com/tousu/show/id/1369260")</f>
      </c>
      <c r="G4444" t="s" s="2">
        <v>17</v>
      </c>
      <c r="H4444" t="s" s="2">
        <v>19</v>
      </c>
      <c r="I4444" t="s" s="2">
        <v>17287</v>
      </c>
      <c r="J4444" t="s" s="2">
        <v>17288</v>
      </c>
      <c r="K4444" t="s" s="2">
        <v>22</v>
      </c>
      <c r="L4444" t="s" s="2">
        <v>22</v>
      </c>
      <c r="M4444" t="s" s="2">
        <v>22</v>
      </c>
    </row>
    <row r="4445" ht="25.0" customHeight="true">
      <c r="A4445" t="s" s="2">
        <v>13</v>
      </c>
      <c r="B4445" t="s" s="2">
        <f>HYPERLINK("http://ts.21cn.com/tousu/show/id/1369259","威胁、骚扰家人")</f>
      </c>
      <c r="C4445" t="s" s="2">
        <v>15</v>
      </c>
      <c r="D4445" t="s" s="2">
        <v>16</v>
      </c>
      <c r="E4445" t="s" s="2">
        <v>17</v>
      </c>
      <c r="F4445" t="s" s="2">
        <f>HYPERLINK("http://ts.21cn.com/tousu/show/id/1369259","http://ts.21cn.com/tousu/show/id/1369259")</f>
      </c>
      <c r="G4445" t="s" s="2">
        <v>17</v>
      </c>
      <c r="H4445" t="s" s="2">
        <v>19</v>
      </c>
      <c r="I4445" t="s" s="2">
        <v>17291</v>
      </c>
      <c r="J4445" t="s" s="2">
        <v>17292</v>
      </c>
      <c r="K4445" t="s" s="2">
        <v>22</v>
      </c>
      <c r="L4445" t="s" s="2">
        <v>22</v>
      </c>
      <c r="M4445" t="s" s="2">
        <v>22</v>
      </c>
    </row>
    <row r="4446" ht="25.0" customHeight="true">
      <c r="A4446" t="s" s="2">
        <v>13</v>
      </c>
      <c r="B4446" t="s" s="2">
        <f>HYPERLINK("http://ts.21cn.com/tousu/show/id/1369258","暴力催收高额逾期费")</f>
      </c>
      <c r="C4446" t="s" s="2">
        <v>15</v>
      </c>
      <c r="D4446" t="s" s="2">
        <v>16</v>
      </c>
      <c r="E4446" t="s" s="2">
        <v>17</v>
      </c>
      <c r="F4446" t="s" s="2">
        <f>HYPERLINK("http://ts.21cn.com/tousu/show/id/1369258","http://ts.21cn.com/tousu/show/id/1369258")</f>
      </c>
      <c r="G4446" t="s" s="2">
        <v>17</v>
      </c>
      <c r="H4446" t="s" s="2">
        <v>19</v>
      </c>
      <c r="I4446" t="s" s="2">
        <v>17295</v>
      </c>
      <c r="J4446" t="s" s="2">
        <v>17296</v>
      </c>
      <c r="K4446" t="s" s="2">
        <v>22</v>
      </c>
      <c r="L4446" t="s" s="2">
        <v>22</v>
      </c>
      <c r="M4446" t="s" s="2">
        <v>22</v>
      </c>
    </row>
    <row r="4447" ht="25.0" customHeight="true">
      <c r="A4447" t="s" s="2">
        <v>13</v>
      </c>
      <c r="B4447" t="s" s="2">
        <f>HYPERLINK("http://ts.21cn.com/tousu/show/id/1369256","微众催收恶意发邮件")</f>
      </c>
      <c r="C4447" t="s" s="2">
        <v>15</v>
      </c>
      <c r="D4447" t="s" s="2">
        <v>16</v>
      </c>
      <c r="E4447" t="s" s="2">
        <v>17</v>
      </c>
      <c r="F4447" t="s" s="2">
        <f>HYPERLINK("http://ts.21cn.com/tousu/show/id/1369256","http://ts.21cn.com/tousu/show/id/1369256")</f>
      </c>
      <c r="G4447" t="s" s="2">
        <v>17</v>
      </c>
      <c r="H4447" t="s" s="2">
        <v>19</v>
      </c>
      <c r="I4447" t="s" s="2">
        <v>17299</v>
      </c>
      <c r="J4447" t="s" s="2">
        <v>17300</v>
      </c>
      <c r="K4447" t="s" s="2">
        <v>22</v>
      </c>
      <c r="L4447" t="s" s="2">
        <v>22</v>
      </c>
      <c r="M4447" t="s" s="2">
        <v>22</v>
      </c>
    </row>
    <row r="4448" ht="25.0" customHeight="true">
      <c r="A4448" t="s" s="2">
        <v>13</v>
      </c>
      <c r="B4448" t="s" s="2">
        <f>HYPERLINK("http://ts.21cn.com/tousu/show/id/1368770","农业银行网上银行无缘无故被（特约）广东乐王实业有限公司扣款")</f>
      </c>
      <c r="C4448" t="s" s="2">
        <v>15</v>
      </c>
      <c r="D4448" t="s" s="2">
        <v>16</v>
      </c>
      <c r="E4448" t="s" s="2">
        <v>17</v>
      </c>
      <c r="F4448" t="s" s="2">
        <f>HYPERLINK("http://ts.21cn.com/tousu/show/id/1368770","http://ts.21cn.com/tousu/show/id/1368770")</f>
      </c>
      <c r="G4448" t="s" s="2">
        <v>17</v>
      </c>
      <c r="H4448" t="s" s="2">
        <v>19</v>
      </c>
      <c r="I4448" t="s" s="2">
        <v>17303</v>
      </c>
      <c r="J4448" t="s" s="2">
        <v>17304</v>
      </c>
      <c r="K4448" t="s" s="2">
        <v>22</v>
      </c>
      <c r="L4448" t="s" s="2">
        <v>22</v>
      </c>
      <c r="M4448" t="s" s="2">
        <v>22</v>
      </c>
    </row>
    <row r="4449" ht="25.0" customHeight="true">
      <c r="A4449" t="s" s="2">
        <v>13</v>
      </c>
      <c r="B4449" t="s" s="2">
        <f>HYPERLINK("http://ts.21cn.com/tousu/show/id/1369255","关于美约app乱扣费问题，免费试用后，自动续费会员一年298元")</f>
      </c>
      <c r="C4449" t="s" s="2">
        <v>52</v>
      </c>
      <c r="D4449" t="s" s="2">
        <v>16</v>
      </c>
      <c r="E4449" t="s" s="2">
        <v>17</v>
      </c>
      <c r="F4449" t="s" s="2">
        <f>HYPERLINK("http://ts.21cn.com/tousu/show/id/1369255","http://ts.21cn.com/tousu/show/id/1369255")</f>
      </c>
      <c r="G4449" t="s" s="2">
        <v>17</v>
      </c>
      <c r="H4449" t="s" s="2">
        <v>19</v>
      </c>
      <c r="I4449" t="s" s="2">
        <v>17306</v>
      </c>
      <c r="J4449" t="s" s="2">
        <v>17307</v>
      </c>
      <c r="K4449" t="s" s="2">
        <v>22</v>
      </c>
      <c r="L4449" t="s" s="2">
        <v>22</v>
      </c>
      <c r="M4449" t="s" s="2">
        <v>22</v>
      </c>
    </row>
    <row r="4450" ht="25.0" customHeight="true">
      <c r="A4450" t="s" s="2">
        <v>13</v>
      </c>
      <c r="B4450" t="s" s="2">
        <f>HYPERLINK("http://ts.21cn.com/tousu/show/id/1369252","卡牛瑞贷逾期一天短信骚扰爆通讯录逾期费一天一百多")</f>
      </c>
      <c r="C4450" t="s" s="2">
        <v>15</v>
      </c>
      <c r="D4450" t="s" s="2">
        <v>16</v>
      </c>
      <c r="E4450" t="s" s="2">
        <v>17</v>
      </c>
      <c r="F4450" t="s" s="2">
        <f>HYPERLINK("http://ts.21cn.com/tousu/show/id/1369252","http://ts.21cn.com/tousu/show/id/1369252")</f>
      </c>
      <c r="G4450" t="s" s="2">
        <v>17</v>
      </c>
      <c r="H4450" t="s" s="2">
        <v>19</v>
      </c>
      <c r="I4450" t="s" s="2">
        <v>17310</v>
      </c>
      <c r="J4450" t="s" s="2">
        <v>17311</v>
      </c>
      <c r="K4450" t="s" s="2">
        <v>22</v>
      </c>
      <c r="L4450" t="s" s="2">
        <v>22</v>
      </c>
      <c r="M4450" t="s" s="2">
        <v>22</v>
      </c>
    </row>
    <row r="4451" ht="25.0" customHeight="true">
      <c r="A4451" t="s" s="2">
        <v>13</v>
      </c>
      <c r="B4451" t="s" s="2">
        <f>HYPERLINK("http://ts.21cn.com/tousu/show/id/1369253","今借到和出借人沆瀣一气，借款人还款后不销账，投诉无门")</f>
      </c>
      <c r="C4451" t="s" s="2">
        <v>15</v>
      </c>
      <c r="D4451" t="s" s="2">
        <v>16</v>
      </c>
      <c r="E4451" t="s" s="2">
        <v>17</v>
      </c>
      <c r="F4451" t="s" s="2">
        <f>HYPERLINK("http://ts.21cn.com/tousu/show/id/1369253","http://ts.21cn.com/tousu/show/id/1369253")</f>
      </c>
      <c r="G4451" t="s" s="2">
        <v>17</v>
      </c>
      <c r="H4451" t="s" s="2">
        <v>19</v>
      </c>
      <c r="I4451" t="s" s="2">
        <v>17314</v>
      </c>
      <c r="J4451" t="s" s="2">
        <v>17315</v>
      </c>
      <c r="K4451" t="s" s="2">
        <v>22</v>
      </c>
      <c r="L4451" t="s" s="2">
        <v>22</v>
      </c>
      <c r="M4451" t="s" s="2">
        <v>22</v>
      </c>
    </row>
    <row r="4452" ht="25.0" customHeight="true">
      <c r="A4452" t="s" s="2">
        <v>13</v>
      </c>
      <c r="B4452" t="s" s="2">
        <f>HYPERLINK("http://ts.21cn.com/tousu/show/id/1369251","马上消费金融")</f>
      </c>
      <c r="C4452" t="s" s="2">
        <v>52</v>
      </c>
      <c r="D4452" t="s" s="2">
        <v>16</v>
      </c>
      <c r="E4452" t="s" s="2">
        <v>17</v>
      </c>
      <c r="F4452" t="s" s="2">
        <f>HYPERLINK("http://ts.21cn.com/tousu/show/id/1369251","http://ts.21cn.com/tousu/show/id/1369251")</f>
      </c>
      <c r="G4452" t="s" s="2">
        <v>17</v>
      </c>
      <c r="H4452" t="s" s="2">
        <v>19</v>
      </c>
      <c r="I4452" t="s" s="2">
        <v>17317</v>
      </c>
      <c r="J4452" t="s" s="2">
        <v>17318</v>
      </c>
      <c r="K4452" t="s" s="2">
        <v>22</v>
      </c>
      <c r="L4452" t="s" s="2">
        <v>22</v>
      </c>
      <c r="M4452" t="s" s="2">
        <v>22</v>
      </c>
    </row>
    <row r="4453" ht="25.0" customHeight="true">
      <c r="A4453" t="s" s="2">
        <v>13</v>
      </c>
      <c r="B4453" t="s" s="2">
        <f>HYPERLINK("http://ts.21cn.com/tousu/show/id/1369250","冷暴力催收")</f>
      </c>
      <c r="C4453" t="s" s="2">
        <v>15</v>
      </c>
      <c r="D4453" t="s" s="2">
        <v>16</v>
      </c>
      <c r="E4453" t="s" s="2">
        <v>17</v>
      </c>
      <c r="F4453" t="s" s="2">
        <f>HYPERLINK("http://ts.21cn.com/tousu/show/id/1369250","http://ts.21cn.com/tousu/show/id/1369250")</f>
      </c>
      <c r="G4453" t="s" s="2">
        <v>17</v>
      </c>
      <c r="H4453" t="s" s="2">
        <v>19</v>
      </c>
      <c r="I4453" t="s" s="2">
        <v>17321</v>
      </c>
      <c r="J4453" t="s" s="2">
        <v>17322</v>
      </c>
      <c r="K4453" t="s" s="2">
        <v>22</v>
      </c>
      <c r="L4453" t="s" s="2">
        <v>22</v>
      </c>
      <c r="M4453" t="s" s="2">
        <v>22</v>
      </c>
    </row>
    <row r="4454" ht="25.0" customHeight="true">
      <c r="A4454" t="s" s="2">
        <v>13</v>
      </c>
      <c r="B4454" t="s" s="2">
        <f>HYPERLINK("http://ts.21cn.com/tousu/show/id/1369249","广州幸媛情感学苑不退款")</f>
      </c>
      <c r="C4454" t="s" s="2">
        <v>15</v>
      </c>
      <c r="D4454" t="s" s="2">
        <v>16</v>
      </c>
      <c r="E4454" t="s" s="2">
        <v>17</v>
      </c>
      <c r="F4454" t="s" s="2">
        <f>HYPERLINK("http://ts.21cn.com/tousu/show/id/1369249","http://ts.21cn.com/tousu/show/id/1369249")</f>
      </c>
      <c r="G4454" t="s" s="2">
        <v>17</v>
      </c>
      <c r="H4454" t="s" s="2">
        <v>19</v>
      </c>
      <c r="I4454" t="s" s="2">
        <v>17325</v>
      </c>
      <c r="J4454" t="s" s="2">
        <v>17326</v>
      </c>
      <c r="K4454" t="s" s="2">
        <v>22</v>
      </c>
      <c r="L4454" t="s" s="2">
        <v>22</v>
      </c>
      <c r="M4454" t="s" s="2">
        <v>22</v>
      </c>
    </row>
    <row r="4455" ht="25.0" customHeight="true">
      <c r="A4455" t="s" s="2">
        <v>13</v>
      </c>
      <c r="B4455" t="s" s="2">
        <f>HYPERLINK("http://ts.21cn.com/tousu/show/id/1369248","立即贷拒不提供发票并且不退砍头息！")</f>
      </c>
      <c r="C4455" t="s" s="2">
        <v>15</v>
      </c>
      <c r="D4455" t="s" s="2">
        <v>16</v>
      </c>
      <c r="E4455" t="s" s="2">
        <v>17</v>
      </c>
      <c r="F4455" t="s" s="2">
        <f>HYPERLINK("http://ts.21cn.com/tousu/show/id/1369248","http://ts.21cn.com/tousu/show/id/1369248")</f>
      </c>
      <c r="G4455" t="s" s="2">
        <v>17</v>
      </c>
      <c r="H4455" t="s" s="2">
        <v>19</v>
      </c>
      <c r="I4455" t="s" s="2">
        <v>17329</v>
      </c>
      <c r="J4455" t="s" s="2">
        <v>17330</v>
      </c>
      <c r="K4455" t="s" s="2">
        <v>22</v>
      </c>
      <c r="L4455" t="s" s="2">
        <v>22</v>
      </c>
      <c r="M4455" t="s" s="2">
        <v>22</v>
      </c>
    </row>
    <row r="4456" ht="25.0" customHeight="true">
      <c r="A4456" t="s" s="2">
        <v>13</v>
      </c>
      <c r="B4456" t="s" s="2">
        <f>HYPERLINK("http://ts.21cn.com/tousu/show/id/1369247","苏宁金融电话骚扰")</f>
      </c>
      <c r="C4456" t="s" s="2">
        <v>15</v>
      </c>
      <c r="D4456" t="s" s="2">
        <v>16</v>
      </c>
      <c r="E4456" t="s" s="2">
        <v>17</v>
      </c>
      <c r="F4456" t="s" s="2">
        <f>HYPERLINK("http://ts.21cn.com/tousu/show/id/1369247","http://ts.21cn.com/tousu/show/id/1369247")</f>
      </c>
      <c r="G4456" t="s" s="2">
        <v>17</v>
      </c>
      <c r="H4456" t="s" s="2">
        <v>19</v>
      </c>
      <c r="I4456" t="s" s="2">
        <v>17333</v>
      </c>
      <c r="J4456" t="s" s="2">
        <v>17334</v>
      </c>
      <c r="K4456" t="s" s="2">
        <v>22</v>
      </c>
      <c r="L4456" t="s" s="2">
        <v>22</v>
      </c>
      <c r="M4456" t="s" s="2">
        <v>22</v>
      </c>
    </row>
    <row r="4457" ht="25.0" customHeight="true">
      <c r="A4457" t="s" s="2">
        <v>13</v>
      </c>
      <c r="B4457" t="s" s="2">
        <f>HYPERLINK("http://ts.21cn.com/tousu/show/id/1369246","你我贷冒充司法人员暴力催收")</f>
      </c>
      <c r="C4457" t="s" s="2">
        <v>15</v>
      </c>
      <c r="D4457" t="s" s="2">
        <v>16</v>
      </c>
      <c r="E4457" t="s" s="2">
        <v>17</v>
      </c>
      <c r="F4457" t="s" s="2">
        <f>HYPERLINK("http://ts.21cn.com/tousu/show/id/1369246","http://ts.21cn.com/tousu/show/id/1369246")</f>
      </c>
      <c r="G4457" t="s" s="2">
        <v>17</v>
      </c>
      <c r="H4457" t="s" s="2">
        <v>19</v>
      </c>
      <c r="I4457" t="s" s="2">
        <v>17337</v>
      </c>
      <c r="J4457" t="s" s="2">
        <v>17338</v>
      </c>
      <c r="K4457" t="s" s="2">
        <v>22</v>
      </c>
      <c r="L4457" t="s" s="2">
        <v>22</v>
      </c>
      <c r="M4457" t="s" s="2">
        <v>22</v>
      </c>
    </row>
    <row r="4458" ht="25.0" customHeight="true">
      <c r="A4458" t="s" s="2">
        <v>13</v>
      </c>
      <c r="B4458" t="s" s="2">
        <f>HYPERLINK("http://ts.21cn.com/tousu/show/id/1369076","捷信公司利息实属高利贷")</f>
      </c>
      <c r="C4458" t="s" s="2">
        <v>15</v>
      </c>
      <c r="D4458" t="s" s="2">
        <v>16</v>
      </c>
      <c r="E4458" t="s" s="2">
        <v>17</v>
      </c>
      <c r="F4458" t="s" s="2">
        <f>HYPERLINK("http://ts.21cn.com/tousu/show/id/1369076","http://ts.21cn.com/tousu/show/id/1369076")</f>
      </c>
      <c r="G4458" t="s" s="2">
        <v>17</v>
      </c>
      <c r="H4458" t="s" s="2">
        <v>19</v>
      </c>
      <c r="I4458" t="s" s="2">
        <v>17341</v>
      </c>
      <c r="J4458" t="s" s="2">
        <v>17342</v>
      </c>
      <c r="K4458" t="s" s="2">
        <v>22</v>
      </c>
      <c r="L4458" t="s" s="2">
        <v>22</v>
      </c>
      <c r="M4458" t="s" s="2">
        <v>22</v>
      </c>
    </row>
    <row r="4459" ht="25.0" customHeight="true">
      <c r="A4459" t="s" s="2">
        <v>13</v>
      </c>
      <c r="B4459" t="s" s="2">
        <f>HYPERLINK("http://ts.21cn.com/tousu/show/id/1369209","优推联盟吃京东推广数据")</f>
      </c>
      <c r="C4459" t="s" s="2">
        <v>15</v>
      </c>
      <c r="D4459" t="s" s="2">
        <v>16</v>
      </c>
      <c r="E4459" t="s" s="2">
        <v>17</v>
      </c>
      <c r="F4459" t="s" s="2">
        <f>HYPERLINK("http://ts.21cn.com/tousu/show/id/1369209","http://ts.21cn.com/tousu/show/id/1369209")</f>
      </c>
      <c r="G4459" t="s" s="2">
        <v>17</v>
      </c>
      <c r="H4459" t="s" s="2">
        <v>19</v>
      </c>
      <c r="I4459" t="s" s="2">
        <v>17345</v>
      </c>
      <c r="J4459" t="s" s="2">
        <v>17346</v>
      </c>
      <c r="K4459" t="s" s="2">
        <v>22</v>
      </c>
      <c r="L4459" t="s" s="2">
        <v>22</v>
      </c>
      <c r="M4459" t="s" s="2">
        <v>22</v>
      </c>
    </row>
    <row r="4460" ht="25.0" customHeight="true">
      <c r="A4460" t="s" s="2">
        <v>13</v>
      </c>
      <c r="B4460" t="s" s="2">
        <f>HYPERLINK("http://ts.21cn.com/tousu/show/id/1369245","玖富叮当高利贷，暴力催收，合同欺诈")</f>
      </c>
      <c r="C4460" t="s" s="2">
        <v>15</v>
      </c>
      <c r="D4460" t="s" s="2">
        <v>16</v>
      </c>
      <c r="E4460" t="s" s="2">
        <v>17</v>
      </c>
      <c r="F4460" t="s" s="2">
        <f>HYPERLINK("http://ts.21cn.com/tousu/show/id/1369245","http://ts.21cn.com/tousu/show/id/1369245")</f>
      </c>
      <c r="G4460" t="s" s="2">
        <v>17</v>
      </c>
      <c r="H4460" t="s" s="2">
        <v>19</v>
      </c>
      <c r="I4460" t="s" s="2">
        <v>17349</v>
      </c>
      <c r="J4460" t="s" s="2">
        <v>17350</v>
      </c>
      <c r="K4460" t="s" s="2">
        <v>22</v>
      </c>
      <c r="L4460" t="s" s="2">
        <v>22</v>
      </c>
      <c r="M4460" t="s" s="2">
        <v>22</v>
      </c>
    </row>
    <row r="4461" ht="25.0" customHeight="true">
      <c r="A4461" t="s" s="2">
        <v>13</v>
      </c>
      <c r="B4461" t="s" s="2">
        <f>HYPERLINK("http://ts.21cn.com/tousu/show/id/1369244","你我贷天天打一二十个电话还打通语录骚扰")</f>
      </c>
      <c r="C4461" t="s" s="2">
        <v>15</v>
      </c>
      <c r="D4461" t="s" s="2">
        <v>16</v>
      </c>
      <c r="E4461" t="s" s="2">
        <v>17</v>
      </c>
      <c r="F4461" t="s" s="2">
        <f>HYPERLINK("http://ts.21cn.com/tousu/show/id/1369244","http://ts.21cn.com/tousu/show/id/1369244")</f>
      </c>
      <c r="G4461" t="s" s="2">
        <v>17</v>
      </c>
      <c r="H4461" t="s" s="2">
        <v>19</v>
      </c>
      <c r="I4461" t="s" s="2">
        <v>17353</v>
      </c>
      <c r="J4461" t="s" s="2">
        <v>17354</v>
      </c>
      <c r="K4461" t="s" s="2">
        <v>22</v>
      </c>
      <c r="L4461" t="s" s="2">
        <v>22</v>
      </c>
      <c r="M4461" t="s" s="2">
        <v>22</v>
      </c>
    </row>
    <row r="4462" ht="25.0" customHeight="true">
      <c r="A4462" t="s" s="2">
        <v>13</v>
      </c>
      <c r="B4462" t="s" s="2">
        <f>HYPERLINK("http://ts.21cn.com/tousu/show/id/1369242","富友支付为714高炮纸飞机提供支付通道")</f>
      </c>
      <c r="C4462" t="s" s="2">
        <v>52</v>
      </c>
      <c r="D4462" t="s" s="2">
        <v>16</v>
      </c>
      <c r="E4462" t="s" s="2">
        <v>17</v>
      </c>
      <c r="F4462" t="s" s="2">
        <f>HYPERLINK("http://ts.21cn.com/tousu/show/id/1369242","http://ts.21cn.com/tousu/show/id/1369242")</f>
      </c>
      <c r="G4462" t="s" s="2">
        <v>17</v>
      </c>
      <c r="H4462" t="s" s="2">
        <v>19</v>
      </c>
      <c r="I4462" t="s" s="2">
        <v>17357</v>
      </c>
      <c r="J4462" t="s" s="2">
        <v>17358</v>
      </c>
      <c r="K4462" t="s" s="2">
        <v>22</v>
      </c>
      <c r="L4462" t="s" s="2">
        <v>22</v>
      </c>
      <c r="M4462" t="s" s="2">
        <v>22</v>
      </c>
    </row>
    <row r="4463" ht="25.0" customHeight="true">
      <c r="A4463" t="s" s="2">
        <v>13</v>
      </c>
      <c r="B4463" t="s" s="2">
        <f>HYPERLINK("http://ts.21cn.com/tousu/show/id/1369212","小赢卡贷没经过本人协商骚扰公司电话")</f>
      </c>
      <c r="C4463" t="s" s="2">
        <v>15</v>
      </c>
      <c r="D4463" t="s" s="2">
        <v>16</v>
      </c>
      <c r="E4463" t="s" s="2">
        <v>17</v>
      </c>
      <c r="F4463" t="s" s="2">
        <f>HYPERLINK("http://ts.21cn.com/tousu/show/id/1369212","http://ts.21cn.com/tousu/show/id/1369212")</f>
      </c>
      <c r="G4463" t="s" s="2">
        <v>17</v>
      </c>
      <c r="H4463" t="s" s="2">
        <v>19</v>
      </c>
      <c r="I4463" t="s" s="2">
        <v>17361</v>
      </c>
      <c r="J4463" t="s" s="2">
        <v>17362</v>
      </c>
      <c r="K4463" t="s" s="2">
        <v>22</v>
      </c>
      <c r="L4463" t="s" s="2">
        <v>22</v>
      </c>
      <c r="M4463" t="s" s="2">
        <v>22</v>
      </c>
    </row>
    <row r="4464" ht="25.0" customHeight="true">
      <c r="A4464" t="s" s="2">
        <v>13</v>
      </c>
      <c r="B4464" t="s" s="2">
        <f>HYPERLINK("http://ts.21cn.com/tousu/show/id/1369241","中信银行信用卡中心泄露个人信息")</f>
      </c>
      <c r="C4464" t="s" s="2">
        <v>15</v>
      </c>
      <c r="D4464" t="s" s="2">
        <v>16</v>
      </c>
      <c r="E4464" t="s" s="2">
        <v>17</v>
      </c>
      <c r="F4464" t="s" s="2">
        <f>HYPERLINK("http://ts.21cn.com/tousu/show/id/1369241","http://ts.21cn.com/tousu/show/id/1369241")</f>
      </c>
      <c r="G4464" t="s" s="2">
        <v>17</v>
      </c>
      <c r="H4464" t="s" s="2">
        <v>19</v>
      </c>
      <c r="I4464" t="s" s="2">
        <v>17365</v>
      </c>
      <c r="J4464" t="s" s="2">
        <v>17366</v>
      </c>
      <c r="K4464" t="s" s="2">
        <v>22</v>
      </c>
      <c r="L4464" t="s" s="2">
        <v>22</v>
      </c>
      <c r="M4464" t="s" s="2">
        <v>22</v>
      </c>
    </row>
    <row r="4465" ht="25.0" customHeight="true">
      <c r="A4465" t="s" s="2">
        <v>13</v>
      </c>
      <c r="B4465" t="s" s="2">
        <f>HYPERLINK("http://ts.21cn.com/tousu/show/id/1369239","拍拍贷高利贷，违法骚扰我和家人")</f>
      </c>
      <c r="C4465" t="s" s="2">
        <v>15</v>
      </c>
      <c r="D4465" t="s" s="2">
        <v>16</v>
      </c>
      <c r="E4465" t="s" s="2">
        <v>17</v>
      </c>
      <c r="F4465" t="s" s="2">
        <f>HYPERLINK("http://ts.21cn.com/tousu/show/id/1369239","http://ts.21cn.com/tousu/show/id/1369239")</f>
      </c>
      <c r="G4465" t="s" s="2">
        <v>17</v>
      </c>
      <c r="H4465" t="s" s="2">
        <v>19</v>
      </c>
      <c r="I4465" t="s" s="2">
        <v>17369</v>
      </c>
      <c r="J4465" t="s" s="2">
        <v>17370</v>
      </c>
      <c r="K4465" t="s" s="2">
        <v>22</v>
      </c>
      <c r="L4465" t="s" s="2">
        <v>22</v>
      </c>
      <c r="M4465" t="s" s="2">
        <v>22</v>
      </c>
    </row>
    <row r="4466" ht="25.0" customHeight="true">
      <c r="A4466" t="s" s="2">
        <v>13</v>
      </c>
      <c r="B4466" t="s" s="2">
        <f>HYPERLINK("http://ts.21cn.com/tousu/show/id/1369240","暴力催收，恐吓")</f>
      </c>
      <c r="C4466" t="s" s="2">
        <v>15</v>
      </c>
      <c r="D4466" t="s" s="2">
        <v>16</v>
      </c>
      <c r="E4466" t="s" s="2">
        <v>17</v>
      </c>
      <c r="F4466" t="s" s="2">
        <f>HYPERLINK("http://ts.21cn.com/tousu/show/id/1369240","http://ts.21cn.com/tousu/show/id/1369240")</f>
      </c>
      <c r="G4466" t="s" s="2">
        <v>17</v>
      </c>
      <c r="H4466" t="s" s="2">
        <v>19</v>
      </c>
      <c r="I4466" t="s" s="2">
        <v>17373</v>
      </c>
      <c r="J4466" t="s" s="2">
        <v>17374</v>
      </c>
      <c r="K4466" t="s" s="2">
        <v>22</v>
      </c>
      <c r="L4466" t="s" s="2">
        <v>22</v>
      </c>
      <c r="M4466" t="s" s="2">
        <v>22</v>
      </c>
    </row>
    <row r="4467" ht="25.0" customHeight="true">
      <c r="A4467" t="s" s="2">
        <v>13</v>
      </c>
      <c r="B4467" t="s" s="2">
        <f>HYPERLINK("http://ts.21cn.com/tousu/show/id/1369237","投诉京东金融为虚假配资股票平台提供入金通道")</f>
      </c>
      <c r="C4467" t="s" s="2">
        <v>15</v>
      </c>
      <c r="D4467" t="s" s="2">
        <v>16</v>
      </c>
      <c r="E4467" t="s" s="2">
        <v>17</v>
      </c>
      <c r="F4467" t="s" s="2">
        <f>HYPERLINK("http://ts.21cn.com/tousu/show/id/1369237","http://ts.21cn.com/tousu/show/id/1369237")</f>
      </c>
      <c r="G4467" t="s" s="2">
        <v>17</v>
      </c>
      <c r="H4467" t="s" s="2">
        <v>19</v>
      </c>
      <c r="I4467" t="s" s="2">
        <v>17377</v>
      </c>
      <c r="J4467" t="s" s="2">
        <v>17378</v>
      </c>
      <c r="K4467" t="s" s="2">
        <v>22</v>
      </c>
      <c r="L4467" t="s" s="2">
        <v>22</v>
      </c>
      <c r="M4467" t="s" s="2">
        <v>22</v>
      </c>
    </row>
    <row r="4468" ht="25.0" customHeight="true">
      <c r="A4468" t="s" s="2">
        <v>13</v>
      </c>
      <c r="B4468" t="s" s="2">
        <f>HYPERLINK("http://ts.21cn.com/tousu/show/id/1369236","现金巴士高利贷砍头息")</f>
      </c>
      <c r="C4468" t="s" s="2">
        <v>15</v>
      </c>
      <c r="D4468" t="s" s="2">
        <v>16</v>
      </c>
      <c r="E4468" t="s" s="2">
        <v>17</v>
      </c>
      <c r="F4468" t="s" s="2">
        <f>HYPERLINK("http://ts.21cn.com/tousu/show/id/1369236","http://ts.21cn.com/tousu/show/id/1369236")</f>
      </c>
      <c r="G4468" t="s" s="2">
        <v>17</v>
      </c>
      <c r="H4468" t="s" s="2">
        <v>19</v>
      </c>
      <c r="I4468" t="s" s="2">
        <v>17380</v>
      </c>
      <c r="J4468" t="s" s="2">
        <v>17381</v>
      </c>
      <c r="K4468" t="s" s="2">
        <v>22</v>
      </c>
      <c r="L4468" t="s" s="2">
        <v>22</v>
      </c>
      <c r="M4468" t="s" s="2">
        <v>22</v>
      </c>
    </row>
    <row r="4469" ht="25.0" customHeight="true">
      <c r="A4469" t="s" s="2">
        <v>13</v>
      </c>
      <c r="B4469" t="s" s="2">
        <f>HYPERLINK("http://ts.21cn.com/tousu/show/id/1369235","恶意扣款")</f>
      </c>
      <c r="C4469" t="s" s="2">
        <v>15</v>
      </c>
      <c r="D4469" t="s" s="2">
        <v>16</v>
      </c>
      <c r="E4469" t="s" s="2">
        <v>17</v>
      </c>
      <c r="F4469" t="s" s="2">
        <f>HYPERLINK("http://ts.21cn.com/tousu/show/id/1369235","http://ts.21cn.com/tousu/show/id/1369235")</f>
      </c>
      <c r="G4469" t="s" s="2">
        <v>17</v>
      </c>
      <c r="H4469" t="s" s="2">
        <v>19</v>
      </c>
      <c r="I4469" t="s" s="2">
        <v>17383</v>
      </c>
      <c r="J4469" t="s" s="2">
        <v>17384</v>
      </c>
      <c r="K4469" t="s" s="2">
        <v>22</v>
      </c>
      <c r="L4469" t="s" s="2">
        <v>22</v>
      </c>
      <c r="M4469" t="s" s="2">
        <v>22</v>
      </c>
    </row>
    <row r="4470" ht="25.0" customHeight="true">
      <c r="A4470" t="s" s="2">
        <v>13</v>
      </c>
      <c r="B4470" t="s" s="2">
        <f>HYPERLINK("http://ts.21cn.com/tousu/show/id/1369234","铁老哥心意转自身原因不能正常还款，又不主动联系，故意造成逾期，利息超高，要求减免逾期费用，并联系协商还款")</f>
      </c>
      <c r="C4470" t="s" s="2">
        <v>15</v>
      </c>
      <c r="D4470" t="s" s="2">
        <v>16</v>
      </c>
      <c r="E4470" t="s" s="2">
        <v>17</v>
      </c>
      <c r="F4470" t="s" s="2">
        <f>HYPERLINK("http://ts.21cn.com/tousu/show/id/1369234","http://ts.21cn.com/tousu/show/id/1369234")</f>
      </c>
      <c r="G4470" t="s" s="2">
        <v>17</v>
      </c>
      <c r="H4470" t="s" s="2">
        <v>19</v>
      </c>
      <c r="I4470" t="s" s="2">
        <v>17387</v>
      </c>
      <c r="J4470" t="s" s="2">
        <v>17388</v>
      </c>
      <c r="K4470" t="s" s="2">
        <v>22</v>
      </c>
      <c r="L4470" t="s" s="2">
        <v>22</v>
      </c>
      <c r="M4470" t="s" s="2">
        <v>22</v>
      </c>
    </row>
    <row r="4471" ht="25.0" customHeight="true">
      <c r="A4471" t="s" s="2">
        <v>13</v>
      </c>
      <c r="B4471" t="s" s="2">
        <f>HYPERLINK("http://ts.21cn.com/tousu/show/id/1369233","微粒贷在10分钟左右打了有10个电话辱骂等")</f>
      </c>
      <c r="C4471" t="s" s="2">
        <v>52</v>
      </c>
      <c r="D4471" t="s" s="2">
        <v>16</v>
      </c>
      <c r="E4471" t="s" s="2">
        <v>17</v>
      </c>
      <c r="F4471" t="s" s="2">
        <f>HYPERLINK("http://ts.21cn.com/tousu/show/id/1369233","http://ts.21cn.com/tousu/show/id/1369233")</f>
      </c>
      <c r="G4471" t="s" s="2">
        <v>17</v>
      </c>
      <c r="H4471" t="s" s="2">
        <v>19</v>
      </c>
      <c r="I4471" t="s" s="2">
        <v>17391</v>
      </c>
      <c r="J4471" t="s" s="2">
        <v>17392</v>
      </c>
      <c r="K4471" t="s" s="2">
        <v>22</v>
      </c>
      <c r="L4471" t="s" s="2">
        <v>22</v>
      </c>
      <c r="M4471" t="s" s="2">
        <v>22</v>
      </c>
    </row>
    <row r="4472" ht="25.0" customHeight="true">
      <c r="A4472" t="s" s="2">
        <v>13</v>
      </c>
      <c r="B4472" t="s" s="2">
        <f>HYPERLINK("http://ts.21cn.com/tousu/show/id/1369232","高利贷，短信威胁，催收人员打电话发短信骚扰家人")</f>
      </c>
      <c r="C4472" t="s" s="2">
        <v>15</v>
      </c>
      <c r="D4472" t="s" s="2">
        <v>16</v>
      </c>
      <c r="E4472" t="s" s="2">
        <v>17</v>
      </c>
      <c r="F4472" t="s" s="2">
        <f>HYPERLINK("http://ts.21cn.com/tousu/show/id/1369232","http://ts.21cn.com/tousu/show/id/1369232")</f>
      </c>
      <c r="G4472" t="s" s="2">
        <v>17</v>
      </c>
      <c r="H4472" t="s" s="2">
        <v>19</v>
      </c>
      <c r="I4472" t="s" s="2">
        <v>17395</v>
      </c>
      <c r="J4472" t="s" s="2">
        <v>17396</v>
      </c>
      <c r="K4472" t="s" s="2">
        <v>22</v>
      </c>
      <c r="L4472" t="s" s="2">
        <v>22</v>
      </c>
      <c r="M4472" t="s" s="2">
        <v>22</v>
      </c>
    </row>
    <row r="4473" ht="25.0" customHeight="true">
      <c r="A4473" t="s" s="2">
        <v>13</v>
      </c>
      <c r="B4473" t="s" s="2">
        <f>HYPERLINK("http://ts.21cn.com/tousu/show/id/1369231","火影帮高利贷+暴力催收")</f>
      </c>
      <c r="C4473" t="s" s="2">
        <v>15</v>
      </c>
      <c r="D4473" t="s" s="2">
        <v>16</v>
      </c>
      <c r="E4473" t="s" s="2">
        <v>17</v>
      </c>
      <c r="F4473" t="s" s="2">
        <f>HYPERLINK("http://ts.21cn.com/tousu/show/id/1369231","http://ts.21cn.com/tousu/show/id/1369231")</f>
      </c>
      <c r="G4473" t="s" s="2">
        <v>17</v>
      </c>
      <c r="H4473" t="s" s="2">
        <v>19</v>
      </c>
      <c r="I4473" t="s" s="2">
        <v>17399</v>
      </c>
      <c r="J4473" t="s" s="2">
        <v>17400</v>
      </c>
      <c r="K4473" t="s" s="2">
        <v>22</v>
      </c>
      <c r="L4473" t="s" s="2">
        <v>22</v>
      </c>
      <c r="M4473" t="s" s="2">
        <v>22</v>
      </c>
    </row>
    <row r="4474" ht="25.0" customHeight="true">
      <c r="A4474" t="s" s="2">
        <v>13</v>
      </c>
      <c r="B4474" t="s" s="2">
        <f>HYPERLINK("http://ts.21cn.com/tousu/show/id/1369230","闪电速借714高利贷暴力催收")</f>
      </c>
      <c r="C4474" t="s" s="2">
        <v>15</v>
      </c>
      <c r="D4474" t="s" s="2">
        <v>16</v>
      </c>
      <c r="E4474" t="s" s="2">
        <v>17</v>
      </c>
      <c r="F4474" t="s" s="2">
        <f>HYPERLINK("http://ts.21cn.com/tousu/show/id/1369230","http://ts.21cn.com/tousu/show/id/1369230")</f>
      </c>
      <c r="G4474" t="s" s="2">
        <v>17</v>
      </c>
      <c r="H4474" t="s" s="2">
        <v>19</v>
      </c>
      <c r="I4474" t="s" s="2">
        <v>17403</v>
      </c>
      <c r="J4474" t="s" s="2">
        <v>17404</v>
      </c>
      <c r="K4474" t="s" s="2">
        <v>22</v>
      </c>
      <c r="L4474" t="s" s="2">
        <v>22</v>
      </c>
      <c r="M4474" t="s" s="2">
        <v>22</v>
      </c>
    </row>
    <row r="4475" ht="25.0" customHeight="true">
      <c r="A4475" t="s" s="2">
        <v>13</v>
      </c>
      <c r="B4475" t="s" s="2">
        <f>HYPERLINK("http://ts.21cn.com/tousu/show/id/1369227","贷上钱以买游戏豆为由收取高额贷款通过费")</f>
      </c>
      <c r="C4475" t="s" s="2">
        <v>15</v>
      </c>
      <c r="D4475" t="s" s="2">
        <v>16</v>
      </c>
      <c r="E4475" t="s" s="2">
        <v>17</v>
      </c>
      <c r="F4475" t="s" s="2">
        <f>HYPERLINK("http://ts.21cn.com/tousu/show/id/1369227","http://ts.21cn.com/tousu/show/id/1369227")</f>
      </c>
      <c r="G4475" t="s" s="2">
        <v>17</v>
      </c>
      <c r="H4475" t="s" s="2">
        <v>19</v>
      </c>
      <c r="I4475" t="s" s="2">
        <v>17406</v>
      </c>
      <c r="J4475" t="s" s="2">
        <v>17407</v>
      </c>
      <c r="K4475" t="s" s="2">
        <v>22</v>
      </c>
      <c r="L4475" t="s" s="2">
        <v>22</v>
      </c>
      <c r="M4475" t="s" s="2">
        <v>22</v>
      </c>
    </row>
    <row r="4476" ht="25.0" customHeight="true">
      <c r="A4476" t="s" s="2">
        <v>13</v>
      </c>
      <c r="B4476" t="s" s="2">
        <f>HYPERLINK("http://ts.21cn.com/tousu/show/id/1369198","拒绝开具结清证明，诱导人开通会员")</f>
      </c>
      <c r="C4476" t="s" s="2">
        <v>15</v>
      </c>
      <c r="D4476" t="s" s="2">
        <v>16</v>
      </c>
      <c r="E4476" t="s" s="2">
        <v>17</v>
      </c>
      <c r="F4476" t="s" s="2">
        <f>HYPERLINK("http://ts.21cn.com/tousu/show/id/1369198","http://ts.21cn.com/tousu/show/id/1369198")</f>
      </c>
      <c r="G4476" t="s" s="2">
        <v>17</v>
      </c>
      <c r="H4476" t="s" s="2">
        <v>19</v>
      </c>
      <c r="I4476" t="s" s="2">
        <v>17410</v>
      </c>
      <c r="J4476" t="s" s="2">
        <v>17411</v>
      </c>
      <c r="K4476" t="s" s="2">
        <v>22</v>
      </c>
      <c r="L4476" t="s" s="2">
        <v>22</v>
      </c>
      <c r="M4476" t="s" s="2">
        <v>22</v>
      </c>
    </row>
    <row r="4477" ht="25.0" customHeight="true">
      <c r="A4477" t="s" s="2">
        <v>13</v>
      </c>
      <c r="B4477" t="s" s="2">
        <f>HYPERLINK("http://ts.21cn.com/tousu/show/id/1369229","虫虫快借高利贷")</f>
      </c>
      <c r="C4477" t="s" s="2">
        <v>15</v>
      </c>
      <c r="D4477" t="s" s="2">
        <v>16</v>
      </c>
      <c r="E4477" t="s" s="2">
        <v>17</v>
      </c>
      <c r="F4477" t="s" s="2">
        <f>HYPERLINK("http://ts.21cn.com/tousu/show/id/1369229","http://ts.21cn.com/tousu/show/id/1369229")</f>
      </c>
      <c r="G4477" t="s" s="2">
        <v>17</v>
      </c>
      <c r="H4477" t="s" s="2">
        <v>19</v>
      </c>
      <c r="I4477" t="s" s="2">
        <v>17414</v>
      </c>
      <c r="J4477" t="s" s="2">
        <v>17415</v>
      </c>
      <c r="K4477" t="s" s="2">
        <v>22</v>
      </c>
      <c r="L4477" t="s" s="2">
        <v>22</v>
      </c>
      <c r="M4477" t="s" s="2">
        <v>22</v>
      </c>
    </row>
    <row r="4478" ht="25.0" customHeight="true">
      <c r="A4478" t="s" s="2">
        <v>13</v>
      </c>
      <c r="B4478" t="s" s="2">
        <f>HYPERLINK("http://ts.21cn.com/tousu/show/id/1369226","拼多多无缘无故扣款")</f>
      </c>
      <c r="C4478" t="s" s="2">
        <v>15</v>
      </c>
      <c r="D4478" t="s" s="2">
        <v>16</v>
      </c>
      <c r="E4478" t="s" s="2">
        <v>17</v>
      </c>
      <c r="F4478" t="s" s="2">
        <f>HYPERLINK("http://ts.21cn.com/tousu/show/id/1369226","http://ts.21cn.com/tousu/show/id/1369226")</f>
      </c>
      <c r="G4478" t="s" s="2">
        <v>17</v>
      </c>
      <c r="H4478" t="s" s="2">
        <v>19</v>
      </c>
      <c r="I4478" t="s" s="2">
        <v>17418</v>
      </c>
      <c r="J4478" t="s" s="2">
        <v>17419</v>
      </c>
      <c r="K4478" t="s" s="2">
        <v>22</v>
      </c>
      <c r="L4478" t="s" s="2">
        <v>22</v>
      </c>
      <c r="M4478" t="s" s="2">
        <v>22</v>
      </c>
    </row>
    <row r="4479" ht="25.0" customHeight="true">
      <c r="A4479" t="s" s="2">
        <v>13</v>
      </c>
      <c r="B4479" t="s" s="2">
        <f>HYPERLINK("http://ts.21cn.com/tousu/show/id/1369228","平安普惠频繁电话骚扰公司同学")</f>
      </c>
      <c r="C4479" t="s" s="2">
        <v>15</v>
      </c>
      <c r="D4479" t="s" s="2">
        <v>16</v>
      </c>
      <c r="E4479" t="s" s="2">
        <v>17</v>
      </c>
      <c r="F4479" t="s" s="2">
        <f>HYPERLINK("http://ts.21cn.com/tousu/show/id/1369228","http://ts.21cn.com/tousu/show/id/1369228")</f>
      </c>
      <c r="G4479" t="s" s="2">
        <v>17</v>
      </c>
      <c r="H4479" t="s" s="2">
        <v>19</v>
      </c>
      <c r="I4479" t="s" s="2">
        <v>17422</v>
      </c>
      <c r="J4479" t="s" s="2">
        <v>17423</v>
      </c>
      <c r="K4479" t="s" s="2">
        <v>22</v>
      </c>
      <c r="L4479" t="s" s="2">
        <v>22</v>
      </c>
      <c r="M4479" t="s" s="2">
        <v>22</v>
      </c>
    </row>
    <row r="4480" ht="25.0" customHeight="true">
      <c r="A4480" t="s" s="2">
        <v>13</v>
      </c>
      <c r="B4480" t="s" s="2">
        <f>HYPERLINK("http://ts.21cn.com/tousu/show/id/1369224","办理贷款在未到账情况下收取手续费！")</f>
      </c>
      <c r="C4480" t="s" s="2">
        <v>15</v>
      </c>
      <c r="D4480" t="s" s="2">
        <v>16</v>
      </c>
      <c r="E4480" t="s" s="2">
        <v>17</v>
      </c>
      <c r="F4480" t="s" s="2">
        <f>HYPERLINK("http://ts.21cn.com/tousu/show/id/1369224","http://ts.21cn.com/tousu/show/id/1369224")</f>
      </c>
      <c r="G4480" t="s" s="2">
        <v>17</v>
      </c>
      <c r="H4480" t="s" s="2">
        <v>19</v>
      </c>
      <c r="I4480" t="s" s="2">
        <v>17426</v>
      </c>
      <c r="J4480" t="s" s="2">
        <v>17427</v>
      </c>
      <c r="K4480" t="s" s="2">
        <v>22</v>
      </c>
      <c r="L4480" t="s" s="2">
        <v>22</v>
      </c>
      <c r="M4480" t="s" s="2">
        <v>22</v>
      </c>
    </row>
    <row r="4481" ht="25.0" customHeight="true">
      <c r="A4481" t="s" s="2">
        <v>13</v>
      </c>
      <c r="B4481" t="s" s="2">
        <f>HYPERLINK("http://ts.21cn.com/tousu/show/id/1369223","水象分期退回砍头息")</f>
      </c>
      <c r="C4481" t="s" s="2">
        <v>52</v>
      </c>
      <c r="D4481" t="s" s="2">
        <v>16</v>
      </c>
      <c r="E4481" t="s" s="2">
        <v>17</v>
      </c>
      <c r="F4481" t="s" s="2">
        <f>HYPERLINK("http://ts.21cn.com/tousu/show/id/1369223","http://ts.21cn.com/tousu/show/id/1369223")</f>
      </c>
      <c r="G4481" t="s" s="2">
        <v>17</v>
      </c>
      <c r="H4481" t="s" s="2">
        <v>19</v>
      </c>
      <c r="I4481" t="s" s="2">
        <v>17430</v>
      </c>
      <c r="J4481" t="s" s="2">
        <v>17431</v>
      </c>
      <c r="K4481" t="s" s="2">
        <v>22</v>
      </c>
      <c r="L4481" t="s" s="2">
        <v>22</v>
      </c>
      <c r="M4481" t="s" s="2">
        <v>22</v>
      </c>
    </row>
    <row r="4482" ht="25.0" customHeight="true">
      <c r="A4482" t="s" s="2">
        <v>13</v>
      </c>
      <c r="B4482" t="s" s="2">
        <f>HYPERLINK("http://ts.21cn.com/tousu/show/id/1369222","拍拍贷电话轰炸放校园贷")</f>
      </c>
      <c r="C4482" t="s" s="2">
        <v>15</v>
      </c>
      <c r="D4482" t="s" s="2">
        <v>16</v>
      </c>
      <c r="E4482" t="s" s="2">
        <v>17</v>
      </c>
      <c r="F4482" t="s" s="2">
        <f>HYPERLINK("http://ts.21cn.com/tousu/show/id/1369222","http://ts.21cn.com/tousu/show/id/1369222")</f>
      </c>
      <c r="G4482" t="s" s="2">
        <v>17</v>
      </c>
      <c r="H4482" t="s" s="2">
        <v>19</v>
      </c>
      <c r="I4482" t="s" s="2">
        <v>17434</v>
      </c>
      <c r="J4482" t="s" s="2">
        <v>17435</v>
      </c>
      <c r="K4482" t="s" s="2">
        <v>22</v>
      </c>
      <c r="L4482" t="s" s="2">
        <v>22</v>
      </c>
      <c r="M4482" t="s" s="2">
        <v>22</v>
      </c>
    </row>
    <row r="4483" ht="25.0" customHeight="true">
      <c r="A4483" t="s" s="2">
        <v>13</v>
      </c>
      <c r="B4483" t="s" s="2">
        <f>HYPERLINK("http://ts.21cn.com/tousu/show/id/1369221","威胁爆通讯录骚扰亲朋好友")</f>
      </c>
      <c r="C4483" t="s" s="2">
        <v>15</v>
      </c>
      <c r="D4483" t="s" s="2">
        <v>16</v>
      </c>
      <c r="E4483" t="s" s="2">
        <v>17</v>
      </c>
      <c r="F4483" t="s" s="2">
        <f>HYPERLINK("http://ts.21cn.com/tousu/show/id/1369221","http://ts.21cn.com/tousu/show/id/1369221")</f>
      </c>
      <c r="G4483" t="s" s="2">
        <v>17</v>
      </c>
      <c r="H4483" t="s" s="2">
        <v>19</v>
      </c>
      <c r="I4483" t="s" s="2">
        <v>17438</v>
      </c>
      <c r="J4483" t="s" s="2">
        <v>17439</v>
      </c>
      <c r="K4483" t="s" s="2">
        <v>22</v>
      </c>
      <c r="L4483" t="s" s="2">
        <v>22</v>
      </c>
      <c r="M4483" t="s" s="2">
        <v>22</v>
      </c>
    </row>
    <row r="4484" ht="25.0" customHeight="true">
      <c r="A4484" t="s" s="2">
        <v>13</v>
      </c>
      <c r="B4484" t="s" s="2">
        <f>HYPERLINK("http://ts.21cn.com/tousu/show/id/1369220","小雨点前期费用不合规，借三万还四万五，催收人身攻击，骚扰家人")</f>
      </c>
      <c r="C4484" t="s" s="2">
        <v>15</v>
      </c>
      <c r="D4484" t="s" s="2">
        <v>16</v>
      </c>
      <c r="E4484" t="s" s="2">
        <v>17</v>
      </c>
      <c r="F4484" t="s" s="2">
        <f>HYPERLINK("http://ts.21cn.com/tousu/show/id/1369220","http://ts.21cn.com/tousu/show/id/1369220")</f>
      </c>
      <c r="G4484" t="s" s="2">
        <v>17</v>
      </c>
      <c r="H4484" t="s" s="2">
        <v>19</v>
      </c>
      <c r="I4484" t="s" s="2">
        <v>17442</v>
      </c>
      <c r="J4484" t="s" s="2">
        <v>17443</v>
      </c>
      <c r="K4484" t="s" s="2">
        <v>22</v>
      </c>
      <c r="L4484" t="s" s="2">
        <v>22</v>
      </c>
      <c r="M4484" t="s" s="2">
        <v>22</v>
      </c>
    </row>
    <row r="4485" ht="25.0" customHeight="true">
      <c r="A4485" t="s" s="2">
        <v>13</v>
      </c>
      <c r="B4485" t="s" s="2">
        <f>HYPERLINK("http://ts.21cn.com/tousu/show/id/1369219","链家租赁房客欠费跑路，房屋损毁严重")</f>
      </c>
      <c r="C4485" t="s" s="2">
        <v>15</v>
      </c>
      <c r="D4485" t="s" s="2">
        <v>16</v>
      </c>
      <c r="E4485" t="s" s="2">
        <v>17</v>
      </c>
      <c r="F4485" t="s" s="2">
        <f>HYPERLINK("http://ts.21cn.com/tousu/show/id/1369219","http://ts.21cn.com/tousu/show/id/1369219")</f>
      </c>
      <c r="G4485" t="s" s="2">
        <v>17</v>
      </c>
      <c r="H4485" t="s" s="2">
        <v>19</v>
      </c>
      <c r="I4485" t="s" s="2">
        <v>17446</v>
      </c>
      <c r="J4485" t="s" s="2">
        <v>17447</v>
      </c>
      <c r="K4485" t="s" s="2">
        <v>22</v>
      </c>
      <c r="L4485" t="s" s="2">
        <v>22</v>
      </c>
      <c r="M4485" t="s" s="2">
        <v>22</v>
      </c>
    </row>
    <row r="4486" ht="25.0" customHeight="true">
      <c r="A4486" t="s" s="2">
        <v>13</v>
      </c>
      <c r="B4486" t="s" s="2">
        <f>HYPERLINK("http://ts.21cn.com/tousu/show/id/1369218","在淘集集的2000元保证金退不了")</f>
      </c>
      <c r="C4486" t="s" s="2">
        <v>15</v>
      </c>
      <c r="D4486" t="s" s="2">
        <v>16</v>
      </c>
      <c r="E4486" t="s" s="2">
        <v>17</v>
      </c>
      <c r="F4486" t="s" s="2">
        <f>HYPERLINK("http://ts.21cn.com/tousu/show/id/1369218","http://ts.21cn.com/tousu/show/id/1369218")</f>
      </c>
      <c r="G4486" t="s" s="2">
        <v>17</v>
      </c>
      <c r="H4486" t="s" s="2">
        <v>19</v>
      </c>
      <c r="I4486" t="s" s="2">
        <v>17449</v>
      </c>
      <c r="J4486" t="s" s="2">
        <v>17450</v>
      </c>
      <c r="K4486" t="s" s="2">
        <v>22</v>
      </c>
      <c r="L4486" t="s" s="2">
        <v>22</v>
      </c>
      <c r="M4486" t="s" s="2">
        <v>22</v>
      </c>
    </row>
    <row r="4487" ht="25.0" customHeight="true">
      <c r="A4487" t="s" s="2">
        <v>13</v>
      </c>
      <c r="B4487" t="s" s="2">
        <f>HYPERLINK("http://ts.21cn.com/tousu/show/id/1369217","牛人有品砍头息还泄露信息")</f>
      </c>
      <c r="C4487" t="s" s="2">
        <v>15</v>
      </c>
      <c r="D4487" t="s" s="2">
        <v>16</v>
      </c>
      <c r="E4487" t="s" s="2">
        <v>17</v>
      </c>
      <c r="F4487" t="s" s="2">
        <f>HYPERLINK("http://ts.21cn.com/tousu/show/id/1369217","http://ts.21cn.com/tousu/show/id/1369217")</f>
      </c>
      <c r="G4487" t="s" s="2">
        <v>17</v>
      </c>
      <c r="H4487" t="s" s="2">
        <v>19</v>
      </c>
      <c r="I4487" t="s" s="2">
        <v>17453</v>
      </c>
      <c r="J4487" t="s" s="2">
        <v>17454</v>
      </c>
      <c r="K4487" t="s" s="2">
        <v>22</v>
      </c>
      <c r="L4487" t="s" s="2">
        <v>22</v>
      </c>
      <c r="M4487" t="s" s="2">
        <v>22</v>
      </c>
    </row>
    <row r="4488" ht="25.0" customHeight="true">
      <c r="A4488" t="s" s="2">
        <v>13</v>
      </c>
      <c r="B4488" t="s" s="2">
        <f>HYPERLINK("http://ts.21cn.com/tousu/show/id/1369216","嘉联公司恶意吞我24000元")</f>
      </c>
      <c r="C4488" t="s" s="2">
        <v>15</v>
      </c>
      <c r="D4488" t="s" s="2">
        <v>16</v>
      </c>
      <c r="E4488" t="s" s="2">
        <v>17</v>
      </c>
      <c r="F4488" t="s" s="2">
        <f>HYPERLINK("http://ts.21cn.com/tousu/show/id/1369216","http://ts.21cn.com/tousu/show/id/1369216")</f>
      </c>
      <c r="G4488" t="s" s="2">
        <v>17</v>
      </c>
      <c r="H4488" t="s" s="2">
        <v>19</v>
      </c>
      <c r="I4488" t="s" s="2">
        <v>17457</v>
      </c>
      <c r="J4488" t="s" s="2">
        <v>17458</v>
      </c>
      <c r="K4488" t="s" s="2">
        <v>22</v>
      </c>
      <c r="L4488" t="s" s="2">
        <v>22</v>
      </c>
      <c r="M4488" t="s" s="2">
        <v>22</v>
      </c>
    </row>
    <row r="4489" ht="25.0" customHeight="true">
      <c r="A4489" t="s" s="2">
        <v>13</v>
      </c>
      <c r="B4489" t="s" s="2">
        <f>HYPERLINK("http://ts.21cn.com/tousu/show/id/1369214","省呗人员暴力催收")</f>
      </c>
      <c r="C4489" t="s" s="2">
        <v>15</v>
      </c>
      <c r="D4489" t="s" s="2">
        <v>16</v>
      </c>
      <c r="E4489" t="s" s="2">
        <v>17</v>
      </c>
      <c r="F4489" t="s" s="2">
        <f>HYPERLINK("http://ts.21cn.com/tousu/show/id/1369214","http://ts.21cn.com/tousu/show/id/1369214")</f>
      </c>
      <c r="G4489" t="s" s="2">
        <v>17</v>
      </c>
      <c r="H4489" t="s" s="2">
        <v>19</v>
      </c>
      <c r="I4489" t="s" s="2">
        <v>17461</v>
      </c>
      <c r="J4489" t="s" s="2">
        <v>17462</v>
      </c>
      <c r="K4489" t="s" s="2">
        <v>22</v>
      </c>
      <c r="L4489" t="s" s="2">
        <v>22</v>
      </c>
      <c r="M4489" t="s" s="2">
        <v>22</v>
      </c>
    </row>
    <row r="4490" ht="25.0" customHeight="true">
      <c r="A4490" t="s" s="2">
        <v>13</v>
      </c>
      <c r="B4490" t="s" s="2">
        <f>HYPERLINK("http://ts.21cn.com/tousu/show/id/1369213","美团无缘无故封我账号")</f>
      </c>
      <c r="C4490" t="s" s="2">
        <v>52</v>
      </c>
      <c r="D4490" t="s" s="2">
        <v>16</v>
      </c>
      <c r="E4490" t="s" s="2">
        <v>17</v>
      </c>
      <c r="F4490" t="s" s="2">
        <f>HYPERLINK("http://ts.21cn.com/tousu/show/id/1369213","http://ts.21cn.com/tousu/show/id/1369213")</f>
      </c>
      <c r="G4490" t="s" s="2">
        <v>17</v>
      </c>
      <c r="H4490" t="s" s="2">
        <v>19</v>
      </c>
      <c r="I4490" t="s" s="2">
        <v>17465</v>
      </c>
      <c r="J4490" t="s" s="2">
        <v>17466</v>
      </c>
      <c r="K4490" t="s" s="2">
        <v>22</v>
      </c>
      <c r="L4490" t="s" s="2">
        <v>22</v>
      </c>
      <c r="M4490" t="s" s="2">
        <v>22</v>
      </c>
    </row>
    <row r="4491" ht="25.0" customHeight="true">
      <c r="A4491" t="s" s="2">
        <v>13</v>
      </c>
      <c r="B4491" t="s" s="2">
        <f>HYPERLINK("http://ts.21cn.com/tousu/show/id/1369215","国美易卡账号无法注销")</f>
      </c>
      <c r="C4491" t="s" s="2">
        <v>52</v>
      </c>
      <c r="D4491" t="s" s="2">
        <v>16</v>
      </c>
      <c r="E4491" t="s" s="2">
        <v>17</v>
      </c>
      <c r="F4491" t="s" s="2">
        <f>HYPERLINK("http://ts.21cn.com/tousu/show/id/1369215","http://ts.21cn.com/tousu/show/id/1369215")</f>
      </c>
      <c r="G4491" t="s" s="2">
        <v>17</v>
      </c>
      <c r="H4491" t="s" s="2">
        <v>19</v>
      </c>
      <c r="I4491" t="s" s="2">
        <v>17469</v>
      </c>
      <c r="J4491" t="s" s="2">
        <v>17470</v>
      </c>
      <c r="K4491" t="s" s="2">
        <v>22</v>
      </c>
      <c r="L4491" t="s" s="2">
        <v>22</v>
      </c>
      <c r="M4491" t="s" s="2">
        <v>22</v>
      </c>
    </row>
    <row r="4492" ht="25.0" customHeight="true">
      <c r="A4492" t="s" s="2">
        <v>13</v>
      </c>
      <c r="B4492" t="s" s="2">
        <f>HYPERLINK("http://ts.21cn.com/tousu/show/id/1369210","广发信用卡高利贷")</f>
      </c>
      <c r="C4492" t="s" s="2">
        <v>15</v>
      </c>
      <c r="D4492" t="s" s="2">
        <v>16</v>
      </c>
      <c r="E4492" t="s" s="2">
        <v>17</v>
      </c>
      <c r="F4492" t="s" s="2">
        <f>HYPERLINK("http://ts.21cn.com/tousu/show/id/1369210","http://ts.21cn.com/tousu/show/id/1369210")</f>
      </c>
      <c r="G4492" t="s" s="2">
        <v>17</v>
      </c>
      <c r="H4492" t="s" s="2">
        <v>19</v>
      </c>
      <c r="I4492" t="s" s="2">
        <v>17473</v>
      </c>
      <c r="J4492" t="s" s="2">
        <v>17474</v>
      </c>
      <c r="K4492" t="s" s="2">
        <v>22</v>
      </c>
      <c r="L4492" t="s" s="2">
        <v>22</v>
      </c>
      <c r="M4492" t="s" s="2">
        <v>22</v>
      </c>
    </row>
    <row r="4493" ht="25.0" customHeight="true">
      <c r="A4493" t="s" s="2">
        <v>13</v>
      </c>
      <c r="B4493" t="s" s="2">
        <f>HYPERLINK("http://ts.21cn.com/tousu/show/id/1369208","维信卡卡贷利息太高")</f>
      </c>
      <c r="C4493" t="s" s="2">
        <v>15</v>
      </c>
      <c r="D4493" t="s" s="2">
        <v>16</v>
      </c>
      <c r="E4493" t="s" s="2">
        <v>17</v>
      </c>
      <c r="F4493" t="s" s="2">
        <f>HYPERLINK("http://ts.21cn.com/tousu/show/id/1369208","http://ts.21cn.com/tousu/show/id/1369208")</f>
      </c>
      <c r="G4493" t="s" s="2">
        <v>17</v>
      </c>
      <c r="H4493" t="s" s="2">
        <v>19</v>
      </c>
      <c r="I4493" t="s" s="2">
        <v>17477</v>
      </c>
      <c r="J4493" t="s" s="2">
        <v>17478</v>
      </c>
      <c r="K4493" t="s" s="2">
        <v>22</v>
      </c>
      <c r="L4493" t="s" s="2">
        <v>22</v>
      </c>
      <c r="M4493" t="s" s="2">
        <v>22</v>
      </c>
    </row>
    <row r="4494" ht="25.0" customHeight="true">
      <c r="A4494" t="s" s="2">
        <v>13</v>
      </c>
      <c r="B4494" t="s" s="2">
        <f>HYPERLINK("http://ts.21cn.com/tousu/show/id/1369207","钱包易贷暴力催收")</f>
      </c>
      <c r="C4494" t="s" s="2">
        <v>15</v>
      </c>
      <c r="D4494" t="s" s="2">
        <v>16</v>
      </c>
      <c r="E4494" t="s" s="2">
        <v>17</v>
      </c>
      <c r="F4494" t="s" s="2">
        <f>HYPERLINK("http://ts.21cn.com/tousu/show/id/1369207","http://ts.21cn.com/tousu/show/id/1369207")</f>
      </c>
      <c r="G4494" t="s" s="2">
        <v>17</v>
      </c>
      <c r="H4494" t="s" s="2">
        <v>19</v>
      </c>
      <c r="I4494" t="s" s="2">
        <v>17477</v>
      </c>
      <c r="J4494" t="s" s="2">
        <v>17481</v>
      </c>
      <c r="K4494" t="s" s="2">
        <v>22</v>
      </c>
      <c r="L4494" t="s" s="2">
        <v>22</v>
      </c>
      <c r="M4494" t="s" s="2">
        <v>22</v>
      </c>
    </row>
    <row r="4495" ht="25.0" customHeight="true">
      <c r="A4495" t="s" s="2">
        <v>13</v>
      </c>
      <c r="B4495" t="s" s="2">
        <f>HYPERLINK("http://ts.21cn.com/tousu/show/id/1369206","回收显示器后买家翼锋网质检通过后迟迟不打款")</f>
      </c>
      <c r="C4495" t="s" s="2">
        <v>52</v>
      </c>
      <c r="D4495" t="s" s="2">
        <v>16</v>
      </c>
      <c r="E4495" t="s" s="2">
        <v>17</v>
      </c>
      <c r="F4495" t="s" s="2">
        <f>HYPERLINK("http://ts.21cn.com/tousu/show/id/1369206","http://ts.21cn.com/tousu/show/id/1369206")</f>
      </c>
      <c r="G4495" t="s" s="2">
        <v>17</v>
      </c>
      <c r="H4495" t="s" s="2">
        <v>19</v>
      </c>
      <c r="I4495" t="s" s="2">
        <v>17484</v>
      </c>
      <c r="J4495" t="s" s="2">
        <v>17485</v>
      </c>
      <c r="K4495" t="s" s="2">
        <v>22</v>
      </c>
      <c r="L4495" t="s" s="2">
        <v>22</v>
      </c>
      <c r="M4495" t="s" s="2">
        <v>22</v>
      </c>
    </row>
    <row r="4496" ht="25.0" customHeight="true">
      <c r="A4496" t="s" s="2">
        <v>13</v>
      </c>
      <c r="B4496" t="s" s="2">
        <f>HYPERLINK("http://ts.21cn.com/tousu/show/id/1369204","推卸责任，对违规帐号不处理")</f>
      </c>
      <c r="C4496" t="s" s="2">
        <v>15</v>
      </c>
      <c r="D4496" t="s" s="2">
        <v>16</v>
      </c>
      <c r="E4496" t="s" s="2">
        <v>17</v>
      </c>
      <c r="F4496" t="s" s="2">
        <f>HYPERLINK("http://ts.21cn.com/tousu/show/id/1369204","http://ts.21cn.com/tousu/show/id/1369204")</f>
      </c>
      <c r="G4496" t="s" s="2">
        <v>17</v>
      </c>
      <c r="H4496" t="s" s="2">
        <v>19</v>
      </c>
      <c r="I4496" t="s" s="2">
        <v>17488</v>
      </c>
      <c r="J4496" t="s" s="2">
        <v>17489</v>
      </c>
      <c r="K4496" t="s" s="2">
        <v>22</v>
      </c>
      <c r="L4496" t="s" s="2">
        <v>22</v>
      </c>
      <c r="M4496" t="s" s="2">
        <v>22</v>
      </c>
    </row>
    <row r="4497" ht="25.0" customHeight="true">
      <c r="A4497" t="s" s="2">
        <v>13</v>
      </c>
      <c r="B4497" t="s" s="2">
        <f>HYPERLINK("http://ts.21cn.com/tousu/show/id/1369205","松紧贷暴力催收，辱骂本人")</f>
      </c>
      <c r="C4497" t="s" s="2">
        <v>15</v>
      </c>
      <c r="D4497" t="s" s="2">
        <v>16</v>
      </c>
      <c r="E4497" t="s" s="2">
        <v>17</v>
      </c>
      <c r="F4497" t="s" s="2">
        <f>HYPERLINK("http://ts.21cn.com/tousu/show/id/1369205","http://ts.21cn.com/tousu/show/id/1369205")</f>
      </c>
      <c r="G4497" t="s" s="2">
        <v>17</v>
      </c>
      <c r="H4497" t="s" s="2">
        <v>19</v>
      </c>
      <c r="I4497" t="s" s="2">
        <v>17492</v>
      </c>
      <c r="J4497" t="s" s="2">
        <v>17493</v>
      </c>
      <c r="K4497" t="s" s="2">
        <v>22</v>
      </c>
      <c r="L4497" t="s" s="2">
        <v>22</v>
      </c>
      <c r="M4497" t="s" s="2">
        <v>22</v>
      </c>
    </row>
    <row r="4498" ht="25.0" customHeight="true">
      <c r="A4498" t="s" s="2">
        <v>13</v>
      </c>
      <c r="B4498" t="s" s="2">
        <f>HYPERLINK("http://ts.21cn.com/tousu/show/id/1369203","安逸花暴力催收")</f>
      </c>
      <c r="C4498" t="s" s="2">
        <v>15</v>
      </c>
      <c r="D4498" t="s" s="2">
        <v>16</v>
      </c>
      <c r="E4498" t="s" s="2">
        <v>17</v>
      </c>
      <c r="F4498" t="s" s="2">
        <f>HYPERLINK("http://ts.21cn.com/tousu/show/id/1369203","http://ts.21cn.com/tousu/show/id/1369203")</f>
      </c>
      <c r="G4498" t="s" s="2">
        <v>17</v>
      </c>
      <c r="H4498" t="s" s="2">
        <v>19</v>
      </c>
      <c r="I4498" t="s" s="2">
        <v>17495</v>
      </c>
      <c r="J4498" t="s" s="2">
        <v>17496</v>
      </c>
      <c r="K4498" t="s" s="2">
        <v>22</v>
      </c>
      <c r="L4498" t="s" s="2">
        <v>22</v>
      </c>
      <c r="M4498" t="s" s="2">
        <v>22</v>
      </c>
    </row>
    <row r="4499" ht="25.0" customHeight="true">
      <c r="A4499" t="s" s="2">
        <v>13</v>
      </c>
      <c r="B4499" t="s" s="2">
        <f>HYPERLINK("http://ts.21cn.com/tousu/show/id/1369149","红上公司威胁电话")</f>
      </c>
      <c r="C4499" t="s" s="2">
        <v>15</v>
      </c>
      <c r="D4499" t="s" s="2">
        <v>16</v>
      </c>
      <c r="E4499" t="s" s="2">
        <v>17</v>
      </c>
      <c r="F4499" t="s" s="2">
        <f>HYPERLINK("http://ts.21cn.com/tousu/show/id/1369149","http://ts.21cn.com/tousu/show/id/1369149")</f>
      </c>
      <c r="G4499" t="s" s="2">
        <v>17</v>
      </c>
      <c r="H4499" t="s" s="2">
        <v>19</v>
      </c>
      <c r="I4499" t="s" s="2">
        <v>17499</v>
      </c>
      <c r="J4499" t="s" s="2">
        <v>17500</v>
      </c>
      <c r="K4499" t="s" s="2">
        <v>22</v>
      </c>
      <c r="L4499" t="s" s="2">
        <v>22</v>
      </c>
      <c r="M4499" t="s" s="2">
        <v>22</v>
      </c>
    </row>
    <row r="4500" ht="25.0" customHeight="true">
      <c r="A4500" t="s" s="2">
        <v>13</v>
      </c>
      <c r="B4500" t="s" s="2">
        <f>HYPERLINK("http://ts.21cn.com/tousu/show/id/1369202","恶意扣款")</f>
      </c>
      <c r="C4500" t="s" s="2">
        <v>15</v>
      </c>
      <c r="D4500" t="s" s="2">
        <v>16</v>
      </c>
      <c r="E4500" t="s" s="2">
        <v>17</v>
      </c>
      <c r="F4500" t="s" s="2">
        <f>HYPERLINK("http://ts.21cn.com/tousu/show/id/1369202","http://ts.21cn.com/tousu/show/id/1369202")</f>
      </c>
      <c r="G4500" t="s" s="2">
        <v>17</v>
      </c>
      <c r="H4500" t="s" s="2">
        <v>19</v>
      </c>
      <c r="I4500" t="s" s="2">
        <v>17502</v>
      </c>
      <c r="J4500" t="s" s="2">
        <v>17503</v>
      </c>
      <c r="K4500" t="s" s="2">
        <v>22</v>
      </c>
      <c r="L4500" t="s" s="2">
        <v>22</v>
      </c>
      <c r="M4500" t="s" s="2">
        <v>22</v>
      </c>
    </row>
    <row r="4501" ht="25.0" customHeight="true">
      <c r="A4501" t="s" s="2">
        <v>13</v>
      </c>
      <c r="B4501" t="s" s="2">
        <f>HYPERLINK("http://ts.21cn.com/tousu/show/id/1369201","夸大宣传各种套路吸引创业者支付9800元加入会员，创业项目条件限制多，加入后无售后服务等，存在欺诈")</f>
      </c>
      <c r="C4501" t="s" s="2">
        <v>15</v>
      </c>
      <c r="D4501" t="s" s="2">
        <v>16</v>
      </c>
      <c r="E4501" t="s" s="2">
        <v>17</v>
      </c>
      <c r="F4501" t="s" s="2">
        <f>HYPERLINK("http://ts.21cn.com/tousu/show/id/1369201","http://ts.21cn.com/tousu/show/id/1369201")</f>
      </c>
      <c r="G4501" t="s" s="2">
        <v>17</v>
      </c>
      <c r="H4501" t="s" s="2">
        <v>19</v>
      </c>
      <c r="I4501" t="s" s="2">
        <v>17502</v>
      </c>
      <c r="J4501" t="s" s="2">
        <v>17506</v>
      </c>
      <c r="K4501" t="s" s="2">
        <v>22</v>
      </c>
      <c r="L4501" t="s" s="2">
        <v>22</v>
      </c>
      <c r="M4501" t="s" s="2">
        <v>22</v>
      </c>
    </row>
    <row r="4502" ht="25.0" customHeight="true">
      <c r="A4502" t="s" s="2">
        <v>13</v>
      </c>
      <c r="B4502" t="s" s="2">
        <f>HYPERLINK("http://ts.21cn.com/tousu/show/id/1369211","去哪借玉米贷")</f>
      </c>
      <c r="C4502" t="s" s="2">
        <v>15</v>
      </c>
      <c r="D4502" t="s" s="2">
        <v>16</v>
      </c>
      <c r="E4502" t="s" s="2">
        <v>17</v>
      </c>
      <c r="F4502" t="s" s="2">
        <f>HYPERLINK("http://ts.21cn.com/tousu/show/id/1369211","http://ts.21cn.com/tousu/show/id/1369211")</f>
      </c>
      <c r="G4502" t="s" s="2">
        <v>17</v>
      </c>
      <c r="H4502" t="s" s="2">
        <v>19</v>
      </c>
      <c r="I4502" t="s" s="2">
        <v>17509</v>
      </c>
      <c r="J4502" t="s" s="2">
        <v>17510</v>
      </c>
      <c r="K4502" t="s" s="2">
        <v>22</v>
      </c>
      <c r="L4502" t="s" s="2">
        <v>22</v>
      </c>
      <c r="M4502" t="s" s="2">
        <v>22</v>
      </c>
    </row>
    <row r="4503" ht="25.0" customHeight="true">
      <c r="A4503" t="s" s="2">
        <v>13</v>
      </c>
      <c r="B4503" t="s" s="2">
        <f>HYPERLINK("http://ts.21cn.com/tousu/show/id/1369200","豆豆钱收取砍头息")</f>
      </c>
      <c r="C4503" t="s" s="2">
        <v>52</v>
      </c>
      <c r="D4503" t="s" s="2">
        <v>16</v>
      </c>
      <c r="E4503" t="s" s="2">
        <v>17</v>
      </c>
      <c r="F4503" t="s" s="2">
        <f>HYPERLINK("http://ts.21cn.com/tousu/show/id/1369200","http://ts.21cn.com/tousu/show/id/1369200")</f>
      </c>
      <c r="G4503" t="s" s="2">
        <v>17</v>
      </c>
      <c r="H4503" t="s" s="2">
        <v>19</v>
      </c>
      <c r="I4503" t="s" s="2">
        <v>17513</v>
      </c>
      <c r="J4503" t="s" s="2">
        <v>17514</v>
      </c>
      <c r="K4503" t="s" s="2">
        <v>22</v>
      </c>
      <c r="L4503" t="s" s="2">
        <v>22</v>
      </c>
      <c r="M4503" t="s" s="2">
        <v>22</v>
      </c>
    </row>
    <row r="4504" ht="25.0" customHeight="true">
      <c r="A4504" t="s" s="2">
        <v>13</v>
      </c>
      <c r="B4504" t="s" s="2">
        <f>HYPERLINK("http://ts.21cn.com/tousu/show/id/1369199","钱站工作人员天天致电我司")</f>
      </c>
      <c r="C4504" t="s" s="2">
        <v>15</v>
      </c>
      <c r="D4504" t="s" s="2">
        <v>16</v>
      </c>
      <c r="E4504" t="s" s="2">
        <v>17</v>
      </c>
      <c r="F4504" t="s" s="2">
        <f>HYPERLINK("http://ts.21cn.com/tousu/show/id/1369199","http://ts.21cn.com/tousu/show/id/1369199")</f>
      </c>
      <c r="G4504" t="s" s="2">
        <v>17</v>
      </c>
      <c r="H4504" t="s" s="2">
        <v>19</v>
      </c>
      <c r="I4504" t="s" s="2">
        <v>17517</v>
      </c>
      <c r="J4504" t="s" s="2">
        <v>17518</v>
      </c>
      <c r="K4504" t="s" s="2">
        <v>22</v>
      </c>
      <c r="L4504" t="s" s="2">
        <v>22</v>
      </c>
      <c r="M4504" t="s" s="2">
        <v>22</v>
      </c>
    </row>
    <row r="4505" ht="25.0" customHeight="true">
      <c r="A4505" t="s" s="2">
        <v>13</v>
      </c>
      <c r="B4505" t="s" s="2">
        <f>HYPERLINK("http://ts.21cn.com/tousu/show/id/1369196","特约中归还款")</f>
      </c>
      <c r="C4505" t="s" s="2">
        <v>15</v>
      </c>
      <c r="D4505" t="s" s="2">
        <v>16</v>
      </c>
      <c r="E4505" t="s" s="2">
        <v>17</v>
      </c>
      <c r="F4505" t="s" s="2">
        <f>HYPERLINK("http://ts.21cn.com/tousu/show/id/1369196","http://ts.21cn.com/tousu/show/id/1369196")</f>
      </c>
      <c r="G4505" t="s" s="2">
        <v>17</v>
      </c>
      <c r="H4505" t="s" s="2">
        <v>19</v>
      </c>
      <c r="I4505" t="s" s="2">
        <v>17521</v>
      </c>
      <c r="J4505" t="s" s="2">
        <v>17522</v>
      </c>
      <c r="K4505" t="s" s="2">
        <v>22</v>
      </c>
      <c r="L4505" t="s" s="2">
        <v>22</v>
      </c>
      <c r="M4505" t="s" s="2">
        <v>22</v>
      </c>
    </row>
    <row r="4506" ht="25.0" customHeight="true">
      <c r="A4506" t="s" s="2">
        <v>13</v>
      </c>
      <c r="B4506" t="s" s="2">
        <f>HYPERLINK("http://ts.21cn.com/tousu/show/id/1369197","闪电借款高额砍头息高利贷")</f>
      </c>
      <c r="C4506" t="s" s="2">
        <v>15</v>
      </c>
      <c r="D4506" t="s" s="2">
        <v>16</v>
      </c>
      <c r="E4506" t="s" s="2">
        <v>17</v>
      </c>
      <c r="F4506" t="s" s="2">
        <f>HYPERLINK("http://ts.21cn.com/tousu/show/id/1369197","http://ts.21cn.com/tousu/show/id/1369197")</f>
      </c>
      <c r="G4506" t="s" s="2">
        <v>17</v>
      </c>
      <c r="H4506" t="s" s="2">
        <v>19</v>
      </c>
      <c r="I4506" t="s" s="2">
        <v>17525</v>
      </c>
      <c r="J4506" t="s" s="2">
        <v>17526</v>
      </c>
      <c r="K4506" t="s" s="2">
        <v>22</v>
      </c>
      <c r="L4506" t="s" s="2">
        <v>22</v>
      </c>
      <c r="M4506" t="s" s="2">
        <v>22</v>
      </c>
    </row>
    <row r="4507" ht="25.0" customHeight="true">
      <c r="A4507" t="s" s="2">
        <v>13</v>
      </c>
      <c r="B4507" t="s" s="2">
        <f>HYPERLINK("http://ts.21cn.com/tousu/show/id/1369195","华夏信用催收")</f>
      </c>
      <c r="C4507" t="s" s="2">
        <v>15</v>
      </c>
      <c r="D4507" t="s" s="2">
        <v>16</v>
      </c>
      <c r="E4507" t="s" s="2">
        <v>17</v>
      </c>
      <c r="F4507" t="s" s="2">
        <f>HYPERLINK("http://ts.21cn.com/tousu/show/id/1369195","http://ts.21cn.com/tousu/show/id/1369195")</f>
      </c>
      <c r="G4507" t="s" s="2">
        <v>17</v>
      </c>
      <c r="H4507" t="s" s="2">
        <v>19</v>
      </c>
      <c r="I4507" t="s" s="2">
        <v>17529</v>
      </c>
      <c r="J4507" t="s" s="2">
        <v>17530</v>
      </c>
      <c r="K4507" t="s" s="2">
        <v>22</v>
      </c>
      <c r="L4507" t="s" s="2">
        <v>22</v>
      </c>
      <c r="M4507" t="s" s="2">
        <v>22</v>
      </c>
    </row>
    <row r="4508" ht="25.0" customHeight="true">
      <c r="A4508" t="s" s="2">
        <v>13</v>
      </c>
      <c r="B4508" t="s" s="2">
        <f>HYPERLINK("http://ts.21cn.com/tousu/show/id/1369194","闪电借款超国家规定收费，暴力催收")</f>
      </c>
      <c r="C4508" t="s" s="2">
        <v>15</v>
      </c>
      <c r="D4508" t="s" s="2">
        <v>16</v>
      </c>
      <c r="E4508" t="s" s="2">
        <v>17</v>
      </c>
      <c r="F4508" t="s" s="2">
        <f>HYPERLINK("http://ts.21cn.com/tousu/show/id/1369194","http://ts.21cn.com/tousu/show/id/1369194")</f>
      </c>
      <c r="G4508" t="s" s="2">
        <v>17</v>
      </c>
      <c r="H4508" t="s" s="2">
        <v>19</v>
      </c>
      <c r="I4508" t="s" s="2">
        <v>17532</v>
      </c>
      <c r="J4508" t="s" s="2">
        <v>17533</v>
      </c>
      <c r="K4508" t="s" s="2">
        <v>22</v>
      </c>
      <c r="L4508" t="s" s="2">
        <v>22</v>
      </c>
      <c r="M4508" t="s" s="2">
        <v>22</v>
      </c>
    </row>
    <row r="4509" ht="25.0" customHeight="true">
      <c r="A4509" t="s" s="2">
        <v>13</v>
      </c>
      <c r="B4509" t="s" s="2">
        <f>HYPERLINK("http://ts.21cn.com/tousu/show/id/1369193","立借平台钱置宝高利贷")</f>
      </c>
      <c r="C4509" t="s" s="2">
        <v>15</v>
      </c>
      <c r="D4509" t="s" s="2">
        <v>16</v>
      </c>
      <c r="E4509" t="s" s="2">
        <v>17</v>
      </c>
      <c r="F4509" t="s" s="2">
        <f>HYPERLINK("http://ts.21cn.com/tousu/show/id/1369193","http://ts.21cn.com/tousu/show/id/1369193")</f>
      </c>
      <c r="G4509" t="s" s="2">
        <v>17</v>
      </c>
      <c r="H4509" t="s" s="2">
        <v>19</v>
      </c>
      <c r="I4509" t="s" s="2">
        <v>17536</v>
      </c>
      <c r="J4509" t="s" s="2">
        <v>17537</v>
      </c>
      <c r="K4509" t="s" s="2">
        <v>22</v>
      </c>
      <c r="L4509" t="s" s="2">
        <v>22</v>
      </c>
      <c r="M4509" t="s" s="2">
        <v>22</v>
      </c>
    </row>
    <row r="4510" ht="25.0" customHeight="true">
      <c r="A4510" t="s" s="2">
        <v>13</v>
      </c>
      <c r="B4510" t="s" s="2">
        <f>HYPERLINK("http://ts.21cn.com/tousu/show/id/1369192","翼支付甜橙借钱开结清证明")</f>
      </c>
      <c r="C4510" t="s" s="2">
        <v>15</v>
      </c>
      <c r="D4510" t="s" s="2">
        <v>16</v>
      </c>
      <c r="E4510" t="s" s="2">
        <v>17</v>
      </c>
      <c r="F4510" t="s" s="2">
        <f>HYPERLINK("http://ts.21cn.com/tousu/show/id/1369192","http://ts.21cn.com/tousu/show/id/1369192")</f>
      </c>
      <c r="G4510" t="s" s="2">
        <v>17</v>
      </c>
      <c r="H4510" t="s" s="2">
        <v>19</v>
      </c>
      <c r="I4510" t="s" s="2">
        <v>17540</v>
      </c>
      <c r="J4510" t="s" s="2">
        <v>17541</v>
      </c>
      <c r="K4510" t="s" s="2">
        <v>22</v>
      </c>
      <c r="L4510" t="s" s="2">
        <v>22</v>
      </c>
      <c r="M4510" t="s" s="2">
        <v>22</v>
      </c>
    </row>
    <row r="4511" ht="25.0" customHeight="true">
      <c r="A4511" t="s" s="2">
        <v>13</v>
      </c>
      <c r="B4511" t="s" s="2">
        <f>HYPERLINK("http://ts.21cn.com/tousu/show/id/1369191","易宝支付集体投诉")</f>
      </c>
      <c r="C4511" t="s" s="2">
        <v>52</v>
      </c>
      <c r="D4511" t="s" s="2">
        <v>16</v>
      </c>
      <c r="E4511" t="s" s="2">
        <v>17</v>
      </c>
      <c r="F4511" t="s" s="2">
        <f>HYPERLINK("http://ts.21cn.com/tousu/show/id/1369191","http://ts.21cn.com/tousu/show/id/1369191")</f>
      </c>
      <c r="G4511" t="s" s="2">
        <v>17</v>
      </c>
      <c r="H4511" t="s" s="2">
        <v>19</v>
      </c>
      <c r="I4511" t="s" s="2">
        <v>17543</v>
      </c>
      <c r="J4511" t="s" s="2">
        <v>17544</v>
      </c>
      <c r="K4511" t="s" s="2">
        <v>22</v>
      </c>
      <c r="L4511" t="s" s="2">
        <v>22</v>
      </c>
      <c r="M4511" t="s" s="2">
        <v>22</v>
      </c>
    </row>
    <row r="4512" ht="25.0" customHeight="true">
      <c r="A4512" t="s" s="2">
        <v>13</v>
      </c>
      <c r="B4512" t="s" s="2">
        <f>HYPERLINK("http://ts.21cn.com/tousu/show/id/1369186","维信卡卡贷涉嫌诱导开会员")</f>
      </c>
      <c r="C4512" t="s" s="2">
        <v>15</v>
      </c>
      <c r="D4512" t="s" s="2">
        <v>16</v>
      </c>
      <c r="E4512" t="s" s="2">
        <v>17</v>
      </c>
      <c r="F4512" t="s" s="2">
        <f>HYPERLINK("http://ts.21cn.com/tousu/show/id/1369186","http://ts.21cn.com/tousu/show/id/1369186")</f>
      </c>
      <c r="G4512" t="s" s="2">
        <v>17</v>
      </c>
      <c r="H4512" t="s" s="2">
        <v>19</v>
      </c>
      <c r="I4512" t="s" s="2">
        <v>17547</v>
      </c>
      <c r="J4512" t="s" s="2">
        <v>17548</v>
      </c>
      <c r="K4512" t="s" s="2">
        <v>22</v>
      </c>
      <c r="L4512" t="s" s="2">
        <v>22</v>
      </c>
      <c r="M4512" t="s" s="2">
        <v>22</v>
      </c>
    </row>
    <row r="4513" ht="25.0" customHeight="true">
      <c r="A4513" t="s" s="2">
        <v>13</v>
      </c>
      <c r="B4513" t="s" s="2">
        <f>HYPERLINK("http://ts.21cn.com/tousu/show/id/1369190","你我贷高利贷承受不了")</f>
      </c>
      <c r="C4513" t="s" s="2">
        <v>15</v>
      </c>
      <c r="D4513" t="s" s="2">
        <v>16</v>
      </c>
      <c r="E4513" t="s" s="2">
        <v>17</v>
      </c>
      <c r="F4513" t="s" s="2">
        <f>HYPERLINK("http://ts.21cn.com/tousu/show/id/1369190","http://ts.21cn.com/tousu/show/id/1369190")</f>
      </c>
      <c r="G4513" t="s" s="2">
        <v>17</v>
      </c>
      <c r="H4513" t="s" s="2">
        <v>19</v>
      </c>
      <c r="I4513" t="s" s="2">
        <v>17551</v>
      </c>
      <c r="J4513" t="s" s="2">
        <v>17552</v>
      </c>
      <c r="K4513" t="s" s="2">
        <v>22</v>
      </c>
      <c r="L4513" t="s" s="2">
        <v>22</v>
      </c>
      <c r="M4513" t="s" s="2">
        <v>22</v>
      </c>
    </row>
    <row r="4514" ht="25.0" customHeight="true">
      <c r="A4514" t="s" s="2">
        <v>13</v>
      </c>
      <c r="B4514" t="s" s="2">
        <f>HYPERLINK("http://ts.21cn.com/tousu/show/id/1369189","达飞云贷暴击催收，威胁，收拾家人")</f>
      </c>
      <c r="C4514" t="s" s="2">
        <v>15</v>
      </c>
      <c r="D4514" t="s" s="2">
        <v>16</v>
      </c>
      <c r="E4514" t="s" s="2">
        <v>17</v>
      </c>
      <c r="F4514" t="s" s="2">
        <f>HYPERLINK("http://ts.21cn.com/tousu/show/id/1369189","http://ts.21cn.com/tousu/show/id/1369189")</f>
      </c>
      <c r="G4514" t="s" s="2">
        <v>17</v>
      </c>
      <c r="H4514" t="s" s="2">
        <v>19</v>
      </c>
      <c r="I4514" t="s" s="2">
        <v>17555</v>
      </c>
      <c r="J4514" t="s" s="2">
        <v>17556</v>
      </c>
      <c r="K4514" t="s" s="2">
        <v>22</v>
      </c>
      <c r="L4514" t="s" s="2">
        <v>22</v>
      </c>
      <c r="M4514" t="s" s="2">
        <v>22</v>
      </c>
    </row>
    <row r="4515" ht="25.0" customHeight="true">
      <c r="A4515" t="s" s="2">
        <v>13</v>
      </c>
      <c r="B4515" t="s" s="2">
        <f>HYPERLINK("http://ts.21cn.com/tousu/show/id/1369188","上门催收")</f>
      </c>
      <c r="C4515" t="s" s="2">
        <v>15</v>
      </c>
      <c r="D4515" t="s" s="2">
        <v>16</v>
      </c>
      <c r="E4515" t="s" s="2">
        <v>17</v>
      </c>
      <c r="F4515" t="s" s="2">
        <f>HYPERLINK("http://ts.21cn.com/tousu/show/id/1369188","http://ts.21cn.com/tousu/show/id/1369188")</f>
      </c>
      <c r="G4515" t="s" s="2">
        <v>17</v>
      </c>
      <c r="H4515" t="s" s="2">
        <v>19</v>
      </c>
      <c r="I4515" t="s" s="2">
        <v>17559</v>
      </c>
      <c r="J4515" t="s" s="2">
        <v>17560</v>
      </c>
      <c r="K4515" t="s" s="2">
        <v>22</v>
      </c>
      <c r="L4515" t="s" s="2">
        <v>22</v>
      </c>
      <c r="M4515" t="s" s="2">
        <v>22</v>
      </c>
    </row>
    <row r="4516" ht="25.0" customHeight="true">
      <c r="A4516" t="s" s="2">
        <v>13</v>
      </c>
      <c r="B4516" t="s" s="2">
        <f>HYPERLINK("http://ts.21cn.com/tousu/show/id/1369187","人人花乱扣费")</f>
      </c>
      <c r="C4516" t="s" s="2">
        <v>15</v>
      </c>
      <c r="D4516" t="s" s="2">
        <v>16</v>
      </c>
      <c r="E4516" t="s" s="2">
        <v>17</v>
      </c>
      <c r="F4516" t="s" s="2">
        <f>HYPERLINK("http://ts.21cn.com/tousu/show/id/1369187","http://ts.21cn.com/tousu/show/id/1369187")</f>
      </c>
      <c r="G4516" t="s" s="2">
        <v>17</v>
      </c>
      <c r="H4516" t="s" s="2">
        <v>19</v>
      </c>
      <c r="I4516" t="s" s="2">
        <v>17562</v>
      </c>
      <c r="J4516" t="s" s="2">
        <v>17563</v>
      </c>
      <c r="K4516" t="s" s="2">
        <v>22</v>
      </c>
      <c r="L4516" t="s" s="2">
        <v>22</v>
      </c>
      <c r="M4516" t="s" s="2">
        <v>22</v>
      </c>
    </row>
    <row r="4517" ht="25.0" customHeight="true">
      <c r="A4517" t="s" s="2">
        <v>13</v>
      </c>
      <c r="B4517" t="s" s="2">
        <f>HYPERLINK("http://ts.21cn.com/tousu/show/id/1369185","现金巴士恶心轰炸通讯录")</f>
      </c>
      <c r="C4517" t="s" s="2">
        <v>15</v>
      </c>
      <c r="D4517" t="s" s="2">
        <v>16</v>
      </c>
      <c r="E4517" t="s" s="2">
        <v>17</v>
      </c>
      <c r="F4517" t="s" s="2">
        <f>HYPERLINK("http://ts.21cn.com/tousu/show/id/1369185","http://ts.21cn.com/tousu/show/id/1369185")</f>
      </c>
      <c r="G4517" t="s" s="2">
        <v>17</v>
      </c>
      <c r="H4517" t="s" s="2">
        <v>19</v>
      </c>
      <c r="I4517" t="s" s="2">
        <v>17566</v>
      </c>
      <c r="J4517" t="s" s="2">
        <v>17567</v>
      </c>
      <c r="K4517" t="s" s="2">
        <v>22</v>
      </c>
      <c r="L4517" t="s" s="2">
        <v>22</v>
      </c>
      <c r="M4517" t="s" s="2">
        <v>22</v>
      </c>
    </row>
    <row r="4518" ht="25.0" customHeight="true">
      <c r="A4518" t="s" s="2">
        <v>13</v>
      </c>
      <c r="B4518" t="s" s="2">
        <f>HYPERLINK("http://ts.21cn.com/tousu/show/id/1369182","天天金钱app恶意扣款")</f>
      </c>
      <c r="C4518" t="s" s="2">
        <v>15</v>
      </c>
      <c r="D4518" t="s" s="2">
        <v>16</v>
      </c>
      <c r="E4518" t="s" s="2">
        <v>17</v>
      </c>
      <c r="F4518" t="s" s="2">
        <f>HYPERLINK("http://ts.21cn.com/tousu/show/id/1369182","http://ts.21cn.com/tousu/show/id/1369182")</f>
      </c>
      <c r="G4518" t="s" s="2">
        <v>17</v>
      </c>
      <c r="H4518" t="s" s="2">
        <v>19</v>
      </c>
      <c r="I4518" t="s" s="2">
        <v>17570</v>
      </c>
      <c r="J4518" t="s" s="2">
        <v>17571</v>
      </c>
      <c r="K4518" t="s" s="2">
        <v>22</v>
      </c>
      <c r="L4518" t="s" s="2">
        <v>22</v>
      </c>
      <c r="M4518" t="s" s="2">
        <v>22</v>
      </c>
    </row>
    <row r="4519" ht="25.0" customHeight="true">
      <c r="A4519" t="s" s="2">
        <v>13</v>
      </c>
      <c r="B4519" t="s" s="2">
        <f>HYPERLINK("http://ts.21cn.com/tousu/show/id/1369183","借了呗与本人协商还1330本金销账第二天又有催收人远打电话让再还570才能销账")</f>
      </c>
      <c r="C4519" t="s" s="2">
        <v>15</v>
      </c>
      <c r="D4519" t="s" s="2">
        <v>16</v>
      </c>
      <c r="E4519" t="s" s="2">
        <v>17</v>
      </c>
      <c r="F4519" t="s" s="2">
        <f>HYPERLINK("http://ts.21cn.com/tousu/show/id/1369183","http://ts.21cn.com/tousu/show/id/1369183")</f>
      </c>
      <c r="G4519" t="s" s="2">
        <v>17</v>
      </c>
      <c r="H4519" t="s" s="2">
        <v>19</v>
      </c>
      <c r="I4519" t="s" s="2">
        <v>17574</v>
      </c>
      <c r="J4519" t="s" s="2">
        <v>17575</v>
      </c>
      <c r="K4519" t="s" s="2">
        <v>22</v>
      </c>
      <c r="L4519" t="s" s="2">
        <v>22</v>
      </c>
      <c r="M4519" t="s" s="2">
        <v>22</v>
      </c>
    </row>
    <row r="4520" ht="25.0" customHeight="true">
      <c r="A4520" t="s" s="2">
        <v>13</v>
      </c>
      <c r="B4520" t="s" s="2">
        <f>HYPERLINK("http://ts.21cn.com/tousu/show/id/1369150","北京恒昌暴力催收套路贷")</f>
      </c>
      <c r="C4520" t="s" s="2">
        <v>15</v>
      </c>
      <c r="D4520" t="s" s="2">
        <v>16</v>
      </c>
      <c r="E4520" t="s" s="2">
        <v>17</v>
      </c>
      <c r="F4520" t="s" s="2">
        <f>HYPERLINK("http://ts.21cn.com/tousu/show/id/1369150","http://ts.21cn.com/tousu/show/id/1369150")</f>
      </c>
      <c r="G4520" t="s" s="2">
        <v>17</v>
      </c>
      <c r="H4520" t="s" s="2">
        <v>19</v>
      </c>
      <c r="I4520" t="s" s="2">
        <v>17578</v>
      </c>
      <c r="J4520" t="s" s="2">
        <v>17579</v>
      </c>
      <c r="K4520" t="s" s="2">
        <v>22</v>
      </c>
      <c r="L4520" t="s" s="2">
        <v>22</v>
      </c>
      <c r="M4520" t="s" s="2">
        <v>22</v>
      </c>
    </row>
    <row r="4521" ht="25.0" customHeight="true">
      <c r="A4521" t="s" s="2">
        <v>13</v>
      </c>
      <c r="B4521" t="s" s="2">
        <f>HYPERLINK("http://ts.21cn.com/tousu/show/id/1369181","升学教育售前售后态度不符，霸王条款，不予退款，班主任老师态度恶劣，要求退款")</f>
      </c>
      <c r="C4521" t="s" s="2">
        <v>15</v>
      </c>
      <c r="D4521" t="s" s="2">
        <v>16</v>
      </c>
      <c r="E4521" t="s" s="2">
        <v>17</v>
      </c>
      <c r="F4521" t="s" s="2">
        <f>HYPERLINK("http://ts.21cn.com/tousu/show/id/1369181","http://ts.21cn.com/tousu/show/id/1369181")</f>
      </c>
      <c r="G4521" t="s" s="2">
        <v>17</v>
      </c>
      <c r="H4521" t="s" s="2">
        <v>19</v>
      </c>
      <c r="I4521" t="s" s="2">
        <v>17582</v>
      </c>
      <c r="J4521" t="s" s="2">
        <v>17583</v>
      </c>
      <c r="K4521" t="s" s="2">
        <v>22</v>
      </c>
      <c r="L4521" t="s" s="2">
        <v>22</v>
      </c>
      <c r="M4521" t="s" s="2">
        <v>22</v>
      </c>
    </row>
    <row r="4522" ht="25.0" customHeight="true">
      <c r="A4522" t="s" s="2">
        <v>13</v>
      </c>
      <c r="B4522" t="s" s="2">
        <f>HYPERLINK("http://ts.21cn.com/tousu/show/id/1369180","宝付支付为广州瑞特网络科技有限公司（恒薪）（繁薪）714高炮提供支付通道要求退还砍头息")</f>
      </c>
      <c r="C4522" t="s" s="2">
        <v>52</v>
      </c>
      <c r="D4522" t="s" s="2">
        <v>16</v>
      </c>
      <c r="E4522" t="s" s="2">
        <v>17</v>
      </c>
      <c r="F4522" t="s" s="2">
        <f>HYPERLINK("http://ts.21cn.com/tousu/show/id/1369180","http://ts.21cn.com/tousu/show/id/1369180")</f>
      </c>
      <c r="G4522" t="s" s="2">
        <v>17</v>
      </c>
      <c r="H4522" t="s" s="2">
        <v>19</v>
      </c>
      <c r="I4522" t="s" s="2">
        <v>17586</v>
      </c>
      <c r="J4522" t="s" s="2">
        <v>17587</v>
      </c>
      <c r="K4522" t="s" s="2">
        <v>22</v>
      </c>
      <c r="L4522" t="s" s="2">
        <v>22</v>
      </c>
      <c r="M4522" t="s" s="2">
        <v>22</v>
      </c>
    </row>
    <row r="4523" ht="25.0" customHeight="true">
      <c r="A4523" t="s" s="2">
        <v>13</v>
      </c>
      <c r="B4523" t="s" s="2">
        <f>HYPERLINK("http://ts.21cn.com/tousu/show/id/1369179","变相高利贷")</f>
      </c>
      <c r="C4523" t="s" s="2">
        <v>15</v>
      </c>
      <c r="D4523" t="s" s="2">
        <v>16</v>
      </c>
      <c r="E4523" t="s" s="2">
        <v>17</v>
      </c>
      <c r="F4523" t="s" s="2">
        <f>HYPERLINK("http://ts.21cn.com/tousu/show/id/1369179","http://ts.21cn.com/tousu/show/id/1369179")</f>
      </c>
      <c r="G4523" t="s" s="2">
        <v>17</v>
      </c>
      <c r="H4523" t="s" s="2">
        <v>19</v>
      </c>
      <c r="I4523" t="s" s="2">
        <v>17590</v>
      </c>
      <c r="J4523" t="s" s="2">
        <v>17591</v>
      </c>
      <c r="K4523" t="s" s="2">
        <v>22</v>
      </c>
      <c r="L4523" t="s" s="2">
        <v>22</v>
      </c>
      <c r="M4523" t="s" s="2">
        <v>22</v>
      </c>
    </row>
    <row r="4524" ht="25.0" customHeight="true">
      <c r="A4524" t="s" s="2">
        <v>13</v>
      </c>
      <c r="B4524" t="s" s="2">
        <f>HYPERLINK("http://ts.21cn.com/tousu/show/id/1369178","360借条暴力催收")</f>
      </c>
      <c r="C4524" t="s" s="2">
        <v>15</v>
      </c>
      <c r="D4524" t="s" s="2">
        <v>16</v>
      </c>
      <c r="E4524" t="s" s="2">
        <v>17</v>
      </c>
      <c r="F4524" t="s" s="2">
        <f>HYPERLINK("http://ts.21cn.com/tousu/show/id/1369178","http://ts.21cn.com/tousu/show/id/1369178")</f>
      </c>
      <c r="G4524" t="s" s="2">
        <v>17</v>
      </c>
      <c r="H4524" t="s" s="2">
        <v>19</v>
      </c>
      <c r="I4524" t="s" s="2">
        <v>17593</v>
      </c>
      <c r="J4524" t="s" s="2">
        <v>17594</v>
      </c>
      <c r="K4524" t="s" s="2">
        <v>22</v>
      </c>
      <c r="L4524" t="s" s="2">
        <v>22</v>
      </c>
      <c r="M4524" t="s" s="2">
        <v>22</v>
      </c>
    </row>
    <row r="4525" ht="25.0" customHeight="true">
      <c r="A4525" t="s" s="2">
        <v>13</v>
      </c>
      <c r="B4525" t="s" s="2">
        <f>HYPERLINK("http://ts.21cn.com/tousu/show/id/1369177","玖富万卡强制分期，砍头息，强制执行")</f>
      </c>
      <c r="C4525" t="s" s="2">
        <v>15</v>
      </c>
      <c r="D4525" t="s" s="2">
        <v>16</v>
      </c>
      <c r="E4525" t="s" s="2">
        <v>17</v>
      </c>
      <c r="F4525" t="s" s="2">
        <f>HYPERLINK("http://ts.21cn.com/tousu/show/id/1369177","http://ts.21cn.com/tousu/show/id/1369177")</f>
      </c>
      <c r="G4525" t="s" s="2">
        <v>17</v>
      </c>
      <c r="H4525" t="s" s="2">
        <v>19</v>
      </c>
      <c r="I4525" t="s" s="2">
        <v>17597</v>
      </c>
      <c r="J4525" t="s" s="2">
        <v>17598</v>
      </c>
      <c r="K4525" t="s" s="2">
        <v>22</v>
      </c>
      <c r="L4525" t="s" s="2">
        <v>22</v>
      </c>
      <c r="M4525" t="s" s="2">
        <v>22</v>
      </c>
    </row>
    <row r="4526" ht="25.0" customHeight="true">
      <c r="A4526" t="s" s="2">
        <v>13</v>
      </c>
      <c r="B4526" t="s" s="2">
        <f>HYPERLINK("http://ts.21cn.com/tousu/show/id/1369176","亚滴新能源公司欺诈消费者")</f>
      </c>
      <c r="C4526" t="s" s="2">
        <v>15</v>
      </c>
      <c r="D4526" t="s" s="2">
        <v>16</v>
      </c>
      <c r="E4526" t="s" s="2">
        <v>17</v>
      </c>
      <c r="F4526" t="s" s="2">
        <f>HYPERLINK("http://ts.21cn.com/tousu/show/id/1369176","http://ts.21cn.com/tousu/show/id/1369176")</f>
      </c>
      <c r="G4526" t="s" s="2">
        <v>17</v>
      </c>
      <c r="H4526" t="s" s="2">
        <v>19</v>
      </c>
      <c r="I4526" t="s" s="2">
        <v>17601</v>
      </c>
      <c r="J4526" t="s" s="2">
        <v>17602</v>
      </c>
      <c r="K4526" t="s" s="2">
        <v>22</v>
      </c>
      <c r="L4526" t="s" s="2">
        <v>22</v>
      </c>
      <c r="M4526" t="s" s="2">
        <v>22</v>
      </c>
    </row>
    <row r="4527" ht="25.0" customHeight="true">
      <c r="A4527" t="s" s="2">
        <v>13</v>
      </c>
      <c r="B4527" t="s" s="2">
        <f>HYPERLINK("http://ts.21cn.com/tousu/show/id/1369174","捷信暴力催收")</f>
      </c>
      <c r="C4527" t="s" s="2">
        <v>15</v>
      </c>
      <c r="D4527" t="s" s="2">
        <v>16</v>
      </c>
      <c r="E4527" t="s" s="2">
        <v>17</v>
      </c>
      <c r="F4527" t="s" s="2">
        <f>HYPERLINK("http://ts.21cn.com/tousu/show/id/1369174","http://ts.21cn.com/tousu/show/id/1369174")</f>
      </c>
      <c r="G4527" t="s" s="2">
        <v>17</v>
      </c>
      <c r="H4527" t="s" s="2">
        <v>19</v>
      </c>
      <c r="I4527" t="s" s="2">
        <v>17605</v>
      </c>
      <c r="J4527" t="s" s="2">
        <v>17606</v>
      </c>
      <c r="K4527" t="s" s="2">
        <v>22</v>
      </c>
      <c r="L4527" t="s" s="2">
        <v>22</v>
      </c>
      <c r="M4527" t="s" s="2">
        <v>22</v>
      </c>
    </row>
    <row r="4528" ht="25.0" customHeight="true">
      <c r="A4528" t="s" s="2">
        <v>13</v>
      </c>
      <c r="B4528" t="s" s="2">
        <f>HYPERLINK("http://ts.21cn.com/tousu/show/id/1369173","暴力恶心人催收")</f>
      </c>
      <c r="C4528" t="s" s="2">
        <v>15</v>
      </c>
      <c r="D4528" t="s" s="2">
        <v>16</v>
      </c>
      <c r="E4528" t="s" s="2">
        <v>17</v>
      </c>
      <c r="F4528" t="s" s="2">
        <f>HYPERLINK("http://ts.21cn.com/tousu/show/id/1369173","http://ts.21cn.com/tousu/show/id/1369173")</f>
      </c>
      <c r="G4528" t="s" s="2">
        <v>17</v>
      </c>
      <c r="H4528" t="s" s="2">
        <v>19</v>
      </c>
      <c r="I4528" t="s" s="2">
        <v>17609</v>
      </c>
      <c r="J4528" t="s" s="2">
        <v>17610</v>
      </c>
      <c r="K4528" t="s" s="2">
        <v>22</v>
      </c>
      <c r="L4528" t="s" s="2">
        <v>22</v>
      </c>
      <c r="M4528" t="s" s="2">
        <v>22</v>
      </c>
    </row>
    <row r="4529" ht="25.0" customHeight="true">
      <c r="A4529" t="s" s="2">
        <v>13</v>
      </c>
      <c r="B4529" t="s" s="2">
        <f>HYPERLINK("http://ts.21cn.com/tousu/show/id/1369171","协商延期还款")</f>
      </c>
      <c r="C4529" t="s" s="2">
        <v>15</v>
      </c>
      <c r="D4529" t="s" s="2">
        <v>16</v>
      </c>
      <c r="E4529" t="s" s="2">
        <v>17</v>
      </c>
      <c r="F4529" t="s" s="2">
        <f>HYPERLINK("http://ts.21cn.com/tousu/show/id/1369171","http://ts.21cn.com/tousu/show/id/1369171")</f>
      </c>
      <c r="G4529" t="s" s="2">
        <v>17</v>
      </c>
      <c r="H4529" t="s" s="2">
        <v>19</v>
      </c>
      <c r="I4529" t="s" s="2">
        <v>17613</v>
      </c>
      <c r="J4529" t="s" s="2">
        <v>17614</v>
      </c>
      <c r="K4529" t="s" s="2">
        <v>22</v>
      </c>
      <c r="L4529" t="s" s="2">
        <v>22</v>
      </c>
      <c r="M4529" t="s" s="2">
        <v>22</v>
      </c>
    </row>
    <row r="4530" ht="25.0" customHeight="true">
      <c r="A4530" t="s" s="2">
        <v>13</v>
      </c>
      <c r="B4530" t="s" s="2">
        <f>HYPERLINK("http://ts.21cn.com/tousu/show/id/1369172","唯品花无故被永久停用")</f>
      </c>
      <c r="C4530" t="s" s="2">
        <v>15</v>
      </c>
      <c r="D4530" t="s" s="2">
        <v>16</v>
      </c>
      <c r="E4530" t="s" s="2">
        <v>17</v>
      </c>
      <c r="F4530" t="s" s="2">
        <f>HYPERLINK("http://ts.21cn.com/tousu/show/id/1369172","http://ts.21cn.com/tousu/show/id/1369172")</f>
      </c>
      <c r="G4530" t="s" s="2">
        <v>17</v>
      </c>
      <c r="H4530" t="s" s="2">
        <v>19</v>
      </c>
      <c r="I4530" t="s" s="2">
        <v>17617</v>
      </c>
      <c r="J4530" t="s" s="2">
        <v>17618</v>
      </c>
      <c r="K4530" t="s" s="2">
        <v>22</v>
      </c>
      <c r="L4530" t="s" s="2">
        <v>22</v>
      </c>
      <c r="M4530" t="s" s="2">
        <v>22</v>
      </c>
    </row>
    <row r="4531" ht="25.0" customHeight="true">
      <c r="A4531" t="s" s="2">
        <v>13</v>
      </c>
      <c r="B4531" t="s" s="2">
        <f>HYPERLINK("http://ts.21cn.com/tousu/show/id/1369170","聚福钱包恶意扣款")</f>
      </c>
      <c r="C4531" t="s" s="2">
        <v>15</v>
      </c>
      <c r="D4531" t="s" s="2">
        <v>16</v>
      </c>
      <c r="E4531" t="s" s="2">
        <v>17</v>
      </c>
      <c r="F4531" t="s" s="2">
        <f>HYPERLINK("http://ts.21cn.com/tousu/show/id/1369170","http://ts.21cn.com/tousu/show/id/1369170")</f>
      </c>
      <c r="G4531" t="s" s="2">
        <v>17</v>
      </c>
      <c r="H4531" t="s" s="2">
        <v>19</v>
      </c>
      <c r="I4531" t="s" s="2">
        <v>17621</v>
      </c>
      <c r="J4531" t="s" s="2">
        <v>17622</v>
      </c>
      <c r="K4531" t="s" s="2">
        <v>22</v>
      </c>
      <c r="L4531" t="s" s="2">
        <v>22</v>
      </c>
      <c r="M4531" t="s" s="2">
        <v>22</v>
      </c>
    </row>
    <row r="4532" ht="25.0" customHeight="true">
      <c r="A4532" t="s" s="2">
        <v>13</v>
      </c>
      <c r="B4532" t="s" s="2">
        <f>HYPERLINK("http://ts.21cn.com/tousu/show/id/1369132","银盛支付地推事先未说明要交298押金，")</f>
      </c>
      <c r="C4532" t="s" s="2">
        <v>52</v>
      </c>
      <c r="D4532" t="s" s="2">
        <v>16</v>
      </c>
      <c r="E4532" t="s" s="2">
        <v>17</v>
      </c>
      <c r="F4532" t="s" s="2">
        <f>HYPERLINK("http://ts.21cn.com/tousu/show/id/1369132","http://ts.21cn.com/tousu/show/id/1369132")</f>
      </c>
      <c r="G4532" t="s" s="2">
        <v>17</v>
      </c>
      <c r="H4532" t="s" s="2">
        <v>19</v>
      </c>
      <c r="I4532" t="s" s="2">
        <v>17625</v>
      </c>
      <c r="J4532" t="s" s="2">
        <v>17626</v>
      </c>
      <c r="K4532" t="s" s="2">
        <v>22</v>
      </c>
      <c r="L4532" t="s" s="2">
        <v>22</v>
      </c>
      <c r="M4532" t="s" s="2">
        <v>22</v>
      </c>
    </row>
    <row r="4533" ht="25.0" customHeight="true">
      <c r="A4533" t="s" s="2">
        <v>13</v>
      </c>
      <c r="B4533" t="s" s="2">
        <f>HYPERLINK("http://ts.21cn.com/tousu/show/id/1369169","多米贷高利贷，砍头息，利息还高")</f>
      </c>
      <c r="C4533" t="s" s="2">
        <v>15</v>
      </c>
      <c r="D4533" t="s" s="2">
        <v>16</v>
      </c>
      <c r="E4533" t="s" s="2">
        <v>17</v>
      </c>
      <c r="F4533" t="s" s="2">
        <f>HYPERLINK("http://ts.21cn.com/tousu/show/id/1369169","http://ts.21cn.com/tousu/show/id/1369169")</f>
      </c>
      <c r="G4533" t="s" s="2">
        <v>17</v>
      </c>
      <c r="H4533" t="s" s="2">
        <v>19</v>
      </c>
      <c r="I4533" t="s" s="2">
        <v>17629</v>
      </c>
      <c r="J4533" t="s" s="2">
        <v>17630</v>
      </c>
      <c r="K4533" t="s" s="2">
        <v>22</v>
      </c>
      <c r="L4533" t="s" s="2">
        <v>22</v>
      </c>
      <c r="M4533" t="s" s="2">
        <v>22</v>
      </c>
    </row>
    <row r="4534" ht="25.0" customHeight="true">
      <c r="A4534" t="s" s="2">
        <v>13</v>
      </c>
      <c r="B4534" t="s" s="2">
        <f>HYPERLINK("http://ts.21cn.com/tousu/show/id/1369167","连连支付为万贯街游戏714高炮提供支付通道")</f>
      </c>
      <c r="C4534" t="s" s="2">
        <v>52</v>
      </c>
      <c r="D4534" t="s" s="2">
        <v>16</v>
      </c>
      <c r="E4534" t="s" s="2">
        <v>17</v>
      </c>
      <c r="F4534" t="s" s="2">
        <f>HYPERLINK("http://ts.21cn.com/tousu/show/id/1369167","http://ts.21cn.com/tousu/show/id/1369167")</f>
      </c>
      <c r="G4534" t="s" s="2">
        <v>17</v>
      </c>
      <c r="H4534" t="s" s="2">
        <v>19</v>
      </c>
      <c r="I4534" t="s" s="2">
        <v>17633</v>
      </c>
      <c r="J4534" t="s" s="2">
        <v>17634</v>
      </c>
      <c r="K4534" t="s" s="2">
        <v>22</v>
      </c>
      <c r="L4534" t="s" s="2">
        <v>22</v>
      </c>
      <c r="M4534" t="s" s="2">
        <v>22</v>
      </c>
    </row>
    <row r="4535" ht="25.0" customHeight="true">
      <c r="A4535" t="s" s="2">
        <v>13</v>
      </c>
      <c r="B4535" t="s" s="2">
        <f>HYPERLINK("http://ts.21cn.com/tousu/show/id/1369168","平安惠普催收人员怂恿我在第三方平台贷款")</f>
      </c>
      <c r="C4535" t="s" s="2">
        <v>15</v>
      </c>
      <c r="D4535" t="s" s="2">
        <v>16</v>
      </c>
      <c r="E4535" t="s" s="2">
        <v>17</v>
      </c>
      <c r="F4535" t="s" s="2">
        <f>HYPERLINK("http://ts.21cn.com/tousu/show/id/1369168","http://ts.21cn.com/tousu/show/id/1369168")</f>
      </c>
      <c r="G4535" t="s" s="2">
        <v>17</v>
      </c>
      <c r="H4535" t="s" s="2">
        <v>19</v>
      </c>
      <c r="I4535" t="s" s="2">
        <v>17633</v>
      </c>
      <c r="J4535" t="s" s="2">
        <v>17637</v>
      </c>
      <c r="K4535" t="s" s="2">
        <v>22</v>
      </c>
      <c r="L4535" t="s" s="2">
        <v>22</v>
      </c>
      <c r="M4535" t="s" s="2">
        <v>22</v>
      </c>
    </row>
    <row r="4536" ht="25.0" customHeight="true">
      <c r="A4536" t="s" s="2">
        <v>13</v>
      </c>
      <c r="B4536" t="s" s="2">
        <f>HYPERLINK("http://ts.21cn.com/tousu/show/id/1369166","返还多收取的保险费及提前还款手续费和提现手续费")</f>
      </c>
      <c r="C4536" t="s" s="2">
        <v>15</v>
      </c>
      <c r="D4536" t="s" s="2">
        <v>16</v>
      </c>
      <c r="E4536" t="s" s="2">
        <v>17</v>
      </c>
      <c r="F4536" t="s" s="2">
        <f>HYPERLINK("http://ts.21cn.com/tousu/show/id/1369166","http://ts.21cn.com/tousu/show/id/1369166")</f>
      </c>
      <c r="G4536" t="s" s="2">
        <v>17</v>
      </c>
      <c r="H4536" t="s" s="2">
        <v>19</v>
      </c>
      <c r="I4536" t="s" s="2">
        <v>17640</v>
      </c>
      <c r="J4536" t="s" s="2">
        <v>17641</v>
      </c>
      <c r="K4536" t="s" s="2">
        <v>22</v>
      </c>
      <c r="L4536" t="s" s="2">
        <v>22</v>
      </c>
      <c r="M4536" t="s" s="2">
        <v>22</v>
      </c>
    </row>
    <row r="4537" ht="25.0" customHeight="true">
      <c r="A4537" t="s" s="2">
        <v>13</v>
      </c>
      <c r="B4537" t="s" s="2">
        <f>HYPERLINK("http://ts.21cn.com/tousu/show/id/1369165","金贝备套路贷高利贷")</f>
      </c>
      <c r="C4537" t="s" s="2">
        <v>15</v>
      </c>
      <c r="D4537" t="s" s="2">
        <v>16</v>
      </c>
      <c r="E4537" t="s" s="2">
        <v>17</v>
      </c>
      <c r="F4537" t="s" s="2">
        <f>HYPERLINK("http://ts.21cn.com/tousu/show/id/1369165","http://ts.21cn.com/tousu/show/id/1369165")</f>
      </c>
      <c r="G4537" t="s" s="2">
        <v>17</v>
      </c>
      <c r="H4537" t="s" s="2">
        <v>19</v>
      </c>
      <c r="I4537" t="s" s="2">
        <v>17644</v>
      </c>
      <c r="J4537" t="s" s="2">
        <v>17645</v>
      </c>
      <c r="K4537" t="s" s="2">
        <v>22</v>
      </c>
      <c r="L4537" t="s" s="2">
        <v>22</v>
      </c>
      <c r="M4537" t="s" s="2">
        <v>22</v>
      </c>
    </row>
    <row r="4538" ht="25.0" customHeight="true">
      <c r="A4538" t="s" s="2">
        <v>13</v>
      </c>
      <c r="B4538" t="s" s="2">
        <f>HYPERLINK("http://ts.21cn.com/tousu/show/id/1369164","玖富万卡高利贷严重骚扰我")</f>
      </c>
      <c r="C4538" t="s" s="2">
        <v>15</v>
      </c>
      <c r="D4538" t="s" s="2">
        <v>16</v>
      </c>
      <c r="E4538" t="s" s="2">
        <v>17</v>
      </c>
      <c r="F4538" t="s" s="2">
        <f>HYPERLINK("http://ts.21cn.com/tousu/show/id/1369164","http://ts.21cn.com/tousu/show/id/1369164")</f>
      </c>
      <c r="G4538" t="s" s="2">
        <v>17</v>
      </c>
      <c r="H4538" t="s" s="2">
        <v>19</v>
      </c>
      <c r="I4538" t="s" s="2">
        <v>17648</v>
      </c>
      <c r="J4538" t="s" s="2">
        <v>17649</v>
      </c>
      <c r="K4538" t="s" s="2">
        <v>22</v>
      </c>
      <c r="L4538" t="s" s="2">
        <v>22</v>
      </c>
      <c r="M4538" t="s" s="2">
        <v>22</v>
      </c>
    </row>
    <row r="4539" ht="25.0" customHeight="true">
      <c r="A4539" t="s" s="2">
        <v>13</v>
      </c>
      <c r="B4539" t="s" s="2">
        <f>HYPERLINK("http://ts.21cn.com/tousu/show/id/1369163","钱站，高利贷平台无中生有，未逾期各种骚扰短信暴力催收")</f>
      </c>
      <c r="C4539" t="s" s="2">
        <v>15</v>
      </c>
      <c r="D4539" t="s" s="2">
        <v>16</v>
      </c>
      <c r="E4539" t="s" s="2">
        <v>17</v>
      </c>
      <c r="F4539" t="s" s="2">
        <f>HYPERLINK("http://ts.21cn.com/tousu/show/id/1369163","http://ts.21cn.com/tousu/show/id/1369163")</f>
      </c>
      <c r="G4539" t="s" s="2">
        <v>17</v>
      </c>
      <c r="H4539" t="s" s="2">
        <v>19</v>
      </c>
      <c r="I4539" t="s" s="2">
        <v>17652</v>
      </c>
      <c r="J4539" t="s" s="2">
        <v>17653</v>
      </c>
      <c r="K4539" t="s" s="2">
        <v>22</v>
      </c>
      <c r="L4539" t="s" s="2">
        <v>22</v>
      </c>
      <c r="M4539" t="s" s="2">
        <v>22</v>
      </c>
    </row>
    <row r="4540" ht="25.0" customHeight="true">
      <c r="A4540" t="s" s="2">
        <v>13</v>
      </c>
      <c r="B4540" t="s" s="2">
        <f>HYPERLINK("http://ts.21cn.com/tousu/show/id/1369162","中信银行短信骚扰")</f>
      </c>
      <c r="C4540" t="s" s="2">
        <v>15</v>
      </c>
      <c r="D4540" t="s" s="2">
        <v>16</v>
      </c>
      <c r="E4540" t="s" s="2">
        <v>17</v>
      </c>
      <c r="F4540" t="s" s="2">
        <f>HYPERLINK("http://ts.21cn.com/tousu/show/id/1369162","http://ts.21cn.com/tousu/show/id/1369162")</f>
      </c>
      <c r="G4540" t="s" s="2">
        <v>17</v>
      </c>
      <c r="H4540" t="s" s="2">
        <v>19</v>
      </c>
      <c r="I4540" t="s" s="2">
        <v>17656</v>
      </c>
      <c r="J4540" t="s" s="2">
        <v>17657</v>
      </c>
      <c r="K4540" t="s" s="2">
        <v>22</v>
      </c>
      <c r="L4540" t="s" s="2">
        <v>22</v>
      </c>
      <c r="M4540" t="s" s="2">
        <v>22</v>
      </c>
    </row>
    <row r="4541" ht="25.0" customHeight="true">
      <c r="A4541" t="s" s="2">
        <v>13</v>
      </c>
      <c r="B4541" t="s" s="2">
        <f>HYPERLINK("http://ts.21cn.com/tousu/show/id/1369161","未履行合同，虚假诱导消费")</f>
      </c>
      <c r="C4541" t="s" s="2">
        <v>15</v>
      </c>
      <c r="D4541" t="s" s="2">
        <v>16</v>
      </c>
      <c r="E4541" t="s" s="2">
        <v>17</v>
      </c>
      <c r="F4541" t="s" s="2">
        <f>HYPERLINK("http://ts.21cn.com/tousu/show/id/1369161","http://ts.21cn.com/tousu/show/id/1369161")</f>
      </c>
      <c r="G4541" t="s" s="2">
        <v>17</v>
      </c>
      <c r="H4541" t="s" s="2">
        <v>19</v>
      </c>
      <c r="I4541" t="s" s="2">
        <v>17660</v>
      </c>
      <c r="J4541" t="s" s="2">
        <v>17661</v>
      </c>
      <c r="K4541" t="s" s="2">
        <v>22</v>
      </c>
      <c r="L4541" t="s" s="2">
        <v>22</v>
      </c>
      <c r="M4541" t="s" s="2">
        <v>22</v>
      </c>
    </row>
    <row r="4542" ht="25.0" customHeight="true">
      <c r="A4542" t="s" s="2">
        <v>13</v>
      </c>
      <c r="B4542" t="s" s="2">
        <f>HYPERLINK("http://ts.21cn.com/tousu/show/id/1369160","柯基贷（松紧贷）威胁爆通讯录")</f>
      </c>
      <c r="C4542" t="s" s="2">
        <v>15</v>
      </c>
      <c r="D4542" t="s" s="2">
        <v>16</v>
      </c>
      <c r="E4542" t="s" s="2">
        <v>17</v>
      </c>
      <c r="F4542" t="s" s="2">
        <f>HYPERLINK("http://ts.21cn.com/tousu/show/id/1369160","http://ts.21cn.com/tousu/show/id/1369160")</f>
      </c>
      <c r="G4542" t="s" s="2">
        <v>17</v>
      </c>
      <c r="H4542" t="s" s="2">
        <v>19</v>
      </c>
      <c r="I4542" t="s" s="2">
        <v>17664</v>
      </c>
      <c r="J4542" t="s" s="2">
        <v>17665</v>
      </c>
      <c r="K4542" t="s" s="2">
        <v>22</v>
      </c>
      <c r="L4542" t="s" s="2">
        <v>22</v>
      </c>
      <c r="M4542" t="s" s="2">
        <v>22</v>
      </c>
    </row>
    <row r="4543" ht="25.0" customHeight="true">
      <c r="A4543" t="s" s="2">
        <v>13</v>
      </c>
      <c r="B4543" t="s" s="2">
        <f>HYPERLINK("http://ts.21cn.com/tousu/show/id/1369158","威胁，恐吓，生命受到威胁")</f>
      </c>
      <c r="C4543" t="s" s="2">
        <v>15</v>
      </c>
      <c r="D4543" t="s" s="2">
        <v>16</v>
      </c>
      <c r="E4543" t="s" s="2">
        <v>17</v>
      </c>
      <c r="F4543" t="s" s="2">
        <f>HYPERLINK("http://ts.21cn.com/tousu/show/id/1369158","http://ts.21cn.com/tousu/show/id/1369158")</f>
      </c>
      <c r="G4543" t="s" s="2">
        <v>17</v>
      </c>
      <c r="H4543" t="s" s="2">
        <v>19</v>
      </c>
      <c r="I4543" t="s" s="2">
        <v>17668</v>
      </c>
      <c r="J4543" t="s" s="2">
        <v>17669</v>
      </c>
      <c r="K4543" t="s" s="2">
        <v>22</v>
      </c>
      <c r="L4543" t="s" s="2">
        <v>22</v>
      </c>
      <c r="M4543" t="s" s="2">
        <v>22</v>
      </c>
    </row>
    <row r="4544" ht="25.0" customHeight="true">
      <c r="A4544" t="s" s="2">
        <v>13</v>
      </c>
      <c r="B4544" t="s" s="2">
        <f>HYPERLINK("http://ts.21cn.com/tousu/show/id/1369159","退砍头息")</f>
      </c>
      <c r="C4544" t="s" s="2">
        <v>52</v>
      </c>
      <c r="D4544" t="s" s="2">
        <v>16</v>
      </c>
      <c r="E4544" t="s" s="2">
        <v>17</v>
      </c>
      <c r="F4544" t="s" s="2">
        <f>HYPERLINK("http://ts.21cn.com/tousu/show/id/1369159","http://ts.21cn.com/tousu/show/id/1369159")</f>
      </c>
      <c r="G4544" t="s" s="2">
        <v>17</v>
      </c>
      <c r="H4544" t="s" s="2">
        <v>19</v>
      </c>
      <c r="I4544" t="s" s="2">
        <v>17668</v>
      </c>
      <c r="J4544" t="s" s="2">
        <v>17672</v>
      </c>
      <c r="K4544" t="s" s="2">
        <v>22</v>
      </c>
      <c r="L4544" t="s" s="2">
        <v>22</v>
      </c>
      <c r="M4544" t="s" s="2">
        <v>22</v>
      </c>
    </row>
    <row r="4545" ht="25.0" customHeight="true">
      <c r="A4545" t="s" s="2">
        <v>13</v>
      </c>
      <c r="B4545" t="s" s="2">
        <f>HYPERLINK("http://ts.21cn.com/tousu/show/id/1369156","佰仟金融催用黑社会吓唬我，乱发我隐私")</f>
      </c>
      <c r="C4545" t="s" s="2">
        <v>15</v>
      </c>
      <c r="D4545" t="s" s="2">
        <v>16</v>
      </c>
      <c r="E4545" t="s" s="2">
        <v>17</v>
      </c>
      <c r="F4545" t="s" s="2">
        <f>HYPERLINK("http://ts.21cn.com/tousu/show/id/1369156","http://ts.21cn.com/tousu/show/id/1369156")</f>
      </c>
      <c r="G4545" t="s" s="2">
        <v>17</v>
      </c>
      <c r="H4545" t="s" s="2">
        <v>19</v>
      </c>
      <c r="I4545" t="s" s="2">
        <v>17675</v>
      </c>
      <c r="J4545" t="s" s="2">
        <v>17676</v>
      </c>
      <c r="K4545" t="s" s="2">
        <v>22</v>
      </c>
      <c r="L4545" t="s" s="2">
        <v>22</v>
      </c>
      <c r="M4545" t="s" s="2">
        <v>22</v>
      </c>
    </row>
    <row r="4546" ht="25.0" customHeight="true">
      <c r="A4546" t="s" s="2">
        <v>13</v>
      </c>
      <c r="B4546" t="s" s="2">
        <f>HYPERLINK("http://ts.21cn.com/tousu/show/id/1369155","高利贷，三个月利息百分之50")</f>
      </c>
      <c r="C4546" t="s" s="2">
        <v>15</v>
      </c>
      <c r="D4546" t="s" s="2">
        <v>16</v>
      </c>
      <c r="E4546" t="s" s="2">
        <v>17</v>
      </c>
      <c r="F4546" t="s" s="2">
        <f>HYPERLINK("http://ts.21cn.com/tousu/show/id/1369155","http://ts.21cn.com/tousu/show/id/1369155")</f>
      </c>
      <c r="G4546" t="s" s="2">
        <v>17</v>
      </c>
      <c r="H4546" t="s" s="2">
        <v>19</v>
      </c>
      <c r="I4546" t="s" s="2">
        <v>17679</v>
      </c>
      <c r="J4546" t="s" s="2">
        <v>17680</v>
      </c>
      <c r="K4546" t="s" s="2">
        <v>22</v>
      </c>
      <c r="L4546" t="s" s="2">
        <v>22</v>
      </c>
      <c r="M4546" t="s" s="2">
        <v>22</v>
      </c>
    </row>
    <row r="4547" ht="25.0" customHeight="true">
      <c r="A4547" t="s" s="2">
        <v>13</v>
      </c>
      <c r="B4547" t="s" s="2">
        <f>HYPERLINK("http://ts.21cn.com/tousu/show/id/1369144","多米贷高利贷，暴力催收，砍头息")</f>
      </c>
      <c r="C4547" t="s" s="2">
        <v>15</v>
      </c>
      <c r="D4547" t="s" s="2">
        <v>16</v>
      </c>
      <c r="E4547" t="s" s="2">
        <v>17</v>
      </c>
      <c r="F4547" t="s" s="2">
        <f>HYPERLINK("http://ts.21cn.com/tousu/show/id/1369144","http://ts.21cn.com/tousu/show/id/1369144")</f>
      </c>
      <c r="G4547" t="s" s="2">
        <v>17</v>
      </c>
      <c r="H4547" t="s" s="2">
        <v>19</v>
      </c>
      <c r="I4547" t="s" s="2">
        <v>17683</v>
      </c>
      <c r="J4547" t="s" s="2">
        <v>17684</v>
      </c>
      <c r="K4547" t="s" s="2">
        <v>22</v>
      </c>
      <c r="L4547" t="s" s="2">
        <v>22</v>
      </c>
      <c r="M4547" t="s" s="2">
        <v>22</v>
      </c>
    </row>
    <row r="4548" ht="25.0" customHeight="true">
      <c r="A4548" t="s" s="2">
        <v>13</v>
      </c>
      <c r="B4548" t="s" s="2">
        <f>HYPERLINK("http://ts.21cn.com/tousu/show/id/1369154","结清合同")</f>
      </c>
      <c r="C4548" t="s" s="2">
        <v>52</v>
      </c>
      <c r="D4548" t="s" s="2">
        <v>16</v>
      </c>
      <c r="E4548" t="s" s="2">
        <v>17</v>
      </c>
      <c r="F4548" t="s" s="2">
        <f>HYPERLINK("http://ts.21cn.com/tousu/show/id/1369154","http://ts.21cn.com/tousu/show/id/1369154")</f>
      </c>
      <c r="G4548" t="s" s="2">
        <v>17</v>
      </c>
      <c r="H4548" t="s" s="2">
        <v>19</v>
      </c>
      <c r="I4548" t="s" s="2">
        <v>17687</v>
      </c>
      <c r="J4548" t="s" s="2">
        <v>17688</v>
      </c>
      <c r="K4548" t="s" s="2">
        <v>22</v>
      </c>
      <c r="L4548" t="s" s="2">
        <v>22</v>
      </c>
      <c r="M4548" t="s" s="2">
        <v>22</v>
      </c>
    </row>
    <row r="4549" ht="25.0" customHeight="true">
      <c r="A4549" t="s" s="2">
        <v>13</v>
      </c>
      <c r="B4549" t="s" s="2">
        <f>HYPERLINK("http://ts.21cn.com/tousu/show/id/1369153","民航通会员卡虚假宣传")</f>
      </c>
      <c r="C4549" t="s" s="2">
        <v>15</v>
      </c>
      <c r="D4549" t="s" s="2">
        <v>16</v>
      </c>
      <c r="E4549" t="s" s="2">
        <v>17</v>
      </c>
      <c r="F4549" t="s" s="2">
        <f>HYPERLINK("http://ts.21cn.com/tousu/show/id/1369153","http://ts.21cn.com/tousu/show/id/1369153")</f>
      </c>
      <c r="G4549" t="s" s="2">
        <v>17</v>
      </c>
      <c r="H4549" t="s" s="2">
        <v>19</v>
      </c>
      <c r="I4549" t="s" s="2">
        <v>17691</v>
      </c>
      <c r="J4549" t="s" s="2">
        <v>17692</v>
      </c>
      <c r="K4549" t="s" s="2">
        <v>22</v>
      </c>
      <c r="L4549" t="s" s="2">
        <v>22</v>
      </c>
      <c r="M4549" t="s" s="2">
        <v>22</v>
      </c>
    </row>
    <row r="4550" ht="25.0" customHeight="true">
      <c r="A4550" t="s" s="2">
        <v>13</v>
      </c>
      <c r="B4550" t="s" s="2">
        <f>HYPERLINK("http://ts.21cn.com/tousu/show/id/1369152","钱水艇非法扣款")</f>
      </c>
      <c r="C4550" t="s" s="2">
        <v>15</v>
      </c>
      <c r="D4550" t="s" s="2">
        <v>16</v>
      </c>
      <c r="E4550" t="s" s="2">
        <v>17</v>
      </c>
      <c r="F4550" t="s" s="2">
        <f>HYPERLINK("http://ts.21cn.com/tousu/show/id/1369152","http://ts.21cn.com/tousu/show/id/1369152")</f>
      </c>
      <c r="G4550" t="s" s="2">
        <v>17</v>
      </c>
      <c r="H4550" t="s" s="2">
        <v>19</v>
      </c>
      <c r="I4550" t="s" s="2">
        <v>17695</v>
      </c>
      <c r="J4550" t="s" s="2">
        <v>17696</v>
      </c>
      <c r="K4550" t="s" s="2">
        <v>22</v>
      </c>
      <c r="L4550" t="s" s="2">
        <v>22</v>
      </c>
      <c r="M4550" t="s" s="2">
        <v>22</v>
      </c>
    </row>
    <row r="4551" ht="25.0" customHeight="true">
      <c r="A4551" t="s" s="2">
        <v>13</v>
      </c>
      <c r="B4551" t="s" s="2">
        <f>HYPERLINK("http://ts.21cn.com/tousu/show/id/1369151","新浪趣用分期借贷平台，超高额利息现金贷平台，暴力催收引诱还款。")</f>
      </c>
      <c r="C4551" t="s" s="2">
        <v>15</v>
      </c>
      <c r="D4551" t="s" s="2">
        <v>16</v>
      </c>
      <c r="E4551" t="s" s="2">
        <v>17</v>
      </c>
      <c r="F4551" t="s" s="2">
        <f>HYPERLINK("http://ts.21cn.com/tousu/show/id/1369151","http://ts.21cn.com/tousu/show/id/1369151")</f>
      </c>
      <c r="G4551" t="s" s="2">
        <v>17</v>
      </c>
      <c r="H4551" t="s" s="2">
        <v>19</v>
      </c>
      <c r="I4551" t="s" s="2">
        <v>17699</v>
      </c>
      <c r="J4551" t="s" s="2">
        <v>17700</v>
      </c>
      <c r="K4551" t="s" s="2">
        <v>22</v>
      </c>
      <c r="L4551" t="s" s="2">
        <v>22</v>
      </c>
      <c r="M4551" t="s" s="2">
        <v>22</v>
      </c>
    </row>
    <row r="4552" ht="25.0" customHeight="true">
      <c r="A4552" t="s" s="2">
        <v>13</v>
      </c>
      <c r="B4552" t="s" s="2">
        <f>HYPERLINK("http://ts.21cn.com/tousu/show/id/1369148","高利贷砍头息")</f>
      </c>
      <c r="C4552" t="s" s="2">
        <v>15</v>
      </c>
      <c r="D4552" t="s" s="2">
        <v>16</v>
      </c>
      <c r="E4552" t="s" s="2">
        <v>17</v>
      </c>
      <c r="F4552" t="s" s="2">
        <f>HYPERLINK("http://ts.21cn.com/tousu/show/id/1369148","http://ts.21cn.com/tousu/show/id/1369148")</f>
      </c>
      <c r="G4552" t="s" s="2">
        <v>17</v>
      </c>
      <c r="H4552" t="s" s="2">
        <v>19</v>
      </c>
      <c r="I4552" t="s" s="2">
        <v>17702</v>
      </c>
      <c r="J4552" t="s" s="2">
        <v>17703</v>
      </c>
      <c r="K4552" t="s" s="2">
        <v>22</v>
      </c>
      <c r="L4552" t="s" s="2">
        <v>22</v>
      </c>
      <c r="M4552" t="s" s="2">
        <v>22</v>
      </c>
    </row>
    <row r="4553" ht="25.0" customHeight="true">
      <c r="A4553" t="s" s="2">
        <v>13</v>
      </c>
      <c r="B4553" t="s" s="2">
        <f>HYPERLINK("http://ts.21cn.com/tousu/show/id/1369147","暴力催收，高利贷")</f>
      </c>
      <c r="C4553" t="s" s="2">
        <v>15</v>
      </c>
      <c r="D4553" t="s" s="2">
        <v>16</v>
      </c>
      <c r="E4553" t="s" s="2">
        <v>17</v>
      </c>
      <c r="F4553" t="s" s="2">
        <f>HYPERLINK("http://ts.21cn.com/tousu/show/id/1369147","http://ts.21cn.com/tousu/show/id/1369147")</f>
      </c>
      <c r="G4553" t="s" s="2">
        <v>17</v>
      </c>
      <c r="H4553" t="s" s="2">
        <v>19</v>
      </c>
      <c r="I4553" t="s" s="2">
        <v>17706</v>
      </c>
      <c r="J4553" t="s" s="2">
        <v>17707</v>
      </c>
      <c r="K4553" t="s" s="2">
        <v>22</v>
      </c>
      <c r="L4553" t="s" s="2">
        <v>22</v>
      </c>
      <c r="M4553" t="s" s="2">
        <v>22</v>
      </c>
    </row>
    <row r="4554" ht="25.0" customHeight="true">
      <c r="A4554" t="s" s="2">
        <v>13</v>
      </c>
      <c r="B4554" t="s" s="2">
        <f>HYPERLINK("http://ts.21cn.com/tousu/show/id/1369146","快递不派送不打电话直接显示签收了")</f>
      </c>
      <c r="C4554" t="s" s="2">
        <v>52</v>
      </c>
      <c r="D4554" t="s" s="2">
        <v>16</v>
      </c>
      <c r="E4554" t="s" s="2">
        <v>17</v>
      </c>
      <c r="F4554" t="s" s="2">
        <f>HYPERLINK("http://ts.21cn.com/tousu/show/id/1369146","http://ts.21cn.com/tousu/show/id/1369146")</f>
      </c>
      <c r="G4554" t="s" s="2">
        <v>17</v>
      </c>
      <c r="H4554" t="s" s="2">
        <v>19</v>
      </c>
      <c r="I4554" t="s" s="2">
        <v>17710</v>
      </c>
      <c r="J4554" t="s" s="2">
        <v>17711</v>
      </c>
      <c r="K4554" t="s" s="2">
        <v>22</v>
      </c>
      <c r="L4554" t="s" s="2">
        <v>22</v>
      </c>
      <c r="M4554" t="s" s="2">
        <v>22</v>
      </c>
    </row>
    <row r="4555" ht="25.0" customHeight="true">
      <c r="A4555" t="s" s="2">
        <v>13</v>
      </c>
      <c r="B4555" t="s" s="2">
        <f>HYPERLINK("http://ts.21cn.com/tousu/show/id/1369143","严重骚扰正常生活，暴力催收")</f>
      </c>
      <c r="C4555" t="s" s="2">
        <v>15</v>
      </c>
      <c r="D4555" t="s" s="2">
        <v>16</v>
      </c>
      <c r="E4555" t="s" s="2">
        <v>17</v>
      </c>
      <c r="F4555" t="s" s="2">
        <f>HYPERLINK("http://ts.21cn.com/tousu/show/id/1369143","http://ts.21cn.com/tousu/show/id/1369143")</f>
      </c>
      <c r="G4555" t="s" s="2">
        <v>17</v>
      </c>
      <c r="H4555" t="s" s="2">
        <v>19</v>
      </c>
      <c r="I4555" t="s" s="2">
        <v>17714</v>
      </c>
      <c r="J4555" t="s" s="2">
        <v>17715</v>
      </c>
      <c r="K4555" t="s" s="2">
        <v>22</v>
      </c>
      <c r="L4555" t="s" s="2">
        <v>22</v>
      </c>
      <c r="M4555" t="s" s="2">
        <v>22</v>
      </c>
    </row>
    <row r="4556" ht="25.0" customHeight="true">
      <c r="A4556" t="s" s="2">
        <v>13</v>
      </c>
      <c r="B4556" t="s" s="2">
        <f>HYPERLINK("http://ts.21cn.com/tousu/show/id/1369142","暴力催收骚扰")</f>
      </c>
      <c r="C4556" t="s" s="2">
        <v>15</v>
      </c>
      <c r="D4556" t="s" s="2">
        <v>16</v>
      </c>
      <c r="E4556" t="s" s="2">
        <v>17</v>
      </c>
      <c r="F4556" t="s" s="2">
        <f>HYPERLINK("http://ts.21cn.com/tousu/show/id/1369142","http://ts.21cn.com/tousu/show/id/1369142")</f>
      </c>
      <c r="G4556" t="s" s="2">
        <v>17</v>
      </c>
      <c r="H4556" t="s" s="2">
        <v>19</v>
      </c>
      <c r="I4556" t="s" s="2">
        <v>17717</v>
      </c>
      <c r="J4556" t="s" s="2">
        <v>17718</v>
      </c>
      <c r="K4556" t="s" s="2">
        <v>22</v>
      </c>
      <c r="L4556" t="s" s="2">
        <v>22</v>
      </c>
      <c r="M4556" t="s" s="2">
        <v>22</v>
      </c>
    </row>
    <row r="4557" ht="25.0" customHeight="true">
      <c r="A4557" t="s" s="2">
        <v>13</v>
      </c>
      <c r="B4557" t="s" s="2">
        <f>HYPERLINK("http://ts.21cn.com/tousu/show/id/1369140","多宝鱼高利贷砍头息，合利宝提供支付渠道")</f>
      </c>
      <c r="C4557" t="s" s="2">
        <v>15</v>
      </c>
      <c r="D4557" t="s" s="2">
        <v>16</v>
      </c>
      <c r="E4557" t="s" s="2">
        <v>17</v>
      </c>
      <c r="F4557" t="s" s="2">
        <f>HYPERLINK("http://ts.21cn.com/tousu/show/id/1369140","http://ts.21cn.com/tousu/show/id/1369140")</f>
      </c>
      <c r="G4557" t="s" s="2">
        <v>17</v>
      </c>
      <c r="H4557" t="s" s="2">
        <v>19</v>
      </c>
      <c r="I4557" t="s" s="2">
        <v>17721</v>
      </c>
      <c r="J4557" t="s" s="2">
        <v>17722</v>
      </c>
      <c r="K4557" t="s" s="2">
        <v>22</v>
      </c>
      <c r="L4557" t="s" s="2">
        <v>22</v>
      </c>
      <c r="M4557" t="s" s="2">
        <v>22</v>
      </c>
    </row>
    <row r="4558" ht="25.0" customHeight="true">
      <c r="A4558" t="s" s="2">
        <v>13</v>
      </c>
      <c r="B4558" t="s" s="2">
        <f>HYPERLINK("http://ts.21cn.com/tousu/show/id/1369141","松紧贷平台暴力催收")</f>
      </c>
      <c r="C4558" t="s" s="2">
        <v>15</v>
      </c>
      <c r="D4558" t="s" s="2">
        <v>16</v>
      </c>
      <c r="E4558" t="s" s="2">
        <v>17</v>
      </c>
      <c r="F4558" t="s" s="2">
        <f>HYPERLINK("http://ts.21cn.com/tousu/show/id/1369141","http://ts.21cn.com/tousu/show/id/1369141")</f>
      </c>
      <c r="G4558" t="s" s="2">
        <v>17</v>
      </c>
      <c r="H4558" t="s" s="2">
        <v>19</v>
      </c>
      <c r="I4558" t="s" s="2">
        <v>17725</v>
      </c>
      <c r="J4558" t="s" s="2">
        <v>17726</v>
      </c>
      <c r="K4558" t="s" s="2">
        <v>22</v>
      </c>
      <c r="L4558" t="s" s="2">
        <v>22</v>
      </c>
      <c r="M4558" t="s" s="2">
        <v>22</v>
      </c>
    </row>
    <row r="4559" ht="25.0" customHeight="true">
      <c r="A4559" t="s" s="2">
        <v>13</v>
      </c>
      <c r="B4559" t="s" s="2">
        <f>HYPERLINK("http://ts.21cn.com/tousu/show/id/1369139","湖北汇收益网络有限公司旗下汇收益APP提现迟迟不到帐")</f>
      </c>
      <c r="C4559" t="s" s="2">
        <v>15</v>
      </c>
      <c r="D4559" t="s" s="2">
        <v>16</v>
      </c>
      <c r="E4559" t="s" s="2">
        <v>17</v>
      </c>
      <c r="F4559" t="s" s="2">
        <f>HYPERLINK("http://ts.21cn.com/tousu/show/id/1369139","http://ts.21cn.com/tousu/show/id/1369139")</f>
      </c>
      <c r="G4559" t="s" s="2">
        <v>17</v>
      </c>
      <c r="H4559" t="s" s="2">
        <v>19</v>
      </c>
      <c r="I4559" t="s" s="2">
        <v>17729</v>
      </c>
      <c r="J4559" t="s" s="2">
        <v>17730</v>
      </c>
      <c r="K4559" t="s" s="2">
        <v>22</v>
      </c>
      <c r="L4559" t="s" s="2">
        <v>22</v>
      </c>
      <c r="M4559" t="s" s="2">
        <v>22</v>
      </c>
    </row>
    <row r="4560" ht="25.0" customHeight="true">
      <c r="A4560" t="s" s="2">
        <v>13</v>
      </c>
      <c r="B4560" t="s" s="2">
        <f>HYPERLINK("http://ts.21cn.com/tousu/show/id/1369138","快捷通支付为7.14高炮提供支付渠道")</f>
      </c>
      <c r="C4560" t="s" s="2">
        <v>15</v>
      </c>
      <c r="D4560" t="s" s="2">
        <v>16</v>
      </c>
      <c r="E4560" t="s" s="2">
        <v>17</v>
      </c>
      <c r="F4560" t="s" s="2">
        <f>HYPERLINK("http://ts.21cn.com/tousu/show/id/1369138","http://ts.21cn.com/tousu/show/id/1369138")</f>
      </c>
      <c r="G4560" t="s" s="2">
        <v>17</v>
      </c>
      <c r="H4560" t="s" s="2">
        <v>19</v>
      </c>
      <c r="I4560" t="s" s="2">
        <v>17733</v>
      </c>
      <c r="J4560" t="s" s="2">
        <v>17734</v>
      </c>
      <c r="K4560" t="s" s="2">
        <v>22</v>
      </c>
      <c r="L4560" t="s" s="2">
        <v>22</v>
      </c>
      <c r="M4560" t="s" s="2">
        <v>22</v>
      </c>
    </row>
    <row r="4561" ht="25.0" customHeight="true">
      <c r="A4561" t="s" s="2">
        <v>13</v>
      </c>
      <c r="B4561" t="s" s="2">
        <f>HYPERLINK("http://ts.21cn.com/tousu/show/id/1369135","终止合同退费取消分期")</f>
      </c>
      <c r="C4561" t="s" s="2">
        <v>15</v>
      </c>
      <c r="D4561" t="s" s="2">
        <v>16</v>
      </c>
      <c r="E4561" t="s" s="2">
        <v>17</v>
      </c>
      <c r="F4561" t="s" s="2">
        <f>HYPERLINK("http://ts.21cn.com/tousu/show/id/1369135","http://ts.21cn.com/tousu/show/id/1369135")</f>
      </c>
      <c r="G4561" t="s" s="2">
        <v>17</v>
      </c>
      <c r="H4561" t="s" s="2">
        <v>19</v>
      </c>
      <c r="I4561" t="s" s="2">
        <v>17737</v>
      </c>
      <c r="J4561" t="s" s="2">
        <v>17738</v>
      </c>
      <c r="K4561" t="s" s="2">
        <v>22</v>
      </c>
      <c r="L4561" t="s" s="2">
        <v>22</v>
      </c>
      <c r="M4561" t="s" s="2">
        <v>22</v>
      </c>
    </row>
    <row r="4562" ht="25.0" customHeight="true">
      <c r="A4562" t="s" s="2">
        <v>13</v>
      </c>
      <c r="B4562" t="s" s="2">
        <f>HYPERLINK("http://ts.21cn.com/tousu/show/id/1369134","去哪儿借去花恐吓骚扰我家人")</f>
      </c>
      <c r="C4562" t="s" s="2">
        <v>15</v>
      </c>
      <c r="D4562" t="s" s="2">
        <v>16</v>
      </c>
      <c r="E4562" t="s" s="2">
        <v>17</v>
      </c>
      <c r="F4562" t="s" s="2">
        <f>HYPERLINK("http://ts.21cn.com/tousu/show/id/1369134","http://ts.21cn.com/tousu/show/id/1369134")</f>
      </c>
      <c r="G4562" t="s" s="2">
        <v>17</v>
      </c>
      <c r="H4562" t="s" s="2">
        <v>19</v>
      </c>
      <c r="I4562" t="s" s="2">
        <v>17741</v>
      </c>
      <c r="J4562" t="s" s="2">
        <v>17742</v>
      </c>
      <c r="K4562" t="s" s="2">
        <v>22</v>
      </c>
      <c r="L4562" t="s" s="2">
        <v>22</v>
      </c>
      <c r="M4562" t="s" s="2">
        <v>22</v>
      </c>
    </row>
    <row r="4563" ht="25.0" customHeight="true">
      <c r="A4563" t="s" s="2">
        <v>13</v>
      </c>
      <c r="B4563" t="s" s="2">
        <f>HYPERLINK("http://ts.21cn.com/tousu/show/id/1369131","利息太高")</f>
      </c>
      <c r="C4563" t="s" s="2">
        <v>15</v>
      </c>
      <c r="D4563" t="s" s="2">
        <v>16</v>
      </c>
      <c r="E4563" t="s" s="2">
        <v>17</v>
      </c>
      <c r="F4563" t="s" s="2">
        <f>HYPERLINK("http://ts.21cn.com/tousu/show/id/1369131","http://ts.21cn.com/tousu/show/id/1369131")</f>
      </c>
      <c r="G4563" t="s" s="2">
        <v>17</v>
      </c>
      <c r="H4563" t="s" s="2">
        <v>19</v>
      </c>
      <c r="I4563" t="s" s="2">
        <v>17744</v>
      </c>
      <c r="J4563" t="s" s="2">
        <v>17745</v>
      </c>
      <c r="K4563" t="s" s="2">
        <v>22</v>
      </c>
      <c r="L4563" t="s" s="2">
        <v>22</v>
      </c>
      <c r="M4563" t="s" s="2">
        <v>22</v>
      </c>
    </row>
    <row r="4564" ht="25.0" customHeight="true">
      <c r="A4564" t="s" s="2">
        <v>13</v>
      </c>
      <c r="B4564" t="s" s="2">
        <f>HYPERLINK("http://ts.21cn.com/tousu/show/id/1369128","爆通讯录")</f>
      </c>
      <c r="C4564" t="s" s="2">
        <v>15</v>
      </c>
      <c r="D4564" t="s" s="2">
        <v>16</v>
      </c>
      <c r="E4564" t="s" s="2">
        <v>17</v>
      </c>
      <c r="F4564" t="s" s="2">
        <f>HYPERLINK("http://ts.21cn.com/tousu/show/id/1369128","http://ts.21cn.com/tousu/show/id/1369128")</f>
      </c>
      <c r="G4564" t="s" s="2">
        <v>17</v>
      </c>
      <c r="H4564" t="s" s="2">
        <v>19</v>
      </c>
      <c r="I4564" t="s" s="2">
        <v>17747</v>
      </c>
      <c r="J4564" t="s" s="2">
        <v>17748</v>
      </c>
      <c r="K4564" t="s" s="2">
        <v>22</v>
      </c>
      <c r="L4564" t="s" s="2">
        <v>22</v>
      </c>
      <c r="M4564" t="s" s="2">
        <v>22</v>
      </c>
    </row>
    <row r="4565" ht="25.0" customHeight="true">
      <c r="A4565" t="s" s="2">
        <v>13</v>
      </c>
      <c r="B4565" t="s" s="2">
        <f>HYPERLINK("http://ts.21cn.com/tousu/show/id/1369127","现金巴士收取砍头息，逾期费高")</f>
      </c>
      <c r="C4565" t="s" s="2">
        <v>15</v>
      </c>
      <c r="D4565" t="s" s="2">
        <v>16</v>
      </c>
      <c r="E4565" t="s" s="2">
        <v>17</v>
      </c>
      <c r="F4565" t="s" s="2">
        <f>HYPERLINK("http://ts.21cn.com/tousu/show/id/1369127","http://ts.21cn.com/tousu/show/id/1369127")</f>
      </c>
      <c r="G4565" t="s" s="2">
        <v>17</v>
      </c>
      <c r="H4565" t="s" s="2">
        <v>19</v>
      </c>
      <c r="I4565" t="s" s="2">
        <v>17751</v>
      </c>
      <c r="J4565" t="s" s="2">
        <v>17752</v>
      </c>
      <c r="K4565" t="s" s="2">
        <v>22</v>
      </c>
      <c r="L4565" t="s" s="2">
        <v>22</v>
      </c>
      <c r="M4565" t="s" s="2">
        <v>22</v>
      </c>
    </row>
    <row r="4566" ht="25.0" customHeight="true">
      <c r="A4566" t="s" s="2">
        <v>13</v>
      </c>
      <c r="B4566" t="s" s="2">
        <f>HYPERLINK("http://ts.21cn.com/tousu/show/id/1369108","资金冻结")</f>
      </c>
      <c r="C4566" t="s" s="2">
        <v>15</v>
      </c>
      <c r="D4566" t="s" s="2">
        <v>16</v>
      </c>
      <c r="E4566" t="s" s="2">
        <v>17</v>
      </c>
      <c r="F4566" t="s" s="2">
        <f>HYPERLINK("http://ts.21cn.com/tousu/show/id/1369108","http://ts.21cn.com/tousu/show/id/1369108")</f>
      </c>
      <c r="G4566" t="s" s="2">
        <v>17</v>
      </c>
      <c r="H4566" t="s" s="2">
        <v>19</v>
      </c>
      <c r="I4566" t="s" s="2">
        <v>17755</v>
      </c>
      <c r="J4566" t="s" s="2">
        <v>17756</v>
      </c>
      <c r="K4566" t="s" s="2">
        <v>22</v>
      </c>
      <c r="L4566" t="s" s="2">
        <v>22</v>
      </c>
      <c r="M4566" t="s" s="2">
        <v>22</v>
      </c>
    </row>
    <row r="4567" ht="25.0" customHeight="true">
      <c r="A4567" t="s" s="2">
        <v>13</v>
      </c>
      <c r="B4567" t="s" s="2">
        <f>HYPERLINK("http://ts.21cn.com/tousu/show/id/1369126","招联金融暴力催收，威胁")</f>
      </c>
      <c r="C4567" t="s" s="2">
        <v>15</v>
      </c>
      <c r="D4567" t="s" s="2">
        <v>16</v>
      </c>
      <c r="E4567" t="s" s="2">
        <v>17</v>
      </c>
      <c r="F4567" t="s" s="2">
        <f>HYPERLINK("http://ts.21cn.com/tousu/show/id/1369126","http://ts.21cn.com/tousu/show/id/1369126")</f>
      </c>
      <c r="G4567" t="s" s="2">
        <v>17</v>
      </c>
      <c r="H4567" t="s" s="2">
        <v>19</v>
      </c>
      <c r="I4567" t="s" s="2">
        <v>17759</v>
      </c>
      <c r="J4567" t="s" s="2">
        <v>17760</v>
      </c>
      <c r="K4567" t="s" s="2">
        <v>22</v>
      </c>
      <c r="L4567" t="s" s="2">
        <v>22</v>
      </c>
      <c r="M4567" t="s" s="2">
        <v>22</v>
      </c>
    </row>
    <row r="4568" ht="25.0" customHeight="true">
      <c r="A4568" t="s" s="2">
        <v>13</v>
      </c>
      <c r="B4568" t="s" s="2">
        <f>HYPERLINK("http://ts.21cn.com/tousu/show/id/1369125","闪银瞬瞬催收")</f>
      </c>
      <c r="C4568" t="s" s="2">
        <v>52</v>
      </c>
      <c r="D4568" t="s" s="2">
        <v>16</v>
      </c>
      <c r="E4568" t="s" s="2">
        <v>17</v>
      </c>
      <c r="F4568" t="s" s="2">
        <f>HYPERLINK("http://ts.21cn.com/tousu/show/id/1369125","http://ts.21cn.com/tousu/show/id/1369125")</f>
      </c>
      <c r="G4568" t="s" s="2">
        <v>17</v>
      </c>
      <c r="H4568" t="s" s="2">
        <v>19</v>
      </c>
      <c r="I4568" t="s" s="2">
        <v>17763</v>
      </c>
      <c r="J4568" t="s" s="2">
        <v>17764</v>
      </c>
      <c r="K4568" t="s" s="2">
        <v>22</v>
      </c>
      <c r="L4568" t="s" s="2">
        <v>22</v>
      </c>
      <c r="M4568" t="s" s="2">
        <v>22</v>
      </c>
    </row>
    <row r="4569" ht="25.0" customHeight="true">
      <c r="A4569" t="s" s="2">
        <v>13</v>
      </c>
      <c r="B4569" t="s" s="2">
        <f>HYPERLINK("http://ts.21cn.com/tousu/show/id/1369121","借呗结清证明迟迟不下来")</f>
      </c>
      <c r="C4569" t="s" s="2">
        <v>52</v>
      </c>
      <c r="D4569" t="s" s="2">
        <v>16</v>
      </c>
      <c r="E4569" t="s" s="2">
        <v>17</v>
      </c>
      <c r="F4569" t="s" s="2">
        <f>HYPERLINK("http://ts.21cn.com/tousu/show/id/1369121","http://ts.21cn.com/tousu/show/id/1369121")</f>
      </c>
      <c r="G4569" t="s" s="2">
        <v>17</v>
      </c>
      <c r="H4569" t="s" s="2">
        <v>19</v>
      </c>
      <c r="I4569" t="s" s="2">
        <v>17767</v>
      </c>
      <c r="J4569" t="s" s="2">
        <v>17768</v>
      </c>
      <c r="K4569" t="s" s="2">
        <v>22</v>
      </c>
      <c r="L4569" t="s" s="2">
        <v>22</v>
      </c>
      <c r="M4569" t="s" s="2">
        <v>22</v>
      </c>
    </row>
    <row r="4570" ht="25.0" customHeight="true">
      <c r="A4570" t="s" s="2">
        <v>13</v>
      </c>
      <c r="B4570" t="s" s="2">
        <f>HYPERLINK("http://ts.21cn.com/tousu/show/id/1369122","马上消费金融违法催收")</f>
      </c>
      <c r="C4570" t="s" s="2">
        <v>15</v>
      </c>
      <c r="D4570" t="s" s="2">
        <v>16</v>
      </c>
      <c r="E4570" t="s" s="2">
        <v>17</v>
      </c>
      <c r="F4570" t="s" s="2">
        <f>HYPERLINK("http://ts.21cn.com/tousu/show/id/1369122","http://ts.21cn.com/tousu/show/id/1369122")</f>
      </c>
      <c r="G4570" t="s" s="2">
        <v>17</v>
      </c>
      <c r="H4570" t="s" s="2">
        <v>19</v>
      </c>
      <c r="I4570" t="s" s="2">
        <v>17767</v>
      </c>
      <c r="J4570" t="s" s="2">
        <v>17771</v>
      </c>
      <c r="K4570" t="s" s="2">
        <v>22</v>
      </c>
      <c r="L4570" t="s" s="2">
        <v>22</v>
      </c>
      <c r="M4570" t="s" s="2">
        <v>22</v>
      </c>
    </row>
    <row r="4571" ht="25.0" customHeight="true">
      <c r="A4571" t="s" s="2">
        <v>13</v>
      </c>
      <c r="B4571" t="s" s="2">
        <f>HYPERLINK("http://ts.21cn.com/tousu/show/id/1369123","与编号1234832重复，不予受理，前面的解决了吗？就说重复")</f>
      </c>
      <c r="C4571" t="s" s="2">
        <v>52</v>
      </c>
      <c r="D4571" t="s" s="2">
        <v>16</v>
      </c>
      <c r="E4571" t="s" s="2">
        <v>17</v>
      </c>
      <c r="F4571" t="s" s="2">
        <f>HYPERLINK("http://ts.21cn.com/tousu/show/id/1369123","http://ts.21cn.com/tousu/show/id/1369123")</f>
      </c>
      <c r="G4571" t="s" s="2">
        <v>17</v>
      </c>
      <c r="H4571" t="s" s="2">
        <v>19</v>
      </c>
      <c r="I4571" t="s" s="2">
        <v>17774</v>
      </c>
      <c r="J4571" t="s" s="2">
        <v>17775</v>
      </c>
      <c r="K4571" t="s" s="2">
        <v>22</v>
      </c>
      <c r="L4571" t="s" s="2">
        <v>22</v>
      </c>
      <c r="M4571" t="s" s="2">
        <v>22</v>
      </c>
    </row>
    <row r="4572" ht="25.0" customHeight="true">
      <c r="A4572" t="s" s="2">
        <v>13</v>
      </c>
      <c r="B4572" t="s" s="2">
        <f>HYPERLINK("http://ts.21cn.com/tousu/show/id/1369124","北京东方雍和国际版权交易有限公司违规操作")</f>
      </c>
      <c r="C4572" t="s" s="2">
        <v>15</v>
      </c>
      <c r="D4572" t="s" s="2">
        <v>16</v>
      </c>
      <c r="E4572" t="s" s="2">
        <v>17</v>
      </c>
      <c r="F4572" t="s" s="2">
        <f>HYPERLINK("http://ts.21cn.com/tousu/show/id/1369124","http://ts.21cn.com/tousu/show/id/1369124")</f>
      </c>
      <c r="G4572" t="s" s="2">
        <v>17</v>
      </c>
      <c r="H4572" t="s" s="2">
        <v>19</v>
      </c>
      <c r="I4572" t="s" s="2">
        <v>17778</v>
      </c>
      <c r="J4572" t="s" s="2">
        <v>17779</v>
      </c>
      <c r="K4572" t="s" s="2">
        <v>22</v>
      </c>
      <c r="L4572" t="s" s="2">
        <v>22</v>
      </c>
      <c r="M4572" t="s" s="2">
        <v>22</v>
      </c>
    </row>
    <row r="4573" ht="25.0" customHeight="true">
      <c r="A4573" t="s" s="2">
        <v>13</v>
      </c>
      <c r="B4573" t="s" s="2">
        <f>HYPERLINK("http://ts.21cn.com/tousu/show/id/1369130","平安普惠爆通讯录故意骚扰无关第三方")</f>
      </c>
      <c r="C4573" t="s" s="2">
        <v>15</v>
      </c>
      <c r="D4573" t="s" s="2">
        <v>16</v>
      </c>
      <c r="E4573" t="s" s="2">
        <v>17</v>
      </c>
      <c r="F4573" t="s" s="2">
        <f>HYPERLINK("http://ts.21cn.com/tousu/show/id/1369130","http://ts.21cn.com/tousu/show/id/1369130")</f>
      </c>
      <c r="G4573" t="s" s="2">
        <v>17</v>
      </c>
      <c r="H4573" t="s" s="2">
        <v>19</v>
      </c>
      <c r="I4573" t="s" s="2">
        <v>17782</v>
      </c>
      <c r="J4573" t="s" s="2">
        <v>17783</v>
      </c>
      <c r="K4573" t="s" s="2">
        <v>22</v>
      </c>
      <c r="L4573" t="s" s="2">
        <v>22</v>
      </c>
      <c r="M4573" t="s" s="2">
        <v>22</v>
      </c>
    </row>
    <row r="4574" ht="25.0" customHeight="true">
      <c r="A4574" t="s" s="2">
        <v>13</v>
      </c>
      <c r="B4574" t="s" s="2">
        <f>HYPERLINK("http://ts.21cn.com/tousu/show/id/1369129","我来数科骚扰通讯录")</f>
      </c>
      <c r="C4574" t="s" s="2">
        <v>15</v>
      </c>
      <c r="D4574" t="s" s="2">
        <v>16</v>
      </c>
      <c r="E4574" t="s" s="2">
        <v>17</v>
      </c>
      <c r="F4574" t="s" s="2">
        <f>HYPERLINK("http://ts.21cn.com/tousu/show/id/1369129","http://ts.21cn.com/tousu/show/id/1369129")</f>
      </c>
      <c r="G4574" t="s" s="2">
        <v>17</v>
      </c>
      <c r="H4574" t="s" s="2">
        <v>19</v>
      </c>
      <c r="I4574" t="s" s="2">
        <v>17782</v>
      </c>
      <c r="J4574" t="s" s="2">
        <v>17786</v>
      </c>
      <c r="K4574" t="s" s="2">
        <v>22</v>
      </c>
      <c r="L4574" t="s" s="2">
        <v>22</v>
      </c>
      <c r="M4574" t="s" s="2">
        <v>22</v>
      </c>
    </row>
    <row r="4575" ht="25.0" customHeight="true">
      <c r="A4575" t="s" s="2">
        <v>13</v>
      </c>
      <c r="B4575" t="s" s="2">
        <f>HYPERLINK("http://ts.21cn.com/tousu/show/id/1369119","利息太高")</f>
      </c>
      <c r="C4575" t="s" s="2">
        <v>15</v>
      </c>
      <c r="D4575" t="s" s="2">
        <v>16</v>
      </c>
      <c r="E4575" t="s" s="2">
        <v>17</v>
      </c>
      <c r="F4575" t="s" s="2">
        <f>HYPERLINK("http://ts.21cn.com/tousu/show/id/1369119","http://ts.21cn.com/tousu/show/id/1369119")</f>
      </c>
      <c r="G4575" t="s" s="2">
        <v>17</v>
      </c>
      <c r="H4575" t="s" s="2">
        <v>19</v>
      </c>
      <c r="I4575" t="s" s="2">
        <v>17788</v>
      </c>
      <c r="J4575" t="s" s="2">
        <v>17789</v>
      </c>
      <c r="K4575" t="s" s="2">
        <v>22</v>
      </c>
      <c r="L4575" t="s" s="2">
        <v>22</v>
      </c>
      <c r="M4575" t="s" s="2">
        <v>22</v>
      </c>
    </row>
    <row r="4576" ht="25.0" customHeight="true">
      <c r="A4576" t="s" s="2">
        <v>13</v>
      </c>
      <c r="B4576" t="s" s="2">
        <f>HYPERLINK("http://ts.21cn.com/tousu/show/id/1369118","银盛支付198元押金，激活手续费298")</f>
      </c>
      <c r="C4576" t="s" s="2">
        <v>15</v>
      </c>
      <c r="D4576" t="s" s="2">
        <v>16</v>
      </c>
      <c r="E4576" t="s" s="2">
        <v>17</v>
      </c>
      <c r="F4576" t="s" s="2">
        <f>HYPERLINK("http://ts.21cn.com/tousu/show/id/1369118","http://ts.21cn.com/tousu/show/id/1369118")</f>
      </c>
      <c r="G4576" t="s" s="2">
        <v>17</v>
      </c>
      <c r="H4576" t="s" s="2">
        <v>19</v>
      </c>
      <c r="I4576" t="s" s="2">
        <v>17792</v>
      </c>
      <c r="J4576" t="s" s="2">
        <v>17793</v>
      </c>
      <c r="K4576" t="s" s="2">
        <v>22</v>
      </c>
      <c r="L4576" t="s" s="2">
        <v>22</v>
      </c>
      <c r="M4576" t="s" s="2">
        <v>22</v>
      </c>
    </row>
    <row r="4577" ht="25.0" customHeight="true">
      <c r="A4577" t="s" s="2">
        <v>13</v>
      </c>
      <c r="B4577" t="s" s="2">
        <f>HYPERLINK("http://ts.21cn.com/tousu/show/id/1369116","京东白条恶意骚扰，爆通讯录，群发消息")</f>
      </c>
      <c r="C4577" t="s" s="2">
        <v>15</v>
      </c>
      <c r="D4577" t="s" s="2">
        <v>16</v>
      </c>
      <c r="E4577" t="s" s="2">
        <v>17</v>
      </c>
      <c r="F4577" t="s" s="2">
        <f>HYPERLINK("http://ts.21cn.com/tousu/show/id/1369116","http://ts.21cn.com/tousu/show/id/1369116")</f>
      </c>
      <c r="G4577" t="s" s="2">
        <v>17</v>
      </c>
      <c r="H4577" t="s" s="2">
        <v>19</v>
      </c>
      <c r="I4577" t="s" s="2">
        <v>17796</v>
      </c>
      <c r="J4577" t="s" s="2">
        <v>17797</v>
      </c>
      <c r="K4577" t="s" s="2">
        <v>22</v>
      </c>
      <c r="L4577" t="s" s="2">
        <v>22</v>
      </c>
      <c r="M4577" t="s" s="2">
        <v>22</v>
      </c>
    </row>
    <row r="4578" ht="25.0" customHeight="true">
      <c r="A4578" t="s" s="2">
        <v>13</v>
      </c>
      <c r="B4578" t="s" s="2">
        <f>HYPERLINK("http://ts.21cn.com/tousu/show/id/1369115","活力花恶意催收")</f>
      </c>
      <c r="C4578" t="s" s="2">
        <v>15</v>
      </c>
      <c r="D4578" t="s" s="2">
        <v>16</v>
      </c>
      <c r="E4578" t="s" s="2">
        <v>17</v>
      </c>
      <c r="F4578" t="s" s="2">
        <f>HYPERLINK("http://ts.21cn.com/tousu/show/id/1369115","http://ts.21cn.com/tousu/show/id/1369115")</f>
      </c>
      <c r="G4578" t="s" s="2">
        <v>17</v>
      </c>
      <c r="H4578" t="s" s="2">
        <v>19</v>
      </c>
      <c r="I4578" t="s" s="2">
        <v>17800</v>
      </c>
      <c r="J4578" t="s" s="2">
        <v>17801</v>
      </c>
      <c r="K4578" t="s" s="2">
        <v>22</v>
      </c>
      <c r="L4578" t="s" s="2">
        <v>22</v>
      </c>
      <c r="M4578" t="s" s="2">
        <v>22</v>
      </c>
    </row>
    <row r="4579" ht="25.0" customHeight="true">
      <c r="A4579" t="s" s="2">
        <v>13</v>
      </c>
      <c r="B4579" t="s" s="2">
        <f>HYPERLINK("http://ts.21cn.com/tousu/show/id/1369113","借呗")</f>
      </c>
      <c r="C4579" t="s" s="2">
        <v>52</v>
      </c>
      <c r="D4579" t="s" s="2">
        <v>16</v>
      </c>
      <c r="E4579" t="s" s="2">
        <v>17</v>
      </c>
      <c r="F4579" t="s" s="2">
        <f>HYPERLINK("http://ts.21cn.com/tousu/show/id/1369113","http://ts.21cn.com/tousu/show/id/1369113")</f>
      </c>
      <c r="G4579" t="s" s="2">
        <v>17</v>
      </c>
      <c r="H4579" t="s" s="2">
        <v>19</v>
      </c>
      <c r="I4579" t="s" s="2">
        <v>17804</v>
      </c>
      <c r="J4579" t="s" s="2">
        <v>17805</v>
      </c>
      <c r="K4579" t="s" s="2">
        <v>22</v>
      </c>
      <c r="L4579" t="s" s="2">
        <v>22</v>
      </c>
      <c r="M4579" t="s" s="2">
        <v>22</v>
      </c>
    </row>
    <row r="4580" ht="25.0" customHeight="true">
      <c r="A4580" t="s" s="2">
        <v>13</v>
      </c>
      <c r="B4580" t="s" s="2">
        <f>HYPERLINK("http://ts.21cn.com/tousu/show/id/1369114","爱钱进钱站高利贷")</f>
      </c>
      <c r="C4580" t="s" s="2">
        <v>15</v>
      </c>
      <c r="D4580" t="s" s="2">
        <v>16</v>
      </c>
      <c r="E4580" t="s" s="2">
        <v>17</v>
      </c>
      <c r="F4580" t="s" s="2">
        <f>HYPERLINK("http://ts.21cn.com/tousu/show/id/1369114","http://ts.21cn.com/tousu/show/id/1369114")</f>
      </c>
      <c r="G4580" t="s" s="2">
        <v>17</v>
      </c>
      <c r="H4580" t="s" s="2">
        <v>19</v>
      </c>
      <c r="I4580" t="s" s="2">
        <v>17808</v>
      </c>
      <c r="J4580" t="s" s="2">
        <v>17809</v>
      </c>
      <c r="K4580" t="s" s="2">
        <v>22</v>
      </c>
      <c r="L4580" t="s" s="2">
        <v>22</v>
      </c>
      <c r="M4580" t="s" s="2">
        <v>22</v>
      </c>
    </row>
    <row r="4581" ht="25.0" customHeight="true">
      <c r="A4581" t="s" s="2">
        <v>13</v>
      </c>
      <c r="B4581" t="s" s="2">
        <f>HYPERLINK("http://ts.21cn.com/tousu/show/id/1369111","非法催收")</f>
      </c>
      <c r="C4581" t="s" s="2">
        <v>15</v>
      </c>
      <c r="D4581" t="s" s="2">
        <v>16</v>
      </c>
      <c r="E4581" t="s" s="2">
        <v>17</v>
      </c>
      <c r="F4581" t="s" s="2">
        <f>HYPERLINK("http://ts.21cn.com/tousu/show/id/1369111","http://ts.21cn.com/tousu/show/id/1369111")</f>
      </c>
      <c r="G4581" t="s" s="2">
        <v>17</v>
      </c>
      <c r="H4581" t="s" s="2">
        <v>19</v>
      </c>
      <c r="I4581" t="s" s="2">
        <v>17812</v>
      </c>
      <c r="J4581" t="s" s="2">
        <v>17813</v>
      </c>
      <c r="K4581" t="s" s="2">
        <v>22</v>
      </c>
      <c r="L4581" t="s" s="2">
        <v>22</v>
      </c>
      <c r="M4581" t="s" s="2">
        <v>22</v>
      </c>
    </row>
    <row r="4582" ht="25.0" customHeight="true">
      <c r="A4582" t="s" s="2">
        <v>13</v>
      </c>
      <c r="B4582" t="s" s="2">
        <f>HYPERLINK("http://ts.21cn.com/tousu/show/id/1369110","宜人贷骚扰")</f>
      </c>
      <c r="C4582" t="s" s="2">
        <v>15</v>
      </c>
      <c r="D4582" t="s" s="2">
        <v>16</v>
      </c>
      <c r="E4582" t="s" s="2">
        <v>17</v>
      </c>
      <c r="F4582" t="s" s="2">
        <f>HYPERLINK("http://ts.21cn.com/tousu/show/id/1369110","http://ts.21cn.com/tousu/show/id/1369110")</f>
      </c>
      <c r="G4582" t="s" s="2">
        <v>17</v>
      </c>
      <c r="H4582" t="s" s="2">
        <v>19</v>
      </c>
      <c r="I4582" t="s" s="2">
        <v>17816</v>
      </c>
      <c r="J4582" t="s" s="2">
        <v>17817</v>
      </c>
      <c r="K4582" t="s" s="2">
        <v>22</v>
      </c>
      <c r="L4582" t="s" s="2">
        <v>22</v>
      </c>
      <c r="M4582" t="s" s="2">
        <v>22</v>
      </c>
    </row>
    <row r="4583" ht="25.0" customHeight="true">
      <c r="A4583" t="s" s="2">
        <v>13</v>
      </c>
      <c r="B4583" t="s" s="2">
        <f>HYPERLINK("http://ts.21cn.com/tousu/show/id/1369105","我过做试借款未通过了，怎么扣银行卡")</f>
      </c>
      <c r="C4583" t="s" s="2">
        <v>52</v>
      </c>
      <c r="D4583" t="s" s="2">
        <v>16</v>
      </c>
      <c r="E4583" t="s" s="2">
        <v>17</v>
      </c>
      <c r="F4583" t="s" s="2">
        <f>HYPERLINK("http://ts.21cn.com/tousu/show/id/1369105","http://ts.21cn.com/tousu/show/id/1369105")</f>
      </c>
      <c r="G4583" t="s" s="2">
        <v>17</v>
      </c>
      <c r="H4583" t="s" s="2">
        <v>19</v>
      </c>
      <c r="I4583" t="s" s="2">
        <v>17820</v>
      </c>
      <c r="J4583" t="s" s="2">
        <v>17821</v>
      </c>
      <c r="K4583" t="s" s="2">
        <v>22</v>
      </c>
      <c r="L4583" t="s" s="2">
        <v>22</v>
      </c>
      <c r="M4583" t="s" s="2">
        <v>22</v>
      </c>
    </row>
    <row r="4584" ht="25.0" customHeight="true">
      <c r="A4584" t="s" s="2">
        <v>13</v>
      </c>
      <c r="B4584" t="s" s="2">
        <f>HYPERLINK("http://ts.21cn.com/tousu/show/id/1369106","闪电借款强迫购买黑客")</f>
      </c>
      <c r="C4584" t="s" s="2">
        <v>15</v>
      </c>
      <c r="D4584" t="s" s="2">
        <v>16</v>
      </c>
      <c r="E4584" t="s" s="2">
        <v>17</v>
      </c>
      <c r="F4584" t="s" s="2">
        <f>HYPERLINK("http://ts.21cn.com/tousu/show/id/1369106","http://ts.21cn.com/tousu/show/id/1369106")</f>
      </c>
      <c r="G4584" t="s" s="2">
        <v>17</v>
      </c>
      <c r="H4584" t="s" s="2">
        <v>19</v>
      </c>
      <c r="I4584" t="s" s="2">
        <v>17824</v>
      </c>
      <c r="J4584" t="s" s="2">
        <v>17825</v>
      </c>
      <c r="K4584" t="s" s="2">
        <v>22</v>
      </c>
      <c r="L4584" t="s" s="2">
        <v>22</v>
      </c>
      <c r="M4584" t="s" s="2">
        <v>22</v>
      </c>
    </row>
    <row r="4585" ht="25.0" customHeight="true">
      <c r="A4585" t="s" s="2">
        <v>13</v>
      </c>
      <c r="B4585" t="s" s="2">
        <f>HYPERLINK("http://ts.21cn.com/tousu/show/id/1369104","高利贷")</f>
      </c>
      <c r="C4585" t="s" s="2">
        <v>15</v>
      </c>
      <c r="D4585" t="s" s="2">
        <v>16</v>
      </c>
      <c r="E4585" t="s" s="2">
        <v>17</v>
      </c>
      <c r="F4585" t="s" s="2">
        <f>HYPERLINK("http://ts.21cn.com/tousu/show/id/1369104","http://ts.21cn.com/tousu/show/id/1369104")</f>
      </c>
      <c r="G4585" t="s" s="2">
        <v>17</v>
      </c>
      <c r="H4585" t="s" s="2">
        <v>19</v>
      </c>
      <c r="I4585" t="s" s="2">
        <v>17827</v>
      </c>
      <c r="J4585" t="s" s="2">
        <v>17828</v>
      </c>
      <c r="K4585" t="s" s="2">
        <v>22</v>
      </c>
      <c r="L4585" t="s" s="2">
        <v>22</v>
      </c>
      <c r="M4585" t="s" s="2">
        <v>22</v>
      </c>
    </row>
    <row r="4586" ht="25.0" customHeight="true">
      <c r="A4586" t="s" s="2">
        <v>13</v>
      </c>
      <c r="B4586" t="s" s="2">
        <f>HYPERLINK("http://ts.21cn.com/tousu/show/id/1369101","小额贷恶性催收，严重影响正常工作")</f>
      </c>
      <c r="C4586" t="s" s="2">
        <v>15</v>
      </c>
      <c r="D4586" t="s" s="2">
        <v>16</v>
      </c>
      <c r="E4586" t="s" s="2">
        <v>17</v>
      </c>
      <c r="F4586" t="s" s="2">
        <f>HYPERLINK("http://ts.21cn.com/tousu/show/id/1369101","http://ts.21cn.com/tousu/show/id/1369101")</f>
      </c>
      <c r="G4586" t="s" s="2">
        <v>17</v>
      </c>
      <c r="H4586" t="s" s="2">
        <v>19</v>
      </c>
      <c r="I4586" t="s" s="2">
        <v>17831</v>
      </c>
      <c r="J4586" t="s" s="2">
        <v>17832</v>
      </c>
      <c r="K4586" t="s" s="2">
        <v>22</v>
      </c>
      <c r="L4586" t="s" s="2">
        <v>22</v>
      </c>
      <c r="M4586" t="s" s="2">
        <v>22</v>
      </c>
    </row>
    <row r="4587" ht="25.0" customHeight="true">
      <c r="A4587" t="s" s="2">
        <v>13</v>
      </c>
      <c r="B4587" t="s" s="2">
        <f>HYPERLINK("http://ts.21cn.com/tousu/show/id/1369103","支付宝借呗还款")</f>
      </c>
      <c r="C4587" t="s" s="2">
        <v>52</v>
      </c>
      <c r="D4587" t="s" s="2">
        <v>16</v>
      </c>
      <c r="E4587" t="s" s="2">
        <v>17</v>
      </c>
      <c r="F4587" t="s" s="2">
        <f>HYPERLINK("http://ts.21cn.com/tousu/show/id/1369103","http://ts.21cn.com/tousu/show/id/1369103")</f>
      </c>
      <c r="G4587" t="s" s="2">
        <v>17</v>
      </c>
      <c r="H4587" t="s" s="2">
        <v>19</v>
      </c>
      <c r="I4587" t="s" s="2">
        <v>17835</v>
      </c>
      <c r="J4587" t="s" s="2">
        <v>17836</v>
      </c>
      <c r="K4587" t="s" s="2">
        <v>22</v>
      </c>
      <c r="L4587" t="s" s="2">
        <v>22</v>
      </c>
      <c r="M4587" t="s" s="2">
        <v>22</v>
      </c>
    </row>
    <row r="4588" ht="25.0" customHeight="true">
      <c r="A4588" t="s" s="2">
        <v>13</v>
      </c>
      <c r="B4588" t="s" s="2">
        <f>HYPERLINK("http://ts.21cn.com/tousu/show/id/1369100","现金巴士砍头息高利贷")</f>
      </c>
      <c r="C4588" t="s" s="2">
        <v>15</v>
      </c>
      <c r="D4588" t="s" s="2">
        <v>16</v>
      </c>
      <c r="E4588" t="s" s="2">
        <v>17</v>
      </c>
      <c r="F4588" t="s" s="2">
        <f>HYPERLINK("http://ts.21cn.com/tousu/show/id/1369100","http://ts.21cn.com/tousu/show/id/1369100")</f>
      </c>
      <c r="G4588" t="s" s="2">
        <v>17</v>
      </c>
      <c r="H4588" t="s" s="2">
        <v>19</v>
      </c>
      <c r="I4588" t="s" s="2">
        <v>17838</v>
      </c>
      <c r="J4588" t="s" s="2">
        <v>17839</v>
      </c>
      <c r="K4588" t="s" s="2">
        <v>22</v>
      </c>
      <c r="L4588" t="s" s="2">
        <v>22</v>
      </c>
      <c r="M4588" t="s" s="2">
        <v>22</v>
      </c>
    </row>
    <row r="4589" ht="25.0" customHeight="true">
      <c r="A4589" t="s" s="2">
        <v>13</v>
      </c>
      <c r="B4589" t="s" s="2">
        <f>HYPERLINK("http://ts.21cn.com/tousu/show/id/1369102","恶意骚扰高利贷恐吓")</f>
      </c>
      <c r="C4589" t="s" s="2">
        <v>15</v>
      </c>
      <c r="D4589" t="s" s="2">
        <v>16</v>
      </c>
      <c r="E4589" t="s" s="2">
        <v>17</v>
      </c>
      <c r="F4589" t="s" s="2">
        <f>HYPERLINK("http://ts.21cn.com/tousu/show/id/1369102","http://ts.21cn.com/tousu/show/id/1369102")</f>
      </c>
      <c r="G4589" t="s" s="2">
        <v>17</v>
      </c>
      <c r="H4589" t="s" s="2">
        <v>19</v>
      </c>
      <c r="I4589" t="s" s="2">
        <v>17838</v>
      </c>
      <c r="J4589" t="s" s="2">
        <v>17842</v>
      </c>
      <c r="K4589" t="s" s="2">
        <v>22</v>
      </c>
      <c r="L4589" t="s" s="2">
        <v>22</v>
      </c>
      <c r="M4589" t="s" s="2">
        <v>22</v>
      </c>
    </row>
    <row r="4590" ht="25.0" customHeight="true">
      <c r="A4590" t="s" s="2">
        <v>13</v>
      </c>
      <c r="B4590" t="s" s="2">
        <f>HYPERLINK("http://ts.21cn.com/tousu/show/id/1369098","淘宝消费纠纷")</f>
      </c>
      <c r="C4590" t="s" s="2">
        <v>52</v>
      </c>
      <c r="D4590" t="s" s="2">
        <v>16</v>
      </c>
      <c r="E4590" t="s" s="2">
        <v>17</v>
      </c>
      <c r="F4590" t="s" s="2">
        <f>HYPERLINK("http://ts.21cn.com/tousu/show/id/1369098","http://ts.21cn.com/tousu/show/id/1369098")</f>
      </c>
      <c r="G4590" t="s" s="2">
        <v>17</v>
      </c>
      <c r="H4590" t="s" s="2">
        <v>19</v>
      </c>
      <c r="I4590" t="s" s="2">
        <v>17845</v>
      </c>
      <c r="J4590" t="s" s="2">
        <v>17846</v>
      </c>
      <c r="K4590" t="s" s="2">
        <v>22</v>
      </c>
      <c r="L4590" t="s" s="2">
        <v>22</v>
      </c>
      <c r="M4590" t="s" s="2">
        <v>22</v>
      </c>
    </row>
    <row r="4591" ht="25.0" customHeight="true">
      <c r="A4591" t="s" s="2">
        <v>13</v>
      </c>
      <c r="B4591" t="s" s="2">
        <f>HYPERLINK("http://ts.21cn.com/tousu/show/id/1369097","上海富友为南京条鳅科技有限公司714高炮提供支付通道要求退还砍头息")</f>
      </c>
      <c r="C4591" t="s" s="2">
        <v>52</v>
      </c>
      <c r="D4591" t="s" s="2">
        <v>16</v>
      </c>
      <c r="E4591" t="s" s="2">
        <v>17</v>
      </c>
      <c r="F4591" t="s" s="2">
        <f>HYPERLINK("http://ts.21cn.com/tousu/show/id/1369097","http://ts.21cn.com/tousu/show/id/1369097")</f>
      </c>
      <c r="G4591" t="s" s="2">
        <v>17</v>
      </c>
      <c r="H4591" t="s" s="2">
        <v>19</v>
      </c>
      <c r="I4591" t="s" s="2">
        <v>17849</v>
      </c>
      <c r="J4591" t="s" s="2">
        <v>17850</v>
      </c>
      <c r="K4591" t="s" s="2">
        <v>22</v>
      </c>
      <c r="L4591" t="s" s="2">
        <v>22</v>
      </c>
      <c r="M4591" t="s" s="2">
        <v>22</v>
      </c>
    </row>
    <row r="4592" ht="25.0" customHeight="true">
      <c r="A4592" t="s" s="2">
        <v>13</v>
      </c>
      <c r="B4592" t="s" s="2">
        <f>HYPERLINK("http://ts.21cn.com/tousu/show/id/1369099","东莞讯怡电子有限公司侵犯未成年权益")</f>
      </c>
      <c r="C4592" t="s" s="2">
        <v>15</v>
      </c>
      <c r="D4592" t="s" s="2">
        <v>16</v>
      </c>
      <c r="E4592" t="s" s="2">
        <v>17</v>
      </c>
      <c r="F4592" t="s" s="2">
        <f>HYPERLINK("http://ts.21cn.com/tousu/show/id/1369099","http://ts.21cn.com/tousu/show/id/1369099")</f>
      </c>
      <c r="G4592" t="s" s="2">
        <v>17</v>
      </c>
      <c r="H4592" t="s" s="2">
        <v>19</v>
      </c>
      <c r="I4592" t="s" s="2">
        <v>17853</v>
      </c>
      <c r="J4592" t="s" s="2">
        <v>17854</v>
      </c>
      <c r="K4592" t="s" s="2">
        <v>22</v>
      </c>
      <c r="L4592" t="s" s="2">
        <v>22</v>
      </c>
      <c r="M4592" t="s" s="2">
        <v>22</v>
      </c>
    </row>
    <row r="4593" ht="25.0" customHeight="true">
      <c r="A4593" t="s" s="2">
        <v>13</v>
      </c>
      <c r="B4593" t="s" s="2">
        <f>HYPERLINK("http://ts.21cn.com/tousu/show/id/1369096","小赢易贷高利贷，提前结清收取高息以及服务费")</f>
      </c>
      <c r="C4593" t="s" s="2">
        <v>15</v>
      </c>
      <c r="D4593" t="s" s="2">
        <v>16</v>
      </c>
      <c r="E4593" t="s" s="2">
        <v>17</v>
      </c>
      <c r="F4593" t="s" s="2">
        <f>HYPERLINK("http://ts.21cn.com/tousu/show/id/1369096","http://ts.21cn.com/tousu/show/id/1369096")</f>
      </c>
      <c r="G4593" t="s" s="2">
        <v>17</v>
      </c>
      <c r="H4593" t="s" s="2">
        <v>19</v>
      </c>
      <c r="I4593" t="s" s="2">
        <v>17857</v>
      </c>
      <c r="J4593" t="s" s="2">
        <v>17858</v>
      </c>
      <c r="K4593" t="s" s="2">
        <v>22</v>
      </c>
      <c r="L4593" t="s" s="2">
        <v>22</v>
      </c>
      <c r="M4593" t="s" s="2">
        <v>22</v>
      </c>
    </row>
    <row r="4594" ht="25.0" customHeight="true">
      <c r="A4594" t="s" s="2">
        <v>13</v>
      </c>
      <c r="B4594" t="s" s="2">
        <f>HYPERLINK("http://ts.21cn.com/tousu/show/id/1369095","及贷疯狂暴力催收")</f>
      </c>
      <c r="C4594" t="s" s="2">
        <v>15</v>
      </c>
      <c r="D4594" t="s" s="2">
        <v>16</v>
      </c>
      <c r="E4594" t="s" s="2">
        <v>17</v>
      </c>
      <c r="F4594" t="s" s="2">
        <f>HYPERLINK("http://ts.21cn.com/tousu/show/id/1369095","http://ts.21cn.com/tousu/show/id/1369095")</f>
      </c>
      <c r="G4594" t="s" s="2">
        <v>17</v>
      </c>
      <c r="H4594" t="s" s="2">
        <v>19</v>
      </c>
      <c r="I4594" t="s" s="2">
        <v>17861</v>
      </c>
      <c r="J4594" t="s" s="2">
        <v>17862</v>
      </c>
      <c r="K4594" t="s" s="2">
        <v>22</v>
      </c>
      <c r="L4594" t="s" s="2">
        <v>22</v>
      </c>
      <c r="M4594" t="s" s="2">
        <v>22</v>
      </c>
    </row>
    <row r="4595" ht="25.0" customHeight="true">
      <c r="A4595" t="s" s="2">
        <v>13</v>
      </c>
      <c r="B4595" t="s" s="2">
        <f>HYPERLINK("http://ts.21cn.com/tousu/show/id/1367506","在不知情的情况下扣除银行卡198元，并且未进行扣款。未提前通知，并且在一定时间后扣除。")</f>
      </c>
      <c r="C4595" t="s" s="2">
        <v>15</v>
      </c>
      <c r="D4595" t="s" s="2">
        <v>16</v>
      </c>
      <c r="E4595" t="s" s="2">
        <v>17</v>
      </c>
      <c r="F4595" t="s" s="2">
        <f>HYPERLINK("http://ts.21cn.com/tousu/show/id/1367506","http://ts.21cn.com/tousu/show/id/1367506")</f>
      </c>
      <c r="G4595" t="s" s="2">
        <v>17</v>
      </c>
      <c r="H4595" t="s" s="2">
        <v>19</v>
      </c>
      <c r="I4595" t="s" s="2">
        <v>17865</v>
      </c>
      <c r="J4595" t="s" s="2">
        <v>17866</v>
      </c>
      <c r="K4595" t="s" s="2">
        <v>22</v>
      </c>
      <c r="L4595" t="s" s="2">
        <v>22</v>
      </c>
      <c r="M4595" t="s" s="2">
        <v>22</v>
      </c>
    </row>
    <row r="4596" ht="25.0" customHeight="true">
      <c r="A4596" t="s" s="2">
        <v>13</v>
      </c>
      <c r="B4596" t="s" s="2">
        <f>HYPERLINK("http://ts.21cn.com/tousu/show/id/1369094","钱伴高额服务费")</f>
      </c>
      <c r="C4596" t="s" s="2">
        <v>52</v>
      </c>
      <c r="D4596" t="s" s="2">
        <v>16</v>
      </c>
      <c r="E4596" t="s" s="2">
        <v>17</v>
      </c>
      <c r="F4596" t="s" s="2">
        <f>HYPERLINK("http://ts.21cn.com/tousu/show/id/1369094","http://ts.21cn.com/tousu/show/id/1369094")</f>
      </c>
      <c r="G4596" t="s" s="2">
        <v>17</v>
      </c>
      <c r="H4596" t="s" s="2">
        <v>19</v>
      </c>
      <c r="I4596" t="s" s="2">
        <v>17865</v>
      </c>
      <c r="J4596" t="s" s="2">
        <v>17869</v>
      </c>
      <c r="K4596" t="s" s="2">
        <v>22</v>
      </c>
      <c r="L4596" t="s" s="2">
        <v>22</v>
      </c>
      <c r="M4596" t="s" s="2">
        <v>22</v>
      </c>
    </row>
    <row r="4597" ht="25.0" customHeight="true">
      <c r="A4597" t="s" s="2">
        <v>13</v>
      </c>
      <c r="B4597" t="s" s="2">
        <f>HYPERLINK("http://ts.21cn.com/tousu/show/id/1369092","骚扰联系人催收")</f>
      </c>
      <c r="C4597" t="s" s="2">
        <v>15</v>
      </c>
      <c r="D4597" t="s" s="2">
        <v>16</v>
      </c>
      <c r="E4597" t="s" s="2">
        <v>17</v>
      </c>
      <c r="F4597" t="s" s="2">
        <f>HYPERLINK("http://ts.21cn.com/tousu/show/id/1369092","http://ts.21cn.com/tousu/show/id/1369092")</f>
      </c>
      <c r="G4597" t="s" s="2">
        <v>17</v>
      </c>
      <c r="H4597" t="s" s="2">
        <v>19</v>
      </c>
      <c r="I4597" t="s" s="2">
        <v>17872</v>
      </c>
      <c r="J4597" t="s" s="2">
        <v>17873</v>
      </c>
      <c r="K4597" t="s" s="2">
        <v>22</v>
      </c>
      <c r="L4597" t="s" s="2">
        <v>22</v>
      </c>
      <c r="M4597" t="s" s="2">
        <v>22</v>
      </c>
    </row>
    <row r="4598" ht="25.0" customHeight="true">
      <c r="A4598" t="s" s="2">
        <v>13</v>
      </c>
      <c r="B4598" t="s" s="2">
        <f>HYPERLINK("http://ts.21cn.com/tousu/show/id/1369091","暴力催收")</f>
      </c>
      <c r="C4598" t="s" s="2">
        <v>15</v>
      </c>
      <c r="D4598" t="s" s="2">
        <v>16</v>
      </c>
      <c r="E4598" t="s" s="2">
        <v>17</v>
      </c>
      <c r="F4598" t="s" s="2">
        <f>HYPERLINK("http://ts.21cn.com/tousu/show/id/1369091","http://ts.21cn.com/tousu/show/id/1369091")</f>
      </c>
      <c r="G4598" t="s" s="2">
        <v>17</v>
      </c>
      <c r="H4598" t="s" s="2">
        <v>19</v>
      </c>
      <c r="I4598" t="s" s="2">
        <v>17875</v>
      </c>
      <c r="J4598" t="s" s="2">
        <v>17876</v>
      </c>
      <c r="K4598" t="s" s="2">
        <v>22</v>
      </c>
      <c r="L4598" t="s" s="2">
        <v>22</v>
      </c>
      <c r="M4598" t="s" s="2">
        <v>22</v>
      </c>
    </row>
    <row r="4599" ht="25.0" customHeight="true">
      <c r="A4599" t="s" s="2">
        <v>13</v>
      </c>
      <c r="B4599" t="s" s="2">
        <f>HYPERLINK("http://ts.21cn.com/tousu/show/id/1369090","不知道的情况下扣我99元")</f>
      </c>
      <c r="C4599" t="s" s="2">
        <v>15</v>
      </c>
      <c r="D4599" t="s" s="2">
        <v>16</v>
      </c>
      <c r="E4599" t="s" s="2">
        <v>17</v>
      </c>
      <c r="F4599" t="s" s="2">
        <f>HYPERLINK("http://ts.21cn.com/tousu/show/id/1369090","http://ts.21cn.com/tousu/show/id/1369090")</f>
      </c>
      <c r="G4599" t="s" s="2">
        <v>17</v>
      </c>
      <c r="H4599" t="s" s="2">
        <v>19</v>
      </c>
      <c r="I4599" t="s" s="2">
        <v>17879</v>
      </c>
      <c r="J4599" t="s" s="2">
        <v>17880</v>
      </c>
      <c r="K4599" t="s" s="2">
        <v>22</v>
      </c>
      <c r="L4599" t="s" s="2">
        <v>22</v>
      </c>
      <c r="M4599" t="s" s="2">
        <v>22</v>
      </c>
    </row>
    <row r="4600" ht="25.0" customHeight="true">
      <c r="A4600" t="s" s="2">
        <v>13</v>
      </c>
      <c r="B4600" t="s" s="2">
        <f>HYPERLINK("http://ts.21cn.com/tousu/show/id/1369089","马上消费金融，暴力催收，群发短信，恐吓催收")</f>
      </c>
      <c r="C4600" t="s" s="2">
        <v>15</v>
      </c>
      <c r="D4600" t="s" s="2">
        <v>16</v>
      </c>
      <c r="E4600" t="s" s="2">
        <v>17</v>
      </c>
      <c r="F4600" t="s" s="2">
        <f>HYPERLINK("http://ts.21cn.com/tousu/show/id/1369089","http://ts.21cn.com/tousu/show/id/1369089")</f>
      </c>
      <c r="G4600" t="s" s="2">
        <v>17</v>
      </c>
      <c r="H4600" t="s" s="2">
        <v>19</v>
      </c>
      <c r="I4600" t="s" s="2">
        <v>17882</v>
      </c>
      <c r="J4600" t="s" s="2">
        <v>17883</v>
      </c>
      <c r="K4600" t="s" s="2">
        <v>22</v>
      </c>
      <c r="L4600" t="s" s="2">
        <v>22</v>
      </c>
      <c r="M4600" t="s" s="2">
        <v>22</v>
      </c>
    </row>
    <row r="4601" ht="25.0" customHeight="true">
      <c r="A4601" t="s" s="2">
        <v>13</v>
      </c>
      <c r="B4601" t="s" s="2">
        <f>HYPERLINK("http://ts.21cn.com/tousu/show/id/1369088","链家房源平台数据作假，虚假宣传、销售，赔付损失面积的金额")</f>
      </c>
      <c r="C4601" t="s" s="2">
        <v>15</v>
      </c>
      <c r="D4601" t="s" s="2">
        <v>16</v>
      </c>
      <c r="E4601" t="s" s="2">
        <v>17</v>
      </c>
      <c r="F4601" t="s" s="2">
        <f>HYPERLINK("http://ts.21cn.com/tousu/show/id/1369088","http://ts.21cn.com/tousu/show/id/1369088")</f>
      </c>
      <c r="G4601" t="s" s="2">
        <v>17</v>
      </c>
      <c r="H4601" t="s" s="2">
        <v>19</v>
      </c>
      <c r="I4601" t="s" s="2">
        <v>17886</v>
      </c>
      <c r="J4601" t="s" s="2">
        <v>17887</v>
      </c>
      <c r="K4601" t="s" s="2">
        <v>22</v>
      </c>
      <c r="L4601" t="s" s="2">
        <v>22</v>
      </c>
      <c r="M4601" t="s" s="2">
        <v>22</v>
      </c>
    </row>
    <row r="4602" ht="25.0" customHeight="true">
      <c r="A4602" t="s" s="2">
        <v>13</v>
      </c>
      <c r="B4602" t="s" s="2">
        <f>HYPERLINK("http://ts.21cn.com/tousu/show/id/1369087","你我贷变相收取高额利息")</f>
      </c>
      <c r="C4602" t="s" s="2">
        <v>15</v>
      </c>
      <c r="D4602" t="s" s="2">
        <v>16</v>
      </c>
      <c r="E4602" t="s" s="2">
        <v>17</v>
      </c>
      <c r="F4602" t="s" s="2">
        <f>HYPERLINK("http://ts.21cn.com/tousu/show/id/1369087","http://ts.21cn.com/tousu/show/id/1369087")</f>
      </c>
      <c r="G4602" t="s" s="2">
        <v>17</v>
      </c>
      <c r="H4602" t="s" s="2">
        <v>19</v>
      </c>
      <c r="I4602" t="s" s="2">
        <v>17890</v>
      </c>
      <c r="J4602" t="s" s="2">
        <v>17891</v>
      </c>
      <c r="K4602" t="s" s="2">
        <v>22</v>
      </c>
      <c r="L4602" t="s" s="2">
        <v>22</v>
      </c>
      <c r="M4602" t="s" s="2">
        <v>22</v>
      </c>
    </row>
    <row r="4603" ht="25.0" customHeight="true">
      <c r="A4603" t="s" s="2">
        <v>13</v>
      </c>
      <c r="B4603" t="s" s="2">
        <f>HYPERLINK("http://ts.21cn.com/tousu/show/id/1369086","网贷利息太高爆通讯录")</f>
      </c>
      <c r="C4603" t="s" s="2">
        <v>15</v>
      </c>
      <c r="D4603" t="s" s="2">
        <v>16</v>
      </c>
      <c r="E4603" t="s" s="2">
        <v>17</v>
      </c>
      <c r="F4603" t="s" s="2">
        <f>HYPERLINK("http://ts.21cn.com/tousu/show/id/1369086","http://ts.21cn.com/tousu/show/id/1369086")</f>
      </c>
      <c r="G4603" t="s" s="2">
        <v>17</v>
      </c>
      <c r="H4603" t="s" s="2">
        <v>19</v>
      </c>
      <c r="I4603" t="s" s="2">
        <v>17894</v>
      </c>
      <c r="J4603" t="s" s="2">
        <v>17895</v>
      </c>
      <c r="K4603" t="s" s="2">
        <v>22</v>
      </c>
      <c r="L4603" t="s" s="2">
        <v>22</v>
      </c>
      <c r="M4603" t="s" s="2">
        <v>22</v>
      </c>
    </row>
    <row r="4604" ht="25.0" customHeight="true">
      <c r="A4604" t="s" s="2">
        <v>13</v>
      </c>
      <c r="B4604" t="s" s="2">
        <f>HYPERLINK("http://ts.21cn.com/tousu/show/id/1369085","现金巴士高利贷砍头息")</f>
      </c>
      <c r="C4604" t="s" s="2">
        <v>15</v>
      </c>
      <c r="D4604" t="s" s="2">
        <v>16</v>
      </c>
      <c r="E4604" t="s" s="2">
        <v>17</v>
      </c>
      <c r="F4604" t="s" s="2">
        <f>HYPERLINK("http://ts.21cn.com/tousu/show/id/1369085","http://ts.21cn.com/tousu/show/id/1369085")</f>
      </c>
      <c r="G4604" t="s" s="2">
        <v>17</v>
      </c>
      <c r="H4604" t="s" s="2">
        <v>19</v>
      </c>
      <c r="I4604" t="s" s="2">
        <v>17897</v>
      </c>
      <c r="J4604" t="s" s="2">
        <v>17898</v>
      </c>
      <c r="K4604" t="s" s="2">
        <v>22</v>
      </c>
      <c r="L4604" t="s" s="2">
        <v>22</v>
      </c>
      <c r="M4604" t="s" s="2">
        <v>22</v>
      </c>
    </row>
    <row r="4605" ht="25.0" customHeight="true">
      <c r="A4605" t="s" s="2">
        <v>13</v>
      </c>
      <c r="B4605" t="s" s="2">
        <f>HYPERLINK("http://ts.21cn.com/tousu/show/id/1369084","本来申请网贷最后银行卡无缘无故被扣299元。还我血汗钱")</f>
      </c>
      <c r="C4605" t="s" s="2">
        <v>15</v>
      </c>
      <c r="D4605" t="s" s="2">
        <v>16</v>
      </c>
      <c r="E4605" t="s" s="2">
        <v>17</v>
      </c>
      <c r="F4605" t="s" s="2">
        <f>HYPERLINK("http://ts.21cn.com/tousu/show/id/1369084","http://ts.21cn.com/tousu/show/id/1369084")</f>
      </c>
      <c r="G4605" t="s" s="2">
        <v>17</v>
      </c>
      <c r="H4605" t="s" s="2">
        <v>19</v>
      </c>
      <c r="I4605" t="s" s="2">
        <v>17901</v>
      </c>
      <c r="J4605" t="s" s="2">
        <v>17902</v>
      </c>
      <c r="K4605" t="s" s="2">
        <v>22</v>
      </c>
      <c r="L4605" t="s" s="2">
        <v>22</v>
      </c>
      <c r="M4605" t="s" s="2">
        <v>22</v>
      </c>
    </row>
    <row r="4606" ht="25.0" customHeight="true">
      <c r="A4606" t="s" s="2">
        <v>13</v>
      </c>
      <c r="B4606" t="s" s="2">
        <f>HYPERLINK("http://ts.21cn.com/tousu/show/id/1369083","高利贷阴阳合同额外收取费用")</f>
      </c>
      <c r="C4606" t="s" s="2">
        <v>15</v>
      </c>
      <c r="D4606" t="s" s="2">
        <v>16</v>
      </c>
      <c r="E4606" t="s" s="2">
        <v>17</v>
      </c>
      <c r="F4606" t="s" s="2">
        <f>HYPERLINK("http://ts.21cn.com/tousu/show/id/1369083","http://ts.21cn.com/tousu/show/id/1369083")</f>
      </c>
      <c r="G4606" t="s" s="2">
        <v>17</v>
      </c>
      <c r="H4606" t="s" s="2">
        <v>19</v>
      </c>
      <c r="I4606" t="s" s="2">
        <v>17905</v>
      </c>
      <c r="J4606" t="s" s="2">
        <v>17906</v>
      </c>
      <c r="K4606" t="s" s="2">
        <v>22</v>
      </c>
      <c r="L4606" t="s" s="2">
        <v>22</v>
      </c>
      <c r="M4606" t="s" s="2">
        <v>22</v>
      </c>
    </row>
    <row r="4607" ht="25.0" customHeight="true">
      <c r="A4607" t="s" s="2">
        <v>13</v>
      </c>
      <c r="B4607" t="s" s="2">
        <f>HYPERLINK("http://ts.21cn.com/tousu/show/id/1369082","佰仟金融利息太高")</f>
      </c>
      <c r="C4607" t="s" s="2">
        <v>15</v>
      </c>
      <c r="D4607" t="s" s="2">
        <v>16</v>
      </c>
      <c r="E4607" t="s" s="2">
        <v>17</v>
      </c>
      <c r="F4607" t="s" s="2">
        <f>HYPERLINK("http://ts.21cn.com/tousu/show/id/1369082","http://ts.21cn.com/tousu/show/id/1369082")</f>
      </c>
      <c r="G4607" t="s" s="2">
        <v>17</v>
      </c>
      <c r="H4607" t="s" s="2">
        <v>19</v>
      </c>
      <c r="I4607" t="s" s="2">
        <v>17909</v>
      </c>
      <c r="J4607" t="s" s="2">
        <v>17910</v>
      </c>
      <c r="K4607" t="s" s="2">
        <v>22</v>
      </c>
      <c r="L4607" t="s" s="2">
        <v>22</v>
      </c>
      <c r="M4607" t="s" s="2">
        <v>22</v>
      </c>
    </row>
    <row r="4608" ht="25.0" customHeight="true">
      <c r="A4608" t="s" s="2">
        <v>13</v>
      </c>
      <c r="B4608" t="s" s="2">
        <f>HYPERLINK("http://ts.21cn.com/tousu/show/id/1369081","平安银行与套路贷合作，违规提供支付渠道")</f>
      </c>
      <c r="C4608" t="s" s="2">
        <v>15</v>
      </c>
      <c r="D4608" t="s" s="2">
        <v>16</v>
      </c>
      <c r="E4608" t="s" s="2">
        <v>17</v>
      </c>
      <c r="F4608" t="s" s="2">
        <f>HYPERLINK("http://ts.21cn.com/tousu/show/id/1369081","http://ts.21cn.com/tousu/show/id/1369081")</f>
      </c>
      <c r="G4608" t="s" s="2">
        <v>17</v>
      </c>
      <c r="H4608" t="s" s="2">
        <v>19</v>
      </c>
      <c r="I4608" t="s" s="2">
        <v>17913</v>
      </c>
      <c r="J4608" t="s" s="2">
        <v>17914</v>
      </c>
      <c r="K4608" t="s" s="2">
        <v>22</v>
      </c>
      <c r="L4608" t="s" s="2">
        <v>22</v>
      </c>
      <c r="M4608" t="s" s="2">
        <v>22</v>
      </c>
    </row>
    <row r="4609" ht="25.0" customHeight="true">
      <c r="A4609" t="s" s="2">
        <v>13</v>
      </c>
      <c r="B4609" t="s" s="2">
        <f>HYPERLINK("http://ts.21cn.com/tousu/show/id/1369080","闪电借款勾结众泰金服贷款代理有限公司非法扣款200元")</f>
      </c>
      <c r="C4609" t="s" s="2">
        <v>15</v>
      </c>
      <c r="D4609" t="s" s="2">
        <v>16</v>
      </c>
      <c r="E4609" t="s" s="2">
        <v>17</v>
      </c>
      <c r="F4609" t="s" s="2">
        <f>HYPERLINK("http://ts.21cn.com/tousu/show/id/1369080","http://ts.21cn.com/tousu/show/id/1369080")</f>
      </c>
      <c r="G4609" t="s" s="2">
        <v>17</v>
      </c>
      <c r="H4609" t="s" s="2">
        <v>19</v>
      </c>
      <c r="I4609" t="s" s="2">
        <v>17917</v>
      </c>
      <c r="J4609" t="s" s="2">
        <v>17918</v>
      </c>
      <c r="K4609" t="s" s="2">
        <v>22</v>
      </c>
      <c r="L4609" t="s" s="2">
        <v>22</v>
      </c>
      <c r="M4609" t="s" s="2">
        <v>22</v>
      </c>
    </row>
    <row r="4610" ht="25.0" customHeight="true">
      <c r="A4610" t="s" s="2">
        <v>13</v>
      </c>
      <c r="B4610" t="s" s="2">
        <f>HYPERLINK("http://ts.21cn.com/tousu/show/id/1369079","网贷还款平台进不了，无法完成还款")</f>
      </c>
      <c r="C4610" t="s" s="2">
        <v>15</v>
      </c>
      <c r="D4610" t="s" s="2">
        <v>16</v>
      </c>
      <c r="E4610" t="s" s="2">
        <v>17</v>
      </c>
      <c r="F4610" t="s" s="2">
        <f>HYPERLINK("http://ts.21cn.com/tousu/show/id/1369079","http://ts.21cn.com/tousu/show/id/1369079")</f>
      </c>
      <c r="G4610" t="s" s="2">
        <v>17</v>
      </c>
      <c r="H4610" t="s" s="2">
        <v>19</v>
      </c>
      <c r="I4610" t="s" s="2">
        <v>17921</v>
      </c>
      <c r="J4610" t="s" s="2">
        <v>17922</v>
      </c>
      <c r="K4610" t="s" s="2">
        <v>22</v>
      </c>
      <c r="L4610" t="s" s="2">
        <v>22</v>
      </c>
      <c r="M4610" t="s" s="2">
        <v>22</v>
      </c>
    </row>
    <row r="4611" ht="25.0" customHeight="true">
      <c r="A4611" t="s" s="2">
        <v>13</v>
      </c>
      <c r="B4611" t="s" s="2">
        <f>HYPERLINK("http://ts.21cn.com/tousu/show/id/1369077","爱白条高利贷暴力催收")</f>
      </c>
      <c r="C4611" t="s" s="2">
        <v>15</v>
      </c>
      <c r="D4611" t="s" s="2">
        <v>16</v>
      </c>
      <c r="E4611" t="s" s="2">
        <v>17</v>
      </c>
      <c r="F4611" t="s" s="2">
        <f>HYPERLINK("http://ts.21cn.com/tousu/show/id/1369077","http://ts.21cn.com/tousu/show/id/1369077")</f>
      </c>
      <c r="G4611" t="s" s="2">
        <v>17</v>
      </c>
      <c r="H4611" t="s" s="2">
        <v>19</v>
      </c>
      <c r="I4611" t="s" s="2">
        <v>17925</v>
      </c>
      <c r="J4611" t="s" s="2">
        <v>17926</v>
      </c>
      <c r="K4611" t="s" s="2">
        <v>22</v>
      </c>
      <c r="L4611" t="s" s="2">
        <v>22</v>
      </c>
      <c r="M4611" t="s" s="2">
        <v>22</v>
      </c>
    </row>
    <row r="4612" ht="25.0" customHeight="true">
      <c r="A4612" t="s" s="2">
        <v>13</v>
      </c>
      <c r="B4612" t="s" s="2">
        <f>HYPERLINK("http://ts.21cn.com/tousu/show/id/1369078","广州合利宝为714高炮速代金卡提供支付通道")</f>
      </c>
      <c r="C4612" t="s" s="2">
        <v>52</v>
      </c>
      <c r="D4612" t="s" s="2">
        <v>16</v>
      </c>
      <c r="E4612" t="s" s="2">
        <v>17</v>
      </c>
      <c r="F4612" t="s" s="2">
        <f>HYPERLINK("http://ts.21cn.com/tousu/show/id/1369078","http://ts.21cn.com/tousu/show/id/1369078")</f>
      </c>
      <c r="G4612" t="s" s="2">
        <v>17</v>
      </c>
      <c r="H4612" t="s" s="2">
        <v>19</v>
      </c>
      <c r="I4612" t="s" s="2">
        <v>17929</v>
      </c>
      <c r="J4612" t="s" s="2">
        <v>17930</v>
      </c>
      <c r="K4612" t="s" s="2">
        <v>22</v>
      </c>
      <c r="L4612" t="s" s="2">
        <v>22</v>
      </c>
      <c r="M4612" t="s" s="2">
        <v>22</v>
      </c>
    </row>
    <row r="4613" ht="25.0" customHeight="true">
      <c r="A4613" t="s" s="2">
        <v>13</v>
      </c>
      <c r="B4613" t="s" s="2">
        <f>HYPERLINK("http://ts.21cn.com/tousu/show/id/1369074","阿里云天猫官方旗舰店")</f>
      </c>
      <c r="C4613" t="s" s="2">
        <v>52</v>
      </c>
      <c r="D4613" t="s" s="2">
        <v>16</v>
      </c>
      <c r="E4613" t="s" s="2">
        <v>17</v>
      </c>
      <c r="F4613" t="s" s="2">
        <f>HYPERLINK("http://ts.21cn.com/tousu/show/id/1369074","http://ts.21cn.com/tousu/show/id/1369074")</f>
      </c>
      <c r="G4613" t="s" s="2">
        <v>17</v>
      </c>
      <c r="H4613" t="s" s="2">
        <v>19</v>
      </c>
      <c r="I4613" t="s" s="2">
        <v>17933</v>
      </c>
      <c r="J4613" t="s" s="2">
        <v>17934</v>
      </c>
      <c r="K4613" t="s" s="2">
        <v>22</v>
      </c>
      <c r="L4613" t="s" s="2">
        <v>22</v>
      </c>
      <c r="M4613" t="s" s="2">
        <v>22</v>
      </c>
    </row>
    <row r="4614" ht="25.0" customHeight="true">
      <c r="A4614" t="s" s="2">
        <v>13</v>
      </c>
      <c r="B4614" t="s" s="2">
        <f>HYPERLINK("http://ts.21cn.com/tousu/show/id/1369073","广发银行协商还款时间")</f>
      </c>
      <c r="C4614" t="s" s="2">
        <v>15</v>
      </c>
      <c r="D4614" t="s" s="2">
        <v>16</v>
      </c>
      <c r="E4614" t="s" s="2">
        <v>17</v>
      </c>
      <c r="F4614" t="s" s="2">
        <f>HYPERLINK("http://ts.21cn.com/tousu/show/id/1369073","http://ts.21cn.com/tousu/show/id/1369073")</f>
      </c>
      <c r="G4614" t="s" s="2">
        <v>17</v>
      </c>
      <c r="H4614" t="s" s="2">
        <v>19</v>
      </c>
      <c r="I4614" t="s" s="2">
        <v>17937</v>
      </c>
      <c r="J4614" t="s" s="2">
        <v>17938</v>
      </c>
      <c r="K4614" t="s" s="2">
        <v>22</v>
      </c>
      <c r="L4614" t="s" s="2">
        <v>22</v>
      </c>
      <c r="M4614" t="s" s="2">
        <v>22</v>
      </c>
    </row>
    <row r="4615" ht="25.0" customHeight="true">
      <c r="A4615" t="s" s="2">
        <v>13</v>
      </c>
      <c r="B4615" t="s" s="2">
        <f>HYPERLINK("http://ts.21cn.com/tousu/show/id/1369072","邮政银行信用卡骚扰")</f>
      </c>
      <c r="C4615" t="s" s="2">
        <v>15</v>
      </c>
      <c r="D4615" t="s" s="2">
        <v>16</v>
      </c>
      <c r="E4615" t="s" s="2">
        <v>17</v>
      </c>
      <c r="F4615" t="s" s="2">
        <f>HYPERLINK("http://ts.21cn.com/tousu/show/id/1369072","http://ts.21cn.com/tousu/show/id/1369072")</f>
      </c>
      <c r="G4615" t="s" s="2">
        <v>17</v>
      </c>
      <c r="H4615" t="s" s="2">
        <v>19</v>
      </c>
      <c r="I4615" t="s" s="2">
        <v>17941</v>
      </c>
      <c r="J4615" t="s" s="2">
        <v>17942</v>
      </c>
      <c r="K4615" t="s" s="2">
        <v>22</v>
      </c>
      <c r="L4615" t="s" s="2">
        <v>22</v>
      </c>
      <c r="M4615" t="s" s="2">
        <v>22</v>
      </c>
    </row>
    <row r="4616" ht="25.0" customHeight="true">
      <c r="A4616" t="s" s="2">
        <v>13</v>
      </c>
      <c r="B4616" t="s" s="2">
        <f>HYPERLINK("http://ts.21cn.com/tousu/show/id/1369075","小树时代龙分期强迫还款")</f>
      </c>
      <c r="C4616" t="s" s="2">
        <v>15</v>
      </c>
      <c r="D4616" t="s" s="2">
        <v>16</v>
      </c>
      <c r="E4616" t="s" s="2">
        <v>17</v>
      </c>
      <c r="F4616" t="s" s="2">
        <f>HYPERLINK("http://ts.21cn.com/tousu/show/id/1369075","http://ts.21cn.com/tousu/show/id/1369075")</f>
      </c>
      <c r="G4616" t="s" s="2">
        <v>17</v>
      </c>
      <c r="H4616" t="s" s="2">
        <v>19</v>
      </c>
      <c r="I4616" t="s" s="2">
        <v>17945</v>
      </c>
      <c r="J4616" t="s" s="2">
        <v>17946</v>
      </c>
      <c r="K4616" t="s" s="2">
        <v>22</v>
      </c>
      <c r="L4616" t="s" s="2">
        <v>22</v>
      </c>
      <c r="M4616" t="s" s="2">
        <v>22</v>
      </c>
    </row>
    <row r="4617" ht="25.0" customHeight="true">
      <c r="A4617" t="s" s="2">
        <v>13</v>
      </c>
      <c r="B4617" t="s" s="2">
        <f>HYPERLINK("http://ts.21cn.com/tousu/show/id/1369071","上海富友为石家庄大川科技有限公司714高炮提供支付通道要求退还砍头息")</f>
      </c>
      <c r="C4617" t="s" s="2">
        <v>52</v>
      </c>
      <c r="D4617" t="s" s="2">
        <v>16</v>
      </c>
      <c r="E4617" t="s" s="2">
        <v>17</v>
      </c>
      <c r="F4617" t="s" s="2">
        <f>HYPERLINK("http://ts.21cn.com/tousu/show/id/1369071","http://ts.21cn.com/tousu/show/id/1369071")</f>
      </c>
      <c r="G4617" t="s" s="2">
        <v>17</v>
      </c>
      <c r="H4617" t="s" s="2">
        <v>19</v>
      </c>
      <c r="I4617" t="s" s="2">
        <v>17949</v>
      </c>
      <c r="J4617" t="s" s="2">
        <v>17950</v>
      </c>
      <c r="K4617" t="s" s="2">
        <v>22</v>
      </c>
      <c r="L4617" t="s" s="2">
        <v>22</v>
      </c>
      <c r="M4617" t="s" s="2">
        <v>22</v>
      </c>
    </row>
    <row r="4618" ht="25.0" customHeight="true">
      <c r="A4618" t="s" s="2">
        <v>13</v>
      </c>
      <c r="B4618" t="s" s="2">
        <f>HYPERLINK("http://ts.21cn.com/tousu/show/id/1369070","大白猫高利贷米米罐同一个公司的")</f>
      </c>
      <c r="C4618" t="s" s="2">
        <v>15</v>
      </c>
      <c r="D4618" t="s" s="2">
        <v>16</v>
      </c>
      <c r="E4618" t="s" s="2">
        <v>17</v>
      </c>
      <c r="F4618" t="s" s="2">
        <f>HYPERLINK("http://ts.21cn.com/tousu/show/id/1369070","http://ts.21cn.com/tousu/show/id/1369070")</f>
      </c>
      <c r="G4618" t="s" s="2">
        <v>17</v>
      </c>
      <c r="H4618" t="s" s="2">
        <v>19</v>
      </c>
      <c r="I4618" t="s" s="2">
        <v>17953</v>
      </c>
      <c r="J4618" t="s" s="2">
        <v>17954</v>
      </c>
      <c r="K4618" t="s" s="2">
        <v>22</v>
      </c>
      <c r="L4618" t="s" s="2">
        <v>22</v>
      </c>
      <c r="M4618" t="s" s="2">
        <v>22</v>
      </c>
    </row>
    <row r="4619" ht="25.0" customHeight="true">
      <c r="A4619" t="s" s="2">
        <v>13</v>
      </c>
      <c r="B4619" t="s" s="2">
        <f>HYPERLINK("http://ts.21cn.com/tousu/show/id/1369069","平安信用卡催收疯狂倒卖公民信息")</f>
      </c>
      <c r="C4619" t="s" s="2">
        <v>15</v>
      </c>
      <c r="D4619" t="s" s="2">
        <v>16</v>
      </c>
      <c r="E4619" t="s" s="2">
        <v>17</v>
      </c>
      <c r="F4619" t="s" s="2">
        <f>HYPERLINK("http://ts.21cn.com/tousu/show/id/1369069","http://ts.21cn.com/tousu/show/id/1369069")</f>
      </c>
      <c r="G4619" t="s" s="2">
        <v>17</v>
      </c>
      <c r="H4619" t="s" s="2">
        <v>19</v>
      </c>
      <c r="I4619" t="s" s="2">
        <v>17957</v>
      </c>
      <c r="J4619" t="s" s="2">
        <v>17958</v>
      </c>
      <c r="K4619" t="s" s="2">
        <v>22</v>
      </c>
      <c r="L4619" t="s" s="2">
        <v>22</v>
      </c>
      <c r="M4619" t="s" s="2">
        <v>22</v>
      </c>
    </row>
    <row r="4620" ht="25.0" customHeight="true">
      <c r="A4620" t="s" s="2">
        <v>13</v>
      </c>
      <c r="B4620" t="s" s="2">
        <f>HYPERLINK("http://ts.21cn.com/tousu/show/id/1369068","我来贷非法高利贷，还款不销账，请求返还超过国家规定外的利息")</f>
      </c>
      <c r="C4620" t="s" s="2">
        <v>15</v>
      </c>
      <c r="D4620" t="s" s="2">
        <v>16</v>
      </c>
      <c r="E4620" t="s" s="2">
        <v>17</v>
      </c>
      <c r="F4620" t="s" s="2">
        <f>HYPERLINK("http://ts.21cn.com/tousu/show/id/1369068","http://ts.21cn.com/tousu/show/id/1369068")</f>
      </c>
      <c r="G4620" t="s" s="2">
        <v>17</v>
      </c>
      <c r="H4620" t="s" s="2">
        <v>19</v>
      </c>
      <c r="I4620" t="s" s="2">
        <v>17961</v>
      </c>
      <c r="J4620" t="s" s="2">
        <v>17962</v>
      </c>
      <c r="K4620" t="s" s="2">
        <v>22</v>
      </c>
      <c r="L4620" t="s" s="2">
        <v>22</v>
      </c>
      <c r="M4620" t="s" s="2">
        <v>22</v>
      </c>
    </row>
    <row r="4621" ht="25.0" customHeight="true">
      <c r="A4621" t="s" s="2">
        <v>13</v>
      </c>
      <c r="B4621" t="s" s="2">
        <f>HYPERLINK("http://ts.21cn.com/tousu/show/id/1369067","暴力催收")</f>
      </c>
      <c r="C4621" t="s" s="2">
        <v>15</v>
      </c>
      <c r="D4621" t="s" s="2">
        <v>16</v>
      </c>
      <c r="E4621" t="s" s="2">
        <v>17</v>
      </c>
      <c r="F4621" t="s" s="2">
        <f>HYPERLINK("http://ts.21cn.com/tousu/show/id/1369067","http://ts.21cn.com/tousu/show/id/1369067")</f>
      </c>
      <c r="G4621" t="s" s="2">
        <v>17</v>
      </c>
      <c r="H4621" t="s" s="2">
        <v>19</v>
      </c>
      <c r="I4621" t="s" s="2">
        <v>17964</v>
      </c>
      <c r="J4621" t="s" s="2">
        <v>17965</v>
      </c>
      <c r="K4621" t="s" s="2">
        <v>22</v>
      </c>
      <c r="L4621" t="s" s="2">
        <v>22</v>
      </c>
      <c r="M4621" t="s" s="2">
        <v>22</v>
      </c>
    </row>
    <row r="4622" ht="25.0" customHeight="true">
      <c r="A4622" t="s" s="2">
        <v>13</v>
      </c>
      <c r="B4622" t="s" s="2">
        <f>HYPERLINK("http://ts.21cn.com/tousu/show/id/1369066","投诉客服")</f>
      </c>
      <c r="C4622" t="s" s="2">
        <v>15</v>
      </c>
      <c r="D4622" t="s" s="2">
        <v>16</v>
      </c>
      <c r="E4622" t="s" s="2">
        <v>17</v>
      </c>
      <c r="F4622" t="s" s="2">
        <f>HYPERLINK("http://ts.21cn.com/tousu/show/id/1369066","http://ts.21cn.com/tousu/show/id/1369066")</f>
      </c>
      <c r="G4622" t="s" s="2">
        <v>17</v>
      </c>
      <c r="H4622" t="s" s="2">
        <v>19</v>
      </c>
      <c r="I4622" t="s" s="2">
        <v>17968</v>
      </c>
      <c r="J4622" t="s" s="2">
        <v>17969</v>
      </c>
      <c r="K4622" t="s" s="2">
        <v>22</v>
      </c>
      <c r="L4622" t="s" s="2">
        <v>22</v>
      </c>
      <c r="M4622" t="s" s="2">
        <v>22</v>
      </c>
    </row>
    <row r="4623" ht="25.0" customHeight="true">
      <c r="A4623" t="s" s="2">
        <v>13</v>
      </c>
      <c r="B4623" t="s" s="2">
        <f>HYPERLINK("http://ts.21cn.com/tousu/show/id/1369064","网贷APP:闪电贷款诱导客户买黑卡")</f>
      </c>
      <c r="C4623" t="s" s="2">
        <v>15</v>
      </c>
      <c r="D4623" t="s" s="2">
        <v>16</v>
      </c>
      <c r="E4623" t="s" s="2">
        <v>17</v>
      </c>
      <c r="F4623" t="s" s="2">
        <f>HYPERLINK("http://ts.21cn.com/tousu/show/id/1369064","http://ts.21cn.com/tousu/show/id/1369064")</f>
      </c>
      <c r="G4623" t="s" s="2">
        <v>17</v>
      </c>
      <c r="H4623" t="s" s="2">
        <v>19</v>
      </c>
      <c r="I4623" t="s" s="2">
        <v>17972</v>
      </c>
      <c r="J4623" t="s" s="2">
        <v>17973</v>
      </c>
      <c r="K4623" t="s" s="2">
        <v>22</v>
      </c>
      <c r="L4623" t="s" s="2">
        <v>22</v>
      </c>
      <c r="M4623" t="s" s="2">
        <v>22</v>
      </c>
    </row>
    <row r="4624" ht="25.0" customHeight="true">
      <c r="A4624" t="s" s="2">
        <v>13</v>
      </c>
      <c r="B4624" t="s" s="2">
        <f>HYPERLINK("http://ts.21cn.com/tousu/show/id/1369062","达飞云贷不正当催收")</f>
      </c>
      <c r="C4624" t="s" s="2">
        <v>15</v>
      </c>
      <c r="D4624" t="s" s="2">
        <v>16</v>
      </c>
      <c r="E4624" t="s" s="2">
        <v>17</v>
      </c>
      <c r="F4624" t="s" s="2">
        <f>HYPERLINK("http://ts.21cn.com/tousu/show/id/1369062","http://ts.21cn.com/tousu/show/id/1369062")</f>
      </c>
      <c r="G4624" t="s" s="2">
        <v>17</v>
      </c>
      <c r="H4624" t="s" s="2">
        <v>19</v>
      </c>
      <c r="I4624" t="s" s="2">
        <v>17976</v>
      </c>
      <c r="J4624" t="s" s="2">
        <v>17977</v>
      </c>
      <c r="K4624" t="s" s="2">
        <v>22</v>
      </c>
      <c r="L4624" t="s" s="2">
        <v>22</v>
      </c>
      <c r="M4624" t="s" s="2">
        <v>22</v>
      </c>
    </row>
    <row r="4625" ht="25.0" customHeight="true">
      <c r="A4625" t="s" s="2">
        <v>13</v>
      </c>
      <c r="B4625" t="s" s="2">
        <f>HYPERLINK("http://ts.21cn.com/tousu/show/id/1369061","爆通讯录，骚扰我的亲戚朋友")</f>
      </c>
      <c r="C4625" t="s" s="2">
        <v>15</v>
      </c>
      <c r="D4625" t="s" s="2">
        <v>16</v>
      </c>
      <c r="E4625" t="s" s="2">
        <v>17</v>
      </c>
      <c r="F4625" t="s" s="2">
        <f>HYPERLINK("http://ts.21cn.com/tousu/show/id/1369061","http://ts.21cn.com/tousu/show/id/1369061")</f>
      </c>
      <c r="G4625" t="s" s="2">
        <v>17</v>
      </c>
      <c r="H4625" t="s" s="2">
        <v>19</v>
      </c>
      <c r="I4625" t="s" s="2">
        <v>17979</v>
      </c>
      <c r="J4625" t="s" s="2">
        <v>17980</v>
      </c>
      <c r="K4625" t="s" s="2">
        <v>22</v>
      </c>
      <c r="L4625" t="s" s="2">
        <v>22</v>
      </c>
      <c r="M4625" t="s" s="2">
        <v>22</v>
      </c>
    </row>
    <row r="4626" ht="25.0" customHeight="true">
      <c r="A4626" t="s" s="2">
        <v>13</v>
      </c>
      <c r="B4626" t="s" s="2">
        <f>HYPERLINK("http://ts.21cn.com/tousu/show/id/1369059","小象优品高利贷")</f>
      </c>
      <c r="C4626" t="s" s="2">
        <v>15</v>
      </c>
      <c r="D4626" t="s" s="2">
        <v>16</v>
      </c>
      <c r="E4626" t="s" s="2">
        <v>17</v>
      </c>
      <c r="F4626" t="s" s="2">
        <f>HYPERLINK("http://ts.21cn.com/tousu/show/id/1369059","http://ts.21cn.com/tousu/show/id/1369059")</f>
      </c>
      <c r="G4626" t="s" s="2">
        <v>17</v>
      </c>
      <c r="H4626" t="s" s="2">
        <v>19</v>
      </c>
      <c r="I4626" t="s" s="2">
        <v>17982</v>
      </c>
      <c r="J4626" t="s" s="2">
        <v>17983</v>
      </c>
      <c r="K4626" t="s" s="2">
        <v>22</v>
      </c>
      <c r="L4626" t="s" s="2">
        <v>22</v>
      </c>
      <c r="M4626" t="s" s="2">
        <v>22</v>
      </c>
    </row>
    <row r="4627" ht="25.0" customHeight="true">
      <c r="A4627" t="s" s="2">
        <v>13</v>
      </c>
      <c r="B4627" t="s" s="2">
        <f>HYPERLINK("http://ts.21cn.com/tousu/show/id/1369058","借款承诺打款时间一推再推，无诚信")</f>
      </c>
      <c r="C4627" t="s" s="2">
        <v>15</v>
      </c>
      <c r="D4627" t="s" s="2">
        <v>16</v>
      </c>
      <c r="E4627" t="s" s="2">
        <v>17</v>
      </c>
      <c r="F4627" t="s" s="2">
        <f>HYPERLINK("http://ts.21cn.com/tousu/show/id/1369058","http://ts.21cn.com/tousu/show/id/1369058")</f>
      </c>
      <c r="G4627" t="s" s="2">
        <v>17</v>
      </c>
      <c r="H4627" t="s" s="2">
        <v>19</v>
      </c>
      <c r="I4627" t="s" s="2">
        <v>17986</v>
      </c>
      <c r="J4627" t="s" s="2">
        <v>17987</v>
      </c>
      <c r="K4627" t="s" s="2">
        <v>22</v>
      </c>
      <c r="L4627" t="s" s="2">
        <v>22</v>
      </c>
      <c r="M4627" t="s" s="2">
        <v>22</v>
      </c>
    </row>
    <row r="4628" ht="25.0" customHeight="true">
      <c r="A4628" t="s" s="2">
        <v>13</v>
      </c>
      <c r="B4628" t="s" s="2">
        <f>HYPERLINK("http://ts.21cn.com/tousu/show/id/1369057","招商信用卡频繁骚扰，恐吓")</f>
      </c>
      <c r="C4628" t="s" s="2">
        <v>15</v>
      </c>
      <c r="D4628" t="s" s="2">
        <v>16</v>
      </c>
      <c r="E4628" t="s" s="2">
        <v>17</v>
      </c>
      <c r="F4628" t="s" s="2">
        <f>HYPERLINK("http://ts.21cn.com/tousu/show/id/1369057","http://ts.21cn.com/tousu/show/id/1369057")</f>
      </c>
      <c r="G4628" t="s" s="2">
        <v>17</v>
      </c>
      <c r="H4628" t="s" s="2">
        <v>19</v>
      </c>
      <c r="I4628" t="s" s="2">
        <v>17990</v>
      </c>
      <c r="J4628" t="s" s="2">
        <v>17991</v>
      </c>
      <c r="K4628" t="s" s="2">
        <v>22</v>
      </c>
      <c r="L4628" t="s" s="2">
        <v>22</v>
      </c>
      <c r="M4628" t="s" s="2">
        <v>22</v>
      </c>
    </row>
    <row r="4629" ht="25.0" customHeight="true">
      <c r="A4629" t="s" s="2">
        <v>13</v>
      </c>
      <c r="B4629" t="s" s="2">
        <f>HYPERLINK("http://ts.21cn.com/tousu/show/id/1369056","骚扰，变相恐吓")</f>
      </c>
      <c r="C4629" t="s" s="2">
        <v>15</v>
      </c>
      <c r="D4629" t="s" s="2">
        <v>16</v>
      </c>
      <c r="E4629" t="s" s="2">
        <v>17</v>
      </c>
      <c r="F4629" t="s" s="2">
        <f>HYPERLINK("http://ts.21cn.com/tousu/show/id/1369056","http://ts.21cn.com/tousu/show/id/1369056")</f>
      </c>
      <c r="G4629" t="s" s="2">
        <v>17</v>
      </c>
      <c r="H4629" t="s" s="2">
        <v>19</v>
      </c>
      <c r="I4629" t="s" s="2">
        <v>17994</v>
      </c>
      <c r="J4629" t="s" s="2">
        <v>17995</v>
      </c>
      <c r="K4629" t="s" s="2">
        <v>22</v>
      </c>
      <c r="L4629" t="s" s="2">
        <v>22</v>
      </c>
      <c r="M4629" t="s" s="2">
        <v>22</v>
      </c>
    </row>
    <row r="4630" ht="25.0" customHeight="true">
      <c r="A4630" t="s" s="2">
        <v>13</v>
      </c>
      <c r="B4630" t="s" s="2">
        <f>HYPERLINK("http://ts.21cn.com/tousu/show/id/1369060","捷信金融高利贷，所收利息跟业务员讲的不一样")</f>
      </c>
      <c r="C4630" t="s" s="2">
        <v>15</v>
      </c>
      <c r="D4630" t="s" s="2">
        <v>16</v>
      </c>
      <c r="E4630" t="s" s="2">
        <v>17</v>
      </c>
      <c r="F4630" t="s" s="2">
        <f>HYPERLINK("http://ts.21cn.com/tousu/show/id/1369060","http://ts.21cn.com/tousu/show/id/1369060")</f>
      </c>
      <c r="G4630" t="s" s="2">
        <v>17</v>
      </c>
      <c r="H4630" t="s" s="2">
        <v>19</v>
      </c>
      <c r="I4630" t="s" s="2">
        <v>17998</v>
      </c>
      <c r="J4630" t="s" s="2">
        <v>17999</v>
      </c>
      <c r="K4630" t="s" s="2">
        <v>22</v>
      </c>
      <c r="L4630" t="s" s="2">
        <v>22</v>
      </c>
      <c r="M4630" t="s" s="2">
        <v>22</v>
      </c>
    </row>
    <row r="4631" ht="25.0" customHeight="true">
      <c r="A4631" t="s" s="2">
        <v>13</v>
      </c>
      <c r="B4631" t="s" s="2">
        <f>HYPERLINK("http://ts.21cn.com/tousu/show/id/1369055","暴力催熟")</f>
      </c>
      <c r="C4631" t="s" s="2">
        <v>15</v>
      </c>
      <c r="D4631" t="s" s="2">
        <v>16</v>
      </c>
      <c r="E4631" t="s" s="2">
        <v>17</v>
      </c>
      <c r="F4631" t="s" s="2">
        <f>HYPERLINK("http://ts.21cn.com/tousu/show/id/1369055","http://ts.21cn.com/tousu/show/id/1369055")</f>
      </c>
      <c r="G4631" t="s" s="2">
        <v>17</v>
      </c>
      <c r="H4631" t="s" s="2">
        <v>19</v>
      </c>
      <c r="I4631" t="s" s="2">
        <v>18002</v>
      </c>
      <c r="J4631" t="s" s="2">
        <v>18003</v>
      </c>
      <c r="K4631" t="s" s="2">
        <v>22</v>
      </c>
      <c r="L4631" t="s" s="2">
        <v>22</v>
      </c>
      <c r="M4631" t="s" s="2">
        <v>22</v>
      </c>
    </row>
    <row r="4632" ht="25.0" customHeight="true">
      <c r="A4632" t="s" s="2">
        <v>13</v>
      </c>
      <c r="B4632" t="s" s="2">
        <f>HYPERLINK("http://ts.21cn.com/tousu/show/id/1369053","微贷多米贷暴力催收盗取用户信息")</f>
      </c>
      <c r="C4632" t="s" s="2">
        <v>15</v>
      </c>
      <c r="D4632" t="s" s="2">
        <v>16</v>
      </c>
      <c r="E4632" t="s" s="2">
        <v>17</v>
      </c>
      <c r="F4632" t="s" s="2">
        <f>HYPERLINK("http://ts.21cn.com/tousu/show/id/1369053","http://ts.21cn.com/tousu/show/id/1369053")</f>
      </c>
      <c r="G4632" t="s" s="2">
        <v>17</v>
      </c>
      <c r="H4632" t="s" s="2">
        <v>19</v>
      </c>
      <c r="I4632" t="s" s="2">
        <v>18006</v>
      </c>
      <c r="J4632" t="s" s="2">
        <v>18007</v>
      </c>
      <c r="K4632" t="s" s="2">
        <v>22</v>
      </c>
      <c r="L4632" t="s" s="2">
        <v>22</v>
      </c>
      <c r="M4632" t="s" s="2">
        <v>22</v>
      </c>
    </row>
    <row r="4633" ht="25.0" customHeight="true">
      <c r="A4633" t="s" s="2">
        <v>13</v>
      </c>
      <c r="B4633" t="s" s="2">
        <f>HYPERLINK("http://ts.21cn.com/tousu/show/id/1369052","平安保险人员当初说的保险收益不一样")</f>
      </c>
      <c r="C4633" t="s" s="2">
        <v>15</v>
      </c>
      <c r="D4633" t="s" s="2">
        <v>16</v>
      </c>
      <c r="E4633" t="s" s="2">
        <v>17</v>
      </c>
      <c r="F4633" t="s" s="2">
        <f>HYPERLINK("http://ts.21cn.com/tousu/show/id/1369052","http://ts.21cn.com/tousu/show/id/1369052")</f>
      </c>
      <c r="G4633" t="s" s="2">
        <v>17</v>
      </c>
      <c r="H4633" t="s" s="2">
        <v>19</v>
      </c>
      <c r="I4633" t="s" s="2">
        <v>18010</v>
      </c>
      <c r="J4633" t="s" s="2">
        <v>18011</v>
      </c>
      <c r="K4633" t="s" s="2">
        <v>22</v>
      </c>
      <c r="L4633" t="s" s="2">
        <v>22</v>
      </c>
      <c r="M4633" t="s" s="2">
        <v>22</v>
      </c>
    </row>
    <row r="4634" ht="25.0" customHeight="true">
      <c r="A4634" t="s" s="2">
        <v>13</v>
      </c>
      <c r="B4634" t="s" s="2">
        <f>HYPERLINK("http://ts.21cn.com/tousu/show/id/1369054","信用飞")</f>
      </c>
      <c r="C4634" t="s" s="2">
        <v>52</v>
      </c>
      <c r="D4634" t="s" s="2">
        <v>16</v>
      </c>
      <c r="E4634" t="s" s="2">
        <v>17</v>
      </c>
      <c r="F4634" t="s" s="2">
        <f>HYPERLINK("http://ts.21cn.com/tousu/show/id/1369054","http://ts.21cn.com/tousu/show/id/1369054")</f>
      </c>
      <c r="G4634" t="s" s="2">
        <v>17</v>
      </c>
      <c r="H4634" t="s" s="2">
        <v>19</v>
      </c>
      <c r="I4634" t="s" s="2">
        <v>18010</v>
      </c>
      <c r="J4634" t="s" s="2">
        <v>18014</v>
      </c>
      <c r="K4634" t="s" s="2">
        <v>22</v>
      </c>
      <c r="L4634" t="s" s="2">
        <v>22</v>
      </c>
      <c r="M4634" t="s" s="2">
        <v>22</v>
      </c>
    </row>
    <row r="4635" ht="25.0" customHeight="true">
      <c r="A4635" t="s" s="2">
        <v>13</v>
      </c>
      <c r="B4635" t="s" s="2">
        <f>HYPERLINK("http://ts.21cn.com/tousu/show/id/1369051","微信支付违规冻结资金")</f>
      </c>
      <c r="C4635" t="s" s="2">
        <v>15</v>
      </c>
      <c r="D4635" t="s" s="2">
        <v>16</v>
      </c>
      <c r="E4635" t="s" s="2">
        <v>17</v>
      </c>
      <c r="F4635" t="s" s="2">
        <f>HYPERLINK("http://ts.21cn.com/tousu/show/id/1369051","http://ts.21cn.com/tousu/show/id/1369051")</f>
      </c>
      <c r="G4635" t="s" s="2">
        <v>17</v>
      </c>
      <c r="H4635" t="s" s="2">
        <v>19</v>
      </c>
      <c r="I4635" t="s" s="2">
        <v>18017</v>
      </c>
      <c r="J4635" t="s" s="2">
        <v>18018</v>
      </c>
      <c r="K4635" t="s" s="2">
        <v>22</v>
      </c>
      <c r="L4635" t="s" s="2">
        <v>22</v>
      </c>
      <c r="M4635" t="s" s="2">
        <v>22</v>
      </c>
    </row>
    <row r="4636" ht="25.0" customHeight="true">
      <c r="A4636" t="s" s="2">
        <v>13</v>
      </c>
      <c r="B4636" t="s" s="2">
        <f>HYPERLINK("http://ts.21cn.com/tousu/show/id/1369050","违法高利贷")</f>
      </c>
      <c r="C4636" t="s" s="2">
        <v>15</v>
      </c>
      <c r="D4636" t="s" s="2">
        <v>16</v>
      </c>
      <c r="E4636" t="s" s="2">
        <v>17</v>
      </c>
      <c r="F4636" t="s" s="2">
        <f>HYPERLINK("http://ts.21cn.com/tousu/show/id/1369050","http://ts.21cn.com/tousu/show/id/1369050")</f>
      </c>
      <c r="G4636" t="s" s="2">
        <v>17</v>
      </c>
      <c r="H4636" t="s" s="2">
        <v>19</v>
      </c>
      <c r="I4636" t="s" s="2">
        <v>18021</v>
      </c>
      <c r="J4636" t="s" s="2">
        <v>18022</v>
      </c>
      <c r="K4636" t="s" s="2">
        <v>22</v>
      </c>
      <c r="L4636" t="s" s="2">
        <v>22</v>
      </c>
      <c r="M4636" t="s" s="2">
        <v>22</v>
      </c>
    </row>
    <row r="4637" ht="25.0" customHeight="true">
      <c r="A4637" t="s" s="2">
        <v>13</v>
      </c>
      <c r="B4637" t="s" s="2">
        <f>HYPERLINK("http://ts.21cn.com/tousu/show/id/1369049","协商还款后继续威胁")</f>
      </c>
      <c r="C4637" t="s" s="2">
        <v>15</v>
      </c>
      <c r="D4637" t="s" s="2">
        <v>16</v>
      </c>
      <c r="E4637" t="s" s="2">
        <v>17</v>
      </c>
      <c r="F4637" t="s" s="2">
        <f>HYPERLINK("http://ts.21cn.com/tousu/show/id/1369049","http://ts.21cn.com/tousu/show/id/1369049")</f>
      </c>
      <c r="G4637" t="s" s="2">
        <v>17</v>
      </c>
      <c r="H4637" t="s" s="2">
        <v>19</v>
      </c>
      <c r="I4637" t="s" s="2">
        <v>18024</v>
      </c>
      <c r="J4637" t="s" s="2">
        <v>18025</v>
      </c>
      <c r="K4637" t="s" s="2">
        <v>22</v>
      </c>
      <c r="L4637" t="s" s="2">
        <v>22</v>
      </c>
      <c r="M4637" t="s" s="2">
        <v>22</v>
      </c>
    </row>
    <row r="4638" ht="25.0" customHeight="true">
      <c r="A4638" t="s" s="2">
        <v>13</v>
      </c>
      <c r="B4638" t="s" s="2">
        <f>HYPERLINK("http://ts.21cn.com/tousu/show/id/1368982","不同意协商，威胁上门催收")</f>
      </c>
      <c r="C4638" t="s" s="2">
        <v>15</v>
      </c>
      <c r="D4638" t="s" s="2">
        <v>16</v>
      </c>
      <c r="E4638" t="s" s="2">
        <v>17</v>
      </c>
      <c r="F4638" t="s" s="2">
        <f>HYPERLINK("http://ts.21cn.com/tousu/show/id/1368982","http://ts.21cn.com/tousu/show/id/1368982")</f>
      </c>
      <c r="G4638" t="s" s="2">
        <v>17</v>
      </c>
      <c r="H4638" t="s" s="2">
        <v>19</v>
      </c>
      <c r="I4638" t="s" s="2">
        <v>18028</v>
      </c>
      <c r="J4638" t="s" s="2">
        <v>18029</v>
      </c>
      <c r="K4638" t="s" s="2">
        <v>22</v>
      </c>
      <c r="L4638" t="s" s="2">
        <v>22</v>
      </c>
      <c r="M4638" t="s" s="2">
        <v>22</v>
      </c>
    </row>
    <row r="4639" ht="25.0" customHeight="true">
      <c r="A4639" t="s" s="2">
        <v>13</v>
      </c>
      <c r="B4639" t="s" s="2">
        <f>HYPERLINK("http://ts.21cn.com/tousu/show/id/1369048","借了呗骚扰通讯录联系人")</f>
      </c>
      <c r="C4639" t="s" s="2">
        <v>52</v>
      </c>
      <c r="D4639" t="s" s="2">
        <v>16</v>
      </c>
      <c r="E4639" t="s" s="2">
        <v>17</v>
      </c>
      <c r="F4639" t="s" s="2">
        <f>HYPERLINK("http://ts.21cn.com/tousu/show/id/1369048","http://ts.21cn.com/tousu/show/id/1369048")</f>
      </c>
      <c r="G4639" t="s" s="2">
        <v>17</v>
      </c>
      <c r="H4639" t="s" s="2">
        <v>19</v>
      </c>
      <c r="I4639" t="s" s="2">
        <v>18032</v>
      </c>
      <c r="J4639" t="s" s="2">
        <v>18033</v>
      </c>
      <c r="K4639" t="s" s="2">
        <v>22</v>
      </c>
      <c r="L4639" t="s" s="2">
        <v>22</v>
      </c>
      <c r="M4639" t="s" s="2">
        <v>22</v>
      </c>
    </row>
    <row r="4640" ht="25.0" customHeight="true">
      <c r="A4640" t="s" s="2">
        <v>13</v>
      </c>
      <c r="B4640" t="s" s="2">
        <f>HYPERLINK("http://ts.21cn.com/tousu/show/id/1369047","广州合利宝为714高炮时代富卡提供支付通道")</f>
      </c>
      <c r="C4640" t="s" s="2">
        <v>52</v>
      </c>
      <c r="D4640" t="s" s="2">
        <v>16</v>
      </c>
      <c r="E4640" t="s" s="2">
        <v>17</v>
      </c>
      <c r="F4640" t="s" s="2">
        <f>HYPERLINK("http://ts.21cn.com/tousu/show/id/1369047","http://ts.21cn.com/tousu/show/id/1369047")</f>
      </c>
      <c r="G4640" t="s" s="2">
        <v>17</v>
      </c>
      <c r="H4640" t="s" s="2">
        <v>19</v>
      </c>
      <c r="I4640" t="s" s="2">
        <v>18036</v>
      </c>
      <c r="J4640" t="s" s="2">
        <v>18037</v>
      </c>
      <c r="K4640" t="s" s="2">
        <v>22</v>
      </c>
      <c r="L4640" t="s" s="2">
        <v>22</v>
      </c>
      <c r="M4640" t="s" s="2">
        <v>22</v>
      </c>
    </row>
    <row r="4641" ht="25.0" customHeight="true">
      <c r="A4641" t="s" s="2">
        <v>13</v>
      </c>
      <c r="B4641" t="s" s="2">
        <f>HYPERLINK("http://ts.21cn.com/tousu/show/id/1369044","暴力催收")</f>
      </c>
      <c r="C4641" t="s" s="2">
        <v>15</v>
      </c>
      <c r="D4641" t="s" s="2">
        <v>16</v>
      </c>
      <c r="E4641" t="s" s="2">
        <v>17</v>
      </c>
      <c r="F4641" t="s" s="2">
        <f>HYPERLINK("http://ts.21cn.com/tousu/show/id/1369044","http://ts.21cn.com/tousu/show/id/1369044")</f>
      </c>
      <c r="G4641" t="s" s="2">
        <v>17</v>
      </c>
      <c r="H4641" t="s" s="2">
        <v>19</v>
      </c>
      <c r="I4641" t="s" s="2">
        <v>18039</v>
      </c>
      <c r="J4641" t="s" s="2">
        <v>18040</v>
      </c>
      <c r="K4641" t="s" s="2">
        <v>22</v>
      </c>
      <c r="L4641" t="s" s="2">
        <v>22</v>
      </c>
      <c r="M4641" t="s" s="2">
        <v>22</v>
      </c>
    </row>
    <row r="4642" ht="25.0" customHeight="true">
      <c r="A4642" t="s" s="2">
        <v>13</v>
      </c>
      <c r="B4642" t="s" s="2">
        <f>HYPERLINK("http://ts.21cn.com/tousu/show/id/1369043","诺和信用计划变相砍头息协商不成暴力催收")</f>
      </c>
      <c r="C4642" t="s" s="2">
        <v>15</v>
      </c>
      <c r="D4642" t="s" s="2">
        <v>16</v>
      </c>
      <c r="E4642" t="s" s="2">
        <v>17</v>
      </c>
      <c r="F4642" t="s" s="2">
        <f>HYPERLINK("http://ts.21cn.com/tousu/show/id/1369043","http://ts.21cn.com/tousu/show/id/1369043")</f>
      </c>
      <c r="G4642" t="s" s="2">
        <v>17</v>
      </c>
      <c r="H4642" t="s" s="2">
        <v>19</v>
      </c>
      <c r="I4642" t="s" s="2">
        <v>18043</v>
      </c>
      <c r="J4642" t="s" s="2">
        <v>18044</v>
      </c>
      <c r="K4642" t="s" s="2">
        <v>22</v>
      </c>
      <c r="L4642" t="s" s="2">
        <v>22</v>
      </c>
      <c r="M4642" t="s" s="2">
        <v>22</v>
      </c>
    </row>
    <row r="4643" ht="25.0" customHeight="true">
      <c r="A4643" t="s" s="2">
        <v>13</v>
      </c>
      <c r="B4643" t="s" s="2">
        <f>HYPERLINK("http://ts.21cn.com/tousu/show/id/1369042","银盛支付服务股份有限公司拒发代理商分润")</f>
      </c>
      <c r="C4643" t="s" s="2">
        <v>15</v>
      </c>
      <c r="D4643" t="s" s="2">
        <v>16</v>
      </c>
      <c r="E4643" t="s" s="2">
        <v>17</v>
      </c>
      <c r="F4643" t="s" s="2">
        <f>HYPERLINK("http://ts.21cn.com/tousu/show/id/1369042","http://ts.21cn.com/tousu/show/id/1369042")</f>
      </c>
      <c r="G4643" t="s" s="2">
        <v>17</v>
      </c>
      <c r="H4643" t="s" s="2">
        <v>19</v>
      </c>
      <c r="I4643" t="s" s="2">
        <v>18047</v>
      </c>
      <c r="J4643" t="s" s="2">
        <v>18048</v>
      </c>
      <c r="K4643" t="s" s="2">
        <v>22</v>
      </c>
      <c r="L4643" t="s" s="2">
        <v>22</v>
      </c>
      <c r="M4643" t="s" s="2">
        <v>22</v>
      </c>
    </row>
    <row r="4644" ht="25.0" customHeight="true">
      <c r="A4644" t="s" s="2">
        <v>13</v>
      </c>
      <c r="B4644" t="s" s="2">
        <f>HYPERLINK("http://ts.21cn.com/tousu/show/id/1369041","联通乱扣费")</f>
      </c>
      <c r="C4644" t="s" s="2">
        <v>15</v>
      </c>
      <c r="D4644" t="s" s="2">
        <v>16</v>
      </c>
      <c r="E4644" t="s" s="2">
        <v>17</v>
      </c>
      <c r="F4644" t="s" s="2">
        <f>HYPERLINK("http://ts.21cn.com/tousu/show/id/1369041","http://ts.21cn.com/tousu/show/id/1369041")</f>
      </c>
      <c r="G4644" t="s" s="2">
        <v>17</v>
      </c>
      <c r="H4644" t="s" s="2">
        <v>19</v>
      </c>
      <c r="I4644" t="s" s="2">
        <v>18050</v>
      </c>
      <c r="J4644" t="s" s="2">
        <v>18051</v>
      </c>
      <c r="K4644" t="s" s="2">
        <v>22</v>
      </c>
      <c r="L4644" t="s" s="2">
        <v>22</v>
      </c>
      <c r="M4644" t="s" s="2">
        <v>22</v>
      </c>
    </row>
    <row r="4645" ht="25.0" customHeight="true">
      <c r="A4645" t="s" s="2">
        <v>13</v>
      </c>
      <c r="B4645" t="s" s="2">
        <f>HYPERLINK("http://ts.21cn.com/tousu/show/id/1369039","传奇光学龙华店美瞳线致结膜炎，要求退费却霸王条款，后不再回应")</f>
      </c>
      <c r="C4645" t="s" s="2">
        <v>15</v>
      </c>
      <c r="D4645" t="s" s="2">
        <v>16</v>
      </c>
      <c r="E4645" t="s" s="2">
        <v>17</v>
      </c>
      <c r="F4645" t="s" s="2">
        <f>HYPERLINK("http://ts.21cn.com/tousu/show/id/1369039","http://ts.21cn.com/tousu/show/id/1369039")</f>
      </c>
      <c r="G4645" t="s" s="2">
        <v>17</v>
      </c>
      <c r="H4645" t="s" s="2">
        <v>19</v>
      </c>
      <c r="I4645" t="s" s="2">
        <v>18054</v>
      </c>
      <c r="J4645" t="s" s="2">
        <v>18055</v>
      </c>
      <c r="K4645" t="s" s="2">
        <v>22</v>
      </c>
      <c r="L4645" t="s" s="2">
        <v>22</v>
      </c>
      <c r="M4645" t="s" s="2">
        <v>22</v>
      </c>
    </row>
    <row r="4646" ht="25.0" customHeight="true">
      <c r="A4646" t="s" s="2">
        <v>13</v>
      </c>
      <c r="B4646" t="s" s="2">
        <f>HYPERLINK("http://ts.21cn.com/tousu/show/id/1369040","玖富万卡强制分期、高利贷乱收费、短信电话骚扰")</f>
      </c>
      <c r="C4646" t="s" s="2">
        <v>15</v>
      </c>
      <c r="D4646" t="s" s="2">
        <v>16</v>
      </c>
      <c r="E4646" t="s" s="2">
        <v>17</v>
      </c>
      <c r="F4646" t="s" s="2">
        <f>HYPERLINK("http://ts.21cn.com/tousu/show/id/1369040","http://ts.21cn.com/tousu/show/id/1369040")</f>
      </c>
      <c r="G4646" t="s" s="2">
        <v>17</v>
      </c>
      <c r="H4646" t="s" s="2">
        <v>19</v>
      </c>
      <c r="I4646" t="s" s="2">
        <v>18058</v>
      </c>
      <c r="J4646" t="s" s="2">
        <v>18059</v>
      </c>
      <c r="K4646" t="s" s="2">
        <v>22</v>
      </c>
      <c r="L4646" t="s" s="2">
        <v>22</v>
      </c>
      <c r="M4646" t="s" s="2">
        <v>22</v>
      </c>
    </row>
    <row r="4647" ht="25.0" customHeight="true">
      <c r="A4647" t="s" s="2">
        <v>13</v>
      </c>
      <c r="B4647" t="s" s="2">
        <f>HYPERLINK("http://ts.21cn.com/tousu/show/id/1369038","恒昌公司旗下恒易贷合同金额远高于实际借款金额")</f>
      </c>
      <c r="C4647" t="s" s="2">
        <v>15</v>
      </c>
      <c r="D4647" t="s" s="2">
        <v>16</v>
      </c>
      <c r="E4647" t="s" s="2">
        <v>17</v>
      </c>
      <c r="F4647" t="s" s="2">
        <f>HYPERLINK("http://ts.21cn.com/tousu/show/id/1369038","http://ts.21cn.com/tousu/show/id/1369038")</f>
      </c>
      <c r="G4647" t="s" s="2">
        <v>17</v>
      </c>
      <c r="H4647" t="s" s="2">
        <v>19</v>
      </c>
      <c r="I4647" t="s" s="2">
        <v>18061</v>
      </c>
      <c r="J4647" t="s" s="2">
        <v>18062</v>
      </c>
      <c r="K4647" t="s" s="2">
        <v>22</v>
      </c>
      <c r="L4647" t="s" s="2">
        <v>22</v>
      </c>
      <c r="M4647" t="s" s="2">
        <v>22</v>
      </c>
    </row>
    <row r="4648" ht="25.0" customHeight="true">
      <c r="A4648" t="s" s="2">
        <v>13</v>
      </c>
      <c r="B4648" t="s" s="2">
        <f>HYPERLINK("http://ts.21cn.com/tousu/show/id/1369037","现金巴士催收砍头利息")</f>
      </c>
      <c r="C4648" t="s" s="2">
        <v>15</v>
      </c>
      <c r="D4648" t="s" s="2">
        <v>16</v>
      </c>
      <c r="E4648" t="s" s="2">
        <v>17</v>
      </c>
      <c r="F4648" t="s" s="2">
        <f>HYPERLINK("http://ts.21cn.com/tousu/show/id/1369037","http://ts.21cn.com/tousu/show/id/1369037")</f>
      </c>
      <c r="G4648" t="s" s="2">
        <v>17</v>
      </c>
      <c r="H4648" t="s" s="2">
        <v>19</v>
      </c>
      <c r="I4648" t="s" s="2">
        <v>18065</v>
      </c>
      <c r="J4648" t="s" s="2">
        <v>18066</v>
      </c>
      <c r="K4648" t="s" s="2">
        <v>22</v>
      </c>
      <c r="L4648" t="s" s="2">
        <v>22</v>
      </c>
      <c r="M4648" t="s" s="2">
        <v>22</v>
      </c>
    </row>
    <row r="4649" ht="25.0" customHeight="true">
      <c r="A4649" t="s" s="2">
        <v>13</v>
      </c>
      <c r="B4649" t="s" s="2">
        <f>HYPERLINK("http://ts.21cn.com/tousu/show/id/1369035","趣惠买新型套路贷高利贷")</f>
      </c>
      <c r="C4649" t="s" s="2">
        <v>15</v>
      </c>
      <c r="D4649" t="s" s="2">
        <v>16</v>
      </c>
      <c r="E4649" t="s" s="2">
        <v>17</v>
      </c>
      <c r="F4649" t="s" s="2">
        <f>HYPERLINK("http://ts.21cn.com/tousu/show/id/1369035","http://ts.21cn.com/tousu/show/id/1369035")</f>
      </c>
      <c r="G4649" t="s" s="2">
        <v>17</v>
      </c>
      <c r="H4649" t="s" s="2">
        <v>19</v>
      </c>
      <c r="I4649" t="s" s="2">
        <v>18069</v>
      </c>
      <c r="J4649" t="s" s="2">
        <v>18070</v>
      </c>
      <c r="K4649" t="s" s="2">
        <v>22</v>
      </c>
      <c r="L4649" t="s" s="2">
        <v>22</v>
      </c>
      <c r="M4649" t="s" s="2">
        <v>22</v>
      </c>
    </row>
    <row r="4650" ht="25.0" customHeight="true">
      <c r="A4650" t="s" s="2">
        <v>13</v>
      </c>
      <c r="B4650" t="s" s="2">
        <f>HYPERLINK("http://ts.21cn.com/tousu/show/id/1369036","上海富友为山东持红信息科技有限公司（小蘑菇）（藏宝图）714高炮提供支付通道要求退还砍头息")</f>
      </c>
      <c r="C4650" t="s" s="2">
        <v>15</v>
      </c>
      <c r="D4650" t="s" s="2">
        <v>16</v>
      </c>
      <c r="E4650" t="s" s="2">
        <v>17</v>
      </c>
      <c r="F4650" t="s" s="2">
        <f>HYPERLINK("http://ts.21cn.com/tousu/show/id/1369036","http://ts.21cn.com/tousu/show/id/1369036")</f>
      </c>
      <c r="G4650" t="s" s="2">
        <v>17</v>
      </c>
      <c r="H4650" t="s" s="2">
        <v>19</v>
      </c>
      <c r="I4650" t="s" s="2">
        <v>18073</v>
      </c>
      <c r="J4650" t="s" s="2">
        <v>18074</v>
      </c>
      <c r="K4650" t="s" s="2">
        <v>22</v>
      </c>
      <c r="L4650" t="s" s="2">
        <v>22</v>
      </c>
      <c r="M4650" t="s" s="2">
        <v>22</v>
      </c>
    </row>
    <row r="4651" ht="25.0" customHeight="true">
      <c r="A4651" t="s" s="2">
        <v>13</v>
      </c>
      <c r="B4651" t="s" s="2">
        <f>HYPERLINK("http://ts.21cn.com/tousu/show/id/1369034","欺诈消费,还我多余利息")</f>
      </c>
      <c r="C4651" t="s" s="2">
        <v>15</v>
      </c>
      <c r="D4651" t="s" s="2">
        <v>16</v>
      </c>
      <c r="E4651" t="s" s="2">
        <v>17</v>
      </c>
      <c r="F4651" t="s" s="2">
        <f>HYPERLINK("http://ts.21cn.com/tousu/show/id/1369034","http://ts.21cn.com/tousu/show/id/1369034")</f>
      </c>
      <c r="G4651" t="s" s="2">
        <v>17</v>
      </c>
      <c r="H4651" t="s" s="2">
        <v>19</v>
      </c>
      <c r="I4651" t="s" s="2">
        <v>18077</v>
      </c>
      <c r="J4651" t="s" s="2">
        <v>18078</v>
      </c>
      <c r="K4651" t="s" s="2">
        <v>22</v>
      </c>
      <c r="L4651" t="s" s="2">
        <v>22</v>
      </c>
      <c r="M4651" t="s" s="2">
        <v>22</v>
      </c>
    </row>
    <row r="4652" ht="25.0" customHeight="true">
      <c r="A4652" t="s" s="2">
        <v>13</v>
      </c>
      <c r="B4652" t="s" s="2">
        <f>HYPERLINK("http://ts.21cn.com/tousu/show/id/1369032","钱站高利")</f>
      </c>
      <c r="C4652" t="s" s="2">
        <v>15</v>
      </c>
      <c r="D4652" t="s" s="2">
        <v>16</v>
      </c>
      <c r="E4652" t="s" s="2">
        <v>17</v>
      </c>
      <c r="F4652" t="s" s="2">
        <f>HYPERLINK("http://ts.21cn.com/tousu/show/id/1369032","http://ts.21cn.com/tousu/show/id/1369032")</f>
      </c>
      <c r="G4652" t="s" s="2">
        <v>17</v>
      </c>
      <c r="H4652" t="s" s="2">
        <v>19</v>
      </c>
      <c r="I4652" t="s" s="2">
        <v>18081</v>
      </c>
      <c r="J4652" t="s" s="2">
        <v>18082</v>
      </c>
      <c r="K4652" t="s" s="2">
        <v>22</v>
      </c>
      <c r="L4652" t="s" s="2">
        <v>22</v>
      </c>
      <c r="M4652" t="s" s="2">
        <v>22</v>
      </c>
    </row>
    <row r="4653" ht="25.0" customHeight="true">
      <c r="A4653" t="s" s="2">
        <v>13</v>
      </c>
      <c r="B4653" t="s" s="2">
        <f>HYPERLINK("http://ts.21cn.com/tousu/show/id/1369031","拍拍贷短信轰炸")</f>
      </c>
      <c r="C4653" t="s" s="2">
        <v>15</v>
      </c>
      <c r="D4653" t="s" s="2">
        <v>16</v>
      </c>
      <c r="E4653" t="s" s="2">
        <v>17</v>
      </c>
      <c r="F4653" t="s" s="2">
        <f>HYPERLINK("http://ts.21cn.com/tousu/show/id/1369031","http://ts.21cn.com/tousu/show/id/1369031")</f>
      </c>
      <c r="G4653" t="s" s="2">
        <v>17</v>
      </c>
      <c r="H4653" t="s" s="2">
        <v>19</v>
      </c>
      <c r="I4653" t="s" s="2">
        <v>18084</v>
      </c>
      <c r="J4653" t="s" s="2">
        <v>18085</v>
      </c>
      <c r="K4653" t="s" s="2">
        <v>22</v>
      </c>
      <c r="L4653" t="s" s="2">
        <v>22</v>
      </c>
      <c r="M4653" t="s" s="2">
        <v>22</v>
      </c>
    </row>
    <row r="4654" ht="25.0" customHeight="true">
      <c r="A4654" t="s" s="2">
        <v>13</v>
      </c>
      <c r="B4654" t="s" s="2">
        <f>HYPERLINK("http://ts.21cn.com/tousu/show/id/1369030","优亿金融高利贷收费")</f>
      </c>
      <c r="C4654" t="s" s="2">
        <v>15</v>
      </c>
      <c r="D4654" t="s" s="2">
        <v>16</v>
      </c>
      <c r="E4654" t="s" s="2">
        <v>17</v>
      </c>
      <c r="F4654" t="s" s="2">
        <f>HYPERLINK("http://ts.21cn.com/tousu/show/id/1369030","http://ts.21cn.com/tousu/show/id/1369030")</f>
      </c>
      <c r="G4654" t="s" s="2">
        <v>17</v>
      </c>
      <c r="H4654" t="s" s="2">
        <v>19</v>
      </c>
      <c r="I4654" t="s" s="2">
        <v>18088</v>
      </c>
      <c r="J4654" t="s" s="2">
        <v>18089</v>
      </c>
      <c r="K4654" t="s" s="2">
        <v>22</v>
      </c>
      <c r="L4654" t="s" s="2">
        <v>22</v>
      </c>
      <c r="M4654" t="s" s="2">
        <v>22</v>
      </c>
    </row>
    <row r="4655" ht="25.0" customHeight="true">
      <c r="A4655" t="s" s="2">
        <v>13</v>
      </c>
      <c r="B4655" t="s" s="2">
        <f>HYPERLINK("http://ts.21cn.com/tousu/show/id/1369029","智行火车票app购买机票价格与行程单不一致")</f>
      </c>
      <c r="C4655" t="s" s="2">
        <v>52</v>
      </c>
      <c r="D4655" t="s" s="2">
        <v>16</v>
      </c>
      <c r="E4655" t="s" s="2">
        <v>17</v>
      </c>
      <c r="F4655" t="s" s="2">
        <f>HYPERLINK("http://ts.21cn.com/tousu/show/id/1369029","http://ts.21cn.com/tousu/show/id/1369029")</f>
      </c>
      <c r="G4655" t="s" s="2">
        <v>17</v>
      </c>
      <c r="H4655" t="s" s="2">
        <v>19</v>
      </c>
      <c r="I4655" t="s" s="2">
        <v>18092</v>
      </c>
      <c r="J4655" t="s" s="2">
        <v>18093</v>
      </c>
      <c r="K4655" t="s" s="2">
        <v>22</v>
      </c>
      <c r="L4655" t="s" s="2">
        <v>22</v>
      </c>
      <c r="M4655" t="s" s="2">
        <v>22</v>
      </c>
    </row>
    <row r="4656" ht="25.0" customHeight="true">
      <c r="A4656" t="s" s="2">
        <v>13</v>
      </c>
      <c r="B4656" t="s" s="2">
        <f>HYPERLINK("http://ts.21cn.com/tousu/show/id/1369027","马上金融雇佣黑社会人员威胁恐吓还款")</f>
      </c>
      <c r="C4656" t="s" s="2">
        <v>15</v>
      </c>
      <c r="D4656" t="s" s="2">
        <v>16</v>
      </c>
      <c r="E4656" t="s" s="2">
        <v>17</v>
      </c>
      <c r="F4656" t="s" s="2">
        <f>HYPERLINK("http://ts.21cn.com/tousu/show/id/1369027","http://ts.21cn.com/tousu/show/id/1369027")</f>
      </c>
      <c r="G4656" t="s" s="2">
        <v>17</v>
      </c>
      <c r="H4656" t="s" s="2">
        <v>19</v>
      </c>
      <c r="I4656" t="s" s="2">
        <v>18096</v>
      </c>
      <c r="J4656" t="s" s="2">
        <v>18097</v>
      </c>
      <c r="K4656" t="s" s="2">
        <v>22</v>
      </c>
      <c r="L4656" t="s" s="2">
        <v>22</v>
      </c>
      <c r="M4656" t="s" s="2">
        <v>22</v>
      </c>
    </row>
    <row r="4657" ht="25.0" customHeight="true">
      <c r="A4657" t="s" s="2">
        <v>13</v>
      </c>
      <c r="B4657" t="s" s="2">
        <f>HYPERLINK("http://ts.21cn.com/tousu/show/id/1369025","合利宝为套路贷平台提供支付渠道")</f>
      </c>
      <c r="C4657" t="s" s="2">
        <v>15</v>
      </c>
      <c r="D4657" t="s" s="2">
        <v>16</v>
      </c>
      <c r="E4657" t="s" s="2">
        <v>17</v>
      </c>
      <c r="F4657" t="s" s="2">
        <f>HYPERLINK("http://ts.21cn.com/tousu/show/id/1369025","http://ts.21cn.com/tousu/show/id/1369025")</f>
      </c>
      <c r="G4657" t="s" s="2">
        <v>17</v>
      </c>
      <c r="H4657" t="s" s="2">
        <v>19</v>
      </c>
      <c r="I4657" t="s" s="2">
        <v>18100</v>
      </c>
      <c r="J4657" t="s" s="2">
        <v>18101</v>
      </c>
      <c r="K4657" t="s" s="2">
        <v>22</v>
      </c>
      <c r="L4657" t="s" s="2">
        <v>22</v>
      </c>
      <c r="M4657" t="s" s="2">
        <v>22</v>
      </c>
    </row>
    <row r="4658" ht="25.0" customHeight="true">
      <c r="A4658" t="s" s="2">
        <v>13</v>
      </c>
      <c r="B4658" t="s" s="2">
        <f>HYPERLINK("http://ts.21cn.com/tousu/show/id/1369024","51人品贷乱收费")</f>
      </c>
      <c r="C4658" t="s" s="2">
        <v>15</v>
      </c>
      <c r="D4658" t="s" s="2">
        <v>16</v>
      </c>
      <c r="E4658" t="s" s="2">
        <v>17</v>
      </c>
      <c r="F4658" t="s" s="2">
        <f>HYPERLINK("http://ts.21cn.com/tousu/show/id/1369024","http://ts.21cn.com/tousu/show/id/1369024")</f>
      </c>
      <c r="G4658" t="s" s="2">
        <v>17</v>
      </c>
      <c r="H4658" t="s" s="2">
        <v>19</v>
      </c>
      <c r="I4658" t="s" s="2">
        <v>18104</v>
      </c>
      <c r="J4658" t="s" s="2">
        <v>18105</v>
      </c>
      <c r="K4658" t="s" s="2">
        <v>22</v>
      </c>
      <c r="L4658" t="s" s="2">
        <v>22</v>
      </c>
      <c r="M4658" t="s" s="2">
        <v>22</v>
      </c>
    </row>
    <row r="4659" ht="25.0" customHeight="true">
      <c r="A4659" t="s" s="2">
        <v>13</v>
      </c>
      <c r="B4659" t="s" s="2">
        <f>HYPERLINK("http://ts.21cn.com/tousu/show/id/1369022","周周花花套路贷")</f>
      </c>
      <c r="C4659" t="s" s="2">
        <v>15</v>
      </c>
      <c r="D4659" t="s" s="2">
        <v>16</v>
      </c>
      <c r="E4659" t="s" s="2">
        <v>17</v>
      </c>
      <c r="F4659" t="s" s="2">
        <f>HYPERLINK("http://ts.21cn.com/tousu/show/id/1369022","http://ts.21cn.com/tousu/show/id/1369022")</f>
      </c>
      <c r="G4659" t="s" s="2">
        <v>17</v>
      </c>
      <c r="H4659" t="s" s="2">
        <v>19</v>
      </c>
      <c r="I4659" t="s" s="2">
        <v>18108</v>
      </c>
      <c r="J4659" t="s" s="2">
        <v>18109</v>
      </c>
      <c r="K4659" t="s" s="2">
        <v>22</v>
      </c>
      <c r="L4659" t="s" s="2">
        <v>22</v>
      </c>
      <c r="M4659" t="s" s="2">
        <v>22</v>
      </c>
    </row>
    <row r="4660" ht="25.0" customHeight="true">
      <c r="A4660" t="s" s="2">
        <v>13</v>
      </c>
      <c r="B4660" t="s" s="2">
        <f>HYPERLINK("http://ts.21cn.com/tousu/show/id/1369021","腾讯会员自动续费退还钱")</f>
      </c>
      <c r="C4660" t="s" s="2">
        <v>52</v>
      </c>
      <c r="D4660" t="s" s="2">
        <v>16</v>
      </c>
      <c r="E4660" t="s" s="2">
        <v>17</v>
      </c>
      <c r="F4660" t="s" s="2">
        <f>HYPERLINK("http://ts.21cn.com/tousu/show/id/1369021","http://ts.21cn.com/tousu/show/id/1369021")</f>
      </c>
      <c r="G4660" t="s" s="2">
        <v>17</v>
      </c>
      <c r="H4660" t="s" s="2">
        <v>19</v>
      </c>
      <c r="I4660" t="s" s="2">
        <v>18112</v>
      </c>
      <c r="J4660" t="s" s="2">
        <v>18113</v>
      </c>
      <c r="K4660" t="s" s="2">
        <v>22</v>
      </c>
      <c r="L4660" t="s" s="2">
        <v>22</v>
      </c>
      <c r="M4660" t="s" s="2">
        <v>22</v>
      </c>
    </row>
    <row r="4661" ht="25.0" customHeight="true">
      <c r="A4661" t="s" s="2">
        <v>13</v>
      </c>
      <c r="B4661" t="s" s="2">
        <f>HYPERLINK("http://ts.21cn.com/tousu/show/id/1369020","郑州悦如公寓老板卷钱逃跑、房东追债追到无辜租户身上")</f>
      </c>
      <c r="C4661" t="s" s="2">
        <v>15</v>
      </c>
      <c r="D4661" t="s" s="2">
        <v>16</v>
      </c>
      <c r="E4661" t="s" s="2">
        <v>17</v>
      </c>
      <c r="F4661" t="s" s="2">
        <f>HYPERLINK("http://ts.21cn.com/tousu/show/id/1369020","http://ts.21cn.com/tousu/show/id/1369020")</f>
      </c>
      <c r="G4661" t="s" s="2">
        <v>17</v>
      </c>
      <c r="H4661" t="s" s="2">
        <v>19</v>
      </c>
      <c r="I4661" t="s" s="2">
        <v>18116</v>
      </c>
      <c r="J4661" t="s" s="2">
        <v>18117</v>
      </c>
      <c r="K4661" t="s" s="2">
        <v>22</v>
      </c>
      <c r="L4661" t="s" s="2">
        <v>22</v>
      </c>
      <c r="M4661" t="s" s="2">
        <v>22</v>
      </c>
    </row>
    <row r="4662" ht="25.0" customHeight="true">
      <c r="A4662" t="s" s="2">
        <v>13</v>
      </c>
      <c r="B4662" t="s" s="2">
        <f>HYPERLINK("http://ts.21cn.com/tousu/show/id/1369019","扣款后无后续应该给的服务给与退款")</f>
      </c>
      <c r="C4662" t="s" s="2">
        <v>15</v>
      </c>
      <c r="D4662" t="s" s="2">
        <v>16</v>
      </c>
      <c r="E4662" t="s" s="2">
        <v>17</v>
      </c>
      <c r="F4662" t="s" s="2">
        <f>HYPERLINK("http://ts.21cn.com/tousu/show/id/1369019","http://ts.21cn.com/tousu/show/id/1369019")</f>
      </c>
      <c r="G4662" t="s" s="2">
        <v>17</v>
      </c>
      <c r="H4662" t="s" s="2">
        <v>19</v>
      </c>
      <c r="I4662" t="s" s="2">
        <v>18120</v>
      </c>
      <c r="J4662" t="s" s="2">
        <v>18121</v>
      </c>
      <c r="K4662" t="s" s="2">
        <v>22</v>
      </c>
      <c r="L4662" t="s" s="2">
        <v>22</v>
      </c>
      <c r="M4662" t="s" s="2">
        <v>22</v>
      </c>
    </row>
    <row r="4663" ht="25.0" customHeight="true">
      <c r="A4663" t="s" s="2">
        <v>13</v>
      </c>
      <c r="B4663" t="s" s="2">
        <f>HYPERLINK("http://ts.21cn.com/tousu/show/id/1369018","恶意爆通讯录，骚扰通讯录亲朋好友，催收人员态度极其恶劣")</f>
      </c>
      <c r="C4663" t="s" s="2">
        <v>15</v>
      </c>
      <c r="D4663" t="s" s="2">
        <v>16</v>
      </c>
      <c r="E4663" t="s" s="2">
        <v>17</v>
      </c>
      <c r="F4663" t="s" s="2">
        <f>HYPERLINK("http://ts.21cn.com/tousu/show/id/1369018","http://ts.21cn.com/tousu/show/id/1369018")</f>
      </c>
      <c r="G4663" t="s" s="2">
        <v>17</v>
      </c>
      <c r="H4663" t="s" s="2">
        <v>19</v>
      </c>
      <c r="I4663" t="s" s="2">
        <v>18124</v>
      </c>
      <c r="J4663" t="s" s="2">
        <v>18125</v>
      </c>
      <c r="K4663" t="s" s="2">
        <v>22</v>
      </c>
      <c r="L4663" t="s" s="2">
        <v>22</v>
      </c>
      <c r="M4663" t="s" s="2">
        <v>22</v>
      </c>
    </row>
    <row r="4664" ht="25.0" customHeight="true">
      <c r="A4664" t="s" s="2">
        <v>13</v>
      </c>
      <c r="B4664" t="s" s="2">
        <f>HYPERLINK("http://ts.21cn.com/tousu/show/id/1369017","杉德支付，信汇支付，银生宝为境外非法赌博网站提供支付途径")</f>
      </c>
      <c r="C4664" t="s" s="2">
        <v>15</v>
      </c>
      <c r="D4664" t="s" s="2">
        <v>16</v>
      </c>
      <c r="E4664" t="s" s="2">
        <v>17</v>
      </c>
      <c r="F4664" t="s" s="2">
        <f>HYPERLINK("http://ts.21cn.com/tousu/show/id/1369017","http://ts.21cn.com/tousu/show/id/1369017")</f>
      </c>
      <c r="G4664" t="s" s="2">
        <v>17</v>
      </c>
      <c r="H4664" t="s" s="2">
        <v>19</v>
      </c>
      <c r="I4664" t="s" s="2">
        <v>18128</v>
      </c>
      <c r="J4664" t="s" s="2">
        <v>18129</v>
      </c>
      <c r="K4664" t="s" s="2">
        <v>22</v>
      </c>
      <c r="L4664" t="s" s="2">
        <v>22</v>
      </c>
      <c r="M4664" t="s" s="2">
        <v>22</v>
      </c>
    </row>
    <row r="4665" ht="25.0" customHeight="true">
      <c r="A4665" t="s" s="2">
        <v>13</v>
      </c>
      <c r="B4665" t="s" s="2">
        <f>HYPERLINK("http://ts.21cn.com/tousu/show/id/1369016","西部明珠会员卡虚假宣传诱导消费")</f>
      </c>
      <c r="C4665" t="s" s="2">
        <v>15</v>
      </c>
      <c r="D4665" t="s" s="2">
        <v>16</v>
      </c>
      <c r="E4665" t="s" s="2">
        <v>17</v>
      </c>
      <c r="F4665" t="s" s="2">
        <f>HYPERLINK("http://ts.21cn.com/tousu/show/id/1369016","http://ts.21cn.com/tousu/show/id/1369016")</f>
      </c>
      <c r="G4665" t="s" s="2">
        <v>17</v>
      </c>
      <c r="H4665" t="s" s="2">
        <v>19</v>
      </c>
      <c r="I4665" t="s" s="2">
        <v>18131</v>
      </c>
      <c r="J4665" t="s" s="2">
        <v>18132</v>
      </c>
      <c r="K4665" t="s" s="2">
        <v>22</v>
      </c>
      <c r="L4665" t="s" s="2">
        <v>22</v>
      </c>
      <c r="M4665" t="s" s="2">
        <v>22</v>
      </c>
    </row>
    <row r="4666" ht="25.0" customHeight="true">
      <c r="A4666" t="s" s="2">
        <v>13</v>
      </c>
      <c r="B4666" t="s" s="2">
        <f>HYPERLINK("http://ts.21cn.com/tousu/show/id/1369015","高利贷")</f>
      </c>
      <c r="C4666" t="s" s="2">
        <v>15</v>
      </c>
      <c r="D4666" t="s" s="2">
        <v>16</v>
      </c>
      <c r="E4666" t="s" s="2">
        <v>17</v>
      </c>
      <c r="F4666" t="s" s="2">
        <f>HYPERLINK("http://ts.21cn.com/tousu/show/id/1369015","http://ts.21cn.com/tousu/show/id/1369015")</f>
      </c>
      <c r="G4666" t="s" s="2">
        <v>17</v>
      </c>
      <c r="H4666" t="s" s="2">
        <v>19</v>
      </c>
      <c r="I4666" t="s" s="2">
        <v>18134</v>
      </c>
      <c r="J4666" t="s" s="2">
        <v>18135</v>
      </c>
      <c r="K4666" t="s" s="2">
        <v>22</v>
      </c>
      <c r="L4666" t="s" s="2">
        <v>22</v>
      </c>
      <c r="M4666" t="s" s="2">
        <v>22</v>
      </c>
    </row>
    <row r="4667" ht="25.0" customHeight="true">
      <c r="A4667" t="s" s="2">
        <v>13</v>
      </c>
      <c r="B4667" t="s" s="2">
        <f>HYPERLINK("http://ts.21cn.com/tousu/show/id/1369014","借款3000实际到账1650")</f>
      </c>
      <c r="C4667" t="s" s="2">
        <v>15</v>
      </c>
      <c r="D4667" t="s" s="2">
        <v>16</v>
      </c>
      <c r="E4667" t="s" s="2">
        <v>17</v>
      </c>
      <c r="F4667" t="s" s="2">
        <f>HYPERLINK("http://ts.21cn.com/tousu/show/id/1369014","http://ts.21cn.com/tousu/show/id/1369014")</f>
      </c>
      <c r="G4667" t="s" s="2">
        <v>17</v>
      </c>
      <c r="H4667" t="s" s="2">
        <v>19</v>
      </c>
      <c r="I4667" t="s" s="2">
        <v>18138</v>
      </c>
      <c r="J4667" t="s" s="2">
        <v>18139</v>
      </c>
      <c r="K4667" t="s" s="2">
        <v>22</v>
      </c>
      <c r="L4667" t="s" s="2">
        <v>22</v>
      </c>
      <c r="M4667" t="s" s="2">
        <v>22</v>
      </c>
    </row>
    <row r="4668" ht="25.0" customHeight="true">
      <c r="A4668" t="s" s="2">
        <v>13</v>
      </c>
      <c r="B4668" t="s" s="2">
        <f>HYPERLINK("http://ts.21cn.com/tousu/show/id/1369013","广州合利宝为周周宝714高炮提供支付通道")</f>
      </c>
      <c r="C4668" t="s" s="2">
        <v>52</v>
      </c>
      <c r="D4668" t="s" s="2">
        <v>16</v>
      </c>
      <c r="E4668" t="s" s="2">
        <v>17</v>
      </c>
      <c r="F4668" t="s" s="2">
        <f>HYPERLINK("http://ts.21cn.com/tousu/show/id/1369013","http://ts.21cn.com/tousu/show/id/1369013")</f>
      </c>
      <c r="G4668" t="s" s="2">
        <v>17</v>
      </c>
      <c r="H4668" t="s" s="2">
        <v>19</v>
      </c>
      <c r="I4668" t="s" s="2">
        <v>18142</v>
      </c>
      <c r="J4668" t="s" s="2">
        <v>18143</v>
      </c>
      <c r="K4668" t="s" s="2">
        <v>22</v>
      </c>
      <c r="L4668" t="s" s="2">
        <v>22</v>
      </c>
      <c r="M4668" t="s" s="2">
        <v>22</v>
      </c>
    </row>
    <row r="4669" ht="25.0" customHeight="true">
      <c r="A4669" t="s" s="2">
        <v>13</v>
      </c>
      <c r="B4669" t="s" s="2">
        <f>HYPERLINK("http://ts.21cn.com/tousu/show/id/1369012","网贷收取巨额利息")</f>
      </c>
      <c r="C4669" t="s" s="2">
        <v>15</v>
      </c>
      <c r="D4669" t="s" s="2">
        <v>16</v>
      </c>
      <c r="E4669" t="s" s="2">
        <v>17</v>
      </c>
      <c r="F4669" t="s" s="2">
        <f>HYPERLINK("http://ts.21cn.com/tousu/show/id/1369012","http://ts.21cn.com/tousu/show/id/1369012")</f>
      </c>
      <c r="G4669" t="s" s="2">
        <v>17</v>
      </c>
      <c r="H4669" t="s" s="2">
        <v>19</v>
      </c>
      <c r="I4669" t="s" s="2">
        <v>18146</v>
      </c>
      <c r="J4669" t="s" s="2">
        <v>18147</v>
      </c>
      <c r="K4669" t="s" s="2">
        <v>22</v>
      </c>
      <c r="L4669" t="s" s="2">
        <v>22</v>
      </c>
      <c r="M4669" t="s" s="2">
        <v>22</v>
      </c>
    </row>
    <row r="4670" ht="25.0" customHeight="true">
      <c r="A4670" t="s" s="2">
        <v>13</v>
      </c>
      <c r="B4670" t="s" s="2">
        <f>HYPERLINK("http://ts.21cn.com/tousu/show/id/1369011","没有同意恶意扣除我的钱")</f>
      </c>
      <c r="C4670" t="s" s="2">
        <v>15</v>
      </c>
      <c r="D4670" t="s" s="2">
        <v>16</v>
      </c>
      <c r="E4670" t="s" s="2">
        <v>17</v>
      </c>
      <c r="F4670" t="s" s="2">
        <f>HYPERLINK("http://ts.21cn.com/tousu/show/id/1369011","http://ts.21cn.com/tousu/show/id/1369011")</f>
      </c>
      <c r="G4670" t="s" s="2">
        <v>17</v>
      </c>
      <c r="H4670" t="s" s="2">
        <v>19</v>
      </c>
      <c r="I4670" t="s" s="2">
        <v>18150</v>
      </c>
      <c r="J4670" t="s" s="2">
        <v>18151</v>
      </c>
      <c r="K4670" t="s" s="2">
        <v>22</v>
      </c>
      <c r="L4670" t="s" s="2">
        <v>22</v>
      </c>
      <c r="M4670" t="s" s="2">
        <v>22</v>
      </c>
    </row>
    <row r="4671" ht="25.0" customHeight="true">
      <c r="A4671" t="s" s="2">
        <v>13</v>
      </c>
      <c r="B4671" t="s" s="2">
        <f>HYPERLINK("http://ts.21cn.com/tousu/show/id/1369010","暴力催收，骚扰家人。")</f>
      </c>
      <c r="C4671" t="s" s="2">
        <v>15</v>
      </c>
      <c r="D4671" t="s" s="2">
        <v>16</v>
      </c>
      <c r="E4671" t="s" s="2">
        <v>17</v>
      </c>
      <c r="F4671" t="s" s="2">
        <f>HYPERLINK("http://ts.21cn.com/tousu/show/id/1369010","http://ts.21cn.com/tousu/show/id/1369010")</f>
      </c>
      <c r="G4671" t="s" s="2">
        <v>17</v>
      </c>
      <c r="H4671" t="s" s="2">
        <v>19</v>
      </c>
      <c r="I4671" t="s" s="2">
        <v>18154</v>
      </c>
      <c r="J4671" t="s" s="2">
        <v>18155</v>
      </c>
      <c r="K4671" t="s" s="2">
        <v>22</v>
      </c>
      <c r="L4671" t="s" s="2">
        <v>22</v>
      </c>
      <c r="M4671" t="s" s="2">
        <v>22</v>
      </c>
    </row>
    <row r="4672" ht="25.0" customHeight="true">
      <c r="A4672" t="s" s="2">
        <v>13</v>
      </c>
      <c r="B4672" t="s" s="2">
        <f>HYPERLINK("http://ts.21cn.com/tousu/show/id/1369009","高利贷暴击催收")</f>
      </c>
      <c r="C4672" t="s" s="2">
        <v>15</v>
      </c>
      <c r="D4672" t="s" s="2">
        <v>16</v>
      </c>
      <c r="E4672" t="s" s="2">
        <v>17</v>
      </c>
      <c r="F4672" t="s" s="2">
        <f>HYPERLINK("http://ts.21cn.com/tousu/show/id/1369009","http://ts.21cn.com/tousu/show/id/1369009")</f>
      </c>
      <c r="G4672" t="s" s="2">
        <v>17</v>
      </c>
      <c r="H4672" t="s" s="2">
        <v>19</v>
      </c>
      <c r="I4672" t="s" s="2">
        <v>18158</v>
      </c>
      <c r="J4672" t="s" s="2">
        <v>18159</v>
      </c>
      <c r="K4672" t="s" s="2">
        <v>22</v>
      </c>
      <c r="L4672" t="s" s="2">
        <v>22</v>
      </c>
      <c r="M4672" t="s" s="2">
        <v>22</v>
      </c>
    </row>
    <row r="4673" ht="25.0" customHeight="true">
      <c r="A4673" t="s" s="2">
        <v>13</v>
      </c>
      <c r="B4673" t="s" s="2">
        <f>HYPERLINK("http://ts.21cn.com/tousu/show/id/1369008","洋钱罐暴力催收，骚扰通讯录")</f>
      </c>
      <c r="C4673" t="s" s="2">
        <v>15</v>
      </c>
      <c r="D4673" t="s" s="2">
        <v>16</v>
      </c>
      <c r="E4673" t="s" s="2">
        <v>17</v>
      </c>
      <c r="F4673" t="s" s="2">
        <f>HYPERLINK("http://ts.21cn.com/tousu/show/id/1369008","http://ts.21cn.com/tousu/show/id/1369008")</f>
      </c>
      <c r="G4673" t="s" s="2">
        <v>17</v>
      </c>
      <c r="H4673" t="s" s="2">
        <v>19</v>
      </c>
      <c r="I4673" t="s" s="2">
        <v>18162</v>
      </c>
      <c r="J4673" t="s" s="2">
        <v>18163</v>
      </c>
      <c r="K4673" t="s" s="2">
        <v>22</v>
      </c>
      <c r="L4673" t="s" s="2">
        <v>22</v>
      </c>
      <c r="M4673" t="s" s="2">
        <v>22</v>
      </c>
    </row>
    <row r="4674" ht="25.0" customHeight="true">
      <c r="A4674" t="s" s="2">
        <v>13</v>
      </c>
      <c r="B4674" t="s" s="2">
        <f>HYPERLINK("http://ts.21cn.com/tousu/show/id/1369006","卧龙钱包高利贷")</f>
      </c>
      <c r="C4674" t="s" s="2">
        <v>15</v>
      </c>
      <c r="D4674" t="s" s="2">
        <v>16</v>
      </c>
      <c r="E4674" t="s" s="2">
        <v>17</v>
      </c>
      <c r="F4674" t="s" s="2">
        <f>HYPERLINK("http://ts.21cn.com/tousu/show/id/1369006","http://ts.21cn.com/tousu/show/id/1369006")</f>
      </c>
      <c r="G4674" t="s" s="2">
        <v>17</v>
      </c>
      <c r="H4674" t="s" s="2">
        <v>19</v>
      </c>
      <c r="I4674" t="s" s="2">
        <v>18166</v>
      </c>
      <c r="J4674" t="s" s="2">
        <v>18167</v>
      </c>
      <c r="K4674" t="s" s="2">
        <v>22</v>
      </c>
      <c r="L4674" t="s" s="2">
        <v>22</v>
      </c>
      <c r="M4674" t="s" s="2">
        <v>22</v>
      </c>
    </row>
    <row r="4675" ht="25.0" customHeight="true">
      <c r="A4675" t="s" s="2">
        <v>13</v>
      </c>
      <c r="B4675" t="s" s="2">
        <f>HYPERLINK("http://ts.21cn.com/tousu/show/id/1369005","唯品会投诉专题")</f>
      </c>
      <c r="C4675" t="s" s="2">
        <v>52</v>
      </c>
      <c r="D4675" t="s" s="2">
        <v>16</v>
      </c>
      <c r="E4675" t="s" s="2">
        <v>17</v>
      </c>
      <c r="F4675" t="s" s="2">
        <f>HYPERLINK("http://ts.21cn.com/tousu/show/id/1369005","http://ts.21cn.com/tousu/show/id/1369005")</f>
      </c>
      <c r="G4675" t="s" s="2">
        <v>17</v>
      </c>
      <c r="H4675" t="s" s="2">
        <v>19</v>
      </c>
      <c r="I4675" t="s" s="2">
        <v>18169</v>
      </c>
      <c r="J4675" t="s" s="2">
        <v>18170</v>
      </c>
      <c r="K4675" t="s" s="2">
        <v>22</v>
      </c>
      <c r="L4675" t="s" s="2">
        <v>22</v>
      </c>
      <c r="M4675" t="s" s="2">
        <v>22</v>
      </c>
    </row>
    <row r="4676" ht="25.0" customHeight="true">
      <c r="A4676" t="s" s="2">
        <v>13</v>
      </c>
      <c r="B4676" t="s" s="2">
        <f>HYPERLINK("http://ts.21cn.com/tousu/show/id/1369004","在淘集集的2000元保证金退不了")</f>
      </c>
      <c r="C4676" t="s" s="2">
        <v>15</v>
      </c>
      <c r="D4676" t="s" s="2">
        <v>16</v>
      </c>
      <c r="E4676" t="s" s="2">
        <v>17</v>
      </c>
      <c r="F4676" t="s" s="2">
        <f>HYPERLINK("http://ts.21cn.com/tousu/show/id/1369004","http://ts.21cn.com/tousu/show/id/1369004")</f>
      </c>
      <c r="G4676" t="s" s="2">
        <v>17</v>
      </c>
      <c r="H4676" t="s" s="2">
        <v>19</v>
      </c>
      <c r="I4676" t="s" s="2">
        <v>18172</v>
      </c>
      <c r="J4676" t="s" s="2">
        <v>18173</v>
      </c>
      <c r="K4676" t="s" s="2">
        <v>22</v>
      </c>
      <c r="L4676" t="s" s="2">
        <v>22</v>
      </c>
      <c r="M4676" t="s" s="2">
        <v>22</v>
      </c>
    </row>
    <row r="4677" ht="25.0" customHeight="true">
      <c r="A4677" t="s" s="2">
        <v>13</v>
      </c>
      <c r="B4677" t="s" s="2">
        <f>HYPERLINK("http://ts.21cn.com/tousu/show/id/1369003","恶意扣款")</f>
      </c>
      <c r="C4677" t="s" s="2">
        <v>15</v>
      </c>
      <c r="D4677" t="s" s="2">
        <v>16</v>
      </c>
      <c r="E4677" t="s" s="2">
        <v>17</v>
      </c>
      <c r="F4677" t="s" s="2">
        <f>HYPERLINK("http://ts.21cn.com/tousu/show/id/1369003","http://ts.21cn.com/tousu/show/id/1369003")</f>
      </c>
      <c r="G4677" t="s" s="2">
        <v>17</v>
      </c>
      <c r="H4677" t="s" s="2">
        <v>19</v>
      </c>
      <c r="I4677" t="s" s="2">
        <v>18175</v>
      </c>
      <c r="J4677" t="s" s="2">
        <v>18176</v>
      </c>
      <c r="K4677" t="s" s="2">
        <v>22</v>
      </c>
      <c r="L4677" t="s" s="2">
        <v>22</v>
      </c>
      <c r="M4677" t="s" s="2">
        <v>22</v>
      </c>
    </row>
    <row r="4678" ht="25.0" customHeight="true">
      <c r="A4678" t="s" s="2">
        <v>13</v>
      </c>
      <c r="B4678" t="s" s="2">
        <f>HYPERLINK("http://ts.21cn.com/tousu/show/id/1369002","暴力催收，砍头息，高利贷")</f>
      </c>
      <c r="C4678" t="s" s="2">
        <v>15</v>
      </c>
      <c r="D4678" t="s" s="2">
        <v>16</v>
      </c>
      <c r="E4678" t="s" s="2">
        <v>17</v>
      </c>
      <c r="F4678" t="s" s="2">
        <f>HYPERLINK("http://ts.21cn.com/tousu/show/id/1369002","http://ts.21cn.com/tousu/show/id/1369002")</f>
      </c>
      <c r="G4678" t="s" s="2">
        <v>17</v>
      </c>
      <c r="H4678" t="s" s="2">
        <v>19</v>
      </c>
      <c r="I4678" t="s" s="2">
        <v>18179</v>
      </c>
      <c r="J4678" t="s" s="2">
        <v>18180</v>
      </c>
      <c r="K4678" t="s" s="2">
        <v>22</v>
      </c>
      <c r="L4678" t="s" s="2">
        <v>22</v>
      </c>
      <c r="M4678" t="s" s="2">
        <v>22</v>
      </c>
    </row>
    <row r="4679" ht="25.0" customHeight="true">
      <c r="A4679" t="s" s="2">
        <v>13</v>
      </c>
      <c r="B4679" t="s" s="2">
        <f>HYPERLINK("http://ts.21cn.com/tousu/show/id/1368998","优信优卡不能充值，合作方寺库、北京银联商务受牵连，回应协助积极处理")</f>
      </c>
      <c r="C4679" t="s" s="2">
        <v>15</v>
      </c>
      <c r="D4679" t="s" s="2">
        <v>16</v>
      </c>
      <c r="E4679" t="s" s="2">
        <v>17</v>
      </c>
      <c r="F4679" t="s" s="2">
        <f>HYPERLINK("http://ts.21cn.com/tousu/show/id/1368998","http://ts.21cn.com/tousu/show/id/1368998")</f>
      </c>
      <c r="G4679" t="s" s="2">
        <v>17</v>
      </c>
      <c r="H4679" t="s" s="2">
        <v>19</v>
      </c>
      <c r="I4679" t="s" s="2">
        <v>18183</v>
      </c>
      <c r="J4679" t="s" s="2">
        <v>18184</v>
      </c>
      <c r="K4679" t="s" s="2">
        <v>22</v>
      </c>
      <c r="L4679" t="s" s="2">
        <v>22</v>
      </c>
      <c r="M4679" t="s" s="2">
        <v>22</v>
      </c>
    </row>
    <row r="4680" ht="25.0" customHeight="true">
      <c r="A4680" t="s" s="2">
        <v>13</v>
      </c>
      <c r="B4680" t="s" s="2">
        <f>HYPERLINK("http://ts.21cn.com/tousu/show/id/1368999","淘集集平台一直不给我打款，距离最近一次打款是9月9号，截止到10月17号，后面提现直接驳回，也没通知什么时候打款。")</f>
      </c>
      <c r="C4680" t="s" s="2">
        <v>15</v>
      </c>
      <c r="D4680" t="s" s="2">
        <v>16</v>
      </c>
      <c r="E4680" t="s" s="2">
        <v>17</v>
      </c>
      <c r="F4680" t="s" s="2">
        <f>HYPERLINK("http://ts.21cn.com/tousu/show/id/1368999","http://ts.21cn.com/tousu/show/id/1368999")</f>
      </c>
      <c r="G4680" t="s" s="2">
        <v>17</v>
      </c>
      <c r="H4680" t="s" s="2">
        <v>19</v>
      </c>
      <c r="I4680" t="s" s="2">
        <v>18187</v>
      </c>
      <c r="J4680" t="s" s="2">
        <v>18188</v>
      </c>
      <c r="K4680" t="s" s="2">
        <v>22</v>
      </c>
      <c r="L4680" t="s" s="2">
        <v>22</v>
      </c>
      <c r="M4680" t="s" s="2">
        <v>22</v>
      </c>
    </row>
    <row r="4681" ht="25.0" customHeight="true">
      <c r="A4681" t="s" s="2">
        <v>13</v>
      </c>
      <c r="B4681" t="s" s="2">
        <f>HYPERLINK("http://ts.21cn.com/tousu/show/id/1368480","小花钱包平台公开道歉，177******31的机主对本人通讯录中骚扰过的人做深刻道歉")</f>
      </c>
      <c r="C4681" t="s" s="2">
        <v>15</v>
      </c>
      <c r="D4681" t="s" s="2">
        <v>16</v>
      </c>
      <c r="E4681" t="s" s="2">
        <v>17</v>
      </c>
      <c r="F4681" t="s" s="2">
        <f>HYPERLINK("http://ts.21cn.com/tousu/show/id/1368480","http://ts.21cn.com/tousu/show/id/1368480")</f>
      </c>
      <c r="G4681" t="s" s="2">
        <v>17</v>
      </c>
      <c r="H4681" t="s" s="2">
        <v>19</v>
      </c>
      <c r="I4681" t="s" s="2">
        <v>18191</v>
      </c>
      <c r="J4681" t="s" s="2">
        <v>18192</v>
      </c>
      <c r="K4681" t="s" s="2">
        <v>22</v>
      </c>
      <c r="L4681" t="s" s="2">
        <v>22</v>
      </c>
      <c r="M4681" t="s" s="2">
        <v>22</v>
      </c>
    </row>
    <row r="4682" ht="25.0" customHeight="true">
      <c r="A4682" t="s" s="2">
        <v>13</v>
      </c>
      <c r="B4682" t="s" s="2">
        <f>HYPERLINK("http://ts.21cn.com/tousu/show/id/1369001","高利贷，暴力催收，合同欺诈")</f>
      </c>
      <c r="C4682" t="s" s="2">
        <v>15</v>
      </c>
      <c r="D4682" t="s" s="2">
        <v>16</v>
      </c>
      <c r="E4682" t="s" s="2">
        <v>17</v>
      </c>
      <c r="F4682" t="s" s="2">
        <f>HYPERLINK("http://ts.21cn.com/tousu/show/id/1369001","http://ts.21cn.com/tousu/show/id/1369001")</f>
      </c>
      <c r="G4682" t="s" s="2">
        <v>17</v>
      </c>
      <c r="H4682" t="s" s="2">
        <v>19</v>
      </c>
      <c r="I4682" t="s" s="2">
        <v>18195</v>
      </c>
      <c r="J4682" t="s" s="2">
        <v>18196</v>
      </c>
      <c r="K4682" t="s" s="2">
        <v>22</v>
      </c>
      <c r="L4682" t="s" s="2">
        <v>22</v>
      </c>
      <c r="M4682" t="s" s="2">
        <v>22</v>
      </c>
    </row>
    <row r="4683" ht="25.0" customHeight="true">
      <c r="A4683" t="s" s="2">
        <v>13</v>
      </c>
      <c r="B4683" t="s" s="2">
        <f>HYPERLINK("http://ts.21cn.com/tousu/show/id/1368997","爱农驿站为境外赌博网站提供支付通道")</f>
      </c>
      <c r="C4683" t="s" s="2">
        <v>15</v>
      </c>
      <c r="D4683" t="s" s="2">
        <v>16</v>
      </c>
      <c r="E4683" t="s" s="2">
        <v>17</v>
      </c>
      <c r="F4683" t="s" s="2">
        <f>HYPERLINK("http://ts.21cn.com/tousu/show/id/1368997","http://ts.21cn.com/tousu/show/id/1368997")</f>
      </c>
      <c r="G4683" t="s" s="2">
        <v>17</v>
      </c>
      <c r="H4683" t="s" s="2">
        <v>19</v>
      </c>
      <c r="I4683" t="s" s="2">
        <v>18199</v>
      </c>
      <c r="J4683" t="s" s="2">
        <v>18200</v>
      </c>
      <c r="K4683" t="s" s="2">
        <v>22</v>
      </c>
      <c r="L4683" t="s" s="2">
        <v>22</v>
      </c>
      <c r="M4683" t="s" s="2">
        <v>22</v>
      </c>
    </row>
    <row r="4684" ht="25.0" customHeight="true">
      <c r="A4684" t="s" s="2">
        <v>13</v>
      </c>
      <c r="B4684" t="s" s="2">
        <f>HYPERLINK("http://ts.21cn.com/tousu/show/id/1368996","被催收投诉")</f>
      </c>
      <c r="C4684" t="s" s="2">
        <v>15</v>
      </c>
      <c r="D4684" t="s" s="2">
        <v>16</v>
      </c>
      <c r="E4684" t="s" s="2">
        <v>17</v>
      </c>
      <c r="F4684" t="s" s="2">
        <f>HYPERLINK("http://ts.21cn.com/tousu/show/id/1368996","http://ts.21cn.com/tousu/show/id/1368996")</f>
      </c>
      <c r="G4684" t="s" s="2">
        <v>17</v>
      </c>
      <c r="H4684" t="s" s="2">
        <v>19</v>
      </c>
      <c r="I4684" t="s" s="2">
        <v>18203</v>
      </c>
      <c r="J4684" t="s" s="2">
        <v>18204</v>
      </c>
      <c r="K4684" t="s" s="2">
        <v>22</v>
      </c>
      <c r="L4684" t="s" s="2">
        <v>22</v>
      </c>
      <c r="M4684" t="s" s="2">
        <v>22</v>
      </c>
    </row>
    <row r="4685" ht="25.0" customHeight="true">
      <c r="A4685" t="s" s="2">
        <v>13</v>
      </c>
      <c r="B4685" t="s" s="2">
        <f>HYPERLINK("http://ts.21cn.com/tousu/show/id/1368995","我来数科，原我来贷平台高额高利贷，借款两万还三万五，致使借款人精神分裂，萌生自杀意念")</f>
      </c>
      <c r="C4685" t="s" s="2">
        <v>15</v>
      </c>
      <c r="D4685" t="s" s="2">
        <v>16</v>
      </c>
      <c r="E4685" t="s" s="2">
        <v>17</v>
      </c>
      <c r="F4685" t="s" s="2">
        <f>HYPERLINK("http://ts.21cn.com/tousu/show/id/1368995","http://ts.21cn.com/tousu/show/id/1368995")</f>
      </c>
      <c r="G4685" t="s" s="2">
        <v>17</v>
      </c>
      <c r="H4685" t="s" s="2">
        <v>19</v>
      </c>
      <c r="I4685" t="s" s="2">
        <v>18207</v>
      </c>
      <c r="J4685" t="s" s="2">
        <v>18208</v>
      </c>
      <c r="K4685" t="s" s="2">
        <v>22</v>
      </c>
      <c r="L4685" t="s" s="2">
        <v>22</v>
      </c>
      <c r="M4685" t="s" s="2">
        <v>22</v>
      </c>
    </row>
    <row r="4686" ht="25.0" customHeight="true">
      <c r="A4686" t="s" s="2">
        <v>13</v>
      </c>
      <c r="B4686" t="s" s="2">
        <f>HYPERLINK("http://ts.21cn.com/tousu/show/id/1368993","暴网贷平台暴力催收")</f>
      </c>
      <c r="C4686" t="s" s="2">
        <v>15</v>
      </c>
      <c r="D4686" t="s" s="2">
        <v>16</v>
      </c>
      <c r="E4686" t="s" s="2">
        <v>17</v>
      </c>
      <c r="F4686" t="s" s="2">
        <f>HYPERLINK("http://ts.21cn.com/tousu/show/id/1368993","http://ts.21cn.com/tousu/show/id/1368993")</f>
      </c>
      <c r="G4686" t="s" s="2">
        <v>17</v>
      </c>
      <c r="H4686" t="s" s="2">
        <v>19</v>
      </c>
      <c r="I4686" t="s" s="2">
        <v>18211</v>
      </c>
      <c r="J4686" t="s" s="2">
        <v>18212</v>
      </c>
      <c r="K4686" t="s" s="2">
        <v>22</v>
      </c>
      <c r="L4686" t="s" s="2">
        <v>22</v>
      </c>
      <c r="M4686" t="s" s="2">
        <v>22</v>
      </c>
    </row>
    <row r="4687" ht="25.0" customHeight="true">
      <c r="A4687" t="s" s="2">
        <v>13</v>
      </c>
      <c r="B4687" t="s" s="2">
        <f>HYPERLINK("http://ts.21cn.com/tousu/show/id/1368990","拍拍贷暴力催收恶语中伤")</f>
      </c>
      <c r="C4687" t="s" s="2">
        <v>15</v>
      </c>
      <c r="D4687" t="s" s="2">
        <v>16</v>
      </c>
      <c r="E4687" t="s" s="2">
        <v>17</v>
      </c>
      <c r="F4687" t="s" s="2">
        <f>HYPERLINK("http://ts.21cn.com/tousu/show/id/1368990","http://ts.21cn.com/tousu/show/id/1368990")</f>
      </c>
      <c r="G4687" t="s" s="2">
        <v>17</v>
      </c>
      <c r="H4687" t="s" s="2">
        <v>19</v>
      </c>
      <c r="I4687" t="s" s="2">
        <v>18215</v>
      </c>
      <c r="J4687" t="s" s="2">
        <v>18216</v>
      </c>
      <c r="K4687" t="s" s="2">
        <v>22</v>
      </c>
      <c r="L4687" t="s" s="2">
        <v>22</v>
      </c>
      <c r="M4687" t="s" s="2">
        <v>22</v>
      </c>
    </row>
    <row r="4688" ht="25.0" customHeight="true">
      <c r="A4688" t="s" s="2">
        <v>13</v>
      </c>
      <c r="B4688" t="s" s="2">
        <f>HYPERLINK("http://ts.21cn.com/tousu/show/id/1368992","一句不予受理，拒绝一切投诉")</f>
      </c>
      <c r="C4688" t="s" s="2">
        <v>15</v>
      </c>
      <c r="D4688" t="s" s="2">
        <v>16</v>
      </c>
      <c r="E4688" t="s" s="2">
        <v>17</v>
      </c>
      <c r="F4688" t="s" s="2">
        <f>HYPERLINK("http://ts.21cn.com/tousu/show/id/1368992","http://ts.21cn.com/tousu/show/id/1368992")</f>
      </c>
      <c r="G4688" t="s" s="2">
        <v>17</v>
      </c>
      <c r="H4688" t="s" s="2">
        <v>19</v>
      </c>
      <c r="I4688" t="s" s="2">
        <v>18219</v>
      </c>
      <c r="J4688" t="s" s="2">
        <v>18220</v>
      </c>
      <c r="K4688" t="s" s="2">
        <v>22</v>
      </c>
      <c r="L4688" t="s" s="2">
        <v>22</v>
      </c>
      <c r="M4688" t="s" s="2">
        <v>22</v>
      </c>
    </row>
    <row r="4689" ht="25.0" customHeight="true">
      <c r="A4689" t="s" s="2">
        <v>13</v>
      </c>
      <c r="B4689" t="s" s="2">
        <f>HYPERLINK("http://ts.21cn.com/tousu/show/id/1368991","京东金条威胁家人")</f>
      </c>
      <c r="C4689" t="s" s="2">
        <v>15</v>
      </c>
      <c r="D4689" t="s" s="2">
        <v>16</v>
      </c>
      <c r="E4689" t="s" s="2">
        <v>17</v>
      </c>
      <c r="F4689" t="s" s="2">
        <f>HYPERLINK("http://ts.21cn.com/tousu/show/id/1368991","http://ts.21cn.com/tousu/show/id/1368991")</f>
      </c>
      <c r="G4689" t="s" s="2">
        <v>17</v>
      </c>
      <c r="H4689" t="s" s="2">
        <v>19</v>
      </c>
      <c r="I4689" t="s" s="2">
        <v>18223</v>
      </c>
      <c r="J4689" t="s" s="2">
        <v>18224</v>
      </c>
      <c r="K4689" t="s" s="2">
        <v>22</v>
      </c>
      <c r="L4689" t="s" s="2">
        <v>22</v>
      </c>
      <c r="M4689" t="s" s="2">
        <v>22</v>
      </c>
    </row>
    <row r="4690" ht="25.0" customHeight="true">
      <c r="A4690" t="s" s="2">
        <v>13</v>
      </c>
      <c r="B4690" t="s" s="2">
        <f>HYPERLINK("http://ts.21cn.com/tousu/show/id/1368989","我要投诉瀚银科技，敏付科技为博彩行业提供入款通道，要求退回我的损失")</f>
      </c>
      <c r="C4690" t="s" s="2">
        <v>15</v>
      </c>
      <c r="D4690" t="s" s="2">
        <v>16</v>
      </c>
      <c r="E4690" t="s" s="2">
        <v>17</v>
      </c>
      <c r="F4690" t="s" s="2">
        <f>HYPERLINK("http://ts.21cn.com/tousu/show/id/1368989","http://ts.21cn.com/tousu/show/id/1368989")</f>
      </c>
      <c r="G4690" t="s" s="2">
        <v>17</v>
      </c>
      <c r="H4690" t="s" s="2">
        <v>19</v>
      </c>
      <c r="I4690" t="s" s="2">
        <v>18227</v>
      </c>
      <c r="J4690" t="s" s="2">
        <v>18228</v>
      </c>
      <c r="K4690" t="s" s="2">
        <v>22</v>
      </c>
      <c r="L4690" t="s" s="2">
        <v>22</v>
      </c>
      <c r="M4690" t="s" s="2">
        <v>22</v>
      </c>
    </row>
    <row r="4691" ht="25.0" customHeight="true">
      <c r="A4691" t="s" s="2">
        <v>13</v>
      </c>
      <c r="B4691" t="s" s="2">
        <f>HYPERLINK("http://ts.21cn.com/tousu/show/id/1368988","贷上钱以买游戏豆为由收取高额贷款通过费")</f>
      </c>
      <c r="C4691" t="s" s="2">
        <v>15</v>
      </c>
      <c r="D4691" t="s" s="2">
        <v>16</v>
      </c>
      <c r="E4691" t="s" s="2">
        <v>17</v>
      </c>
      <c r="F4691" t="s" s="2">
        <f>HYPERLINK("http://ts.21cn.com/tousu/show/id/1368988","http://ts.21cn.com/tousu/show/id/1368988")</f>
      </c>
      <c r="G4691" t="s" s="2">
        <v>17</v>
      </c>
      <c r="H4691" t="s" s="2">
        <v>19</v>
      </c>
      <c r="I4691" t="s" s="2">
        <v>18230</v>
      </c>
      <c r="J4691" t="s" s="2">
        <v>18231</v>
      </c>
      <c r="K4691" t="s" s="2">
        <v>22</v>
      </c>
      <c r="L4691" t="s" s="2">
        <v>22</v>
      </c>
      <c r="M4691" t="s" s="2">
        <v>22</v>
      </c>
    </row>
    <row r="4692" ht="25.0" customHeight="true">
      <c r="A4692" t="s" s="2">
        <v>13</v>
      </c>
      <c r="B4692" t="s" s="2">
        <f>HYPERLINK("http://ts.21cn.com/tousu/show/id/1368987","豹子贷抢钱")</f>
      </c>
      <c r="C4692" t="s" s="2">
        <v>15</v>
      </c>
      <c r="D4692" t="s" s="2">
        <v>16</v>
      </c>
      <c r="E4692" t="s" s="2">
        <v>17</v>
      </c>
      <c r="F4692" t="s" s="2">
        <f>HYPERLINK("http://ts.21cn.com/tousu/show/id/1368987","http://ts.21cn.com/tousu/show/id/1368987")</f>
      </c>
      <c r="G4692" t="s" s="2">
        <v>17</v>
      </c>
      <c r="H4692" t="s" s="2">
        <v>19</v>
      </c>
      <c r="I4692" t="s" s="2">
        <v>18234</v>
      </c>
      <c r="J4692" t="s" s="2">
        <v>18235</v>
      </c>
      <c r="K4692" t="s" s="2">
        <v>22</v>
      </c>
      <c r="L4692" t="s" s="2">
        <v>22</v>
      </c>
      <c r="M4692" t="s" s="2">
        <v>22</v>
      </c>
    </row>
    <row r="4693" ht="25.0" customHeight="true">
      <c r="A4693" t="s" s="2">
        <v>13</v>
      </c>
      <c r="B4693" t="s" s="2">
        <f>HYPERLINK("http://ts.21cn.com/tousu/show/id/1368985","广州合利宝，富友支付为714高炮至上钱包提供支付通道")</f>
      </c>
      <c r="C4693" t="s" s="2">
        <v>52</v>
      </c>
      <c r="D4693" t="s" s="2">
        <v>16</v>
      </c>
      <c r="E4693" t="s" s="2">
        <v>17</v>
      </c>
      <c r="F4693" t="s" s="2">
        <f>HYPERLINK("http://ts.21cn.com/tousu/show/id/1368985","http://ts.21cn.com/tousu/show/id/1368985")</f>
      </c>
      <c r="G4693" t="s" s="2">
        <v>17</v>
      </c>
      <c r="H4693" t="s" s="2">
        <v>19</v>
      </c>
      <c r="I4693" t="s" s="2">
        <v>18238</v>
      </c>
      <c r="J4693" t="s" s="2">
        <v>18239</v>
      </c>
      <c r="K4693" t="s" s="2">
        <v>22</v>
      </c>
      <c r="L4693" t="s" s="2">
        <v>22</v>
      </c>
      <c r="M4693" t="s" s="2">
        <v>22</v>
      </c>
    </row>
    <row r="4694" ht="25.0" customHeight="true">
      <c r="A4694" t="s" s="2">
        <v>13</v>
      </c>
      <c r="B4694" t="s" s="2">
        <f>HYPERLINK("http://ts.21cn.com/tousu/show/id/1368984","小鱼儿平台高利贷")</f>
      </c>
      <c r="C4694" t="s" s="2">
        <v>15</v>
      </c>
      <c r="D4694" t="s" s="2">
        <v>16</v>
      </c>
      <c r="E4694" t="s" s="2">
        <v>17</v>
      </c>
      <c r="F4694" t="s" s="2">
        <f>HYPERLINK("http://ts.21cn.com/tousu/show/id/1368984","http://ts.21cn.com/tousu/show/id/1368984")</f>
      </c>
      <c r="G4694" t="s" s="2">
        <v>17</v>
      </c>
      <c r="H4694" t="s" s="2">
        <v>19</v>
      </c>
      <c r="I4694" t="s" s="2">
        <v>18242</v>
      </c>
      <c r="J4694" t="s" s="2">
        <v>18243</v>
      </c>
      <c r="K4694" t="s" s="2">
        <v>22</v>
      </c>
      <c r="L4694" t="s" s="2">
        <v>22</v>
      </c>
      <c r="M4694" t="s" s="2">
        <v>22</v>
      </c>
    </row>
    <row r="4695" ht="25.0" customHeight="true">
      <c r="A4695" t="s" s="2">
        <v>13</v>
      </c>
      <c r="B4695" t="s" s="2">
        <f>HYPERLINK("http://ts.21cn.com/tousu/show/id/1368986","宜信宜人贷高额收取代款利息及砍头息5万多元")</f>
      </c>
      <c r="C4695" t="s" s="2">
        <v>15</v>
      </c>
      <c r="D4695" t="s" s="2">
        <v>16</v>
      </c>
      <c r="E4695" t="s" s="2">
        <v>17</v>
      </c>
      <c r="F4695" t="s" s="2">
        <f>HYPERLINK("http://ts.21cn.com/tousu/show/id/1368986","http://ts.21cn.com/tousu/show/id/1368986")</f>
      </c>
      <c r="G4695" t="s" s="2">
        <v>17</v>
      </c>
      <c r="H4695" t="s" s="2">
        <v>19</v>
      </c>
      <c r="I4695" t="s" s="2">
        <v>18245</v>
      </c>
      <c r="J4695" t="s" s="2">
        <v>18246</v>
      </c>
      <c r="K4695" t="s" s="2">
        <v>22</v>
      </c>
      <c r="L4695" t="s" s="2">
        <v>22</v>
      </c>
      <c r="M4695" t="s" s="2">
        <v>22</v>
      </c>
    </row>
    <row r="4696" ht="25.0" customHeight="true">
      <c r="A4696" t="s" s="2">
        <v>13</v>
      </c>
      <c r="B4696" t="s" s="2">
        <f>HYPERLINK("http://ts.21cn.com/tousu/show/id/1368983","高利贷群发短信骚扰生活")</f>
      </c>
      <c r="C4696" t="s" s="2">
        <v>15</v>
      </c>
      <c r="D4696" t="s" s="2">
        <v>16</v>
      </c>
      <c r="E4696" t="s" s="2">
        <v>17</v>
      </c>
      <c r="F4696" t="s" s="2">
        <f>HYPERLINK("http://ts.21cn.com/tousu/show/id/1368983","http://ts.21cn.com/tousu/show/id/1368983")</f>
      </c>
      <c r="G4696" t="s" s="2">
        <v>17</v>
      </c>
      <c r="H4696" t="s" s="2">
        <v>19</v>
      </c>
      <c r="I4696" t="s" s="2">
        <v>18249</v>
      </c>
      <c r="J4696" t="s" s="2">
        <v>18250</v>
      </c>
      <c r="K4696" t="s" s="2">
        <v>22</v>
      </c>
      <c r="L4696" t="s" s="2">
        <v>22</v>
      </c>
      <c r="M4696" t="s" s="2">
        <v>22</v>
      </c>
    </row>
    <row r="4697" ht="25.0" customHeight="true">
      <c r="A4697" t="s" s="2">
        <v>13</v>
      </c>
      <c r="B4697" t="s" s="2">
        <f>HYPERLINK("http://ts.21cn.com/tousu/show/id/1368981","商品质量问题，拼多多不退运费")</f>
      </c>
      <c r="C4697" t="s" s="2">
        <v>15</v>
      </c>
      <c r="D4697" t="s" s="2">
        <v>16</v>
      </c>
      <c r="E4697" t="s" s="2">
        <v>17</v>
      </c>
      <c r="F4697" t="s" s="2">
        <f>HYPERLINK("http://ts.21cn.com/tousu/show/id/1368981","http://ts.21cn.com/tousu/show/id/1368981")</f>
      </c>
      <c r="G4697" t="s" s="2">
        <v>17</v>
      </c>
      <c r="H4697" t="s" s="2">
        <v>19</v>
      </c>
      <c r="I4697" t="s" s="2">
        <v>18253</v>
      </c>
      <c r="J4697" t="s" s="2">
        <v>18254</v>
      </c>
      <c r="K4697" t="s" s="2">
        <v>22</v>
      </c>
      <c r="L4697" t="s" s="2">
        <v>22</v>
      </c>
      <c r="M4697" t="s" s="2">
        <v>22</v>
      </c>
    </row>
    <row r="4698" ht="25.0" customHeight="true">
      <c r="A4698" t="s" s="2">
        <v>13</v>
      </c>
      <c r="B4698" t="s" s="2">
        <f>HYPERLINK("http://ts.21cn.com/tousu/show/id/1368978","人人花乱扣费")</f>
      </c>
      <c r="C4698" t="s" s="2">
        <v>15</v>
      </c>
      <c r="D4698" t="s" s="2">
        <v>16</v>
      </c>
      <c r="E4698" t="s" s="2">
        <v>17</v>
      </c>
      <c r="F4698" t="s" s="2">
        <f>HYPERLINK("http://ts.21cn.com/tousu/show/id/1368978","http://ts.21cn.com/tousu/show/id/1368978")</f>
      </c>
      <c r="G4698" t="s" s="2">
        <v>17</v>
      </c>
      <c r="H4698" t="s" s="2">
        <v>19</v>
      </c>
      <c r="I4698" t="s" s="2">
        <v>18256</v>
      </c>
      <c r="J4698" t="s" s="2">
        <v>18257</v>
      </c>
      <c r="K4698" t="s" s="2">
        <v>22</v>
      </c>
      <c r="L4698" t="s" s="2">
        <v>22</v>
      </c>
      <c r="M4698" t="s" s="2">
        <v>22</v>
      </c>
    </row>
    <row r="4699" ht="25.0" customHeight="true">
      <c r="A4699" t="s" s="2">
        <v>13</v>
      </c>
      <c r="B4699" t="s" s="2">
        <f>HYPERLINK("http://ts.21cn.com/tousu/show/id/1368977","我没逾期没到还款时间捷信客服态度超级恶劣")</f>
      </c>
      <c r="C4699" t="s" s="2">
        <v>15</v>
      </c>
      <c r="D4699" t="s" s="2">
        <v>16</v>
      </c>
      <c r="E4699" t="s" s="2">
        <v>17</v>
      </c>
      <c r="F4699" t="s" s="2">
        <f>HYPERLINK("http://ts.21cn.com/tousu/show/id/1368977","http://ts.21cn.com/tousu/show/id/1368977")</f>
      </c>
      <c r="G4699" t="s" s="2">
        <v>17</v>
      </c>
      <c r="H4699" t="s" s="2">
        <v>19</v>
      </c>
      <c r="I4699" t="s" s="2">
        <v>18260</v>
      </c>
      <c r="J4699" t="s" s="2">
        <v>18261</v>
      </c>
      <c r="K4699" t="s" s="2">
        <v>22</v>
      </c>
      <c r="L4699" t="s" s="2">
        <v>22</v>
      </c>
      <c r="M4699" t="s" s="2">
        <v>22</v>
      </c>
    </row>
    <row r="4700" ht="25.0" customHeight="true">
      <c r="A4700" t="s" s="2">
        <v>13</v>
      </c>
      <c r="B4700" t="s" s="2">
        <f>HYPERLINK("http://ts.21cn.com/tousu/show/id/1368980","现金巴士砍头利息一天一天逾期10块钱")</f>
      </c>
      <c r="C4700" t="s" s="2">
        <v>52</v>
      </c>
      <c r="D4700" t="s" s="2">
        <v>16</v>
      </c>
      <c r="E4700" t="s" s="2">
        <v>17</v>
      </c>
      <c r="F4700" t="s" s="2">
        <f>HYPERLINK("http://ts.21cn.com/tousu/show/id/1368980","http://ts.21cn.com/tousu/show/id/1368980")</f>
      </c>
      <c r="G4700" t="s" s="2">
        <v>17</v>
      </c>
      <c r="H4700" t="s" s="2">
        <v>19</v>
      </c>
      <c r="I4700" t="s" s="2">
        <v>18264</v>
      </c>
      <c r="J4700" t="s" s="2">
        <v>18265</v>
      </c>
      <c r="K4700" t="s" s="2">
        <v>22</v>
      </c>
      <c r="L4700" t="s" s="2">
        <v>22</v>
      </c>
      <c r="M4700" t="s" s="2">
        <v>22</v>
      </c>
    </row>
    <row r="4701" ht="25.0" customHeight="true">
      <c r="A4701" t="s" s="2">
        <v>13</v>
      </c>
      <c r="B4701" t="s" s="2">
        <f>HYPERLINK("http://ts.21cn.com/tousu/show/id/1368979","上海富友为海南易联普惠（纸飞机）714高炮提供支付通道要求退还砍头息")</f>
      </c>
      <c r="C4701" t="s" s="2">
        <v>52</v>
      </c>
      <c r="D4701" t="s" s="2">
        <v>16</v>
      </c>
      <c r="E4701" t="s" s="2">
        <v>17</v>
      </c>
      <c r="F4701" t="s" s="2">
        <f>HYPERLINK("http://ts.21cn.com/tousu/show/id/1368979","http://ts.21cn.com/tousu/show/id/1368979")</f>
      </c>
      <c r="G4701" t="s" s="2">
        <v>17</v>
      </c>
      <c r="H4701" t="s" s="2">
        <v>19</v>
      </c>
      <c r="I4701" t="s" s="2">
        <v>18268</v>
      </c>
      <c r="J4701" t="s" s="2">
        <v>18269</v>
      </c>
      <c r="K4701" t="s" s="2">
        <v>22</v>
      </c>
      <c r="L4701" t="s" s="2">
        <v>22</v>
      </c>
      <c r="M4701" t="s" s="2">
        <v>22</v>
      </c>
    </row>
    <row r="4702" ht="25.0" customHeight="true">
      <c r="A4702" t="s" s="2">
        <v>13</v>
      </c>
      <c r="B4702" t="s" s="2">
        <f>HYPERLINK("http://ts.21cn.com/tousu/show/id/1368976","提前联系三方，爆通讯录")</f>
      </c>
      <c r="C4702" t="s" s="2">
        <v>15</v>
      </c>
      <c r="D4702" t="s" s="2">
        <v>16</v>
      </c>
      <c r="E4702" t="s" s="2">
        <v>17</v>
      </c>
      <c r="F4702" t="s" s="2">
        <f>HYPERLINK("http://ts.21cn.com/tousu/show/id/1368976","http://ts.21cn.com/tousu/show/id/1368976")</f>
      </c>
      <c r="G4702" t="s" s="2">
        <v>17</v>
      </c>
      <c r="H4702" t="s" s="2">
        <v>19</v>
      </c>
      <c r="I4702" t="s" s="2">
        <v>18272</v>
      </c>
      <c r="J4702" t="s" s="2">
        <v>18273</v>
      </c>
      <c r="K4702" t="s" s="2">
        <v>22</v>
      </c>
      <c r="L4702" t="s" s="2">
        <v>22</v>
      </c>
      <c r="M4702" t="s" s="2">
        <v>22</v>
      </c>
    </row>
    <row r="4703" ht="25.0" customHeight="true">
      <c r="A4703" t="s" s="2">
        <v>13</v>
      </c>
      <c r="B4703" t="s" s="2">
        <f>HYPERLINK("http://ts.21cn.com/tousu/show/id/1368975","立借钱置宝无法还款造成逾期高额罚息恶意催收")</f>
      </c>
      <c r="C4703" t="s" s="2">
        <v>15</v>
      </c>
      <c r="D4703" t="s" s="2">
        <v>16</v>
      </c>
      <c r="E4703" t="s" s="2">
        <v>17</v>
      </c>
      <c r="F4703" t="s" s="2">
        <f>HYPERLINK("http://ts.21cn.com/tousu/show/id/1368975","http://ts.21cn.com/tousu/show/id/1368975")</f>
      </c>
      <c r="G4703" t="s" s="2">
        <v>17</v>
      </c>
      <c r="H4703" t="s" s="2">
        <v>19</v>
      </c>
      <c r="I4703" t="s" s="2">
        <v>18276</v>
      </c>
      <c r="J4703" t="s" s="2">
        <v>18277</v>
      </c>
      <c r="K4703" t="s" s="2">
        <v>22</v>
      </c>
      <c r="L4703" t="s" s="2">
        <v>22</v>
      </c>
      <c r="M4703" t="s" s="2">
        <v>22</v>
      </c>
    </row>
    <row r="4704" ht="25.0" customHeight="true">
      <c r="A4704" t="s" s="2">
        <v>13</v>
      </c>
      <c r="B4704" t="s" s="2">
        <f>HYPERLINK("http://ts.21cn.com/tousu/show/id/1368973","去花花贷款平台高额砍头息")</f>
      </c>
      <c r="C4704" t="s" s="2">
        <v>15</v>
      </c>
      <c r="D4704" t="s" s="2">
        <v>16</v>
      </c>
      <c r="E4704" t="s" s="2">
        <v>17</v>
      </c>
      <c r="F4704" t="s" s="2">
        <f>HYPERLINK("http://ts.21cn.com/tousu/show/id/1368973","http://ts.21cn.com/tousu/show/id/1368973")</f>
      </c>
      <c r="G4704" t="s" s="2">
        <v>17</v>
      </c>
      <c r="H4704" t="s" s="2">
        <v>19</v>
      </c>
      <c r="I4704" t="s" s="2">
        <v>18280</v>
      </c>
      <c r="J4704" t="s" s="2">
        <v>18281</v>
      </c>
      <c r="K4704" t="s" s="2">
        <v>22</v>
      </c>
      <c r="L4704" t="s" s="2">
        <v>22</v>
      </c>
      <c r="M4704" t="s" s="2">
        <v>22</v>
      </c>
    </row>
    <row r="4705" ht="25.0" customHeight="true">
      <c r="A4705" t="s" s="2">
        <v>13</v>
      </c>
      <c r="B4705" t="s" s="2">
        <f>HYPERLINK("http://ts.21cn.com/tousu/show/id/1368974","骚扰")</f>
      </c>
      <c r="C4705" t="s" s="2">
        <v>15</v>
      </c>
      <c r="D4705" t="s" s="2">
        <v>16</v>
      </c>
      <c r="E4705" t="s" s="2">
        <v>17</v>
      </c>
      <c r="F4705" t="s" s="2">
        <f>HYPERLINK("http://ts.21cn.com/tousu/show/id/1368974","http://ts.21cn.com/tousu/show/id/1368974")</f>
      </c>
      <c r="G4705" t="s" s="2">
        <v>17</v>
      </c>
      <c r="H4705" t="s" s="2">
        <v>19</v>
      </c>
      <c r="I4705" t="s" s="2">
        <v>18283</v>
      </c>
      <c r="J4705" t="s" s="2">
        <v>18284</v>
      </c>
      <c r="K4705" t="s" s="2">
        <v>22</v>
      </c>
      <c r="L4705" t="s" s="2">
        <v>22</v>
      </c>
      <c r="M4705" t="s" s="2">
        <v>22</v>
      </c>
    </row>
    <row r="4706" ht="25.0" customHeight="true">
      <c r="A4706" t="s" s="2">
        <v>13</v>
      </c>
      <c r="B4706" t="s" s="2">
        <f>HYPERLINK("http://ts.21cn.com/tousu/show/id/1368972","骚扰通讯录联系人")</f>
      </c>
      <c r="C4706" t="s" s="2">
        <v>15</v>
      </c>
      <c r="D4706" t="s" s="2">
        <v>16</v>
      </c>
      <c r="E4706" t="s" s="2">
        <v>17</v>
      </c>
      <c r="F4706" t="s" s="2">
        <f>HYPERLINK("http://ts.21cn.com/tousu/show/id/1368972","http://ts.21cn.com/tousu/show/id/1368972")</f>
      </c>
      <c r="G4706" t="s" s="2">
        <v>17</v>
      </c>
      <c r="H4706" t="s" s="2">
        <v>19</v>
      </c>
      <c r="I4706" t="s" s="2">
        <v>18287</v>
      </c>
      <c r="J4706" t="s" s="2">
        <v>18288</v>
      </c>
      <c r="K4706" t="s" s="2">
        <v>22</v>
      </c>
      <c r="L4706" t="s" s="2">
        <v>22</v>
      </c>
      <c r="M4706" t="s" s="2">
        <v>22</v>
      </c>
    </row>
    <row r="4707" ht="25.0" customHeight="true">
      <c r="A4707" t="s" s="2">
        <v>13</v>
      </c>
      <c r="B4707" t="s" s="2">
        <f>HYPERLINK("http://ts.21cn.com/tousu/show/id/1368971","骚扰，恶意催收")</f>
      </c>
      <c r="C4707" t="s" s="2">
        <v>15</v>
      </c>
      <c r="D4707" t="s" s="2">
        <v>16</v>
      </c>
      <c r="E4707" t="s" s="2">
        <v>17</v>
      </c>
      <c r="F4707" t="s" s="2">
        <f>HYPERLINK("http://ts.21cn.com/tousu/show/id/1368971","http://ts.21cn.com/tousu/show/id/1368971")</f>
      </c>
      <c r="G4707" t="s" s="2">
        <v>17</v>
      </c>
      <c r="H4707" t="s" s="2">
        <v>19</v>
      </c>
      <c r="I4707" t="s" s="2">
        <v>18291</v>
      </c>
      <c r="J4707" t="s" s="2">
        <v>18292</v>
      </c>
      <c r="K4707" t="s" s="2">
        <v>22</v>
      </c>
      <c r="L4707" t="s" s="2">
        <v>22</v>
      </c>
      <c r="M4707" t="s" s="2">
        <v>22</v>
      </c>
    </row>
    <row r="4708" ht="25.0" customHeight="true">
      <c r="A4708" t="s" s="2">
        <v>13</v>
      </c>
      <c r="B4708" t="s" s="2">
        <f>HYPERLINK("http://ts.21cn.com/tousu/show/id/1368970","金步摇未经客户二次确认强制放款")</f>
      </c>
      <c r="C4708" t="s" s="2">
        <v>15</v>
      </c>
      <c r="D4708" t="s" s="2">
        <v>16</v>
      </c>
      <c r="E4708" t="s" s="2">
        <v>17</v>
      </c>
      <c r="F4708" t="s" s="2">
        <f>HYPERLINK("http://ts.21cn.com/tousu/show/id/1368970","http://ts.21cn.com/tousu/show/id/1368970")</f>
      </c>
      <c r="G4708" t="s" s="2">
        <v>17</v>
      </c>
      <c r="H4708" t="s" s="2">
        <v>19</v>
      </c>
      <c r="I4708" t="s" s="2">
        <v>18295</v>
      </c>
      <c r="J4708" t="s" s="2">
        <v>18296</v>
      </c>
      <c r="K4708" t="s" s="2">
        <v>22</v>
      </c>
      <c r="L4708" t="s" s="2">
        <v>22</v>
      </c>
      <c r="M4708" t="s" s="2">
        <v>22</v>
      </c>
    </row>
    <row r="4709" ht="25.0" customHeight="true">
      <c r="A4709" t="s" s="2">
        <v>13</v>
      </c>
      <c r="B4709" t="s" s="2">
        <f>HYPERLINK("http://ts.21cn.com/tousu/show/id/1368969","京东和第三方卖家推脱责任不给退款")</f>
      </c>
      <c r="C4709" t="s" s="2">
        <v>15</v>
      </c>
      <c r="D4709" t="s" s="2">
        <v>16</v>
      </c>
      <c r="E4709" t="s" s="2">
        <v>17</v>
      </c>
      <c r="F4709" t="s" s="2">
        <f>HYPERLINK("http://ts.21cn.com/tousu/show/id/1368969","http://ts.21cn.com/tousu/show/id/1368969")</f>
      </c>
      <c r="G4709" t="s" s="2">
        <v>17</v>
      </c>
      <c r="H4709" t="s" s="2">
        <v>19</v>
      </c>
      <c r="I4709" t="s" s="2">
        <v>18299</v>
      </c>
      <c r="J4709" t="s" s="2">
        <v>18300</v>
      </c>
      <c r="K4709" t="s" s="2">
        <v>22</v>
      </c>
      <c r="L4709" t="s" s="2">
        <v>22</v>
      </c>
      <c r="M4709" t="s" s="2">
        <v>22</v>
      </c>
    </row>
    <row r="4710" ht="25.0" customHeight="true">
      <c r="A4710" t="s" s="2">
        <v>13</v>
      </c>
      <c r="B4710" t="s" s="2">
        <f>HYPERLINK("http://ts.21cn.com/tousu/show/id/1368968","盛钱包不给注销账户个人信息")</f>
      </c>
      <c r="C4710" t="s" s="2">
        <v>15</v>
      </c>
      <c r="D4710" t="s" s="2">
        <v>16</v>
      </c>
      <c r="E4710" t="s" s="2">
        <v>17</v>
      </c>
      <c r="F4710" t="s" s="2">
        <f>HYPERLINK("http://ts.21cn.com/tousu/show/id/1368968","http://ts.21cn.com/tousu/show/id/1368968")</f>
      </c>
      <c r="G4710" t="s" s="2">
        <v>17</v>
      </c>
      <c r="H4710" t="s" s="2">
        <v>19</v>
      </c>
      <c r="I4710" t="s" s="2">
        <v>18303</v>
      </c>
      <c r="J4710" t="s" s="2">
        <v>18304</v>
      </c>
      <c r="K4710" t="s" s="2">
        <v>22</v>
      </c>
      <c r="L4710" t="s" s="2">
        <v>22</v>
      </c>
      <c r="M4710" t="s" s="2">
        <v>22</v>
      </c>
    </row>
    <row r="4711" ht="25.0" customHeight="true">
      <c r="A4711" t="s" s="2">
        <v>13</v>
      </c>
      <c r="B4711" t="s" s="2">
        <f>HYPERLINK("http://ts.21cn.com/tousu/show/id/1368967","随手记福贷私人号码爆通讯录威胁暴力催收")</f>
      </c>
      <c r="C4711" t="s" s="2">
        <v>15</v>
      </c>
      <c r="D4711" t="s" s="2">
        <v>16</v>
      </c>
      <c r="E4711" t="s" s="2">
        <v>17</v>
      </c>
      <c r="F4711" t="s" s="2">
        <f>HYPERLINK("http://ts.21cn.com/tousu/show/id/1368967","http://ts.21cn.com/tousu/show/id/1368967")</f>
      </c>
      <c r="G4711" t="s" s="2">
        <v>17</v>
      </c>
      <c r="H4711" t="s" s="2">
        <v>19</v>
      </c>
      <c r="I4711" t="s" s="2">
        <v>18307</v>
      </c>
      <c r="J4711" t="s" s="2">
        <v>18308</v>
      </c>
      <c r="K4711" t="s" s="2">
        <v>22</v>
      </c>
      <c r="L4711" t="s" s="2">
        <v>22</v>
      </c>
      <c r="M4711" t="s" s="2">
        <v>22</v>
      </c>
    </row>
    <row r="4712" ht="25.0" customHeight="true">
      <c r="A4712" t="s" s="2">
        <v>13</v>
      </c>
      <c r="B4712" t="s" s="2">
        <f>HYPERLINK("http://ts.21cn.com/tousu/show/id/1368966","乐刷科技有限公司")</f>
      </c>
      <c r="C4712" t="s" s="2">
        <v>52</v>
      </c>
      <c r="D4712" t="s" s="2">
        <v>16</v>
      </c>
      <c r="E4712" t="s" s="2">
        <v>17</v>
      </c>
      <c r="F4712" t="s" s="2">
        <f>HYPERLINK("http://ts.21cn.com/tousu/show/id/1368966","http://ts.21cn.com/tousu/show/id/1368966")</f>
      </c>
      <c r="G4712" t="s" s="2">
        <v>17</v>
      </c>
      <c r="H4712" t="s" s="2">
        <v>19</v>
      </c>
      <c r="I4712" t="s" s="2">
        <v>18307</v>
      </c>
      <c r="J4712" t="s" s="2">
        <v>18311</v>
      </c>
      <c r="K4712" t="s" s="2">
        <v>22</v>
      </c>
      <c r="L4712" t="s" s="2">
        <v>22</v>
      </c>
      <c r="M4712" t="s" s="2">
        <v>22</v>
      </c>
    </row>
    <row r="4713" ht="25.0" customHeight="true">
      <c r="A4713" t="s" s="2">
        <v>13</v>
      </c>
      <c r="B4713" t="s" s="2">
        <f>HYPERLINK("http://ts.21cn.com/tousu/show/id/1368786","淘宝“红包省钱卡”付款前后界面不一致，请解释")</f>
      </c>
      <c r="C4713" t="s" s="2">
        <v>52</v>
      </c>
      <c r="D4713" t="s" s="2">
        <v>16</v>
      </c>
      <c r="E4713" t="s" s="2">
        <v>17</v>
      </c>
      <c r="F4713" t="s" s="2">
        <f>HYPERLINK("http://ts.21cn.com/tousu/show/id/1368786","http://ts.21cn.com/tousu/show/id/1368786")</f>
      </c>
      <c r="G4713" t="s" s="2">
        <v>17</v>
      </c>
      <c r="H4713" t="s" s="2">
        <v>19</v>
      </c>
      <c r="I4713" t="s" s="2">
        <v>18314</v>
      </c>
      <c r="J4713" t="s" s="2">
        <v>18315</v>
      </c>
      <c r="K4713" t="s" s="2">
        <v>22</v>
      </c>
      <c r="L4713" t="s" s="2">
        <v>22</v>
      </c>
      <c r="M4713" t="s" s="2">
        <v>22</v>
      </c>
    </row>
    <row r="4714" ht="25.0" customHeight="true">
      <c r="A4714" t="s" s="2">
        <v>13</v>
      </c>
      <c r="B4714" t="s" s="2">
        <f>HYPERLINK("http://ts.21cn.com/tousu/show/id/1368965","今日头条解封账号，归还账户金额")</f>
      </c>
      <c r="C4714" t="s" s="2">
        <v>15</v>
      </c>
      <c r="D4714" t="s" s="2">
        <v>16</v>
      </c>
      <c r="E4714" t="s" s="2">
        <v>17</v>
      </c>
      <c r="F4714" t="s" s="2">
        <f>HYPERLINK("http://ts.21cn.com/tousu/show/id/1368965","http://ts.21cn.com/tousu/show/id/1368965")</f>
      </c>
      <c r="G4714" t="s" s="2">
        <v>17</v>
      </c>
      <c r="H4714" t="s" s="2">
        <v>19</v>
      </c>
      <c r="I4714" t="s" s="2">
        <v>18318</v>
      </c>
      <c r="J4714" t="s" s="2">
        <v>18319</v>
      </c>
      <c r="K4714" t="s" s="2">
        <v>22</v>
      </c>
      <c r="L4714" t="s" s="2">
        <v>22</v>
      </c>
      <c r="M4714" t="s" s="2">
        <v>22</v>
      </c>
    </row>
    <row r="4715" ht="25.0" customHeight="true">
      <c r="A4715" t="s" s="2">
        <v>13</v>
      </c>
      <c r="B4715" t="s" s="2">
        <f>HYPERLINK("http://ts.21cn.com/tousu/show/id/1368964","钱站借款一分没到银行卡")</f>
      </c>
      <c r="C4715" t="s" s="2">
        <v>15</v>
      </c>
      <c r="D4715" t="s" s="2">
        <v>16</v>
      </c>
      <c r="E4715" t="s" s="2">
        <v>17</v>
      </c>
      <c r="F4715" t="s" s="2">
        <f>HYPERLINK("http://ts.21cn.com/tousu/show/id/1368964","http://ts.21cn.com/tousu/show/id/1368964")</f>
      </c>
      <c r="G4715" t="s" s="2">
        <v>17</v>
      </c>
      <c r="H4715" t="s" s="2">
        <v>19</v>
      </c>
      <c r="I4715" t="s" s="2">
        <v>18322</v>
      </c>
      <c r="J4715" t="s" s="2">
        <v>18323</v>
      </c>
      <c r="K4715" t="s" s="2">
        <v>22</v>
      </c>
      <c r="L4715" t="s" s="2">
        <v>22</v>
      </c>
      <c r="M4715" t="s" s="2">
        <v>22</v>
      </c>
    </row>
    <row r="4716" ht="25.0" customHeight="true">
      <c r="A4716" t="s" s="2">
        <v>13</v>
      </c>
      <c r="B4716" t="s" s="2">
        <f>HYPERLINK("http://ts.21cn.com/tousu/show/id/1368963","融360上好易借社保贷，高利贷")</f>
      </c>
      <c r="C4716" t="s" s="2">
        <v>52</v>
      </c>
      <c r="D4716" t="s" s="2">
        <v>16</v>
      </c>
      <c r="E4716" t="s" s="2">
        <v>17</v>
      </c>
      <c r="F4716" t="s" s="2">
        <f>HYPERLINK("http://ts.21cn.com/tousu/show/id/1368963","http://ts.21cn.com/tousu/show/id/1368963")</f>
      </c>
      <c r="G4716" t="s" s="2">
        <v>17</v>
      </c>
      <c r="H4716" t="s" s="2">
        <v>19</v>
      </c>
      <c r="I4716" t="s" s="2">
        <v>18326</v>
      </c>
      <c r="J4716" t="s" s="2">
        <v>18327</v>
      </c>
      <c r="K4716" t="s" s="2">
        <v>22</v>
      </c>
      <c r="L4716" t="s" s="2">
        <v>22</v>
      </c>
      <c r="M4716" t="s" s="2">
        <v>22</v>
      </c>
    </row>
    <row r="4717" ht="25.0" customHeight="true">
      <c r="A4717" t="s" s="2">
        <v>13</v>
      </c>
      <c r="B4717" t="s" s="2">
        <f>HYPERLINK("http://ts.21cn.com/tousu/show/id/1368962","立刻出行499押金不退")</f>
      </c>
      <c r="C4717" t="s" s="2">
        <v>15</v>
      </c>
      <c r="D4717" t="s" s="2">
        <v>16</v>
      </c>
      <c r="E4717" t="s" s="2">
        <v>17</v>
      </c>
      <c r="F4717" t="s" s="2">
        <f>HYPERLINK("http://ts.21cn.com/tousu/show/id/1368962","http://ts.21cn.com/tousu/show/id/1368962")</f>
      </c>
      <c r="G4717" t="s" s="2">
        <v>17</v>
      </c>
      <c r="H4717" t="s" s="2">
        <v>19</v>
      </c>
      <c r="I4717" t="s" s="2">
        <v>18330</v>
      </c>
      <c r="J4717" t="s" s="2">
        <v>18331</v>
      </c>
      <c r="K4717" t="s" s="2">
        <v>22</v>
      </c>
      <c r="L4717" t="s" s="2">
        <v>22</v>
      </c>
      <c r="M4717" t="s" s="2">
        <v>22</v>
      </c>
    </row>
    <row r="4718" ht="25.0" customHeight="true">
      <c r="A4718" t="s" s="2">
        <v>13</v>
      </c>
      <c r="B4718" t="s" s="2">
        <f>HYPERLINK("http://ts.21cn.com/tousu/show/id/1368961","易宝支付盗刷银行卡")</f>
      </c>
      <c r="C4718" t="s" s="2">
        <v>15</v>
      </c>
      <c r="D4718" t="s" s="2">
        <v>16</v>
      </c>
      <c r="E4718" t="s" s="2">
        <v>17</v>
      </c>
      <c r="F4718" t="s" s="2">
        <f>HYPERLINK("http://ts.21cn.com/tousu/show/id/1368961","http://ts.21cn.com/tousu/show/id/1368961")</f>
      </c>
      <c r="G4718" t="s" s="2">
        <v>17</v>
      </c>
      <c r="H4718" t="s" s="2">
        <v>19</v>
      </c>
      <c r="I4718" t="s" s="2">
        <v>18334</v>
      </c>
      <c r="J4718" t="s" s="2">
        <v>18335</v>
      </c>
      <c r="K4718" t="s" s="2">
        <v>22</v>
      </c>
      <c r="L4718" t="s" s="2">
        <v>22</v>
      </c>
      <c r="M4718" t="s" s="2">
        <v>22</v>
      </c>
    </row>
    <row r="4719" ht="25.0" customHeight="true">
      <c r="A4719" t="s" s="2">
        <v>13</v>
      </c>
      <c r="B4719" t="s" s="2">
        <f>HYPERLINK("http://ts.21cn.com/tousu/show/id/1368960","电话骚扰我")</f>
      </c>
      <c r="C4719" t="s" s="2">
        <v>15</v>
      </c>
      <c r="D4719" t="s" s="2">
        <v>16</v>
      </c>
      <c r="E4719" t="s" s="2">
        <v>17</v>
      </c>
      <c r="F4719" t="s" s="2">
        <f>HYPERLINK("http://ts.21cn.com/tousu/show/id/1368960","http://ts.21cn.com/tousu/show/id/1368960")</f>
      </c>
      <c r="G4719" t="s" s="2">
        <v>17</v>
      </c>
      <c r="H4719" t="s" s="2">
        <v>19</v>
      </c>
      <c r="I4719" t="s" s="2">
        <v>18338</v>
      </c>
      <c r="J4719" t="s" s="2">
        <v>18339</v>
      </c>
      <c r="K4719" t="s" s="2">
        <v>22</v>
      </c>
      <c r="L4719" t="s" s="2">
        <v>22</v>
      </c>
      <c r="M4719" t="s" s="2">
        <v>22</v>
      </c>
    </row>
    <row r="4720" ht="25.0" customHeight="true">
      <c r="A4720" t="s" s="2">
        <v>13</v>
      </c>
      <c r="B4720" t="s" s="2">
        <f>HYPERLINK("http://ts.21cn.com/tousu/show/id/1368959","拍拍贷暴力恐吓催收无视监管")</f>
      </c>
      <c r="C4720" t="s" s="2">
        <v>15</v>
      </c>
      <c r="D4720" t="s" s="2">
        <v>16</v>
      </c>
      <c r="E4720" t="s" s="2">
        <v>17</v>
      </c>
      <c r="F4720" t="s" s="2">
        <f>HYPERLINK("http://ts.21cn.com/tousu/show/id/1368959","http://ts.21cn.com/tousu/show/id/1368959")</f>
      </c>
      <c r="G4720" t="s" s="2">
        <v>17</v>
      </c>
      <c r="H4720" t="s" s="2">
        <v>19</v>
      </c>
      <c r="I4720" t="s" s="2">
        <v>18342</v>
      </c>
      <c r="J4720" t="s" s="2">
        <v>18343</v>
      </c>
      <c r="K4720" t="s" s="2">
        <v>22</v>
      </c>
      <c r="L4720" t="s" s="2">
        <v>22</v>
      </c>
      <c r="M4720" t="s" s="2">
        <v>22</v>
      </c>
    </row>
    <row r="4721" ht="25.0" customHeight="true">
      <c r="A4721" t="s" s="2">
        <v>13</v>
      </c>
      <c r="B4721" t="s" s="2">
        <f>HYPERLINK("http://ts.21cn.com/tousu/show/id/1368934","快递显示退回了但还是正常发货，造成淘宝不能正常退款")</f>
      </c>
      <c r="C4721" t="s" s="2">
        <v>15</v>
      </c>
      <c r="D4721" t="s" s="2">
        <v>16</v>
      </c>
      <c r="E4721" t="s" s="2">
        <v>17</v>
      </c>
      <c r="F4721" t="s" s="2">
        <f>HYPERLINK("http://ts.21cn.com/tousu/show/id/1368934","http://ts.21cn.com/tousu/show/id/1368934")</f>
      </c>
      <c r="G4721" t="s" s="2">
        <v>17</v>
      </c>
      <c r="H4721" t="s" s="2">
        <v>19</v>
      </c>
      <c r="I4721" t="s" s="2">
        <v>18346</v>
      </c>
      <c r="J4721" t="s" s="2">
        <v>18347</v>
      </c>
      <c r="K4721" t="s" s="2">
        <v>22</v>
      </c>
      <c r="L4721" t="s" s="2">
        <v>22</v>
      </c>
      <c r="M4721" t="s" s="2">
        <v>22</v>
      </c>
    </row>
    <row r="4722" ht="25.0" customHeight="true">
      <c r="A4722" t="s" s="2">
        <v>13</v>
      </c>
      <c r="B4722" t="s" s="2">
        <f>HYPERLINK("http://ts.21cn.com/tousu/show/id/1368957","虾米在线高利贷，群发短信暴力催收")</f>
      </c>
      <c r="C4722" t="s" s="2">
        <v>15</v>
      </c>
      <c r="D4722" t="s" s="2">
        <v>16</v>
      </c>
      <c r="E4722" t="s" s="2">
        <v>17</v>
      </c>
      <c r="F4722" t="s" s="2">
        <f>HYPERLINK("http://ts.21cn.com/tousu/show/id/1368957","http://ts.21cn.com/tousu/show/id/1368957")</f>
      </c>
      <c r="G4722" t="s" s="2">
        <v>17</v>
      </c>
      <c r="H4722" t="s" s="2">
        <v>19</v>
      </c>
      <c r="I4722" t="s" s="2">
        <v>18350</v>
      </c>
      <c r="J4722" t="s" s="2">
        <v>18351</v>
      </c>
      <c r="K4722" t="s" s="2">
        <v>22</v>
      </c>
      <c r="L4722" t="s" s="2">
        <v>22</v>
      </c>
      <c r="M4722" t="s" s="2">
        <v>22</v>
      </c>
    </row>
    <row r="4723" ht="25.0" customHeight="true">
      <c r="A4723" t="s" s="2">
        <v>13</v>
      </c>
      <c r="B4723" t="s" s="2">
        <f>HYPERLINK("http://ts.21cn.com/tousu/show/id/1368956","立借钱置宝砍头息，高利贷")</f>
      </c>
      <c r="C4723" t="s" s="2">
        <v>15</v>
      </c>
      <c r="D4723" t="s" s="2">
        <v>16</v>
      </c>
      <c r="E4723" t="s" s="2">
        <v>17</v>
      </c>
      <c r="F4723" t="s" s="2">
        <f>HYPERLINK("http://ts.21cn.com/tousu/show/id/1368956","http://ts.21cn.com/tousu/show/id/1368956")</f>
      </c>
      <c r="G4723" t="s" s="2">
        <v>17</v>
      </c>
      <c r="H4723" t="s" s="2">
        <v>19</v>
      </c>
      <c r="I4723" t="s" s="2">
        <v>18354</v>
      </c>
      <c r="J4723" t="s" s="2">
        <v>18355</v>
      </c>
      <c r="K4723" t="s" s="2">
        <v>22</v>
      </c>
      <c r="L4723" t="s" s="2">
        <v>22</v>
      </c>
      <c r="M4723" t="s" s="2">
        <v>22</v>
      </c>
    </row>
    <row r="4724" ht="25.0" customHeight="true">
      <c r="A4724" t="s" s="2">
        <v>13</v>
      </c>
      <c r="B4724" t="s" s="2">
        <f>HYPERLINK("http://ts.21cn.com/tousu/show/id/1368955","众安保险掩护小赢卡贷收取借款人保险")</f>
      </c>
      <c r="C4724" t="s" s="2">
        <v>15</v>
      </c>
      <c r="D4724" t="s" s="2">
        <v>16</v>
      </c>
      <c r="E4724" t="s" s="2">
        <v>17</v>
      </c>
      <c r="F4724" t="s" s="2">
        <f>HYPERLINK("http://ts.21cn.com/tousu/show/id/1368955","http://ts.21cn.com/tousu/show/id/1368955")</f>
      </c>
      <c r="G4724" t="s" s="2">
        <v>17</v>
      </c>
      <c r="H4724" t="s" s="2">
        <v>19</v>
      </c>
      <c r="I4724" t="s" s="2">
        <v>18358</v>
      </c>
      <c r="J4724" t="s" s="2">
        <v>18359</v>
      </c>
      <c r="K4724" t="s" s="2">
        <v>22</v>
      </c>
      <c r="L4724" t="s" s="2">
        <v>22</v>
      </c>
      <c r="M4724" t="s" s="2">
        <v>22</v>
      </c>
    </row>
    <row r="4725" ht="25.0" customHeight="true">
      <c r="A4725" t="s" s="2">
        <v>13</v>
      </c>
      <c r="B4725" t="s" s="2">
        <f>HYPERLINK("http://ts.21cn.com/tousu/show/id/1368954","新橙优品代扣失败导致逾期，并且官方失联")</f>
      </c>
      <c r="C4725" t="s" s="2">
        <v>15</v>
      </c>
      <c r="D4725" t="s" s="2">
        <v>16</v>
      </c>
      <c r="E4725" t="s" s="2">
        <v>17</v>
      </c>
      <c r="F4725" t="s" s="2">
        <f>HYPERLINK("http://ts.21cn.com/tousu/show/id/1368954","http://ts.21cn.com/tousu/show/id/1368954")</f>
      </c>
      <c r="G4725" t="s" s="2">
        <v>17</v>
      </c>
      <c r="H4725" t="s" s="2">
        <v>19</v>
      </c>
      <c r="I4725" t="s" s="2">
        <v>18362</v>
      </c>
      <c r="J4725" t="s" s="2">
        <v>18363</v>
      </c>
      <c r="K4725" t="s" s="2">
        <v>22</v>
      </c>
      <c r="L4725" t="s" s="2">
        <v>22</v>
      </c>
      <c r="M4725" t="s" s="2">
        <v>22</v>
      </c>
    </row>
    <row r="4726" ht="25.0" customHeight="true">
      <c r="A4726" t="s" s="2">
        <v>13</v>
      </c>
      <c r="B4726" t="s" s="2">
        <f>HYPERLINK("http://ts.21cn.com/tousu/show/id/1368953","投诉小赢卡贷注销账户还要提供身份证照片")</f>
      </c>
      <c r="C4726" t="s" s="2">
        <v>15</v>
      </c>
      <c r="D4726" t="s" s="2">
        <v>16</v>
      </c>
      <c r="E4726" t="s" s="2">
        <v>17</v>
      </c>
      <c r="F4726" t="s" s="2">
        <f>HYPERLINK("http://ts.21cn.com/tousu/show/id/1368953","http://ts.21cn.com/tousu/show/id/1368953")</f>
      </c>
      <c r="G4726" t="s" s="2">
        <v>17</v>
      </c>
      <c r="H4726" t="s" s="2">
        <v>19</v>
      </c>
      <c r="I4726" t="s" s="2">
        <v>18366</v>
      </c>
      <c r="J4726" t="s" s="2">
        <v>18367</v>
      </c>
      <c r="K4726" t="s" s="2">
        <v>22</v>
      </c>
      <c r="L4726" t="s" s="2">
        <v>22</v>
      </c>
      <c r="M4726" t="s" s="2">
        <v>22</v>
      </c>
    </row>
    <row r="4727" ht="25.0" customHeight="true">
      <c r="A4727" t="s" s="2">
        <v>13</v>
      </c>
      <c r="B4727" t="s" s="2">
        <f>HYPERLINK("http://ts.21cn.com/tousu/show/id/1368917","天天快递私自点签收，一个电话短信都没有。现在联系不上客服也没有")</f>
      </c>
      <c r="C4727" t="s" s="2">
        <v>15</v>
      </c>
      <c r="D4727" t="s" s="2">
        <v>16</v>
      </c>
      <c r="E4727" t="s" s="2">
        <v>17</v>
      </c>
      <c r="F4727" t="s" s="2">
        <f>HYPERLINK("http://ts.21cn.com/tousu/show/id/1368917","http://ts.21cn.com/tousu/show/id/1368917")</f>
      </c>
      <c r="G4727" t="s" s="2">
        <v>17</v>
      </c>
      <c r="H4727" t="s" s="2">
        <v>19</v>
      </c>
      <c r="I4727" t="s" s="2">
        <v>18370</v>
      </c>
      <c r="J4727" t="s" s="2">
        <v>18371</v>
      </c>
      <c r="K4727" t="s" s="2">
        <v>22</v>
      </c>
      <c r="L4727" t="s" s="2">
        <v>22</v>
      </c>
      <c r="M4727" t="s" s="2">
        <v>22</v>
      </c>
    </row>
    <row r="4728" ht="25.0" customHeight="true">
      <c r="A4728" t="s" s="2">
        <v>13</v>
      </c>
      <c r="B4728" t="s" s="2">
        <f>HYPERLINK("http://ts.21cn.com/tousu/show/id/1368952","携程恶意催收")</f>
      </c>
      <c r="C4728" t="s" s="2">
        <v>15</v>
      </c>
      <c r="D4728" t="s" s="2">
        <v>16</v>
      </c>
      <c r="E4728" t="s" s="2">
        <v>17</v>
      </c>
      <c r="F4728" t="s" s="2">
        <f>HYPERLINK("http://ts.21cn.com/tousu/show/id/1368952","http://ts.21cn.com/tousu/show/id/1368952")</f>
      </c>
      <c r="G4728" t="s" s="2">
        <v>17</v>
      </c>
      <c r="H4728" t="s" s="2">
        <v>19</v>
      </c>
      <c r="I4728" t="s" s="2">
        <v>18374</v>
      </c>
      <c r="J4728" t="s" s="2">
        <v>18375</v>
      </c>
      <c r="K4728" t="s" s="2">
        <v>22</v>
      </c>
      <c r="L4728" t="s" s="2">
        <v>22</v>
      </c>
      <c r="M4728" t="s" s="2">
        <v>22</v>
      </c>
    </row>
    <row r="4729" ht="25.0" customHeight="true">
      <c r="A4729" t="s" s="2">
        <v>13</v>
      </c>
      <c r="B4729" t="s" s="2">
        <f>HYPERLINK("http://ts.21cn.com/tousu/show/id/1368951","平安银行信用卡恶意催收")</f>
      </c>
      <c r="C4729" t="s" s="2">
        <v>15</v>
      </c>
      <c r="D4729" t="s" s="2">
        <v>16</v>
      </c>
      <c r="E4729" t="s" s="2">
        <v>17</v>
      </c>
      <c r="F4729" t="s" s="2">
        <f>HYPERLINK("http://ts.21cn.com/tousu/show/id/1368951","http://ts.21cn.com/tousu/show/id/1368951")</f>
      </c>
      <c r="G4729" t="s" s="2">
        <v>17</v>
      </c>
      <c r="H4729" t="s" s="2">
        <v>19</v>
      </c>
      <c r="I4729" t="s" s="2">
        <v>18378</v>
      </c>
      <c r="J4729" t="s" s="2">
        <v>18379</v>
      </c>
      <c r="K4729" t="s" s="2">
        <v>22</v>
      </c>
      <c r="L4729" t="s" s="2">
        <v>22</v>
      </c>
      <c r="M4729" t="s" s="2">
        <v>22</v>
      </c>
    </row>
    <row r="4730" ht="25.0" customHeight="true">
      <c r="A4730" t="s" s="2">
        <v>13</v>
      </c>
      <c r="B4730" t="s" s="2">
        <f>HYPERLINK("http://ts.21cn.com/tousu/show/id/1368950","拼多多擅自赔偿运费给恶意顾客，连续申述多次无用！")</f>
      </c>
      <c r="C4730" t="s" s="2">
        <v>52</v>
      </c>
      <c r="D4730" t="s" s="2">
        <v>16</v>
      </c>
      <c r="E4730" t="s" s="2">
        <v>17</v>
      </c>
      <c r="F4730" t="s" s="2">
        <f>HYPERLINK("http://ts.21cn.com/tousu/show/id/1368950","http://ts.21cn.com/tousu/show/id/1368950")</f>
      </c>
      <c r="G4730" t="s" s="2">
        <v>17</v>
      </c>
      <c r="H4730" t="s" s="2">
        <v>19</v>
      </c>
      <c r="I4730" t="s" s="2">
        <v>18382</v>
      </c>
      <c r="J4730" t="s" s="2">
        <v>18383</v>
      </c>
      <c r="K4730" t="s" s="2">
        <v>22</v>
      </c>
      <c r="L4730" t="s" s="2">
        <v>22</v>
      </c>
      <c r="M4730" t="s" s="2">
        <v>22</v>
      </c>
    </row>
    <row r="4731" ht="25.0" customHeight="true">
      <c r="A4731" t="s" s="2">
        <v>13</v>
      </c>
      <c r="B4731" t="s" s="2">
        <f>HYPERLINK("http://ts.21cn.com/tousu/show/id/1368948","信用飞")</f>
      </c>
      <c r="C4731" t="s" s="2">
        <v>15</v>
      </c>
      <c r="D4731" t="s" s="2">
        <v>16</v>
      </c>
      <c r="E4731" t="s" s="2">
        <v>17</v>
      </c>
      <c r="F4731" t="s" s="2">
        <f>HYPERLINK("http://ts.21cn.com/tousu/show/id/1368948","http://ts.21cn.com/tousu/show/id/1368948")</f>
      </c>
      <c r="G4731" t="s" s="2">
        <v>17</v>
      </c>
      <c r="H4731" t="s" s="2">
        <v>19</v>
      </c>
      <c r="I4731" t="s" s="2">
        <v>18385</v>
      </c>
      <c r="J4731" t="s" s="2">
        <v>18386</v>
      </c>
      <c r="K4731" t="s" s="2">
        <v>22</v>
      </c>
      <c r="L4731" t="s" s="2">
        <v>22</v>
      </c>
      <c r="M4731" t="s" s="2">
        <v>22</v>
      </c>
    </row>
    <row r="4732" ht="25.0" customHeight="true">
      <c r="A4732" t="s" s="2">
        <v>13</v>
      </c>
      <c r="B4732" t="s" s="2">
        <f>HYPERLINK("http://ts.21cn.com/tousu/show/id/1368949","人人花乱扣费")</f>
      </c>
      <c r="C4732" t="s" s="2">
        <v>15</v>
      </c>
      <c r="D4732" t="s" s="2">
        <v>16</v>
      </c>
      <c r="E4732" t="s" s="2">
        <v>17</v>
      </c>
      <c r="F4732" t="s" s="2">
        <f>HYPERLINK("http://ts.21cn.com/tousu/show/id/1368949","http://ts.21cn.com/tousu/show/id/1368949")</f>
      </c>
      <c r="G4732" t="s" s="2">
        <v>17</v>
      </c>
      <c r="H4732" t="s" s="2">
        <v>19</v>
      </c>
      <c r="I4732" t="s" s="2">
        <v>18388</v>
      </c>
      <c r="J4732" t="s" s="2">
        <v>18389</v>
      </c>
      <c r="K4732" t="s" s="2">
        <v>22</v>
      </c>
      <c r="L4732" t="s" s="2">
        <v>22</v>
      </c>
      <c r="M4732" t="s" s="2">
        <v>22</v>
      </c>
    </row>
    <row r="4733" ht="25.0" customHeight="true">
      <c r="A4733" t="s" s="2">
        <v>13</v>
      </c>
      <c r="B4733" t="s" s="2">
        <f>HYPERLINK("http://ts.21cn.com/tousu/show/id/1368947","收取高额服务费担保费,提前还款一样收取.")</f>
      </c>
      <c r="C4733" t="s" s="2">
        <v>52</v>
      </c>
      <c r="D4733" t="s" s="2">
        <v>16</v>
      </c>
      <c r="E4733" t="s" s="2">
        <v>17</v>
      </c>
      <c r="F4733" t="s" s="2">
        <f>HYPERLINK("http://ts.21cn.com/tousu/show/id/1368947","http://ts.21cn.com/tousu/show/id/1368947")</f>
      </c>
      <c r="G4733" t="s" s="2">
        <v>17</v>
      </c>
      <c r="H4733" t="s" s="2">
        <v>19</v>
      </c>
      <c r="I4733" t="s" s="2">
        <v>18392</v>
      </c>
      <c r="J4733" t="s" s="2">
        <v>18393</v>
      </c>
      <c r="K4733" t="s" s="2">
        <v>22</v>
      </c>
      <c r="L4733" t="s" s="2">
        <v>22</v>
      </c>
      <c r="M4733" t="s" s="2">
        <v>22</v>
      </c>
    </row>
    <row r="4734" ht="25.0" customHeight="true">
      <c r="A4734" t="s" s="2">
        <v>13</v>
      </c>
      <c r="B4734" t="s" s="2">
        <f>HYPERLINK("http://ts.21cn.com/tousu/show/id/1368946","借贷公司诱贷")</f>
      </c>
      <c r="C4734" t="s" s="2">
        <v>15</v>
      </c>
      <c r="D4734" t="s" s="2">
        <v>16</v>
      </c>
      <c r="E4734" t="s" s="2">
        <v>17</v>
      </c>
      <c r="F4734" t="s" s="2">
        <f>HYPERLINK("http://ts.21cn.com/tousu/show/id/1368946","http://ts.21cn.com/tousu/show/id/1368946")</f>
      </c>
      <c r="G4734" t="s" s="2">
        <v>17</v>
      </c>
      <c r="H4734" t="s" s="2">
        <v>19</v>
      </c>
      <c r="I4734" t="s" s="2">
        <v>18396</v>
      </c>
      <c r="J4734" t="s" s="2">
        <v>18397</v>
      </c>
      <c r="K4734" t="s" s="2">
        <v>22</v>
      </c>
      <c r="L4734" t="s" s="2">
        <v>22</v>
      </c>
      <c r="M4734" t="s" s="2">
        <v>22</v>
      </c>
    </row>
    <row r="4735" ht="25.0" customHeight="true">
      <c r="A4735" t="s" s="2">
        <v>13</v>
      </c>
      <c r="B4735" t="s" s="2">
        <f>HYPERLINK("http://ts.21cn.com/tousu/show/id/1368944","上海瀚银为境外非法赌博网站提供支付")</f>
      </c>
      <c r="C4735" t="s" s="2">
        <v>15</v>
      </c>
      <c r="D4735" t="s" s="2">
        <v>16</v>
      </c>
      <c r="E4735" t="s" s="2">
        <v>17</v>
      </c>
      <c r="F4735" t="s" s="2">
        <f>HYPERLINK("http://ts.21cn.com/tousu/show/id/1368944","http://ts.21cn.com/tousu/show/id/1368944")</f>
      </c>
      <c r="G4735" t="s" s="2">
        <v>17</v>
      </c>
      <c r="H4735" t="s" s="2">
        <v>19</v>
      </c>
      <c r="I4735" t="s" s="2">
        <v>18400</v>
      </c>
      <c r="J4735" t="s" s="2">
        <v>6077</v>
      </c>
      <c r="K4735" t="s" s="2">
        <v>22</v>
      </c>
      <c r="L4735" t="s" s="2">
        <v>22</v>
      </c>
      <c r="M4735" t="s" s="2">
        <v>22</v>
      </c>
    </row>
    <row r="4736" ht="25.0" customHeight="true">
      <c r="A4736" t="s" s="2">
        <v>13</v>
      </c>
      <c r="B4736" t="s" s="2">
        <f>HYPERLINK("http://ts.21cn.com/tousu/show/id/1368943","支付宝蚂蚁借呗催收问题")</f>
      </c>
      <c r="C4736" t="s" s="2">
        <v>15</v>
      </c>
      <c r="D4736" t="s" s="2">
        <v>16</v>
      </c>
      <c r="E4736" t="s" s="2">
        <v>17</v>
      </c>
      <c r="F4736" t="s" s="2">
        <f>HYPERLINK("http://ts.21cn.com/tousu/show/id/1368943","http://ts.21cn.com/tousu/show/id/1368943")</f>
      </c>
      <c r="G4736" t="s" s="2">
        <v>17</v>
      </c>
      <c r="H4736" t="s" s="2">
        <v>19</v>
      </c>
      <c r="I4736" t="s" s="2">
        <v>18403</v>
      </c>
      <c r="J4736" t="s" s="2">
        <v>18404</v>
      </c>
      <c r="K4736" t="s" s="2">
        <v>22</v>
      </c>
      <c r="L4736" t="s" s="2">
        <v>22</v>
      </c>
      <c r="M4736" t="s" s="2">
        <v>22</v>
      </c>
    </row>
    <row r="4737" ht="25.0" customHeight="true">
      <c r="A4737" t="s" s="2">
        <v>13</v>
      </c>
      <c r="B4737" t="s" s="2">
        <f>HYPERLINK("http://ts.21cn.com/tousu/show/id/1368942","马上消费金融的宗旨就是要收取我们客服的费用")</f>
      </c>
      <c r="C4737" t="s" s="2">
        <v>15</v>
      </c>
      <c r="D4737" t="s" s="2">
        <v>16</v>
      </c>
      <c r="E4737" t="s" s="2">
        <v>17</v>
      </c>
      <c r="F4737" t="s" s="2">
        <f>HYPERLINK("http://ts.21cn.com/tousu/show/id/1368942","http://ts.21cn.com/tousu/show/id/1368942")</f>
      </c>
      <c r="G4737" t="s" s="2">
        <v>17</v>
      </c>
      <c r="H4737" t="s" s="2">
        <v>19</v>
      </c>
      <c r="I4737" t="s" s="2">
        <v>18407</v>
      </c>
      <c r="J4737" t="s" s="2">
        <v>18408</v>
      </c>
      <c r="K4737" t="s" s="2">
        <v>22</v>
      </c>
      <c r="L4737" t="s" s="2">
        <v>22</v>
      </c>
      <c r="M4737" t="s" s="2">
        <v>22</v>
      </c>
    </row>
    <row r="4738" ht="25.0" customHeight="true">
      <c r="A4738" t="s" s="2">
        <v>13</v>
      </c>
      <c r="B4738" t="s" s="2">
        <f>HYPERLINK("http://ts.21cn.com/tousu/show/id/1368941","手续费、轰炸通讯录、冒充公检法")</f>
      </c>
      <c r="C4738" t="s" s="2">
        <v>15</v>
      </c>
      <c r="D4738" t="s" s="2">
        <v>16</v>
      </c>
      <c r="E4738" t="s" s="2">
        <v>17</v>
      </c>
      <c r="F4738" t="s" s="2">
        <f>HYPERLINK("http://ts.21cn.com/tousu/show/id/1368941","http://ts.21cn.com/tousu/show/id/1368941")</f>
      </c>
      <c r="G4738" t="s" s="2">
        <v>17</v>
      </c>
      <c r="H4738" t="s" s="2">
        <v>19</v>
      </c>
      <c r="I4738" t="s" s="2">
        <v>18411</v>
      </c>
      <c r="J4738" t="s" s="2">
        <v>18412</v>
      </c>
      <c r="K4738" t="s" s="2">
        <v>22</v>
      </c>
      <c r="L4738" t="s" s="2">
        <v>22</v>
      </c>
      <c r="M4738" t="s" s="2">
        <v>22</v>
      </c>
    </row>
    <row r="4739" ht="25.0" customHeight="true">
      <c r="A4739" t="s" s="2">
        <v>13</v>
      </c>
      <c r="B4739" t="s" s="2">
        <f>HYPERLINK("http://ts.21cn.com/tousu/show/id/1368939","时光分期高利贷")</f>
      </c>
      <c r="C4739" t="s" s="2">
        <v>15</v>
      </c>
      <c r="D4739" t="s" s="2">
        <v>16</v>
      </c>
      <c r="E4739" t="s" s="2">
        <v>17</v>
      </c>
      <c r="F4739" t="s" s="2">
        <f>HYPERLINK("http://ts.21cn.com/tousu/show/id/1368939","http://ts.21cn.com/tousu/show/id/1368939")</f>
      </c>
      <c r="G4739" t="s" s="2">
        <v>17</v>
      </c>
      <c r="H4739" t="s" s="2">
        <v>19</v>
      </c>
      <c r="I4739" t="s" s="2">
        <v>18414</v>
      </c>
      <c r="J4739" t="s" s="2">
        <v>18415</v>
      </c>
      <c r="K4739" t="s" s="2">
        <v>22</v>
      </c>
      <c r="L4739" t="s" s="2">
        <v>22</v>
      </c>
      <c r="M4739" t="s" s="2">
        <v>22</v>
      </c>
    </row>
    <row r="4740" ht="25.0" customHeight="true">
      <c r="A4740" t="s" s="2">
        <v>13</v>
      </c>
      <c r="B4740" t="s" s="2">
        <f>HYPERLINK("http://ts.21cn.com/tousu/show/id/1368938","投诉捷信公司")</f>
      </c>
      <c r="C4740" t="s" s="2">
        <v>15</v>
      </c>
      <c r="D4740" t="s" s="2">
        <v>16</v>
      </c>
      <c r="E4740" t="s" s="2">
        <v>17</v>
      </c>
      <c r="F4740" t="s" s="2">
        <f>HYPERLINK("http://ts.21cn.com/tousu/show/id/1368938","http://ts.21cn.com/tousu/show/id/1368938")</f>
      </c>
      <c r="G4740" t="s" s="2">
        <v>17</v>
      </c>
      <c r="H4740" t="s" s="2">
        <v>19</v>
      </c>
      <c r="I4740" t="s" s="2">
        <v>18418</v>
      </c>
      <c r="J4740" t="s" s="2">
        <v>18419</v>
      </c>
      <c r="K4740" t="s" s="2">
        <v>22</v>
      </c>
      <c r="L4740" t="s" s="2">
        <v>22</v>
      </c>
      <c r="M4740" t="s" s="2">
        <v>22</v>
      </c>
    </row>
    <row r="4741" ht="25.0" customHeight="true">
      <c r="A4741" t="s" s="2">
        <v>13</v>
      </c>
      <c r="B4741" t="s" s="2">
        <f>HYPERLINK("http://ts.21cn.com/tousu/show/id/1368940","高利贷")</f>
      </c>
      <c r="C4741" t="s" s="2">
        <v>15</v>
      </c>
      <c r="D4741" t="s" s="2">
        <v>16</v>
      </c>
      <c r="E4741" t="s" s="2">
        <v>17</v>
      </c>
      <c r="F4741" t="s" s="2">
        <f>HYPERLINK("http://ts.21cn.com/tousu/show/id/1368940","http://ts.21cn.com/tousu/show/id/1368940")</f>
      </c>
      <c r="G4741" t="s" s="2">
        <v>17</v>
      </c>
      <c r="H4741" t="s" s="2">
        <v>19</v>
      </c>
      <c r="I4741" t="s" s="2">
        <v>18421</v>
      </c>
      <c r="J4741" t="s" s="2">
        <v>18422</v>
      </c>
      <c r="K4741" t="s" s="2">
        <v>22</v>
      </c>
      <c r="L4741" t="s" s="2">
        <v>22</v>
      </c>
      <c r="M4741" t="s" s="2">
        <v>22</v>
      </c>
    </row>
    <row r="4742" ht="25.0" customHeight="true">
      <c r="A4742" t="s" s="2">
        <v>13</v>
      </c>
      <c r="B4742" t="s" s="2">
        <f>HYPERLINK("http://ts.21cn.com/tousu/show/id/1368937","中汇支付不到账")</f>
      </c>
      <c r="C4742" t="s" s="2">
        <v>15</v>
      </c>
      <c r="D4742" t="s" s="2">
        <v>16</v>
      </c>
      <c r="E4742" t="s" s="2">
        <v>17</v>
      </c>
      <c r="F4742" t="s" s="2">
        <f>HYPERLINK("http://ts.21cn.com/tousu/show/id/1368937","http://ts.21cn.com/tousu/show/id/1368937")</f>
      </c>
      <c r="G4742" t="s" s="2">
        <v>17</v>
      </c>
      <c r="H4742" t="s" s="2">
        <v>19</v>
      </c>
      <c r="I4742" t="s" s="2">
        <v>18425</v>
      </c>
      <c r="J4742" t="s" s="2">
        <v>18426</v>
      </c>
      <c r="K4742" t="s" s="2">
        <v>22</v>
      </c>
      <c r="L4742" t="s" s="2">
        <v>22</v>
      </c>
      <c r="M4742" t="s" s="2">
        <v>22</v>
      </c>
    </row>
    <row r="4743" ht="25.0" customHeight="true">
      <c r="A4743" t="s" s="2">
        <v>13</v>
      </c>
      <c r="B4743" t="s" s="2">
        <f>HYPERLINK("http://ts.21cn.com/tousu/show/id/1368936","钱站贷款APP砍头利息")</f>
      </c>
      <c r="C4743" t="s" s="2">
        <v>52</v>
      </c>
      <c r="D4743" t="s" s="2">
        <v>16</v>
      </c>
      <c r="E4743" t="s" s="2">
        <v>17</v>
      </c>
      <c r="F4743" t="s" s="2">
        <f>HYPERLINK("http://ts.21cn.com/tousu/show/id/1368936","http://ts.21cn.com/tousu/show/id/1368936")</f>
      </c>
      <c r="G4743" t="s" s="2">
        <v>17</v>
      </c>
      <c r="H4743" t="s" s="2">
        <v>19</v>
      </c>
      <c r="I4743" t="s" s="2">
        <v>18429</v>
      </c>
      <c r="J4743" t="s" s="2">
        <v>18430</v>
      </c>
      <c r="K4743" t="s" s="2">
        <v>22</v>
      </c>
      <c r="L4743" t="s" s="2">
        <v>22</v>
      </c>
      <c r="M4743" t="s" s="2">
        <v>22</v>
      </c>
    </row>
    <row r="4744" ht="25.0" customHeight="true">
      <c r="A4744" t="s" s="2">
        <v>13</v>
      </c>
      <c r="B4744" t="s" s="2">
        <f>HYPERLINK("http://ts.21cn.com/tousu/show/id/1368902","星农联合涉嫌卖重复礼券卡")</f>
      </c>
      <c r="C4744" t="s" s="2">
        <v>15</v>
      </c>
      <c r="D4744" t="s" s="2">
        <v>16</v>
      </c>
      <c r="E4744" t="s" s="2">
        <v>17</v>
      </c>
      <c r="F4744" t="s" s="2">
        <f>HYPERLINK("http://ts.21cn.com/tousu/show/id/1368902","http://ts.21cn.com/tousu/show/id/1368902")</f>
      </c>
      <c r="G4744" t="s" s="2">
        <v>17</v>
      </c>
      <c r="H4744" t="s" s="2">
        <v>19</v>
      </c>
      <c r="I4744" t="s" s="2">
        <v>18433</v>
      </c>
      <c r="J4744" t="s" s="2">
        <v>18434</v>
      </c>
      <c r="K4744" t="s" s="2">
        <v>22</v>
      </c>
      <c r="L4744" t="s" s="2">
        <v>22</v>
      </c>
      <c r="M4744" t="s" s="2">
        <v>22</v>
      </c>
    </row>
    <row r="4745" ht="25.0" customHeight="true">
      <c r="A4745" t="s" s="2">
        <v>13</v>
      </c>
      <c r="B4745" t="s" s="2">
        <f>HYPERLINK("http://ts.21cn.com/tousu/show/id/1368935","通用金融骚扰不停歇")</f>
      </c>
      <c r="C4745" t="s" s="2">
        <v>15</v>
      </c>
      <c r="D4745" t="s" s="2">
        <v>16</v>
      </c>
      <c r="E4745" t="s" s="2">
        <v>17</v>
      </c>
      <c r="F4745" t="s" s="2">
        <f>HYPERLINK("http://ts.21cn.com/tousu/show/id/1368935","http://ts.21cn.com/tousu/show/id/1368935")</f>
      </c>
      <c r="G4745" t="s" s="2">
        <v>17</v>
      </c>
      <c r="H4745" t="s" s="2">
        <v>19</v>
      </c>
      <c r="I4745" t="s" s="2">
        <v>18437</v>
      </c>
      <c r="J4745" t="s" s="2">
        <v>18438</v>
      </c>
      <c r="K4745" t="s" s="2">
        <v>22</v>
      </c>
      <c r="L4745" t="s" s="2">
        <v>22</v>
      </c>
      <c r="M4745" t="s" s="2">
        <v>22</v>
      </c>
    </row>
    <row r="4746" ht="25.0" customHeight="true">
      <c r="A4746" t="s" s="2">
        <v>13</v>
      </c>
      <c r="B4746" t="s" s="2">
        <f>HYPERLINK("http://ts.21cn.com/tousu/show/id/1368933","平安普惠骚扰暴力催收恐吓")</f>
      </c>
      <c r="C4746" t="s" s="2">
        <v>15</v>
      </c>
      <c r="D4746" t="s" s="2">
        <v>16</v>
      </c>
      <c r="E4746" t="s" s="2">
        <v>17</v>
      </c>
      <c r="F4746" t="s" s="2">
        <f>HYPERLINK("http://ts.21cn.com/tousu/show/id/1368933","http://ts.21cn.com/tousu/show/id/1368933")</f>
      </c>
      <c r="G4746" t="s" s="2">
        <v>17</v>
      </c>
      <c r="H4746" t="s" s="2">
        <v>19</v>
      </c>
      <c r="I4746" t="s" s="2">
        <v>18441</v>
      </c>
      <c r="J4746" t="s" s="2">
        <v>18442</v>
      </c>
      <c r="K4746" t="s" s="2">
        <v>22</v>
      </c>
      <c r="L4746" t="s" s="2">
        <v>22</v>
      </c>
      <c r="M4746" t="s" s="2">
        <v>22</v>
      </c>
    </row>
    <row r="4747" ht="25.0" customHeight="true">
      <c r="A4747" t="s" s="2">
        <v>13</v>
      </c>
      <c r="B4747" t="s" s="2">
        <f>HYPERLINK("http://ts.21cn.com/tousu/show/id/1368899","骚扰")</f>
      </c>
      <c r="C4747" t="s" s="2">
        <v>15</v>
      </c>
      <c r="D4747" t="s" s="2">
        <v>16</v>
      </c>
      <c r="E4747" t="s" s="2">
        <v>17</v>
      </c>
      <c r="F4747" t="s" s="2">
        <f>HYPERLINK("http://ts.21cn.com/tousu/show/id/1368899","http://ts.21cn.com/tousu/show/id/1368899")</f>
      </c>
      <c r="G4747" t="s" s="2">
        <v>17</v>
      </c>
      <c r="H4747" t="s" s="2">
        <v>19</v>
      </c>
      <c r="I4747" t="s" s="2">
        <v>18444</v>
      </c>
      <c r="J4747" t="s" s="2">
        <v>18445</v>
      </c>
      <c r="K4747" t="s" s="2">
        <v>22</v>
      </c>
      <c r="L4747" t="s" s="2">
        <v>22</v>
      </c>
      <c r="M4747" t="s" s="2">
        <v>22</v>
      </c>
    </row>
    <row r="4748" ht="25.0" customHeight="true">
      <c r="A4748" t="s" s="2">
        <v>13</v>
      </c>
      <c r="B4748" t="s" s="2">
        <f>HYPERLINK("http://ts.21cn.com/tousu/show/id/1368910","广州合利宝请退还违法砍头息")</f>
      </c>
      <c r="C4748" t="s" s="2">
        <v>15</v>
      </c>
      <c r="D4748" t="s" s="2">
        <v>16</v>
      </c>
      <c r="E4748" t="s" s="2">
        <v>17</v>
      </c>
      <c r="F4748" t="s" s="2">
        <f>HYPERLINK("http://ts.21cn.com/tousu/show/id/1368910","http://ts.21cn.com/tousu/show/id/1368910")</f>
      </c>
      <c r="G4748" t="s" s="2">
        <v>17</v>
      </c>
      <c r="H4748" t="s" s="2">
        <v>19</v>
      </c>
      <c r="I4748" t="s" s="2">
        <v>18448</v>
      </c>
      <c r="J4748" t="s" s="2">
        <v>18449</v>
      </c>
      <c r="K4748" t="s" s="2">
        <v>22</v>
      </c>
      <c r="L4748" t="s" s="2">
        <v>22</v>
      </c>
      <c r="M4748" t="s" s="2">
        <v>22</v>
      </c>
    </row>
    <row r="4749" ht="25.0" customHeight="true">
      <c r="A4749" t="s" s="2">
        <v>13</v>
      </c>
      <c r="B4749" t="s" s="2">
        <f>HYPERLINK("http://ts.21cn.com/tousu/show/id/1368932","借贷宝包庇高利贷还要暴力催收")</f>
      </c>
      <c r="C4749" t="s" s="2">
        <v>15</v>
      </c>
      <c r="D4749" t="s" s="2">
        <v>16</v>
      </c>
      <c r="E4749" t="s" s="2">
        <v>17</v>
      </c>
      <c r="F4749" t="s" s="2">
        <f>HYPERLINK("http://ts.21cn.com/tousu/show/id/1368932","http://ts.21cn.com/tousu/show/id/1368932")</f>
      </c>
      <c r="G4749" t="s" s="2">
        <v>17</v>
      </c>
      <c r="H4749" t="s" s="2">
        <v>19</v>
      </c>
      <c r="I4749" t="s" s="2">
        <v>18452</v>
      </c>
      <c r="J4749" t="s" s="2">
        <v>18453</v>
      </c>
      <c r="K4749" t="s" s="2">
        <v>22</v>
      </c>
      <c r="L4749" t="s" s="2">
        <v>22</v>
      </c>
      <c r="M4749" t="s" s="2">
        <v>22</v>
      </c>
    </row>
    <row r="4750" ht="25.0" customHeight="true">
      <c r="A4750" t="s" s="2">
        <v>13</v>
      </c>
      <c r="B4750" t="s" s="2">
        <f>HYPERLINK("http://ts.21cn.com/tousu/show/id/1368931","骚扰、侮辱借款人，")</f>
      </c>
      <c r="C4750" t="s" s="2">
        <v>15</v>
      </c>
      <c r="D4750" t="s" s="2">
        <v>16</v>
      </c>
      <c r="E4750" t="s" s="2">
        <v>17</v>
      </c>
      <c r="F4750" t="s" s="2">
        <f>HYPERLINK("http://ts.21cn.com/tousu/show/id/1368931","http://ts.21cn.com/tousu/show/id/1368931")</f>
      </c>
      <c r="G4750" t="s" s="2">
        <v>17</v>
      </c>
      <c r="H4750" t="s" s="2">
        <v>19</v>
      </c>
      <c r="I4750" t="s" s="2">
        <v>18456</v>
      </c>
      <c r="J4750" t="s" s="2">
        <v>18457</v>
      </c>
      <c r="K4750" t="s" s="2">
        <v>22</v>
      </c>
      <c r="L4750" t="s" s="2">
        <v>22</v>
      </c>
      <c r="M4750" t="s" s="2">
        <v>22</v>
      </c>
    </row>
    <row r="4751" ht="25.0" customHeight="true">
      <c r="A4751" t="s" s="2">
        <v>13</v>
      </c>
      <c r="B4751" t="s" s="2">
        <f>HYPERLINK("http://ts.21cn.com/tousu/show/id/1368929","自在寓多扣房租押金水费多收")</f>
      </c>
      <c r="C4751" t="s" s="2">
        <v>15</v>
      </c>
      <c r="D4751" t="s" s="2">
        <v>16</v>
      </c>
      <c r="E4751" t="s" s="2">
        <v>17</v>
      </c>
      <c r="F4751" t="s" s="2">
        <f>HYPERLINK("http://ts.21cn.com/tousu/show/id/1368929","http://ts.21cn.com/tousu/show/id/1368929")</f>
      </c>
      <c r="G4751" t="s" s="2">
        <v>17</v>
      </c>
      <c r="H4751" t="s" s="2">
        <v>19</v>
      </c>
      <c r="I4751" t="s" s="2">
        <v>18460</v>
      </c>
      <c r="J4751" t="s" s="2">
        <v>18461</v>
      </c>
      <c r="K4751" t="s" s="2">
        <v>22</v>
      </c>
      <c r="L4751" t="s" s="2">
        <v>22</v>
      </c>
      <c r="M4751" t="s" s="2">
        <v>22</v>
      </c>
    </row>
    <row r="4752" ht="25.0" customHeight="true">
      <c r="A4752" t="s" s="2">
        <v>13</v>
      </c>
      <c r="B4752" t="s" s="2">
        <f>HYPERLINK("http://ts.21cn.com/tousu/show/id/1368927","打电话到公司公开我的隐私，害我在公司做不了")</f>
      </c>
      <c r="C4752" t="s" s="2">
        <v>15</v>
      </c>
      <c r="D4752" t="s" s="2">
        <v>16</v>
      </c>
      <c r="E4752" t="s" s="2">
        <v>17</v>
      </c>
      <c r="F4752" t="s" s="2">
        <f>HYPERLINK("http://ts.21cn.com/tousu/show/id/1368927","http://ts.21cn.com/tousu/show/id/1368927")</f>
      </c>
      <c r="G4752" t="s" s="2">
        <v>17</v>
      </c>
      <c r="H4752" t="s" s="2">
        <v>19</v>
      </c>
      <c r="I4752" t="s" s="2">
        <v>18464</v>
      </c>
      <c r="J4752" t="s" s="2">
        <v>18465</v>
      </c>
      <c r="K4752" t="s" s="2">
        <v>22</v>
      </c>
      <c r="L4752" t="s" s="2">
        <v>22</v>
      </c>
      <c r="M4752" t="s" s="2">
        <v>22</v>
      </c>
    </row>
    <row r="4753" ht="25.0" customHeight="true">
      <c r="A4753" t="s" s="2">
        <v>13</v>
      </c>
      <c r="B4753" t="s" s="2">
        <f>HYPERLINK("http://ts.21cn.com/tousu/show/id/1368926","欺诈消费者")</f>
      </c>
      <c r="C4753" t="s" s="2">
        <v>15</v>
      </c>
      <c r="D4753" t="s" s="2">
        <v>16</v>
      </c>
      <c r="E4753" t="s" s="2">
        <v>17</v>
      </c>
      <c r="F4753" t="s" s="2">
        <f>HYPERLINK("http://ts.21cn.com/tousu/show/id/1368926","http://ts.21cn.com/tousu/show/id/1368926")</f>
      </c>
      <c r="G4753" t="s" s="2">
        <v>17</v>
      </c>
      <c r="H4753" t="s" s="2">
        <v>19</v>
      </c>
      <c r="I4753" t="s" s="2">
        <v>18468</v>
      </c>
      <c r="J4753" t="s" s="2">
        <v>18469</v>
      </c>
      <c r="K4753" t="s" s="2">
        <v>22</v>
      </c>
      <c r="L4753" t="s" s="2">
        <v>22</v>
      </c>
      <c r="M4753" t="s" s="2">
        <v>22</v>
      </c>
    </row>
    <row r="4754" ht="25.0" customHeight="true">
      <c r="A4754" t="s" s="2">
        <v>13</v>
      </c>
      <c r="B4754" t="s" s="2">
        <f>HYPERLINK("http://ts.21cn.com/tousu/show/id/1368925","尚德学历报考退费")</f>
      </c>
      <c r="C4754" t="s" s="2">
        <v>15</v>
      </c>
      <c r="D4754" t="s" s="2">
        <v>16</v>
      </c>
      <c r="E4754" t="s" s="2">
        <v>17</v>
      </c>
      <c r="F4754" t="s" s="2">
        <f>HYPERLINK("http://ts.21cn.com/tousu/show/id/1368925","http://ts.21cn.com/tousu/show/id/1368925")</f>
      </c>
      <c r="G4754" t="s" s="2">
        <v>17</v>
      </c>
      <c r="H4754" t="s" s="2">
        <v>19</v>
      </c>
      <c r="I4754" t="s" s="2">
        <v>18472</v>
      </c>
      <c r="J4754" t="s" s="2">
        <v>18473</v>
      </c>
      <c r="K4754" t="s" s="2">
        <v>22</v>
      </c>
      <c r="L4754" t="s" s="2">
        <v>22</v>
      </c>
      <c r="M4754" t="s" s="2">
        <v>22</v>
      </c>
    </row>
    <row r="4755" ht="25.0" customHeight="true">
      <c r="A4755" t="s" s="2">
        <v>13</v>
      </c>
      <c r="B4755" t="s" s="2">
        <f>HYPERLINK("http://ts.21cn.com/tousu/show/id/1368928","变相收取砍头息洗，要求退款")</f>
      </c>
      <c r="C4755" t="s" s="2">
        <v>15</v>
      </c>
      <c r="D4755" t="s" s="2">
        <v>16</v>
      </c>
      <c r="E4755" t="s" s="2">
        <v>17</v>
      </c>
      <c r="F4755" t="s" s="2">
        <f>HYPERLINK("http://ts.21cn.com/tousu/show/id/1368928","http://ts.21cn.com/tousu/show/id/1368928")</f>
      </c>
      <c r="G4755" t="s" s="2">
        <v>17</v>
      </c>
      <c r="H4755" t="s" s="2">
        <v>19</v>
      </c>
      <c r="I4755" t="s" s="2">
        <v>18476</v>
      </c>
      <c r="J4755" t="s" s="2">
        <v>18477</v>
      </c>
      <c r="K4755" t="s" s="2">
        <v>22</v>
      </c>
      <c r="L4755" t="s" s="2">
        <v>22</v>
      </c>
      <c r="M4755" t="s" s="2">
        <v>22</v>
      </c>
    </row>
    <row r="4756" ht="25.0" customHeight="true">
      <c r="A4756" t="s" s="2">
        <v>13</v>
      </c>
      <c r="B4756" t="s" s="2">
        <f>HYPERLINK("http://ts.21cn.com/tousu/show/id/1368924","暴利催收、爆通讯录")</f>
      </c>
      <c r="C4756" t="s" s="2">
        <v>15</v>
      </c>
      <c r="D4756" t="s" s="2">
        <v>16</v>
      </c>
      <c r="E4756" t="s" s="2">
        <v>17</v>
      </c>
      <c r="F4756" t="s" s="2">
        <f>HYPERLINK("http://ts.21cn.com/tousu/show/id/1368924","http://ts.21cn.com/tousu/show/id/1368924")</f>
      </c>
      <c r="G4756" t="s" s="2">
        <v>17</v>
      </c>
      <c r="H4756" t="s" s="2">
        <v>19</v>
      </c>
      <c r="I4756" t="s" s="2">
        <v>18480</v>
      </c>
      <c r="J4756" t="s" s="2">
        <v>18481</v>
      </c>
      <c r="K4756" t="s" s="2">
        <v>22</v>
      </c>
      <c r="L4756" t="s" s="2">
        <v>22</v>
      </c>
      <c r="M4756" t="s" s="2">
        <v>22</v>
      </c>
    </row>
    <row r="4757" ht="25.0" customHeight="true">
      <c r="A4757" t="s" s="2">
        <v>13</v>
      </c>
      <c r="B4757" t="s" s="2">
        <f>HYPERLINK("http://ts.21cn.com/tousu/show/id/1368880","和信暴力催收威胁诋毁个人名誉")</f>
      </c>
      <c r="C4757" t="s" s="2">
        <v>15</v>
      </c>
      <c r="D4757" t="s" s="2">
        <v>16</v>
      </c>
      <c r="E4757" t="s" s="2">
        <v>17</v>
      </c>
      <c r="F4757" t="s" s="2">
        <f>HYPERLINK("http://ts.21cn.com/tousu/show/id/1368880","http://ts.21cn.com/tousu/show/id/1368880")</f>
      </c>
      <c r="G4757" t="s" s="2">
        <v>17</v>
      </c>
      <c r="H4757" t="s" s="2">
        <v>19</v>
      </c>
      <c r="I4757" t="s" s="2">
        <v>18484</v>
      </c>
      <c r="J4757" t="s" s="2">
        <v>18485</v>
      </c>
      <c r="K4757" t="s" s="2">
        <v>22</v>
      </c>
      <c r="L4757" t="s" s="2">
        <v>22</v>
      </c>
      <c r="M4757" t="s" s="2">
        <v>22</v>
      </c>
    </row>
    <row r="4758" ht="25.0" customHeight="true">
      <c r="A4758" t="s" s="2">
        <v>13</v>
      </c>
      <c r="B4758" t="s" s="2">
        <f>HYPERLINK("http://ts.21cn.com/tousu/show/id/1368923","虚假宣传")</f>
      </c>
      <c r="C4758" t="s" s="2">
        <v>15</v>
      </c>
      <c r="D4758" t="s" s="2">
        <v>16</v>
      </c>
      <c r="E4758" t="s" s="2">
        <v>17</v>
      </c>
      <c r="F4758" t="s" s="2">
        <f>HYPERLINK("http://ts.21cn.com/tousu/show/id/1368923","http://ts.21cn.com/tousu/show/id/1368923")</f>
      </c>
      <c r="G4758" t="s" s="2">
        <v>17</v>
      </c>
      <c r="H4758" t="s" s="2">
        <v>19</v>
      </c>
      <c r="I4758" t="s" s="2">
        <v>18488</v>
      </c>
      <c r="J4758" t="s" s="2">
        <v>18489</v>
      </c>
      <c r="K4758" t="s" s="2">
        <v>22</v>
      </c>
      <c r="L4758" t="s" s="2">
        <v>22</v>
      </c>
      <c r="M4758" t="s" s="2">
        <v>22</v>
      </c>
    </row>
    <row r="4759" ht="25.0" customHeight="true">
      <c r="A4759" t="s" s="2">
        <v>13</v>
      </c>
      <c r="B4759" t="s" s="2">
        <f>HYPERLINK("http://ts.21cn.com/tousu/show/id/1368884","虚假招聘诱导消费者贷款")</f>
      </c>
      <c r="C4759" t="s" s="2">
        <v>15</v>
      </c>
      <c r="D4759" t="s" s="2">
        <v>16</v>
      </c>
      <c r="E4759" t="s" s="2">
        <v>17</v>
      </c>
      <c r="F4759" t="s" s="2">
        <f>HYPERLINK("http://ts.21cn.com/tousu/show/id/1368884","http://ts.21cn.com/tousu/show/id/1368884")</f>
      </c>
      <c r="G4759" t="s" s="2">
        <v>17</v>
      </c>
      <c r="H4759" t="s" s="2">
        <v>19</v>
      </c>
      <c r="I4759" t="s" s="2">
        <v>18492</v>
      </c>
      <c r="J4759" t="s" s="2">
        <v>18493</v>
      </c>
      <c r="K4759" t="s" s="2">
        <v>22</v>
      </c>
      <c r="L4759" t="s" s="2">
        <v>22</v>
      </c>
      <c r="M4759" t="s" s="2">
        <v>22</v>
      </c>
    </row>
    <row r="4760" ht="25.0" customHeight="true">
      <c r="A4760" t="s" s="2">
        <v>13</v>
      </c>
      <c r="B4760" t="s" s="2">
        <f>HYPERLINK("http://ts.21cn.com/tousu/show/id/1368922","暴力催收，合同欺诈")</f>
      </c>
      <c r="C4760" t="s" s="2">
        <v>15</v>
      </c>
      <c r="D4760" t="s" s="2">
        <v>16</v>
      </c>
      <c r="E4760" t="s" s="2">
        <v>17</v>
      </c>
      <c r="F4760" t="s" s="2">
        <f>HYPERLINK("http://ts.21cn.com/tousu/show/id/1368922","http://ts.21cn.com/tousu/show/id/1368922")</f>
      </c>
      <c r="G4760" t="s" s="2">
        <v>17</v>
      </c>
      <c r="H4760" t="s" s="2">
        <v>19</v>
      </c>
      <c r="I4760" t="s" s="2">
        <v>18496</v>
      </c>
      <c r="J4760" t="s" s="2">
        <v>18497</v>
      </c>
      <c r="K4760" t="s" s="2">
        <v>22</v>
      </c>
      <c r="L4760" t="s" s="2">
        <v>22</v>
      </c>
      <c r="M4760" t="s" s="2">
        <v>22</v>
      </c>
    </row>
    <row r="4761" ht="25.0" customHeight="true">
      <c r="A4761" t="s" s="2">
        <v>13</v>
      </c>
      <c r="B4761" t="s" s="2">
        <f>HYPERLINK("http://ts.21cn.com/tousu/show/id/1368921","小通商城未经本人许可恶意扣款")</f>
      </c>
      <c r="C4761" t="s" s="2">
        <v>15</v>
      </c>
      <c r="D4761" t="s" s="2">
        <v>16</v>
      </c>
      <c r="E4761" t="s" s="2">
        <v>17</v>
      </c>
      <c r="F4761" t="s" s="2">
        <f>HYPERLINK("http://ts.21cn.com/tousu/show/id/1368921","http://ts.21cn.com/tousu/show/id/1368921")</f>
      </c>
      <c r="G4761" t="s" s="2">
        <v>17</v>
      </c>
      <c r="H4761" t="s" s="2">
        <v>19</v>
      </c>
      <c r="I4761" t="s" s="2">
        <v>18500</v>
      </c>
      <c r="J4761" t="s" s="2">
        <v>18501</v>
      </c>
      <c r="K4761" t="s" s="2">
        <v>22</v>
      </c>
      <c r="L4761" t="s" s="2">
        <v>22</v>
      </c>
      <c r="M4761" t="s" s="2">
        <v>22</v>
      </c>
    </row>
    <row r="4762" ht="25.0" customHeight="true">
      <c r="A4762" t="s" s="2">
        <v>13</v>
      </c>
      <c r="B4762" t="s" s="2">
        <f>HYPERLINK("http://ts.21cn.com/tousu/show/id/1368920","大力水手属于714，砍头息，骚扰家人，随意侮辱家人")</f>
      </c>
      <c r="C4762" t="s" s="2">
        <v>15</v>
      </c>
      <c r="D4762" t="s" s="2">
        <v>16</v>
      </c>
      <c r="E4762" t="s" s="2">
        <v>17</v>
      </c>
      <c r="F4762" t="s" s="2">
        <f>HYPERLINK("http://ts.21cn.com/tousu/show/id/1368920","http://ts.21cn.com/tousu/show/id/1368920")</f>
      </c>
      <c r="G4762" t="s" s="2">
        <v>17</v>
      </c>
      <c r="H4762" t="s" s="2">
        <v>19</v>
      </c>
      <c r="I4762" t="s" s="2">
        <v>18504</v>
      </c>
      <c r="J4762" t="s" s="2">
        <v>18505</v>
      </c>
      <c r="K4762" t="s" s="2">
        <v>22</v>
      </c>
      <c r="L4762" t="s" s="2">
        <v>22</v>
      </c>
      <c r="M4762" t="s" s="2">
        <v>22</v>
      </c>
    </row>
    <row r="4763" ht="25.0" customHeight="true">
      <c r="A4763" t="s" s="2">
        <v>13</v>
      </c>
      <c r="B4763" t="s" s="2">
        <f>HYPERLINK("http://ts.21cn.com/tousu/show/id/1368919","钱站-还款日当天一直骚扰，催收还态度不好")</f>
      </c>
      <c r="C4763" t="s" s="2">
        <v>15</v>
      </c>
      <c r="D4763" t="s" s="2">
        <v>16</v>
      </c>
      <c r="E4763" t="s" s="2">
        <v>17</v>
      </c>
      <c r="F4763" t="s" s="2">
        <f>HYPERLINK("http://ts.21cn.com/tousu/show/id/1368919","http://ts.21cn.com/tousu/show/id/1368919")</f>
      </c>
      <c r="G4763" t="s" s="2">
        <v>17</v>
      </c>
      <c r="H4763" t="s" s="2">
        <v>19</v>
      </c>
      <c r="I4763" t="s" s="2">
        <v>18508</v>
      </c>
      <c r="J4763" t="s" s="2">
        <v>18509</v>
      </c>
      <c r="K4763" t="s" s="2">
        <v>22</v>
      </c>
      <c r="L4763" t="s" s="2">
        <v>22</v>
      </c>
      <c r="M4763" t="s" s="2">
        <v>22</v>
      </c>
    </row>
    <row r="4764" ht="25.0" customHeight="true">
      <c r="A4764" t="s" s="2">
        <v>13</v>
      </c>
      <c r="B4764" t="s" s="2">
        <f>HYPERLINK("http://ts.21cn.com/tousu/show/id/1368918","省呗骚扰")</f>
      </c>
      <c r="C4764" t="s" s="2">
        <v>15</v>
      </c>
      <c r="D4764" t="s" s="2">
        <v>16</v>
      </c>
      <c r="E4764" t="s" s="2">
        <v>17</v>
      </c>
      <c r="F4764" t="s" s="2">
        <f>HYPERLINK("http://ts.21cn.com/tousu/show/id/1368918","http://ts.21cn.com/tousu/show/id/1368918")</f>
      </c>
      <c r="G4764" t="s" s="2">
        <v>17</v>
      </c>
      <c r="H4764" t="s" s="2">
        <v>19</v>
      </c>
      <c r="I4764" t="s" s="2">
        <v>18512</v>
      </c>
      <c r="J4764" t="s" s="2">
        <v>18513</v>
      </c>
      <c r="K4764" t="s" s="2">
        <v>22</v>
      </c>
      <c r="L4764" t="s" s="2">
        <v>22</v>
      </c>
      <c r="M4764" t="s" s="2">
        <v>22</v>
      </c>
    </row>
    <row r="4765" ht="25.0" customHeight="true">
      <c r="A4765" t="s" s="2">
        <v>13</v>
      </c>
      <c r="B4765" t="s" s="2">
        <f>HYPERLINK("http://ts.21cn.com/tousu/show/id/1368915","支付宝花呗借呗")</f>
      </c>
      <c r="C4765" t="s" s="2">
        <v>15</v>
      </c>
      <c r="D4765" t="s" s="2">
        <v>16</v>
      </c>
      <c r="E4765" t="s" s="2">
        <v>17</v>
      </c>
      <c r="F4765" t="s" s="2">
        <f>HYPERLINK("http://ts.21cn.com/tousu/show/id/1368915","http://ts.21cn.com/tousu/show/id/1368915")</f>
      </c>
      <c r="G4765" t="s" s="2">
        <v>17</v>
      </c>
      <c r="H4765" t="s" s="2">
        <v>19</v>
      </c>
      <c r="I4765" t="s" s="2">
        <v>18516</v>
      </c>
      <c r="J4765" t="s" s="2">
        <v>18517</v>
      </c>
      <c r="K4765" t="s" s="2">
        <v>22</v>
      </c>
      <c r="L4765" t="s" s="2">
        <v>22</v>
      </c>
      <c r="M4765" t="s" s="2">
        <v>22</v>
      </c>
    </row>
    <row r="4766" ht="25.0" customHeight="true">
      <c r="A4766" t="s" s="2">
        <v>13</v>
      </c>
      <c r="B4766" t="s" s="2">
        <f>HYPERLINK("http://ts.21cn.com/tousu/show/id/1368914","骚扰我家人朋友")</f>
      </c>
      <c r="C4766" t="s" s="2">
        <v>15</v>
      </c>
      <c r="D4766" t="s" s="2">
        <v>16</v>
      </c>
      <c r="E4766" t="s" s="2">
        <v>17</v>
      </c>
      <c r="F4766" t="s" s="2">
        <f>HYPERLINK("http://ts.21cn.com/tousu/show/id/1368914","http://ts.21cn.com/tousu/show/id/1368914")</f>
      </c>
      <c r="G4766" t="s" s="2">
        <v>17</v>
      </c>
      <c r="H4766" t="s" s="2">
        <v>19</v>
      </c>
      <c r="I4766" t="s" s="2">
        <v>18520</v>
      </c>
      <c r="J4766" t="s" s="2">
        <v>18521</v>
      </c>
      <c r="K4766" t="s" s="2">
        <v>22</v>
      </c>
      <c r="L4766" t="s" s="2">
        <v>22</v>
      </c>
      <c r="M4766" t="s" s="2">
        <v>22</v>
      </c>
    </row>
    <row r="4767" ht="25.0" customHeight="true">
      <c r="A4767" t="s" s="2">
        <v>13</v>
      </c>
      <c r="B4767" t="s" s="2">
        <f>HYPERLINK("http://ts.21cn.com/tousu/show/id/1368913","广发暴力催收")</f>
      </c>
      <c r="C4767" t="s" s="2">
        <v>15</v>
      </c>
      <c r="D4767" t="s" s="2">
        <v>16</v>
      </c>
      <c r="E4767" t="s" s="2">
        <v>17</v>
      </c>
      <c r="F4767" t="s" s="2">
        <f>HYPERLINK("http://ts.21cn.com/tousu/show/id/1368913","http://ts.21cn.com/tousu/show/id/1368913")</f>
      </c>
      <c r="G4767" t="s" s="2">
        <v>17</v>
      </c>
      <c r="H4767" t="s" s="2">
        <v>19</v>
      </c>
      <c r="I4767" t="s" s="2">
        <v>18524</v>
      </c>
      <c r="J4767" t="s" s="2">
        <v>18525</v>
      </c>
      <c r="K4767" t="s" s="2">
        <v>22</v>
      </c>
      <c r="L4767" t="s" s="2">
        <v>22</v>
      </c>
      <c r="M4767" t="s" s="2">
        <v>22</v>
      </c>
    </row>
    <row r="4768" ht="25.0" customHeight="true">
      <c r="A4768" t="s" s="2">
        <v>13</v>
      </c>
      <c r="B4768" t="s" s="2">
        <f>HYPERLINK("http://ts.21cn.com/tousu/show/id/1368912","收取高额利息和滞纳金，并电话骚扰和威胁")</f>
      </c>
      <c r="C4768" t="s" s="2">
        <v>15</v>
      </c>
      <c r="D4768" t="s" s="2">
        <v>16</v>
      </c>
      <c r="E4768" t="s" s="2">
        <v>17</v>
      </c>
      <c r="F4768" t="s" s="2">
        <f>HYPERLINK("http://ts.21cn.com/tousu/show/id/1368912","http://ts.21cn.com/tousu/show/id/1368912")</f>
      </c>
      <c r="G4768" t="s" s="2">
        <v>17</v>
      </c>
      <c r="H4768" t="s" s="2">
        <v>19</v>
      </c>
      <c r="I4768" t="s" s="2">
        <v>18528</v>
      </c>
      <c r="J4768" t="s" s="2">
        <v>18529</v>
      </c>
      <c r="K4768" t="s" s="2">
        <v>22</v>
      </c>
      <c r="L4768" t="s" s="2">
        <v>22</v>
      </c>
      <c r="M4768" t="s" s="2">
        <v>22</v>
      </c>
    </row>
    <row r="4769" ht="25.0" customHeight="true">
      <c r="A4769" t="s" s="2">
        <v>13</v>
      </c>
      <c r="B4769" t="s" s="2">
        <f>HYPERLINK("http://ts.21cn.com/tousu/show/id/1368911","中邮邮你贷私人号码威胁暴力催收")</f>
      </c>
      <c r="C4769" t="s" s="2">
        <v>15</v>
      </c>
      <c r="D4769" t="s" s="2">
        <v>16</v>
      </c>
      <c r="E4769" t="s" s="2">
        <v>17</v>
      </c>
      <c r="F4769" t="s" s="2">
        <f>HYPERLINK("http://ts.21cn.com/tousu/show/id/1368911","http://ts.21cn.com/tousu/show/id/1368911")</f>
      </c>
      <c r="G4769" t="s" s="2">
        <v>17</v>
      </c>
      <c r="H4769" t="s" s="2">
        <v>19</v>
      </c>
      <c r="I4769" t="s" s="2">
        <v>18532</v>
      </c>
      <c r="J4769" t="s" s="2">
        <v>18533</v>
      </c>
      <c r="K4769" t="s" s="2">
        <v>22</v>
      </c>
      <c r="L4769" t="s" s="2">
        <v>22</v>
      </c>
      <c r="M4769" t="s" s="2">
        <v>22</v>
      </c>
    </row>
    <row r="4770" ht="25.0" customHeight="true">
      <c r="A4770" t="s" s="2">
        <v>13</v>
      </c>
      <c r="B4770" t="s" s="2">
        <f>HYPERLINK("http://ts.21cn.com/tousu/show/id/1367730","滴滴出行对于人证上传老是失败")</f>
      </c>
      <c r="C4770" t="s" s="2">
        <v>15</v>
      </c>
      <c r="D4770" t="s" s="2">
        <v>16</v>
      </c>
      <c r="E4770" t="s" s="2">
        <v>17</v>
      </c>
      <c r="F4770" t="s" s="2">
        <f>HYPERLINK("http://ts.21cn.com/tousu/show/id/1367730","http://ts.21cn.com/tousu/show/id/1367730")</f>
      </c>
      <c r="G4770" t="s" s="2">
        <v>17</v>
      </c>
      <c r="H4770" t="s" s="2">
        <v>19</v>
      </c>
      <c r="I4770" t="s" s="2">
        <v>18536</v>
      </c>
      <c r="J4770" t="s" s="2">
        <v>18537</v>
      </c>
      <c r="K4770" t="s" s="2">
        <v>22</v>
      </c>
      <c r="L4770" t="s" s="2">
        <v>22</v>
      </c>
      <c r="M4770" t="s" s="2">
        <v>22</v>
      </c>
    </row>
    <row r="4771" ht="25.0" customHeight="true">
      <c r="A4771" t="s" s="2">
        <v>13</v>
      </c>
      <c r="B4771" t="s" s="2">
        <f>HYPERLINK("http://ts.21cn.com/tousu/show/id/1368909","新橙优品砍头息高利贷，上征信骚扰催收")</f>
      </c>
      <c r="C4771" t="s" s="2">
        <v>15</v>
      </c>
      <c r="D4771" t="s" s="2">
        <v>16</v>
      </c>
      <c r="E4771" t="s" s="2">
        <v>17</v>
      </c>
      <c r="F4771" t="s" s="2">
        <f>HYPERLINK("http://ts.21cn.com/tousu/show/id/1368909","http://ts.21cn.com/tousu/show/id/1368909")</f>
      </c>
      <c r="G4771" t="s" s="2">
        <v>17</v>
      </c>
      <c r="H4771" t="s" s="2">
        <v>19</v>
      </c>
      <c r="I4771" t="s" s="2">
        <v>18540</v>
      </c>
      <c r="J4771" t="s" s="2">
        <v>18541</v>
      </c>
      <c r="K4771" t="s" s="2">
        <v>22</v>
      </c>
      <c r="L4771" t="s" s="2">
        <v>22</v>
      </c>
      <c r="M4771" t="s" s="2">
        <v>22</v>
      </c>
    </row>
    <row r="4772" ht="25.0" customHeight="true">
      <c r="A4772" t="s" s="2">
        <v>13</v>
      </c>
      <c r="B4772" t="s" s="2">
        <f>HYPERLINK("http://ts.21cn.com/tousu/show/id/1368905","出售假冒iphone手机")</f>
      </c>
      <c r="C4772" t="s" s="2">
        <v>15</v>
      </c>
      <c r="D4772" t="s" s="2">
        <v>16</v>
      </c>
      <c r="E4772" t="s" s="2">
        <v>17</v>
      </c>
      <c r="F4772" t="s" s="2">
        <f>HYPERLINK("http://ts.21cn.com/tousu/show/id/1368905","http://ts.21cn.com/tousu/show/id/1368905")</f>
      </c>
      <c r="G4772" t="s" s="2">
        <v>17</v>
      </c>
      <c r="H4772" t="s" s="2">
        <v>19</v>
      </c>
      <c r="I4772" t="s" s="2">
        <v>18544</v>
      </c>
      <c r="J4772" t="s" s="2">
        <v>18545</v>
      </c>
      <c r="K4772" t="s" s="2">
        <v>22</v>
      </c>
      <c r="L4772" t="s" s="2">
        <v>22</v>
      </c>
      <c r="M4772" t="s" s="2">
        <v>22</v>
      </c>
    </row>
    <row r="4773" ht="25.0" customHeight="true">
      <c r="A4773" t="s" s="2">
        <v>13</v>
      </c>
      <c r="B4773" t="s" s="2">
        <f>HYPERLINK("http://ts.21cn.com/tousu/show/id/1368904","医疗机构诱导消费者去贷款公司借款消费，要求退款不同意")</f>
      </c>
      <c r="C4773" t="s" s="2">
        <v>15</v>
      </c>
      <c r="D4773" t="s" s="2">
        <v>16</v>
      </c>
      <c r="E4773" t="s" s="2">
        <v>17</v>
      </c>
      <c r="F4773" t="s" s="2">
        <f>HYPERLINK("http://ts.21cn.com/tousu/show/id/1368904","http://ts.21cn.com/tousu/show/id/1368904")</f>
      </c>
      <c r="G4773" t="s" s="2">
        <v>17</v>
      </c>
      <c r="H4773" t="s" s="2">
        <v>19</v>
      </c>
      <c r="I4773" t="s" s="2">
        <v>18548</v>
      </c>
      <c r="J4773" t="s" s="2">
        <v>18549</v>
      </c>
      <c r="K4773" t="s" s="2">
        <v>22</v>
      </c>
      <c r="L4773" t="s" s="2">
        <v>22</v>
      </c>
      <c r="M4773" t="s" s="2">
        <v>22</v>
      </c>
    </row>
    <row r="4774" ht="25.0" customHeight="true">
      <c r="A4774" t="s" s="2">
        <v>13</v>
      </c>
      <c r="B4774" t="s" s="2">
        <f>HYPERLINK("http://ts.21cn.com/tousu/show/id/1368908","你我贷催收狂打电话到公司")</f>
      </c>
      <c r="C4774" t="s" s="2">
        <v>15</v>
      </c>
      <c r="D4774" t="s" s="2">
        <v>16</v>
      </c>
      <c r="E4774" t="s" s="2">
        <v>17</v>
      </c>
      <c r="F4774" t="s" s="2">
        <f>HYPERLINK("http://ts.21cn.com/tousu/show/id/1368908","http://ts.21cn.com/tousu/show/id/1368908")</f>
      </c>
      <c r="G4774" t="s" s="2">
        <v>17</v>
      </c>
      <c r="H4774" t="s" s="2">
        <v>19</v>
      </c>
      <c r="I4774" t="s" s="2">
        <v>18552</v>
      </c>
      <c r="J4774" t="s" s="2">
        <v>18553</v>
      </c>
      <c r="K4774" t="s" s="2">
        <v>22</v>
      </c>
      <c r="L4774" t="s" s="2">
        <v>22</v>
      </c>
      <c r="M4774" t="s" s="2">
        <v>22</v>
      </c>
    </row>
    <row r="4775" ht="25.0" customHeight="true">
      <c r="A4775" t="s" s="2">
        <v>13</v>
      </c>
      <c r="B4775" t="s" s="2">
        <f>HYPERLINK("http://ts.21cn.com/tousu/show/id/1368906","网商贷这是要把我逼死！！")</f>
      </c>
      <c r="C4775" t="s" s="2">
        <v>15</v>
      </c>
      <c r="D4775" t="s" s="2">
        <v>16</v>
      </c>
      <c r="E4775" t="s" s="2">
        <v>17</v>
      </c>
      <c r="F4775" t="s" s="2">
        <f>HYPERLINK("http://ts.21cn.com/tousu/show/id/1368906","http://ts.21cn.com/tousu/show/id/1368906")</f>
      </c>
      <c r="G4775" t="s" s="2">
        <v>17</v>
      </c>
      <c r="H4775" t="s" s="2">
        <v>19</v>
      </c>
      <c r="I4775" t="s" s="2">
        <v>18556</v>
      </c>
      <c r="J4775" t="s" s="2">
        <v>18557</v>
      </c>
      <c r="K4775" t="s" s="2">
        <v>22</v>
      </c>
      <c r="L4775" t="s" s="2">
        <v>22</v>
      </c>
      <c r="M4775" t="s" s="2">
        <v>22</v>
      </c>
    </row>
    <row r="4776" ht="25.0" customHeight="true">
      <c r="A4776" t="s" s="2">
        <v>13</v>
      </c>
      <c r="B4776" t="s" s="2">
        <f>HYPERLINK("http://ts.21cn.com/tousu/show/id/1368903","垃圾钱站与黑社会有什么区别")</f>
      </c>
      <c r="C4776" t="s" s="2">
        <v>15</v>
      </c>
      <c r="D4776" t="s" s="2">
        <v>16</v>
      </c>
      <c r="E4776" t="s" s="2">
        <v>17</v>
      </c>
      <c r="F4776" t="s" s="2">
        <f>HYPERLINK("http://ts.21cn.com/tousu/show/id/1368903","http://ts.21cn.com/tousu/show/id/1368903")</f>
      </c>
      <c r="G4776" t="s" s="2">
        <v>17</v>
      </c>
      <c r="H4776" t="s" s="2">
        <v>19</v>
      </c>
      <c r="I4776" t="s" s="2">
        <v>18560</v>
      </c>
      <c r="J4776" t="s" s="2">
        <v>18561</v>
      </c>
      <c r="K4776" t="s" s="2">
        <v>22</v>
      </c>
      <c r="L4776" t="s" s="2">
        <v>22</v>
      </c>
      <c r="M4776" t="s" s="2">
        <v>22</v>
      </c>
    </row>
    <row r="4777" ht="25.0" customHeight="true">
      <c r="A4777" t="s" s="2">
        <v>13</v>
      </c>
      <c r="B4777" t="s" s="2">
        <f>HYPERLINK("http://ts.21cn.com/tousu/show/id/1368907","易安财险据不退保")</f>
      </c>
      <c r="C4777" t="s" s="2">
        <v>15</v>
      </c>
      <c r="D4777" t="s" s="2">
        <v>16</v>
      </c>
      <c r="E4777" t="s" s="2">
        <v>17</v>
      </c>
      <c r="F4777" t="s" s="2">
        <f>HYPERLINK("http://ts.21cn.com/tousu/show/id/1368907","http://ts.21cn.com/tousu/show/id/1368907")</f>
      </c>
      <c r="G4777" t="s" s="2">
        <v>17</v>
      </c>
      <c r="H4777" t="s" s="2">
        <v>19</v>
      </c>
      <c r="I4777" t="s" s="2">
        <v>18564</v>
      </c>
      <c r="J4777" t="s" s="2">
        <v>18565</v>
      </c>
      <c r="K4777" t="s" s="2">
        <v>22</v>
      </c>
      <c r="L4777" t="s" s="2">
        <v>22</v>
      </c>
      <c r="M4777" t="s" s="2">
        <v>22</v>
      </c>
    </row>
    <row r="4778" ht="25.0" customHeight="true">
      <c r="A4778" t="s" s="2">
        <v>13</v>
      </c>
      <c r="B4778" t="s" s="2">
        <f>HYPERLINK("http://ts.21cn.com/tousu/show/id/1368830","诱导签订合同")</f>
      </c>
      <c r="C4778" t="s" s="2">
        <v>15</v>
      </c>
      <c r="D4778" t="s" s="2">
        <v>16</v>
      </c>
      <c r="E4778" t="s" s="2">
        <v>17</v>
      </c>
      <c r="F4778" t="s" s="2">
        <f>HYPERLINK("http://ts.21cn.com/tousu/show/id/1368830","http://ts.21cn.com/tousu/show/id/1368830")</f>
      </c>
      <c r="G4778" t="s" s="2">
        <v>17</v>
      </c>
      <c r="H4778" t="s" s="2">
        <v>19</v>
      </c>
      <c r="I4778" t="s" s="2">
        <v>18568</v>
      </c>
      <c r="J4778" t="s" s="2">
        <v>18569</v>
      </c>
      <c r="K4778" t="s" s="2">
        <v>22</v>
      </c>
      <c r="L4778" t="s" s="2">
        <v>22</v>
      </c>
      <c r="M4778" t="s" s="2">
        <v>22</v>
      </c>
    </row>
    <row r="4779" ht="25.0" customHeight="true">
      <c r="A4779" t="s" s="2">
        <v>13</v>
      </c>
      <c r="B4779" t="s" s="2">
        <f>HYPERLINK("http://ts.21cn.com/tousu/show/id/1368900","翼钱包高利贷")</f>
      </c>
      <c r="C4779" t="s" s="2">
        <v>15</v>
      </c>
      <c r="D4779" t="s" s="2">
        <v>16</v>
      </c>
      <c r="E4779" t="s" s="2">
        <v>17</v>
      </c>
      <c r="F4779" t="s" s="2">
        <f>HYPERLINK("http://ts.21cn.com/tousu/show/id/1368900","http://ts.21cn.com/tousu/show/id/1368900")</f>
      </c>
      <c r="G4779" t="s" s="2">
        <v>17</v>
      </c>
      <c r="H4779" t="s" s="2">
        <v>19</v>
      </c>
      <c r="I4779" t="s" s="2">
        <v>18572</v>
      </c>
      <c r="J4779" t="s" s="2">
        <v>18573</v>
      </c>
      <c r="K4779" t="s" s="2">
        <v>22</v>
      </c>
      <c r="L4779" t="s" s="2">
        <v>22</v>
      </c>
      <c r="M4779" t="s" s="2">
        <v>22</v>
      </c>
    </row>
    <row r="4780" ht="25.0" customHeight="true">
      <c r="A4780" t="s" s="2">
        <v>13</v>
      </c>
      <c r="B4780" t="s" s="2">
        <f>HYPERLINK("http://ts.21cn.com/tousu/show/id/1368901","退款")</f>
      </c>
      <c r="C4780" t="s" s="2">
        <v>15</v>
      </c>
      <c r="D4780" t="s" s="2">
        <v>16</v>
      </c>
      <c r="E4780" t="s" s="2">
        <v>17</v>
      </c>
      <c r="F4780" t="s" s="2">
        <f>HYPERLINK("http://ts.21cn.com/tousu/show/id/1368901","http://ts.21cn.com/tousu/show/id/1368901")</f>
      </c>
      <c r="G4780" t="s" s="2">
        <v>17</v>
      </c>
      <c r="H4780" t="s" s="2">
        <v>19</v>
      </c>
      <c r="I4780" t="s" s="2">
        <v>18575</v>
      </c>
      <c r="J4780" t="s" s="2">
        <v>18576</v>
      </c>
      <c r="K4780" t="s" s="2">
        <v>22</v>
      </c>
      <c r="L4780" t="s" s="2">
        <v>22</v>
      </c>
      <c r="M4780" t="s" s="2">
        <v>22</v>
      </c>
    </row>
    <row r="4781" ht="25.0" customHeight="true">
      <c r="A4781" t="s" s="2">
        <v>13</v>
      </c>
      <c r="B4781" t="s" s="2">
        <f>HYPERLINK("http://ts.21cn.com/tousu/show/id/1368898","立借平台高利贷")</f>
      </c>
      <c r="C4781" t="s" s="2">
        <v>15</v>
      </c>
      <c r="D4781" t="s" s="2">
        <v>16</v>
      </c>
      <c r="E4781" t="s" s="2">
        <v>17</v>
      </c>
      <c r="F4781" t="s" s="2">
        <f>HYPERLINK("http://ts.21cn.com/tousu/show/id/1368898","http://ts.21cn.com/tousu/show/id/1368898")</f>
      </c>
      <c r="G4781" t="s" s="2">
        <v>17</v>
      </c>
      <c r="H4781" t="s" s="2">
        <v>19</v>
      </c>
      <c r="I4781" t="s" s="2">
        <v>18579</v>
      </c>
      <c r="J4781" t="s" s="2">
        <v>18580</v>
      </c>
      <c r="K4781" t="s" s="2">
        <v>22</v>
      </c>
      <c r="L4781" t="s" s="2">
        <v>22</v>
      </c>
      <c r="M4781" t="s" s="2">
        <v>22</v>
      </c>
    </row>
    <row r="4782" ht="25.0" customHeight="true">
      <c r="A4782" t="s" s="2">
        <v>13</v>
      </c>
      <c r="B4782" t="s" s="2">
        <f>HYPERLINK("http://ts.21cn.com/tousu/show/id/1368446","有钱花存监管和贷款审核漏洞，导致韦博利用其漏洞误导消费者")</f>
      </c>
      <c r="C4782" t="s" s="2">
        <v>15</v>
      </c>
      <c r="D4782" t="s" s="2">
        <v>16</v>
      </c>
      <c r="E4782" t="s" s="2">
        <v>17</v>
      </c>
      <c r="F4782" t="s" s="2">
        <f>HYPERLINK("http://ts.21cn.com/tousu/show/id/1368446","http://ts.21cn.com/tousu/show/id/1368446")</f>
      </c>
      <c r="G4782" t="s" s="2">
        <v>17</v>
      </c>
      <c r="H4782" t="s" s="2">
        <v>19</v>
      </c>
      <c r="I4782" t="s" s="2">
        <v>18583</v>
      </c>
      <c r="J4782" t="s" s="2">
        <v>18584</v>
      </c>
      <c r="K4782" t="s" s="2">
        <v>22</v>
      </c>
      <c r="L4782" t="s" s="2">
        <v>22</v>
      </c>
      <c r="M4782" t="s" s="2">
        <v>22</v>
      </c>
    </row>
    <row r="4783" ht="25.0" customHeight="true">
      <c r="A4783" t="s" s="2">
        <v>13</v>
      </c>
      <c r="B4783" t="s" s="2">
        <f>HYPERLINK("http://ts.21cn.com/tousu/show/id/1368896","友信信贷在未逾期的时间内对借款人进行暴力催收")</f>
      </c>
      <c r="C4783" t="s" s="2">
        <v>15</v>
      </c>
      <c r="D4783" t="s" s="2">
        <v>16</v>
      </c>
      <c r="E4783" t="s" s="2">
        <v>17</v>
      </c>
      <c r="F4783" t="s" s="2">
        <f>HYPERLINK("http://ts.21cn.com/tousu/show/id/1368896","http://ts.21cn.com/tousu/show/id/1368896")</f>
      </c>
      <c r="G4783" t="s" s="2">
        <v>17</v>
      </c>
      <c r="H4783" t="s" s="2">
        <v>19</v>
      </c>
      <c r="I4783" t="s" s="2">
        <v>18586</v>
      </c>
      <c r="J4783" t="s" s="2">
        <v>18587</v>
      </c>
      <c r="K4783" t="s" s="2">
        <v>22</v>
      </c>
      <c r="L4783" t="s" s="2">
        <v>22</v>
      </c>
      <c r="M4783" t="s" s="2">
        <v>22</v>
      </c>
    </row>
    <row r="4784" ht="25.0" customHeight="true">
      <c r="A4784" t="s" s="2">
        <v>13</v>
      </c>
      <c r="B4784" t="s" s="2">
        <f>HYPERLINK("http://ts.21cn.com/tousu/show/id/1368895","安庆盛通科技有限公司无故从我银行卡中扣款90元")</f>
      </c>
      <c r="C4784" t="s" s="2">
        <v>52</v>
      </c>
      <c r="D4784" t="s" s="2">
        <v>16</v>
      </c>
      <c r="E4784" t="s" s="2">
        <v>17</v>
      </c>
      <c r="F4784" t="s" s="2">
        <f>HYPERLINK("http://ts.21cn.com/tousu/show/id/1368895","http://ts.21cn.com/tousu/show/id/1368895")</f>
      </c>
      <c r="G4784" t="s" s="2">
        <v>17</v>
      </c>
      <c r="H4784" t="s" s="2">
        <v>19</v>
      </c>
      <c r="I4784" t="s" s="2">
        <v>18590</v>
      </c>
      <c r="J4784" t="s" s="2">
        <v>18591</v>
      </c>
      <c r="K4784" t="s" s="2">
        <v>22</v>
      </c>
      <c r="L4784" t="s" s="2">
        <v>22</v>
      </c>
      <c r="M4784" t="s" s="2">
        <v>22</v>
      </c>
    </row>
    <row r="4785" ht="25.0" customHeight="true">
      <c r="A4785" t="s" s="2">
        <v>13</v>
      </c>
      <c r="B4785" t="s" s="2">
        <f>HYPERLINK("http://ts.21cn.com/tousu/show/id/1368894","白领金库暴力催收，骚扰通讯录，侵犯个人隐私")</f>
      </c>
      <c r="C4785" t="s" s="2">
        <v>15</v>
      </c>
      <c r="D4785" t="s" s="2">
        <v>16</v>
      </c>
      <c r="E4785" t="s" s="2">
        <v>17</v>
      </c>
      <c r="F4785" t="s" s="2">
        <f>HYPERLINK("http://ts.21cn.com/tousu/show/id/1368894","http://ts.21cn.com/tousu/show/id/1368894")</f>
      </c>
      <c r="G4785" t="s" s="2">
        <v>17</v>
      </c>
      <c r="H4785" t="s" s="2">
        <v>19</v>
      </c>
      <c r="I4785" t="s" s="2">
        <v>18594</v>
      </c>
      <c r="J4785" t="s" s="2">
        <v>18595</v>
      </c>
      <c r="K4785" t="s" s="2">
        <v>22</v>
      </c>
      <c r="L4785" t="s" s="2">
        <v>22</v>
      </c>
      <c r="M4785" t="s" s="2">
        <v>22</v>
      </c>
    </row>
    <row r="4786" ht="25.0" customHeight="true">
      <c r="A4786" t="s" s="2">
        <v>13</v>
      </c>
      <c r="B4786" t="s" s="2">
        <f>HYPERLINK("http://ts.21cn.com/tousu/show/id/1368893","请求酷花花销帐处理")</f>
      </c>
      <c r="C4786" t="s" s="2">
        <v>15</v>
      </c>
      <c r="D4786" t="s" s="2">
        <v>16</v>
      </c>
      <c r="E4786" t="s" s="2">
        <v>17</v>
      </c>
      <c r="F4786" t="s" s="2">
        <f>HYPERLINK("http://ts.21cn.com/tousu/show/id/1368893","http://ts.21cn.com/tousu/show/id/1368893")</f>
      </c>
      <c r="G4786" t="s" s="2">
        <v>17</v>
      </c>
      <c r="H4786" t="s" s="2">
        <v>19</v>
      </c>
      <c r="I4786" t="s" s="2">
        <v>18598</v>
      </c>
      <c r="J4786" t="s" s="2">
        <v>18599</v>
      </c>
      <c r="K4786" t="s" s="2">
        <v>22</v>
      </c>
      <c r="L4786" t="s" s="2">
        <v>22</v>
      </c>
      <c r="M4786" t="s" s="2">
        <v>22</v>
      </c>
    </row>
    <row r="4787" ht="25.0" customHeight="true">
      <c r="A4787" t="s" s="2">
        <v>13</v>
      </c>
      <c r="B4787" t="s" s="2">
        <f>HYPERLINK("http://ts.21cn.com/tousu/show/id/1368892","恒信永利无放贷资质高利放贷，还了本金和部分利益不同意协商")</f>
      </c>
      <c r="C4787" t="s" s="2">
        <v>15</v>
      </c>
      <c r="D4787" t="s" s="2">
        <v>16</v>
      </c>
      <c r="E4787" t="s" s="2">
        <v>17</v>
      </c>
      <c r="F4787" t="s" s="2">
        <f>HYPERLINK("http://ts.21cn.com/tousu/show/id/1368892","http://ts.21cn.com/tousu/show/id/1368892")</f>
      </c>
      <c r="G4787" t="s" s="2">
        <v>17</v>
      </c>
      <c r="H4787" t="s" s="2">
        <v>19</v>
      </c>
      <c r="I4787" t="s" s="2">
        <v>18602</v>
      </c>
      <c r="J4787" t="s" s="2">
        <v>18603</v>
      </c>
      <c r="K4787" t="s" s="2">
        <v>22</v>
      </c>
      <c r="L4787" t="s" s="2">
        <v>22</v>
      </c>
      <c r="M4787" t="s" s="2">
        <v>22</v>
      </c>
    </row>
    <row r="4788" ht="25.0" customHeight="true">
      <c r="A4788" t="s" s="2">
        <v>13</v>
      </c>
      <c r="B4788" t="s" s="2">
        <f>HYPERLINK("http://ts.21cn.com/tousu/show/id/1368890","退还高额违约金，利息")</f>
      </c>
      <c r="C4788" t="s" s="2">
        <v>15</v>
      </c>
      <c r="D4788" t="s" s="2">
        <v>16</v>
      </c>
      <c r="E4788" t="s" s="2">
        <v>17</v>
      </c>
      <c r="F4788" t="s" s="2">
        <f>HYPERLINK("http://ts.21cn.com/tousu/show/id/1368890","http://ts.21cn.com/tousu/show/id/1368890")</f>
      </c>
      <c r="G4788" t="s" s="2">
        <v>17</v>
      </c>
      <c r="H4788" t="s" s="2">
        <v>19</v>
      </c>
      <c r="I4788" t="s" s="2">
        <v>18606</v>
      </c>
      <c r="J4788" t="s" s="2">
        <v>18607</v>
      </c>
      <c r="K4788" t="s" s="2">
        <v>22</v>
      </c>
      <c r="L4788" t="s" s="2">
        <v>22</v>
      </c>
      <c r="M4788" t="s" s="2">
        <v>22</v>
      </c>
    </row>
    <row r="4789" ht="25.0" customHeight="true">
      <c r="A4789" t="s" s="2">
        <v>13</v>
      </c>
      <c r="B4789" t="s" s="2">
        <f>HYPERLINK("http://ts.21cn.com/tousu/show/id/1368891","快闪卡贷暴力催收，爆通讯录")</f>
      </c>
      <c r="C4789" t="s" s="2">
        <v>15</v>
      </c>
      <c r="D4789" t="s" s="2">
        <v>16</v>
      </c>
      <c r="E4789" t="s" s="2">
        <v>17</v>
      </c>
      <c r="F4789" t="s" s="2">
        <f>HYPERLINK("http://ts.21cn.com/tousu/show/id/1368891","http://ts.21cn.com/tousu/show/id/1368891")</f>
      </c>
      <c r="G4789" t="s" s="2">
        <v>17</v>
      </c>
      <c r="H4789" t="s" s="2">
        <v>19</v>
      </c>
      <c r="I4789" t="s" s="2">
        <v>18610</v>
      </c>
      <c r="J4789" t="s" s="2">
        <v>18611</v>
      </c>
      <c r="K4789" t="s" s="2">
        <v>22</v>
      </c>
      <c r="L4789" t="s" s="2">
        <v>22</v>
      </c>
      <c r="M4789" t="s" s="2">
        <v>22</v>
      </c>
    </row>
    <row r="4790" ht="25.0" customHeight="true">
      <c r="A4790" t="s" s="2">
        <v>13</v>
      </c>
      <c r="B4790" t="s" s="2">
        <f>HYPERLINK("http://ts.21cn.com/tousu/show/id/1368888","闲鱼卖家对买家语言侮辱")</f>
      </c>
      <c r="C4790" t="s" s="2">
        <v>15</v>
      </c>
      <c r="D4790" t="s" s="2">
        <v>16</v>
      </c>
      <c r="E4790" t="s" s="2">
        <v>17</v>
      </c>
      <c r="F4790" t="s" s="2">
        <f>HYPERLINK("http://ts.21cn.com/tousu/show/id/1368888","http://ts.21cn.com/tousu/show/id/1368888")</f>
      </c>
      <c r="G4790" t="s" s="2">
        <v>17</v>
      </c>
      <c r="H4790" t="s" s="2">
        <v>19</v>
      </c>
      <c r="I4790" t="s" s="2">
        <v>18614</v>
      </c>
      <c r="J4790" t="s" s="2">
        <v>18615</v>
      </c>
      <c r="K4790" t="s" s="2">
        <v>22</v>
      </c>
      <c r="L4790" t="s" s="2">
        <v>22</v>
      </c>
      <c r="M4790" t="s" s="2">
        <v>22</v>
      </c>
    </row>
    <row r="4791" ht="25.0" customHeight="true">
      <c r="A4791" t="s" s="2">
        <v>13</v>
      </c>
      <c r="B4791" t="s" s="2">
        <f>HYPERLINK("http://ts.21cn.com/tousu/show/id/1368886","分期乐恶意暴力催收")</f>
      </c>
      <c r="C4791" t="s" s="2">
        <v>15</v>
      </c>
      <c r="D4791" t="s" s="2">
        <v>16</v>
      </c>
      <c r="E4791" t="s" s="2">
        <v>17</v>
      </c>
      <c r="F4791" t="s" s="2">
        <f>HYPERLINK("http://ts.21cn.com/tousu/show/id/1368886","http://ts.21cn.com/tousu/show/id/1368886")</f>
      </c>
      <c r="G4791" t="s" s="2">
        <v>17</v>
      </c>
      <c r="H4791" t="s" s="2">
        <v>19</v>
      </c>
      <c r="I4791" t="s" s="2">
        <v>18618</v>
      </c>
      <c r="J4791" t="s" s="2">
        <v>18619</v>
      </c>
      <c r="K4791" t="s" s="2">
        <v>22</v>
      </c>
      <c r="L4791" t="s" s="2">
        <v>22</v>
      </c>
      <c r="M4791" t="s" s="2">
        <v>22</v>
      </c>
    </row>
    <row r="4792" ht="25.0" customHeight="true">
      <c r="A4792" t="s" s="2">
        <v>13</v>
      </c>
      <c r="B4792" t="s" s="2">
        <f>HYPERLINK("http://ts.21cn.com/tousu/show/id/1368887","我没在时光分期借钱，为何你要态度恶劣的一直骚扰我？")</f>
      </c>
      <c r="C4792" t="s" s="2">
        <v>15</v>
      </c>
      <c r="D4792" t="s" s="2">
        <v>16</v>
      </c>
      <c r="E4792" t="s" s="2">
        <v>17</v>
      </c>
      <c r="F4792" t="s" s="2">
        <f>HYPERLINK("http://ts.21cn.com/tousu/show/id/1368887","http://ts.21cn.com/tousu/show/id/1368887")</f>
      </c>
      <c r="G4792" t="s" s="2">
        <v>17</v>
      </c>
      <c r="H4792" t="s" s="2">
        <v>19</v>
      </c>
      <c r="I4792" t="s" s="2">
        <v>18622</v>
      </c>
      <c r="J4792" t="s" s="2">
        <v>18623</v>
      </c>
      <c r="K4792" t="s" s="2">
        <v>22</v>
      </c>
      <c r="L4792" t="s" s="2">
        <v>22</v>
      </c>
      <c r="M4792" t="s" s="2">
        <v>22</v>
      </c>
    </row>
    <row r="4793" ht="25.0" customHeight="true">
      <c r="A4793" t="s" s="2">
        <v>13</v>
      </c>
      <c r="B4793" t="s" s="2">
        <f>HYPERLINK("http://ts.21cn.com/tousu/show/id/1368885","京东卖假货")</f>
      </c>
      <c r="C4793" t="s" s="2">
        <v>15</v>
      </c>
      <c r="D4793" t="s" s="2">
        <v>16</v>
      </c>
      <c r="E4793" t="s" s="2">
        <v>17</v>
      </c>
      <c r="F4793" t="s" s="2">
        <f>HYPERLINK("http://ts.21cn.com/tousu/show/id/1368885","http://ts.21cn.com/tousu/show/id/1368885")</f>
      </c>
      <c r="G4793" t="s" s="2">
        <v>17</v>
      </c>
      <c r="H4793" t="s" s="2">
        <v>19</v>
      </c>
      <c r="I4793" t="s" s="2">
        <v>18626</v>
      </c>
      <c r="J4793" t="s" s="2">
        <v>18627</v>
      </c>
      <c r="K4793" t="s" s="2">
        <v>22</v>
      </c>
      <c r="L4793" t="s" s="2">
        <v>22</v>
      </c>
      <c r="M4793" t="s" s="2">
        <v>22</v>
      </c>
    </row>
    <row r="4794" ht="25.0" customHeight="true">
      <c r="A4794" t="s" s="2">
        <v>13</v>
      </c>
      <c r="B4794" t="s" s="2">
        <f>HYPERLINK("http://ts.21cn.com/tousu/show/id/1368883","提前联系三方爆通讯录")</f>
      </c>
      <c r="C4794" t="s" s="2">
        <v>15</v>
      </c>
      <c r="D4794" t="s" s="2">
        <v>16</v>
      </c>
      <c r="E4794" t="s" s="2">
        <v>17</v>
      </c>
      <c r="F4794" t="s" s="2">
        <f>HYPERLINK("http://ts.21cn.com/tousu/show/id/1368883","http://ts.21cn.com/tousu/show/id/1368883")</f>
      </c>
      <c r="G4794" t="s" s="2">
        <v>17</v>
      </c>
      <c r="H4794" t="s" s="2">
        <v>19</v>
      </c>
      <c r="I4794" t="s" s="2">
        <v>18630</v>
      </c>
      <c r="J4794" t="s" s="2">
        <v>18631</v>
      </c>
      <c r="K4794" t="s" s="2">
        <v>22</v>
      </c>
      <c r="L4794" t="s" s="2">
        <v>22</v>
      </c>
      <c r="M4794" t="s" s="2">
        <v>22</v>
      </c>
    </row>
    <row r="4795" ht="25.0" customHeight="true">
      <c r="A4795" t="s" s="2">
        <v>13</v>
      </c>
      <c r="B4795" t="s" s="2">
        <f>HYPERLINK("http://ts.21cn.com/tousu/show/id/1368882","现金巴士高利贷")</f>
      </c>
      <c r="C4795" t="s" s="2">
        <v>15</v>
      </c>
      <c r="D4795" t="s" s="2">
        <v>16</v>
      </c>
      <c r="E4795" t="s" s="2">
        <v>17</v>
      </c>
      <c r="F4795" t="s" s="2">
        <f>HYPERLINK("http://ts.21cn.com/tousu/show/id/1368882","http://ts.21cn.com/tousu/show/id/1368882")</f>
      </c>
      <c r="G4795" t="s" s="2">
        <v>17</v>
      </c>
      <c r="H4795" t="s" s="2">
        <v>19</v>
      </c>
      <c r="I4795" t="s" s="2">
        <v>18633</v>
      </c>
      <c r="J4795" t="s" s="2">
        <v>18634</v>
      </c>
      <c r="K4795" t="s" s="2">
        <v>22</v>
      </c>
      <c r="L4795" t="s" s="2">
        <v>22</v>
      </c>
      <c r="M4795" t="s" s="2">
        <v>22</v>
      </c>
    </row>
    <row r="4796" ht="25.0" customHeight="true">
      <c r="A4796" t="s" s="2">
        <v>13</v>
      </c>
      <c r="B4796" t="s" s="2">
        <f>HYPERLINK("http://ts.21cn.com/tousu/show/id/1368881","顾左右而言他，砍头息何时解决")</f>
      </c>
      <c r="C4796" t="s" s="2">
        <v>15</v>
      </c>
      <c r="D4796" t="s" s="2">
        <v>16</v>
      </c>
      <c r="E4796" t="s" s="2">
        <v>17</v>
      </c>
      <c r="F4796" t="s" s="2">
        <f>HYPERLINK("http://ts.21cn.com/tousu/show/id/1368881","http://ts.21cn.com/tousu/show/id/1368881")</f>
      </c>
      <c r="G4796" t="s" s="2">
        <v>17</v>
      </c>
      <c r="H4796" t="s" s="2">
        <v>19</v>
      </c>
      <c r="I4796" t="s" s="2">
        <v>18637</v>
      </c>
      <c r="J4796" t="s" s="2">
        <v>18638</v>
      </c>
      <c r="K4796" t="s" s="2">
        <v>22</v>
      </c>
      <c r="L4796" t="s" s="2">
        <v>22</v>
      </c>
      <c r="M4796" t="s" s="2">
        <v>22</v>
      </c>
    </row>
    <row r="4797" ht="25.0" customHeight="true">
      <c r="A4797" t="s" s="2">
        <v>13</v>
      </c>
      <c r="B4797" t="s" s="2">
        <f>HYPERLINK("http://ts.21cn.com/tousu/show/id/1368879","暴力催收")</f>
      </c>
      <c r="C4797" t="s" s="2">
        <v>15</v>
      </c>
      <c r="D4797" t="s" s="2">
        <v>16</v>
      </c>
      <c r="E4797" t="s" s="2">
        <v>17</v>
      </c>
      <c r="F4797" t="s" s="2">
        <f>HYPERLINK("http://ts.21cn.com/tousu/show/id/1368879","http://ts.21cn.com/tousu/show/id/1368879")</f>
      </c>
      <c r="G4797" t="s" s="2">
        <v>17</v>
      </c>
      <c r="H4797" t="s" s="2">
        <v>19</v>
      </c>
      <c r="I4797" t="s" s="2">
        <v>18640</v>
      </c>
      <c r="J4797" t="s" s="2">
        <v>18641</v>
      </c>
      <c r="K4797" t="s" s="2">
        <v>22</v>
      </c>
      <c r="L4797" t="s" s="2">
        <v>22</v>
      </c>
      <c r="M4797" t="s" s="2">
        <v>22</v>
      </c>
    </row>
    <row r="4798" ht="25.0" customHeight="true">
      <c r="A4798" t="s" s="2">
        <v>13</v>
      </c>
      <c r="B4798" t="s" s="2">
        <f>HYPERLINK("http://ts.21cn.com/tousu/show/id/1368878","暴力催收，威胁要到单位、住宅进行催收")</f>
      </c>
      <c r="C4798" t="s" s="2">
        <v>15</v>
      </c>
      <c r="D4798" t="s" s="2">
        <v>16</v>
      </c>
      <c r="E4798" t="s" s="2">
        <v>17</v>
      </c>
      <c r="F4798" t="s" s="2">
        <f>HYPERLINK("http://ts.21cn.com/tousu/show/id/1368878","http://ts.21cn.com/tousu/show/id/1368878")</f>
      </c>
      <c r="G4798" t="s" s="2">
        <v>17</v>
      </c>
      <c r="H4798" t="s" s="2">
        <v>19</v>
      </c>
      <c r="I4798" t="s" s="2">
        <v>18644</v>
      </c>
      <c r="J4798" t="s" s="2">
        <v>18645</v>
      </c>
      <c r="K4798" t="s" s="2">
        <v>22</v>
      </c>
      <c r="L4798" t="s" s="2">
        <v>22</v>
      </c>
      <c r="M4798" t="s" s="2">
        <v>22</v>
      </c>
    </row>
    <row r="4799" ht="25.0" customHeight="true">
      <c r="A4799" t="s" s="2">
        <v>13</v>
      </c>
      <c r="B4799" t="s" s="2">
        <f>HYPERLINK("http://ts.21cn.com/tousu/show/id/1368876","广发银行随意打联系人电话泻露客户个人隐私")</f>
      </c>
      <c r="C4799" t="s" s="2">
        <v>15</v>
      </c>
      <c r="D4799" t="s" s="2">
        <v>16</v>
      </c>
      <c r="E4799" t="s" s="2">
        <v>17</v>
      </c>
      <c r="F4799" t="s" s="2">
        <f>HYPERLINK("http://ts.21cn.com/tousu/show/id/1368876","http://ts.21cn.com/tousu/show/id/1368876")</f>
      </c>
      <c r="G4799" t="s" s="2">
        <v>17</v>
      </c>
      <c r="H4799" t="s" s="2">
        <v>19</v>
      </c>
      <c r="I4799" t="s" s="2">
        <v>18648</v>
      </c>
      <c r="J4799" t="s" s="2">
        <v>18649</v>
      </c>
      <c r="K4799" t="s" s="2">
        <v>22</v>
      </c>
      <c r="L4799" t="s" s="2">
        <v>22</v>
      </c>
      <c r="M4799" t="s" s="2">
        <v>22</v>
      </c>
    </row>
    <row r="4800" ht="25.0" customHeight="true">
      <c r="A4800" t="s" s="2">
        <v>13</v>
      </c>
      <c r="B4800" t="s" s="2">
        <f>HYPERLINK("http://ts.21cn.com/tousu/show/id/1368874","你我贷借款高利贷")</f>
      </c>
      <c r="C4800" t="s" s="2">
        <v>15</v>
      </c>
      <c r="D4800" t="s" s="2">
        <v>16</v>
      </c>
      <c r="E4800" t="s" s="2">
        <v>17</v>
      </c>
      <c r="F4800" t="s" s="2">
        <f>HYPERLINK("http://ts.21cn.com/tousu/show/id/1368874","http://ts.21cn.com/tousu/show/id/1368874")</f>
      </c>
      <c r="G4800" t="s" s="2">
        <v>17</v>
      </c>
      <c r="H4800" t="s" s="2">
        <v>19</v>
      </c>
      <c r="I4800" t="s" s="2">
        <v>18652</v>
      </c>
      <c r="J4800" t="s" s="2">
        <v>18653</v>
      </c>
      <c r="K4800" t="s" s="2">
        <v>22</v>
      </c>
      <c r="L4800" t="s" s="2">
        <v>22</v>
      </c>
      <c r="M4800" t="s" s="2">
        <v>22</v>
      </c>
    </row>
    <row r="4801" ht="25.0" customHeight="true">
      <c r="A4801" t="s" s="2">
        <v>13</v>
      </c>
      <c r="B4801" t="s" s="2">
        <f>HYPERLINK("http://ts.21cn.com/tousu/show/id/1368875","轻周转芒果筹app不能使用导致逾期")</f>
      </c>
      <c r="C4801" t="s" s="2">
        <v>52</v>
      </c>
      <c r="D4801" t="s" s="2">
        <v>16</v>
      </c>
      <c r="E4801" t="s" s="2">
        <v>17</v>
      </c>
      <c r="F4801" t="s" s="2">
        <f>HYPERLINK("http://ts.21cn.com/tousu/show/id/1368875","http://ts.21cn.com/tousu/show/id/1368875")</f>
      </c>
      <c r="G4801" t="s" s="2">
        <v>17</v>
      </c>
      <c r="H4801" t="s" s="2">
        <v>19</v>
      </c>
      <c r="I4801" t="s" s="2">
        <v>18656</v>
      </c>
      <c r="J4801" t="s" s="2">
        <v>18657</v>
      </c>
      <c r="K4801" t="s" s="2">
        <v>22</v>
      </c>
      <c r="L4801" t="s" s="2">
        <v>22</v>
      </c>
      <c r="M4801" t="s" s="2">
        <v>22</v>
      </c>
    </row>
    <row r="4802" ht="25.0" customHeight="true">
      <c r="A4802" t="s" s="2">
        <v>13</v>
      </c>
      <c r="B4802" t="s" s="2">
        <f>HYPERLINK("http://ts.21cn.com/tousu/show/id/1368872","云闪付支持赌博网站支付，违规支付10多万！")</f>
      </c>
      <c r="C4802" t="s" s="2">
        <v>15</v>
      </c>
      <c r="D4802" t="s" s="2">
        <v>16</v>
      </c>
      <c r="E4802" t="s" s="2">
        <v>17</v>
      </c>
      <c r="F4802" t="s" s="2">
        <f>HYPERLINK("http://ts.21cn.com/tousu/show/id/1368872","http://ts.21cn.com/tousu/show/id/1368872")</f>
      </c>
      <c r="G4802" t="s" s="2">
        <v>17</v>
      </c>
      <c r="H4802" t="s" s="2">
        <v>19</v>
      </c>
      <c r="I4802" t="s" s="2">
        <v>18660</v>
      </c>
      <c r="J4802" t="s" s="2">
        <v>18661</v>
      </c>
      <c r="K4802" t="s" s="2">
        <v>22</v>
      </c>
      <c r="L4802" t="s" s="2">
        <v>22</v>
      </c>
      <c r="M4802" t="s" s="2">
        <v>22</v>
      </c>
    </row>
    <row r="4803" ht="25.0" customHeight="true">
      <c r="A4803" t="s" s="2">
        <v>13</v>
      </c>
      <c r="B4803" t="s" s="2">
        <f>HYPERLINK("http://ts.21cn.com/tousu/show/id/1368871","闪银突然借不了款要求恢复借款")</f>
      </c>
      <c r="C4803" t="s" s="2">
        <v>52</v>
      </c>
      <c r="D4803" t="s" s="2">
        <v>16</v>
      </c>
      <c r="E4803" t="s" s="2">
        <v>17</v>
      </c>
      <c r="F4803" t="s" s="2">
        <f>HYPERLINK("http://ts.21cn.com/tousu/show/id/1368871","http://ts.21cn.com/tousu/show/id/1368871")</f>
      </c>
      <c r="G4803" t="s" s="2">
        <v>17</v>
      </c>
      <c r="H4803" t="s" s="2">
        <v>19</v>
      </c>
      <c r="I4803" t="s" s="2">
        <v>18664</v>
      </c>
      <c r="J4803" t="s" s="2">
        <v>18665</v>
      </c>
      <c r="K4803" t="s" s="2">
        <v>22</v>
      </c>
      <c r="L4803" t="s" s="2">
        <v>22</v>
      </c>
      <c r="M4803" t="s" s="2">
        <v>22</v>
      </c>
    </row>
    <row r="4804" ht="25.0" customHeight="true">
      <c r="A4804" t="s" s="2">
        <v>13</v>
      </c>
      <c r="B4804" t="s" s="2">
        <f>HYPERLINK("http://ts.21cn.com/tousu/show/id/1368870","中邮消费金融不断电话短信一起骚扰我的通讯录")</f>
      </c>
      <c r="C4804" t="s" s="2">
        <v>15</v>
      </c>
      <c r="D4804" t="s" s="2">
        <v>16</v>
      </c>
      <c r="E4804" t="s" s="2">
        <v>17</v>
      </c>
      <c r="F4804" t="s" s="2">
        <f>HYPERLINK("http://ts.21cn.com/tousu/show/id/1368870","http://ts.21cn.com/tousu/show/id/1368870")</f>
      </c>
      <c r="G4804" t="s" s="2">
        <v>17</v>
      </c>
      <c r="H4804" t="s" s="2">
        <v>19</v>
      </c>
      <c r="I4804" t="s" s="2">
        <v>18668</v>
      </c>
      <c r="J4804" t="s" s="2">
        <v>18669</v>
      </c>
      <c r="K4804" t="s" s="2">
        <v>22</v>
      </c>
      <c r="L4804" t="s" s="2">
        <v>22</v>
      </c>
      <c r="M4804" t="s" s="2">
        <v>22</v>
      </c>
    </row>
    <row r="4805" ht="25.0" customHeight="true">
      <c r="A4805" t="s" s="2">
        <v>13</v>
      </c>
      <c r="B4805" t="s" s="2">
        <f>HYPERLINK("http://ts.21cn.com/tousu/show/id/1368869","利息太高，协商减免")</f>
      </c>
      <c r="C4805" t="s" s="2">
        <v>15</v>
      </c>
      <c r="D4805" t="s" s="2">
        <v>16</v>
      </c>
      <c r="E4805" t="s" s="2">
        <v>17</v>
      </c>
      <c r="F4805" t="s" s="2">
        <f>HYPERLINK("http://ts.21cn.com/tousu/show/id/1368869","http://ts.21cn.com/tousu/show/id/1368869")</f>
      </c>
      <c r="G4805" t="s" s="2">
        <v>17</v>
      </c>
      <c r="H4805" t="s" s="2">
        <v>19</v>
      </c>
      <c r="I4805" t="s" s="2">
        <v>18672</v>
      </c>
      <c r="J4805" t="s" s="2">
        <v>18673</v>
      </c>
      <c r="K4805" t="s" s="2">
        <v>22</v>
      </c>
      <c r="L4805" t="s" s="2">
        <v>22</v>
      </c>
      <c r="M4805" t="s" s="2">
        <v>22</v>
      </c>
    </row>
    <row r="4806" ht="25.0" customHeight="true">
      <c r="A4806" t="s" s="2">
        <v>13</v>
      </c>
      <c r="B4806" t="s" s="2">
        <f>HYPERLINK("http://ts.21cn.com/tousu/show/id/1368868","我来贷暴力催收")</f>
      </c>
      <c r="C4806" t="s" s="2">
        <v>15</v>
      </c>
      <c r="D4806" t="s" s="2">
        <v>16</v>
      </c>
      <c r="E4806" t="s" s="2">
        <v>17</v>
      </c>
      <c r="F4806" t="s" s="2">
        <f>HYPERLINK("http://ts.21cn.com/tousu/show/id/1368868","http://ts.21cn.com/tousu/show/id/1368868")</f>
      </c>
      <c r="G4806" t="s" s="2">
        <v>17</v>
      </c>
      <c r="H4806" t="s" s="2">
        <v>19</v>
      </c>
      <c r="I4806" t="s" s="2">
        <v>18675</v>
      </c>
      <c r="J4806" t="s" s="2">
        <v>18676</v>
      </c>
      <c r="K4806" t="s" s="2">
        <v>22</v>
      </c>
      <c r="L4806" t="s" s="2">
        <v>22</v>
      </c>
      <c r="M4806" t="s" s="2">
        <v>22</v>
      </c>
    </row>
    <row r="4807" ht="25.0" customHeight="true">
      <c r="A4807" t="s" s="2">
        <v>13</v>
      </c>
      <c r="B4807" t="s" s="2">
        <f>HYPERLINK("http://ts.21cn.com/tousu/show/id/1368867","车款已经扣除，今天一直打本人电话，告诉他们还款后。他们直接打联系人电话进行骚扰")</f>
      </c>
      <c r="C4807" t="s" s="2">
        <v>15</v>
      </c>
      <c r="D4807" t="s" s="2">
        <v>16</v>
      </c>
      <c r="E4807" t="s" s="2">
        <v>17</v>
      </c>
      <c r="F4807" t="s" s="2">
        <f>HYPERLINK("http://ts.21cn.com/tousu/show/id/1368867","http://ts.21cn.com/tousu/show/id/1368867")</f>
      </c>
      <c r="G4807" t="s" s="2">
        <v>17</v>
      </c>
      <c r="H4807" t="s" s="2">
        <v>19</v>
      </c>
      <c r="I4807" t="s" s="2">
        <v>18679</v>
      </c>
      <c r="J4807" t="s" s="2">
        <v>18680</v>
      </c>
      <c r="K4807" t="s" s="2">
        <v>22</v>
      </c>
      <c r="L4807" t="s" s="2">
        <v>22</v>
      </c>
      <c r="M4807" t="s" s="2">
        <v>22</v>
      </c>
    </row>
    <row r="4808" ht="25.0" customHeight="true">
      <c r="A4808" t="s" s="2">
        <v>13</v>
      </c>
      <c r="B4808" t="s" s="2">
        <f>HYPERLINK("http://ts.21cn.com/tousu/show/id/1368866","9.20号申请卡卡贷10000元到10.17还未放款，时隔26天")</f>
      </c>
      <c r="C4808" t="s" s="2">
        <v>15</v>
      </c>
      <c r="D4808" t="s" s="2">
        <v>16</v>
      </c>
      <c r="E4808" t="s" s="2">
        <v>17</v>
      </c>
      <c r="F4808" t="s" s="2">
        <f>HYPERLINK("http://ts.21cn.com/tousu/show/id/1368866","http://ts.21cn.com/tousu/show/id/1368866")</f>
      </c>
      <c r="G4808" t="s" s="2">
        <v>17</v>
      </c>
      <c r="H4808" t="s" s="2">
        <v>19</v>
      </c>
      <c r="I4808" t="s" s="2">
        <v>18683</v>
      </c>
      <c r="J4808" t="s" s="2">
        <v>18684</v>
      </c>
      <c r="K4808" t="s" s="2">
        <v>22</v>
      </c>
      <c r="L4808" t="s" s="2">
        <v>22</v>
      </c>
      <c r="M4808" t="s" s="2">
        <v>22</v>
      </c>
    </row>
    <row r="4809" ht="25.0" customHeight="true">
      <c r="A4809" t="s" s="2">
        <v>13</v>
      </c>
      <c r="B4809" t="s" s="2">
        <f>HYPERLINK("http://ts.21cn.com/tousu/show/id/1368865","惠花花收取保险费，借款一千十四天还款1188.26，严重超过法定利率")</f>
      </c>
      <c r="C4809" t="s" s="2">
        <v>15</v>
      </c>
      <c r="D4809" t="s" s="2">
        <v>16</v>
      </c>
      <c r="E4809" t="s" s="2">
        <v>17</v>
      </c>
      <c r="F4809" t="s" s="2">
        <f>HYPERLINK("http://ts.21cn.com/tousu/show/id/1368865","http://ts.21cn.com/tousu/show/id/1368865")</f>
      </c>
      <c r="G4809" t="s" s="2">
        <v>17</v>
      </c>
      <c r="H4809" t="s" s="2">
        <v>19</v>
      </c>
      <c r="I4809" t="s" s="2">
        <v>18687</v>
      </c>
      <c r="J4809" t="s" s="2">
        <v>18688</v>
      </c>
      <c r="K4809" t="s" s="2">
        <v>22</v>
      </c>
      <c r="L4809" t="s" s="2">
        <v>22</v>
      </c>
      <c r="M4809" t="s" s="2">
        <v>22</v>
      </c>
    </row>
    <row r="4810" ht="25.0" customHeight="true">
      <c r="A4810" t="s" s="2">
        <v>13</v>
      </c>
      <c r="B4810" t="s" s="2">
        <f>HYPERLINK("http://ts.21cn.com/tousu/show/id/1368864","美团外卖，加盟美团站点大连森成拖欠活动奖金。")</f>
      </c>
      <c r="C4810" t="s" s="2">
        <v>15</v>
      </c>
      <c r="D4810" t="s" s="2">
        <v>16</v>
      </c>
      <c r="E4810" t="s" s="2">
        <v>17</v>
      </c>
      <c r="F4810" t="s" s="2">
        <f>HYPERLINK("http://ts.21cn.com/tousu/show/id/1368864","http://ts.21cn.com/tousu/show/id/1368864")</f>
      </c>
      <c r="G4810" t="s" s="2">
        <v>17</v>
      </c>
      <c r="H4810" t="s" s="2">
        <v>19</v>
      </c>
      <c r="I4810" t="s" s="2">
        <v>18691</v>
      </c>
      <c r="J4810" t="s" s="2">
        <v>18692</v>
      </c>
      <c r="K4810" t="s" s="2">
        <v>22</v>
      </c>
      <c r="L4810" t="s" s="2">
        <v>22</v>
      </c>
      <c r="M4810" t="s" s="2">
        <v>22</v>
      </c>
    </row>
    <row r="4811" ht="25.0" customHeight="true">
      <c r="A4811" t="s" s="2">
        <v>13</v>
      </c>
      <c r="B4811" t="s" s="2">
        <f>HYPERLINK("http://ts.21cn.com/tousu/show/id/1368863","骚扰恐吓")</f>
      </c>
      <c r="C4811" t="s" s="2">
        <v>15</v>
      </c>
      <c r="D4811" t="s" s="2">
        <v>16</v>
      </c>
      <c r="E4811" t="s" s="2">
        <v>17</v>
      </c>
      <c r="F4811" t="s" s="2">
        <f>HYPERLINK("http://ts.21cn.com/tousu/show/id/1368863","http://ts.21cn.com/tousu/show/id/1368863")</f>
      </c>
      <c r="G4811" t="s" s="2">
        <v>17</v>
      </c>
      <c r="H4811" t="s" s="2">
        <v>19</v>
      </c>
      <c r="I4811" t="s" s="2">
        <v>18694</v>
      </c>
      <c r="J4811" t="s" s="2">
        <v>18695</v>
      </c>
      <c r="K4811" t="s" s="2">
        <v>22</v>
      </c>
      <c r="L4811" t="s" s="2">
        <v>22</v>
      </c>
      <c r="M4811" t="s" s="2">
        <v>22</v>
      </c>
    </row>
    <row r="4812" ht="25.0" customHeight="true">
      <c r="A4812" t="s" s="2">
        <v>13</v>
      </c>
      <c r="B4812" t="s" s="2">
        <f>HYPERLINK("http://ts.21cn.com/tousu/show/id/1368862","兴业银行信用卡app显示与银行工作人员反馈不一致")</f>
      </c>
      <c r="C4812" t="s" s="2">
        <v>15</v>
      </c>
      <c r="D4812" t="s" s="2">
        <v>16</v>
      </c>
      <c r="E4812" t="s" s="2">
        <v>17</v>
      </c>
      <c r="F4812" t="s" s="2">
        <f>HYPERLINK("http://ts.21cn.com/tousu/show/id/1368862","http://ts.21cn.com/tousu/show/id/1368862")</f>
      </c>
      <c r="G4812" t="s" s="2">
        <v>17</v>
      </c>
      <c r="H4812" t="s" s="2">
        <v>19</v>
      </c>
      <c r="I4812" t="s" s="2">
        <v>18694</v>
      </c>
      <c r="J4812" t="s" s="2">
        <v>18698</v>
      </c>
      <c r="K4812" t="s" s="2">
        <v>22</v>
      </c>
      <c r="L4812" t="s" s="2">
        <v>22</v>
      </c>
      <c r="M4812" t="s" s="2">
        <v>22</v>
      </c>
    </row>
    <row r="4813" ht="25.0" customHeight="true">
      <c r="A4813" t="s" s="2">
        <v>13</v>
      </c>
      <c r="B4813" t="s" s="2">
        <f>HYPERLINK("http://ts.21cn.com/tousu/show/id/1368861","酷宝支付，还我钱")</f>
      </c>
      <c r="C4813" t="s" s="2">
        <v>15</v>
      </c>
      <c r="D4813" t="s" s="2">
        <v>16</v>
      </c>
      <c r="E4813" t="s" s="2">
        <v>17</v>
      </c>
      <c r="F4813" t="s" s="2">
        <f>HYPERLINK("http://ts.21cn.com/tousu/show/id/1368861","http://ts.21cn.com/tousu/show/id/1368861")</f>
      </c>
      <c r="G4813" t="s" s="2">
        <v>17</v>
      </c>
      <c r="H4813" t="s" s="2">
        <v>19</v>
      </c>
      <c r="I4813" t="s" s="2">
        <v>18701</v>
      </c>
      <c r="J4813" t="s" s="2">
        <v>18702</v>
      </c>
      <c r="K4813" t="s" s="2">
        <v>22</v>
      </c>
      <c r="L4813" t="s" s="2">
        <v>22</v>
      </c>
      <c r="M4813" t="s" s="2">
        <v>22</v>
      </c>
    </row>
    <row r="4814" ht="25.0" customHeight="true">
      <c r="A4814" t="s" s="2">
        <v>13</v>
      </c>
      <c r="B4814" t="s" s="2">
        <f>HYPERLINK("http://ts.21cn.com/tousu/show/id/1368582","钱站app，高利贷、砍头息、合同虚假")</f>
      </c>
      <c r="C4814" t="s" s="2">
        <v>15</v>
      </c>
      <c r="D4814" t="s" s="2">
        <v>16</v>
      </c>
      <c r="E4814" t="s" s="2">
        <v>17</v>
      </c>
      <c r="F4814" t="s" s="2">
        <f>HYPERLINK("http://ts.21cn.com/tousu/show/id/1368582","http://ts.21cn.com/tousu/show/id/1368582")</f>
      </c>
      <c r="G4814" t="s" s="2">
        <v>17</v>
      </c>
      <c r="H4814" t="s" s="2">
        <v>19</v>
      </c>
      <c r="I4814" t="s" s="2">
        <v>18705</v>
      </c>
      <c r="J4814" t="s" s="2">
        <v>18706</v>
      </c>
      <c r="K4814" t="s" s="2">
        <v>22</v>
      </c>
      <c r="L4814" t="s" s="2">
        <v>22</v>
      </c>
      <c r="M4814" t="s" s="2">
        <v>22</v>
      </c>
    </row>
    <row r="4815" ht="25.0" customHeight="true">
      <c r="A4815" t="s" s="2">
        <v>13</v>
      </c>
      <c r="B4815" t="s" s="2">
        <f>HYPERLINK("http://ts.21cn.com/tousu/show/id/1368860","平安普惠恶意窥探用户隐私，恶意催收，毁坏个人名誉。")</f>
      </c>
      <c r="C4815" t="s" s="2">
        <v>15</v>
      </c>
      <c r="D4815" t="s" s="2">
        <v>16</v>
      </c>
      <c r="E4815" t="s" s="2">
        <v>17</v>
      </c>
      <c r="F4815" t="s" s="2">
        <f>HYPERLINK("http://ts.21cn.com/tousu/show/id/1368860","http://ts.21cn.com/tousu/show/id/1368860")</f>
      </c>
      <c r="G4815" t="s" s="2">
        <v>17</v>
      </c>
      <c r="H4815" t="s" s="2">
        <v>19</v>
      </c>
      <c r="I4815" t="s" s="2">
        <v>18709</v>
      </c>
      <c r="J4815" t="s" s="2">
        <v>18710</v>
      </c>
      <c r="K4815" t="s" s="2">
        <v>22</v>
      </c>
      <c r="L4815" t="s" s="2">
        <v>22</v>
      </c>
      <c r="M4815" t="s" s="2">
        <v>22</v>
      </c>
    </row>
    <row r="4816" ht="25.0" customHeight="true">
      <c r="A4816" t="s" s="2">
        <v>13</v>
      </c>
      <c r="B4816" t="s" s="2">
        <f>HYPERLINK("http://ts.21cn.com/tousu/show/id/1368859","及贷暴力催收威胁我停止催收")</f>
      </c>
      <c r="C4816" t="s" s="2">
        <v>15</v>
      </c>
      <c r="D4816" t="s" s="2">
        <v>16</v>
      </c>
      <c r="E4816" t="s" s="2">
        <v>17</v>
      </c>
      <c r="F4816" t="s" s="2">
        <f>HYPERLINK("http://ts.21cn.com/tousu/show/id/1368859","http://ts.21cn.com/tousu/show/id/1368859")</f>
      </c>
      <c r="G4816" t="s" s="2">
        <v>17</v>
      </c>
      <c r="H4816" t="s" s="2">
        <v>19</v>
      </c>
      <c r="I4816" t="s" s="2">
        <v>18713</v>
      </c>
      <c r="J4816" t="s" s="2">
        <v>18714</v>
      </c>
      <c r="K4816" t="s" s="2">
        <v>22</v>
      </c>
      <c r="L4816" t="s" s="2">
        <v>22</v>
      </c>
      <c r="M4816" t="s" s="2">
        <v>22</v>
      </c>
    </row>
    <row r="4817" ht="25.0" customHeight="true">
      <c r="A4817" t="s" s="2">
        <v>13</v>
      </c>
      <c r="B4817" t="s" s="2">
        <f>HYPERLINK("http://ts.21cn.com/tousu/show/id/1368843","暴力催收家人")</f>
      </c>
      <c r="C4817" t="s" s="2">
        <v>15</v>
      </c>
      <c r="D4817" t="s" s="2">
        <v>16</v>
      </c>
      <c r="E4817" t="s" s="2">
        <v>17</v>
      </c>
      <c r="F4817" t="s" s="2">
        <f>HYPERLINK("http://ts.21cn.com/tousu/show/id/1368843","http://ts.21cn.com/tousu/show/id/1368843")</f>
      </c>
      <c r="G4817" t="s" s="2">
        <v>17</v>
      </c>
      <c r="H4817" t="s" s="2">
        <v>19</v>
      </c>
      <c r="I4817" t="s" s="2">
        <v>18717</v>
      </c>
      <c r="J4817" t="s" s="2">
        <v>18718</v>
      </c>
      <c r="K4817" t="s" s="2">
        <v>22</v>
      </c>
      <c r="L4817" t="s" s="2">
        <v>22</v>
      </c>
      <c r="M4817" t="s" s="2">
        <v>22</v>
      </c>
    </row>
    <row r="4818" ht="25.0" customHeight="true">
      <c r="A4818" t="s" s="2">
        <v>13</v>
      </c>
      <c r="B4818" t="s" s="2">
        <f>HYPERLINK("http://ts.21cn.com/tousu/show/id/1368858","小闪分期审核超时不给取消")</f>
      </c>
      <c r="C4818" t="s" s="2">
        <v>15</v>
      </c>
      <c r="D4818" t="s" s="2">
        <v>16</v>
      </c>
      <c r="E4818" t="s" s="2">
        <v>17</v>
      </c>
      <c r="F4818" t="s" s="2">
        <f>HYPERLINK("http://ts.21cn.com/tousu/show/id/1368858","http://ts.21cn.com/tousu/show/id/1368858")</f>
      </c>
      <c r="G4818" t="s" s="2">
        <v>17</v>
      </c>
      <c r="H4818" t="s" s="2">
        <v>19</v>
      </c>
      <c r="I4818" t="s" s="2">
        <v>18721</v>
      </c>
      <c r="J4818" t="s" s="2">
        <v>18722</v>
      </c>
      <c r="K4818" t="s" s="2">
        <v>22</v>
      </c>
      <c r="L4818" t="s" s="2">
        <v>22</v>
      </c>
      <c r="M4818" t="s" s="2">
        <v>22</v>
      </c>
    </row>
    <row r="4819" ht="25.0" customHeight="true">
      <c r="A4819" t="s" s="2">
        <v>13</v>
      </c>
      <c r="B4819" t="s" s="2">
        <f>HYPERLINK("http://ts.21cn.com/tousu/show/id/1368857","北京恒昌恒易融网贷平台阴阳合同、高利贷、砍头息、高额服务费")</f>
      </c>
      <c r="C4819" t="s" s="2">
        <v>15</v>
      </c>
      <c r="D4819" t="s" s="2">
        <v>16</v>
      </c>
      <c r="E4819" t="s" s="2">
        <v>17</v>
      </c>
      <c r="F4819" t="s" s="2">
        <f>HYPERLINK("http://ts.21cn.com/tousu/show/id/1368857","http://ts.21cn.com/tousu/show/id/1368857")</f>
      </c>
      <c r="G4819" t="s" s="2">
        <v>17</v>
      </c>
      <c r="H4819" t="s" s="2">
        <v>19</v>
      </c>
      <c r="I4819" t="s" s="2">
        <v>18725</v>
      </c>
      <c r="J4819" t="s" s="2">
        <v>18726</v>
      </c>
      <c r="K4819" t="s" s="2">
        <v>22</v>
      </c>
      <c r="L4819" t="s" s="2">
        <v>22</v>
      </c>
      <c r="M4819" t="s" s="2">
        <v>22</v>
      </c>
    </row>
    <row r="4820" ht="25.0" customHeight="true">
      <c r="A4820" t="s" s="2">
        <v>13</v>
      </c>
      <c r="B4820" t="s" s="2">
        <f>HYPERLINK("http://ts.21cn.com/tousu/show/id/1368855","小金象高利贷，汇潮支付为其放款，支付宝为其提供放款通道")</f>
      </c>
      <c r="C4820" t="s" s="2">
        <v>15</v>
      </c>
      <c r="D4820" t="s" s="2">
        <v>16</v>
      </c>
      <c r="E4820" t="s" s="2">
        <v>17</v>
      </c>
      <c r="F4820" t="s" s="2">
        <f>HYPERLINK("http://ts.21cn.com/tousu/show/id/1368855","http://ts.21cn.com/tousu/show/id/1368855")</f>
      </c>
      <c r="G4820" t="s" s="2">
        <v>17</v>
      </c>
      <c r="H4820" t="s" s="2">
        <v>19</v>
      </c>
      <c r="I4820" t="s" s="2">
        <v>18729</v>
      </c>
      <c r="J4820" t="s" s="2">
        <v>18730</v>
      </c>
      <c r="K4820" t="s" s="2">
        <v>22</v>
      </c>
      <c r="L4820" t="s" s="2">
        <v>22</v>
      </c>
      <c r="M4820" t="s" s="2">
        <v>22</v>
      </c>
    </row>
    <row r="4821" ht="25.0" customHeight="true">
      <c r="A4821" t="s" s="2">
        <v>13</v>
      </c>
      <c r="B4821" t="s" s="2">
        <f>HYPERLINK("http://ts.21cn.com/tousu/show/id/1368854","贷上线高利贷套路贷暴力催收，申请2500，到账1800，逾期收5000")</f>
      </c>
      <c r="C4821" t="s" s="2">
        <v>15</v>
      </c>
      <c r="D4821" t="s" s="2">
        <v>16</v>
      </c>
      <c r="E4821" t="s" s="2">
        <v>17</v>
      </c>
      <c r="F4821" t="s" s="2">
        <f>HYPERLINK("http://ts.21cn.com/tousu/show/id/1368854","http://ts.21cn.com/tousu/show/id/1368854")</f>
      </c>
      <c r="G4821" t="s" s="2">
        <v>17</v>
      </c>
      <c r="H4821" t="s" s="2">
        <v>19</v>
      </c>
      <c r="I4821" t="s" s="2">
        <v>18733</v>
      </c>
      <c r="J4821" t="s" s="2">
        <v>18734</v>
      </c>
      <c r="K4821" t="s" s="2">
        <v>22</v>
      </c>
      <c r="L4821" t="s" s="2">
        <v>22</v>
      </c>
      <c r="M4821" t="s" s="2">
        <v>22</v>
      </c>
    </row>
    <row r="4822" ht="25.0" customHeight="true">
      <c r="A4822" t="s" s="2">
        <v>13</v>
      </c>
      <c r="B4822" t="s" s="2">
        <f>HYPERLINK("http://ts.21cn.com/tousu/show/id/1368852","小赢卡贷恶劣催收")</f>
      </c>
      <c r="C4822" t="s" s="2">
        <v>15</v>
      </c>
      <c r="D4822" t="s" s="2">
        <v>16</v>
      </c>
      <c r="E4822" t="s" s="2">
        <v>17</v>
      </c>
      <c r="F4822" t="s" s="2">
        <f>HYPERLINK("http://ts.21cn.com/tousu/show/id/1368852","http://ts.21cn.com/tousu/show/id/1368852")</f>
      </c>
      <c r="G4822" t="s" s="2">
        <v>17</v>
      </c>
      <c r="H4822" t="s" s="2">
        <v>19</v>
      </c>
      <c r="I4822" t="s" s="2">
        <v>18737</v>
      </c>
      <c r="J4822" t="s" s="2">
        <v>18738</v>
      </c>
      <c r="K4822" t="s" s="2">
        <v>22</v>
      </c>
      <c r="L4822" t="s" s="2">
        <v>22</v>
      </c>
      <c r="M4822" t="s" s="2">
        <v>22</v>
      </c>
    </row>
    <row r="4823" ht="25.0" customHeight="true">
      <c r="A4823" t="s" s="2">
        <v>13</v>
      </c>
      <c r="B4823" t="s" s="2">
        <f>HYPERLINK("http://ts.21cn.com/tousu/show/id/1368849","平安普惠恐吓，暴力催收")</f>
      </c>
      <c r="C4823" t="s" s="2">
        <v>15</v>
      </c>
      <c r="D4823" t="s" s="2">
        <v>16</v>
      </c>
      <c r="E4823" t="s" s="2">
        <v>17</v>
      </c>
      <c r="F4823" t="s" s="2">
        <f>HYPERLINK("http://ts.21cn.com/tousu/show/id/1368849","http://ts.21cn.com/tousu/show/id/1368849")</f>
      </c>
      <c r="G4823" t="s" s="2">
        <v>17</v>
      </c>
      <c r="H4823" t="s" s="2">
        <v>19</v>
      </c>
      <c r="I4823" t="s" s="2">
        <v>18741</v>
      </c>
      <c r="J4823" t="s" s="2">
        <v>18742</v>
      </c>
      <c r="K4823" t="s" s="2">
        <v>22</v>
      </c>
      <c r="L4823" t="s" s="2">
        <v>22</v>
      </c>
      <c r="M4823" t="s" s="2">
        <v>22</v>
      </c>
    </row>
    <row r="4824" ht="25.0" customHeight="true">
      <c r="A4824" t="s" s="2">
        <v>13</v>
      </c>
      <c r="B4824" t="s" s="2">
        <f>HYPERLINK("http://ts.21cn.com/tousu/show/id/1368850","恶意骚扰，多次告知，仍然持续骚扰我长达接近6年")</f>
      </c>
      <c r="C4824" t="s" s="2">
        <v>15</v>
      </c>
      <c r="D4824" t="s" s="2">
        <v>16</v>
      </c>
      <c r="E4824" t="s" s="2">
        <v>17</v>
      </c>
      <c r="F4824" t="s" s="2">
        <f>HYPERLINK("http://ts.21cn.com/tousu/show/id/1368850","http://ts.21cn.com/tousu/show/id/1368850")</f>
      </c>
      <c r="G4824" t="s" s="2">
        <v>17</v>
      </c>
      <c r="H4824" t="s" s="2">
        <v>19</v>
      </c>
      <c r="I4824" t="s" s="2">
        <v>18745</v>
      </c>
      <c r="J4824" t="s" s="2">
        <v>18746</v>
      </c>
      <c r="K4824" t="s" s="2">
        <v>22</v>
      </c>
      <c r="L4824" t="s" s="2">
        <v>22</v>
      </c>
      <c r="M4824" t="s" s="2">
        <v>22</v>
      </c>
    </row>
    <row r="4825" ht="25.0" customHeight="true">
      <c r="A4825" t="s" s="2">
        <v>13</v>
      </c>
      <c r="B4825" t="s" s="2">
        <f>HYPERLINK("http://ts.21cn.com/tousu/show/id/1368848","惠普暗影精灵2PLUS电池鼓包")</f>
      </c>
      <c r="C4825" t="s" s="2">
        <v>52</v>
      </c>
      <c r="D4825" t="s" s="2">
        <v>16</v>
      </c>
      <c r="E4825" t="s" s="2">
        <v>17</v>
      </c>
      <c r="F4825" t="s" s="2">
        <f>HYPERLINK("http://ts.21cn.com/tousu/show/id/1368848","http://ts.21cn.com/tousu/show/id/1368848")</f>
      </c>
      <c r="G4825" t="s" s="2">
        <v>17</v>
      </c>
      <c r="H4825" t="s" s="2">
        <v>19</v>
      </c>
      <c r="I4825" t="s" s="2">
        <v>18749</v>
      </c>
      <c r="J4825" t="s" s="2">
        <v>18750</v>
      </c>
      <c r="K4825" t="s" s="2">
        <v>22</v>
      </c>
      <c r="L4825" t="s" s="2">
        <v>22</v>
      </c>
      <c r="M4825" t="s" s="2">
        <v>22</v>
      </c>
    </row>
    <row r="4826" ht="25.0" customHeight="true">
      <c r="A4826" t="s" s="2">
        <v>13</v>
      </c>
      <c r="B4826" t="s" s="2">
        <f>HYPERLINK("http://ts.21cn.com/tousu/show/id/1368847","上海富友为随意拿714高炮提供支付通道要求退还砍头息")</f>
      </c>
      <c r="C4826" t="s" s="2">
        <v>52</v>
      </c>
      <c r="D4826" t="s" s="2">
        <v>16</v>
      </c>
      <c r="E4826" t="s" s="2">
        <v>17</v>
      </c>
      <c r="F4826" t="s" s="2">
        <f>HYPERLINK("http://ts.21cn.com/tousu/show/id/1368847","http://ts.21cn.com/tousu/show/id/1368847")</f>
      </c>
      <c r="G4826" t="s" s="2">
        <v>17</v>
      </c>
      <c r="H4826" t="s" s="2">
        <v>19</v>
      </c>
      <c r="I4826" t="s" s="2">
        <v>18753</v>
      </c>
      <c r="J4826" t="s" s="2">
        <v>18754</v>
      </c>
      <c r="K4826" t="s" s="2">
        <v>22</v>
      </c>
      <c r="L4826" t="s" s="2">
        <v>22</v>
      </c>
      <c r="M4826" t="s" s="2">
        <v>22</v>
      </c>
    </row>
    <row r="4827" ht="25.0" customHeight="true">
      <c r="A4827" t="s" s="2">
        <v>13</v>
      </c>
      <c r="B4827" t="s" s="2">
        <f>HYPERLINK("http://ts.21cn.com/tousu/show/id/1368846","宜信普惠恶意催收，骚扰")</f>
      </c>
      <c r="C4827" t="s" s="2">
        <v>15</v>
      </c>
      <c r="D4827" t="s" s="2">
        <v>16</v>
      </c>
      <c r="E4827" t="s" s="2">
        <v>17</v>
      </c>
      <c r="F4827" t="s" s="2">
        <f>HYPERLINK("http://ts.21cn.com/tousu/show/id/1368846","http://ts.21cn.com/tousu/show/id/1368846")</f>
      </c>
      <c r="G4827" t="s" s="2">
        <v>17</v>
      </c>
      <c r="H4827" t="s" s="2">
        <v>19</v>
      </c>
      <c r="I4827" t="s" s="2">
        <v>18757</v>
      </c>
      <c r="J4827" t="s" s="2">
        <v>18758</v>
      </c>
      <c r="K4827" t="s" s="2">
        <v>22</v>
      </c>
      <c r="L4827" t="s" s="2">
        <v>22</v>
      </c>
      <c r="M4827" t="s" s="2">
        <v>22</v>
      </c>
    </row>
    <row r="4828" ht="25.0" customHeight="true">
      <c r="A4828" t="s" s="2">
        <v>13</v>
      </c>
      <c r="B4828" t="s" s="2">
        <f>HYPERLINK("http://ts.21cn.com/tousu/show/id/1368845","翼钱包重复扣款")</f>
      </c>
      <c r="C4828" t="s" s="2">
        <v>15</v>
      </c>
      <c r="D4828" t="s" s="2">
        <v>16</v>
      </c>
      <c r="E4828" t="s" s="2">
        <v>17</v>
      </c>
      <c r="F4828" t="s" s="2">
        <f>HYPERLINK("http://ts.21cn.com/tousu/show/id/1368845","http://ts.21cn.com/tousu/show/id/1368845")</f>
      </c>
      <c r="G4828" t="s" s="2">
        <v>17</v>
      </c>
      <c r="H4828" t="s" s="2">
        <v>19</v>
      </c>
      <c r="I4828" t="s" s="2">
        <v>18761</v>
      </c>
      <c r="J4828" t="s" s="2">
        <v>18762</v>
      </c>
      <c r="K4828" t="s" s="2">
        <v>22</v>
      </c>
      <c r="L4828" t="s" s="2">
        <v>22</v>
      </c>
      <c r="M4828" t="s" s="2">
        <v>22</v>
      </c>
    </row>
    <row r="4829" ht="25.0" customHeight="true">
      <c r="A4829" t="s" s="2">
        <v>13</v>
      </c>
      <c r="B4829" t="s" s="2">
        <f>HYPERLINK("http://ts.21cn.com/tousu/show/id/1368842","纳什空间拖欠房租")</f>
      </c>
      <c r="C4829" t="s" s="2">
        <v>15</v>
      </c>
      <c r="D4829" t="s" s="2">
        <v>16</v>
      </c>
      <c r="E4829" t="s" s="2">
        <v>17</v>
      </c>
      <c r="F4829" t="s" s="2">
        <f>HYPERLINK("http://ts.21cn.com/tousu/show/id/1368842","http://ts.21cn.com/tousu/show/id/1368842")</f>
      </c>
      <c r="G4829" t="s" s="2">
        <v>17</v>
      </c>
      <c r="H4829" t="s" s="2">
        <v>19</v>
      </c>
      <c r="I4829" t="s" s="2">
        <v>18765</v>
      </c>
      <c r="J4829" t="s" s="2">
        <v>18766</v>
      </c>
      <c r="K4829" t="s" s="2">
        <v>22</v>
      </c>
      <c r="L4829" t="s" s="2">
        <v>22</v>
      </c>
      <c r="M4829" t="s" s="2">
        <v>22</v>
      </c>
    </row>
    <row r="4830" ht="25.0" customHeight="true">
      <c r="A4830" t="s" s="2">
        <v>13</v>
      </c>
      <c r="B4830" t="s" s="2">
        <f>HYPERLINK("http://ts.21cn.com/tousu/show/id/1368841","洋钱罐恶意收取高额管理费")</f>
      </c>
      <c r="C4830" t="s" s="2">
        <v>15</v>
      </c>
      <c r="D4830" t="s" s="2">
        <v>16</v>
      </c>
      <c r="E4830" t="s" s="2">
        <v>17</v>
      </c>
      <c r="F4830" t="s" s="2">
        <f>HYPERLINK("http://ts.21cn.com/tousu/show/id/1368841","http://ts.21cn.com/tousu/show/id/1368841")</f>
      </c>
      <c r="G4830" t="s" s="2">
        <v>17</v>
      </c>
      <c r="H4830" t="s" s="2">
        <v>19</v>
      </c>
      <c r="I4830" t="s" s="2">
        <v>18769</v>
      </c>
      <c r="J4830" t="s" s="2">
        <v>18770</v>
      </c>
      <c r="K4830" t="s" s="2">
        <v>22</v>
      </c>
      <c r="L4830" t="s" s="2">
        <v>22</v>
      </c>
      <c r="M4830" t="s" s="2">
        <v>22</v>
      </c>
    </row>
    <row r="4831" ht="25.0" customHeight="true">
      <c r="A4831" t="s" s="2">
        <v>13</v>
      </c>
      <c r="B4831" t="s" s="2">
        <f>HYPERLINK("http://ts.21cn.com/tousu/show/id/1368840","影响我家人，朋友")</f>
      </c>
      <c r="C4831" t="s" s="2">
        <v>52</v>
      </c>
      <c r="D4831" t="s" s="2">
        <v>16</v>
      </c>
      <c r="E4831" t="s" s="2">
        <v>17</v>
      </c>
      <c r="F4831" t="s" s="2">
        <f>HYPERLINK("http://ts.21cn.com/tousu/show/id/1368840","http://ts.21cn.com/tousu/show/id/1368840")</f>
      </c>
      <c r="G4831" t="s" s="2">
        <v>17</v>
      </c>
      <c r="H4831" t="s" s="2">
        <v>19</v>
      </c>
      <c r="I4831" t="s" s="2">
        <v>18773</v>
      </c>
      <c r="J4831" t="s" s="2">
        <v>18774</v>
      </c>
      <c r="K4831" t="s" s="2">
        <v>22</v>
      </c>
      <c r="L4831" t="s" s="2">
        <v>22</v>
      </c>
      <c r="M4831" t="s" s="2">
        <v>22</v>
      </c>
    </row>
    <row r="4832" ht="25.0" customHeight="true">
      <c r="A4832" t="s" s="2">
        <v>13</v>
      </c>
      <c r="B4832" t="s" s="2">
        <f>HYPERLINK("http://ts.21cn.com/tousu/show/id/1368827","投诉京东刷单行为")</f>
      </c>
      <c r="C4832" t="s" s="2">
        <v>15</v>
      </c>
      <c r="D4832" t="s" s="2">
        <v>16</v>
      </c>
      <c r="E4832" t="s" s="2">
        <v>17</v>
      </c>
      <c r="F4832" t="s" s="2">
        <f>HYPERLINK("http://ts.21cn.com/tousu/show/id/1368827","http://ts.21cn.com/tousu/show/id/1368827")</f>
      </c>
      <c r="G4832" t="s" s="2">
        <v>17</v>
      </c>
      <c r="H4832" t="s" s="2">
        <v>19</v>
      </c>
      <c r="I4832" t="s" s="2">
        <v>18777</v>
      </c>
      <c r="J4832" t="s" s="2">
        <v>18778</v>
      </c>
      <c r="K4832" t="s" s="2">
        <v>22</v>
      </c>
      <c r="L4832" t="s" s="2">
        <v>22</v>
      </c>
      <c r="M4832" t="s" s="2">
        <v>22</v>
      </c>
    </row>
    <row r="4833" ht="25.0" customHeight="true">
      <c r="A4833" t="s" s="2">
        <v>13</v>
      </c>
      <c r="B4833" t="s" s="2">
        <f>HYPERLINK("http://ts.21cn.com/tousu/show/id/1368839","捷信金融高利贷，恶意催收")</f>
      </c>
      <c r="C4833" t="s" s="2">
        <v>15</v>
      </c>
      <c r="D4833" t="s" s="2">
        <v>16</v>
      </c>
      <c r="E4833" t="s" s="2">
        <v>17</v>
      </c>
      <c r="F4833" t="s" s="2">
        <f>HYPERLINK("http://ts.21cn.com/tousu/show/id/1368839","http://ts.21cn.com/tousu/show/id/1368839")</f>
      </c>
      <c r="G4833" t="s" s="2">
        <v>17</v>
      </c>
      <c r="H4833" t="s" s="2">
        <v>19</v>
      </c>
      <c r="I4833" t="s" s="2">
        <v>18781</v>
      </c>
      <c r="J4833" t="s" s="2">
        <v>18782</v>
      </c>
      <c r="K4833" t="s" s="2">
        <v>22</v>
      </c>
      <c r="L4833" t="s" s="2">
        <v>22</v>
      </c>
      <c r="M4833" t="s" s="2">
        <v>22</v>
      </c>
    </row>
    <row r="4834" ht="25.0" customHeight="true">
      <c r="A4834" t="s" s="2">
        <v>13</v>
      </c>
      <c r="B4834" t="s" s="2">
        <f>HYPERLINK("http://ts.21cn.com/tousu/show/id/1368838","再次投诉钱站")</f>
      </c>
      <c r="C4834" t="s" s="2">
        <v>15</v>
      </c>
      <c r="D4834" t="s" s="2">
        <v>16</v>
      </c>
      <c r="E4834" t="s" s="2">
        <v>17</v>
      </c>
      <c r="F4834" t="s" s="2">
        <f>HYPERLINK("http://ts.21cn.com/tousu/show/id/1368838","http://ts.21cn.com/tousu/show/id/1368838")</f>
      </c>
      <c r="G4834" t="s" s="2">
        <v>17</v>
      </c>
      <c r="H4834" t="s" s="2">
        <v>19</v>
      </c>
      <c r="I4834" t="s" s="2">
        <v>18785</v>
      </c>
      <c r="J4834" t="s" s="2">
        <v>18786</v>
      </c>
      <c r="K4834" t="s" s="2">
        <v>22</v>
      </c>
      <c r="L4834" t="s" s="2">
        <v>22</v>
      </c>
      <c r="M4834" t="s" s="2">
        <v>22</v>
      </c>
    </row>
    <row r="4835" ht="25.0" customHeight="true">
      <c r="A4835" t="s" s="2">
        <v>13</v>
      </c>
      <c r="B4835" t="s" s="2">
        <f>HYPERLINK("http://ts.21cn.com/tousu/show/id/1368837","恶意暴力催收，爆紧急联系人手机，，")</f>
      </c>
      <c r="C4835" t="s" s="2">
        <v>15</v>
      </c>
      <c r="D4835" t="s" s="2">
        <v>16</v>
      </c>
      <c r="E4835" t="s" s="2">
        <v>17</v>
      </c>
      <c r="F4835" t="s" s="2">
        <f>HYPERLINK("http://ts.21cn.com/tousu/show/id/1368837","http://ts.21cn.com/tousu/show/id/1368837")</f>
      </c>
      <c r="G4835" t="s" s="2">
        <v>17</v>
      </c>
      <c r="H4835" t="s" s="2">
        <v>19</v>
      </c>
      <c r="I4835" t="s" s="2">
        <v>18789</v>
      </c>
      <c r="J4835" t="s" s="2">
        <v>18790</v>
      </c>
      <c r="K4835" t="s" s="2">
        <v>22</v>
      </c>
      <c r="L4835" t="s" s="2">
        <v>22</v>
      </c>
      <c r="M4835" t="s" s="2">
        <v>22</v>
      </c>
    </row>
    <row r="4836" ht="25.0" customHeight="true">
      <c r="A4836" t="s" s="2">
        <v>13</v>
      </c>
      <c r="B4836" t="s" s="2">
        <f>HYPERLINK("http://ts.21cn.com/tousu/show/id/1368836","国美易卡外包催收骚扰")</f>
      </c>
      <c r="C4836" t="s" s="2">
        <v>15</v>
      </c>
      <c r="D4836" t="s" s="2">
        <v>16</v>
      </c>
      <c r="E4836" t="s" s="2">
        <v>17</v>
      </c>
      <c r="F4836" t="s" s="2">
        <f>HYPERLINK("http://ts.21cn.com/tousu/show/id/1368836","http://ts.21cn.com/tousu/show/id/1368836")</f>
      </c>
      <c r="G4836" t="s" s="2">
        <v>17</v>
      </c>
      <c r="H4836" t="s" s="2">
        <v>19</v>
      </c>
      <c r="I4836" t="s" s="2">
        <v>18793</v>
      </c>
      <c r="J4836" t="s" s="2">
        <v>18794</v>
      </c>
      <c r="K4836" t="s" s="2">
        <v>22</v>
      </c>
      <c r="L4836" t="s" s="2">
        <v>22</v>
      </c>
      <c r="M4836" t="s" s="2">
        <v>22</v>
      </c>
    </row>
    <row r="4837" ht="25.0" customHeight="true">
      <c r="A4837" t="s" s="2">
        <v>13</v>
      </c>
      <c r="B4837" t="s" s="2">
        <f>HYPERLINK("http://ts.21cn.com/tousu/show/id/1368835","借3000到账2600，现需总还5569")</f>
      </c>
      <c r="C4837" t="s" s="2">
        <v>52</v>
      </c>
      <c r="D4837" t="s" s="2">
        <v>16</v>
      </c>
      <c r="E4837" t="s" s="2">
        <v>17</v>
      </c>
      <c r="F4837" t="s" s="2">
        <f>HYPERLINK("http://ts.21cn.com/tousu/show/id/1368835","http://ts.21cn.com/tousu/show/id/1368835")</f>
      </c>
      <c r="G4837" t="s" s="2">
        <v>17</v>
      </c>
      <c r="H4837" t="s" s="2">
        <v>19</v>
      </c>
      <c r="I4837" t="s" s="2">
        <v>18797</v>
      </c>
      <c r="J4837" t="s" s="2">
        <v>18798</v>
      </c>
      <c r="K4837" t="s" s="2">
        <v>22</v>
      </c>
      <c r="L4837" t="s" s="2">
        <v>22</v>
      </c>
      <c r="M4837" t="s" s="2">
        <v>22</v>
      </c>
    </row>
    <row r="4838" ht="25.0" customHeight="true">
      <c r="A4838" t="s" s="2">
        <v>13</v>
      </c>
      <c r="B4838" t="s" s="2">
        <f>HYPERLINK("http://ts.21cn.com/tousu/show/id/1368834","以假充真")</f>
      </c>
      <c r="C4838" t="s" s="2">
        <v>15</v>
      </c>
      <c r="D4838" t="s" s="2">
        <v>16</v>
      </c>
      <c r="E4838" t="s" s="2">
        <v>17</v>
      </c>
      <c r="F4838" t="s" s="2">
        <f>HYPERLINK("http://ts.21cn.com/tousu/show/id/1368834","http://ts.21cn.com/tousu/show/id/1368834")</f>
      </c>
      <c r="G4838" t="s" s="2">
        <v>17</v>
      </c>
      <c r="H4838" t="s" s="2">
        <v>19</v>
      </c>
      <c r="I4838" t="s" s="2">
        <v>18801</v>
      </c>
      <c r="J4838" t="s" s="2">
        <v>18802</v>
      </c>
      <c r="K4838" t="s" s="2">
        <v>22</v>
      </c>
      <c r="L4838" t="s" s="2">
        <v>22</v>
      </c>
      <c r="M4838" t="s" s="2">
        <v>22</v>
      </c>
    </row>
    <row r="4839" ht="25.0" customHeight="true">
      <c r="A4839" t="s" s="2">
        <v>13</v>
      </c>
      <c r="B4839" t="s" s="2">
        <f>HYPERLINK("http://ts.21cn.com/tousu/show/id/1368820","交通信用卡暴力催收，侵犯个人隐私")</f>
      </c>
      <c r="C4839" t="s" s="2">
        <v>15</v>
      </c>
      <c r="D4839" t="s" s="2">
        <v>16</v>
      </c>
      <c r="E4839" t="s" s="2">
        <v>17</v>
      </c>
      <c r="F4839" t="s" s="2">
        <f>HYPERLINK("http://ts.21cn.com/tousu/show/id/1368820","http://ts.21cn.com/tousu/show/id/1368820")</f>
      </c>
      <c r="G4839" t="s" s="2">
        <v>17</v>
      </c>
      <c r="H4839" t="s" s="2">
        <v>19</v>
      </c>
      <c r="I4839" t="s" s="2">
        <v>18805</v>
      </c>
      <c r="J4839" t="s" s="2">
        <v>18806</v>
      </c>
      <c r="K4839" t="s" s="2">
        <v>22</v>
      </c>
      <c r="L4839" t="s" s="2">
        <v>22</v>
      </c>
      <c r="M4839" t="s" s="2">
        <v>22</v>
      </c>
    </row>
    <row r="4840" ht="25.0" customHeight="true">
      <c r="A4840" t="s" s="2">
        <v>13</v>
      </c>
      <c r="B4840" t="s" s="2">
        <f>HYPERLINK("http://ts.21cn.com/tousu/show/id/1368814","平安普惠以担保名义变相违法收取高额利息要求平安普惠退回违法收取的担保费")</f>
      </c>
      <c r="C4840" t="s" s="2">
        <v>15</v>
      </c>
      <c r="D4840" t="s" s="2">
        <v>16</v>
      </c>
      <c r="E4840" t="s" s="2">
        <v>17</v>
      </c>
      <c r="F4840" t="s" s="2">
        <f>HYPERLINK("http://ts.21cn.com/tousu/show/id/1368814","http://ts.21cn.com/tousu/show/id/1368814")</f>
      </c>
      <c r="G4840" t="s" s="2">
        <v>17</v>
      </c>
      <c r="H4840" t="s" s="2">
        <v>19</v>
      </c>
      <c r="I4840" t="s" s="2">
        <v>18809</v>
      </c>
      <c r="J4840" t="s" s="2">
        <v>18810</v>
      </c>
      <c r="K4840" t="s" s="2">
        <v>22</v>
      </c>
      <c r="L4840" t="s" s="2">
        <v>22</v>
      </c>
      <c r="M4840" t="s" s="2">
        <v>22</v>
      </c>
    </row>
    <row r="4841" ht="25.0" customHeight="true">
      <c r="A4841" t="s" s="2">
        <v>13</v>
      </c>
      <c r="B4841" t="s" s="2">
        <f>HYPERLINK("http://ts.21cn.com/tousu/show/id/1368833","捷信公司每天换号拨打电话，严重骚扰正常生活")</f>
      </c>
      <c r="C4841" t="s" s="2">
        <v>15</v>
      </c>
      <c r="D4841" t="s" s="2">
        <v>16</v>
      </c>
      <c r="E4841" t="s" s="2">
        <v>17</v>
      </c>
      <c r="F4841" t="s" s="2">
        <f>HYPERLINK("http://ts.21cn.com/tousu/show/id/1368833","http://ts.21cn.com/tousu/show/id/1368833")</f>
      </c>
      <c r="G4841" t="s" s="2">
        <v>17</v>
      </c>
      <c r="H4841" t="s" s="2">
        <v>19</v>
      </c>
      <c r="I4841" t="s" s="2">
        <v>18813</v>
      </c>
      <c r="J4841" t="s" s="2">
        <v>18814</v>
      </c>
      <c r="K4841" t="s" s="2">
        <v>22</v>
      </c>
      <c r="L4841" t="s" s="2">
        <v>22</v>
      </c>
      <c r="M4841" t="s" s="2">
        <v>22</v>
      </c>
    </row>
    <row r="4842" ht="25.0" customHeight="true">
      <c r="A4842" t="s" s="2">
        <v>13</v>
      </c>
      <c r="B4842" t="s" s="2">
        <f>HYPERLINK("http://ts.21cn.com/tousu/show/id/1368832","交通银行信用卡乱收费")</f>
      </c>
      <c r="C4842" t="s" s="2">
        <v>15</v>
      </c>
      <c r="D4842" t="s" s="2">
        <v>16</v>
      </c>
      <c r="E4842" t="s" s="2">
        <v>17</v>
      </c>
      <c r="F4842" t="s" s="2">
        <f>HYPERLINK("http://ts.21cn.com/tousu/show/id/1368832","http://ts.21cn.com/tousu/show/id/1368832")</f>
      </c>
      <c r="G4842" t="s" s="2">
        <v>17</v>
      </c>
      <c r="H4842" t="s" s="2">
        <v>19</v>
      </c>
      <c r="I4842" t="s" s="2">
        <v>18816</v>
      </c>
      <c r="J4842" t="s" s="2">
        <v>18817</v>
      </c>
      <c r="K4842" t="s" s="2">
        <v>22</v>
      </c>
      <c r="L4842" t="s" s="2">
        <v>22</v>
      </c>
      <c r="M4842" t="s" s="2">
        <v>22</v>
      </c>
    </row>
    <row r="4843" ht="25.0" customHeight="true">
      <c r="A4843" t="s" s="2">
        <v>13</v>
      </c>
      <c r="B4843" t="s" s="2">
        <f>HYPERLINK("http://ts.21cn.com/tousu/show/id/1368831","贷款利息太高")</f>
      </c>
      <c r="C4843" t="s" s="2">
        <v>15</v>
      </c>
      <c r="D4843" t="s" s="2">
        <v>16</v>
      </c>
      <c r="E4843" t="s" s="2">
        <v>17</v>
      </c>
      <c r="F4843" t="s" s="2">
        <f>HYPERLINK("http://ts.21cn.com/tousu/show/id/1368831","http://ts.21cn.com/tousu/show/id/1368831")</f>
      </c>
      <c r="G4843" t="s" s="2">
        <v>17</v>
      </c>
      <c r="H4843" t="s" s="2">
        <v>19</v>
      </c>
      <c r="I4843" t="s" s="2">
        <v>18820</v>
      </c>
      <c r="J4843" t="s" s="2">
        <v>18821</v>
      </c>
      <c r="K4843" t="s" s="2">
        <v>22</v>
      </c>
      <c r="L4843" t="s" s="2">
        <v>22</v>
      </c>
      <c r="M4843" t="s" s="2">
        <v>22</v>
      </c>
    </row>
    <row r="4844" ht="25.0" customHeight="true">
      <c r="A4844" t="s" s="2">
        <v>13</v>
      </c>
      <c r="B4844" t="s" s="2">
        <f>HYPERLINK("http://ts.21cn.com/tousu/show/id/1368813","投诉工商银行信用卡")</f>
      </c>
      <c r="C4844" t="s" s="2">
        <v>15</v>
      </c>
      <c r="D4844" t="s" s="2">
        <v>16</v>
      </c>
      <c r="E4844" t="s" s="2">
        <v>17</v>
      </c>
      <c r="F4844" t="s" s="2">
        <f>HYPERLINK("http://ts.21cn.com/tousu/show/id/1368813","http://ts.21cn.com/tousu/show/id/1368813")</f>
      </c>
      <c r="G4844" t="s" s="2">
        <v>17</v>
      </c>
      <c r="H4844" t="s" s="2">
        <v>19</v>
      </c>
      <c r="I4844" t="s" s="2">
        <v>18824</v>
      </c>
      <c r="J4844" t="s" s="2">
        <v>18825</v>
      </c>
      <c r="K4844" t="s" s="2">
        <v>22</v>
      </c>
      <c r="L4844" t="s" s="2">
        <v>22</v>
      </c>
      <c r="M4844" t="s" s="2">
        <v>22</v>
      </c>
    </row>
    <row r="4845" ht="25.0" customHeight="true">
      <c r="A4845" t="s" s="2">
        <v>13</v>
      </c>
      <c r="B4845" t="s" s="2">
        <f>HYPERLINK("http://ts.21cn.com/tousu/show/id/1368828","交通银行催收电话骚扰通讯录")</f>
      </c>
      <c r="C4845" t="s" s="2">
        <v>15</v>
      </c>
      <c r="D4845" t="s" s="2">
        <v>16</v>
      </c>
      <c r="E4845" t="s" s="2">
        <v>17</v>
      </c>
      <c r="F4845" t="s" s="2">
        <f>HYPERLINK("http://ts.21cn.com/tousu/show/id/1368828","http://ts.21cn.com/tousu/show/id/1368828")</f>
      </c>
      <c r="G4845" t="s" s="2">
        <v>17</v>
      </c>
      <c r="H4845" t="s" s="2">
        <v>19</v>
      </c>
      <c r="I4845" t="s" s="2">
        <v>18828</v>
      </c>
      <c r="J4845" t="s" s="2">
        <v>18829</v>
      </c>
      <c r="K4845" t="s" s="2">
        <v>22</v>
      </c>
      <c r="L4845" t="s" s="2">
        <v>22</v>
      </c>
      <c r="M4845" t="s" s="2">
        <v>22</v>
      </c>
    </row>
    <row r="4846" ht="25.0" customHeight="true">
      <c r="A4846" t="s" s="2">
        <v>13</v>
      </c>
      <c r="B4846" t="s" s="2">
        <f>HYPERLINK("http://ts.21cn.com/tousu/show/id/1368826","交通银行信用卡催收")</f>
      </c>
      <c r="C4846" t="s" s="2">
        <v>15</v>
      </c>
      <c r="D4846" t="s" s="2">
        <v>16</v>
      </c>
      <c r="E4846" t="s" s="2">
        <v>17</v>
      </c>
      <c r="F4846" t="s" s="2">
        <f>HYPERLINK("http://ts.21cn.com/tousu/show/id/1368826","http://ts.21cn.com/tousu/show/id/1368826")</f>
      </c>
      <c r="G4846" t="s" s="2">
        <v>17</v>
      </c>
      <c r="H4846" t="s" s="2">
        <v>19</v>
      </c>
      <c r="I4846" t="s" s="2">
        <v>18832</v>
      </c>
      <c r="J4846" t="s" s="2">
        <v>18833</v>
      </c>
      <c r="K4846" t="s" s="2">
        <v>22</v>
      </c>
      <c r="L4846" t="s" s="2">
        <v>22</v>
      </c>
      <c r="M4846" t="s" s="2">
        <v>22</v>
      </c>
    </row>
    <row r="4847" ht="25.0" customHeight="true">
      <c r="A4847" t="s" s="2">
        <v>13</v>
      </c>
      <c r="B4847" t="s" s="2">
        <f>HYPERLINK("http://ts.21cn.com/tousu/show/id/1368825","上海富友为一品花714高炮提供支付通道要求退还砍头息")</f>
      </c>
      <c r="C4847" t="s" s="2">
        <v>52</v>
      </c>
      <c r="D4847" t="s" s="2">
        <v>16</v>
      </c>
      <c r="E4847" t="s" s="2">
        <v>17</v>
      </c>
      <c r="F4847" t="s" s="2">
        <f>HYPERLINK("http://ts.21cn.com/tousu/show/id/1368825","http://ts.21cn.com/tousu/show/id/1368825")</f>
      </c>
      <c r="G4847" t="s" s="2">
        <v>17</v>
      </c>
      <c r="H4847" t="s" s="2">
        <v>19</v>
      </c>
      <c r="I4847" t="s" s="2">
        <v>18836</v>
      </c>
      <c r="J4847" t="s" s="2">
        <v>18837</v>
      </c>
      <c r="K4847" t="s" s="2">
        <v>22</v>
      </c>
      <c r="L4847" t="s" s="2">
        <v>22</v>
      </c>
      <c r="M4847" t="s" s="2">
        <v>22</v>
      </c>
    </row>
    <row r="4848" ht="25.0" customHeight="true">
      <c r="A4848" t="s" s="2">
        <v>13</v>
      </c>
      <c r="B4848" t="s" s="2">
        <f>HYPERLINK("http://ts.21cn.com/tousu/show/id/1368824","拼多多恶意扣款，进一个网站没了142块钱处理时间过长。没有准确回复")</f>
      </c>
      <c r="C4848" t="s" s="2">
        <v>15</v>
      </c>
      <c r="D4848" t="s" s="2">
        <v>16</v>
      </c>
      <c r="E4848" t="s" s="2">
        <v>17</v>
      </c>
      <c r="F4848" t="s" s="2">
        <f>HYPERLINK("http://ts.21cn.com/tousu/show/id/1368824","http://ts.21cn.com/tousu/show/id/1368824")</f>
      </c>
      <c r="G4848" t="s" s="2">
        <v>17</v>
      </c>
      <c r="H4848" t="s" s="2">
        <v>19</v>
      </c>
      <c r="I4848" t="s" s="2">
        <v>18840</v>
      </c>
      <c r="J4848" t="s" s="2">
        <v>18841</v>
      </c>
      <c r="K4848" t="s" s="2">
        <v>22</v>
      </c>
      <c r="L4848" t="s" s="2">
        <v>22</v>
      </c>
      <c r="M4848" t="s" s="2">
        <v>22</v>
      </c>
    </row>
    <row r="4849" ht="25.0" customHeight="true">
      <c r="A4849" t="s" s="2">
        <v>13</v>
      </c>
      <c r="B4849" t="s" s="2">
        <f>HYPERLINK("http://ts.21cn.com/tousu/show/id/1368823","软暴力催收")</f>
      </c>
      <c r="C4849" t="s" s="2">
        <v>15</v>
      </c>
      <c r="D4849" t="s" s="2">
        <v>16</v>
      </c>
      <c r="E4849" t="s" s="2">
        <v>17</v>
      </c>
      <c r="F4849" t="s" s="2">
        <f>HYPERLINK("http://ts.21cn.com/tousu/show/id/1368823","http://ts.21cn.com/tousu/show/id/1368823")</f>
      </c>
      <c r="G4849" t="s" s="2">
        <v>17</v>
      </c>
      <c r="H4849" t="s" s="2">
        <v>19</v>
      </c>
      <c r="I4849" t="s" s="2">
        <v>18843</v>
      </c>
      <c r="J4849" t="s" s="2">
        <v>18844</v>
      </c>
      <c r="K4849" t="s" s="2">
        <v>22</v>
      </c>
      <c r="L4849" t="s" s="2">
        <v>22</v>
      </c>
      <c r="M4849" t="s" s="2">
        <v>22</v>
      </c>
    </row>
    <row r="4850" ht="25.0" customHeight="true">
      <c r="A4850" t="s" s="2">
        <v>13</v>
      </c>
      <c r="B4850" t="s" s="2">
        <f>HYPERLINK("http://ts.21cn.com/tousu/show/id/1368822","淘宝网售后欺诈")</f>
      </c>
      <c r="C4850" t="s" s="2">
        <v>15</v>
      </c>
      <c r="D4850" t="s" s="2">
        <v>16</v>
      </c>
      <c r="E4850" t="s" s="2">
        <v>17</v>
      </c>
      <c r="F4850" t="s" s="2">
        <f>HYPERLINK("http://ts.21cn.com/tousu/show/id/1368822","http://ts.21cn.com/tousu/show/id/1368822")</f>
      </c>
      <c r="G4850" t="s" s="2">
        <v>17</v>
      </c>
      <c r="H4850" t="s" s="2">
        <v>19</v>
      </c>
      <c r="I4850" t="s" s="2">
        <v>18847</v>
      </c>
      <c r="J4850" t="s" s="2">
        <v>18848</v>
      </c>
      <c r="K4850" t="s" s="2">
        <v>22</v>
      </c>
      <c r="L4850" t="s" s="2">
        <v>22</v>
      </c>
      <c r="M4850" t="s" s="2">
        <v>22</v>
      </c>
    </row>
    <row r="4851" ht="25.0" customHeight="true">
      <c r="A4851" t="s" s="2">
        <v>13</v>
      </c>
      <c r="B4851" t="s" s="2">
        <f>HYPERLINK("http://ts.21cn.com/tousu/show/id/1368821","拍拍贷")</f>
      </c>
      <c r="C4851" t="s" s="2">
        <v>15</v>
      </c>
      <c r="D4851" t="s" s="2">
        <v>16</v>
      </c>
      <c r="E4851" t="s" s="2">
        <v>17</v>
      </c>
      <c r="F4851" t="s" s="2">
        <f>HYPERLINK("http://ts.21cn.com/tousu/show/id/1368821","http://ts.21cn.com/tousu/show/id/1368821")</f>
      </c>
      <c r="G4851" t="s" s="2">
        <v>17</v>
      </c>
      <c r="H4851" t="s" s="2">
        <v>19</v>
      </c>
      <c r="I4851" t="s" s="2">
        <v>18850</v>
      </c>
      <c r="J4851" t="s" s="2">
        <v>18851</v>
      </c>
      <c r="K4851" t="s" s="2">
        <v>22</v>
      </c>
      <c r="L4851" t="s" s="2">
        <v>22</v>
      </c>
      <c r="M4851" t="s" s="2">
        <v>22</v>
      </c>
    </row>
    <row r="4852" ht="25.0" customHeight="true">
      <c r="A4852" t="s" s="2">
        <v>13</v>
      </c>
      <c r="B4852" t="s" s="2">
        <f>HYPERLINK("http://ts.21cn.com/tousu/show/id/1368819","商品质量品控不行")</f>
      </c>
      <c r="C4852" t="s" s="2">
        <v>15</v>
      </c>
      <c r="D4852" t="s" s="2">
        <v>16</v>
      </c>
      <c r="E4852" t="s" s="2">
        <v>17</v>
      </c>
      <c r="F4852" t="s" s="2">
        <f>HYPERLINK("http://ts.21cn.com/tousu/show/id/1368819","http://ts.21cn.com/tousu/show/id/1368819")</f>
      </c>
      <c r="G4852" t="s" s="2">
        <v>17</v>
      </c>
      <c r="H4852" t="s" s="2">
        <v>19</v>
      </c>
      <c r="I4852" t="s" s="2">
        <v>18854</v>
      </c>
      <c r="J4852" t="s" s="2">
        <v>18855</v>
      </c>
      <c r="K4852" t="s" s="2">
        <v>22</v>
      </c>
      <c r="L4852" t="s" s="2">
        <v>22</v>
      </c>
      <c r="M4852" t="s" s="2">
        <v>22</v>
      </c>
    </row>
    <row r="4853" ht="25.0" customHeight="true">
      <c r="A4853" t="s" s="2">
        <v>13</v>
      </c>
      <c r="B4853" t="s" s="2">
        <f>HYPERLINK("http://ts.21cn.com/tousu/show/id/1368817","钱站高利贷，非法催收")</f>
      </c>
      <c r="C4853" t="s" s="2">
        <v>15</v>
      </c>
      <c r="D4853" t="s" s="2">
        <v>16</v>
      </c>
      <c r="E4853" t="s" s="2">
        <v>17</v>
      </c>
      <c r="F4853" t="s" s="2">
        <f>HYPERLINK("http://ts.21cn.com/tousu/show/id/1368817","http://ts.21cn.com/tousu/show/id/1368817")</f>
      </c>
      <c r="G4853" t="s" s="2">
        <v>17</v>
      </c>
      <c r="H4853" t="s" s="2">
        <v>19</v>
      </c>
      <c r="I4853" t="s" s="2">
        <v>18858</v>
      </c>
      <c r="J4853" t="s" s="2">
        <v>18859</v>
      </c>
      <c r="K4853" t="s" s="2">
        <v>22</v>
      </c>
      <c r="L4853" t="s" s="2">
        <v>22</v>
      </c>
      <c r="M4853" t="s" s="2">
        <v>22</v>
      </c>
    </row>
    <row r="4854" ht="25.0" customHeight="true">
      <c r="A4854" t="s" s="2">
        <v>13</v>
      </c>
      <c r="B4854" t="s" s="2">
        <f>HYPERLINK("http://ts.21cn.com/tousu/show/id/1368816","闪银哼哼不予以协商余地")</f>
      </c>
      <c r="C4854" t="s" s="2">
        <v>52</v>
      </c>
      <c r="D4854" t="s" s="2">
        <v>16</v>
      </c>
      <c r="E4854" t="s" s="2">
        <v>17</v>
      </c>
      <c r="F4854" t="s" s="2">
        <f>HYPERLINK("http://ts.21cn.com/tousu/show/id/1368816","http://ts.21cn.com/tousu/show/id/1368816")</f>
      </c>
      <c r="G4854" t="s" s="2">
        <v>17</v>
      </c>
      <c r="H4854" t="s" s="2">
        <v>19</v>
      </c>
      <c r="I4854" t="s" s="2">
        <v>18862</v>
      </c>
      <c r="J4854" t="s" s="2">
        <v>17764</v>
      </c>
      <c r="K4854" t="s" s="2">
        <v>22</v>
      </c>
      <c r="L4854" t="s" s="2">
        <v>22</v>
      </c>
      <c r="M4854" t="s" s="2">
        <v>22</v>
      </c>
    </row>
    <row r="4855" ht="25.0" customHeight="true">
      <c r="A4855" t="s" s="2">
        <v>13</v>
      </c>
      <c r="B4855" t="s" s="2">
        <f>HYPERLINK("http://ts.21cn.com/tousu/show/id/1368815","浦发银行万用金高额利息")</f>
      </c>
      <c r="C4855" t="s" s="2">
        <v>15</v>
      </c>
      <c r="D4855" t="s" s="2">
        <v>16</v>
      </c>
      <c r="E4855" t="s" s="2">
        <v>17</v>
      </c>
      <c r="F4855" t="s" s="2">
        <f>HYPERLINK("http://ts.21cn.com/tousu/show/id/1368815","http://ts.21cn.com/tousu/show/id/1368815")</f>
      </c>
      <c r="G4855" t="s" s="2">
        <v>17</v>
      </c>
      <c r="H4855" t="s" s="2">
        <v>19</v>
      </c>
      <c r="I4855" t="s" s="2">
        <v>18865</v>
      </c>
      <c r="J4855" t="s" s="2">
        <v>18866</v>
      </c>
      <c r="K4855" t="s" s="2">
        <v>22</v>
      </c>
      <c r="L4855" t="s" s="2">
        <v>22</v>
      </c>
      <c r="M4855" t="s" s="2">
        <v>22</v>
      </c>
    </row>
    <row r="4856" ht="25.0" customHeight="true">
      <c r="A4856" t="s" s="2">
        <v>13</v>
      </c>
      <c r="B4856" t="s" s="2">
        <f>HYPERLINK("http://ts.21cn.com/tousu/show/id/1368811","小赢卡贷恐吓上门催收")</f>
      </c>
      <c r="C4856" t="s" s="2">
        <v>15</v>
      </c>
      <c r="D4856" t="s" s="2">
        <v>16</v>
      </c>
      <c r="E4856" t="s" s="2">
        <v>17</v>
      </c>
      <c r="F4856" t="s" s="2">
        <f>HYPERLINK("http://ts.21cn.com/tousu/show/id/1368811","http://ts.21cn.com/tousu/show/id/1368811")</f>
      </c>
      <c r="G4856" t="s" s="2">
        <v>17</v>
      </c>
      <c r="H4856" t="s" s="2">
        <v>19</v>
      </c>
      <c r="I4856" t="s" s="2">
        <v>18869</v>
      </c>
      <c r="J4856" t="s" s="2">
        <v>18870</v>
      </c>
      <c r="K4856" t="s" s="2">
        <v>22</v>
      </c>
      <c r="L4856" t="s" s="2">
        <v>22</v>
      </c>
      <c r="M4856" t="s" s="2">
        <v>22</v>
      </c>
    </row>
    <row r="4857" ht="25.0" customHeight="true">
      <c r="A4857" t="s" s="2">
        <v>13</v>
      </c>
      <c r="B4857" t="s" s="2">
        <f>HYPERLINK("http://ts.21cn.com/tousu/show/id/1368809","及贷冒充公检法等部门群发短信给本人及家属亲戚朋友同事对本人工作生活造成严重影响")</f>
      </c>
      <c r="C4857" t="s" s="2">
        <v>15</v>
      </c>
      <c r="D4857" t="s" s="2">
        <v>16</v>
      </c>
      <c r="E4857" t="s" s="2">
        <v>17</v>
      </c>
      <c r="F4857" t="s" s="2">
        <f>HYPERLINK("http://ts.21cn.com/tousu/show/id/1368809","http://ts.21cn.com/tousu/show/id/1368809")</f>
      </c>
      <c r="G4857" t="s" s="2">
        <v>17</v>
      </c>
      <c r="H4857" t="s" s="2">
        <v>19</v>
      </c>
      <c r="I4857" t="s" s="2">
        <v>18873</v>
      </c>
      <c r="J4857" t="s" s="2">
        <v>18874</v>
      </c>
      <c r="K4857" t="s" s="2">
        <v>22</v>
      </c>
      <c r="L4857" t="s" s="2">
        <v>22</v>
      </c>
      <c r="M4857" t="s" s="2">
        <v>22</v>
      </c>
    </row>
    <row r="4858" ht="25.0" customHeight="true">
      <c r="A4858" t="s" s="2">
        <v>13</v>
      </c>
      <c r="B4858" t="s" s="2">
        <f>HYPERLINK("http://ts.21cn.com/tousu/show/id/1368807","买单侠收取过多服务费费")</f>
      </c>
      <c r="C4858" t="s" s="2">
        <v>15</v>
      </c>
      <c r="D4858" t="s" s="2">
        <v>16</v>
      </c>
      <c r="E4858" t="s" s="2">
        <v>17</v>
      </c>
      <c r="F4858" t="s" s="2">
        <f>HYPERLINK("http://ts.21cn.com/tousu/show/id/1368807","http://ts.21cn.com/tousu/show/id/1368807")</f>
      </c>
      <c r="G4858" t="s" s="2">
        <v>17</v>
      </c>
      <c r="H4858" t="s" s="2">
        <v>19</v>
      </c>
      <c r="I4858" t="s" s="2">
        <v>18877</v>
      </c>
      <c r="J4858" t="s" s="2">
        <v>18878</v>
      </c>
      <c r="K4858" t="s" s="2">
        <v>22</v>
      </c>
      <c r="L4858" t="s" s="2">
        <v>22</v>
      </c>
      <c r="M4858" t="s" s="2">
        <v>22</v>
      </c>
    </row>
    <row r="4859" ht="25.0" customHeight="true">
      <c r="A4859" t="s" s="2">
        <v>13</v>
      </c>
      <c r="B4859" t="s" s="2">
        <f>HYPERLINK("http://ts.21cn.com/tousu/show/id/1368808","平安普惠催收不停群发信息给亲戚打电话到公司")</f>
      </c>
      <c r="C4859" t="s" s="2">
        <v>52</v>
      </c>
      <c r="D4859" t="s" s="2">
        <v>16</v>
      </c>
      <c r="E4859" t="s" s="2">
        <v>17</v>
      </c>
      <c r="F4859" t="s" s="2">
        <f>HYPERLINK("http://ts.21cn.com/tousu/show/id/1368808","http://ts.21cn.com/tousu/show/id/1368808")</f>
      </c>
      <c r="G4859" t="s" s="2">
        <v>17</v>
      </c>
      <c r="H4859" t="s" s="2">
        <v>19</v>
      </c>
      <c r="I4859" t="s" s="2">
        <v>18881</v>
      </c>
      <c r="J4859" t="s" s="2">
        <v>18882</v>
      </c>
      <c r="K4859" t="s" s="2">
        <v>22</v>
      </c>
      <c r="L4859" t="s" s="2">
        <v>22</v>
      </c>
      <c r="M4859" t="s" s="2">
        <v>22</v>
      </c>
    </row>
    <row r="4860" ht="25.0" customHeight="true">
      <c r="A4860" t="s" s="2">
        <v>13</v>
      </c>
      <c r="B4860" t="s" s="2">
        <f>HYPERLINK("http://ts.21cn.com/tousu/show/id/1368805","骚扰，恐吓，发虚假律师函")</f>
      </c>
      <c r="C4860" t="s" s="2">
        <v>15</v>
      </c>
      <c r="D4860" t="s" s="2">
        <v>16</v>
      </c>
      <c r="E4860" t="s" s="2">
        <v>17</v>
      </c>
      <c r="F4860" t="s" s="2">
        <f>HYPERLINK("http://ts.21cn.com/tousu/show/id/1368805","http://ts.21cn.com/tousu/show/id/1368805")</f>
      </c>
      <c r="G4860" t="s" s="2">
        <v>17</v>
      </c>
      <c r="H4860" t="s" s="2">
        <v>19</v>
      </c>
      <c r="I4860" t="s" s="2">
        <v>18885</v>
      </c>
      <c r="J4860" t="s" s="2">
        <v>18886</v>
      </c>
      <c r="K4860" t="s" s="2">
        <v>22</v>
      </c>
      <c r="L4860" t="s" s="2">
        <v>22</v>
      </c>
      <c r="M4860" t="s" s="2">
        <v>22</v>
      </c>
    </row>
    <row r="4861" ht="25.0" customHeight="true">
      <c r="A4861" t="s" s="2">
        <v>13</v>
      </c>
      <c r="B4861" t="s" s="2">
        <f>HYPERLINK("http://ts.21cn.com/tousu/show/id/1368804","在我不知情的情况下无故扣款1343元")</f>
      </c>
      <c r="C4861" t="s" s="2">
        <v>15</v>
      </c>
      <c r="D4861" t="s" s="2">
        <v>16</v>
      </c>
      <c r="E4861" t="s" s="2">
        <v>17</v>
      </c>
      <c r="F4861" t="s" s="2">
        <f>HYPERLINK("http://ts.21cn.com/tousu/show/id/1368804","http://ts.21cn.com/tousu/show/id/1368804")</f>
      </c>
      <c r="G4861" t="s" s="2">
        <v>17</v>
      </c>
      <c r="H4861" t="s" s="2">
        <v>19</v>
      </c>
      <c r="I4861" t="s" s="2">
        <v>18889</v>
      </c>
      <c r="J4861" t="s" s="2">
        <v>18890</v>
      </c>
      <c r="K4861" t="s" s="2">
        <v>22</v>
      </c>
      <c r="L4861" t="s" s="2">
        <v>22</v>
      </c>
      <c r="M4861" t="s" s="2">
        <v>22</v>
      </c>
    </row>
    <row r="4862" ht="25.0" customHeight="true">
      <c r="A4862" t="s" s="2">
        <v>13</v>
      </c>
      <c r="B4862" t="s" s="2">
        <f>HYPERLINK("http://ts.21cn.com/tousu/show/id/1368803","黑心拍拍贷故意造成逾期")</f>
      </c>
      <c r="C4862" t="s" s="2">
        <v>15</v>
      </c>
      <c r="D4862" t="s" s="2">
        <v>16</v>
      </c>
      <c r="E4862" t="s" s="2">
        <v>17</v>
      </c>
      <c r="F4862" t="s" s="2">
        <f>HYPERLINK("http://ts.21cn.com/tousu/show/id/1368803","http://ts.21cn.com/tousu/show/id/1368803")</f>
      </c>
      <c r="G4862" t="s" s="2">
        <v>17</v>
      </c>
      <c r="H4862" t="s" s="2">
        <v>19</v>
      </c>
      <c r="I4862" t="s" s="2">
        <v>18893</v>
      </c>
      <c r="J4862" t="s" s="2">
        <v>18894</v>
      </c>
      <c r="K4862" t="s" s="2">
        <v>22</v>
      </c>
      <c r="L4862" t="s" s="2">
        <v>22</v>
      </c>
      <c r="M4862" t="s" s="2">
        <v>22</v>
      </c>
    </row>
    <row r="4863" ht="25.0" customHeight="true">
      <c r="A4863" t="s" s="2">
        <v>13</v>
      </c>
      <c r="B4863" t="s" s="2">
        <f>HYPERLINK("http://ts.21cn.com/tousu/show/id/1368801","马上金融短信威胁")</f>
      </c>
      <c r="C4863" t="s" s="2">
        <v>15</v>
      </c>
      <c r="D4863" t="s" s="2">
        <v>16</v>
      </c>
      <c r="E4863" t="s" s="2">
        <v>17</v>
      </c>
      <c r="F4863" t="s" s="2">
        <f>HYPERLINK("http://ts.21cn.com/tousu/show/id/1368801","http://ts.21cn.com/tousu/show/id/1368801")</f>
      </c>
      <c r="G4863" t="s" s="2">
        <v>17</v>
      </c>
      <c r="H4863" t="s" s="2">
        <v>19</v>
      </c>
      <c r="I4863" t="s" s="2">
        <v>18897</v>
      </c>
      <c r="J4863" t="s" s="2">
        <v>18898</v>
      </c>
      <c r="K4863" t="s" s="2">
        <v>22</v>
      </c>
      <c r="L4863" t="s" s="2">
        <v>22</v>
      </c>
      <c r="M4863" t="s" s="2">
        <v>22</v>
      </c>
    </row>
    <row r="4864" ht="25.0" customHeight="true">
      <c r="A4864" t="s" s="2">
        <v>13</v>
      </c>
      <c r="B4864" t="s" s="2">
        <f>HYPERLINK("http://ts.21cn.com/tousu/show/id/1368800","成都安睿旺蜀网络科技有限公司违法乱扣费用")</f>
      </c>
      <c r="C4864" t="s" s="2">
        <v>15</v>
      </c>
      <c r="D4864" t="s" s="2">
        <v>16</v>
      </c>
      <c r="E4864" t="s" s="2">
        <v>17</v>
      </c>
      <c r="F4864" t="s" s="2">
        <f>HYPERLINK("http://ts.21cn.com/tousu/show/id/1368800","http://ts.21cn.com/tousu/show/id/1368800")</f>
      </c>
      <c r="G4864" t="s" s="2">
        <v>17</v>
      </c>
      <c r="H4864" t="s" s="2">
        <v>19</v>
      </c>
      <c r="I4864" t="s" s="2">
        <v>18901</v>
      </c>
      <c r="J4864" t="s" s="2">
        <v>18902</v>
      </c>
      <c r="K4864" t="s" s="2">
        <v>22</v>
      </c>
      <c r="L4864" t="s" s="2">
        <v>22</v>
      </c>
      <c r="M4864" t="s" s="2">
        <v>22</v>
      </c>
    </row>
    <row r="4865" ht="25.0" customHeight="true">
      <c r="A4865" t="s" s="2">
        <v>13</v>
      </c>
      <c r="B4865" t="s" s="2">
        <f>HYPERLINK("http://ts.21cn.com/tousu/show/id/1368797","暴力催收")</f>
      </c>
      <c r="C4865" t="s" s="2">
        <v>15</v>
      </c>
      <c r="D4865" t="s" s="2">
        <v>16</v>
      </c>
      <c r="E4865" t="s" s="2">
        <v>17</v>
      </c>
      <c r="F4865" t="s" s="2">
        <f>HYPERLINK("http://ts.21cn.com/tousu/show/id/1368797","http://ts.21cn.com/tousu/show/id/1368797")</f>
      </c>
      <c r="G4865" t="s" s="2">
        <v>17</v>
      </c>
      <c r="H4865" t="s" s="2">
        <v>19</v>
      </c>
      <c r="I4865" t="s" s="2">
        <v>18904</v>
      </c>
      <c r="J4865" t="s" s="2">
        <v>18905</v>
      </c>
      <c r="K4865" t="s" s="2">
        <v>22</v>
      </c>
      <c r="L4865" t="s" s="2">
        <v>22</v>
      </c>
      <c r="M4865" t="s" s="2">
        <v>22</v>
      </c>
    </row>
    <row r="4866" ht="25.0" customHeight="true">
      <c r="A4866" t="s" s="2">
        <v>13</v>
      </c>
      <c r="B4866" t="s" s="2">
        <f>HYPERLINK("http://ts.21cn.com/tousu/show/id/1368799","投诉北京今日头条科技有限公司，广告费不给退")</f>
      </c>
      <c r="C4866" t="s" s="2">
        <v>15</v>
      </c>
      <c r="D4866" t="s" s="2">
        <v>16</v>
      </c>
      <c r="E4866" t="s" s="2">
        <v>17</v>
      </c>
      <c r="F4866" t="s" s="2">
        <f>HYPERLINK("http://ts.21cn.com/tousu/show/id/1368799","http://ts.21cn.com/tousu/show/id/1368799")</f>
      </c>
      <c r="G4866" t="s" s="2">
        <v>17</v>
      </c>
      <c r="H4866" t="s" s="2">
        <v>19</v>
      </c>
      <c r="I4866" t="s" s="2">
        <v>18908</v>
      </c>
      <c r="J4866" t="s" s="2">
        <v>18909</v>
      </c>
      <c r="K4866" t="s" s="2">
        <v>22</v>
      </c>
      <c r="L4866" t="s" s="2">
        <v>22</v>
      </c>
      <c r="M4866" t="s" s="2">
        <v>22</v>
      </c>
    </row>
    <row r="4867" ht="25.0" customHeight="true">
      <c r="A4867" t="s" s="2">
        <v>13</v>
      </c>
      <c r="B4867" t="s" s="2">
        <f>HYPERLINK("http://ts.21cn.com/tousu/show/id/1368798","虚假合同")</f>
      </c>
      <c r="C4867" t="s" s="2">
        <v>15</v>
      </c>
      <c r="D4867" t="s" s="2">
        <v>16</v>
      </c>
      <c r="E4867" t="s" s="2">
        <v>17</v>
      </c>
      <c r="F4867" t="s" s="2">
        <f>HYPERLINK("http://ts.21cn.com/tousu/show/id/1368798","http://ts.21cn.com/tousu/show/id/1368798")</f>
      </c>
      <c r="G4867" t="s" s="2">
        <v>17</v>
      </c>
      <c r="H4867" t="s" s="2">
        <v>19</v>
      </c>
      <c r="I4867" t="s" s="2">
        <v>18912</v>
      </c>
      <c r="J4867" t="s" s="2">
        <v>18913</v>
      </c>
      <c r="K4867" t="s" s="2">
        <v>22</v>
      </c>
      <c r="L4867" t="s" s="2">
        <v>22</v>
      </c>
      <c r="M4867" t="s" s="2">
        <v>22</v>
      </c>
    </row>
    <row r="4868" ht="25.0" customHeight="true">
      <c r="A4868" t="s" s="2">
        <v>13</v>
      </c>
      <c r="B4868" t="s" s="2">
        <f>HYPERLINK("http://ts.21cn.com/tousu/show/id/1368796","融360暴力催收")</f>
      </c>
      <c r="C4868" t="s" s="2">
        <v>15</v>
      </c>
      <c r="D4868" t="s" s="2">
        <v>16</v>
      </c>
      <c r="E4868" t="s" s="2">
        <v>17</v>
      </c>
      <c r="F4868" t="s" s="2">
        <f>HYPERLINK("http://ts.21cn.com/tousu/show/id/1368796","http://ts.21cn.com/tousu/show/id/1368796")</f>
      </c>
      <c r="G4868" t="s" s="2">
        <v>17</v>
      </c>
      <c r="H4868" t="s" s="2">
        <v>19</v>
      </c>
      <c r="I4868" t="s" s="2">
        <v>18916</v>
      </c>
      <c r="J4868" t="s" s="2">
        <v>18917</v>
      </c>
      <c r="K4868" t="s" s="2">
        <v>22</v>
      </c>
      <c r="L4868" t="s" s="2">
        <v>22</v>
      </c>
      <c r="M4868" t="s" s="2">
        <v>22</v>
      </c>
    </row>
    <row r="4869" ht="25.0" customHeight="true">
      <c r="A4869" t="s" s="2">
        <v>13</v>
      </c>
      <c r="B4869" t="s" s="2">
        <f>HYPERLINK("http://ts.21cn.com/tousu/show/id/1368795","上海翼勋金融放高利贷，收砍头息，多项收费，打到年利率50%，暴力催收")</f>
      </c>
      <c r="C4869" t="s" s="2">
        <v>15</v>
      </c>
      <c r="D4869" t="s" s="2">
        <v>16</v>
      </c>
      <c r="E4869" t="s" s="2">
        <v>17</v>
      </c>
      <c r="F4869" t="s" s="2">
        <f>HYPERLINK("http://ts.21cn.com/tousu/show/id/1368795","http://ts.21cn.com/tousu/show/id/1368795")</f>
      </c>
      <c r="G4869" t="s" s="2">
        <v>17</v>
      </c>
      <c r="H4869" t="s" s="2">
        <v>19</v>
      </c>
      <c r="I4869" t="s" s="2">
        <v>18920</v>
      </c>
      <c r="J4869" t="s" s="2">
        <v>18921</v>
      </c>
      <c r="K4869" t="s" s="2">
        <v>22</v>
      </c>
      <c r="L4869" t="s" s="2">
        <v>22</v>
      </c>
      <c r="M4869" t="s" s="2">
        <v>22</v>
      </c>
    </row>
    <row r="4870" ht="25.0" customHeight="true">
      <c r="A4870" t="s" s="2">
        <v>13</v>
      </c>
      <c r="B4870" t="s" s="2">
        <f>HYPERLINK("http://ts.21cn.com/tousu/show/id/1368794","闪银乱收费")</f>
      </c>
      <c r="C4870" t="s" s="2">
        <v>15</v>
      </c>
      <c r="D4870" t="s" s="2">
        <v>16</v>
      </c>
      <c r="E4870" t="s" s="2">
        <v>17</v>
      </c>
      <c r="F4870" t="s" s="2">
        <f>HYPERLINK("http://ts.21cn.com/tousu/show/id/1368794","http://ts.21cn.com/tousu/show/id/1368794")</f>
      </c>
      <c r="G4870" t="s" s="2">
        <v>17</v>
      </c>
      <c r="H4870" t="s" s="2">
        <v>19</v>
      </c>
      <c r="I4870" t="s" s="2">
        <v>18924</v>
      </c>
      <c r="J4870" t="s" s="2">
        <v>18925</v>
      </c>
      <c r="K4870" t="s" s="2">
        <v>22</v>
      </c>
      <c r="L4870" t="s" s="2">
        <v>22</v>
      </c>
      <c r="M4870" t="s" s="2">
        <v>22</v>
      </c>
    </row>
    <row r="4871" ht="25.0" customHeight="true">
      <c r="A4871" t="s" s="2">
        <v>13</v>
      </c>
      <c r="B4871" t="s" s="2">
        <f>HYPERLINK("http://ts.21cn.com/tousu/show/id/1368792","因为最近资金紧张自己华农钱庄网贷借款3000实际到账1600")</f>
      </c>
      <c r="C4871" t="s" s="2">
        <v>52</v>
      </c>
      <c r="D4871" t="s" s="2">
        <v>16</v>
      </c>
      <c r="E4871" t="s" s="2">
        <v>17</v>
      </c>
      <c r="F4871" t="s" s="2">
        <f>HYPERLINK("http://ts.21cn.com/tousu/show/id/1368792","http://ts.21cn.com/tousu/show/id/1368792")</f>
      </c>
      <c r="G4871" t="s" s="2">
        <v>17</v>
      </c>
      <c r="H4871" t="s" s="2">
        <v>19</v>
      </c>
      <c r="I4871" t="s" s="2">
        <v>18928</v>
      </c>
      <c r="J4871" t="s" s="2">
        <v>18929</v>
      </c>
      <c r="K4871" t="s" s="2">
        <v>22</v>
      </c>
      <c r="L4871" t="s" s="2">
        <v>22</v>
      </c>
      <c r="M4871" t="s" s="2">
        <v>22</v>
      </c>
    </row>
    <row r="4872" ht="25.0" customHeight="true">
      <c r="A4872" t="s" s="2">
        <v>13</v>
      </c>
      <c r="B4872" t="s" s="2">
        <f>HYPERLINK("http://ts.21cn.com/tousu/show/id/1368793","马上金融安逸花逾期费用太高，暴力催收")</f>
      </c>
      <c r="C4872" t="s" s="2">
        <v>15</v>
      </c>
      <c r="D4872" t="s" s="2">
        <v>16</v>
      </c>
      <c r="E4872" t="s" s="2">
        <v>17</v>
      </c>
      <c r="F4872" t="s" s="2">
        <f>HYPERLINK("http://ts.21cn.com/tousu/show/id/1368793","http://ts.21cn.com/tousu/show/id/1368793")</f>
      </c>
      <c r="G4872" t="s" s="2">
        <v>17</v>
      </c>
      <c r="H4872" t="s" s="2">
        <v>19</v>
      </c>
      <c r="I4872" t="s" s="2">
        <v>18932</v>
      </c>
      <c r="J4872" t="s" s="2">
        <v>18933</v>
      </c>
      <c r="K4872" t="s" s="2">
        <v>22</v>
      </c>
      <c r="L4872" t="s" s="2">
        <v>22</v>
      </c>
      <c r="M4872" t="s" s="2">
        <v>22</v>
      </c>
    </row>
    <row r="4873" ht="25.0" customHeight="true">
      <c r="A4873" t="s" s="2">
        <v>13</v>
      </c>
      <c r="B4873" t="s" s="2">
        <f>HYPERLINK("http://ts.21cn.com/tousu/show/id/1368764","投诉无门，先前投诉仍未解决，现如今投诉称重复不予受理，太霸道")</f>
      </c>
      <c r="C4873" t="s" s="2">
        <v>15</v>
      </c>
      <c r="D4873" t="s" s="2">
        <v>16</v>
      </c>
      <c r="E4873" t="s" s="2">
        <v>17</v>
      </c>
      <c r="F4873" t="s" s="2">
        <f>HYPERLINK("http://ts.21cn.com/tousu/show/id/1368764","http://ts.21cn.com/tousu/show/id/1368764")</f>
      </c>
      <c r="G4873" t="s" s="2">
        <v>17</v>
      </c>
      <c r="H4873" t="s" s="2">
        <v>19</v>
      </c>
      <c r="I4873" t="s" s="2">
        <v>18936</v>
      </c>
      <c r="J4873" t="s" s="2">
        <v>18937</v>
      </c>
      <c r="K4873" t="s" s="2">
        <v>22</v>
      </c>
      <c r="L4873" t="s" s="2">
        <v>22</v>
      </c>
      <c r="M4873" t="s" s="2">
        <v>22</v>
      </c>
    </row>
    <row r="4874" ht="25.0" customHeight="true">
      <c r="A4874" t="s" s="2">
        <v>13</v>
      </c>
      <c r="B4874" t="s" s="2">
        <f>HYPERLINK("http://ts.21cn.com/tousu/show/id/1368790","买的行李箱质量不过关，退款，对方不愿承担运费处理")</f>
      </c>
      <c r="C4874" t="s" s="2">
        <v>52</v>
      </c>
      <c r="D4874" t="s" s="2">
        <v>16</v>
      </c>
      <c r="E4874" t="s" s="2">
        <v>17</v>
      </c>
      <c r="F4874" t="s" s="2">
        <f>HYPERLINK("http://ts.21cn.com/tousu/show/id/1368790","http://ts.21cn.com/tousu/show/id/1368790")</f>
      </c>
      <c r="G4874" t="s" s="2">
        <v>17</v>
      </c>
      <c r="H4874" t="s" s="2">
        <v>19</v>
      </c>
      <c r="I4874" t="s" s="2">
        <v>18940</v>
      </c>
      <c r="J4874" t="s" s="2">
        <v>18941</v>
      </c>
      <c r="K4874" t="s" s="2">
        <v>22</v>
      </c>
      <c r="L4874" t="s" s="2">
        <v>22</v>
      </c>
      <c r="M4874" t="s" s="2">
        <v>22</v>
      </c>
    </row>
    <row r="4875" ht="25.0" customHeight="true">
      <c r="A4875" t="s" s="2">
        <v>13</v>
      </c>
      <c r="B4875" t="s" s="2">
        <f>HYPERLINK("http://ts.21cn.com/tousu/show/id/1368791","蟹老弟还款联系不上，无法还款")</f>
      </c>
      <c r="C4875" t="s" s="2">
        <v>15</v>
      </c>
      <c r="D4875" t="s" s="2">
        <v>16</v>
      </c>
      <c r="E4875" t="s" s="2">
        <v>17</v>
      </c>
      <c r="F4875" t="s" s="2">
        <f>HYPERLINK("http://ts.21cn.com/tousu/show/id/1368791","http://ts.21cn.com/tousu/show/id/1368791")</f>
      </c>
      <c r="G4875" t="s" s="2">
        <v>17</v>
      </c>
      <c r="H4875" t="s" s="2">
        <v>19</v>
      </c>
      <c r="I4875" t="s" s="2">
        <v>18944</v>
      </c>
      <c r="J4875" t="s" s="2">
        <v>18945</v>
      </c>
      <c r="K4875" t="s" s="2">
        <v>22</v>
      </c>
      <c r="L4875" t="s" s="2">
        <v>22</v>
      </c>
      <c r="M4875" t="s" s="2">
        <v>22</v>
      </c>
    </row>
    <row r="4876" ht="25.0" customHeight="true">
      <c r="A4876" t="s" s="2">
        <v>13</v>
      </c>
      <c r="B4876" t="s" s="2">
        <f>HYPERLINK("http://ts.21cn.com/tousu/show/id/1368751","诱惑理财")</f>
      </c>
      <c r="C4876" t="s" s="2">
        <v>15</v>
      </c>
      <c r="D4876" t="s" s="2">
        <v>16</v>
      </c>
      <c r="E4876" t="s" s="2">
        <v>17</v>
      </c>
      <c r="F4876" t="s" s="2">
        <f>HYPERLINK("http://ts.21cn.com/tousu/show/id/1368751","http://ts.21cn.com/tousu/show/id/1368751")</f>
      </c>
      <c r="G4876" t="s" s="2">
        <v>17</v>
      </c>
      <c r="H4876" t="s" s="2">
        <v>19</v>
      </c>
      <c r="I4876" t="s" s="2">
        <v>18948</v>
      </c>
      <c r="J4876" t="s" s="2">
        <v>18949</v>
      </c>
      <c r="K4876" t="s" s="2">
        <v>22</v>
      </c>
      <c r="L4876" t="s" s="2">
        <v>22</v>
      </c>
      <c r="M4876" t="s" s="2">
        <v>22</v>
      </c>
    </row>
    <row r="4877" ht="25.0" customHeight="true">
      <c r="A4877" t="s" s="2">
        <v>13</v>
      </c>
      <c r="B4877" t="s" s="2">
        <f>HYPERLINK("http://ts.21cn.com/tousu/show/id/1368789","酷卡贷714强制购物借款")</f>
      </c>
      <c r="C4877" t="s" s="2">
        <v>15</v>
      </c>
      <c r="D4877" t="s" s="2">
        <v>16</v>
      </c>
      <c r="E4877" t="s" s="2">
        <v>17</v>
      </c>
      <c r="F4877" t="s" s="2">
        <f>HYPERLINK("http://ts.21cn.com/tousu/show/id/1368789","http://ts.21cn.com/tousu/show/id/1368789")</f>
      </c>
      <c r="G4877" t="s" s="2">
        <v>17</v>
      </c>
      <c r="H4877" t="s" s="2">
        <v>19</v>
      </c>
      <c r="I4877" t="s" s="2">
        <v>18952</v>
      </c>
      <c r="J4877" t="s" s="2">
        <v>18953</v>
      </c>
      <c r="K4877" t="s" s="2">
        <v>22</v>
      </c>
      <c r="L4877" t="s" s="2">
        <v>22</v>
      </c>
      <c r="M4877" t="s" s="2">
        <v>22</v>
      </c>
    </row>
    <row r="4878" ht="25.0" customHeight="true">
      <c r="A4878" t="s" s="2">
        <v>13</v>
      </c>
      <c r="B4878" t="s" s="2">
        <f>HYPERLINK("http://ts.21cn.com/tousu/show/id/1368788","新意花高利贷并且恶意逾期打电话骚扰联系人，畅捷支付为其提供支付通道")</f>
      </c>
      <c r="C4878" t="s" s="2">
        <v>15</v>
      </c>
      <c r="D4878" t="s" s="2">
        <v>16</v>
      </c>
      <c r="E4878" t="s" s="2">
        <v>17</v>
      </c>
      <c r="F4878" t="s" s="2">
        <f>HYPERLINK("http://ts.21cn.com/tousu/show/id/1368788","http://ts.21cn.com/tousu/show/id/1368788")</f>
      </c>
      <c r="G4878" t="s" s="2">
        <v>17</v>
      </c>
      <c r="H4878" t="s" s="2">
        <v>19</v>
      </c>
      <c r="I4878" t="s" s="2">
        <v>18955</v>
      </c>
      <c r="J4878" t="s" s="2">
        <v>18956</v>
      </c>
      <c r="K4878" t="s" s="2">
        <v>22</v>
      </c>
      <c r="L4878" t="s" s="2">
        <v>22</v>
      </c>
      <c r="M4878" t="s" s="2">
        <v>22</v>
      </c>
    </row>
    <row r="4879" ht="25.0" customHeight="true">
      <c r="A4879" t="s" s="2">
        <v>13</v>
      </c>
      <c r="B4879" t="s" s="2">
        <f>HYPERLINK("http://ts.21cn.com/tousu/show/id/1368787","乱罚款")</f>
      </c>
      <c r="C4879" t="s" s="2">
        <v>15</v>
      </c>
      <c r="D4879" t="s" s="2">
        <v>16</v>
      </c>
      <c r="E4879" t="s" s="2">
        <v>17</v>
      </c>
      <c r="F4879" t="s" s="2">
        <f>HYPERLINK("http://ts.21cn.com/tousu/show/id/1368787","http://ts.21cn.com/tousu/show/id/1368787")</f>
      </c>
      <c r="G4879" t="s" s="2">
        <v>17</v>
      </c>
      <c r="H4879" t="s" s="2">
        <v>19</v>
      </c>
      <c r="I4879" t="s" s="2">
        <v>18959</v>
      </c>
      <c r="J4879" t="s" s="2">
        <v>18960</v>
      </c>
      <c r="K4879" t="s" s="2">
        <v>22</v>
      </c>
      <c r="L4879" t="s" s="2">
        <v>22</v>
      </c>
      <c r="M4879" t="s" s="2">
        <v>22</v>
      </c>
    </row>
    <row r="4880" ht="25.0" customHeight="true">
      <c r="A4880" t="s" s="2">
        <v>13</v>
      </c>
      <c r="B4880" t="s" s="2">
        <f>HYPERLINK("http://ts.21cn.com/tousu/show/id/1368785","淘集集app诚若七天无理由退货退款并没有做到")</f>
      </c>
      <c r="C4880" t="s" s="2">
        <v>15</v>
      </c>
      <c r="D4880" t="s" s="2">
        <v>16</v>
      </c>
      <c r="E4880" t="s" s="2">
        <v>17</v>
      </c>
      <c r="F4880" t="s" s="2">
        <f>HYPERLINK("http://ts.21cn.com/tousu/show/id/1368785","http://ts.21cn.com/tousu/show/id/1368785")</f>
      </c>
      <c r="G4880" t="s" s="2">
        <v>17</v>
      </c>
      <c r="H4880" t="s" s="2">
        <v>19</v>
      </c>
      <c r="I4880" t="s" s="2">
        <v>18963</v>
      </c>
      <c r="J4880" t="s" s="2">
        <v>18964</v>
      </c>
      <c r="K4880" t="s" s="2">
        <v>22</v>
      </c>
      <c r="L4880" t="s" s="2">
        <v>22</v>
      </c>
      <c r="M4880" t="s" s="2">
        <v>22</v>
      </c>
    </row>
    <row r="4881" ht="25.0" customHeight="true">
      <c r="A4881" t="s" s="2">
        <v>13</v>
      </c>
      <c r="B4881" t="s" s="2">
        <f>HYPERLINK("http://ts.21cn.com/tousu/show/id/1368783","维信卡卡贷涉嫌高利率和砍头息发")</f>
      </c>
      <c r="C4881" t="s" s="2">
        <v>15</v>
      </c>
      <c r="D4881" t="s" s="2">
        <v>16</v>
      </c>
      <c r="E4881" t="s" s="2">
        <v>17</v>
      </c>
      <c r="F4881" t="s" s="2">
        <f>HYPERLINK("http://ts.21cn.com/tousu/show/id/1368783","http://ts.21cn.com/tousu/show/id/1368783")</f>
      </c>
      <c r="G4881" t="s" s="2">
        <v>17</v>
      </c>
      <c r="H4881" t="s" s="2">
        <v>19</v>
      </c>
      <c r="I4881" t="s" s="2">
        <v>18967</v>
      </c>
      <c r="J4881" t="s" s="2">
        <v>18968</v>
      </c>
      <c r="K4881" t="s" s="2">
        <v>22</v>
      </c>
      <c r="L4881" t="s" s="2">
        <v>22</v>
      </c>
      <c r="M4881" t="s" s="2">
        <v>22</v>
      </c>
    </row>
    <row r="4882" ht="25.0" customHeight="true">
      <c r="A4882" t="s" s="2">
        <v>13</v>
      </c>
      <c r="B4882" t="s" s="2">
        <f>HYPERLINK("http://ts.21cn.com/tousu/show/id/1368782","暴力催收高利贷")</f>
      </c>
      <c r="C4882" t="s" s="2">
        <v>15</v>
      </c>
      <c r="D4882" t="s" s="2">
        <v>16</v>
      </c>
      <c r="E4882" t="s" s="2">
        <v>17</v>
      </c>
      <c r="F4882" t="s" s="2">
        <f>HYPERLINK("http://ts.21cn.com/tousu/show/id/1368782","http://ts.21cn.com/tousu/show/id/1368782")</f>
      </c>
      <c r="G4882" t="s" s="2">
        <v>17</v>
      </c>
      <c r="H4882" t="s" s="2">
        <v>19</v>
      </c>
      <c r="I4882" t="s" s="2">
        <v>18971</v>
      </c>
      <c r="J4882" t="s" s="2">
        <v>18972</v>
      </c>
      <c r="K4882" t="s" s="2">
        <v>22</v>
      </c>
      <c r="L4882" t="s" s="2">
        <v>22</v>
      </c>
      <c r="M4882" t="s" s="2">
        <v>22</v>
      </c>
    </row>
    <row r="4883" ht="25.0" customHeight="true">
      <c r="A4883" t="s" s="2">
        <v>13</v>
      </c>
      <c r="B4883" t="s" s="2">
        <f>HYPERLINK("http://ts.21cn.com/tousu/show/id/1368781","银行卡被他人绑定微信盗刷")</f>
      </c>
      <c r="C4883" t="s" s="2">
        <v>15</v>
      </c>
      <c r="D4883" t="s" s="2">
        <v>16</v>
      </c>
      <c r="E4883" t="s" s="2">
        <v>17</v>
      </c>
      <c r="F4883" t="s" s="2">
        <f>HYPERLINK("http://ts.21cn.com/tousu/show/id/1368781","http://ts.21cn.com/tousu/show/id/1368781")</f>
      </c>
      <c r="G4883" t="s" s="2">
        <v>17</v>
      </c>
      <c r="H4883" t="s" s="2">
        <v>19</v>
      </c>
      <c r="I4883" t="s" s="2">
        <v>18971</v>
      </c>
      <c r="J4883" t="s" s="2">
        <v>18975</v>
      </c>
      <c r="K4883" t="s" s="2">
        <v>22</v>
      </c>
      <c r="L4883" t="s" s="2">
        <v>22</v>
      </c>
      <c r="M4883" t="s" s="2">
        <v>22</v>
      </c>
    </row>
    <row r="4884" ht="25.0" customHeight="true">
      <c r="A4884" t="s" s="2">
        <v>13</v>
      </c>
      <c r="B4884" t="s" s="2">
        <f>HYPERLINK("http://ts.21cn.com/tousu/show/id/1368780","大赢家彩票")</f>
      </c>
      <c r="C4884" t="s" s="2">
        <v>52</v>
      </c>
      <c r="D4884" t="s" s="2">
        <v>16</v>
      </c>
      <c r="E4884" t="s" s="2">
        <v>17</v>
      </c>
      <c r="F4884" t="s" s="2">
        <f>HYPERLINK("http://ts.21cn.com/tousu/show/id/1368780","http://ts.21cn.com/tousu/show/id/1368780")</f>
      </c>
      <c r="G4884" t="s" s="2">
        <v>17</v>
      </c>
      <c r="H4884" t="s" s="2">
        <v>19</v>
      </c>
      <c r="I4884" t="s" s="2">
        <v>18978</v>
      </c>
      <c r="J4884" t="s" s="2">
        <v>18979</v>
      </c>
      <c r="K4884" t="s" s="2">
        <v>22</v>
      </c>
      <c r="L4884" t="s" s="2">
        <v>22</v>
      </c>
      <c r="M4884" t="s" s="2">
        <v>22</v>
      </c>
    </row>
    <row r="4885" ht="25.0" customHeight="true">
      <c r="A4885" t="s" s="2">
        <v>13</v>
      </c>
      <c r="B4885" t="s" s="2">
        <f>HYPERLINK("http://ts.21cn.com/tousu/show/id/1368778","美团暴力催收轰炸通讯录")</f>
      </c>
      <c r="C4885" t="s" s="2">
        <v>15</v>
      </c>
      <c r="D4885" t="s" s="2">
        <v>16</v>
      </c>
      <c r="E4885" t="s" s="2">
        <v>17</v>
      </c>
      <c r="F4885" t="s" s="2">
        <f>HYPERLINK("http://ts.21cn.com/tousu/show/id/1368778","http://ts.21cn.com/tousu/show/id/1368778")</f>
      </c>
      <c r="G4885" t="s" s="2">
        <v>17</v>
      </c>
      <c r="H4885" t="s" s="2">
        <v>19</v>
      </c>
      <c r="I4885" t="s" s="2">
        <v>18982</v>
      </c>
      <c r="J4885" t="s" s="2">
        <v>18983</v>
      </c>
      <c r="K4885" t="s" s="2">
        <v>22</v>
      </c>
      <c r="L4885" t="s" s="2">
        <v>22</v>
      </c>
      <c r="M4885" t="s" s="2">
        <v>22</v>
      </c>
    </row>
    <row r="4886" ht="25.0" customHeight="true">
      <c r="A4886" t="s" s="2">
        <v>13</v>
      </c>
      <c r="B4886" t="s" s="2">
        <f>HYPERLINK("http://ts.21cn.com/tousu/show/id/1368779","随手记福贷高利息贷款，变相收取费用")</f>
      </c>
      <c r="C4886" t="s" s="2">
        <v>15</v>
      </c>
      <c r="D4886" t="s" s="2">
        <v>16</v>
      </c>
      <c r="E4886" t="s" s="2">
        <v>17</v>
      </c>
      <c r="F4886" t="s" s="2">
        <f>HYPERLINK("http://ts.21cn.com/tousu/show/id/1368779","http://ts.21cn.com/tousu/show/id/1368779")</f>
      </c>
      <c r="G4886" t="s" s="2">
        <v>17</v>
      </c>
      <c r="H4886" t="s" s="2">
        <v>19</v>
      </c>
      <c r="I4886" t="s" s="2">
        <v>18982</v>
      </c>
      <c r="J4886" t="s" s="2">
        <v>18986</v>
      </c>
      <c r="K4886" t="s" s="2">
        <v>22</v>
      </c>
      <c r="L4886" t="s" s="2">
        <v>22</v>
      </c>
      <c r="M4886" t="s" s="2">
        <v>22</v>
      </c>
    </row>
    <row r="4887" ht="25.0" customHeight="true">
      <c r="A4887" t="s" s="2">
        <v>13</v>
      </c>
      <c r="B4887" t="s" s="2">
        <f>HYPERLINK("http://ts.21cn.com/tousu/show/id/1368761","利用别家信贷公司，套取他人钱财")</f>
      </c>
      <c r="C4887" t="s" s="2">
        <v>15</v>
      </c>
      <c r="D4887" t="s" s="2">
        <v>16</v>
      </c>
      <c r="E4887" t="s" s="2">
        <v>17</v>
      </c>
      <c r="F4887" t="s" s="2">
        <f>HYPERLINK("http://ts.21cn.com/tousu/show/id/1368761","http://ts.21cn.com/tousu/show/id/1368761")</f>
      </c>
      <c r="G4887" t="s" s="2">
        <v>17</v>
      </c>
      <c r="H4887" t="s" s="2">
        <v>19</v>
      </c>
      <c r="I4887" t="s" s="2">
        <v>18989</v>
      </c>
      <c r="J4887" t="s" s="2">
        <v>18990</v>
      </c>
      <c r="K4887" t="s" s="2">
        <v>22</v>
      </c>
      <c r="L4887" t="s" s="2">
        <v>22</v>
      </c>
      <c r="M4887" t="s" s="2">
        <v>22</v>
      </c>
    </row>
    <row r="4888" ht="25.0" customHeight="true">
      <c r="A4888" t="s" s="2">
        <v>13</v>
      </c>
      <c r="B4888" t="s" s="2">
        <f>HYPERLINK("http://ts.21cn.com/tousu/show/id/1368775","上海造艺网络科技有限公司乱扣钱")</f>
      </c>
      <c r="C4888" t="s" s="2">
        <v>15</v>
      </c>
      <c r="D4888" t="s" s="2">
        <v>16</v>
      </c>
      <c r="E4888" t="s" s="2">
        <v>17</v>
      </c>
      <c r="F4888" t="s" s="2">
        <f>HYPERLINK("http://ts.21cn.com/tousu/show/id/1368775","http://ts.21cn.com/tousu/show/id/1368775")</f>
      </c>
      <c r="G4888" t="s" s="2">
        <v>17</v>
      </c>
      <c r="H4888" t="s" s="2">
        <v>19</v>
      </c>
      <c r="I4888" t="s" s="2">
        <v>18993</v>
      </c>
      <c r="J4888" t="s" s="2">
        <v>18994</v>
      </c>
      <c r="K4888" t="s" s="2">
        <v>22</v>
      </c>
      <c r="L4888" t="s" s="2">
        <v>22</v>
      </c>
      <c r="M4888" t="s" s="2">
        <v>22</v>
      </c>
    </row>
    <row r="4889" ht="25.0" customHeight="true">
      <c r="A4889" t="s" s="2">
        <v>13</v>
      </c>
      <c r="B4889" t="s" s="2">
        <f>HYPERLINK("http://ts.21cn.com/tousu/show/id/1368774","新意花小木钱包非法高利贷")</f>
      </c>
      <c r="C4889" t="s" s="2">
        <v>15</v>
      </c>
      <c r="D4889" t="s" s="2">
        <v>16</v>
      </c>
      <c r="E4889" t="s" s="2">
        <v>17</v>
      </c>
      <c r="F4889" t="s" s="2">
        <f>HYPERLINK("http://ts.21cn.com/tousu/show/id/1368774","http://ts.21cn.com/tousu/show/id/1368774")</f>
      </c>
      <c r="G4889" t="s" s="2">
        <v>17</v>
      </c>
      <c r="H4889" t="s" s="2">
        <v>19</v>
      </c>
      <c r="I4889" t="s" s="2">
        <v>18997</v>
      </c>
      <c r="J4889" t="s" s="2">
        <v>18998</v>
      </c>
      <c r="K4889" t="s" s="2">
        <v>22</v>
      </c>
      <c r="L4889" t="s" s="2">
        <v>22</v>
      </c>
      <c r="M4889" t="s" s="2">
        <v>22</v>
      </c>
    </row>
    <row r="4890" ht="25.0" customHeight="true">
      <c r="A4890" t="s" s="2">
        <v>13</v>
      </c>
      <c r="B4890" t="s" s="2">
        <f>HYPERLINK("http://ts.21cn.com/tousu/show/id/1368773","洋钱罐借款没到期，它们电话轰炸我")</f>
      </c>
      <c r="C4890" t="s" s="2">
        <v>15</v>
      </c>
      <c r="D4890" t="s" s="2">
        <v>16</v>
      </c>
      <c r="E4890" t="s" s="2">
        <v>17</v>
      </c>
      <c r="F4890" t="s" s="2">
        <f>HYPERLINK("http://ts.21cn.com/tousu/show/id/1368773","http://ts.21cn.com/tousu/show/id/1368773")</f>
      </c>
      <c r="G4890" t="s" s="2">
        <v>17</v>
      </c>
      <c r="H4890" t="s" s="2">
        <v>19</v>
      </c>
      <c r="I4890" t="s" s="2">
        <v>19001</v>
      </c>
      <c r="J4890" t="s" s="2">
        <v>19002</v>
      </c>
      <c r="K4890" t="s" s="2">
        <v>22</v>
      </c>
      <c r="L4890" t="s" s="2">
        <v>22</v>
      </c>
      <c r="M4890" t="s" s="2">
        <v>22</v>
      </c>
    </row>
    <row r="4891" ht="25.0" customHeight="true">
      <c r="A4891" t="s" s="2">
        <v>13</v>
      </c>
      <c r="B4891" t="s" s="2">
        <f>HYPERLINK("http://ts.21cn.com/tousu/show/id/1368771","骚扰通讯录")</f>
      </c>
      <c r="C4891" t="s" s="2">
        <v>15</v>
      </c>
      <c r="D4891" t="s" s="2">
        <v>16</v>
      </c>
      <c r="E4891" t="s" s="2">
        <v>17</v>
      </c>
      <c r="F4891" t="s" s="2">
        <f>HYPERLINK("http://ts.21cn.com/tousu/show/id/1368771","http://ts.21cn.com/tousu/show/id/1368771")</f>
      </c>
      <c r="G4891" t="s" s="2">
        <v>17</v>
      </c>
      <c r="H4891" t="s" s="2">
        <v>19</v>
      </c>
      <c r="I4891" t="s" s="2">
        <v>19004</v>
      </c>
      <c r="J4891" t="s" s="2">
        <v>19005</v>
      </c>
      <c r="K4891" t="s" s="2">
        <v>22</v>
      </c>
      <c r="L4891" t="s" s="2">
        <v>22</v>
      </c>
      <c r="M4891" t="s" s="2">
        <v>22</v>
      </c>
    </row>
    <row r="4892" ht="25.0" customHeight="true">
      <c r="A4892" t="s" s="2">
        <v>13</v>
      </c>
      <c r="B4892" t="s" s="2">
        <f>HYPERLINK("http://ts.21cn.com/tousu/show/id/1368772","水莲金条砍头息")</f>
      </c>
      <c r="C4892" t="s" s="2">
        <v>52</v>
      </c>
      <c r="D4892" t="s" s="2">
        <v>16</v>
      </c>
      <c r="E4892" t="s" s="2">
        <v>17</v>
      </c>
      <c r="F4892" t="s" s="2">
        <f>HYPERLINK("http://ts.21cn.com/tousu/show/id/1368772","http://ts.21cn.com/tousu/show/id/1368772")</f>
      </c>
      <c r="G4892" t="s" s="2">
        <v>17</v>
      </c>
      <c r="H4892" t="s" s="2">
        <v>19</v>
      </c>
      <c r="I4892" t="s" s="2">
        <v>19008</v>
      </c>
      <c r="J4892" t="s" s="2">
        <v>19009</v>
      </c>
      <c r="K4892" t="s" s="2">
        <v>22</v>
      </c>
      <c r="L4892" t="s" s="2">
        <v>22</v>
      </c>
      <c r="M4892" t="s" s="2">
        <v>22</v>
      </c>
    </row>
    <row r="4893" ht="25.0" customHeight="true">
      <c r="A4893" t="s" s="2">
        <v>13</v>
      </c>
      <c r="B4893" t="s" s="2">
        <f>HYPERLINK("http://ts.21cn.com/tousu/show/id/1368769","广发信用卡高利贷好高额违约金和利息")</f>
      </c>
      <c r="C4893" t="s" s="2">
        <v>15</v>
      </c>
      <c r="D4893" t="s" s="2">
        <v>16</v>
      </c>
      <c r="E4893" t="s" s="2">
        <v>17</v>
      </c>
      <c r="F4893" t="s" s="2">
        <f>HYPERLINK("http://ts.21cn.com/tousu/show/id/1368769","http://ts.21cn.com/tousu/show/id/1368769")</f>
      </c>
      <c r="G4893" t="s" s="2">
        <v>17</v>
      </c>
      <c r="H4893" t="s" s="2">
        <v>19</v>
      </c>
      <c r="I4893" t="s" s="2">
        <v>19011</v>
      </c>
      <c r="J4893" t="s" s="2">
        <v>19012</v>
      </c>
      <c r="K4893" t="s" s="2">
        <v>22</v>
      </c>
      <c r="L4893" t="s" s="2">
        <v>22</v>
      </c>
      <c r="M4893" t="s" s="2">
        <v>22</v>
      </c>
    </row>
    <row r="4894" ht="25.0" customHeight="true">
      <c r="A4894" t="s" s="2">
        <v>13</v>
      </c>
      <c r="B4894" t="s" s="2">
        <f>HYPERLINK("http://ts.21cn.com/tousu/show/id/1368767","被莫名其妙的扣钱")</f>
      </c>
      <c r="C4894" t="s" s="2">
        <v>52</v>
      </c>
      <c r="D4894" t="s" s="2">
        <v>16</v>
      </c>
      <c r="E4894" t="s" s="2">
        <v>17</v>
      </c>
      <c r="F4894" t="s" s="2">
        <f>HYPERLINK("http://ts.21cn.com/tousu/show/id/1368767","http://ts.21cn.com/tousu/show/id/1368767")</f>
      </c>
      <c r="G4894" t="s" s="2">
        <v>17</v>
      </c>
      <c r="H4894" t="s" s="2">
        <v>19</v>
      </c>
      <c r="I4894" t="s" s="2">
        <v>19015</v>
      </c>
      <c r="J4894" t="s" s="2">
        <v>19016</v>
      </c>
      <c r="K4894" t="s" s="2">
        <v>22</v>
      </c>
      <c r="L4894" t="s" s="2">
        <v>22</v>
      </c>
      <c r="M4894" t="s" s="2">
        <v>22</v>
      </c>
    </row>
    <row r="4895" ht="25.0" customHeight="true">
      <c r="A4895" t="s" s="2">
        <v>13</v>
      </c>
      <c r="B4895" t="s" s="2">
        <f>HYPERLINK("http://ts.21cn.com/tousu/show/id/1368766","尚德机构投诉专题")</f>
      </c>
      <c r="C4895" t="s" s="2">
        <v>15</v>
      </c>
      <c r="D4895" t="s" s="2">
        <v>16</v>
      </c>
      <c r="E4895" t="s" s="2">
        <v>17</v>
      </c>
      <c r="F4895" t="s" s="2">
        <f>HYPERLINK("http://ts.21cn.com/tousu/show/id/1368766","http://ts.21cn.com/tousu/show/id/1368766")</f>
      </c>
      <c r="G4895" t="s" s="2">
        <v>17</v>
      </c>
      <c r="H4895" t="s" s="2">
        <v>19</v>
      </c>
      <c r="I4895" t="s" s="2">
        <v>19018</v>
      </c>
      <c r="J4895" t="s" s="2">
        <v>19019</v>
      </c>
      <c r="K4895" t="s" s="2">
        <v>22</v>
      </c>
      <c r="L4895" t="s" s="2">
        <v>22</v>
      </c>
      <c r="M4895" t="s" s="2">
        <v>22</v>
      </c>
    </row>
    <row r="4896" ht="25.0" customHeight="true">
      <c r="A4896" t="s" s="2">
        <v>13</v>
      </c>
      <c r="B4896" t="s" s="2">
        <f>HYPERLINK("http://ts.21cn.com/tousu/show/id/1368734","钱橙无忧随意扣费")</f>
      </c>
      <c r="C4896" t="s" s="2">
        <v>15</v>
      </c>
      <c r="D4896" t="s" s="2">
        <v>16</v>
      </c>
      <c r="E4896" t="s" s="2">
        <v>17</v>
      </c>
      <c r="F4896" t="s" s="2">
        <f>HYPERLINK("http://ts.21cn.com/tousu/show/id/1368734","http://ts.21cn.com/tousu/show/id/1368734")</f>
      </c>
      <c r="G4896" t="s" s="2">
        <v>17</v>
      </c>
      <c r="H4896" t="s" s="2">
        <v>19</v>
      </c>
      <c r="I4896" t="s" s="2">
        <v>19021</v>
      </c>
      <c r="J4896" t="s" s="2">
        <v>19022</v>
      </c>
      <c r="K4896" t="s" s="2">
        <v>22</v>
      </c>
      <c r="L4896" t="s" s="2">
        <v>22</v>
      </c>
      <c r="M4896" t="s" s="2">
        <v>22</v>
      </c>
    </row>
    <row r="4897" ht="25.0" customHeight="true">
      <c r="A4897" t="s" s="2">
        <v>13</v>
      </c>
      <c r="B4897" t="s" s="2">
        <f>HYPERLINK("http://ts.21cn.com/tousu/show/id/1368765","闪银高利贷")</f>
      </c>
      <c r="C4897" t="s" s="2">
        <v>15</v>
      </c>
      <c r="D4897" t="s" s="2">
        <v>16</v>
      </c>
      <c r="E4897" t="s" s="2">
        <v>17</v>
      </c>
      <c r="F4897" t="s" s="2">
        <f>HYPERLINK("http://ts.21cn.com/tousu/show/id/1368765","http://ts.21cn.com/tousu/show/id/1368765")</f>
      </c>
      <c r="G4897" t="s" s="2">
        <v>17</v>
      </c>
      <c r="H4897" t="s" s="2">
        <v>19</v>
      </c>
      <c r="I4897" t="s" s="2">
        <v>19024</v>
      </c>
      <c r="J4897" t="s" s="2">
        <v>19025</v>
      </c>
      <c r="K4897" t="s" s="2">
        <v>22</v>
      </c>
      <c r="L4897" t="s" s="2">
        <v>22</v>
      </c>
      <c r="M4897" t="s" s="2">
        <v>22</v>
      </c>
    </row>
    <row r="4898" ht="25.0" customHeight="true">
      <c r="A4898" t="s" s="2">
        <v>13</v>
      </c>
      <c r="B4898" t="s" s="2">
        <f>HYPERLINK("http://ts.21cn.com/tousu/show/id/1368763","招联金融逾期费用太高，暴力催收")</f>
      </c>
      <c r="C4898" t="s" s="2">
        <v>15</v>
      </c>
      <c r="D4898" t="s" s="2">
        <v>16</v>
      </c>
      <c r="E4898" t="s" s="2">
        <v>17</v>
      </c>
      <c r="F4898" t="s" s="2">
        <f>HYPERLINK("http://ts.21cn.com/tousu/show/id/1368763","http://ts.21cn.com/tousu/show/id/1368763")</f>
      </c>
      <c r="G4898" t="s" s="2">
        <v>17</v>
      </c>
      <c r="H4898" t="s" s="2">
        <v>19</v>
      </c>
      <c r="I4898" t="s" s="2">
        <v>19028</v>
      </c>
      <c r="J4898" t="s" s="2">
        <v>19029</v>
      </c>
      <c r="K4898" t="s" s="2">
        <v>22</v>
      </c>
      <c r="L4898" t="s" s="2">
        <v>22</v>
      </c>
      <c r="M4898" t="s" s="2">
        <v>22</v>
      </c>
    </row>
    <row r="4899" ht="25.0" customHeight="true">
      <c r="A4899" t="s" s="2">
        <v>13</v>
      </c>
      <c r="B4899" t="s" s="2">
        <f>HYPERLINK("http://ts.21cn.com/tousu/show/id/1368762","你我贷黑社会催收")</f>
      </c>
      <c r="C4899" t="s" s="2">
        <v>15</v>
      </c>
      <c r="D4899" t="s" s="2">
        <v>16</v>
      </c>
      <c r="E4899" t="s" s="2">
        <v>17</v>
      </c>
      <c r="F4899" t="s" s="2">
        <f>HYPERLINK("http://ts.21cn.com/tousu/show/id/1368762","http://ts.21cn.com/tousu/show/id/1368762")</f>
      </c>
      <c r="G4899" t="s" s="2">
        <v>17</v>
      </c>
      <c r="H4899" t="s" s="2">
        <v>19</v>
      </c>
      <c r="I4899" t="s" s="2">
        <v>19032</v>
      </c>
      <c r="J4899" t="s" s="2">
        <v>19033</v>
      </c>
      <c r="K4899" t="s" s="2">
        <v>22</v>
      </c>
      <c r="L4899" t="s" s="2">
        <v>22</v>
      </c>
      <c r="M4899" t="s" s="2">
        <v>22</v>
      </c>
    </row>
    <row r="4900" ht="25.0" customHeight="true">
      <c r="A4900" t="s" s="2">
        <v>13</v>
      </c>
      <c r="B4900" t="s" s="2">
        <f>HYPERLINK("http://ts.21cn.com/tousu/show/id/1368663","退还服务费")</f>
      </c>
      <c r="C4900" t="s" s="2">
        <v>15</v>
      </c>
      <c r="D4900" t="s" s="2">
        <v>16</v>
      </c>
      <c r="E4900" t="s" s="2">
        <v>17</v>
      </c>
      <c r="F4900" t="s" s="2">
        <f>HYPERLINK("http://ts.21cn.com/tousu/show/id/1368663","http://ts.21cn.com/tousu/show/id/1368663")</f>
      </c>
      <c r="G4900" t="s" s="2">
        <v>17</v>
      </c>
      <c r="H4900" t="s" s="2">
        <v>19</v>
      </c>
      <c r="I4900" t="s" s="2">
        <v>19036</v>
      </c>
      <c r="J4900" t="s" s="2">
        <v>19037</v>
      </c>
      <c r="K4900" t="s" s="2">
        <v>22</v>
      </c>
      <c r="L4900" t="s" s="2">
        <v>22</v>
      </c>
      <c r="M4900" t="s" s="2">
        <v>22</v>
      </c>
    </row>
    <row r="4901" ht="25.0" customHeight="true">
      <c r="A4901" t="s" s="2">
        <v>13</v>
      </c>
      <c r="B4901" t="s" s="2">
        <f>HYPERLINK("http://ts.21cn.com/tousu/show/id/1368760","韦博英语全国门店倒闭，学员学费退款无门，学费贷款依然在还")</f>
      </c>
      <c r="C4901" t="s" s="2">
        <v>15</v>
      </c>
      <c r="D4901" t="s" s="2">
        <v>16</v>
      </c>
      <c r="E4901" t="s" s="2">
        <v>17</v>
      </c>
      <c r="F4901" t="s" s="2">
        <f>HYPERLINK("http://ts.21cn.com/tousu/show/id/1368760","http://ts.21cn.com/tousu/show/id/1368760")</f>
      </c>
      <c r="G4901" t="s" s="2">
        <v>17</v>
      </c>
      <c r="H4901" t="s" s="2">
        <v>19</v>
      </c>
      <c r="I4901" t="s" s="2">
        <v>19040</v>
      </c>
      <c r="J4901" t="s" s="2">
        <v>19041</v>
      </c>
      <c r="K4901" t="s" s="2">
        <v>22</v>
      </c>
      <c r="L4901" t="s" s="2">
        <v>22</v>
      </c>
      <c r="M4901" t="s" s="2">
        <v>22</v>
      </c>
    </row>
    <row r="4902" ht="25.0" customHeight="true">
      <c r="A4902" t="s" s="2">
        <v>13</v>
      </c>
      <c r="B4902" t="s" s="2">
        <f>HYPERLINK("http://ts.21cn.com/tousu/show/id/1368759","钱站暴力催收威胁恐吓")</f>
      </c>
      <c r="C4902" t="s" s="2">
        <v>15</v>
      </c>
      <c r="D4902" t="s" s="2">
        <v>16</v>
      </c>
      <c r="E4902" t="s" s="2">
        <v>17</v>
      </c>
      <c r="F4902" t="s" s="2">
        <f>HYPERLINK("http://ts.21cn.com/tousu/show/id/1368759","http://ts.21cn.com/tousu/show/id/1368759")</f>
      </c>
      <c r="G4902" t="s" s="2">
        <v>17</v>
      </c>
      <c r="H4902" t="s" s="2">
        <v>19</v>
      </c>
      <c r="I4902" t="s" s="2">
        <v>19044</v>
      </c>
      <c r="J4902" t="s" s="2">
        <v>19045</v>
      </c>
      <c r="K4902" t="s" s="2">
        <v>22</v>
      </c>
      <c r="L4902" t="s" s="2">
        <v>22</v>
      </c>
      <c r="M4902" t="s" s="2">
        <v>22</v>
      </c>
    </row>
    <row r="4903" ht="25.0" customHeight="true">
      <c r="A4903" t="s" s="2">
        <v>13</v>
      </c>
      <c r="B4903" t="s" s="2">
        <f>HYPERLINK("http://ts.21cn.com/tousu/show/id/1368758","汇付天下，上海富友为一品花714高炮提供支付同道")</f>
      </c>
      <c r="C4903" t="s" s="2">
        <v>15</v>
      </c>
      <c r="D4903" t="s" s="2">
        <v>16</v>
      </c>
      <c r="E4903" t="s" s="2">
        <v>17</v>
      </c>
      <c r="F4903" t="s" s="2">
        <f>HYPERLINK("http://ts.21cn.com/tousu/show/id/1368758","http://ts.21cn.com/tousu/show/id/1368758")</f>
      </c>
      <c r="G4903" t="s" s="2">
        <v>17</v>
      </c>
      <c r="H4903" t="s" s="2">
        <v>19</v>
      </c>
      <c r="I4903" t="s" s="2">
        <v>19048</v>
      </c>
      <c r="J4903" t="s" s="2">
        <v>19049</v>
      </c>
      <c r="K4903" t="s" s="2">
        <v>22</v>
      </c>
      <c r="L4903" t="s" s="2">
        <v>22</v>
      </c>
      <c r="M4903" t="s" s="2">
        <v>22</v>
      </c>
    </row>
    <row r="4904" ht="25.0" customHeight="true">
      <c r="A4904" t="s" s="2">
        <v>13</v>
      </c>
      <c r="B4904" t="s" s="2">
        <f>HYPERLINK("http://ts.21cn.com/tousu/show/id/1368757","滴滴平台派单问题暗箱操作")</f>
      </c>
      <c r="C4904" t="s" s="2">
        <v>15</v>
      </c>
      <c r="D4904" t="s" s="2">
        <v>16</v>
      </c>
      <c r="E4904" t="s" s="2">
        <v>17</v>
      </c>
      <c r="F4904" t="s" s="2">
        <f>HYPERLINK("http://ts.21cn.com/tousu/show/id/1368757","http://ts.21cn.com/tousu/show/id/1368757")</f>
      </c>
      <c r="G4904" t="s" s="2">
        <v>17</v>
      </c>
      <c r="H4904" t="s" s="2">
        <v>19</v>
      </c>
      <c r="I4904" t="s" s="2">
        <v>19052</v>
      </c>
      <c r="J4904" t="s" s="2">
        <v>19053</v>
      </c>
      <c r="K4904" t="s" s="2">
        <v>22</v>
      </c>
      <c r="L4904" t="s" s="2">
        <v>22</v>
      </c>
      <c r="M4904" t="s" s="2">
        <v>22</v>
      </c>
    </row>
    <row r="4905" ht="25.0" customHeight="true">
      <c r="A4905" t="s" s="2">
        <v>13</v>
      </c>
      <c r="B4905" t="s" s="2">
        <f>HYPERLINK("http://ts.21cn.com/tousu/show/id/1368756","714高炮")</f>
      </c>
      <c r="C4905" t="s" s="2">
        <v>52</v>
      </c>
      <c r="D4905" t="s" s="2">
        <v>16</v>
      </c>
      <c r="E4905" t="s" s="2">
        <v>17</v>
      </c>
      <c r="F4905" t="s" s="2">
        <f>HYPERLINK("http://ts.21cn.com/tousu/show/id/1368756","http://ts.21cn.com/tousu/show/id/1368756")</f>
      </c>
      <c r="G4905" t="s" s="2">
        <v>17</v>
      </c>
      <c r="H4905" t="s" s="2">
        <v>19</v>
      </c>
      <c r="I4905" t="s" s="2">
        <v>19055</v>
      </c>
      <c r="J4905" t="s" s="2">
        <v>19056</v>
      </c>
      <c r="K4905" t="s" s="2">
        <v>22</v>
      </c>
      <c r="L4905" t="s" s="2">
        <v>22</v>
      </c>
      <c r="M4905" t="s" s="2">
        <v>22</v>
      </c>
    </row>
    <row r="4906" ht="25.0" customHeight="true">
      <c r="A4906" t="s" s="2">
        <v>13</v>
      </c>
      <c r="B4906" t="s" s="2">
        <f>HYPERLINK("http://ts.21cn.com/tousu/show/id/1368755","初九钱包7天高炮")</f>
      </c>
      <c r="C4906" t="s" s="2">
        <v>15</v>
      </c>
      <c r="D4906" t="s" s="2">
        <v>16</v>
      </c>
      <c r="E4906" t="s" s="2">
        <v>17</v>
      </c>
      <c r="F4906" t="s" s="2">
        <f>HYPERLINK("http://ts.21cn.com/tousu/show/id/1368755","http://ts.21cn.com/tousu/show/id/1368755")</f>
      </c>
      <c r="G4906" t="s" s="2">
        <v>17</v>
      </c>
      <c r="H4906" t="s" s="2">
        <v>19</v>
      </c>
      <c r="I4906" t="s" s="2">
        <v>19059</v>
      </c>
      <c r="J4906" t="s" s="2">
        <v>19060</v>
      </c>
      <c r="K4906" t="s" s="2">
        <v>22</v>
      </c>
      <c r="L4906" t="s" s="2">
        <v>22</v>
      </c>
      <c r="M4906" t="s" s="2">
        <v>22</v>
      </c>
    </row>
    <row r="4907" ht="25.0" customHeight="true">
      <c r="A4907" t="s" s="2">
        <v>13</v>
      </c>
      <c r="B4907" t="s" s="2">
        <f>HYPERLINK("http://ts.21cn.com/tousu/show/id/1368753","高利贷，砍头息，中国平安i贷")</f>
      </c>
      <c r="C4907" t="s" s="2">
        <v>15</v>
      </c>
      <c r="D4907" t="s" s="2">
        <v>16</v>
      </c>
      <c r="E4907" t="s" s="2">
        <v>17</v>
      </c>
      <c r="F4907" t="s" s="2">
        <f>HYPERLINK("http://ts.21cn.com/tousu/show/id/1368753","http://ts.21cn.com/tousu/show/id/1368753")</f>
      </c>
      <c r="G4907" t="s" s="2">
        <v>17</v>
      </c>
      <c r="H4907" t="s" s="2">
        <v>19</v>
      </c>
      <c r="I4907" t="s" s="2">
        <v>19063</v>
      </c>
      <c r="J4907" t="s" s="2">
        <v>19064</v>
      </c>
      <c r="K4907" t="s" s="2">
        <v>22</v>
      </c>
      <c r="L4907" t="s" s="2">
        <v>22</v>
      </c>
      <c r="M4907" t="s" s="2">
        <v>22</v>
      </c>
    </row>
    <row r="4908" ht="25.0" customHeight="true">
      <c r="A4908" t="s" s="2">
        <v>13</v>
      </c>
      <c r="B4908" t="s" s="2">
        <f>HYPERLINK("http://ts.21cn.com/tousu/show/id/1368752","威胁，恐吓")</f>
      </c>
      <c r="C4908" t="s" s="2">
        <v>15</v>
      </c>
      <c r="D4908" t="s" s="2">
        <v>16</v>
      </c>
      <c r="E4908" t="s" s="2">
        <v>17</v>
      </c>
      <c r="F4908" t="s" s="2">
        <f>HYPERLINK("http://ts.21cn.com/tousu/show/id/1368752","http://ts.21cn.com/tousu/show/id/1368752")</f>
      </c>
      <c r="G4908" t="s" s="2">
        <v>17</v>
      </c>
      <c r="H4908" t="s" s="2">
        <v>19</v>
      </c>
      <c r="I4908" t="s" s="2">
        <v>19066</v>
      </c>
      <c r="J4908" t="s" s="2">
        <v>19067</v>
      </c>
      <c r="K4908" t="s" s="2">
        <v>22</v>
      </c>
      <c r="L4908" t="s" s="2">
        <v>22</v>
      </c>
      <c r="M4908" t="s" s="2">
        <v>22</v>
      </c>
    </row>
    <row r="4909" ht="25.0" customHeight="true">
      <c r="A4909" t="s" s="2">
        <v>13</v>
      </c>
      <c r="B4909" t="s" s="2">
        <f>HYPERLINK("http://ts.21cn.com/tousu/show/id/1368750","钱站砍头息高利贷阴阳合同")</f>
      </c>
      <c r="C4909" t="s" s="2">
        <v>15</v>
      </c>
      <c r="D4909" t="s" s="2">
        <v>16</v>
      </c>
      <c r="E4909" t="s" s="2">
        <v>17</v>
      </c>
      <c r="F4909" t="s" s="2">
        <f>HYPERLINK("http://ts.21cn.com/tousu/show/id/1368750","http://ts.21cn.com/tousu/show/id/1368750")</f>
      </c>
      <c r="G4909" t="s" s="2">
        <v>17</v>
      </c>
      <c r="H4909" t="s" s="2">
        <v>19</v>
      </c>
      <c r="I4909" t="s" s="2">
        <v>19070</v>
      </c>
      <c r="J4909" t="s" s="2">
        <v>19071</v>
      </c>
      <c r="K4909" t="s" s="2">
        <v>22</v>
      </c>
      <c r="L4909" t="s" s="2">
        <v>22</v>
      </c>
      <c r="M4909" t="s" s="2">
        <v>22</v>
      </c>
    </row>
    <row r="4910" ht="25.0" customHeight="true">
      <c r="A4910" t="s" s="2">
        <v>13</v>
      </c>
      <c r="B4910" t="s" s="2">
        <f>HYPERLINK("http://ts.21cn.com/tousu/show/id/1368749","钱站借1000元还1495元合理吗")</f>
      </c>
      <c r="C4910" t="s" s="2">
        <v>52</v>
      </c>
      <c r="D4910" t="s" s="2">
        <v>16</v>
      </c>
      <c r="E4910" t="s" s="2">
        <v>17</v>
      </c>
      <c r="F4910" t="s" s="2">
        <f>HYPERLINK("http://ts.21cn.com/tousu/show/id/1368749","http://ts.21cn.com/tousu/show/id/1368749")</f>
      </c>
      <c r="G4910" t="s" s="2">
        <v>17</v>
      </c>
      <c r="H4910" t="s" s="2">
        <v>19</v>
      </c>
      <c r="I4910" t="s" s="2">
        <v>19074</v>
      </c>
      <c r="J4910" t="s" s="2">
        <v>19075</v>
      </c>
      <c r="K4910" t="s" s="2">
        <v>22</v>
      </c>
      <c r="L4910" t="s" s="2">
        <v>22</v>
      </c>
      <c r="M4910" t="s" s="2">
        <v>22</v>
      </c>
    </row>
    <row r="4911" ht="25.0" customHeight="true">
      <c r="A4911" t="s" s="2">
        <v>13</v>
      </c>
      <c r="B4911" t="s" s="2">
        <f>HYPERLINK("http://ts.21cn.com/tousu/show/id/1368746","平安银行为714高炮平台惠花花提供支付渠道")</f>
      </c>
      <c r="C4911" t="s" s="2">
        <v>15</v>
      </c>
      <c r="D4911" t="s" s="2">
        <v>16</v>
      </c>
      <c r="E4911" t="s" s="2">
        <v>17</v>
      </c>
      <c r="F4911" t="s" s="2">
        <f>HYPERLINK("http://ts.21cn.com/tousu/show/id/1368746","http://ts.21cn.com/tousu/show/id/1368746")</f>
      </c>
      <c r="G4911" t="s" s="2">
        <v>17</v>
      </c>
      <c r="H4911" t="s" s="2">
        <v>19</v>
      </c>
      <c r="I4911" t="s" s="2">
        <v>19078</v>
      </c>
      <c r="J4911" t="s" s="2">
        <v>19079</v>
      </c>
      <c r="K4911" t="s" s="2">
        <v>22</v>
      </c>
      <c r="L4911" t="s" s="2">
        <v>22</v>
      </c>
      <c r="M4911" t="s" s="2">
        <v>22</v>
      </c>
    </row>
    <row r="4912" ht="25.0" customHeight="true">
      <c r="A4912" t="s" s="2">
        <v>13</v>
      </c>
      <c r="B4912" t="s" s="2">
        <f>HYPERLINK("http://ts.21cn.com/tousu/show/id/1368747","微粒贷上门暴力催收威胁家人")</f>
      </c>
      <c r="C4912" t="s" s="2">
        <v>15</v>
      </c>
      <c r="D4912" t="s" s="2">
        <v>16</v>
      </c>
      <c r="E4912" t="s" s="2">
        <v>17</v>
      </c>
      <c r="F4912" t="s" s="2">
        <f>HYPERLINK("http://ts.21cn.com/tousu/show/id/1368747","http://ts.21cn.com/tousu/show/id/1368747")</f>
      </c>
      <c r="G4912" t="s" s="2">
        <v>17</v>
      </c>
      <c r="H4912" t="s" s="2">
        <v>19</v>
      </c>
      <c r="I4912" t="s" s="2">
        <v>19082</v>
      </c>
      <c r="J4912" t="s" s="2">
        <v>19083</v>
      </c>
      <c r="K4912" t="s" s="2">
        <v>22</v>
      </c>
      <c r="L4912" t="s" s="2">
        <v>22</v>
      </c>
      <c r="M4912" t="s" s="2">
        <v>22</v>
      </c>
    </row>
    <row r="4913" ht="25.0" customHeight="true">
      <c r="A4913" t="s" s="2">
        <v>13</v>
      </c>
      <c r="B4913" t="s" s="2">
        <f>HYPERLINK("http://ts.21cn.com/tousu/show/id/1368745","OPPOR9SPLUS自2019年4月起出现无限重启，要求OPPO给予免费更换主板服务")</f>
      </c>
      <c r="C4913" t="s" s="2">
        <v>15</v>
      </c>
      <c r="D4913" t="s" s="2">
        <v>16</v>
      </c>
      <c r="E4913" t="s" s="2">
        <v>17</v>
      </c>
      <c r="F4913" t="s" s="2">
        <f>HYPERLINK("http://ts.21cn.com/tousu/show/id/1368745","http://ts.21cn.com/tousu/show/id/1368745")</f>
      </c>
      <c r="G4913" t="s" s="2">
        <v>17</v>
      </c>
      <c r="H4913" t="s" s="2">
        <v>19</v>
      </c>
      <c r="I4913" t="s" s="2">
        <v>19086</v>
      </c>
      <c r="J4913" t="s" s="2">
        <v>19087</v>
      </c>
      <c r="K4913" t="s" s="2">
        <v>22</v>
      </c>
      <c r="L4913" t="s" s="2">
        <v>22</v>
      </c>
      <c r="M4913" t="s" s="2">
        <v>22</v>
      </c>
    </row>
    <row r="4914" ht="25.0" customHeight="true">
      <c r="A4914" t="s" s="2">
        <v>13</v>
      </c>
      <c r="B4914" t="s" s="2">
        <f>HYPERLINK("http://ts.21cn.com/tousu/show/id/1368697","小赢卡贷捆绑合同，暴力催收，威胁生命安全")</f>
      </c>
      <c r="C4914" t="s" s="2">
        <v>15</v>
      </c>
      <c r="D4914" t="s" s="2">
        <v>16</v>
      </c>
      <c r="E4914" t="s" s="2">
        <v>17</v>
      </c>
      <c r="F4914" t="s" s="2">
        <f>HYPERLINK("http://ts.21cn.com/tousu/show/id/1368697","http://ts.21cn.com/tousu/show/id/1368697")</f>
      </c>
      <c r="G4914" t="s" s="2">
        <v>17</v>
      </c>
      <c r="H4914" t="s" s="2">
        <v>19</v>
      </c>
      <c r="I4914" t="s" s="2">
        <v>19090</v>
      </c>
      <c r="J4914" t="s" s="2">
        <v>19091</v>
      </c>
      <c r="K4914" t="s" s="2">
        <v>22</v>
      </c>
      <c r="L4914" t="s" s="2">
        <v>22</v>
      </c>
      <c r="M4914" t="s" s="2">
        <v>22</v>
      </c>
    </row>
    <row r="4915" ht="25.0" customHeight="true">
      <c r="A4915" t="s" s="2">
        <v>13</v>
      </c>
      <c r="B4915" t="s" s="2">
        <f>HYPERLINK("http://ts.21cn.com/tousu/show/id/1368744","逾期利息太高，")</f>
      </c>
      <c r="C4915" t="s" s="2">
        <v>15</v>
      </c>
      <c r="D4915" t="s" s="2">
        <v>16</v>
      </c>
      <c r="E4915" t="s" s="2">
        <v>17</v>
      </c>
      <c r="F4915" t="s" s="2">
        <f>HYPERLINK("http://ts.21cn.com/tousu/show/id/1368744","http://ts.21cn.com/tousu/show/id/1368744")</f>
      </c>
      <c r="G4915" t="s" s="2">
        <v>17</v>
      </c>
      <c r="H4915" t="s" s="2">
        <v>19</v>
      </c>
      <c r="I4915" t="s" s="2">
        <v>19094</v>
      </c>
      <c r="J4915" t="s" s="2">
        <v>19095</v>
      </c>
      <c r="K4915" t="s" s="2">
        <v>22</v>
      </c>
      <c r="L4915" t="s" s="2">
        <v>22</v>
      </c>
      <c r="M4915" t="s" s="2">
        <v>22</v>
      </c>
    </row>
    <row r="4916" ht="25.0" customHeight="true">
      <c r="A4916" t="s" s="2">
        <v>13</v>
      </c>
      <c r="B4916" t="s" s="2">
        <f>HYPERLINK("http://ts.21cn.com/tousu/show/id/1368742","新橙优品高利贷")</f>
      </c>
      <c r="C4916" t="s" s="2">
        <v>15</v>
      </c>
      <c r="D4916" t="s" s="2">
        <v>16</v>
      </c>
      <c r="E4916" t="s" s="2">
        <v>17</v>
      </c>
      <c r="F4916" t="s" s="2">
        <f>HYPERLINK("http://ts.21cn.com/tousu/show/id/1368742","http://ts.21cn.com/tousu/show/id/1368742")</f>
      </c>
      <c r="G4916" t="s" s="2">
        <v>17</v>
      </c>
      <c r="H4916" t="s" s="2">
        <v>19</v>
      </c>
      <c r="I4916" t="s" s="2">
        <v>19098</v>
      </c>
      <c r="J4916" t="s" s="2">
        <v>19099</v>
      </c>
      <c r="K4916" t="s" s="2">
        <v>22</v>
      </c>
      <c r="L4916" t="s" s="2">
        <v>22</v>
      </c>
      <c r="M4916" t="s" s="2">
        <v>22</v>
      </c>
    </row>
    <row r="4917" ht="25.0" customHeight="true">
      <c r="A4917" t="s" s="2">
        <v>13</v>
      </c>
      <c r="B4917" t="s" s="2">
        <f>HYPERLINK("http://ts.21cn.com/tousu/show/id/1368743","上海富友支付为顺心花714高炮提供支付通道要求退还砍头息")</f>
      </c>
      <c r="C4917" t="s" s="2">
        <v>15</v>
      </c>
      <c r="D4917" t="s" s="2">
        <v>16</v>
      </c>
      <c r="E4917" t="s" s="2">
        <v>17</v>
      </c>
      <c r="F4917" t="s" s="2">
        <f>HYPERLINK("http://ts.21cn.com/tousu/show/id/1368743","http://ts.21cn.com/tousu/show/id/1368743")</f>
      </c>
      <c r="G4917" t="s" s="2">
        <v>17</v>
      </c>
      <c r="H4917" t="s" s="2">
        <v>19</v>
      </c>
      <c r="I4917" t="s" s="2">
        <v>19102</v>
      </c>
      <c r="J4917" t="s" s="2">
        <v>19103</v>
      </c>
      <c r="K4917" t="s" s="2">
        <v>22</v>
      </c>
      <c r="L4917" t="s" s="2">
        <v>22</v>
      </c>
      <c r="M4917" t="s" s="2">
        <v>22</v>
      </c>
    </row>
    <row r="4918" ht="25.0" customHeight="true">
      <c r="A4918" t="s" s="2">
        <v>13</v>
      </c>
      <c r="B4918" t="s" s="2">
        <f>HYPERLINK("http://ts.21cn.com/tousu/show/id/1368741","五一公积金语言攻击暴力催收")</f>
      </c>
      <c r="C4918" t="s" s="2">
        <v>15</v>
      </c>
      <c r="D4918" t="s" s="2">
        <v>16</v>
      </c>
      <c r="E4918" t="s" s="2">
        <v>17</v>
      </c>
      <c r="F4918" t="s" s="2">
        <f>HYPERLINK("http://ts.21cn.com/tousu/show/id/1368741","http://ts.21cn.com/tousu/show/id/1368741")</f>
      </c>
      <c r="G4918" t="s" s="2">
        <v>17</v>
      </c>
      <c r="H4918" t="s" s="2">
        <v>19</v>
      </c>
      <c r="I4918" t="s" s="2">
        <v>19106</v>
      </c>
      <c r="J4918" t="s" s="2">
        <v>19107</v>
      </c>
      <c r="K4918" t="s" s="2">
        <v>22</v>
      </c>
      <c r="L4918" t="s" s="2">
        <v>22</v>
      </c>
      <c r="M4918" t="s" s="2">
        <v>22</v>
      </c>
    </row>
    <row r="4919" ht="25.0" customHeight="true">
      <c r="A4919" t="s" s="2">
        <v>13</v>
      </c>
      <c r="B4919" t="s" s="2">
        <f>HYPERLINK("http://ts.21cn.com/tousu/show/id/1368740","高利贷套路贷")</f>
      </c>
      <c r="C4919" t="s" s="2">
        <v>15</v>
      </c>
      <c r="D4919" t="s" s="2">
        <v>16</v>
      </c>
      <c r="E4919" t="s" s="2">
        <v>17</v>
      </c>
      <c r="F4919" t="s" s="2">
        <f>HYPERLINK("http://ts.21cn.com/tousu/show/id/1368740","http://ts.21cn.com/tousu/show/id/1368740")</f>
      </c>
      <c r="G4919" t="s" s="2">
        <v>17</v>
      </c>
      <c r="H4919" t="s" s="2">
        <v>19</v>
      </c>
      <c r="I4919" t="s" s="2">
        <v>19109</v>
      </c>
      <c r="J4919" t="s" s="2">
        <v>19110</v>
      </c>
      <c r="K4919" t="s" s="2">
        <v>22</v>
      </c>
      <c r="L4919" t="s" s="2">
        <v>22</v>
      </c>
      <c r="M4919" t="s" s="2">
        <v>22</v>
      </c>
    </row>
    <row r="4920" ht="25.0" customHeight="true">
      <c r="A4920" t="s" s="2">
        <v>13</v>
      </c>
      <c r="B4920" t="s" s="2">
        <f>HYPERLINK("http://ts.21cn.com/tousu/show/id/1368739","滴滴改正每天不合理扣分")</f>
      </c>
      <c r="C4920" t="s" s="2">
        <v>15</v>
      </c>
      <c r="D4920" t="s" s="2">
        <v>16</v>
      </c>
      <c r="E4920" t="s" s="2">
        <v>17</v>
      </c>
      <c r="F4920" t="s" s="2">
        <f>HYPERLINK("http://ts.21cn.com/tousu/show/id/1368739","http://ts.21cn.com/tousu/show/id/1368739")</f>
      </c>
      <c r="G4920" t="s" s="2">
        <v>17</v>
      </c>
      <c r="H4920" t="s" s="2">
        <v>19</v>
      </c>
      <c r="I4920" t="s" s="2">
        <v>19113</v>
      </c>
      <c r="J4920" t="s" s="2">
        <v>19114</v>
      </c>
      <c r="K4920" t="s" s="2">
        <v>22</v>
      </c>
      <c r="L4920" t="s" s="2">
        <v>22</v>
      </c>
      <c r="M4920" t="s" s="2">
        <v>22</v>
      </c>
    </row>
    <row r="4921" ht="25.0" customHeight="true">
      <c r="A4921" t="s" s="2">
        <v>13</v>
      </c>
      <c r="B4921" t="s" s="2">
        <f>HYPERLINK("http://ts.21cn.com/tousu/show/id/1364300","群利花平台五天利息高达1240元")</f>
      </c>
      <c r="C4921" t="s" s="2">
        <v>15</v>
      </c>
      <c r="D4921" t="s" s="2">
        <v>16</v>
      </c>
      <c r="E4921" t="s" s="2">
        <v>17</v>
      </c>
      <c r="F4921" t="s" s="2">
        <f>HYPERLINK("http://ts.21cn.com/tousu/show/id/1364300","http://ts.21cn.com/tousu/show/id/1364300")</f>
      </c>
      <c r="G4921" t="s" s="2">
        <v>17</v>
      </c>
      <c r="H4921" t="s" s="2">
        <v>19</v>
      </c>
      <c r="I4921" t="s" s="2">
        <v>19117</v>
      </c>
      <c r="J4921" t="s" s="2">
        <v>19118</v>
      </c>
      <c r="K4921" t="s" s="2">
        <v>22</v>
      </c>
      <c r="L4921" t="s" s="2">
        <v>22</v>
      </c>
      <c r="M4921" t="s" s="2">
        <v>22</v>
      </c>
    </row>
    <row r="4922" ht="25.0" customHeight="true">
      <c r="A4922" t="s" s="2">
        <v>13</v>
      </c>
      <c r="B4922" t="s" s="2">
        <f>HYPERLINK("http://ts.21cn.com/tousu/show/id/1368738","群发短信，恐吓催收，骚扰通讯录")</f>
      </c>
      <c r="C4922" t="s" s="2">
        <v>15</v>
      </c>
      <c r="D4922" t="s" s="2">
        <v>16</v>
      </c>
      <c r="E4922" t="s" s="2">
        <v>17</v>
      </c>
      <c r="F4922" t="s" s="2">
        <f>HYPERLINK("http://ts.21cn.com/tousu/show/id/1368738","http://ts.21cn.com/tousu/show/id/1368738")</f>
      </c>
      <c r="G4922" t="s" s="2">
        <v>17</v>
      </c>
      <c r="H4922" t="s" s="2">
        <v>19</v>
      </c>
      <c r="I4922" t="s" s="2">
        <v>19121</v>
      </c>
      <c r="J4922" t="s" s="2">
        <v>19122</v>
      </c>
      <c r="K4922" t="s" s="2">
        <v>22</v>
      </c>
      <c r="L4922" t="s" s="2">
        <v>22</v>
      </c>
      <c r="M4922" t="s" s="2">
        <v>22</v>
      </c>
    </row>
    <row r="4923" ht="25.0" customHeight="true">
      <c r="A4923" t="s" s="2">
        <v>13</v>
      </c>
      <c r="B4923" t="s" s="2">
        <f>HYPERLINK("http://ts.21cn.com/tousu/show/id/1368737","银行卡被他人绑定微信盗刷")</f>
      </c>
      <c r="C4923" t="s" s="2">
        <v>15</v>
      </c>
      <c r="D4923" t="s" s="2">
        <v>16</v>
      </c>
      <c r="E4923" t="s" s="2">
        <v>17</v>
      </c>
      <c r="F4923" t="s" s="2">
        <f>HYPERLINK("http://ts.21cn.com/tousu/show/id/1368737","http://ts.21cn.com/tousu/show/id/1368737")</f>
      </c>
      <c r="G4923" t="s" s="2">
        <v>17</v>
      </c>
      <c r="H4923" t="s" s="2">
        <v>19</v>
      </c>
      <c r="I4923" t="s" s="2">
        <v>19124</v>
      </c>
      <c r="J4923" t="s" s="2">
        <v>19125</v>
      </c>
      <c r="K4923" t="s" s="2">
        <v>22</v>
      </c>
      <c r="L4923" t="s" s="2">
        <v>22</v>
      </c>
      <c r="M4923" t="s" s="2">
        <v>22</v>
      </c>
    </row>
    <row r="4924" ht="25.0" customHeight="true">
      <c r="A4924" t="s" s="2">
        <v>13</v>
      </c>
      <c r="B4924" t="s" s="2">
        <f>HYPERLINK("http://ts.21cn.com/tousu/show/id/1368736","退还不正当收费,解除银行卡绑定，注销账号")</f>
      </c>
      <c r="C4924" t="s" s="2">
        <v>15</v>
      </c>
      <c r="D4924" t="s" s="2">
        <v>16</v>
      </c>
      <c r="E4924" t="s" s="2">
        <v>17</v>
      </c>
      <c r="F4924" t="s" s="2">
        <f>HYPERLINK("http://ts.21cn.com/tousu/show/id/1368736","http://ts.21cn.com/tousu/show/id/1368736")</f>
      </c>
      <c r="G4924" t="s" s="2">
        <v>17</v>
      </c>
      <c r="H4924" t="s" s="2">
        <v>19</v>
      </c>
      <c r="I4924" t="s" s="2">
        <v>19128</v>
      </c>
      <c r="J4924" t="s" s="2">
        <v>19129</v>
      </c>
      <c r="K4924" t="s" s="2">
        <v>22</v>
      </c>
      <c r="L4924" t="s" s="2">
        <v>22</v>
      </c>
      <c r="M4924" t="s" s="2">
        <v>22</v>
      </c>
    </row>
    <row r="4925" ht="25.0" customHeight="true">
      <c r="A4925" t="s" s="2">
        <v>13</v>
      </c>
      <c r="B4925" t="s" s="2">
        <f>HYPERLINK("http://ts.21cn.com/tousu/show/id/1368735","拍拍贷暴力催收")</f>
      </c>
      <c r="C4925" t="s" s="2">
        <v>15</v>
      </c>
      <c r="D4925" t="s" s="2">
        <v>16</v>
      </c>
      <c r="E4925" t="s" s="2">
        <v>17</v>
      </c>
      <c r="F4925" t="s" s="2">
        <f>HYPERLINK("http://ts.21cn.com/tousu/show/id/1368735","http://ts.21cn.com/tousu/show/id/1368735")</f>
      </c>
      <c r="G4925" t="s" s="2">
        <v>17</v>
      </c>
      <c r="H4925" t="s" s="2">
        <v>19</v>
      </c>
      <c r="I4925" t="s" s="2">
        <v>19131</v>
      </c>
      <c r="J4925" t="s" s="2">
        <v>19132</v>
      </c>
      <c r="K4925" t="s" s="2">
        <v>22</v>
      </c>
      <c r="L4925" t="s" s="2">
        <v>22</v>
      </c>
      <c r="M4925" t="s" s="2">
        <v>22</v>
      </c>
    </row>
    <row r="4926" ht="25.0" customHeight="true">
      <c r="A4926" t="s" s="2">
        <v>13</v>
      </c>
      <c r="B4926" t="s" s="2">
        <f>HYPERLINK("http://ts.21cn.com/tousu/show/id/1368733","变相收取保险费")</f>
      </c>
      <c r="C4926" t="s" s="2">
        <v>15</v>
      </c>
      <c r="D4926" t="s" s="2">
        <v>16</v>
      </c>
      <c r="E4926" t="s" s="2">
        <v>17</v>
      </c>
      <c r="F4926" t="s" s="2">
        <f>HYPERLINK("http://ts.21cn.com/tousu/show/id/1368733","http://ts.21cn.com/tousu/show/id/1368733")</f>
      </c>
      <c r="G4926" t="s" s="2">
        <v>17</v>
      </c>
      <c r="H4926" t="s" s="2">
        <v>19</v>
      </c>
      <c r="I4926" t="s" s="2">
        <v>19135</v>
      </c>
      <c r="J4926" t="s" s="2">
        <v>19136</v>
      </c>
      <c r="K4926" t="s" s="2">
        <v>22</v>
      </c>
      <c r="L4926" t="s" s="2">
        <v>22</v>
      </c>
      <c r="M4926" t="s" s="2">
        <v>22</v>
      </c>
    </row>
    <row r="4927" ht="25.0" customHeight="true">
      <c r="A4927" t="s" s="2">
        <v>13</v>
      </c>
      <c r="B4927" t="s" s="2">
        <f>HYPERLINK("http://ts.21cn.com/tousu/show/id/1368698","不知道怎么形容")</f>
      </c>
      <c r="C4927" t="s" s="2">
        <v>15</v>
      </c>
      <c r="D4927" t="s" s="2">
        <v>16</v>
      </c>
      <c r="E4927" t="s" s="2">
        <v>17</v>
      </c>
      <c r="F4927" t="s" s="2">
        <f>HYPERLINK("http://ts.21cn.com/tousu/show/id/1368698","http://ts.21cn.com/tousu/show/id/1368698")</f>
      </c>
      <c r="G4927" t="s" s="2">
        <v>17</v>
      </c>
      <c r="H4927" t="s" s="2">
        <v>19</v>
      </c>
      <c r="I4927" t="s" s="2">
        <v>19139</v>
      </c>
      <c r="J4927" t="s" s="2">
        <v>19140</v>
      </c>
      <c r="K4927" t="s" s="2">
        <v>22</v>
      </c>
      <c r="L4927" t="s" s="2">
        <v>22</v>
      </c>
      <c r="M4927" t="s" s="2">
        <v>22</v>
      </c>
    </row>
    <row r="4928" ht="25.0" customHeight="true">
      <c r="A4928" t="s" s="2">
        <v>13</v>
      </c>
      <c r="B4928" t="s" s="2">
        <f>HYPERLINK("http://ts.21cn.com/tousu/show/id/1368732","及贷放款时直接扣除所谓的保费，存在欺诈消费行为")</f>
      </c>
      <c r="C4928" t="s" s="2">
        <v>15</v>
      </c>
      <c r="D4928" t="s" s="2">
        <v>16</v>
      </c>
      <c r="E4928" t="s" s="2">
        <v>17</v>
      </c>
      <c r="F4928" t="s" s="2">
        <f>HYPERLINK("http://ts.21cn.com/tousu/show/id/1368732","http://ts.21cn.com/tousu/show/id/1368732")</f>
      </c>
      <c r="G4928" t="s" s="2">
        <v>17</v>
      </c>
      <c r="H4928" t="s" s="2">
        <v>19</v>
      </c>
      <c r="I4928" t="s" s="2">
        <v>19142</v>
      </c>
      <c r="J4928" t="s" s="2">
        <v>19143</v>
      </c>
      <c r="K4928" t="s" s="2">
        <v>22</v>
      </c>
      <c r="L4928" t="s" s="2">
        <v>22</v>
      </c>
      <c r="M4928" t="s" s="2">
        <v>22</v>
      </c>
    </row>
    <row r="4929" ht="25.0" customHeight="true">
      <c r="A4929" t="s" s="2">
        <v>13</v>
      </c>
      <c r="B4929" t="s" s="2">
        <f>HYPERLINK("http://ts.21cn.com/tousu/show/id/1368731","本人实名投诉中国银联和上海瀚银，违反法规为境外赌博集团结算资金，要求上海瀚银退还我的血汗钱")</f>
      </c>
      <c r="C4929" t="s" s="2">
        <v>15</v>
      </c>
      <c r="D4929" t="s" s="2">
        <v>16</v>
      </c>
      <c r="E4929" t="s" s="2">
        <v>17</v>
      </c>
      <c r="F4929" t="s" s="2">
        <f>HYPERLINK("http://ts.21cn.com/tousu/show/id/1368731","http://ts.21cn.com/tousu/show/id/1368731")</f>
      </c>
      <c r="G4929" t="s" s="2">
        <v>17</v>
      </c>
      <c r="H4929" t="s" s="2">
        <v>19</v>
      </c>
      <c r="I4929" t="s" s="2">
        <v>19146</v>
      </c>
      <c r="J4929" t="s" s="2">
        <v>19147</v>
      </c>
      <c r="K4929" t="s" s="2">
        <v>22</v>
      </c>
      <c r="L4929" t="s" s="2">
        <v>22</v>
      </c>
      <c r="M4929" t="s" s="2">
        <v>22</v>
      </c>
    </row>
    <row r="4930" ht="25.0" customHeight="true">
      <c r="A4930" t="s" s="2">
        <v>13</v>
      </c>
      <c r="B4930" t="s" s="2">
        <f>HYPERLINK("http://ts.21cn.com/tousu/show/id/1368729","水莲金条高利息上征信")</f>
      </c>
      <c r="C4930" t="s" s="2">
        <v>15</v>
      </c>
      <c r="D4930" t="s" s="2">
        <v>16</v>
      </c>
      <c r="E4930" t="s" s="2">
        <v>17</v>
      </c>
      <c r="F4930" t="s" s="2">
        <f>HYPERLINK("http://ts.21cn.com/tousu/show/id/1368729","http://ts.21cn.com/tousu/show/id/1368729")</f>
      </c>
      <c r="G4930" t="s" s="2">
        <v>17</v>
      </c>
      <c r="H4930" t="s" s="2">
        <v>19</v>
      </c>
      <c r="I4930" t="s" s="2">
        <v>19150</v>
      </c>
      <c r="J4930" t="s" s="2">
        <v>19151</v>
      </c>
      <c r="K4930" t="s" s="2">
        <v>22</v>
      </c>
      <c r="L4930" t="s" s="2">
        <v>22</v>
      </c>
      <c r="M4930" t="s" s="2">
        <v>22</v>
      </c>
    </row>
    <row r="4931" ht="25.0" customHeight="true">
      <c r="A4931" t="s" s="2">
        <v>13</v>
      </c>
      <c r="B4931" t="s" s="2">
        <f>HYPERLINK("http://ts.21cn.com/tousu/show/id/1368730","电话催收骚扰电话骂人威胁骚扰我朋友同事")</f>
      </c>
      <c r="C4931" t="s" s="2">
        <v>15</v>
      </c>
      <c r="D4931" t="s" s="2">
        <v>16</v>
      </c>
      <c r="E4931" t="s" s="2">
        <v>17</v>
      </c>
      <c r="F4931" t="s" s="2">
        <f>HYPERLINK("http://ts.21cn.com/tousu/show/id/1368730","http://ts.21cn.com/tousu/show/id/1368730")</f>
      </c>
      <c r="G4931" t="s" s="2">
        <v>17</v>
      </c>
      <c r="H4931" t="s" s="2">
        <v>19</v>
      </c>
      <c r="I4931" t="s" s="2">
        <v>19154</v>
      </c>
      <c r="J4931" t="s" s="2">
        <v>19155</v>
      </c>
      <c r="K4931" t="s" s="2">
        <v>22</v>
      </c>
      <c r="L4931" t="s" s="2">
        <v>22</v>
      </c>
      <c r="M4931" t="s" s="2">
        <v>22</v>
      </c>
    </row>
    <row r="4932" ht="25.0" customHeight="true">
      <c r="A4932" t="s" s="2">
        <v>13</v>
      </c>
      <c r="B4932" t="s" s="2">
        <f>HYPERLINK("http://ts.21cn.com/tousu/show/id/1368728","短信电话威胁本人家人朋友")</f>
      </c>
      <c r="C4932" t="s" s="2">
        <v>15</v>
      </c>
      <c r="D4932" t="s" s="2">
        <v>16</v>
      </c>
      <c r="E4932" t="s" s="2">
        <v>17</v>
      </c>
      <c r="F4932" t="s" s="2">
        <f>HYPERLINK("http://ts.21cn.com/tousu/show/id/1368728","http://ts.21cn.com/tousu/show/id/1368728")</f>
      </c>
      <c r="G4932" t="s" s="2">
        <v>17</v>
      </c>
      <c r="H4932" t="s" s="2">
        <v>19</v>
      </c>
      <c r="I4932" t="s" s="2">
        <v>19158</v>
      </c>
      <c r="J4932" t="s" s="2">
        <v>19159</v>
      </c>
      <c r="K4932" t="s" s="2">
        <v>22</v>
      </c>
      <c r="L4932" t="s" s="2">
        <v>22</v>
      </c>
      <c r="M4932" t="s" s="2">
        <v>22</v>
      </c>
    </row>
    <row r="4933" ht="25.0" customHeight="true">
      <c r="A4933" t="s" s="2">
        <v>13</v>
      </c>
      <c r="B4933" t="s" s="2">
        <f>HYPERLINK("http://ts.21cn.com/tousu/show/id/1368586","创造与魔法转盘概率是个慌")</f>
      </c>
      <c r="C4933" t="s" s="2">
        <v>52</v>
      </c>
      <c r="D4933" t="s" s="2">
        <v>16</v>
      </c>
      <c r="E4933" t="s" s="2">
        <v>17</v>
      </c>
      <c r="F4933" t="s" s="2">
        <f>HYPERLINK("http://ts.21cn.com/tousu/show/id/1368586","http://ts.21cn.com/tousu/show/id/1368586")</f>
      </c>
      <c r="G4933" t="s" s="2">
        <v>17</v>
      </c>
      <c r="H4933" t="s" s="2">
        <v>19</v>
      </c>
      <c r="I4933" t="s" s="2">
        <v>19162</v>
      </c>
      <c r="J4933" t="s" s="2">
        <v>19163</v>
      </c>
      <c r="K4933" t="s" s="2">
        <v>22</v>
      </c>
      <c r="L4933" t="s" s="2">
        <v>22</v>
      </c>
      <c r="M4933" t="s" s="2">
        <v>22</v>
      </c>
    </row>
    <row r="4934" ht="25.0" customHeight="true">
      <c r="A4934" t="s" s="2">
        <v>13</v>
      </c>
      <c r="B4934" t="s" s="2">
        <f>HYPERLINK("http://ts.21cn.com/tousu/show/id/1368687","套路贷安庆盛通信息科技有限公司盗刷我银行卡288元，打电话到公司拒不退还")</f>
      </c>
      <c r="C4934" t="s" s="2">
        <v>15</v>
      </c>
      <c r="D4934" t="s" s="2">
        <v>16</v>
      </c>
      <c r="E4934" t="s" s="2">
        <v>17</v>
      </c>
      <c r="F4934" t="s" s="2">
        <f>HYPERLINK("http://ts.21cn.com/tousu/show/id/1368687","http://ts.21cn.com/tousu/show/id/1368687")</f>
      </c>
      <c r="G4934" t="s" s="2">
        <v>17</v>
      </c>
      <c r="H4934" t="s" s="2">
        <v>19</v>
      </c>
      <c r="I4934" t="s" s="2">
        <v>19166</v>
      </c>
      <c r="J4934" t="s" s="2">
        <v>19167</v>
      </c>
      <c r="K4934" t="s" s="2">
        <v>22</v>
      </c>
      <c r="L4934" t="s" s="2">
        <v>22</v>
      </c>
      <c r="M4934" t="s" s="2">
        <v>22</v>
      </c>
    </row>
    <row r="4935" ht="25.0" customHeight="true">
      <c r="A4935" t="s" s="2">
        <v>13</v>
      </c>
      <c r="B4935" t="s" s="2">
        <f>HYPERLINK("http://ts.21cn.com/tousu/show/id/1368727","拼多多活动欺诈消费者")</f>
      </c>
      <c r="C4935" t="s" s="2">
        <v>15</v>
      </c>
      <c r="D4935" t="s" s="2">
        <v>16</v>
      </c>
      <c r="E4935" t="s" s="2">
        <v>17</v>
      </c>
      <c r="F4935" t="s" s="2">
        <f>HYPERLINK("http://ts.21cn.com/tousu/show/id/1368727","http://ts.21cn.com/tousu/show/id/1368727")</f>
      </c>
      <c r="G4935" t="s" s="2">
        <v>17</v>
      </c>
      <c r="H4935" t="s" s="2">
        <v>19</v>
      </c>
      <c r="I4935" t="s" s="2">
        <v>19170</v>
      </c>
      <c r="J4935" t="s" s="2">
        <v>19171</v>
      </c>
      <c r="K4935" t="s" s="2">
        <v>22</v>
      </c>
      <c r="L4935" t="s" s="2">
        <v>22</v>
      </c>
      <c r="M4935" t="s" s="2">
        <v>22</v>
      </c>
    </row>
    <row r="4936" ht="25.0" customHeight="true">
      <c r="A4936" t="s" s="2">
        <v>13</v>
      </c>
      <c r="B4936" t="s" s="2">
        <f>HYPERLINK("http://ts.21cn.com/tousu/show/id/1368725","闪银，收取我199元服务费")</f>
      </c>
      <c r="C4936" t="s" s="2">
        <v>15</v>
      </c>
      <c r="D4936" t="s" s="2">
        <v>16</v>
      </c>
      <c r="E4936" t="s" s="2">
        <v>17</v>
      </c>
      <c r="F4936" t="s" s="2">
        <f>HYPERLINK("http://ts.21cn.com/tousu/show/id/1368725","http://ts.21cn.com/tousu/show/id/1368725")</f>
      </c>
      <c r="G4936" t="s" s="2">
        <v>17</v>
      </c>
      <c r="H4936" t="s" s="2">
        <v>19</v>
      </c>
      <c r="I4936" t="s" s="2">
        <v>19174</v>
      </c>
      <c r="J4936" t="s" s="2">
        <v>19175</v>
      </c>
      <c r="K4936" t="s" s="2">
        <v>22</v>
      </c>
      <c r="L4936" t="s" s="2">
        <v>22</v>
      </c>
      <c r="M4936" t="s" s="2">
        <v>22</v>
      </c>
    </row>
    <row r="4937" ht="25.0" customHeight="true">
      <c r="A4937" t="s" s="2">
        <v>13</v>
      </c>
      <c r="B4937" t="s" s="2">
        <f>HYPERLINK("http://ts.21cn.com/tousu/show/id/1368724","万惠及贷暴力催收")</f>
      </c>
      <c r="C4937" t="s" s="2">
        <v>15</v>
      </c>
      <c r="D4937" t="s" s="2">
        <v>16</v>
      </c>
      <c r="E4937" t="s" s="2">
        <v>17</v>
      </c>
      <c r="F4937" t="s" s="2">
        <f>HYPERLINK("http://ts.21cn.com/tousu/show/id/1368724","http://ts.21cn.com/tousu/show/id/1368724")</f>
      </c>
      <c r="G4937" t="s" s="2">
        <v>17</v>
      </c>
      <c r="H4937" t="s" s="2">
        <v>19</v>
      </c>
      <c r="I4937" t="s" s="2">
        <v>19178</v>
      </c>
      <c r="J4937" t="s" s="2">
        <v>19179</v>
      </c>
      <c r="K4937" t="s" s="2">
        <v>22</v>
      </c>
      <c r="L4937" t="s" s="2">
        <v>22</v>
      </c>
      <c r="M4937" t="s" s="2">
        <v>22</v>
      </c>
    </row>
    <row r="4938" ht="25.0" customHeight="true">
      <c r="A4938" t="s" s="2">
        <v>13</v>
      </c>
      <c r="B4938" t="s" s="2">
        <f>HYPERLINK("http://ts.21cn.com/tousu/show/id/1368723","情人花新生支付胡乱扣钱")</f>
      </c>
      <c r="C4938" t="s" s="2">
        <v>15</v>
      </c>
      <c r="D4938" t="s" s="2">
        <v>16</v>
      </c>
      <c r="E4938" t="s" s="2">
        <v>17</v>
      </c>
      <c r="F4938" t="s" s="2">
        <f>HYPERLINK("http://ts.21cn.com/tousu/show/id/1368723","http://ts.21cn.com/tousu/show/id/1368723")</f>
      </c>
      <c r="G4938" t="s" s="2">
        <v>17</v>
      </c>
      <c r="H4938" t="s" s="2">
        <v>19</v>
      </c>
      <c r="I4938" t="s" s="2">
        <v>19182</v>
      </c>
      <c r="J4938" t="s" s="2">
        <v>19183</v>
      </c>
      <c r="K4938" t="s" s="2">
        <v>22</v>
      </c>
      <c r="L4938" t="s" s="2">
        <v>22</v>
      </c>
      <c r="M4938" t="s" s="2">
        <v>22</v>
      </c>
    </row>
    <row r="4939" ht="25.0" customHeight="true">
      <c r="A4939" t="s" s="2">
        <v>13</v>
      </c>
      <c r="B4939" t="s" s="2">
        <f>HYPERLINK("http://ts.21cn.com/tousu/show/id/1368726","砍头利息")</f>
      </c>
      <c r="C4939" t="s" s="2">
        <v>15</v>
      </c>
      <c r="D4939" t="s" s="2">
        <v>16</v>
      </c>
      <c r="E4939" t="s" s="2">
        <v>17</v>
      </c>
      <c r="F4939" t="s" s="2">
        <f>HYPERLINK("http://ts.21cn.com/tousu/show/id/1368726","http://ts.21cn.com/tousu/show/id/1368726")</f>
      </c>
      <c r="G4939" t="s" s="2">
        <v>17</v>
      </c>
      <c r="H4939" t="s" s="2">
        <v>19</v>
      </c>
      <c r="I4939" t="s" s="2">
        <v>19182</v>
      </c>
      <c r="J4939" t="s" s="2">
        <v>19186</v>
      </c>
      <c r="K4939" t="s" s="2">
        <v>22</v>
      </c>
      <c r="L4939" t="s" s="2">
        <v>22</v>
      </c>
      <c r="M4939" t="s" s="2">
        <v>22</v>
      </c>
    </row>
    <row r="4940" ht="25.0" customHeight="true">
      <c r="A4940" t="s" s="2">
        <v>13</v>
      </c>
      <c r="B4940" t="s" s="2">
        <f>HYPERLINK("http://ts.21cn.com/tousu/show/id/1368722","黑心商家估吗回收")</f>
      </c>
      <c r="C4940" t="s" s="2">
        <v>15</v>
      </c>
      <c r="D4940" t="s" s="2">
        <v>16</v>
      </c>
      <c r="E4940" t="s" s="2">
        <v>17</v>
      </c>
      <c r="F4940" t="s" s="2">
        <f>HYPERLINK("http://ts.21cn.com/tousu/show/id/1368722","http://ts.21cn.com/tousu/show/id/1368722")</f>
      </c>
      <c r="G4940" t="s" s="2">
        <v>17</v>
      </c>
      <c r="H4940" t="s" s="2">
        <v>19</v>
      </c>
      <c r="I4940" t="s" s="2">
        <v>19189</v>
      </c>
      <c r="J4940" t="s" s="2">
        <v>19190</v>
      </c>
      <c r="K4940" t="s" s="2">
        <v>22</v>
      </c>
      <c r="L4940" t="s" s="2">
        <v>22</v>
      </c>
      <c r="M4940" t="s" s="2">
        <v>22</v>
      </c>
    </row>
    <row r="4941" ht="25.0" customHeight="true">
      <c r="A4941" t="s" s="2">
        <v>13</v>
      </c>
      <c r="B4941" t="s" s="2">
        <f>HYPERLINK("http://ts.21cn.com/tousu/show/id/1368721","马上到还款日app死活进不去")</f>
      </c>
      <c r="C4941" t="s" s="2">
        <v>15</v>
      </c>
      <c r="D4941" t="s" s="2">
        <v>16</v>
      </c>
      <c r="E4941" t="s" s="2">
        <v>17</v>
      </c>
      <c r="F4941" t="s" s="2">
        <f>HYPERLINK("http://ts.21cn.com/tousu/show/id/1368721","http://ts.21cn.com/tousu/show/id/1368721")</f>
      </c>
      <c r="G4941" t="s" s="2">
        <v>17</v>
      </c>
      <c r="H4941" t="s" s="2">
        <v>19</v>
      </c>
      <c r="I4941" t="s" s="2">
        <v>19193</v>
      </c>
      <c r="J4941" t="s" s="2">
        <v>19194</v>
      </c>
      <c r="K4941" t="s" s="2">
        <v>22</v>
      </c>
      <c r="L4941" t="s" s="2">
        <v>22</v>
      </c>
      <c r="M4941" t="s" s="2">
        <v>22</v>
      </c>
    </row>
    <row r="4942" ht="25.0" customHeight="true">
      <c r="A4942" t="s" s="2">
        <v>13</v>
      </c>
      <c r="B4942" t="s" s="2">
        <f>HYPERLINK("http://ts.21cn.com/tousu/show/id/1368720","有赞商城商家已货品由保税仓发货为由不予退款")</f>
      </c>
      <c r="C4942" t="s" s="2">
        <v>52</v>
      </c>
      <c r="D4942" t="s" s="2">
        <v>16</v>
      </c>
      <c r="E4942" t="s" s="2">
        <v>17</v>
      </c>
      <c r="F4942" t="s" s="2">
        <f>HYPERLINK("http://ts.21cn.com/tousu/show/id/1368720","http://ts.21cn.com/tousu/show/id/1368720")</f>
      </c>
      <c r="G4942" t="s" s="2">
        <v>17</v>
      </c>
      <c r="H4942" t="s" s="2">
        <v>19</v>
      </c>
      <c r="I4942" t="s" s="2">
        <v>19197</v>
      </c>
      <c r="J4942" t="s" s="2">
        <v>19198</v>
      </c>
      <c r="K4942" t="s" s="2">
        <v>22</v>
      </c>
      <c r="L4942" t="s" s="2">
        <v>22</v>
      </c>
      <c r="M4942" t="s" s="2">
        <v>22</v>
      </c>
    </row>
    <row r="4943" ht="25.0" customHeight="true">
      <c r="A4943" t="s" s="2">
        <v>13</v>
      </c>
      <c r="B4943" t="s" s="2">
        <f>HYPERLINK("http://ts.21cn.com/tousu/show/id/1368703","金巨合平台违规")</f>
      </c>
      <c r="C4943" t="s" s="2">
        <v>15</v>
      </c>
      <c r="D4943" t="s" s="2">
        <v>16</v>
      </c>
      <c r="E4943" t="s" s="2">
        <v>17</v>
      </c>
      <c r="F4943" t="s" s="2">
        <f>HYPERLINK("http://ts.21cn.com/tousu/show/id/1368703","http://ts.21cn.com/tousu/show/id/1368703")</f>
      </c>
      <c r="G4943" t="s" s="2">
        <v>17</v>
      </c>
      <c r="H4943" t="s" s="2">
        <v>19</v>
      </c>
      <c r="I4943" t="s" s="2">
        <v>19201</v>
      </c>
      <c r="J4943" t="s" s="2">
        <v>19202</v>
      </c>
      <c r="K4943" t="s" s="2">
        <v>22</v>
      </c>
      <c r="L4943" t="s" s="2">
        <v>22</v>
      </c>
      <c r="M4943" t="s" s="2">
        <v>22</v>
      </c>
    </row>
    <row r="4944" ht="25.0" customHeight="true">
      <c r="A4944" t="s" s="2">
        <v>13</v>
      </c>
      <c r="B4944" t="s" s="2">
        <f>HYPERLINK("http://ts.21cn.com/tousu/show/id/1368719","关于美约app乱扣费问题，免费试用后，自动续费会员一年298元")</f>
      </c>
      <c r="C4944" t="s" s="2">
        <v>52</v>
      </c>
      <c r="D4944" t="s" s="2">
        <v>16</v>
      </c>
      <c r="E4944" t="s" s="2">
        <v>17</v>
      </c>
      <c r="F4944" t="s" s="2">
        <f>HYPERLINK("http://ts.21cn.com/tousu/show/id/1368719","http://ts.21cn.com/tousu/show/id/1368719")</f>
      </c>
      <c r="G4944" t="s" s="2">
        <v>17</v>
      </c>
      <c r="H4944" t="s" s="2">
        <v>19</v>
      </c>
      <c r="I4944" t="s" s="2">
        <v>19204</v>
      </c>
      <c r="J4944" t="s" s="2">
        <v>19205</v>
      </c>
      <c r="K4944" t="s" s="2">
        <v>22</v>
      </c>
      <c r="L4944" t="s" s="2">
        <v>22</v>
      </c>
      <c r="M4944" t="s" s="2">
        <v>22</v>
      </c>
    </row>
    <row r="4945" ht="25.0" customHeight="true">
      <c r="A4945" t="s" s="2">
        <v>13</v>
      </c>
      <c r="B4945" t="s" s="2">
        <f>HYPERLINK("http://ts.21cn.com/tousu/show/id/1368718","高利贷，阴阳合同，暴力骚扰")</f>
      </c>
      <c r="C4945" t="s" s="2">
        <v>15</v>
      </c>
      <c r="D4945" t="s" s="2">
        <v>16</v>
      </c>
      <c r="E4945" t="s" s="2">
        <v>17</v>
      </c>
      <c r="F4945" t="s" s="2">
        <f>HYPERLINK("http://ts.21cn.com/tousu/show/id/1368718","http://ts.21cn.com/tousu/show/id/1368718")</f>
      </c>
      <c r="G4945" t="s" s="2">
        <v>17</v>
      </c>
      <c r="H4945" t="s" s="2">
        <v>19</v>
      </c>
      <c r="I4945" t="s" s="2">
        <v>19208</v>
      </c>
      <c r="J4945" t="s" s="2">
        <v>19209</v>
      </c>
      <c r="K4945" t="s" s="2">
        <v>22</v>
      </c>
      <c r="L4945" t="s" s="2">
        <v>22</v>
      </c>
      <c r="M4945" t="s" s="2">
        <v>22</v>
      </c>
    </row>
    <row r="4946" ht="25.0" customHeight="true">
      <c r="A4946" t="s" s="2">
        <v>13</v>
      </c>
      <c r="B4946" t="s" s="2">
        <f>HYPERLINK("http://ts.21cn.com/tousu/show/id/1368717","洋钱包凌晨私自扣除会员费")</f>
      </c>
      <c r="C4946" t="s" s="2">
        <v>15</v>
      </c>
      <c r="D4946" t="s" s="2">
        <v>16</v>
      </c>
      <c r="E4946" t="s" s="2">
        <v>17</v>
      </c>
      <c r="F4946" t="s" s="2">
        <f>HYPERLINK("http://ts.21cn.com/tousu/show/id/1368717","http://ts.21cn.com/tousu/show/id/1368717")</f>
      </c>
      <c r="G4946" t="s" s="2">
        <v>17</v>
      </c>
      <c r="H4946" t="s" s="2">
        <v>19</v>
      </c>
      <c r="I4946" t="s" s="2">
        <v>19212</v>
      </c>
      <c r="J4946" t="s" s="2">
        <v>19213</v>
      </c>
      <c r="K4946" t="s" s="2">
        <v>22</v>
      </c>
      <c r="L4946" t="s" s="2">
        <v>22</v>
      </c>
      <c r="M4946" t="s" s="2">
        <v>22</v>
      </c>
    </row>
    <row r="4947" ht="25.0" customHeight="true">
      <c r="A4947" t="s" s="2">
        <v>13</v>
      </c>
      <c r="B4947" t="s" s="2">
        <f>HYPERLINK("http://ts.21cn.com/tousu/show/id/1368716","订单重复支付，平台一直未退回")</f>
      </c>
      <c r="C4947" t="s" s="2">
        <v>52</v>
      </c>
      <c r="D4947" t="s" s="2">
        <v>16</v>
      </c>
      <c r="E4947" t="s" s="2">
        <v>17</v>
      </c>
      <c r="F4947" t="s" s="2">
        <f>HYPERLINK("http://ts.21cn.com/tousu/show/id/1368716","http://ts.21cn.com/tousu/show/id/1368716")</f>
      </c>
      <c r="G4947" t="s" s="2">
        <v>17</v>
      </c>
      <c r="H4947" t="s" s="2">
        <v>19</v>
      </c>
      <c r="I4947" t="s" s="2">
        <v>19216</v>
      </c>
      <c r="J4947" t="s" s="2">
        <v>19217</v>
      </c>
      <c r="K4947" t="s" s="2">
        <v>22</v>
      </c>
      <c r="L4947" t="s" s="2">
        <v>22</v>
      </c>
      <c r="M4947" t="s" s="2">
        <v>22</v>
      </c>
    </row>
    <row r="4948" ht="25.0" customHeight="true">
      <c r="A4948" t="s" s="2">
        <v>13</v>
      </c>
      <c r="B4948" t="s" s="2">
        <f>HYPERLINK("http://ts.21cn.com/tousu/show/id/1368715","平安信用卡第三方威胁恐吓催收")</f>
      </c>
      <c r="C4948" t="s" s="2">
        <v>15</v>
      </c>
      <c r="D4948" t="s" s="2">
        <v>16</v>
      </c>
      <c r="E4948" t="s" s="2">
        <v>17</v>
      </c>
      <c r="F4948" t="s" s="2">
        <f>HYPERLINK("http://ts.21cn.com/tousu/show/id/1368715","http://ts.21cn.com/tousu/show/id/1368715")</f>
      </c>
      <c r="G4948" t="s" s="2">
        <v>17</v>
      </c>
      <c r="H4948" t="s" s="2">
        <v>19</v>
      </c>
      <c r="I4948" t="s" s="2">
        <v>19220</v>
      </c>
      <c r="J4948" t="s" s="2">
        <v>19221</v>
      </c>
      <c r="K4948" t="s" s="2">
        <v>22</v>
      </c>
      <c r="L4948" t="s" s="2">
        <v>22</v>
      </c>
      <c r="M4948" t="s" s="2">
        <v>22</v>
      </c>
    </row>
    <row r="4949" ht="25.0" customHeight="true">
      <c r="A4949" t="s" s="2">
        <v>13</v>
      </c>
      <c r="B4949" t="s" s="2">
        <f>HYPERLINK("http://ts.21cn.com/tousu/show/id/1368714","小赢高利贷不能提前还")</f>
      </c>
      <c r="C4949" t="s" s="2">
        <v>15</v>
      </c>
      <c r="D4949" t="s" s="2">
        <v>16</v>
      </c>
      <c r="E4949" t="s" s="2">
        <v>17</v>
      </c>
      <c r="F4949" t="s" s="2">
        <f>HYPERLINK("http://ts.21cn.com/tousu/show/id/1368714","http://ts.21cn.com/tousu/show/id/1368714")</f>
      </c>
      <c r="G4949" t="s" s="2">
        <v>17</v>
      </c>
      <c r="H4949" t="s" s="2">
        <v>19</v>
      </c>
      <c r="I4949" t="s" s="2">
        <v>19224</v>
      </c>
      <c r="J4949" t="s" s="2">
        <v>19225</v>
      </c>
      <c r="K4949" t="s" s="2">
        <v>22</v>
      </c>
      <c r="L4949" t="s" s="2">
        <v>22</v>
      </c>
      <c r="M4949" t="s" s="2">
        <v>22</v>
      </c>
    </row>
    <row r="4950" ht="25.0" customHeight="true">
      <c r="A4950" t="s" s="2">
        <v>13</v>
      </c>
      <c r="B4950" t="s" s="2">
        <f>HYPERLINK("http://ts.21cn.com/tousu/show/id/1368713","请闪银归还重复扣款")</f>
      </c>
      <c r="C4950" t="s" s="2">
        <v>15</v>
      </c>
      <c r="D4950" t="s" s="2">
        <v>16</v>
      </c>
      <c r="E4950" t="s" s="2">
        <v>17</v>
      </c>
      <c r="F4950" t="s" s="2">
        <f>HYPERLINK("http://ts.21cn.com/tousu/show/id/1368713","http://ts.21cn.com/tousu/show/id/1368713")</f>
      </c>
      <c r="G4950" t="s" s="2">
        <v>17</v>
      </c>
      <c r="H4950" t="s" s="2">
        <v>19</v>
      </c>
      <c r="I4950" t="s" s="2">
        <v>19228</v>
      </c>
      <c r="J4950" t="s" s="2">
        <v>19229</v>
      </c>
      <c r="K4950" t="s" s="2">
        <v>22</v>
      </c>
      <c r="L4950" t="s" s="2">
        <v>22</v>
      </c>
      <c r="M4950" t="s" s="2">
        <v>22</v>
      </c>
    </row>
    <row r="4951" ht="25.0" customHeight="true">
      <c r="A4951" t="s" s="2">
        <v>13</v>
      </c>
      <c r="B4951" t="s" s="2">
        <f>HYPERLINK("http://ts.21cn.com/tousu/show/id/1368712","恒易贷还款当天打联系人电话")</f>
      </c>
      <c r="C4951" t="s" s="2">
        <v>52</v>
      </c>
      <c r="D4951" t="s" s="2">
        <v>16</v>
      </c>
      <c r="E4951" t="s" s="2">
        <v>17</v>
      </c>
      <c r="F4951" t="s" s="2">
        <f>HYPERLINK("http://ts.21cn.com/tousu/show/id/1368712","http://ts.21cn.com/tousu/show/id/1368712")</f>
      </c>
      <c r="G4951" t="s" s="2">
        <v>17</v>
      </c>
      <c r="H4951" t="s" s="2">
        <v>19</v>
      </c>
      <c r="I4951" t="s" s="2">
        <v>19232</v>
      </c>
      <c r="J4951" t="s" s="2">
        <v>19233</v>
      </c>
      <c r="K4951" t="s" s="2">
        <v>22</v>
      </c>
      <c r="L4951" t="s" s="2">
        <v>22</v>
      </c>
      <c r="M4951" t="s" s="2">
        <v>22</v>
      </c>
    </row>
    <row r="4952" ht="25.0" customHeight="true">
      <c r="A4952" t="s" s="2">
        <v>13</v>
      </c>
      <c r="B4952" t="s" s="2">
        <f>HYPERLINK("http://ts.21cn.com/tousu/show/id/1368711","洋钱罐借款某催收员恶意骚扰通讯录联系人请协助处理！")</f>
      </c>
      <c r="C4952" t="s" s="2">
        <v>15</v>
      </c>
      <c r="D4952" t="s" s="2">
        <v>16</v>
      </c>
      <c r="E4952" t="s" s="2">
        <v>17</v>
      </c>
      <c r="F4952" t="s" s="2">
        <f>HYPERLINK("http://ts.21cn.com/tousu/show/id/1368711","http://ts.21cn.com/tousu/show/id/1368711")</f>
      </c>
      <c r="G4952" t="s" s="2">
        <v>17</v>
      </c>
      <c r="H4952" t="s" s="2">
        <v>19</v>
      </c>
      <c r="I4952" t="s" s="2">
        <v>19236</v>
      </c>
      <c r="J4952" t="s" s="2">
        <v>19237</v>
      </c>
      <c r="K4952" t="s" s="2">
        <v>22</v>
      </c>
      <c r="L4952" t="s" s="2">
        <v>22</v>
      </c>
      <c r="M4952" t="s" s="2">
        <v>22</v>
      </c>
    </row>
    <row r="4953" ht="25.0" customHeight="true">
      <c r="A4953" t="s" s="2">
        <v>13</v>
      </c>
      <c r="B4953" t="s" s="2">
        <f>HYPERLINK("http://ts.21cn.com/tousu/show/id/1368710","捷信提前还款问题")</f>
      </c>
      <c r="C4953" t="s" s="2">
        <v>52</v>
      </c>
      <c r="D4953" t="s" s="2">
        <v>16</v>
      </c>
      <c r="E4953" t="s" s="2">
        <v>17</v>
      </c>
      <c r="F4953" t="s" s="2">
        <f>HYPERLINK("http://ts.21cn.com/tousu/show/id/1368710","http://ts.21cn.com/tousu/show/id/1368710")</f>
      </c>
      <c r="G4953" t="s" s="2">
        <v>17</v>
      </c>
      <c r="H4953" t="s" s="2">
        <v>19</v>
      </c>
      <c r="I4953" t="s" s="2">
        <v>19240</v>
      </c>
      <c r="J4953" t="s" s="2">
        <v>19241</v>
      </c>
      <c r="K4953" t="s" s="2">
        <v>22</v>
      </c>
      <c r="L4953" t="s" s="2">
        <v>22</v>
      </c>
      <c r="M4953" t="s" s="2">
        <v>22</v>
      </c>
    </row>
    <row r="4954" ht="25.0" customHeight="true">
      <c r="A4954" t="s" s="2">
        <v>13</v>
      </c>
      <c r="B4954" t="s" s="2">
        <f>HYPERLINK("http://ts.21cn.com/tousu/show/id/1368709","协商还款")</f>
      </c>
      <c r="C4954" t="s" s="2">
        <v>15</v>
      </c>
      <c r="D4954" t="s" s="2">
        <v>16</v>
      </c>
      <c r="E4954" t="s" s="2">
        <v>17</v>
      </c>
      <c r="F4954" t="s" s="2">
        <f>HYPERLINK("http://ts.21cn.com/tousu/show/id/1368709","http://ts.21cn.com/tousu/show/id/1368709")</f>
      </c>
      <c r="G4954" t="s" s="2">
        <v>17</v>
      </c>
      <c r="H4954" t="s" s="2">
        <v>19</v>
      </c>
      <c r="I4954" t="s" s="2">
        <v>19243</v>
      </c>
      <c r="J4954" t="s" s="2">
        <v>19244</v>
      </c>
      <c r="K4954" t="s" s="2">
        <v>22</v>
      </c>
      <c r="L4954" t="s" s="2">
        <v>22</v>
      </c>
      <c r="M4954" t="s" s="2">
        <v>22</v>
      </c>
    </row>
    <row r="4955" ht="25.0" customHeight="true">
      <c r="A4955" t="s" s="2">
        <v>13</v>
      </c>
      <c r="B4955" t="s" s="2">
        <f>HYPERLINK("http://ts.21cn.com/tousu/show/id/1368707","不可取消订单")</f>
      </c>
      <c r="C4955" t="s" s="2">
        <v>15</v>
      </c>
      <c r="D4955" t="s" s="2">
        <v>16</v>
      </c>
      <c r="E4955" t="s" s="2">
        <v>17</v>
      </c>
      <c r="F4955" t="s" s="2">
        <f>HYPERLINK("http://ts.21cn.com/tousu/show/id/1368707","http://ts.21cn.com/tousu/show/id/1368707")</f>
      </c>
      <c r="G4955" t="s" s="2">
        <v>17</v>
      </c>
      <c r="H4955" t="s" s="2">
        <v>19</v>
      </c>
      <c r="I4955" t="s" s="2">
        <v>19247</v>
      </c>
      <c r="J4955" t="s" s="2">
        <v>19248</v>
      </c>
      <c r="K4955" t="s" s="2">
        <v>22</v>
      </c>
      <c r="L4955" t="s" s="2">
        <v>22</v>
      </c>
      <c r="M4955" t="s" s="2">
        <v>22</v>
      </c>
    </row>
    <row r="4956" ht="25.0" customHeight="true">
      <c r="A4956" t="s" s="2">
        <v>13</v>
      </c>
      <c r="B4956" t="s" s="2">
        <f>HYPERLINK("http://ts.21cn.com/tousu/show/id/1368706","光大银行信用卡！光大互助会乱扣费")</f>
      </c>
      <c r="C4956" t="s" s="2">
        <v>15</v>
      </c>
      <c r="D4956" t="s" s="2">
        <v>16</v>
      </c>
      <c r="E4956" t="s" s="2">
        <v>17</v>
      </c>
      <c r="F4956" t="s" s="2">
        <f>HYPERLINK("http://ts.21cn.com/tousu/show/id/1368706","http://ts.21cn.com/tousu/show/id/1368706")</f>
      </c>
      <c r="G4956" t="s" s="2">
        <v>17</v>
      </c>
      <c r="H4956" t="s" s="2">
        <v>19</v>
      </c>
      <c r="I4956" t="s" s="2">
        <v>19251</v>
      </c>
      <c r="J4956" t="s" s="2">
        <v>19252</v>
      </c>
      <c r="K4956" t="s" s="2">
        <v>22</v>
      </c>
      <c r="L4956" t="s" s="2">
        <v>22</v>
      </c>
      <c r="M4956" t="s" s="2">
        <v>22</v>
      </c>
    </row>
    <row r="4957" ht="25.0" customHeight="true">
      <c r="A4957" t="s" s="2">
        <v>13</v>
      </c>
      <c r="B4957" t="s" s="2">
        <f>HYPERLINK("http://ts.21cn.com/tousu/show/id/1368705","淘豆分期恶意扣款")</f>
      </c>
      <c r="C4957" t="s" s="2">
        <v>15</v>
      </c>
      <c r="D4957" t="s" s="2">
        <v>16</v>
      </c>
      <c r="E4957" t="s" s="2">
        <v>17</v>
      </c>
      <c r="F4957" t="s" s="2">
        <f>HYPERLINK("http://ts.21cn.com/tousu/show/id/1368705","http://ts.21cn.com/tousu/show/id/1368705")</f>
      </c>
      <c r="G4957" t="s" s="2">
        <v>17</v>
      </c>
      <c r="H4957" t="s" s="2">
        <v>19</v>
      </c>
      <c r="I4957" t="s" s="2">
        <v>19255</v>
      </c>
      <c r="J4957" t="s" s="2">
        <v>19256</v>
      </c>
      <c r="K4957" t="s" s="2">
        <v>22</v>
      </c>
      <c r="L4957" t="s" s="2">
        <v>22</v>
      </c>
      <c r="M4957" t="s" s="2">
        <v>22</v>
      </c>
    </row>
    <row r="4958" ht="25.0" customHeight="true">
      <c r="A4958" t="s" s="2">
        <v>13</v>
      </c>
      <c r="B4958" t="s" s="2">
        <f>HYPERLINK("http://ts.21cn.com/tousu/show/id/1368704","51人品贷骚扰短信")</f>
      </c>
      <c r="C4958" t="s" s="2">
        <v>15</v>
      </c>
      <c r="D4958" t="s" s="2">
        <v>16</v>
      </c>
      <c r="E4958" t="s" s="2">
        <v>17</v>
      </c>
      <c r="F4958" t="s" s="2">
        <f>HYPERLINK("http://ts.21cn.com/tousu/show/id/1368704","http://ts.21cn.com/tousu/show/id/1368704")</f>
      </c>
      <c r="G4958" t="s" s="2">
        <v>17</v>
      </c>
      <c r="H4958" t="s" s="2">
        <v>19</v>
      </c>
      <c r="I4958" t="s" s="2">
        <v>19259</v>
      </c>
      <c r="J4958" t="s" s="2">
        <v>19260</v>
      </c>
      <c r="K4958" t="s" s="2">
        <v>22</v>
      </c>
      <c r="L4958" t="s" s="2">
        <v>22</v>
      </c>
      <c r="M4958" t="s" s="2">
        <v>22</v>
      </c>
    </row>
    <row r="4959" ht="25.0" customHeight="true">
      <c r="A4959" t="s" s="2">
        <v>13</v>
      </c>
      <c r="B4959" t="s" s="2">
        <f>HYPERLINK("http://ts.21cn.com/tousu/show/id/1368610","顺丰速运擅自修改物流信息")</f>
      </c>
      <c r="C4959" t="s" s="2">
        <v>15</v>
      </c>
      <c r="D4959" t="s" s="2">
        <v>16</v>
      </c>
      <c r="E4959" t="s" s="2">
        <v>17</v>
      </c>
      <c r="F4959" t="s" s="2">
        <f>HYPERLINK("http://ts.21cn.com/tousu/show/id/1368610","http://ts.21cn.com/tousu/show/id/1368610")</f>
      </c>
      <c r="G4959" t="s" s="2">
        <v>17</v>
      </c>
      <c r="H4959" t="s" s="2">
        <v>19</v>
      </c>
      <c r="I4959" t="s" s="2">
        <v>19263</v>
      </c>
      <c r="J4959" t="s" s="2">
        <v>19264</v>
      </c>
      <c r="K4959" t="s" s="2">
        <v>22</v>
      </c>
      <c r="L4959" t="s" s="2">
        <v>22</v>
      </c>
      <c r="M4959" t="s" s="2">
        <v>22</v>
      </c>
    </row>
    <row r="4960" ht="25.0" customHeight="true">
      <c r="A4960" t="s" s="2">
        <v>13</v>
      </c>
      <c r="B4960" t="s" s="2">
        <f>HYPERLINK("http://ts.21cn.com/tousu/show/id/1368702","莫名其妙收到京东金融的催款短信，从来没有结过这个")</f>
      </c>
      <c r="C4960" t="s" s="2">
        <v>52</v>
      </c>
      <c r="D4960" t="s" s="2">
        <v>16</v>
      </c>
      <c r="E4960" t="s" s="2">
        <v>17</v>
      </c>
      <c r="F4960" t="s" s="2">
        <f>HYPERLINK("http://ts.21cn.com/tousu/show/id/1368702","http://ts.21cn.com/tousu/show/id/1368702")</f>
      </c>
      <c r="G4960" t="s" s="2">
        <v>17</v>
      </c>
      <c r="H4960" t="s" s="2">
        <v>19</v>
      </c>
      <c r="I4960" t="s" s="2">
        <v>19267</v>
      </c>
      <c r="J4960" t="s" s="2">
        <v>19268</v>
      </c>
      <c r="K4960" t="s" s="2">
        <v>22</v>
      </c>
      <c r="L4960" t="s" s="2">
        <v>22</v>
      </c>
      <c r="M4960" t="s" s="2">
        <v>22</v>
      </c>
    </row>
    <row r="4961" ht="25.0" customHeight="true">
      <c r="A4961" t="s" s="2">
        <v>13</v>
      </c>
      <c r="B4961" t="s" s="2">
        <f>HYPERLINK("http://ts.21cn.com/tousu/show/id/1368701","东莞市腾点网络科技有限公司为龙分期高利贷收取砍头息")</f>
      </c>
      <c r="C4961" t="s" s="2">
        <v>15</v>
      </c>
      <c r="D4961" t="s" s="2">
        <v>16</v>
      </c>
      <c r="E4961" t="s" s="2">
        <v>17</v>
      </c>
      <c r="F4961" t="s" s="2">
        <f>HYPERLINK("http://ts.21cn.com/tousu/show/id/1368701","http://ts.21cn.com/tousu/show/id/1368701")</f>
      </c>
      <c r="G4961" t="s" s="2">
        <v>17</v>
      </c>
      <c r="H4961" t="s" s="2">
        <v>19</v>
      </c>
      <c r="I4961" t="s" s="2">
        <v>19271</v>
      </c>
      <c r="J4961" t="s" s="2">
        <v>19272</v>
      </c>
      <c r="K4961" t="s" s="2">
        <v>22</v>
      </c>
      <c r="L4961" t="s" s="2">
        <v>22</v>
      </c>
      <c r="M4961" t="s" s="2">
        <v>22</v>
      </c>
    </row>
    <row r="4962" ht="25.0" customHeight="true">
      <c r="A4962" t="s" s="2">
        <v>13</v>
      </c>
      <c r="B4962" t="s" s="2">
        <f>HYPERLINK("http://ts.21cn.com/tousu/show/id/1368700","分期乐")</f>
      </c>
      <c r="C4962" t="s" s="2">
        <v>15</v>
      </c>
      <c r="D4962" t="s" s="2">
        <v>16</v>
      </c>
      <c r="E4962" t="s" s="2">
        <v>17</v>
      </c>
      <c r="F4962" t="s" s="2">
        <f>HYPERLINK("http://ts.21cn.com/tousu/show/id/1368700","http://ts.21cn.com/tousu/show/id/1368700")</f>
      </c>
      <c r="G4962" t="s" s="2">
        <v>17</v>
      </c>
      <c r="H4962" t="s" s="2">
        <v>19</v>
      </c>
      <c r="I4962" t="s" s="2">
        <v>19275</v>
      </c>
      <c r="J4962" t="s" s="2">
        <v>19276</v>
      </c>
      <c r="K4962" t="s" s="2">
        <v>22</v>
      </c>
      <c r="L4962" t="s" s="2">
        <v>22</v>
      </c>
      <c r="M4962" t="s" s="2">
        <v>22</v>
      </c>
    </row>
    <row r="4963" ht="25.0" customHeight="true">
      <c r="A4963" t="s" s="2">
        <v>13</v>
      </c>
      <c r="B4963" t="s" s="2">
        <f>HYPERLINK("http://ts.21cn.com/tousu/show/id/1368699","已在还款日主动还，显示逾期并造成费用")</f>
      </c>
      <c r="C4963" t="s" s="2">
        <v>52</v>
      </c>
      <c r="D4963" t="s" s="2">
        <v>16</v>
      </c>
      <c r="E4963" t="s" s="2">
        <v>17</v>
      </c>
      <c r="F4963" t="s" s="2">
        <f>HYPERLINK("http://ts.21cn.com/tousu/show/id/1368699","http://ts.21cn.com/tousu/show/id/1368699")</f>
      </c>
      <c r="G4963" t="s" s="2">
        <v>17</v>
      </c>
      <c r="H4963" t="s" s="2">
        <v>19</v>
      </c>
      <c r="I4963" t="s" s="2">
        <v>19279</v>
      </c>
      <c r="J4963" t="s" s="2">
        <v>19280</v>
      </c>
      <c r="K4963" t="s" s="2">
        <v>22</v>
      </c>
      <c r="L4963" t="s" s="2">
        <v>22</v>
      </c>
      <c r="M4963" t="s" s="2">
        <v>22</v>
      </c>
    </row>
    <row r="4964" ht="25.0" customHeight="true">
      <c r="A4964" t="s" s="2">
        <v>13</v>
      </c>
      <c r="B4964" t="s" s="2">
        <f>HYPERLINK("http://ts.21cn.com/tousu/show/id/1368696","捷信金融")</f>
      </c>
      <c r="C4964" t="s" s="2">
        <v>15</v>
      </c>
      <c r="D4964" t="s" s="2">
        <v>16</v>
      </c>
      <c r="E4964" t="s" s="2">
        <v>17</v>
      </c>
      <c r="F4964" t="s" s="2">
        <f>HYPERLINK("http://ts.21cn.com/tousu/show/id/1368696","http://ts.21cn.com/tousu/show/id/1368696")</f>
      </c>
      <c r="G4964" t="s" s="2">
        <v>17</v>
      </c>
      <c r="H4964" t="s" s="2">
        <v>19</v>
      </c>
      <c r="I4964" t="s" s="2">
        <v>19282</v>
      </c>
      <c r="J4964" t="s" s="2">
        <v>19283</v>
      </c>
      <c r="K4964" t="s" s="2">
        <v>22</v>
      </c>
      <c r="L4964" t="s" s="2">
        <v>22</v>
      </c>
      <c r="M4964" t="s" s="2">
        <v>22</v>
      </c>
    </row>
    <row r="4965" ht="25.0" customHeight="true">
      <c r="A4965" t="s" s="2">
        <v>13</v>
      </c>
      <c r="B4965" t="s" s="2">
        <f>HYPERLINK("http://ts.21cn.com/tousu/show/id/1368695","高利贷，暴力催收")</f>
      </c>
      <c r="C4965" t="s" s="2">
        <v>15</v>
      </c>
      <c r="D4965" t="s" s="2">
        <v>16</v>
      </c>
      <c r="E4965" t="s" s="2">
        <v>17</v>
      </c>
      <c r="F4965" t="s" s="2">
        <f>HYPERLINK("http://ts.21cn.com/tousu/show/id/1368695","http://ts.21cn.com/tousu/show/id/1368695")</f>
      </c>
      <c r="G4965" t="s" s="2">
        <v>17</v>
      </c>
      <c r="H4965" t="s" s="2">
        <v>19</v>
      </c>
      <c r="I4965" t="s" s="2">
        <v>19285</v>
      </c>
      <c r="J4965" t="s" s="2">
        <v>19286</v>
      </c>
      <c r="K4965" t="s" s="2">
        <v>22</v>
      </c>
      <c r="L4965" t="s" s="2">
        <v>22</v>
      </c>
      <c r="M4965" t="s" s="2">
        <v>22</v>
      </c>
    </row>
    <row r="4966" ht="25.0" customHeight="true">
      <c r="A4966" t="s" s="2">
        <v>13</v>
      </c>
      <c r="B4966" t="s" s="2">
        <f>HYPERLINK("http://ts.21cn.com/tousu/show/id/1368694","拼多多现金助力活动")</f>
      </c>
      <c r="C4966" t="s" s="2">
        <v>15</v>
      </c>
      <c r="D4966" t="s" s="2">
        <v>16</v>
      </c>
      <c r="E4966" t="s" s="2">
        <v>17</v>
      </c>
      <c r="F4966" t="s" s="2">
        <f>HYPERLINK("http://ts.21cn.com/tousu/show/id/1368694","http://ts.21cn.com/tousu/show/id/1368694")</f>
      </c>
      <c r="G4966" t="s" s="2">
        <v>17</v>
      </c>
      <c r="H4966" t="s" s="2">
        <v>19</v>
      </c>
      <c r="I4966" t="s" s="2">
        <v>19288</v>
      </c>
      <c r="J4966" t="s" s="2">
        <v>19289</v>
      </c>
      <c r="K4966" t="s" s="2">
        <v>22</v>
      </c>
      <c r="L4966" t="s" s="2">
        <v>22</v>
      </c>
      <c r="M4966" t="s" s="2">
        <v>22</v>
      </c>
    </row>
    <row r="4967" ht="25.0" customHeight="true">
      <c r="A4967" t="s" s="2">
        <v>13</v>
      </c>
      <c r="B4967" t="s" s="2">
        <f>HYPERLINK("http://ts.21cn.com/tousu/show/id/1368692","利息过高贷款一万需要还款一万八")</f>
      </c>
      <c r="C4967" t="s" s="2">
        <v>52</v>
      </c>
      <c r="D4967" t="s" s="2">
        <v>16</v>
      </c>
      <c r="E4967" t="s" s="2">
        <v>17</v>
      </c>
      <c r="F4967" t="s" s="2">
        <f>HYPERLINK("http://ts.21cn.com/tousu/show/id/1368692","http://ts.21cn.com/tousu/show/id/1368692")</f>
      </c>
      <c r="G4967" t="s" s="2">
        <v>17</v>
      </c>
      <c r="H4967" t="s" s="2">
        <v>19</v>
      </c>
      <c r="I4967" t="s" s="2">
        <v>19292</v>
      </c>
      <c r="J4967" t="s" s="2">
        <v>19293</v>
      </c>
      <c r="K4967" t="s" s="2">
        <v>22</v>
      </c>
      <c r="L4967" t="s" s="2">
        <v>22</v>
      </c>
      <c r="M4967" t="s" s="2">
        <v>22</v>
      </c>
    </row>
    <row r="4968" ht="25.0" customHeight="true">
      <c r="A4968" t="s" s="2">
        <v>13</v>
      </c>
      <c r="B4968" t="s" s="2">
        <f>HYPERLINK("http://ts.21cn.com/tousu/show/id/1368693","钱站高利贷")</f>
      </c>
      <c r="C4968" t="s" s="2">
        <v>15</v>
      </c>
      <c r="D4968" t="s" s="2">
        <v>16</v>
      </c>
      <c r="E4968" t="s" s="2">
        <v>17</v>
      </c>
      <c r="F4968" t="s" s="2">
        <f>HYPERLINK("http://ts.21cn.com/tousu/show/id/1368693","http://ts.21cn.com/tousu/show/id/1368693")</f>
      </c>
      <c r="G4968" t="s" s="2">
        <v>17</v>
      </c>
      <c r="H4968" t="s" s="2">
        <v>19</v>
      </c>
      <c r="I4968" t="s" s="2">
        <v>19295</v>
      </c>
      <c r="J4968" t="s" s="2">
        <v>19296</v>
      </c>
      <c r="K4968" t="s" s="2">
        <v>22</v>
      </c>
      <c r="L4968" t="s" s="2">
        <v>22</v>
      </c>
      <c r="M4968" t="s" s="2">
        <v>22</v>
      </c>
    </row>
    <row r="4969" ht="25.0" customHeight="true">
      <c r="A4969" t="s" s="2">
        <v>13</v>
      </c>
      <c r="B4969" t="s" s="2">
        <f>HYPERLINK("http://ts.21cn.com/tousu/show/id/1368691","卡牛瑞贷砍头息")</f>
      </c>
      <c r="C4969" t="s" s="2">
        <v>15</v>
      </c>
      <c r="D4969" t="s" s="2">
        <v>16</v>
      </c>
      <c r="E4969" t="s" s="2">
        <v>17</v>
      </c>
      <c r="F4969" t="s" s="2">
        <f>HYPERLINK("http://ts.21cn.com/tousu/show/id/1368691","http://ts.21cn.com/tousu/show/id/1368691")</f>
      </c>
      <c r="G4969" t="s" s="2">
        <v>17</v>
      </c>
      <c r="H4969" t="s" s="2">
        <v>19</v>
      </c>
      <c r="I4969" t="s" s="2">
        <v>19299</v>
      </c>
      <c r="J4969" t="s" s="2">
        <v>19300</v>
      </c>
      <c r="K4969" t="s" s="2">
        <v>22</v>
      </c>
      <c r="L4969" t="s" s="2">
        <v>22</v>
      </c>
      <c r="M4969" t="s" s="2">
        <v>22</v>
      </c>
    </row>
    <row r="4970" ht="25.0" customHeight="true">
      <c r="A4970" t="s" s="2">
        <v>13</v>
      </c>
      <c r="B4970" t="s" s="2">
        <f>HYPERLINK("http://ts.21cn.com/tousu/show/id/1368689","钱站高利贷暴力催收")</f>
      </c>
      <c r="C4970" t="s" s="2">
        <v>15</v>
      </c>
      <c r="D4970" t="s" s="2">
        <v>16</v>
      </c>
      <c r="E4970" t="s" s="2">
        <v>17</v>
      </c>
      <c r="F4970" t="s" s="2">
        <f>HYPERLINK("http://ts.21cn.com/tousu/show/id/1368689","http://ts.21cn.com/tousu/show/id/1368689")</f>
      </c>
      <c r="G4970" t="s" s="2">
        <v>17</v>
      </c>
      <c r="H4970" t="s" s="2">
        <v>19</v>
      </c>
      <c r="I4970" t="s" s="2">
        <v>19303</v>
      </c>
      <c r="J4970" t="s" s="2">
        <v>19304</v>
      </c>
      <c r="K4970" t="s" s="2">
        <v>22</v>
      </c>
      <c r="L4970" t="s" s="2">
        <v>22</v>
      </c>
      <c r="M4970" t="s" s="2">
        <v>22</v>
      </c>
    </row>
    <row r="4971" ht="25.0" customHeight="true">
      <c r="A4971" t="s" s="2">
        <v>13</v>
      </c>
      <c r="B4971" t="s" s="2">
        <f>HYPERLINK("http://ts.21cn.com/tousu/show/id/1368688","闪电借款超高利贷，收取变相砍头息2000元")</f>
      </c>
      <c r="C4971" t="s" s="2">
        <v>15</v>
      </c>
      <c r="D4971" t="s" s="2">
        <v>16</v>
      </c>
      <c r="E4971" t="s" s="2">
        <v>17</v>
      </c>
      <c r="F4971" t="s" s="2">
        <f>HYPERLINK("http://ts.21cn.com/tousu/show/id/1368688","http://ts.21cn.com/tousu/show/id/1368688")</f>
      </c>
      <c r="G4971" t="s" s="2">
        <v>17</v>
      </c>
      <c r="H4971" t="s" s="2">
        <v>19</v>
      </c>
      <c r="I4971" t="s" s="2">
        <v>19307</v>
      </c>
      <c r="J4971" t="s" s="2">
        <v>19308</v>
      </c>
      <c r="K4971" t="s" s="2">
        <v>22</v>
      </c>
      <c r="L4971" t="s" s="2">
        <v>22</v>
      </c>
      <c r="M4971" t="s" s="2">
        <v>22</v>
      </c>
    </row>
    <row r="4972" ht="25.0" customHeight="true">
      <c r="A4972" t="s" s="2">
        <v>13</v>
      </c>
      <c r="B4972" t="s" s="2">
        <f>HYPERLINK("http://ts.21cn.com/tousu/show/id/1367354","平安银行信用卡暴力催收恐吓")</f>
      </c>
      <c r="C4972" t="s" s="2">
        <v>15</v>
      </c>
      <c r="D4972" t="s" s="2">
        <v>16</v>
      </c>
      <c r="E4972" t="s" s="2">
        <v>17</v>
      </c>
      <c r="F4972" t="s" s="2">
        <f>HYPERLINK("http://ts.21cn.com/tousu/show/id/1367354","http://ts.21cn.com/tousu/show/id/1367354")</f>
      </c>
      <c r="G4972" t="s" s="2">
        <v>17</v>
      </c>
      <c r="H4972" t="s" s="2">
        <v>19</v>
      </c>
      <c r="I4972" t="s" s="2">
        <v>19311</v>
      </c>
      <c r="J4972" t="s" s="2">
        <v>19312</v>
      </c>
      <c r="K4972" t="s" s="2">
        <v>22</v>
      </c>
      <c r="L4972" t="s" s="2">
        <v>22</v>
      </c>
      <c r="M4972" t="s" s="2">
        <v>22</v>
      </c>
    </row>
    <row r="4973" ht="25.0" customHeight="true">
      <c r="A4973" t="s" s="2">
        <v>13</v>
      </c>
      <c r="B4973" t="s" s="2">
        <f>HYPERLINK("http://ts.21cn.com/tousu/show/id/1368681","高利贷砍头息变相收取高额利息")</f>
      </c>
      <c r="C4973" t="s" s="2">
        <v>15</v>
      </c>
      <c r="D4973" t="s" s="2">
        <v>16</v>
      </c>
      <c r="E4973" t="s" s="2">
        <v>17</v>
      </c>
      <c r="F4973" t="s" s="2">
        <f>HYPERLINK("http://ts.21cn.com/tousu/show/id/1368681","http://ts.21cn.com/tousu/show/id/1368681")</f>
      </c>
      <c r="G4973" t="s" s="2">
        <v>17</v>
      </c>
      <c r="H4973" t="s" s="2">
        <v>19</v>
      </c>
      <c r="I4973" t="s" s="2">
        <v>19315</v>
      </c>
      <c r="J4973" t="s" s="2">
        <v>19316</v>
      </c>
      <c r="K4973" t="s" s="2">
        <v>22</v>
      </c>
      <c r="L4973" t="s" s="2">
        <v>22</v>
      </c>
      <c r="M4973" t="s" s="2">
        <v>22</v>
      </c>
    </row>
    <row r="4974" ht="25.0" customHeight="true">
      <c r="A4974" t="s" s="2">
        <v>13</v>
      </c>
      <c r="B4974" t="s" s="2">
        <f>HYPERLINK("http://ts.21cn.com/tousu/show/id/1368683","钱站利息过高，贷款2000让我还3000多")</f>
      </c>
      <c r="C4974" t="s" s="2">
        <v>15</v>
      </c>
      <c r="D4974" t="s" s="2">
        <v>16</v>
      </c>
      <c r="E4974" t="s" s="2">
        <v>17</v>
      </c>
      <c r="F4974" t="s" s="2">
        <f>HYPERLINK("http://ts.21cn.com/tousu/show/id/1368683","http://ts.21cn.com/tousu/show/id/1368683")</f>
      </c>
      <c r="G4974" t="s" s="2">
        <v>17</v>
      </c>
      <c r="H4974" t="s" s="2">
        <v>19</v>
      </c>
      <c r="I4974" t="s" s="2">
        <v>19319</v>
      </c>
      <c r="J4974" t="s" s="2">
        <v>19320</v>
      </c>
      <c r="K4974" t="s" s="2">
        <v>22</v>
      </c>
      <c r="L4974" t="s" s="2">
        <v>22</v>
      </c>
      <c r="M4974" t="s" s="2">
        <v>22</v>
      </c>
    </row>
    <row r="4975" ht="25.0" customHeight="true">
      <c r="A4975" t="s" s="2">
        <v>13</v>
      </c>
      <c r="B4975" t="s" s="2">
        <f>HYPERLINK("http://ts.21cn.com/tousu/show/id/1368682","畅捷支付恶意扣款")</f>
      </c>
      <c r="C4975" t="s" s="2">
        <v>15</v>
      </c>
      <c r="D4975" t="s" s="2">
        <v>16</v>
      </c>
      <c r="E4975" t="s" s="2">
        <v>17</v>
      </c>
      <c r="F4975" t="s" s="2">
        <f>HYPERLINK("http://ts.21cn.com/tousu/show/id/1368682","http://ts.21cn.com/tousu/show/id/1368682")</f>
      </c>
      <c r="G4975" t="s" s="2">
        <v>17</v>
      </c>
      <c r="H4975" t="s" s="2">
        <v>19</v>
      </c>
      <c r="I4975" t="s" s="2">
        <v>19323</v>
      </c>
      <c r="J4975" t="s" s="2">
        <v>19324</v>
      </c>
      <c r="K4975" t="s" s="2">
        <v>22</v>
      </c>
      <c r="L4975" t="s" s="2">
        <v>22</v>
      </c>
      <c r="M4975" t="s" s="2">
        <v>22</v>
      </c>
    </row>
    <row r="4976" ht="25.0" customHeight="true">
      <c r="A4976" t="s" s="2">
        <v>13</v>
      </c>
      <c r="B4976" t="s" s="2">
        <f>HYPERLINK("http://ts.21cn.com/tousu/show/id/1368680","开具结清证明")</f>
      </c>
      <c r="C4976" t="s" s="2">
        <v>15</v>
      </c>
      <c r="D4976" t="s" s="2">
        <v>16</v>
      </c>
      <c r="E4976" t="s" s="2">
        <v>17</v>
      </c>
      <c r="F4976" t="s" s="2">
        <f>HYPERLINK("http://ts.21cn.com/tousu/show/id/1368680","http://ts.21cn.com/tousu/show/id/1368680")</f>
      </c>
      <c r="G4976" t="s" s="2">
        <v>17</v>
      </c>
      <c r="H4976" t="s" s="2">
        <v>19</v>
      </c>
      <c r="I4976" t="s" s="2">
        <v>19327</v>
      </c>
      <c r="J4976" t="s" s="2">
        <v>19328</v>
      </c>
      <c r="K4976" t="s" s="2">
        <v>22</v>
      </c>
      <c r="L4976" t="s" s="2">
        <v>22</v>
      </c>
      <c r="M4976" t="s" s="2">
        <v>22</v>
      </c>
    </row>
    <row r="4977" ht="25.0" customHeight="true">
      <c r="A4977" t="s" s="2">
        <v>13</v>
      </c>
      <c r="B4977" t="s" s="2">
        <f>HYPERLINK("http://ts.21cn.com/tousu/show/id/1368678","汇聚支付在本人不知道情况下代扣银行卡里的钱，收款方是新锐派商业保理有限公司")</f>
      </c>
      <c r="C4977" t="s" s="2">
        <v>52</v>
      </c>
      <c r="D4977" t="s" s="2">
        <v>16</v>
      </c>
      <c r="E4977" t="s" s="2">
        <v>17</v>
      </c>
      <c r="F4977" t="s" s="2">
        <f>HYPERLINK("http://ts.21cn.com/tousu/show/id/1368678","http://ts.21cn.com/tousu/show/id/1368678")</f>
      </c>
      <c r="G4977" t="s" s="2">
        <v>17</v>
      </c>
      <c r="H4977" t="s" s="2">
        <v>19</v>
      </c>
      <c r="I4977" t="s" s="2">
        <v>19331</v>
      </c>
      <c r="J4977" t="s" s="2">
        <v>19332</v>
      </c>
      <c r="K4977" t="s" s="2">
        <v>22</v>
      </c>
      <c r="L4977" t="s" s="2">
        <v>22</v>
      </c>
      <c r="M4977" t="s" s="2">
        <v>22</v>
      </c>
    </row>
    <row r="4978" ht="25.0" customHeight="true">
      <c r="A4978" t="s" s="2">
        <v>13</v>
      </c>
      <c r="B4978" t="s" s="2">
        <f>HYPERLINK("http://ts.21cn.com/tousu/show/id/1368679","新车买来13个多月，现在发动机坏了要叫我自费")</f>
      </c>
      <c r="C4978" t="s" s="2">
        <v>15</v>
      </c>
      <c r="D4978" t="s" s="2">
        <v>16</v>
      </c>
      <c r="E4978" t="s" s="2">
        <v>17</v>
      </c>
      <c r="F4978" t="s" s="2">
        <f>HYPERLINK("http://ts.21cn.com/tousu/show/id/1368679","http://ts.21cn.com/tousu/show/id/1368679")</f>
      </c>
      <c r="G4978" t="s" s="2">
        <v>17</v>
      </c>
      <c r="H4978" t="s" s="2">
        <v>19</v>
      </c>
      <c r="I4978" t="s" s="2">
        <v>19335</v>
      </c>
      <c r="J4978" t="s" s="2">
        <v>19336</v>
      </c>
      <c r="K4978" t="s" s="2">
        <v>22</v>
      </c>
      <c r="L4978" t="s" s="2">
        <v>22</v>
      </c>
      <c r="M4978" t="s" s="2">
        <v>22</v>
      </c>
    </row>
    <row r="4979" ht="25.0" customHeight="true">
      <c r="A4979" t="s" s="2">
        <v>13</v>
      </c>
      <c r="B4979" t="s" s="2">
        <f>HYPERLINK("http://ts.21cn.com/tousu/show/id/1368677","捷信公司利率高于国家法定利率的25%")</f>
      </c>
      <c r="C4979" t="s" s="2">
        <v>52</v>
      </c>
      <c r="D4979" t="s" s="2">
        <v>16</v>
      </c>
      <c r="E4979" t="s" s="2">
        <v>17</v>
      </c>
      <c r="F4979" t="s" s="2">
        <f>HYPERLINK("http://ts.21cn.com/tousu/show/id/1368677","http://ts.21cn.com/tousu/show/id/1368677")</f>
      </c>
      <c r="G4979" t="s" s="2">
        <v>17</v>
      </c>
      <c r="H4979" t="s" s="2">
        <v>19</v>
      </c>
      <c r="I4979" t="s" s="2">
        <v>19335</v>
      </c>
      <c r="J4979" t="s" s="2">
        <v>19339</v>
      </c>
      <c r="K4979" t="s" s="2">
        <v>22</v>
      </c>
      <c r="L4979" t="s" s="2">
        <v>22</v>
      </c>
      <c r="M4979" t="s" s="2">
        <v>22</v>
      </c>
    </row>
    <row r="4980" ht="25.0" customHeight="true">
      <c r="A4980" t="s" s="2">
        <v>13</v>
      </c>
      <c r="B4980" t="s" s="2">
        <f>HYPERLINK("http://ts.21cn.com/tousu/show/id/1368676","高利贷催收威胁")</f>
      </c>
      <c r="C4980" t="s" s="2">
        <v>15</v>
      </c>
      <c r="D4980" t="s" s="2">
        <v>16</v>
      </c>
      <c r="E4980" t="s" s="2">
        <v>17</v>
      </c>
      <c r="F4980" t="s" s="2">
        <f>HYPERLINK("http://ts.21cn.com/tousu/show/id/1368676","http://ts.21cn.com/tousu/show/id/1368676")</f>
      </c>
      <c r="G4980" t="s" s="2">
        <v>17</v>
      </c>
      <c r="H4980" t="s" s="2">
        <v>19</v>
      </c>
      <c r="I4980" t="s" s="2">
        <v>19342</v>
      </c>
      <c r="J4980" t="s" s="2">
        <v>19343</v>
      </c>
      <c r="K4980" t="s" s="2">
        <v>22</v>
      </c>
      <c r="L4980" t="s" s="2">
        <v>22</v>
      </c>
      <c r="M4980" t="s" s="2">
        <v>22</v>
      </c>
    </row>
    <row r="4981" ht="25.0" customHeight="true">
      <c r="A4981" t="s" s="2">
        <v>13</v>
      </c>
      <c r="B4981" t="s" s="2">
        <f>HYPERLINK("http://ts.21cn.com/tousu/show/id/1368675","押金退款推后无提前告知")</f>
      </c>
      <c r="C4981" t="s" s="2">
        <v>52</v>
      </c>
      <c r="D4981" t="s" s="2">
        <v>16</v>
      </c>
      <c r="E4981" t="s" s="2">
        <v>17</v>
      </c>
      <c r="F4981" t="s" s="2">
        <f>HYPERLINK("http://ts.21cn.com/tousu/show/id/1368675","http://ts.21cn.com/tousu/show/id/1368675")</f>
      </c>
      <c r="G4981" t="s" s="2">
        <v>17</v>
      </c>
      <c r="H4981" t="s" s="2">
        <v>19</v>
      </c>
      <c r="I4981" t="s" s="2">
        <v>19346</v>
      </c>
      <c r="J4981" t="s" s="2">
        <v>19347</v>
      </c>
      <c r="K4981" t="s" s="2">
        <v>22</v>
      </c>
      <c r="L4981" t="s" s="2">
        <v>22</v>
      </c>
      <c r="M4981" t="s" s="2">
        <v>22</v>
      </c>
    </row>
    <row r="4982" ht="25.0" customHeight="true">
      <c r="A4982" t="s" s="2">
        <v>13</v>
      </c>
      <c r="B4982" t="s" s="2">
        <f>HYPERLINK("http://ts.21cn.com/tousu/show/id/1368674","冒充耐克卖假鞋")</f>
      </c>
      <c r="C4982" t="s" s="2">
        <v>15</v>
      </c>
      <c r="D4982" t="s" s="2">
        <v>16</v>
      </c>
      <c r="E4982" t="s" s="2">
        <v>17</v>
      </c>
      <c r="F4982" t="s" s="2">
        <f>HYPERLINK("http://ts.21cn.com/tousu/show/id/1368674","http://ts.21cn.com/tousu/show/id/1368674")</f>
      </c>
      <c r="G4982" t="s" s="2">
        <v>17</v>
      </c>
      <c r="H4982" t="s" s="2">
        <v>19</v>
      </c>
      <c r="I4982" t="s" s="2">
        <v>19350</v>
      </c>
      <c r="J4982" t="s" s="2">
        <v>19351</v>
      </c>
      <c r="K4982" t="s" s="2">
        <v>22</v>
      </c>
      <c r="L4982" t="s" s="2">
        <v>22</v>
      </c>
      <c r="M4982" t="s" s="2">
        <v>22</v>
      </c>
    </row>
    <row r="4983" ht="25.0" customHeight="true">
      <c r="A4983" t="s" s="2">
        <v>13</v>
      </c>
      <c r="B4983" t="s" s="2">
        <f>HYPERLINK("http://ts.21cn.com/tousu/show/id/1368673","套路贷")</f>
      </c>
      <c r="C4983" t="s" s="2">
        <v>15</v>
      </c>
      <c r="D4983" t="s" s="2">
        <v>16</v>
      </c>
      <c r="E4983" t="s" s="2">
        <v>17</v>
      </c>
      <c r="F4983" t="s" s="2">
        <f>HYPERLINK("http://ts.21cn.com/tousu/show/id/1368673","http://ts.21cn.com/tousu/show/id/1368673")</f>
      </c>
      <c r="G4983" t="s" s="2">
        <v>17</v>
      </c>
      <c r="H4983" t="s" s="2">
        <v>19</v>
      </c>
      <c r="I4983" t="s" s="2">
        <v>19353</v>
      </c>
      <c r="J4983" t="s" s="2">
        <v>19354</v>
      </c>
      <c r="K4983" t="s" s="2">
        <v>22</v>
      </c>
      <c r="L4983" t="s" s="2">
        <v>22</v>
      </c>
      <c r="M4983" t="s" s="2">
        <v>22</v>
      </c>
    </row>
    <row r="4984" ht="25.0" customHeight="true">
      <c r="A4984" t="s" s="2">
        <v>13</v>
      </c>
      <c r="B4984" t="s" s="2">
        <f>HYPERLINK("http://ts.21cn.com/tousu/show/id/1368671","来米巴士高利贷砍头息")</f>
      </c>
      <c r="C4984" t="s" s="2">
        <v>15</v>
      </c>
      <c r="D4984" t="s" s="2">
        <v>16</v>
      </c>
      <c r="E4984" t="s" s="2">
        <v>17</v>
      </c>
      <c r="F4984" t="s" s="2">
        <f>HYPERLINK("http://ts.21cn.com/tousu/show/id/1368671","http://ts.21cn.com/tousu/show/id/1368671")</f>
      </c>
      <c r="G4984" t="s" s="2">
        <v>17</v>
      </c>
      <c r="H4984" t="s" s="2">
        <v>19</v>
      </c>
      <c r="I4984" t="s" s="2">
        <v>19357</v>
      </c>
      <c r="J4984" t="s" s="2">
        <v>19358</v>
      </c>
      <c r="K4984" t="s" s="2">
        <v>22</v>
      </c>
      <c r="L4984" t="s" s="2">
        <v>22</v>
      </c>
      <c r="M4984" t="s" s="2">
        <v>22</v>
      </c>
    </row>
    <row r="4985" ht="25.0" customHeight="true">
      <c r="A4985" t="s" s="2">
        <v>13</v>
      </c>
      <c r="B4985" t="s" s="2">
        <f>HYPERLINK("http://ts.21cn.com/tousu/show/id/1368670","华农钱庄")</f>
      </c>
      <c r="C4985" t="s" s="2">
        <v>15</v>
      </c>
      <c r="D4985" t="s" s="2">
        <v>16</v>
      </c>
      <c r="E4985" t="s" s="2">
        <v>17</v>
      </c>
      <c r="F4985" t="s" s="2">
        <f>HYPERLINK("http://ts.21cn.com/tousu/show/id/1368670","http://ts.21cn.com/tousu/show/id/1368670")</f>
      </c>
      <c r="G4985" t="s" s="2">
        <v>17</v>
      </c>
      <c r="H4985" t="s" s="2">
        <v>19</v>
      </c>
      <c r="I4985" t="s" s="2">
        <v>19361</v>
      </c>
      <c r="J4985" t="s" s="2">
        <v>19362</v>
      </c>
      <c r="K4985" t="s" s="2">
        <v>22</v>
      </c>
      <c r="L4985" t="s" s="2">
        <v>22</v>
      </c>
      <c r="M4985" t="s" s="2">
        <v>22</v>
      </c>
    </row>
    <row r="4986" ht="25.0" customHeight="true">
      <c r="A4986" t="s" s="2">
        <v>13</v>
      </c>
      <c r="B4986" t="s" s="2">
        <f>HYPERLINK("http://ts.21cn.com/tousu/show/id/1368672","豹子贷无故扣钱不需要还要扣")</f>
      </c>
      <c r="C4986" t="s" s="2">
        <v>15</v>
      </c>
      <c r="D4986" t="s" s="2">
        <v>16</v>
      </c>
      <c r="E4986" t="s" s="2">
        <v>17</v>
      </c>
      <c r="F4986" t="s" s="2">
        <f>HYPERLINK("http://ts.21cn.com/tousu/show/id/1368672","http://ts.21cn.com/tousu/show/id/1368672")</f>
      </c>
      <c r="G4986" t="s" s="2">
        <v>17</v>
      </c>
      <c r="H4986" t="s" s="2">
        <v>19</v>
      </c>
      <c r="I4986" t="s" s="2">
        <v>19364</v>
      </c>
      <c r="J4986" t="s" s="2">
        <v>19365</v>
      </c>
      <c r="K4986" t="s" s="2">
        <v>22</v>
      </c>
      <c r="L4986" t="s" s="2">
        <v>22</v>
      </c>
      <c r="M4986" t="s" s="2">
        <v>22</v>
      </c>
    </row>
    <row r="4987" ht="25.0" customHeight="true">
      <c r="A4987" t="s" s="2">
        <v>13</v>
      </c>
      <c r="B4987" t="s" s="2">
        <f>HYPERLINK("http://ts.21cn.com/tousu/show/id/1368669","投诉小赢卡贷催收")</f>
      </c>
      <c r="C4987" t="s" s="2">
        <v>15</v>
      </c>
      <c r="D4987" t="s" s="2">
        <v>16</v>
      </c>
      <c r="E4987" t="s" s="2">
        <v>17</v>
      </c>
      <c r="F4987" t="s" s="2">
        <f>HYPERLINK("http://ts.21cn.com/tousu/show/id/1368669","http://ts.21cn.com/tousu/show/id/1368669")</f>
      </c>
      <c r="G4987" t="s" s="2">
        <v>17</v>
      </c>
      <c r="H4987" t="s" s="2">
        <v>19</v>
      </c>
      <c r="I4987" t="s" s="2">
        <v>19368</v>
      </c>
      <c r="J4987" t="s" s="2">
        <v>19369</v>
      </c>
      <c r="K4987" t="s" s="2">
        <v>22</v>
      </c>
      <c r="L4987" t="s" s="2">
        <v>22</v>
      </c>
      <c r="M4987" t="s" s="2">
        <v>22</v>
      </c>
    </row>
    <row r="4988" ht="25.0" customHeight="true">
      <c r="A4988" t="s" s="2">
        <v>13</v>
      </c>
      <c r="B4988" t="s" s="2">
        <f>HYPERLINK("http://ts.21cn.com/tousu/show/id/1368668","招商银行雇佣不明身份黑社会人员上门威胁")</f>
      </c>
      <c r="C4988" t="s" s="2">
        <v>15</v>
      </c>
      <c r="D4988" t="s" s="2">
        <v>16</v>
      </c>
      <c r="E4988" t="s" s="2">
        <v>17</v>
      </c>
      <c r="F4988" t="s" s="2">
        <f>HYPERLINK("http://ts.21cn.com/tousu/show/id/1368668","http://ts.21cn.com/tousu/show/id/1368668")</f>
      </c>
      <c r="G4988" t="s" s="2">
        <v>17</v>
      </c>
      <c r="H4988" t="s" s="2">
        <v>19</v>
      </c>
      <c r="I4988" t="s" s="2">
        <v>19372</v>
      </c>
      <c r="J4988" t="s" s="2">
        <v>19373</v>
      </c>
      <c r="K4988" t="s" s="2">
        <v>22</v>
      </c>
      <c r="L4988" t="s" s="2">
        <v>22</v>
      </c>
      <c r="M4988" t="s" s="2">
        <v>22</v>
      </c>
    </row>
    <row r="4989" ht="25.0" customHeight="true">
      <c r="A4989" t="s" s="2">
        <v>13</v>
      </c>
      <c r="B4989" t="s" s="2">
        <f>HYPERLINK("http://ts.21cn.com/tousu/show/id/1368667","蜂窝钱包无法还款")</f>
      </c>
      <c r="C4989" t="s" s="2">
        <v>15</v>
      </c>
      <c r="D4989" t="s" s="2">
        <v>16</v>
      </c>
      <c r="E4989" t="s" s="2">
        <v>17</v>
      </c>
      <c r="F4989" t="s" s="2">
        <f>HYPERLINK("http://ts.21cn.com/tousu/show/id/1368667","http://ts.21cn.com/tousu/show/id/1368667")</f>
      </c>
      <c r="G4989" t="s" s="2">
        <v>17</v>
      </c>
      <c r="H4989" t="s" s="2">
        <v>19</v>
      </c>
      <c r="I4989" t="s" s="2">
        <v>19376</v>
      </c>
      <c r="J4989" t="s" s="2">
        <v>19377</v>
      </c>
      <c r="K4989" t="s" s="2">
        <v>22</v>
      </c>
      <c r="L4989" t="s" s="2">
        <v>22</v>
      </c>
      <c r="M4989" t="s" s="2">
        <v>22</v>
      </c>
    </row>
    <row r="4990" ht="25.0" customHeight="true">
      <c r="A4990" t="s" s="2">
        <v>13</v>
      </c>
      <c r="B4990" t="s" s="2">
        <f>HYPERLINK("http://ts.21cn.com/tousu/show/id/1368666","贷上钱以买游戏豆为由收取高额贷款通过费")</f>
      </c>
      <c r="C4990" t="s" s="2">
        <v>15</v>
      </c>
      <c r="D4990" t="s" s="2">
        <v>16</v>
      </c>
      <c r="E4990" t="s" s="2">
        <v>17</v>
      </c>
      <c r="F4990" t="s" s="2">
        <f>HYPERLINK("http://ts.21cn.com/tousu/show/id/1368666","http://ts.21cn.com/tousu/show/id/1368666")</f>
      </c>
      <c r="G4990" t="s" s="2">
        <v>17</v>
      </c>
      <c r="H4990" t="s" s="2">
        <v>19</v>
      </c>
      <c r="I4990" t="s" s="2">
        <v>19379</v>
      </c>
      <c r="J4990" t="s" s="2">
        <v>19380</v>
      </c>
      <c r="K4990" t="s" s="2">
        <v>22</v>
      </c>
      <c r="L4990" t="s" s="2">
        <v>22</v>
      </c>
      <c r="M4990" t="s" s="2">
        <v>22</v>
      </c>
    </row>
    <row r="4991" ht="25.0" customHeight="true">
      <c r="A4991" t="s" s="2">
        <v>13</v>
      </c>
      <c r="B4991" t="s" s="2">
        <f>HYPERLINK("http://ts.21cn.com/tousu/show/id/1368664","元丰手机贷高炮利息")</f>
      </c>
      <c r="C4991" t="s" s="2">
        <v>15</v>
      </c>
      <c r="D4991" t="s" s="2">
        <v>16</v>
      </c>
      <c r="E4991" t="s" s="2">
        <v>17</v>
      </c>
      <c r="F4991" t="s" s="2">
        <f>HYPERLINK("http://ts.21cn.com/tousu/show/id/1368664","http://ts.21cn.com/tousu/show/id/1368664")</f>
      </c>
      <c r="G4991" t="s" s="2">
        <v>17</v>
      </c>
      <c r="H4991" t="s" s="2">
        <v>19</v>
      </c>
      <c r="I4991" t="s" s="2">
        <v>19383</v>
      </c>
      <c r="J4991" t="s" s="2">
        <v>19384</v>
      </c>
      <c r="K4991" t="s" s="2">
        <v>22</v>
      </c>
      <c r="L4991" t="s" s="2">
        <v>22</v>
      </c>
      <c r="M4991" t="s" s="2">
        <v>22</v>
      </c>
    </row>
    <row r="4992" ht="25.0" customHeight="true">
      <c r="A4992" t="s" s="2">
        <v>13</v>
      </c>
      <c r="B4992" t="s" s="2">
        <f>HYPERLINK("http://ts.21cn.com/tousu/show/id/1368665","黑贷款")</f>
      </c>
      <c r="C4992" t="s" s="2">
        <v>15</v>
      </c>
      <c r="D4992" t="s" s="2">
        <v>16</v>
      </c>
      <c r="E4992" t="s" s="2">
        <v>17</v>
      </c>
      <c r="F4992" t="s" s="2">
        <f>HYPERLINK("http://ts.21cn.com/tousu/show/id/1368665","http://ts.21cn.com/tousu/show/id/1368665")</f>
      </c>
      <c r="G4992" t="s" s="2">
        <v>17</v>
      </c>
      <c r="H4992" t="s" s="2">
        <v>19</v>
      </c>
      <c r="I4992" t="s" s="2">
        <v>19387</v>
      </c>
      <c r="J4992" t="s" s="2">
        <v>19388</v>
      </c>
      <c r="K4992" t="s" s="2">
        <v>22</v>
      </c>
      <c r="L4992" t="s" s="2">
        <v>22</v>
      </c>
      <c r="M4992" t="s" s="2">
        <v>22</v>
      </c>
    </row>
    <row r="4993" ht="25.0" customHeight="true">
      <c r="A4993" t="s" s="2">
        <v>13</v>
      </c>
      <c r="B4993" t="s" s="2">
        <f>HYPERLINK("http://ts.21cn.com/tousu/show/id/1368661","中腾信未逾期短信威胁")</f>
      </c>
      <c r="C4993" t="s" s="2">
        <v>15</v>
      </c>
      <c r="D4993" t="s" s="2">
        <v>16</v>
      </c>
      <c r="E4993" t="s" s="2">
        <v>17</v>
      </c>
      <c r="F4993" t="s" s="2">
        <f>HYPERLINK("http://ts.21cn.com/tousu/show/id/1368661","http://ts.21cn.com/tousu/show/id/1368661")</f>
      </c>
      <c r="G4993" t="s" s="2">
        <v>17</v>
      </c>
      <c r="H4993" t="s" s="2">
        <v>19</v>
      </c>
      <c r="I4993" t="s" s="2">
        <v>19391</v>
      </c>
      <c r="J4993" t="s" s="2">
        <v>19392</v>
      </c>
      <c r="K4993" t="s" s="2">
        <v>22</v>
      </c>
      <c r="L4993" t="s" s="2">
        <v>22</v>
      </c>
      <c r="M4993" t="s" s="2">
        <v>22</v>
      </c>
    </row>
    <row r="4994" ht="25.0" customHeight="true">
      <c r="A4994" t="s" s="2">
        <v>13</v>
      </c>
      <c r="B4994" t="s" s="2">
        <f>HYPERLINK("http://ts.21cn.com/tousu/show/id/1368659","麦当劳食物问题")</f>
      </c>
      <c r="C4994" t="s" s="2">
        <v>15</v>
      </c>
      <c r="D4994" t="s" s="2">
        <v>16</v>
      </c>
      <c r="E4994" t="s" s="2">
        <v>17</v>
      </c>
      <c r="F4994" t="s" s="2">
        <f>HYPERLINK("http://ts.21cn.com/tousu/show/id/1368659","http://ts.21cn.com/tousu/show/id/1368659")</f>
      </c>
      <c r="G4994" t="s" s="2">
        <v>17</v>
      </c>
      <c r="H4994" t="s" s="2">
        <v>19</v>
      </c>
      <c r="I4994" t="s" s="2">
        <v>19395</v>
      </c>
      <c r="J4994" t="s" s="2">
        <v>19396</v>
      </c>
      <c r="K4994" t="s" s="2">
        <v>22</v>
      </c>
      <c r="L4994" t="s" s="2">
        <v>22</v>
      </c>
      <c r="M4994" t="s" s="2">
        <v>22</v>
      </c>
    </row>
    <row r="4995" ht="25.0" customHeight="true">
      <c r="A4995" t="s" s="2">
        <v>13</v>
      </c>
      <c r="B4995" t="s" s="2">
        <f>HYPERLINK("http://ts.21cn.com/tousu/show/id/1368658","中原消费金融恶意暴力催收")</f>
      </c>
      <c r="C4995" t="s" s="2">
        <v>15</v>
      </c>
      <c r="D4995" t="s" s="2">
        <v>16</v>
      </c>
      <c r="E4995" t="s" s="2">
        <v>17</v>
      </c>
      <c r="F4995" t="s" s="2">
        <f>HYPERLINK("http://ts.21cn.com/tousu/show/id/1368658","http://ts.21cn.com/tousu/show/id/1368658")</f>
      </c>
      <c r="G4995" t="s" s="2">
        <v>17</v>
      </c>
      <c r="H4995" t="s" s="2">
        <v>19</v>
      </c>
      <c r="I4995" t="s" s="2">
        <v>19399</v>
      </c>
      <c r="J4995" t="s" s="2">
        <v>19400</v>
      </c>
      <c r="K4995" t="s" s="2">
        <v>22</v>
      </c>
      <c r="L4995" t="s" s="2">
        <v>22</v>
      </c>
      <c r="M4995" t="s" s="2">
        <v>22</v>
      </c>
    </row>
    <row r="4996" ht="25.0" customHeight="true">
      <c r="A4996" t="s" s="2">
        <v>13</v>
      </c>
      <c r="B4996" t="s" s="2">
        <f>HYPERLINK("http://ts.21cn.com/tousu/show/id/1368657","洋钱罐平台暴力催收骚扰家里亲戚朋友严重影响到正常生活")</f>
      </c>
      <c r="C4996" t="s" s="2">
        <v>15</v>
      </c>
      <c r="D4996" t="s" s="2">
        <v>16</v>
      </c>
      <c r="E4996" t="s" s="2">
        <v>17</v>
      </c>
      <c r="F4996" t="s" s="2">
        <f>HYPERLINK("http://ts.21cn.com/tousu/show/id/1368657","http://ts.21cn.com/tousu/show/id/1368657")</f>
      </c>
      <c r="G4996" t="s" s="2">
        <v>17</v>
      </c>
      <c r="H4996" t="s" s="2">
        <v>19</v>
      </c>
      <c r="I4996" t="s" s="2">
        <v>19403</v>
      </c>
      <c r="J4996" t="s" s="2">
        <v>19404</v>
      </c>
      <c r="K4996" t="s" s="2">
        <v>22</v>
      </c>
      <c r="L4996" t="s" s="2">
        <v>22</v>
      </c>
      <c r="M4996" t="s" s="2">
        <v>22</v>
      </c>
    </row>
    <row r="4997" ht="25.0" customHeight="true">
      <c r="A4997" t="s" s="2">
        <v>13</v>
      </c>
      <c r="B4997" t="s" s="2">
        <f>HYPERLINK("http://ts.21cn.com/tousu/show/id/1368656","农业银行不回复退还信用卡的要求")</f>
      </c>
      <c r="C4997" t="s" s="2">
        <v>15</v>
      </c>
      <c r="D4997" t="s" s="2">
        <v>16</v>
      </c>
      <c r="E4997" t="s" s="2">
        <v>17</v>
      </c>
      <c r="F4997" t="s" s="2">
        <f>HYPERLINK("http://ts.21cn.com/tousu/show/id/1368656","http://ts.21cn.com/tousu/show/id/1368656")</f>
      </c>
      <c r="G4997" t="s" s="2">
        <v>17</v>
      </c>
      <c r="H4997" t="s" s="2">
        <v>19</v>
      </c>
      <c r="I4997" t="s" s="2">
        <v>19407</v>
      </c>
      <c r="J4997" t="s" s="2">
        <v>19408</v>
      </c>
      <c r="K4997" t="s" s="2">
        <v>22</v>
      </c>
      <c r="L4997" t="s" s="2">
        <v>22</v>
      </c>
      <c r="M4997" t="s" s="2">
        <v>22</v>
      </c>
    </row>
    <row r="4998" ht="25.0" customHeight="true">
      <c r="A4998" t="s" s="2">
        <v>13</v>
      </c>
      <c r="B4998" t="s" s="2">
        <f>HYPERLINK("http://ts.21cn.com/tousu/show/id/1368655","我来贷公司高利贷")</f>
      </c>
      <c r="C4998" t="s" s="2">
        <v>15</v>
      </c>
      <c r="D4998" t="s" s="2">
        <v>16</v>
      </c>
      <c r="E4998" t="s" s="2">
        <v>17</v>
      </c>
      <c r="F4998" t="s" s="2">
        <f>HYPERLINK("http://ts.21cn.com/tousu/show/id/1368655","http://ts.21cn.com/tousu/show/id/1368655")</f>
      </c>
      <c r="G4998" t="s" s="2">
        <v>17</v>
      </c>
      <c r="H4998" t="s" s="2">
        <v>19</v>
      </c>
      <c r="I4998" t="s" s="2">
        <v>19411</v>
      </c>
      <c r="J4998" t="s" s="2">
        <v>19412</v>
      </c>
      <c r="K4998" t="s" s="2">
        <v>22</v>
      </c>
      <c r="L4998" t="s" s="2">
        <v>22</v>
      </c>
      <c r="M4998" t="s" s="2">
        <v>22</v>
      </c>
    </row>
    <row r="4999" ht="25.0" customHeight="true">
      <c r="A4999" t="s" s="2">
        <v>13</v>
      </c>
      <c r="B4999" t="s" s="2">
        <f>HYPERLINK("http://ts.21cn.com/tousu/show/id/1368654","别再打电话骚扰家人朋友，取消违约金，退还加速服务包")</f>
      </c>
      <c r="C4999" t="s" s="2">
        <v>15</v>
      </c>
      <c r="D4999" t="s" s="2">
        <v>16</v>
      </c>
      <c r="E4999" t="s" s="2">
        <v>17</v>
      </c>
      <c r="F4999" t="s" s="2">
        <f>HYPERLINK("http://ts.21cn.com/tousu/show/id/1368654","http://ts.21cn.com/tousu/show/id/1368654")</f>
      </c>
      <c r="G4999" t="s" s="2">
        <v>17</v>
      </c>
      <c r="H4999" t="s" s="2">
        <v>19</v>
      </c>
      <c r="I4999" t="s" s="2">
        <v>19415</v>
      </c>
      <c r="J4999" t="s" s="2">
        <v>19416</v>
      </c>
      <c r="K4999" t="s" s="2">
        <v>22</v>
      </c>
      <c r="L4999" t="s" s="2">
        <v>22</v>
      </c>
      <c r="M4999" t="s" s="2">
        <v>22</v>
      </c>
    </row>
    <row r="5000" ht="25.0" customHeight="true">
      <c r="A5000" t="s" s="2">
        <v>13</v>
      </c>
      <c r="B5000" t="s" s="2">
        <f>HYPERLINK("http://ts.21cn.com/tousu/show/id/1368653","在咸鱼上买到假货，收到的货和卖家说的不一样")</f>
      </c>
      <c r="C5000" t="s" s="2">
        <v>15</v>
      </c>
      <c r="D5000" t="s" s="2">
        <v>16</v>
      </c>
      <c r="E5000" t="s" s="2">
        <v>17</v>
      </c>
      <c r="F5000" t="s" s="2">
        <f>HYPERLINK("http://ts.21cn.com/tousu/show/id/1368653","http://ts.21cn.com/tousu/show/id/1368653")</f>
      </c>
      <c r="G5000" t="s" s="2">
        <v>17</v>
      </c>
      <c r="H5000" t="s" s="2">
        <v>19</v>
      </c>
      <c r="I5000" t="s" s="2">
        <v>19419</v>
      </c>
      <c r="J5000" t="s" s="2">
        <v>19420</v>
      </c>
      <c r="K5000" t="s" s="2">
        <v>22</v>
      </c>
      <c r="L5000" t="s" s="2">
        <v>22</v>
      </c>
      <c r="M5000" t="s" s="2">
        <v>22</v>
      </c>
    </row>
    <row r="5001" ht="25.0" customHeight="true">
      <c r="A5001" t="s" s="2">
        <v>13</v>
      </c>
      <c r="B5001" t="s" s="2">
        <f>HYPERLINK("http://ts.21cn.com/tousu/show/id/1368652","手机号码被泰迪熊恶意提供给推销商")</f>
      </c>
      <c r="C5001" t="s" s="2">
        <v>15</v>
      </c>
      <c r="D5001" t="s" s="2">
        <v>16</v>
      </c>
      <c r="E5001" t="s" s="2">
        <v>17</v>
      </c>
      <c r="F5001" t="s" s="2">
        <f>HYPERLINK("http://ts.21cn.com/tousu/show/id/1368652","http://ts.21cn.com/tousu/show/id/1368652")</f>
      </c>
      <c r="G5001" t="s" s="2">
        <v>17</v>
      </c>
      <c r="H5001" t="s" s="2">
        <v>19</v>
      </c>
      <c r="I5001" t="s" s="2">
        <v>19423</v>
      </c>
      <c r="J5001" t="s" s="2">
        <v>19424</v>
      </c>
      <c r="K5001" t="s" s="2">
        <v>22</v>
      </c>
      <c r="L5001" t="s" s="2">
        <v>22</v>
      </c>
      <c r="M5001" t="s" s="2">
        <v>22</v>
      </c>
    </row>
    <row r="5002" ht="25.0" customHeight="true">
      <c r="A5002" t="s" s="2">
        <v>13</v>
      </c>
      <c r="B5002" t="s" s="2">
        <f>HYPERLINK("http://ts.21cn.com/tousu/show/id/1368651","及贷暴力催收，恐吓家人")</f>
      </c>
      <c r="C5002" t="s" s="2">
        <v>15</v>
      </c>
      <c r="D5002" t="s" s="2">
        <v>16</v>
      </c>
      <c r="E5002" t="s" s="2">
        <v>17</v>
      </c>
      <c r="F5002" t="s" s="2">
        <f>HYPERLINK("http://ts.21cn.com/tousu/show/id/1368651","http://ts.21cn.com/tousu/show/id/1368651")</f>
      </c>
      <c r="G5002" t="s" s="2">
        <v>17</v>
      </c>
      <c r="H5002" t="s" s="2">
        <v>19</v>
      </c>
      <c r="I5002" t="s" s="2">
        <v>19427</v>
      </c>
      <c r="J5002" t="s" s="2">
        <v>19428</v>
      </c>
      <c r="K5002" t="s" s="2">
        <v>22</v>
      </c>
      <c r="L5002" t="s" s="2">
        <v>22</v>
      </c>
      <c r="M5002" t="s" s="2">
        <v>22</v>
      </c>
    </row>
    <row r="5003" ht="25.0" customHeight="true">
      <c r="A5003" t="s" s="2">
        <v>13</v>
      </c>
      <c r="B5003" t="s" s="2">
        <f>HYPERLINK("http://ts.21cn.com/tousu/show/id/1368649","好易贷高额砍头息")</f>
      </c>
      <c r="C5003" t="s" s="2">
        <v>15</v>
      </c>
      <c r="D5003" t="s" s="2">
        <v>16</v>
      </c>
      <c r="E5003" t="s" s="2">
        <v>17</v>
      </c>
      <c r="F5003" t="s" s="2">
        <f>HYPERLINK("http://ts.21cn.com/tousu/show/id/1368649","http://ts.21cn.com/tousu/show/id/1368649")</f>
      </c>
      <c r="G5003" t="s" s="2">
        <v>17</v>
      </c>
      <c r="H5003" t="s" s="2">
        <v>19</v>
      </c>
      <c r="I5003" t="s" s="2">
        <v>19431</v>
      </c>
      <c r="J5003" t="s" s="2">
        <v>19432</v>
      </c>
      <c r="K5003" t="s" s="2">
        <v>22</v>
      </c>
      <c r="L5003" t="s" s="2">
        <v>22</v>
      </c>
      <c r="M5003" t="s" s="2">
        <v>22</v>
      </c>
    </row>
    <row r="5004" ht="25.0" customHeight="true">
      <c r="A5004" t="s" s="2">
        <v>13</v>
      </c>
      <c r="B5004" t="s" s="2">
        <f>HYPERLINK("http://ts.21cn.com/tousu/show/id/1368650","网贷暴力催收")</f>
      </c>
      <c r="C5004" t="s" s="2">
        <v>15</v>
      </c>
      <c r="D5004" t="s" s="2">
        <v>16</v>
      </c>
      <c r="E5004" t="s" s="2">
        <v>17</v>
      </c>
      <c r="F5004" t="s" s="2">
        <f>HYPERLINK("http://ts.21cn.com/tousu/show/id/1368650","http://ts.21cn.com/tousu/show/id/1368650")</f>
      </c>
      <c r="G5004" t="s" s="2">
        <v>17</v>
      </c>
      <c r="H5004" t="s" s="2">
        <v>19</v>
      </c>
      <c r="I5004" t="s" s="2">
        <v>19434</v>
      </c>
      <c r="J5004" t="s" s="2">
        <v>19435</v>
      </c>
      <c r="K5004" t="s" s="2">
        <v>22</v>
      </c>
      <c r="L5004" t="s" s="2">
        <v>22</v>
      </c>
      <c r="M5004" t="s" s="2">
        <v>22</v>
      </c>
    </row>
    <row r="5005" ht="25.0" customHeight="true">
      <c r="A5005" t="s" s="2">
        <v>13</v>
      </c>
      <c r="B5005" t="s" s="2">
        <f>HYPERLINK("http://ts.21cn.com/tousu/show/id/1368648","招商银行信用卡逾期")</f>
      </c>
      <c r="C5005" t="s" s="2">
        <v>52</v>
      </c>
      <c r="D5005" t="s" s="2">
        <v>16</v>
      </c>
      <c r="E5005" t="s" s="2">
        <v>17</v>
      </c>
      <c r="F5005" t="s" s="2">
        <f>HYPERLINK("http://ts.21cn.com/tousu/show/id/1368648","http://ts.21cn.com/tousu/show/id/1368648")</f>
      </c>
      <c r="G5005" t="s" s="2">
        <v>17</v>
      </c>
      <c r="H5005" t="s" s="2">
        <v>19</v>
      </c>
      <c r="I5005" t="s" s="2">
        <v>19438</v>
      </c>
      <c r="J5005" t="s" s="2">
        <v>19439</v>
      </c>
      <c r="K5005" t="s" s="2">
        <v>22</v>
      </c>
      <c r="L5005" t="s" s="2">
        <v>22</v>
      </c>
      <c r="M5005" t="s" s="2">
        <v>22</v>
      </c>
    </row>
    <row r="5006" ht="25.0" customHeight="true">
      <c r="A5006" t="s" s="2">
        <v>13</v>
      </c>
      <c r="B5006" t="s" s="2">
        <f>HYPERLINK("http://ts.21cn.com/tousu/show/id/1368646","投诉中腾信借款当天还款日就恶意催收")</f>
      </c>
      <c r="C5006" t="s" s="2">
        <v>15</v>
      </c>
      <c r="D5006" t="s" s="2">
        <v>16</v>
      </c>
      <c r="E5006" t="s" s="2">
        <v>17</v>
      </c>
      <c r="F5006" t="s" s="2">
        <f>HYPERLINK("http://ts.21cn.com/tousu/show/id/1368646","http://ts.21cn.com/tousu/show/id/1368646")</f>
      </c>
      <c r="G5006" t="s" s="2">
        <v>17</v>
      </c>
      <c r="H5006" t="s" s="2">
        <v>19</v>
      </c>
      <c r="I5006" t="s" s="2">
        <v>19442</v>
      </c>
      <c r="J5006" t="s" s="2">
        <v>19443</v>
      </c>
      <c r="K5006" t="s" s="2">
        <v>22</v>
      </c>
      <c r="L5006" t="s" s="2">
        <v>22</v>
      </c>
      <c r="M5006" t="s" s="2">
        <v>22</v>
      </c>
    </row>
    <row r="5007" ht="25.0" customHeight="true">
      <c r="A5007" t="s" s="2">
        <v>13</v>
      </c>
      <c r="B5007" t="s" s="2">
        <f>HYPERLINK("http://ts.21cn.com/tousu/show/id/1368626","夸大事实，乱收费")</f>
      </c>
      <c r="C5007" t="s" s="2">
        <v>15</v>
      </c>
      <c r="D5007" t="s" s="2">
        <v>16</v>
      </c>
      <c r="E5007" t="s" s="2">
        <v>17</v>
      </c>
      <c r="F5007" t="s" s="2">
        <f>HYPERLINK("http://ts.21cn.com/tousu/show/id/1368626","http://ts.21cn.com/tousu/show/id/1368626")</f>
      </c>
      <c r="G5007" t="s" s="2">
        <v>17</v>
      </c>
      <c r="H5007" t="s" s="2">
        <v>19</v>
      </c>
      <c r="I5007" t="s" s="2">
        <v>19446</v>
      </c>
      <c r="J5007" t="s" s="2">
        <v>19447</v>
      </c>
      <c r="K5007" t="s" s="2">
        <v>22</v>
      </c>
      <c r="L5007" t="s" s="2">
        <v>22</v>
      </c>
      <c r="M5007" t="s" s="2">
        <v>22</v>
      </c>
    </row>
    <row r="5008" ht="25.0" customHeight="true">
      <c r="A5008" t="s" s="2">
        <v>13</v>
      </c>
      <c r="B5008" t="s" s="2">
        <f>HYPERLINK("http://ts.21cn.com/tousu/show/id/1368644","钱站高利贷")</f>
      </c>
      <c r="C5008" t="s" s="2">
        <v>15</v>
      </c>
      <c r="D5008" t="s" s="2">
        <v>16</v>
      </c>
      <c r="E5008" t="s" s="2">
        <v>17</v>
      </c>
      <c r="F5008" t="s" s="2">
        <f>HYPERLINK("http://ts.21cn.com/tousu/show/id/1368644","http://ts.21cn.com/tousu/show/id/1368644")</f>
      </c>
      <c r="G5008" t="s" s="2">
        <v>17</v>
      </c>
      <c r="H5008" t="s" s="2">
        <v>19</v>
      </c>
      <c r="I5008" t="s" s="2">
        <v>19449</v>
      </c>
      <c r="J5008" t="s" s="2">
        <v>19450</v>
      </c>
      <c r="K5008" t="s" s="2">
        <v>22</v>
      </c>
      <c r="L5008" t="s" s="2">
        <v>22</v>
      </c>
      <c r="M5008" t="s" s="2">
        <v>22</v>
      </c>
    </row>
    <row r="5009" ht="25.0" customHeight="true">
      <c r="A5009" t="s" s="2">
        <v>13</v>
      </c>
      <c r="B5009" t="s" s="2">
        <f>HYPERLINK("http://ts.21cn.com/tousu/show/id/1368645","分期乐")</f>
      </c>
      <c r="C5009" t="s" s="2">
        <v>52</v>
      </c>
      <c r="D5009" t="s" s="2">
        <v>16</v>
      </c>
      <c r="E5009" t="s" s="2">
        <v>17</v>
      </c>
      <c r="F5009" t="s" s="2">
        <f>HYPERLINK("http://ts.21cn.com/tousu/show/id/1368645","http://ts.21cn.com/tousu/show/id/1368645")</f>
      </c>
      <c r="G5009" t="s" s="2">
        <v>17</v>
      </c>
      <c r="H5009" t="s" s="2">
        <v>19</v>
      </c>
      <c r="I5009" t="s" s="2">
        <v>19452</v>
      </c>
      <c r="J5009" t="s" s="2">
        <v>19453</v>
      </c>
      <c r="K5009" t="s" s="2">
        <v>22</v>
      </c>
      <c r="L5009" t="s" s="2">
        <v>22</v>
      </c>
      <c r="M5009" t="s" s="2">
        <v>22</v>
      </c>
    </row>
    <row r="5010" ht="25.0" customHeight="true">
      <c r="A5010" t="s" s="2">
        <v>13</v>
      </c>
      <c r="B5010" t="s" s="2">
        <f>HYPERLINK("http://ts.21cn.com/tousu/show/id/1368643","砍头息")</f>
      </c>
      <c r="C5010" t="s" s="2">
        <v>15</v>
      </c>
      <c r="D5010" t="s" s="2">
        <v>16</v>
      </c>
      <c r="E5010" t="s" s="2">
        <v>17</v>
      </c>
      <c r="F5010" t="s" s="2">
        <f>HYPERLINK("http://ts.21cn.com/tousu/show/id/1368643","http://ts.21cn.com/tousu/show/id/1368643")</f>
      </c>
      <c r="G5010" t="s" s="2">
        <v>17</v>
      </c>
      <c r="H5010" t="s" s="2">
        <v>19</v>
      </c>
      <c r="I5010" t="s" s="2">
        <v>19455</v>
      </c>
      <c r="J5010" t="s" s="2">
        <v>19456</v>
      </c>
      <c r="K5010" t="s" s="2">
        <v>22</v>
      </c>
      <c r="L5010" t="s" s="2">
        <v>22</v>
      </c>
      <c r="M5010" t="s" s="2">
        <v>22</v>
      </c>
    </row>
    <row r="5011" ht="25.0" customHeight="true">
      <c r="A5011" t="s" s="2">
        <v>13</v>
      </c>
      <c r="B5011" t="s" s="2">
        <f>HYPERLINK("http://ts.21cn.com/tousu/show/id/1368642","罗汉分期恶意扣会员费")</f>
      </c>
      <c r="C5011" t="s" s="2">
        <v>15</v>
      </c>
      <c r="D5011" t="s" s="2">
        <v>16</v>
      </c>
      <c r="E5011" t="s" s="2">
        <v>17</v>
      </c>
      <c r="F5011" t="s" s="2">
        <f>HYPERLINK("http://ts.21cn.com/tousu/show/id/1368642","http://ts.21cn.com/tousu/show/id/1368642")</f>
      </c>
      <c r="G5011" t="s" s="2">
        <v>17</v>
      </c>
      <c r="H5011" t="s" s="2">
        <v>19</v>
      </c>
      <c r="I5011" t="s" s="2">
        <v>19455</v>
      </c>
      <c r="J5011" t="s" s="2">
        <v>19459</v>
      </c>
      <c r="K5011" t="s" s="2">
        <v>22</v>
      </c>
      <c r="L5011" t="s" s="2">
        <v>22</v>
      </c>
      <c r="M5011" t="s" s="2">
        <v>22</v>
      </c>
    </row>
    <row r="5012" ht="25.0" customHeight="true">
      <c r="A5012" t="s" s="2">
        <v>13</v>
      </c>
      <c r="B5012" t="s" s="2">
        <f>HYPERLINK("http://ts.21cn.com/tousu/show/id/1368641","借钱宝高利贷砍头息电话骚扰")</f>
      </c>
      <c r="C5012" t="s" s="2">
        <v>15</v>
      </c>
      <c r="D5012" t="s" s="2">
        <v>16</v>
      </c>
      <c r="E5012" t="s" s="2">
        <v>17</v>
      </c>
      <c r="F5012" t="s" s="2">
        <f>HYPERLINK("http://ts.21cn.com/tousu/show/id/1368641","http://ts.21cn.com/tousu/show/id/1368641")</f>
      </c>
      <c r="G5012" t="s" s="2">
        <v>17</v>
      </c>
      <c r="H5012" t="s" s="2">
        <v>19</v>
      </c>
      <c r="I5012" t="s" s="2">
        <v>19462</v>
      </c>
      <c r="J5012" t="s" s="2">
        <v>19463</v>
      </c>
      <c r="K5012" t="s" s="2">
        <v>22</v>
      </c>
      <c r="L5012" t="s" s="2">
        <v>22</v>
      </c>
      <c r="M5012" t="s" s="2">
        <v>22</v>
      </c>
    </row>
    <row r="5013" ht="25.0" customHeight="true">
      <c r="A5013" t="s" s="2">
        <v>13</v>
      </c>
      <c r="B5013" t="s" s="2">
        <f>HYPERLINK("http://ts.21cn.com/tousu/show/id/1368640","高利贷砍头息")</f>
      </c>
      <c r="C5013" t="s" s="2">
        <v>15</v>
      </c>
      <c r="D5013" t="s" s="2">
        <v>16</v>
      </c>
      <c r="E5013" t="s" s="2">
        <v>17</v>
      </c>
      <c r="F5013" t="s" s="2">
        <f>HYPERLINK("http://ts.21cn.com/tousu/show/id/1368640","http://ts.21cn.com/tousu/show/id/1368640")</f>
      </c>
      <c r="G5013" t="s" s="2">
        <v>17</v>
      </c>
      <c r="H5013" t="s" s="2">
        <v>19</v>
      </c>
      <c r="I5013" t="s" s="2">
        <v>19465</v>
      </c>
      <c r="J5013" t="s" s="2">
        <v>19466</v>
      </c>
      <c r="K5013" t="s" s="2">
        <v>22</v>
      </c>
      <c r="L5013" t="s" s="2">
        <v>22</v>
      </c>
      <c r="M5013" t="s" s="2">
        <v>22</v>
      </c>
    </row>
    <row r="5014" ht="25.0" customHeight="true">
      <c r="A5014" t="s" s="2">
        <v>13</v>
      </c>
      <c r="B5014" t="s" s="2">
        <f>HYPERLINK("http://ts.21cn.com/tousu/show/id/1368639","暴力催款，向朋友家人发法院通知函")</f>
      </c>
      <c r="C5014" t="s" s="2">
        <v>15</v>
      </c>
      <c r="D5014" t="s" s="2">
        <v>16</v>
      </c>
      <c r="E5014" t="s" s="2">
        <v>17</v>
      </c>
      <c r="F5014" t="s" s="2">
        <f>HYPERLINK("http://ts.21cn.com/tousu/show/id/1368639","http://ts.21cn.com/tousu/show/id/1368639")</f>
      </c>
      <c r="G5014" t="s" s="2">
        <v>17</v>
      </c>
      <c r="H5014" t="s" s="2">
        <v>19</v>
      </c>
      <c r="I5014" t="s" s="2">
        <v>19469</v>
      </c>
      <c r="J5014" t="s" s="2">
        <v>19470</v>
      </c>
      <c r="K5014" t="s" s="2">
        <v>22</v>
      </c>
      <c r="L5014" t="s" s="2">
        <v>22</v>
      </c>
      <c r="M5014" t="s" s="2">
        <v>22</v>
      </c>
    </row>
    <row r="5015" ht="25.0" customHeight="true">
      <c r="A5015" t="s" s="2">
        <v>13</v>
      </c>
      <c r="B5015" t="s" s="2">
        <f>HYPERLINK("http://ts.21cn.com/tousu/show/id/1368638","京东白条恶性催收")</f>
      </c>
      <c r="C5015" t="s" s="2">
        <v>15</v>
      </c>
      <c r="D5015" t="s" s="2">
        <v>16</v>
      </c>
      <c r="E5015" t="s" s="2">
        <v>17</v>
      </c>
      <c r="F5015" t="s" s="2">
        <f>HYPERLINK("http://ts.21cn.com/tousu/show/id/1368638","http://ts.21cn.com/tousu/show/id/1368638")</f>
      </c>
      <c r="G5015" t="s" s="2">
        <v>17</v>
      </c>
      <c r="H5015" t="s" s="2">
        <v>19</v>
      </c>
      <c r="I5015" t="s" s="2">
        <v>19473</v>
      </c>
      <c r="J5015" t="s" s="2">
        <v>19474</v>
      </c>
      <c r="K5015" t="s" s="2">
        <v>22</v>
      </c>
      <c r="L5015" t="s" s="2">
        <v>22</v>
      </c>
      <c r="M5015" t="s" s="2">
        <v>22</v>
      </c>
    </row>
    <row r="5016" ht="25.0" customHeight="true">
      <c r="A5016" t="s" s="2">
        <v>13</v>
      </c>
      <c r="B5016" t="s" s="2">
        <f>HYPERLINK("http://ts.21cn.com/tousu/show/id/1368637","小花钱包恶意催收致当事人轻生")</f>
      </c>
      <c r="C5016" t="s" s="2">
        <v>15</v>
      </c>
      <c r="D5016" t="s" s="2">
        <v>16</v>
      </c>
      <c r="E5016" t="s" s="2">
        <v>17</v>
      </c>
      <c r="F5016" t="s" s="2">
        <f>HYPERLINK("http://ts.21cn.com/tousu/show/id/1368637","http://ts.21cn.com/tousu/show/id/1368637")</f>
      </c>
      <c r="G5016" t="s" s="2">
        <v>17</v>
      </c>
      <c r="H5016" t="s" s="2">
        <v>19</v>
      </c>
      <c r="I5016" t="s" s="2">
        <v>19477</v>
      </c>
      <c r="J5016" t="s" s="2">
        <v>19478</v>
      </c>
      <c r="K5016" t="s" s="2">
        <v>22</v>
      </c>
      <c r="L5016" t="s" s="2">
        <v>22</v>
      </c>
      <c r="M5016" t="s" s="2">
        <v>22</v>
      </c>
    </row>
    <row r="5017" ht="25.0" customHeight="true">
      <c r="A5017" t="s" s="2">
        <v>13</v>
      </c>
      <c r="B5017" t="s" s="2">
        <f>HYPERLINK("http://ts.21cn.com/tousu/show/id/1368636","变相收取高额利息")</f>
      </c>
      <c r="C5017" t="s" s="2">
        <v>15</v>
      </c>
      <c r="D5017" t="s" s="2">
        <v>16</v>
      </c>
      <c r="E5017" t="s" s="2">
        <v>17</v>
      </c>
      <c r="F5017" t="s" s="2">
        <f>HYPERLINK("http://ts.21cn.com/tousu/show/id/1368636","http://ts.21cn.com/tousu/show/id/1368636")</f>
      </c>
      <c r="G5017" t="s" s="2">
        <v>17</v>
      </c>
      <c r="H5017" t="s" s="2">
        <v>19</v>
      </c>
      <c r="I5017" t="s" s="2">
        <v>19481</v>
      </c>
      <c r="J5017" t="s" s="2">
        <v>19482</v>
      </c>
      <c r="K5017" t="s" s="2">
        <v>22</v>
      </c>
      <c r="L5017" t="s" s="2">
        <v>22</v>
      </c>
      <c r="M5017" t="s" s="2">
        <v>22</v>
      </c>
    </row>
    <row r="5018" ht="25.0" customHeight="true">
      <c r="A5018" t="s" s="2">
        <v>13</v>
      </c>
      <c r="B5018" t="s" s="2">
        <f>HYPERLINK("http://ts.21cn.com/tousu/show/id/1368635","潍坊银行扣款失败不通知")</f>
      </c>
      <c r="C5018" t="s" s="2">
        <v>15</v>
      </c>
      <c r="D5018" t="s" s="2">
        <v>16</v>
      </c>
      <c r="E5018" t="s" s="2">
        <v>17</v>
      </c>
      <c r="F5018" t="s" s="2">
        <f>HYPERLINK("http://ts.21cn.com/tousu/show/id/1368635","http://ts.21cn.com/tousu/show/id/1368635")</f>
      </c>
      <c r="G5018" t="s" s="2">
        <v>17</v>
      </c>
      <c r="H5018" t="s" s="2">
        <v>19</v>
      </c>
      <c r="I5018" t="s" s="2">
        <v>19485</v>
      </c>
      <c r="J5018" t="s" s="2">
        <v>19486</v>
      </c>
      <c r="K5018" t="s" s="2">
        <v>22</v>
      </c>
      <c r="L5018" t="s" s="2">
        <v>22</v>
      </c>
      <c r="M5018" t="s" s="2">
        <v>22</v>
      </c>
    </row>
    <row r="5019" ht="25.0" customHeight="true">
      <c r="A5019" t="s" s="2">
        <v>13</v>
      </c>
      <c r="B5019" t="s" s="2">
        <f>HYPERLINK("http://ts.21cn.com/tousu/show/id/1368634","维信豆豆钱群发恐吓短信，骚扰亲友")</f>
      </c>
      <c r="C5019" t="s" s="2">
        <v>15</v>
      </c>
      <c r="D5019" t="s" s="2">
        <v>16</v>
      </c>
      <c r="E5019" t="s" s="2">
        <v>17</v>
      </c>
      <c r="F5019" t="s" s="2">
        <f>HYPERLINK("http://ts.21cn.com/tousu/show/id/1368634","http://ts.21cn.com/tousu/show/id/1368634")</f>
      </c>
      <c r="G5019" t="s" s="2">
        <v>17</v>
      </c>
      <c r="H5019" t="s" s="2">
        <v>19</v>
      </c>
      <c r="I5019" t="s" s="2">
        <v>19489</v>
      </c>
      <c r="J5019" t="s" s="2">
        <v>19490</v>
      </c>
      <c r="K5019" t="s" s="2">
        <v>22</v>
      </c>
      <c r="L5019" t="s" s="2">
        <v>22</v>
      </c>
      <c r="M5019" t="s" s="2">
        <v>22</v>
      </c>
    </row>
    <row r="5020" ht="25.0" customHeight="true">
      <c r="A5020" t="s" s="2">
        <v>13</v>
      </c>
      <c r="B5020" t="s" s="2">
        <f>HYPERLINK("http://ts.21cn.com/tousu/show/id/1368542","乱收费，欺诈")</f>
      </c>
      <c r="C5020" t="s" s="2">
        <v>15</v>
      </c>
      <c r="D5020" t="s" s="2">
        <v>16</v>
      </c>
      <c r="E5020" t="s" s="2">
        <v>17</v>
      </c>
      <c r="F5020" t="s" s="2">
        <f>HYPERLINK("http://ts.21cn.com/tousu/show/id/1368542","http://ts.21cn.com/tousu/show/id/1368542")</f>
      </c>
      <c r="G5020" t="s" s="2">
        <v>17</v>
      </c>
      <c r="H5020" t="s" s="2">
        <v>19</v>
      </c>
      <c r="I5020" t="s" s="2">
        <v>19493</v>
      </c>
      <c r="J5020" t="s" s="2">
        <v>19494</v>
      </c>
      <c r="K5020" t="s" s="2">
        <v>22</v>
      </c>
      <c r="L5020" t="s" s="2">
        <v>22</v>
      </c>
      <c r="M5020" t="s" s="2">
        <v>22</v>
      </c>
    </row>
    <row r="5021" ht="25.0" customHeight="true">
      <c r="A5021" t="s" s="2">
        <v>13</v>
      </c>
      <c r="B5021" t="s" s="2">
        <f>HYPERLINK("http://ts.21cn.com/tousu/show/id/1368632","投诉闪电借款")</f>
      </c>
      <c r="C5021" t="s" s="2">
        <v>15</v>
      </c>
      <c r="D5021" t="s" s="2">
        <v>16</v>
      </c>
      <c r="E5021" t="s" s="2">
        <v>17</v>
      </c>
      <c r="F5021" t="s" s="2">
        <f>HYPERLINK("http://ts.21cn.com/tousu/show/id/1368632","http://ts.21cn.com/tousu/show/id/1368632")</f>
      </c>
      <c r="G5021" t="s" s="2">
        <v>17</v>
      </c>
      <c r="H5021" t="s" s="2">
        <v>19</v>
      </c>
      <c r="I5021" t="s" s="2">
        <v>19497</v>
      </c>
      <c r="J5021" t="s" s="2">
        <v>19498</v>
      </c>
      <c r="K5021" t="s" s="2">
        <v>22</v>
      </c>
      <c r="L5021" t="s" s="2">
        <v>22</v>
      </c>
      <c r="M5021" t="s" s="2">
        <v>22</v>
      </c>
    </row>
    <row r="5022" ht="25.0" customHeight="true">
      <c r="A5022" t="s" s="2">
        <v>13</v>
      </c>
      <c r="B5022" t="s" s="2">
        <f>HYPERLINK("http://ts.21cn.com/tousu/show/id/1368633","上海平安普惠暴力催收")</f>
      </c>
      <c r="C5022" t="s" s="2">
        <v>15</v>
      </c>
      <c r="D5022" t="s" s="2">
        <v>16</v>
      </c>
      <c r="E5022" t="s" s="2">
        <v>17</v>
      </c>
      <c r="F5022" t="s" s="2">
        <f>HYPERLINK("http://ts.21cn.com/tousu/show/id/1368633","http://ts.21cn.com/tousu/show/id/1368633")</f>
      </c>
      <c r="G5022" t="s" s="2">
        <v>17</v>
      </c>
      <c r="H5022" t="s" s="2">
        <v>19</v>
      </c>
      <c r="I5022" t="s" s="2">
        <v>19501</v>
      </c>
      <c r="J5022" t="s" s="2">
        <v>19502</v>
      </c>
      <c r="K5022" t="s" s="2">
        <v>22</v>
      </c>
      <c r="L5022" t="s" s="2">
        <v>22</v>
      </c>
      <c r="M5022" t="s" s="2">
        <v>22</v>
      </c>
    </row>
    <row r="5023" ht="25.0" customHeight="true">
      <c r="A5023" t="s" s="2">
        <v>13</v>
      </c>
      <c r="B5023" t="s" s="2">
        <f>HYPERLINK("http://ts.21cn.com/tousu/show/id/1368631","银行卡被盗刷")</f>
      </c>
      <c r="C5023" t="s" s="2">
        <v>15</v>
      </c>
      <c r="D5023" t="s" s="2">
        <v>16</v>
      </c>
      <c r="E5023" t="s" s="2">
        <v>17</v>
      </c>
      <c r="F5023" t="s" s="2">
        <f>HYPERLINK("http://ts.21cn.com/tousu/show/id/1368631","http://ts.21cn.com/tousu/show/id/1368631")</f>
      </c>
      <c r="G5023" t="s" s="2">
        <v>17</v>
      </c>
      <c r="H5023" t="s" s="2">
        <v>19</v>
      </c>
      <c r="I5023" t="s" s="2">
        <v>19505</v>
      </c>
      <c r="J5023" t="s" s="2">
        <v>19506</v>
      </c>
      <c r="K5023" t="s" s="2">
        <v>22</v>
      </c>
      <c r="L5023" t="s" s="2">
        <v>22</v>
      </c>
      <c r="M5023" t="s" s="2">
        <v>22</v>
      </c>
    </row>
    <row r="5024" ht="25.0" customHeight="true">
      <c r="A5024" t="s" s="2">
        <v>13</v>
      </c>
      <c r="B5024" t="s" s="2">
        <f>HYPERLINK("http://ts.21cn.com/tousu/show/id/1368630","拉卡拉断头息维权")</f>
      </c>
      <c r="C5024" t="s" s="2">
        <v>15</v>
      </c>
      <c r="D5024" t="s" s="2">
        <v>16</v>
      </c>
      <c r="E5024" t="s" s="2">
        <v>17</v>
      </c>
      <c r="F5024" t="s" s="2">
        <f>HYPERLINK("http://ts.21cn.com/tousu/show/id/1368630","http://ts.21cn.com/tousu/show/id/1368630")</f>
      </c>
      <c r="G5024" t="s" s="2">
        <v>17</v>
      </c>
      <c r="H5024" t="s" s="2">
        <v>19</v>
      </c>
      <c r="I5024" t="s" s="2">
        <v>19509</v>
      </c>
      <c r="J5024" t="s" s="2">
        <v>19510</v>
      </c>
      <c r="K5024" t="s" s="2">
        <v>22</v>
      </c>
      <c r="L5024" t="s" s="2">
        <v>22</v>
      </c>
      <c r="M5024" t="s" s="2">
        <v>22</v>
      </c>
    </row>
    <row r="5025" ht="25.0" customHeight="true">
      <c r="A5025" t="s" s="2">
        <v>13</v>
      </c>
      <c r="B5025" t="s" s="2">
        <f>HYPERLINK("http://ts.21cn.com/tousu/show/id/1368628","催收威胁、费用较高")</f>
      </c>
      <c r="C5025" t="s" s="2">
        <v>15</v>
      </c>
      <c r="D5025" t="s" s="2">
        <v>16</v>
      </c>
      <c r="E5025" t="s" s="2">
        <v>17</v>
      </c>
      <c r="F5025" t="s" s="2">
        <f>HYPERLINK("http://ts.21cn.com/tousu/show/id/1368628","http://ts.21cn.com/tousu/show/id/1368628")</f>
      </c>
      <c r="G5025" t="s" s="2">
        <v>17</v>
      </c>
      <c r="H5025" t="s" s="2">
        <v>19</v>
      </c>
      <c r="I5025" t="s" s="2">
        <v>19513</v>
      </c>
      <c r="J5025" t="s" s="2">
        <v>19514</v>
      </c>
      <c r="K5025" t="s" s="2">
        <v>22</v>
      </c>
      <c r="L5025" t="s" s="2">
        <v>22</v>
      </c>
      <c r="M5025" t="s" s="2">
        <v>22</v>
      </c>
    </row>
    <row r="5026" ht="25.0" customHeight="true">
      <c r="A5026" t="s" s="2">
        <v>13</v>
      </c>
      <c r="B5026" t="s" s="2">
        <f>HYPERLINK("http://ts.21cn.com/tousu/show/id/1368629","捷信金融")</f>
      </c>
      <c r="C5026" t="s" s="2">
        <v>15</v>
      </c>
      <c r="D5026" t="s" s="2">
        <v>16</v>
      </c>
      <c r="E5026" t="s" s="2">
        <v>17</v>
      </c>
      <c r="F5026" t="s" s="2">
        <f>HYPERLINK("http://ts.21cn.com/tousu/show/id/1368629","http://ts.21cn.com/tousu/show/id/1368629")</f>
      </c>
      <c r="G5026" t="s" s="2">
        <v>17</v>
      </c>
      <c r="H5026" t="s" s="2">
        <v>19</v>
      </c>
      <c r="I5026" t="s" s="2">
        <v>19516</v>
      </c>
      <c r="J5026" t="s" s="2">
        <v>19517</v>
      </c>
      <c r="K5026" t="s" s="2">
        <v>22</v>
      </c>
      <c r="L5026" t="s" s="2">
        <v>22</v>
      </c>
      <c r="M5026" t="s" s="2">
        <v>22</v>
      </c>
    </row>
    <row r="5027" ht="25.0" customHeight="true">
      <c r="A5027" t="s" s="2">
        <v>13</v>
      </c>
      <c r="B5027" t="s" s="2">
        <f>HYPERLINK("http://ts.21cn.com/tousu/show/id/1368625","51人品贷乱收费")</f>
      </c>
      <c r="C5027" t="s" s="2">
        <v>15</v>
      </c>
      <c r="D5027" t="s" s="2">
        <v>16</v>
      </c>
      <c r="E5027" t="s" s="2">
        <v>17</v>
      </c>
      <c r="F5027" t="s" s="2">
        <f>HYPERLINK("http://ts.21cn.com/tousu/show/id/1368625","http://ts.21cn.com/tousu/show/id/1368625")</f>
      </c>
      <c r="G5027" t="s" s="2">
        <v>17</v>
      </c>
      <c r="H5027" t="s" s="2">
        <v>19</v>
      </c>
      <c r="I5027" t="s" s="2">
        <v>19519</v>
      </c>
      <c r="J5027" t="s" s="2">
        <v>19520</v>
      </c>
      <c r="K5027" t="s" s="2">
        <v>22</v>
      </c>
      <c r="L5027" t="s" s="2">
        <v>22</v>
      </c>
      <c r="M5027" t="s" s="2">
        <v>22</v>
      </c>
    </row>
    <row r="5028" ht="25.0" customHeight="true">
      <c r="A5028" t="s" s="2">
        <v>13</v>
      </c>
      <c r="B5028" t="s" s="2">
        <f>HYPERLINK("http://ts.21cn.com/tousu/show/id/1368624","兴业银行第三方上门催收吓到父母，影响个人名誉")</f>
      </c>
      <c r="C5028" t="s" s="2">
        <v>15</v>
      </c>
      <c r="D5028" t="s" s="2">
        <v>16</v>
      </c>
      <c r="E5028" t="s" s="2">
        <v>17</v>
      </c>
      <c r="F5028" t="s" s="2">
        <f>HYPERLINK("http://ts.21cn.com/tousu/show/id/1368624","http://ts.21cn.com/tousu/show/id/1368624")</f>
      </c>
      <c r="G5028" t="s" s="2">
        <v>17</v>
      </c>
      <c r="H5028" t="s" s="2">
        <v>19</v>
      </c>
      <c r="I5028" t="s" s="2">
        <v>19523</v>
      </c>
      <c r="J5028" t="s" s="2">
        <v>19524</v>
      </c>
      <c r="K5028" t="s" s="2">
        <v>22</v>
      </c>
      <c r="L5028" t="s" s="2">
        <v>22</v>
      </c>
      <c r="M5028" t="s" s="2">
        <v>22</v>
      </c>
    </row>
    <row r="5029" ht="25.0" customHeight="true">
      <c r="A5029" t="s" s="2">
        <v>13</v>
      </c>
      <c r="B5029" t="s" s="2">
        <f>HYPERLINK("http://ts.21cn.com/tousu/show/id/1368623","工商银行催收问题")</f>
      </c>
      <c r="C5029" t="s" s="2">
        <v>15</v>
      </c>
      <c r="D5029" t="s" s="2">
        <v>16</v>
      </c>
      <c r="E5029" t="s" s="2">
        <v>17</v>
      </c>
      <c r="F5029" t="s" s="2">
        <f>HYPERLINK("http://ts.21cn.com/tousu/show/id/1368623","http://ts.21cn.com/tousu/show/id/1368623")</f>
      </c>
      <c r="G5029" t="s" s="2">
        <v>17</v>
      </c>
      <c r="H5029" t="s" s="2">
        <v>19</v>
      </c>
      <c r="I5029" t="s" s="2">
        <v>19527</v>
      </c>
      <c r="J5029" t="s" s="2">
        <v>19528</v>
      </c>
      <c r="K5029" t="s" s="2">
        <v>22</v>
      </c>
      <c r="L5029" t="s" s="2">
        <v>22</v>
      </c>
      <c r="M5029" t="s" s="2">
        <v>22</v>
      </c>
    </row>
    <row r="5030" ht="25.0" customHeight="true">
      <c r="A5030" t="s" s="2">
        <v>13</v>
      </c>
      <c r="B5030" t="s" s="2">
        <f>HYPERLINK("http://ts.21cn.com/tousu/show/id/1368622","暴力催收")</f>
      </c>
      <c r="C5030" t="s" s="2">
        <v>15</v>
      </c>
      <c r="D5030" t="s" s="2">
        <v>16</v>
      </c>
      <c r="E5030" t="s" s="2">
        <v>17</v>
      </c>
      <c r="F5030" t="s" s="2">
        <f>HYPERLINK("http://ts.21cn.com/tousu/show/id/1368622","http://ts.21cn.com/tousu/show/id/1368622")</f>
      </c>
      <c r="G5030" t="s" s="2">
        <v>17</v>
      </c>
      <c r="H5030" t="s" s="2">
        <v>19</v>
      </c>
      <c r="I5030" t="s" s="2">
        <v>19527</v>
      </c>
      <c r="J5030" t="s" s="2">
        <v>19530</v>
      </c>
      <c r="K5030" t="s" s="2">
        <v>22</v>
      </c>
      <c r="L5030" t="s" s="2">
        <v>22</v>
      </c>
      <c r="M5030" t="s" s="2">
        <v>22</v>
      </c>
    </row>
    <row r="5031" ht="25.0" customHeight="true">
      <c r="A5031" t="s" s="2">
        <v>13</v>
      </c>
      <c r="B5031" t="s" s="2">
        <f>HYPERLINK("http://ts.21cn.com/tousu/show/id/1368621","百度有钱花暴力催收")</f>
      </c>
      <c r="C5031" t="s" s="2">
        <v>15</v>
      </c>
      <c r="D5031" t="s" s="2">
        <v>16</v>
      </c>
      <c r="E5031" t="s" s="2">
        <v>17</v>
      </c>
      <c r="F5031" t="s" s="2">
        <f>HYPERLINK("http://ts.21cn.com/tousu/show/id/1368621","http://ts.21cn.com/tousu/show/id/1368621")</f>
      </c>
      <c r="G5031" t="s" s="2">
        <v>17</v>
      </c>
      <c r="H5031" t="s" s="2">
        <v>19</v>
      </c>
      <c r="I5031" t="s" s="2">
        <v>19532</v>
      </c>
      <c r="J5031" t="s" s="2">
        <v>19533</v>
      </c>
      <c r="K5031" t="s" s="2">
        <v>22</v>
      </c>
      <c r="L5031" t="s" s="2">
        <v>22</v>
      </c>
      <c r="M5031" t="s" s="2">
        <v>22</v>
      </c>
    </row>
    <row r="5032" ht="25.0" customHeight="true">
      <c r="A5032" t="s" s="2">
        <v>13</v>
      </c>
      <c r="B5032" t="s" s="2">
        <f>HYPERLINK("http://ts.21cn.com/tousu/show/id/1368620","尚德机构不给退款")</f>
      </c>
      <c r="C5032" t="s" s="2">
        <v>15</v>
      </c>
      <c r="D5032" t="s" s="2">
        <v>16</v>
      </c>
      <c r="E5032" t="s" s="2">
        <v>17</v>
      </c>
      <c r="F5032" t="s" s="2">
        <f>HYPERLINK("http://ts.21cn.com/tousu/show/id/1368620","http://ts.21cn.com/tousu/show/id/1368620")</f>
      </c>
      <c r="G5032" t="s" s="2">
        <v>17</v>
      </c>
      <c r="H5032" t="s" s="2">
        <v>19</v>
      </c>
      <c r="I5032" t="s" s="2">
        <v>19536</v>
      </c>
      <c r="J5032" t="s" s="2">
        <v>19537</v>
      </c>
      <c r="K5032" t="s" s="2">
        <v>22</v>
      </c>
      <c r="L5032" t="s" s="2">
        <v>22</v>
      </c>
      <c r="M5032" t="s" s="2">
        <v>22</v>
      </c>
    </row>
    <row r="5033" ht="25.0" customHeight="true">
      <c r="A5033" t="s" s="2">
        <v>13</v>
      </c>
      <c r="B5033" t="s" s="2">
        <f>HYPERLINK("http://ts.21cn.com/tousu/show/id/1368617","你我贷暴力催收高利贷")</f>
      </c>
      <c r="C5033" t="s" s="2">
        <v>15</v>
      </c>
      <c r="D5033" t="s" s="2">
        <v>16</v>
      </c>
      <c r="E5033" t="s" s="2">
        <v>17</v>
      </c>
      <c r="F5033" t="s" s="2">
        <f>HYPERLINK("http://ts.21cn.com/tousu/show/id/1368617","http://ts.21cn.com/tousu/show/id/1368617")</f>
      </c>
      <c r="G5033" t="s" s="2">
        <v>17</v>
      </c>
      <c r="H5033" t="s" s="2">
        <v>19</v>
      </c>
      <c r="I5033" t="s" s="2">
        <v>19539</v>
      </c>
      <c r="J5033" t="s" s="2">
        <v>19540</v>
      </c>
      <c r="K5033" t="s" s="2">
        <v>22</v>
      </c>
      <c r="L5033" t="s" s="2">
        <v>22</v>
      </c>
      <c r="M5033" t="s" s="2">
        <v>22</v>
      </c>
    </row>
    <row r="5034" ht="25.0" customHeight="true">
      <c r="A5034" t="s" s="2">
        <v>13</v>
      </c>
      <c r="B5034" t="s" s="2">
        <f>HYPERLINK("http://ts.21cn.com/tousu/show/id/1368618","京东金条逾期第三方暴力催收威胁恐吓")</f>
      </c>
      <c r="C5034" t="s" s="2">
        <v>15</v>
      </c>
      <c r="D5034" t="s" s="2">
        <v>16</v>
      </c>
      <c r="E5034" t="s" s="2">
        <v>17</v>
      </c>
      <c r="F5034" t="s" s="2">
        <f>HYPERLINK("http://ts.21cn.com/tousu/show/id/1368618","http://ts.21cn.com/tousu/show/id/1368618")</f>
      </c>
      <c r="G5034" t="s" s="2">
        <v>17</v>
      </c>
      <c r="H5034" t="s" s="2">
        <v>19</v>
      </c>
      <c r="I5034" t="s" s="2">
        <v>19543</v>
      </c>
      <c r="J5034" t="s" s="2">
        <v>19544</v>
      </c>
      <c r="K5034" t="s" s="2">
        <v>22</v>
      </c>
      <c r="L5034" t="s" s="2">
        <v>22</v>
      </c>
      <c r="M5034" t="s" s="2">
        <v>22</v>
      </c>
    </row>
    <row r="5035" ht="25.0" customHeight="true">
      <c r="A5035" t="s" s="2">
        <v>13</v>
      </c>
      <c r="B5035" t="s" s="2">
        <f>HYPERLINK("http://ts.21cn.com/tousu/show/id/1368619","饿了么平台无具体理由永久限制接单")</f>
      </c>
      <c r="C5035" t="s" s="2">
        <v>15</v>
      </c>
      <c r="D5035" t="s" s="2">
        <v>16</v>
      </c>
      <c r="E5035" t="s" s="2">
        <v>17</v>
      </c>
      <c r="F5035" t="s" s="2">
        <f>HYPERLINK("http://ts.21cn.com/tousu/show/id/1368619","http://ts.21cn.com/tousu/show/id/1368619")</f>
      </c>
      <c r="G5035" t="s" s="2">
        <v>17</v>
      </c>
      <c r="H5035" t="s" s="2">
        <v>19</v>
      </c>
      <c r="I5035" t="s" s="2">
        <v>19547</v>
      </c>
      <c r="J5035" t="s" s="2">
        <v>19548</v>
      </c>
      <c r="K5035" t="s" s="2">
        <v>22</v>
      </c>
      <c r="L5035" t="s" s="2">
        <v>22</v>
      </c>
      <c r="M5035" t="s" s="2">
        <v>22</v>
      </c>
    </row>
    <row r="5036" ht="25.0" customHeight="true">
      <c r="A5036" t="s" s="2">
        <v>13</v>
      </c>
      <c r="B5036" t="s" s="2">
        <f>HYPERLINK("http://ts.21cn.com/tousu/show/id/1368615","信用管家，畅捷支付，薪意贷")</f>
      </c>
      <c r="C5036" t="s" s="2">
        <v>15</v>
      </c>
      <c r="D5036" t="s" s="2">
        <v>16</v>
      </c>
      <c r="E5036" t="s" s="2">
        <v>17</v>
      </c>
      <c r="F5036" t="s" s="2">
        <f>HYPERLINK("http://ts.21cn.com/tousu/show/id/1368615","http://ts.21cn.com/tousu/show/id/1368615")</f>
      </c>
      <c r="G5036" t="s" s="2">
        <v>17</v>
      </c>
      <c r="H5036" t="s" s="2">
        <v>19</v>
      </c>
      <c r="I5036" t="s" s="2">
        <v>19551</v>
      </c>
      <c r="J5036" t="s" s="2">
        <v>19552</v>
      </c>
      <c r="K5036" t="s" s="2">
        <v>22</v>
      </c>
      <c r="L5036" t="s" s="2">
        <v>22</v>
      </c>
      <c r="M5036" t="s" s="2">
        <v>22</v>
      </c>
    </row>
    <row r="5037" ht="25.0" customHeight="true">
      <c r="A5037" t="s" s="2">
        <v>13</v>
      </c>
      <c r="B5037" t="s" s="2">
        <f>HYPERLINK("http://ts.21cn.com/tousu/show/id/1368613","诈骗")</f>
      </c>
      <c r="C5037" t="s" s="2">
        <v>15</v>
      </c>
      <c r="D5037" t="s" s="2">
        <v>16</v>
      </c>
      <c r="E5037" t="s" s="2">
        <v>17</v>
      </c>
      <c r="F5037" t="s" s="2">
        <f>HYPERLINK("http://ts.21cn.com/tousu/show/id/1368613","http://ts.21cn.com/tousu/show/id/1368613")</f>
      </c>
      <c r="G5037" t="s" s="2">
        <v>17</v>
      </c>
      <c r="H5037" t="s" s="2">
        <v>19</v>
      </c>
      <c r="I5037" t="s" s="2">
        <v>19555</v>
      </c>
      <c r="J5037" t="s" s="2">
        <v>19556</v>
      </c>
      <c r="K5037" t="s" s="2">
        <v>22</v>
      </c>
      <c r="L5037" t="s" s="2">
        <v>22</v>
      </c>
      <c r="M5037" t="s" s="2">
        <v>22</v>
      </c>
    </row>
    <row r="5038" ht="25.0" customHeight="true">
      <c r="A5038" t="s" s="2">
        <v>13</v>
      </c>
      <c r="B5038" t="s" s="2">
        <f>HYPERLINK("http://ts.21cn.com/tousu/show/id/1368612","微信恶意锁定支付功能")</f>
      </c>
      <c r="C5038" t="s" s="2">
        <v>15</v>
      </c>
      <c r="D5038" t="s" s="2">
        <v>16</v>
      </c>
      <c r="E5038" t="s" s="2">
        <v>17</v>
      </c>
      <c r="F5038" t="s" s="2">
        <f>HYPERLINK("http://ts.21cn.com/tousu/show/id/1368612","http://ts.21cn.com/tousu/show/id/1368612")</f>
      </c>
      <c r="G5038" t="s" s="2">
        <v>17</v>
      </c>
      <c r="H5038" t="s" s="2">
        <v>19</v>
      </c>
      <c r="I5038" t="s" s="2">
        <v>19559</v>
      </c>
      <c r="J5038" t="s" s="2">
        <v>19560</v>
      </c>
      <c r="K5038" t="s" s="2">
        <v>22</v>
      </c>
      <c r="L5038" t="s" s="2">
        <v>22</v>
      </c>
      <c r="M5038" t="s" s="2">
        <v>22</v>
      </c>
    </row>
    <row r="5039" ht="25.0" customHeight="true">
      <c r="A5039" t="s" s="2">
        <v>13</v>
      </c>
      <c r="B5039" t="s" s="2">
        <f>HYPERLINK("http://ts.21cn.com/tousu/show/id/1368611","丰趣海淘拖欠员工工资，强制执行也没用")</f>
      </c>
      <c r="C5039" t="s" s="2">
        <v>15</v>
      </c>
      <c r="D5039" t="s" s="2">
        <v>16</v>
      </c>
      <c r="E5039" t="s" s="2">
        <v>17</v>
      </c>
      <c r="F5039" t="s" s="2">
        <f>HYPERLINK("http://ts.21cn.com/tousu/show/id/1368611","http://ts.21cn.com/tousu/show/id/1368611")</f>
      </c>
      <c r="G5039" t="s" s="2">
        <v>17</v>
      </c>
      <c r="H5039" t="s" s="2">
        <v>19</v>
      </c>
      <c r="I5039" t="s" s="2">
        <v>19563</v>
      </c>
      <c r="J5039" t="s" s="2">
        <v>19564</v>
      </c>
      <c r="K5039" t="s" s="2">
        <v>22</v>
      </c>
      <c r="L5039" t="s" s="2">
        <v>22</v>
      </c>
      <c r="M5039" t="s" s="2">
        <v>22</v>
      </c>
    </row>
    <row r="5040" ht="25.0" customHeight="true">
      <c r="A5040" t="s" s="2">
        <v>13</v>
      </c>
      <c r="B5040" t="s" s="2">
        <f>HYPERLINK("http://ts.21cn.com/tousu/show/id/1368609","人人贷借款乱收费")</f>
      </c>
      <c r="C5040" t="s" s="2">
        <v>15</v>
      </c>
      <c r="D5040" t="s" s="2">
        <v>16</v>
      </c>
      <c r="E5040" t="s" s="2">
        <v>17</v>
      </c>
      <c r="F5040" t="s" s="2">
        <f>HYPERLINK("http://ts.21cn.com/tousu/show/id/1368609","http://ts.21cn.com/tousu/show/id/1368609")</f>
      </c>
      <c r="G5040" t="s" s="2">
        <v>17</v>
      </c>
      <c r="H5040" t="s" s="2">
        <v>19</v>
      </c>
      <c r="I5040" t="s" s="2">
        <v>19567</v>
      </c>
      <c r="J5040" t="s" s="2">
        <v>19568</v>
      </c>
      <c r="K5040" t="s" s="2">
        <v>22</v>
      </c>
      <c r="L5040" t="s" s="2">
        <v>22</v>
      </c>
      <c r="M5040" t="s" s="2">
        <v>22</v>
      </c>
    </row>
    <row r="5041" ht="25.0" customHeight="true">
      <c r="A5041" t="s" s="2">
        <v>13</v>
      </c>
      <c r="B5041" t="s" s="2">
        <f>HYPERLINK("http://ts.21cn.com/tousu/show/id/1368608","你我贷变相高利贷收取服务费管理费，年息高达61%")</f>
      </c>
      <c r="C5041" t="s" s="2">
        <v>15</v>
      </c>
      <c r="D5041" t="s" s="2">
        <v>16</v>
      </c>
      <c r="E5041" t="s" s="2">
        <v>17</v>
      </c>
      <c r="F5041" t="s" s="2">
        <f>HYPERLINK("http://ts.21cn.com/tousu/show/id/1368608","http://ts.21cn.com/tousu/show/id/1368608")</f>
      </c>
      <c r="G5041" t="s" s="2">
        <v>17</v>
      </c>
      <c r="H5041" t="s" s="2">
        <v>19</v>
      </c>
      <c r="I5041" t="s" s="2">
        <v>19571</v>
      </c>
      <c r="J5041" t="s" s="2">
        <v>19572</v>
      </c>
      <c r="K5041" t="s" s="2">
        <v>22</v>
      </c>
      <c r="L5041" t="s" s="2">
        <v>22</v>
      </c>
      <c r="M5041" t="s" s="2">
        <v>22</v>
      </c>
    </row>
    <row r="5042" ht="25.0" customHeight="true">
      <c r="A5042" t="s" s="2">
        <v>13</v>
      </c>
      <c r="B5042" t="s" s="2">
        <f>HYPERLINK("http://ts.21cn.com/tousu/show/id/1368607","钱站暴力催收如同黑社会的手段")</f>
      </c>
      <c r="C5042" t="s" s="2">
        <v>15</v>
      </c>
      <c r="D5042" t="s" s="2">
        <v>16</v>
      </c>
      <c r="E5042" t="s" s="2">
        <v>17</v>
      </c>
      <c r="F5042" t="s" s="2">
        <f>HYPERLINK("http://ts.21cn.com/tousu/show/id/1368607","http://ts.21cn.com/tousu/show/id/1368607")</f>
      </c>
      <c r="G5042" t="s" s="2">
        <v>17</v>
      </c>
      <c r="H5042" t="s" s="2">
        <v>19</v>
      </c>
      <c r="I5042" t="s" s="2">
        <v>19575</v>
      </c>
      <c r="J5042" t="s" s="2">
        <v>19576</v>
      </c>
      <c r="K5042" t="s" s="2">
        <v>22</v>
      </c>
      <c r="L5042" t="s" s="2">
        <v>22</v>
      </c>
      <c r="M5042" t="s" s="2">
        <v>22</v>
      </c>
    </row>
    <row r="5043" ht="25.0" customHeight="true">
      <c r="A5043" t="s" s="2">
        <v>13</v>
      </c>
      <c r="B5043" t="s" s="2">
        <f>HYPERLINK("http://ts.21cn.com/tousu/show/id/1368606","私自扣钱")</f>
      </c>
      <c r="C5043" t="s" s="2">
        <v>15</v>
      </c>
      <c r="D5043" t="s" s="2">
        <v>16</v>
      </c>
      <c r="E5043" t="s" s="2">
        <v>17</v>
      </c>
      <c r="F5043" t="s" s="2">
        <f>HYPERLINK("http://ts.21cn.com/tousu/show/id/1368606","http://ts.21cn.com/tousu/show/id/1368606")</f>
      </c>
      <c r="G5043" t="s" s="2">
        <v>17</v>
      </c>
      <c r="H5043" t="s" s="2">
        <v>19</v>
      </c>
      <c r="I5043" t="s" s="2">
        <v>19579</v>
      </c>
      <c r="J5043" t="s" s="2">
        <v>19580</v>
      </c>
      <c r="K5043" t="s" s="2">
        <v>22</v>
      </c>
      <c r="L5043" t="s" s="2">
        <v>22</v>
      </c>
      <c r="M5043" t="s" s="2">
        <v>22</v>
      </c>
    </row>
    <row r="5044" ht="25.0" customHeight="true">
      <c r="A5044" t="s" s="2">
        <v>13</v>
      </c>
      <c r="B5044" t="s" s="2">
        <f>HYPERLINK("http://ts.21cn.com/tousu/show/id/1368605","新橙优品未经本人同意私自扣款")</f>
      </c>
      <c r="C5044" t="s" s="2">
        <v>15</v>
      </c>
      <c r="D5044" t="s" s="2">
        <v>16</v>
      </c>
      <c r="E5044" t="s" s="2">
        <v>17</v>
      </c>
      <c r="F5044" t="s" s="2">
        <f>HYPERLINK("http://ts.21cn.com/tousu/show/id/1368605","http://ts.21cn.com/tousu/show/id/1368605")</f>
      </c>
      <c r="G5044" t="s" s="2">
        <v>17</v>
      </c>
      <c r="H5044" t="s" s="2">
        <v>19</v>
      </c>
      <c r="I5044" t="s" s="2">
        <v>19583</v>
      </c>
      <c r="J5044" t="s" s="2">
        <v>19584</v>
      </c>
      <c r="K5044" t="s" s="2">
        <v>22</v>
      </c>
      <c r="L5044" t="s" s="2">
        <v>22</v>
      </c>
      <c r="M5044" t="s" s="2">
        <v>22</v>
      </c>
    </row>
    <row r="5045" ht="25.0" customHeight="true">
      <c r="A5045" t="s" s="2">
        <v>13</v>
      </c>
      <c r="B5045" t="s" s="2">
        <f>HYPERLINK("http://ts.21cn.com/tousu/show/id/1368604","暴利催收")</f>
      </c>
      <c r="C5045" t="s" s="2">
        <v>15</v>
      </c>
      <c r="D5045" t="s" s="2">
        <v>16</v>
      </c>
      <c r="E5045" t="s" s="2">
        <v>17</v>
      </c>
      <c r="F5045" t="s" s="2">
        <f>HYPERLINK("http://ts.21cn.com/tousu/show/id/1368604","http://ts.21cn.com/tousu/show/id/1368604")</f>
      </c>
      <c r="G5045" t="s" s="2">
        <v>17</v>
      </c>
      <c r="H5045" t="s" s="2">
        <v>19</v>
      </c>
      <c r="I5045" t="s" s="2">
        <v>19587</v>
      </c>
      <c r="J5045" t="s" s="2">
        <v>19588</v>
      </c>
      <c r="K5045" t="s" s="2">
        <v>22</v>
      </c>
      <c r="L5045" t="s" s="2">
        <v>22</v>
      </c>
      <c r="M5045" t="s" s="2">
        <v>22</v>
      </c>
    </row>
    <row r="5046" ht="25.0" customHeight="true">
      <c r="A5046" t="s" s="2">
        <v>13</v>
      </c>
      <c r="B5046" t="s" s="2">
        <f>HYPERLINK("http://ts.21cn.com/tousu/show/id/1368603","屌丝分期，悦分期套路贷")</f>
      </c>
      <c r="C5046" t="s" s="2">
        <v>15</v>
      </c>
      <c r="D5046" t="s" s="2">
        <v>16</v>
      </c>
      <c r="E5046" t="s" s="2">
        <v>17</v>
      </c>
      <c r="F5046" t="s" s="2">
        <f>HYPERLINK("http://ts.21cn.com/tousu/show/id/1368603","http://ts.21cn.com/tousu/show/id/1368603")</f>
      </c>
      <c r="G5046" t="s" s="2">
        <v>17</v>
      </c>
      <c r="H5046" t="s" s="2">
        <v>19</v>
      </c>
      <c r="I5046" t="s" s="2">
        <v>19591</v>
      </c>
      <c r="J5046" t="s" s="2">
        <v>19592</v>
      </c>
      <c r="K5046" t="s" s="2">
        <v>22</v>
      </c>
      <c r="L5046" t="s" s="2">
        <v>22</v>
      </c>
      <c r="M5046" t="s" s="2">
        <v>22</v>
      </c>
    </row>
    <row r="5047" ht="25.0" customHeight="true">
      <c r="A5047" t="s" s="2">
        <v>13</v>
      </c>
      <c r="B5047" t="s" s="2">
        <f>HYPERLINK("http://ts.21cn.com/tousu/show/id/1368600","广发银行违法暴力催收")</f>
      </c>
      <c r="C5047" t="s" s="2">
        <v>15</v>
      </c>
      <c r="D5047" t="s" s="2">
        <v>16</v>
      </c>
      <c r="E5047" t="s" s="2">
        <v>17</v>
      </c>
      <c r="F5047" t="s" s="2">
        <f>HYPERLINK("http://ts.21cn.com/tousu/show/id/1368600","http://ts.21cn.com/tousu/show/id/1368600")</f>
      </c>
      <c r="G5047" t="s" s="2">
        <v>17</v>
      </c>
      <c r="H5047" t="s" s="2">
        <v>19</v>
      </c>
      <c r="I5047" t="s" s="2">
        <v>19595</v>
      </c>
      <c r="J5047" t="s" s="2">
        <v>19596</v>
      </c>
      <c r="K5047" t="s" s="2">
        <v>22</v>
      </c>
      <c r="L5047" t="s" s="2">
        <v>22</v>
      </c>
      <c r="M5047" t="s" s="2">
        <v>22</v>
      </c>
    </row>
    <row r="5048" ht="25.0" customHeight="true">
      <c r="A5048" t="s" s="2">
        <v>13</v>
      </c>
      <c r="B5048" t="s" s="2">
        <f>HYPERLINK("http://ts.21cn.com/tousu/show/id/1368601","通联支付违规提供支付渠道")</f>
      </c>
      <c r="C5048" t="s" s="2">
        <v>15</v>
      </c>
      <c r="D5048" t="s" s="2">
        <v>16</v>
      </c>
      <c r="E5048" t="s" s="2">
        <v>17</v>
      </c>
      <c r="F5048" t="s" s="2">
        <f>HYPERLINK("http://ts.21cn.com/tousu/show/id/1368601","http://ts.21cn.com/tousu/show/id/1368601")</f>
      </c>
      <c r="G5048" t="s" s="2">
        <v>17</v>
      </c>
      <c r="H5048" t="s" s="2">
        <v>19</v>
      </c>
      <c r="I5048" t="s" s="2">
        <v>19599</v>
      </c>
      <c r="J5048" t="s" s="2">
        <v>19600</v>
      </c>
      <c r="K5048" t="s" s="2">
        <v>22</v>
      </c>
      <c r="L5048" t="s" s="2">
        <v>22</v>
      </c>
      <c r="M5048" t="s" s="2">
        <v>22</v>
      </c>
    </row>
    <row r="5049" ht="25.0" customHeight="true">
      <c r="A5049" t="s" s="2">
        <v>13</v>
      </c>
      <c r="B5049" t="s" s="2">
        <f>HYPERLINK("http://ts.21cn.com/tousu/show/id/1368602","百度有钱花雇佣黑社会暴力催收")</f>
      </c>
      <c r="C5049" t="s" s="2">
        <v>15</v>
      </c>
      <c r="D5049" t="s" s="2">
        <v>16</v>
      </c>
      <c r="E5049" t="s" s="2">
        <v>17</v>
      </c>
      <c r="F5049" t="s" s="2">
        <f>HYPERLINK("http://ts.21cn.com/tousu/show/id/1368602","http://ts.21cn.com/tousu/show/id/1368602")</f>
      </c>
      <c r="G5049" t="s" s="2">
        <v>17</v>
      </c>
      <c r="H5049" t="s" s="2">
        <v>19</v>
      </c>
      <c r="I5049" t="s" s="2">
        <v>19603</v>
      </c>
      <c r="J5049" t="s" s="2">
        <v>19604</v>
      </c>
      <c r="K5049" t="s" s="2">
        <v>22</v>
      </c>
      <c r="L5049" t="s" s="2">
        <v>22</v>
      </c>
      <c r="M5049" t="s" s="2">
        <v>22</v>
      </c>
    </row>
    <row r="5050" ht="25.0" customHeight="true">
      <c r="A5050" t="s" s="2">
        <v>13</v>
      </c>
      <c r="B5050" t="s" s="2">
        <f>HYPERLINK("http://ts.21cn.com/tousu/show/id/1368599","微粒贷违法半夜骚扰")</f>
      </c>
      <c r="C5050" t="s" s="2">
        <v>15</v>
      </c>
      <c r="D5050" t="s" s="2">
        <v>16</v>
      </c>
      <c r="E5050" t="s" s="2">
        <v>17</v>
      </c>
      <c r="F5050" t="s" s="2">
        <f>HYPERLINK("http://ts.21cn.com/tousu/show/id/1368599","http://ts.21cn.com/tousu/show/id/1368599")</f>
      </c>
      <c r="G5050" t="s" s="2">
        <v>17</v>
      </c>
      <c r="H5050" t="s" s="2">
        <v>19</v>
      </c>
      <c r="I5050" t="s" s="2">
        <v>19607</v>
      </c>
      <c r="J5050" t="s" s="2">
        <v>19608</v>
      </c>
      <c r="K5050" t="s" s="2">
        <v>22</v>
      </c>
      <c r="L5050" t="s" s="2">
        <v>22</v>
      </c>
      <c r="M5050" t="s" s="2">
        <v>22</v>
      </c>
    </row>
    <row r="5051" ht="25.0" customHeight="true">
      <c r="A5051" t="s" s="2">
        <v>13</v>
      </c>
      <c r="B5051" t="s" s="2">
        <f>HYPERLINK("http://ts.21cn.com/tousu/show/id/1368597","拍拍贷爆通讯录")</f>
      </c>
      <c r="C5051" t="s" s="2">
        <v>15</v>
      </c>
      <c r="D5051" t="s" s="2">
        <v>16</v>
      </c>
      <c r="E5051" t="s" s="2">
        <v>17</v>
      </c>
      <c r="F5051" t="s" s="2">
        <f>HYPERLINK("http://ts.21cn.com/tousu/show/id/1368597","http://ts.21cn.com/tousu/show/id/1368597")</f>
      </c>
      <c r="G5051" t="s" s="2">
        <v>17</v>
      </c>
      <c r="H5051" t="s" s="2">
        <v>19</v>
      </c>
      <c r="I5051" t="s" s="2">
        <v>19611</v>
      </c>
      <c r="J5051" t="s" s="2">
        <v>19612</v>
      </c>
      <c r="K5051" t="s" s="2">
        <v>22</v>
      </c>
      <c r="L5051" t="s" s="2">
        <v>22</v>
      </c>
      <c r="M5051" t="s" s="2">
        <v>22</v>
      </c>
    </row>
    <row r="5052" ht="25.0" customHeight="true">
      <c r="A5052" t="s" s="2">
        <v>13</v>
      </c>
      <c r="B5052" t="s" s="2">
        <f>HYPERLINK("http://ts.21cn.com/tousu/show/id/1368598","月光侠分期高利贷，骚扰爆通讯录")</f>
      </c>
      <c r="C5052" t="s" s="2">
        <v>15</v>
      </c>
      <c r="D5052" t="s" s="2">
        <v>16</v>
      </c>
      <c r="E5052" t="s" s="2">
        <v>17</v>
      </c>
      <c r="F5052" t="s" s="2">
        <f>HYPERLINK("http://ts.21cn.com/tousu/show/id/1368598","http://ts.21cn.com/tousu/show/id/1368598")</f>
      </c>
      <c r="G5052" t="s" s="2">
        <v>17</v>
      </c>
      <c r="H5052" t="s" s="2">
        <v>19</v>
      </c>
      <c r="I5052" t="s" s="2">
        <v>19615</v>
      </c>
      <c r="J5052" t="s" s="2">
        <v>19616</v>
      </c>
      <c r="K5052" t="s" s="2">
        <v>22</v>
      </c>
      <c r="L5052" t="s" s="2">
        <v>22</v>
      </c>
      <c r="M5052" t="s" s="2">
        <v>22</v>
      </c>
    </row>
    <row r="5053" ht="25.0" customHeight="true">
      <c r="A5053" t="s" s="2">
        <v>13</v>
      </c>
      <c r="B5053" t="s" s="2">
        <f>HYPERLINK("http://ts.21cn.com/tousu/show/id/1368596","闪银速贷不合理的担保费")</f>
      </c>
      <c r="C5053" t="s" s="2">
        <v>15</v>
      </c>
      <c r="D5053" t="s" s="2">
        <v>16</v>
      </c>
      <c r="E5053" t="s" s="2">
        <v>17</v>
      </c>
      <c r="F5053" t="s" s="2">
        <f>HYPERLINK("http://ts.21cn.com/tousu/show/id/1368596","http://ts.21cn.com/tousu/show/id/1368596")</f>
      </c>
      <c r="G5053" t="s" s="2">
        <v>17</v>
      </c>
      <c r="H5053" t="s" s="2">
        <v>19</v>
      </c>
      <c r="I5053" t="s" s="2">
        <v>19619</v>
      </c>
      <c r="J5053" t="s" s="2">
        <v>19620</v>
      </c>
      <c r="K5053" t="s" s="2">
        <v>22</v>
      </c>
      <c r="L5053" t="s" s="2">
        <v>22</v>
      </c>
      <c r="M5053" t="s" s="2">
        <v>22</v>
      </c>
    </row>
    <row r="5054" ht="25.0" customHeight="true">
      <c r="A5054" t="s" s="2">
        <v>13</v>
      </c>
      <c r="B5054" t="s" s="2">
        <f>HYPERLINK("http://ts.21cn.com/tousu/show/id/1368595","及贷泄露隐私恐吓威胁")</f>
      </c>
      <c r="C5054" t="s" s="2">
        <v>15</v>
      </c>
      <c r="D5054" t="s" s="2">
        <v>16</v>
      </c>
      <c r="E5054" t="s" s="2">
        <v>17</v>
      </c>
      <c r="F5054" t="s" s="2">
        <f>HYPERLINK("http://ts.21cn.com/tousu/show/id/1368595","http://ts.21cn.com/tousu/show/id/1368595")</f>
      </c>
      <c r="G5054" t="s" s="2">
        <v>17</v>
      </c>
      <c r="H5054" t="s" s="2">
        <v>19</v>
      </c>
      <c r="I5054" t="s" s="2">
        <v>19623</v>
      </c>
      <c r="J5054" t="s" s="2">
        <v>19624</v>
      </c>
      <c r="K5054" t="s" s="2">
        <v>22</v>
      </c>
      <c r="L5054" t="s" s="2">
        <v>22</v>
      </c>
      <c r="M5054" t="s" s="2">
        <v>22</v>
      </c>
    </row>
    <row r="5055" ht="25.0" customHeight="true">
      <c r="A5055" t="s" s="2">
        <v>13</v>
      </c>
      <c r="B5055" t="s" s="2">
        <f>HYPERLINK("http://ts.21cn.com/tousu/show/id/1368561","有品有鱼app让退款，这个是在微信群里被忽悠去买会员的")</f>
      </c>
      <c r="C5055" t="s" s="2">
        <v>15</v>
      </c>
      <c r="D5055" t="s" s="2">
        <v>16</v>
      </c>
      <c r="E5055" t="s" s="2">
        <v>17</v>
      </c>
      <c r="F5055" t="s" s="2">
        <f>HYPERLINK("http://ts.21cn.com/tousu/show/id/1368561","http://ts.21cn.com/tousu/show/id/1368561")</f>
      </c>
      <c r="G5055" t="s" s="2">
        <v>17</v>
      </c>
      <c r="H5055" t="s" s="2">
        <v>19</v>
      </c>
      <c r="I5055" t="s" s="2">
        <v>19627</v>
      </c>
      <c r="J5055" t="s" s="2">
        <v>19628</v>
      </c>
      <c r="K5055" t="s" s="2">
        <v>22</v>
      </c>
      <c r="L5055" t="s" s="2">
        <v>22</v>
      </c>
      <c r="M5055" t="s" s="2">
        <v>22</v>
      </c>
    </row>
    <row r="5056" ht="25.0" customHeight="true">
      <c r="A5056" t="s" s="2">
        <v>13</v>
      </c>
      <c r="B5056" t="s" s="2">
        <f>HYPERLINK("http://ts.21cn.com/tousu/show/id/1368594","现金巴士借款2000收318砍头息")</f>
      </c>
      <c r="C5056" t="s" s="2">
        <v>52</v>
      </c>
      <c r="D5056" t="s" s="2">
        <v>16</v>
      </c>
      <c r="E5056" t="s" s="2">
        <v>17</v>
      </c>
      <c r="F5056" t="s" s="2">
        <f>HYPERLINK("http://ts.21cn.com/tousu/show/id/1368594","http://ts.21cn.com/tousu/show/id/1368594")</f>
      </c>
      <c r="G5056" t="s" s="2">
        <v>17</v>
      </c>
      <c r="H5056" t="s" s="2">
        <v>19</v>
      </c>
      <c r="I5056" t="s" s="2">
        <v>19631</v>
      </c>
      <c r="J5056" t="s" s="2">
        <v>19632</v>
      </c>
      <c r="K5056" t="s" s="2">
        <v>22</v>
      </c>
      <c r="L5056" t="s" s="2">
        <v>22</v>
      </c>
      <c r="M5056" t="s" s="2">
        <v>22</v>
      </c>
    </row>
    <row r="5057" ht="25.0" customHeight="true">
      <c r="A5057" t="s" s="2">
        <v>13</v>
      </c>
      <c r="B5057" t="s" s="2">
        <f>HYPERLINK("http://ts.21cn.com/tousu/show/id/1368563","合同欺诈，私自扣款")</f>
      </c>
      <c r="C5057" t="s" s="2">
        <v>15</v>
      </c>
      <c r="D5057" t="s" s="2">
        <v>16</v>
      </c>
      <c r="E5057" t="s" s="2">
        <v>17</v>
      </c>
      <c r="F5057" t="s" s="2">
        <f>HYPERLINK("http://ts.21cn.com/tousu/show/id/1368563","http://ts.21cn.com/tousu/show/id/1368563")</f>
      </c>
      <c r="G5057" t="s" s="2">
        <v>17</v>
      </c>
      <c r="H5057" t="s" s="2">
        <v>19</v>
      </c>
      <c r="I5057" t="s" s="2">
        <v>19634</v>
      </c>
      <c r="J5057" t="s" s="2">
        <v>19635</v>
      </c>
      <c r="K5057" t="s" s="2">
        <v>22</v>
      </c>
      <c r="L5057" t="s" s="2">
        <v>22</v>
      </c>
      <c r="M5057" t="s" s="2">
        <v>22</v>
      </c>
    </row>
    <row r="5058" ht="25.0" customHeight="true">
      <c r="A5058" t="s" s="2">
        <v>13</v>
      </c>
      <c r="B5058" t="s" s="2">
        <f>HYPERLINK("http://ts.21cn.com/tousu/show/id/1368593","万惠及贷暴力催收骚扰通讯录、不停止不道歉休想这边还钱")</f>
      </c>
      <c r="C5058" t="s" s="2">
        <v>15</v>
      </c>
      <c r="D5058" t="s" s="2">
        <v>16</v>
      </c>
      <c r="E5058" t="s" s="2">
        <v>17</v>
      </c>
      <c r="F5058" t="s" s="2">
        <f>HYPERLINK("http://ts.21cn.com/tousu/show/id/1368593","http://ts.21cn.com/tousu/show/id/1368593")</f>
      </c>
      <c r="G5058" t="s" s="2">
        <v>17</v>
      </c>
      <c r="H5058" t="s" s="2">
        <v>19</v>
      </c>
      <c r="I5058" t="s" s="2">
        <v>19638</v>
      </c>
      <c r="J5058" t="s" s="2">
        <v>19639</v>
      </c>
      <c r="K5058" t="s" s="2">
        <v>22</v>
      </c>
      <c r="L5058" t="s" s="2">
        <v>22</v>
      </c>
      <c r="M5058" t="s" s="2">
        <v>22</v>
      </c>
    </row>
    <row r="5059" ht="25.0" customHeight="true">
      <c r="A5059" t="s" s="2">
        <v>13</v>
      </c>
      <c r="B5059" t="s" s="2">
        <f>HYPERLINK("http://ts.21cn.com/tousu/show/id/1368549","还到暴力催收")</f>
      </c>
      <c r="C5059" t="s" s="2">
        <v>15</v>
      </c>
      <c r="D5059" t="s" s="2">
        <v>16</v>
      </c>
      <c r="E5059" t="s" s="2">
        <v>17</v>
      </c>
      <c r="F5059" t="s" s="2">
        <f>HYPERLINK("http://ts.21cn.com/tousu/show/id/1368549","http://ts.21cn.com/tousu/show/id/1368549")</f>
      </c>
      <c r="G5059" t="s" s="2">
        <v>17</v>
      </c>
      <c r="H5059" t="s" s="2">
        <v>19</v>
      </c>
      <c r="I5059" t="s" s="2">
        <v>19642</v>
      </c>
      <c r="J5059" t="s" s="2">
        <v>19643</v>
      </c>
      <c r="K5059" t="s" s="2">
        <v>22</v>
      </c>
      <c r="L5059" t="s" s="2">
        <v>22</v>
      </c>
      <c r="M5059" t="s" s="2">
        <v>22</v>
      </c>
    </row>
    <row r="5060" ht="25.0" customHeight="true">
      <c r="A5060" t="s" s="2">
        <v>13</v>
      </c>
      <c r="B5060" t="s" s="2">
        <f>HYPERLINK("http://ts.21cn.com/tousu/show/id/1368592","在淘集集的2000元保证金退不了")</f>
      </c>
      <c r="C5060" t="s" s="2">
        <v>15</v>
      </c>
      <c r="D5060" t="s" s="2">
        <v>16</v>
      </c>
      <c r="E5060" t="s" s="2">
        <v>17</v>
      </c>
      <c r="F5060" t="s" s="2">
        <f>HYPERLINK("http://ts.21cn.com/tousu/show/id/1368592","http://ts.21cn.com/tousu/show/id/1368592")</f>
      </c>
      <c r="G5060" t="s" s="2">
        <v>17</v>
      </c>
      <c r="H5060" t="s" s="2">
        <v>19</v>
      </c>
      <c r="I5060" t="s" s="2">
        <v>19645</v>
      </c>
      <c r="J5060" t="s" s="2">
        <v>19646</v>
      </c>
      <c r="K5060" t="s" s="2">
        <v>22</v>
      </c>
      <c r="L5060" t="s" s="2">
        <v>22</v>
      </c>
      <c r="M5060" t="s" s="2">
        <v>22</v>
      </c>
    </row>
    <row r="5061" ht="25.0" customHeight="true">
      <c r="A5061" t="s" s="2">
        <v>13</v>
      </c>
      <c r="B5061" t="s" s="2">
        <f>HYPERLINK("http://ts.21cn.com/tousu/show/id/1368591","恒昌公司旗下恒易贷合同金额远高于实际借款金额")</f>
      </c>
      <c r="C5061" t="s" s="2">
        <v>15</v>
      </c>
      <c r="D5061" t="s" s="2">
        <v>16</v>
      </c>
      <c r="E5061" t="s" s="2">
        <v>17</v>
      </c>
      <c r="F5061" t="s" s="2">
        <f>HYPERLINK("http://ts.21cn.com/tousu/show/id/1368591","http://ts.21cn.com/tousu/show/id/1368591")</f>
      </c>
      <c r="G5061" t="s" s="2">
        <v>17</v>
      </c>
      <c r="H5061" t="s" s="2">
        <v>19</v>
      </c>
      <c r="I5061" t="s" s="2">
        <v>19648</v>
      </c>
      <c r="J5061" t="s" s="2">
        <v>19649</v>
      </c>
      <c r="K5061" t="s" s="2">
        <v>22</v>
      </c>
      <c r="L5061" t="s" s="2">
        <v>22</v>
      </c>
      <c r="M5061" t="s" s="2">
        <v>22</v>
      </c>
    </row>
    <row r="5062" ht="25.0" customHeight="true">
      <c r="A5062" t="s" s="2">
        <v>13</v>
      </c>
      <c r="B5062" t="s" s="2">
        <f>HYPERLINK("http://ts.21cn.com/tousu/show/id/1368589","丰趣海淘拖欠员工工资，强制执行也没用")</f>
      </c>
      <c r="C5062" t="s" s="2">
        <v>15</v>
      </c>
      <c r="D5062" t="s" s="2">
        <v>16</v>
      </c>
      <c r="E5062" t="s" s="2">
        <v>17</v>
      </c>
      <c r="F5062" t="s" s="2">
        <f>HYPERLINK("http://ts.21cn.com/tousu/show/id/1368589","http://ts.21cn.com/tousu/show/id/1368589")</f>
      </c>
      <c r="G5062" t="s" s="2">
        <v>17</v>
      </c>
      <c r="H5062" t="s" s="2">
        <v>19</v>
      </c>
      <c r="I5062" t="s" s="2">
        <v>19651</v>
      </c>
      <c r="J5062" t="s" s="2">
        <v>19652</v>
      </c>
      <c r="K5062" t="s" s="2">
        <v>22</v>
      </c>
      <c r="L5062" t="s" s="2">
        <v>22</v>
      </c>
      <c r="M5062" t="s" s="2">
        <v>22</v>
      </c>
    </row>
    <row r="5063" ht="25.0" customHeight="true">
      <c r="A5063" t="s" s="2">
        <v>13</v>
      </c>
      <c r="B5063" t="s" s="2">
        <f>HYPERLINK("http://ts.21cn.com/tousu/show/id/1368588","砍头息，暴力催收，群发短信骚扰")</f>
      </c>
      <c r="C5063" t="s" s="2">
        <v>15</v>
      </c>
      <c r="D5063" t="s" s="2">
        <v>16</v>
      </c>
      <c r="E5063" t="s" s="2">
        <v>17</v>
      </c>
      <c r="F5063" t="s" s="2">
        <f>HYPERLINK("http://ts.21cn.com/tousu/show/id/1368588","http://ts.21cn.com/tousu/show/id/1368588")</f>
      </c>
      <c r="G5063" t="s" s="2">
        <v>17</v>
      </c>
      <c r="H5063" t="s" s="2">
        <v>19</v>
      </c>
      <c r="I5063" t="s" s="2">
        <v>19655</v>
      </c>
      <c r="J5063" t="s" s="2">
        <v>19656</v>
      </c>
      <c r="K5063" t="s" s="2">
        <v>22</v>
      </c>
      <c r="L5063" t="s" s="2">
        <v>22</v>
      </c>
      <c r="M5063" t="s" s="2">
        <v>22</v>
      </c>
    </row>
    <row r="5064" ht="25.0" customHeight="true">
      <c r="A5064" t="s" s="2">
        <v>13</v>
      </c>
      <c r="B5064" t="s" s="2">
        <f>HYPERLINK("http://ts.21cn.com/tousu/show/id/1368587","暴击催收爆通讯录")</f>
      </c>
      <c r="C5064" t="s" s="2">
        <v>15</v>
      </c>
      <c r="D5064" t="s" s="2">
        <v>16</v>
      </c>
      <c r="E5064" t="s" s="2">
        <v>17</v>
      </c>
      <c r="F5064" t="s" s="2">
        <f>HYPERLINK("http://ts.21cn.com/tousu/show/id/1368587","http://ts.21cn.com/tousu/show/id/1368587")</f>
      </c>
      <c r="G5064" t="s" s="2">
        <v>17</v>
      </c>
      <c r="H5064" t="s" s="2">
        <v>19</v>
      </c>
      <c r="I5064" t="s" s="2">
        <v>19659</v>
      </c>
      <c r="J5064" t="s" s="2">
        <v>19660</v>
      </c>
      <c r="K5064" t="s" s="2">
        <v>22</v>
      </c>
      <c r="L5064" t="s" s="2">
        <v>22</v>
      </c>
      <c r="M5064" t="s" s="2">
        <v>22</v>
      </c>
    </row>
    <row r="5065" ht="25.0" customHeight="true">
      <c r="A5065" t="s" s="2">
        <v>13</v>
      </c>
      <c r="B5065" t="s" s="2">
        <f>HYPERLINK("http://ts.21cn.com/tousu/show/id/1368585","现金巴士砍头息高利贷")</f>
      </c>
      <c r="C5065" t="s" s="2">
        <v>15</v>
      </c>
      <c r="D5065" t="s" s="2">
        <v>16</v>
      </c>
      <c r="E5065" t="s" s="2">
        <v>17</v>
      </c>
      <c r="F5065" t="s" s="2">
        <f>HYPERLINK("http://ts.21cn.com/tousu/show/id/1368585","http://ts.21cn.com/tousu/show/id/1368585")</f>
      </c>
      <c r="G5065" t="s" s="2">
        <v>17</v>
      </c>
      <c r="H5065" t="s" s="2">
        <v>19</v>
      </c>
      <c r="I5065" t="s" s="2">
        <v>19662</v>
      </c>
      <c r="J5065" t="s" s="2">
        <v>19663</v>
      </c>
      <c r="K5065" t="s" s="2">
        <v>22</v>
      </c>
      <c r="L5065" t="s" s="2">
        <v>22</v>
      </c>
      <c r="M5065" t="s" s="2">
        <v>22</v>
      </c>
    </row>
    <row r="5066" ht="25.0" customHeight="true">
      <c r="A5066" t="s" s="2">
        <v>13</v>
      </c>
      <c r="B5066" t="s" s="2">
        <f>HYPERLINK("http://ts.21cn.com/tousu/show/id/1368584","玖富万卡擅自改写合同，变相收取费用，高利贷")</f>
      </c>
      <c r="C5066" t="s" s="2">
        <v>15</v>
      </c>
      <c r="D5066" t="s" s="2">
        <v>16</v>
      </c>
      <c r="E5066" t="s" s="2">
        <v>17</v>
      </c>
      <c r="F5066" t="s" s="2">
        <f>HYPERLINK("http://ts.21cn.com/tousu/show/id/1368584","http://ts.21cn.com/tousu/show/id/1368584")</f>
      </c>
      <c r="G5066" t="s" s="2">
        <v>17</v>
      </c>
      <c r="H5066" t="s" s="2">
        <v>19</v>
      </c>
      <c r="I5066" t="s" s="2">
        <v>19665</v>
      </c>
      <c r="J5066" t="s" s="2">
        <v>19666</v>
      </c>
      <c r="K5066" t="s" s="2">
        <v>22</v>
      </c>
      <c r="L5066" t="s" s="2">
        <v>22</v>
      </c>
      <c r="M5066" t="s" s="2">
        <v>22</v>
      </c>
    </row>
    <row r="5067" ht="25.0" customHeight="true">
      <c r="A5067" t="s" s="2">
        <v>13</v>
      </c>
      <c r="B5067" t="s" s="2">
        <f>HYPERLINK("http://ts.21cn.com/tousu/show/id/1368583","淘宝无故判我售假，扣我保证金")</f>
      </c>
      <c r="C5067" t="s" s="2">
        <v>15</v>
      </c>
      <c r="D5067" t="s" s="2">
        <v>16</v>
      </c>
      <c r="E5067" t="s" s="2">
        <v>17</v>
      </c>
      <c r="F5067" t="s" s="2">
        <f>HYPERLINK("http://ts.21cn.com/tousu/show/id/1368583","http://ts.21cn.com/tousu/show/id/1368583")</f>
      </c>
      <c r="G5067" t="s" s="2">
        <v>17</v>
      </c>
      <c r="H5067" t="s" s="2">
        <v>19</v>
      </c>
      <c r="I5067" t="s" s="2">
        <v>19669</v>
      </c>
      <c r="J5067" t="s" s="2">
        <v>19670</v>
      </c>
      <c r="K5067" t="s" s="2">
        <v>22</v>
      </c>
      <c r="L5067" t="s" s="2">
        <v>22</v>
      </c>
      <c r="M5067" t="s" s="2">
        <v>22</v>
      </c>
    </row>
    <row r="5068" ht="25.0" customHeight="true">
      <c r="A5068" t="s" s="2">
        <v>13</v>
      </c>
      <c r="B5068" t="s" s="2">
        <f>HYPERLINK("http://ts.21cn.com/tousu/show/id/1368581","闪银催收威胁攻击人")</f>
      </c>
      <c r="C5068" t="s" s="2">
        <v>15</v>
      </c>
      <c r="D5068" t="s" s="2">
        <v>16</v>
      </c>
      <c r="E5068" t="s" s="2">
        <v>17</v>
      </c>
      <c r="F5068" t="s" s="2">
        <f>HYPERLINK("http://ts.21cn.com/tousu/show/id/1368581","http://ts.21cn.com/tousu/show/id/1368581")</f>
      </c>
      <c r="G5068" t="s" s="2">
        <v>17</v>
      </c>
      <c r="H5068" t="s" s="2">
        <v>19</v>
      </c>
      <c r="I5068" t="s" s="2">
        <v>19673</v>
      </c>
      <c r="J5068" t="s" s="2">
        <v>19674</v>
      </c>
      <c r="K5068" t="s" s="2">
        <v>22</v>
      </c>
      <c r="L5068" t="s" s="2">
        <v>22</v>
      </c>
      <c r="M5068" t="s" s="2">
        <v>22</v>
      </c>
    </row>
    <row r="5069" ht="25.0" customHeight="true">
      <c r="A5069" t="s" s="2">
        <v>13</v>
      </c>
      <c r="B5069" t="s" s="2">
        <f>HYPERLINK("http://ts.21cn.com/tousu/show/id/1368579","苏宁金融任性付")</f>
      </c>
      <c r="C5069" t="s" s="2">
        <v>15</v>
      </c>
      <c r="D5069" t="s" s="2">
        <v>16</v>
      </c>
      <c r="E5069" t="s" s="2">
        <v>17</v>
      </c>
      <c r="F5069" t="s" s="2">
        <f>HYPERLINK("http://ts.21cn.com/tousu/show/id/1368579","http://ts.21cn.com/tousu/show/id/1368579")</f>
      </c>
      <c r="G5069" t="s" s="2">
        <v>17</v>
      </c>
      <c r="H5069" t="s" s="2">
        <v>19</v>
      </c>
      <c r="I5069" t="s" s="2">
        <v>19677</v>
      </c>
      <c r="J5069" t="s" s="2">
        <v>19678</v>
      </c>
      <c r="K5069" t="s" s="2">
        <v>22</v>
      </c>
      <c r="L5069" t="s" s="2">
        <v>22</v>
      </c>
      <c r="M5069" t="s" s="2">
        <v>22</v>
      </c>
    </row>
    <row r="5070" ht="25.0" customHeight="true">
      <c r="A5070" t="s" s="2">
        <v>13</v>
      </c>
      <c r="B5070" t="s" s="2">
        <f>HYPERLINK("http://ts.21cn.com/tousu/show/id/1368580","骚扰恐吓")</f>
      </c>
      <c r="C5070" t="s" s="2">
        <v>15</v>
      </c>
      <c r="D5070" t="s" s="2">
        <v>16</v>
      </c>
      <c r="E5070" t="s" s="2">
        <v>17</v>
      </c>
      <c r="F5070" t="s" s="2">
        <f>HYPERLINK("http://ts.21cn.com/tousu/show/id/1368580","http://ts.21cn.com/tousu/show/id/1368580")</f>
      </c>
      <c r="G5070" t="s" s="2">
        <v>17</v>
      </c>
      <c r="H5070" t="s" s="2">
        <v>19</v>
      </c>
      <c r="I5070" t="s" s="2">
        <v>19677</v>
      </c>
      <c r="J5070" t="s" s="2">
        <v>19680</v>
      </c>
      <c r="K5070" t="s" s="2">
        <v>22</v>
      </c>
      <c r="L5070" t="s" s="2">
        <v>22</v>
      </c>
      <c r="M5070" t="s" s="2">
        <v>22</v>
      </c>
    </row>
    <row r="5071" ht="25.0" customHeight="true">
      <c r="A5071" t="s" s="2">
        <v>13</v>
      </c>
      <c r="B5071" t="s" s="2">
        <f>HYPERLINK("http://ts.21cn.com/tousu/show/id/1368578","既有分期高利贷")</f>
      </c>
      <c r="C5071" t="s" s="2">
        <v>15</v>
      </c>
      <c r="D5071" t="s" s="2">
        <v>16</v>
      </c>
      <c r="E5071" t="s" s="2">
        <v>17</v>
      </c>
      <c r="F5071" t="s" s="2">
        <f>HYPERLINK("http://ts.21cn.com/tousu/show/id/1368578","http://ts.21cn.com/tousu/show/id/1368578")</f>
      </c>
      <c r="G5071" t="s" s="2">
        <v>17</v>
      </c>
      <c r="H5071" t="s" s="2">
        <v>19</v>
      </c>
      <c r="I5071" t="s" s="2">
        <v>19683</v>
      </c>
      <c r="J5071" t="s" s="2">
        <v>19684</v>
      </c>
      <c r="K5071" t="s" s="2">
        <v>22</v>
      </c>
      <c r="L5071" t="s" s="2">
        <v>22</v>
      </c>
      <c r="M5071" t="s" s="2">
        <v>22</v>
      </c>
    </row>
    <row r="5072" ht="25.0" customHeight="true">
      <c r="A5072" t="s" s="2">
        <v>13</v>
      </c>
      <c r="B5072" t="s" s="2">
        <f>HYPERLINK("http://ts.21cn.com/tousu/show/id/1368577","威胁恐吓，暴力催收")</f>
      </c>
      <c r="C5072" t="s" s="2">
        <v>15</v>
      </c>
      <c r="D5072" t="s" s="2">
        <v>16</v>
      </c>
      <c r="E5072" t="s" s="2">
        <v>17</v>
      </c>
      <c r="F5072" t="s" s="2">
        <f>HYPERLINK("http://ts.21cn.com/tousu/show/id/1368577","http://ts.21cn.com/tousu/show/id/1368577")</f>
      </c>
      <c r="G5072" t="s" s="2">
        <v>17</v>
      </c>
      <c r="H5072" t="s" s="2">
        <v>19</v>
      </c>
      <c r="I5072" t="s" s="2">
        <v>19687</v>
      </c>
      <c r="J5072" t="s" s="2">
        <v>19688</v>
      </c>
      <c r="K5072" t="s" s="2">
        <v>22</v>
      </c>
      <c r="L5072" t="s" s="2">
        <v>22</v>
      </c>
      <c r="M5072" t="s" s="2">
        <v>22</v>
      </c>
    </row>
    <row r="5073" ht="25.0" customHeight="true">
      <c r="A5073" t="s" s="2">
        <v>13</v>
      </c>
      <c r="B5073" t="s" s="2">
        <f>HYPERLINK("http://ts.21cn.com/tousu/show/id/1368576","京东白条添加了好友微信通知我所有好友欠款")</f>
      </c>
      <c r="C5073" t="s" s="2">
        <v>15</v>
      </c>
      <c r="D5073" t="s" s="2">
        <v>16</v>
      </c>
      <c r="E5073" t="s" s="2">
        <v>17</v>
      </c>
      <c r="F5073" t="s" s="2">
        <f>HYPERLINK("http://ts.21cn.com/tousu/show/id/1368576","http://ts.21cn.com/tousu/show/id/1368576")</f>
      </c>
      <c r="G5073" t="s" s="2">
        <v>17</v>
      </c>
      <c r="H5073" t="s" s="2">
        <v>19</v>
      </c>
      <c r="I5073" t="s" s="2">
        <v>19691</v>
      </c>
      <c r="J5073" t="s" s="2">
        <v>19692</v>
      </c>
      <c r="K5073" t="s" s="2">
        <v>22</v>
      </c>
      <c r="L5073" t="s" s="2">
        <v>22</v>
      </c>
      <c r="M5073" t="s" s="2">
        <v>22</v>
      </c>
    </row>
    <row r="5074" ht="25.0" customHeight="true">
      <c r="A5074" t="s" s="2">
        <v>13</v>
      </c>
      <c r="B5074" t="s" s="2">
        <f>HYPERLINK("http://ts.21cn.com/tousu/show/id/1368575","恶意扣款288")</f>
      </c>
      <c r="C5074" t="s" s="2">
        <v>15</v>
      </c>
      <c r="D5074" t="s" s="2">
        <v>16</v>
      </c>
      <c r="E5074" t="s" s="2">
        <v>17</v>
      </c>
      <c r="F5074" t="s" s="2">
        <f>HYPERLINK("http://ts.21cn.com/tousu/show/id/1368575","http://ts.21cn.com/tousu/show/id/1368575")</f>
      </c>
      <c r="G5074" t="s" s="2">
        <v>17</v>
      </c>
      <c r="H5074" t="s" s="2">
        <v>19</v>
      </c>
      <c r="I5074" t="s" s="2">
        <v>19695</v>
      </c>
      <c r="J5074" t="s" s="2">
        <v>19696</v>
      </c>
      <c r="K5074" t="s" s="2">
        <v>22</v>
      </c>
      <c r="L5074" t="s" s="2">
        <v>22</v>
      </c>
      <c r="M5074" t="s" s="2">
        <v>22</v>
      </c>
    </row>
    <row r="5075" ht="25.0" customHeight="true">
      <c r="A5075" t="s" s="2">
        <v>13</v>
      </c>
      <c r="B5075" t="s" s="2">
        <f>HYPERLINK("http://ts.21cn.com/tousu/show/id/1368573","折疯了app侵犯消费者权益不予退款")</f>
      </c>
      <c r="C5075" t="s" s="2">
        <v>15</v>
      </c>
      <c r="D5075" t="s" s="2">
        <v>16</v>
      </c>
      <c r="E5075" t="s" s="2">
        <v>17</v>
      </c>
      <c r="F5075" t="s" s="2">
        <f>HYPERLINK("http://ts.21cn.com/tousu/show/id/1368573","http://ts.21cn.com/tousu/show/id/1368573")</f>
      </c>
      <c r="G5075" t="s" s="2">
        <v>17</v>
      </c>
      <c r="H5075" t="s" s="2">
        <v>19</v>
      </c>
      <c r="I5075" t="s" s="2">
        <v>19699</v>
      </c>
      <c r="J5075" t="s" s="2">
        <v>19700</v>
      </c>
      <c r="K5075" t="s" s="2">
        <v>22</v>
      </c>
      <c r="L5075" t="s" s="2">
        <v>22</v>
      </c>
      <c r="M5075" t="s" s="2">
        <v>22</v>
      </c>
    </row>
    <row r="5076" ht="25.0" customHeight="true">
      <c r="A5076" t="s" s="2">
        <v>13</v>
      </c>
      <c r="B5076" t="s" s="2">
        <f>HYPERLINK("http://ts.21cn.com/tousu/show/id/1368572","投诉瀚银支付得仕支付航天支付")</f>
      </c>
      <c r="C5076" t="s" s="2">
        <v>15</v>
      </c>
      <c r="D5076" t="s" s="2">
        <v>16</v>
      </c>
      <c r="E5076" t="s" s="2">
        <v>17</v>
      </c>
      <c r="F5076" t="s" s="2">
        <f>HYPERLINK("http://ts.21cn.com/tousu/show/id/1368572","http://ts.21cn.com/tousu/show/id/1368572")</f>
      </c>
      <c r="G5076" t="s" s="2">
        <v>17</v>
      </c>
      <c r="H5076" t="s" s="2">
        <v>19</v>
      </c>
      <c r="I5076" t="s" s="2">
        <v>19703</v>
      </c>
      <c r="J5076" t="s" s="2">
        <v>19704</v>
      </c>
      <c r="K5076" t="s" s="2">
        <v>22</v>
      </c>
      <c r="L5076" t="s" s="2">
        <v>22</v>
      </c>
      <c r="M5076" t="s" s="2">
        <v>22</v>
      </c>
    </row>
    <row r="5077" ht="25.0" customHeight="true">
      <c r="A5077" t="s" s="2">
        <v>13</v>
      </c>
      <c r="B5077" t="s" s="2">
        <f>HYPERLINK("http://ts.21cn.com/tousu/show/id/1368571","2016年办理的车抵押贷款被业务员恶意篡改资料")</f>
      </c>
      <c r="C5077" t="s" s="2">
        <v>15</v>
      </c>
      <c r="D5077" t="s" s="2">
        <v>16</v>
      </c>
      <c r="E5077" t="s" s="2">
        <v>17</v>
      </c>
      <c r="F5077" t="s" s="2">
        <f>HYPERLINK("http://ts.21cn.com/tousu/show/id/1368571","http://ts.21cn.com/tousu/show/id/1368571")</f>
      </c>
      <c r="G5077" t="s" s="2">
        <v>17</v>
      </c>
      <c r="H5077" t="s" s="2">
        <v>19</v>
      </c>
      <c r="I5077" t="s" s="2">
        <v>19707</v>
      </c>
      <c r="J5077" t="s" s="2">
        <v>19708</v>
      </c>
      <c r="K5077" t="s" s="2">
        <v>22</v>
      </c>
      <c r="L5077" t="s" s="2">
        <v>22</v>
      </c>
      <c r="M5077" t="s" s="2">
        <v>22</v>
      </c>
    </row>
    <row r="5078" ht="25.0" customHeight="true">
      <c r="A5078" t="s" s="2">
        <v>13</v>
      </c>
      <c r="B5078" t="s" s="2">
        <f>HYPERLINK("http://ts.21cn.com/tousu/show/id/1368574","给你花及贷协商还款")</f>
      </c>
      <c r="C5078" t="s" s="2">
        <v>15</v>
      </c>
      <c r="D5078" t="s" s="2">
        <v>16</v>
      </c>
      <c r="E5078" t="s" s="2">
        <v>17</v>
      </c>
      <c r="F5078" t="s" s="2">
        <f>HYPERLINK("http://ts.21cn.com/tousu/show/id/1368574","http://ts.21cn.com/tousu/show/id/1368574")</f>
      </c>
      <c r="G5078" t="s" s="2">
        <v>17</v>
      </c>
      <c r="H5078" t="s" s="2">
        <v>19</v>
      </c>
      <c r="I5078" t="s" s="2">
        <v>19711</v>
      </c>
      <c r="J5078" t="s" s="2">
        <v>19712</v>
      </c>
      <c r="K5078" t="s" s="2">
        <v>22</v>
      </c>
      <c r="L5078" t="s" s="2">
        <v>22</v>
      </c>
      <c r="M5078" t="s" s="2">
        <v>22</v>
      </c>
    </row>
    <row r="5079" ht="25.0" customHeight="true">
      <c r="A5079" t="s" s="2">
        <v>13</v>
      </c>
      <c r="B5079" t="s" s="2">
        <f>HYPERLINK("http://ts.21cn.com/tousu/show/id/1368522","钱站高利贷")</f>
      </c>
      <c r="C5079" t="s" s="2">
        <v>15</v>
      </c>
      <c r="D5079" t="s" s="2">
        <v>16</v>
      </c>
      <c r="E5079" t="s" s="2">
        <v>17</v>
      </c>
      <c r="F5079" t="s" s="2">
        <f>HYPERLINK("http://ts.21cn.com/tousu/show/id/1368522","http://ts.21cn.com/tousu/show/id/1368522")</f>
      </c>
      <c r="G5079" t="s" s="2">
        <v>17</v>
      </c>
      <c r="H5079" t="s" s="2">
        <v>19</v>
      </c>
      <c r="I5079" t="s" s="2">
        <v>19714</v>
      </c>
      <c r="J5079" t="s" s="2">
        <v>19715</v>
      </c>
      <c r="K5079" t="s" s="2">
        <v>22</v>
      </c>
      <c r="L5079" t="s" s="2">
        <v>22</v>
      </c>
      <c r="M5079" t="s" s="2">
        <v>22</v>
      </c>
    </row>
    <row r="5080" ht="25.0" customHeight="true">
      <c r="A5080" t="s" s="2">
        <v>13</v>
      </c>
      <c r="B5080" t="s" s="2">
        <f>HYPERLINK("http://ts.21cn.com/tousu/show/id/1368569","安逸花催收骚扰联系人亲戚朋友电话")</f>
      </c>
      <c r="C5080" t="s" s="2">
        <v>15</v>
      </c>
      <c r="D5080" t="s" s="2">
        <v>16</v>
      </c>
      <c r="E5080" t="s" s="2">
        <v>17</v>
      </c>
      <c r="F5080" t="s" s="2">
        <f>HYPERLINK("http://ts.21cn.com/tousu/show/id/1368569","http://ts.21cn.com/tousu/show/id/1368569")</f>
      </c>
      <c r="G5080" t="s" s="2">
        <v>17</v>
      </c>
      <c r="H5080" t="s" s="2">
        <v>19</v>
      </c>
      <c r="I5080" t="s" s="2">
        <v>19718</v>
      </c>
      <c r="J5080" t="s" s="2">
        <v>19719</v>
      </c>
      <c r="K5080" t="s" s="2">
        <v>22</v>
      </c>
      <c r="L5080" t="s" s="2">
        <v>22</v>
      </c>
      <c r="M5080" t="s" s="2">
        <v>22</v>
      </c>
    </row>
    <row r="5081" ht="25.0" customHeight="true">
      <c r="A5081" t="s" s="2">
        <v>13</v>
      </c>
      <c r="B5081" t="s" s="2">
        <f>HYPERLINK("http://ts.21cn.com/tousu/show/id/1368568","小花")</f>
      </c>
      <c r="C5081" t="s" s="2">
        <v>15</v>
      </c>
      <c r="D5081" t="s" s="2">
        <v>16</v>
      </c>
      <c r="E5081" t="s" s="2">
        <v>17</v>
      </c>
      <c r="F5081" t="s" s="2">
        <f>HYPERLINK("http://ts.21cn.com/tousu/show/id/1368568","http://ts.21cn.com/tousu/show/id/1368568")</f>
      </c>
      <c r="G5081" t="s" s="2">
        <v>17</v>
      </c>
      <c r="H5081" t="s" s="2">
        <v>19</v>
      </c>
      <c r="I5081" t="s" s="2">
        <v>19722</v>
      </c>
      <c r="J5081" t="s" s="2">
        <v>19723</v>
      </c>
      <c r="K5081" t="s" s="2">
        <v>22</v>
      </c>
      <c r="L5081" t="s" s="2">
        <v>22</v>
      </c>
      <c r="M5081" t="s" s="2">
        <v>22</v>
      </c>
    </row>
    <row r="5082" ht="25.0" customHeight="true">
      <c r="A5082" t="s" s="2">
        <v>13</v>
      </c>
      <c r="B5082" t="s" s="2">
        <f>HYPERLINK("http://ts.21cn.com/tousu/show/id/1368567","借钱多714高利息轰炸通讯录")</f>
      </c>
      <c r="C5082" t="s" s="2">
        <v>15</v>
      </c>
      <c r="D5082" t="s" s="2">
        <v>16</v>
      </c>
      <c r="E5082" t="s" s="2">
        <v>17</v>
      </c>
      <c r="F5082" t="s" s="2">
        <f>HYPERLINK("http://ts.21cn.com/tousu/show/id/1368567","http://ts.21cn.com/tousu/show/id/1368567")</f>
      </c>
      <c r="G5082" t="s" s="2">
        <v>17</v>
      </c>
      <c r="H5082" t="s" s="2">
        <v>19</v>
      </c>
      <c r="I5082" t="s" s="2">
        <v>19726</v>
      </c>
      <c r="J5082" t="s" s="2">
        <v>19727</v>
      </c>
      <c r="K5082" t="s" s="2">
        <v>22</v>
      </c>
      <c r="L5082" t="s" s="2">
        <v>22</v>
      </c>
      <c r="M5082" t="s" s="2">
        <v>22</v>
      </c>
    </row>
    <row r="5083" ht="25.0" customHeight="true">
      <c r="A5083" t="s" s="2">
        <v>13</v>
      </c>
      <c r="B5083" t="s" s="2">
        <f>HYPERLINK("http://ts.21cn.com/tousu/show/id/1368566","卡卡贷暴力催收")</f>
      </c>
      <c r="C5083" t="s" s="2">
        <v>15</v>
      </c>
      <c r="D5083" t="s" s="2">
        <v>16</v>
      </c>
      <c r="E5083" t="s" s="2">
        <v>17</v>
      </c>
      <c r="F5083" t="s" s="2">
        <f>HYPERLINK("http://ts.21cn.com/tousu/show/id/1368566","http://ts.21cn.com/tousu/show/id/1368566")</f>
      </c>
      <c r="G5083" t="s" s="2">
        <v>17</v>
      </c>
      <c r="H5083" t="s" s="2">
        <v>19</v>
      </c>
      <c r="I5083" t="s" s="2">
        <v>19730</v>
      </c>
      <c r="J5083" t="s" s="2">
        <v>19731</v>
      </c>
      <c r="K5083" t="s" s="2">
        <v>22</v>
      </c>
      <c r="L5083" t="s" s="2">
        <v>22</v>
      </c>
      <c r="M5083" t="s" s="2">
        <v>22</v>
      </c>
    </row>
    <row r="5084" ht="25.0" customHeight="true">
      <c r="A5084" t="s" s="2">
        <v>13</v>
      </c>
      <c r="B5084" t="s" s="2">
        <f>HYPERLINK("http://ts.21cn.com/tousu/show/id/1368565","欺诈消费者延迟发货滞留货款")</f>
      </c>
      <c r="C5084" t="s" s="2">
        <v>15</v>
      </c>
      <c r="D5084" t="s" s="2">
        <v>16</v>
      </c>
      <c r="E5084" t="s" s="2">
        <v>17</v>
      </c>
      <c r="F5084" t="s" s="2">
        <f>HYPERLINK("http://ts.21cn.com/tousu/show/id/1368565","http://ts.21cn.com/tousu/show/id/1368565")</f>
      </c>
      <c r="G5084" t="s" s="2">
        <v>17</v>
      </c>
      <c r="H5084" t="s" s="2">
        <v>19</v>
      </c>
      <c r="I5084" t="s" s="2">
        <v>19734</v>
      </c>
      <c r="J5084" t="s" s="2">
        <v>19735</v>
      </c>
      <c r="K5084" t="s" s="2">
        <v>22</v>
      </c>
      <c r="L5084" t="s" s="2">
        <v>22</v>
      </c>
      <c r="M5084" t="s" s="2">
        <v>22</v>
      </c>
    </row>
    <row r="5085" ht="25.0" customHeight="true">
      <c r="A5085" t="s" s="2">
        <v>13</v>
      </c>
      <c r="B5085" t="s" s="2">
        <f>HYPERLINK("http://ts.21cn.com/tousu/show/id/1368562","爆通讯录态度恶劣威胁恐吓短信群发")</f>
      </c>
      <c r="C5085" t="s" s="2">
        <v>15</v>
      </c>
      <c r="D5085" t="s" s="2">
        <v>16</v>
      </c>
      <c r="E5085" t="s" s="2">
        <v>17</v>
      </c>
      <c r="F5085" t="s" s="2">
        <f>HYPERLINK("http://ts.21cn.com/tousu/show/id/1368562","http://ts.21cn.com/tousu/show/id/1368562")</f>
      </c>
      <c r="G5085" t="s" s="2">
        <v>17</v>
      </c>
      <c r="H5085" t="s" s="2">
        <v>19</v>
      </c>
      <c r="I5085" t="s" s="2">
        <v>19738</v>
      </c>
      <c r="J5085" t="s" s="2">
        <v>19739</v>
      </c>
      <c r="K5085" t="s" s="2">
        <v>22</v>
      </c>
      <c r="L5085" t="s" s="2">
        <v>22</v>
      </c>
      <c r="M5085" t="s" s="2">
        <v>22</v>
      </c>
    </row>
    <row r="5086" ht="25.0" customHeight="true">
      <c r="A5086" t="s" s="2">
        <v>13</v>
      </c>
      <c r="B5086" t="s" s="2">
        <f>HYPERLINK("http://ts.21cn.com/tousu/show/id/1368560","希望和中信银行协商债务重组，实在是利息太高了")</f>
      </c>
      <c r="C5086" t="s" s="2">
        <v>15</v>
      </c>
      <c r="D5086" t="s" s="2">
        <v>16</v>
      </c>
      <c r="E5086" t="s" s="2">
        <v>17</v>
      </c>
      <c r="F5086" t="s" s="2">
        <f>HYPERLINK("http://ts.21cn.com/tousu/show/id/1368560","http://ts.21cn.com/tousu/show/id/1368560")</f>
      </c>
      <c r="G5086" t="s" s="2">
        <v>17</v>
      </c>
      <c r="H5086" t="s" s="2">
        <v>19</v>
      </c>
      <c r="I5086" t="s" s="2">
        <v>19742</v>
      </c>
      <c r="J5086" t="s" s="2">
        <v>19743</v>
      </c>
      <c r="K5086" t="s" s="2">
        <v>22</v>
      </c>
      <c r="L5086" t="s" s="2">
        <v>22</v>
      </c>
      <c r="M5086" t="s" s="2">
        <v>22</v>
      </c>
    </row>
    <row r="5087" ht="25.0" customHeight="true">
      <c r="A5087" t="s" s="2">
        <v>13</v>
      </c>
      <c r="B5087" t="s" s="2">
        <f>HYPERLINK("http://ts.21cn.com/tousu/show/id/1368559","不能协商延期")</f>
      </c>
      <c r="C5087" t="s" s="2">
        <v>52</v>
      </c>
      <c r="D5087" t="s" s="2">
        <v>16</v>
      </c>
      <c r="E5087" t="s" s="2">
        <v>17</v>
      </c>
      <c r="F5087" t="s" s="2">
        <f>HYPERLINK("http://ts.21cn.com/tousu/show/id/1368559","http://ts.21cn.com/tousu/show/id/1368559")</f>
      </c>
      <c r="G5087" t="s" s="2">
        <v>17</v>
      </c>
      <c r="H5087" t="s" s="2">
        <v>19</v>
      </c>
      <c r="I5087" t="s" s="2">
        <v>19746</v>
      </c>
      <c r="J5087" t="s" s="2">
        <v>19747</v>
      </c>
      <c r="K5087" t="s" s="2">
        <v>22</v>
      </c>
      <c r="L5087" t="s" s="2">
        <v>22</v>
      </c>
      <c r="M5087" t="s" s="2">
        <v>22</v>
      </c>
    </row>
    <row r="5088" ht="25.0" customHeight="true">
      <c r="A5088" t="s" s="2">
        <v>13</v>
      </c>
      <c r="B5088" t="s" s="2">
        <f>HYPERLINK("http://ts.21cn.com/tousu/show/id/1368558","中信银行信用卡暴力催收")</f>
      </c>
      <c r="C5088" t="s" s="2">
        <v>15</v>
      </c>
      <c r="D5088" t="s" s="2">
        <v>16</v>
      </c>
      <c r="E5088" t="s" s="2">
        <v>17</v>
      </c>
      <c r="F5088" t="s" s="2">
        <f>HYPERLINK("http://ts.21cn.com/tousu/show/id/1368558","http://ts.21cn.com/tousu/show/id/1368558")</f>
      </c>
      <c r="G5088" t="s" s="2">
        <v>17</v>
      </c>
      <c r="H5088" t="s" s="2">
        <v>19</v>
      </c>
      <c r="I5088" t="s" s="2">
        <v>19750</v>
      </c>
      <c r="J5088" t="s" s="2">
        <v>19751</v>
      </c>
      <c r="K5088" t="s" s="2">
        <v>22</v>
      </c>
      <c r="L5088" t="s" s="2">
        <v>22</v>
      </c>
      <c r="M5088" t="s" s="2">
        <v>22</v>
      </c>
    </row>
    <row r="5089" ht="25.0" customHeight="true">
      <c r="A5089" t="s" s="2">
        <v>13</v>
      </c>
      <c r="B5089" t="s" s="2">
        <f>HYPERLINK("http://ts.21cn.com/tousu/show/id/1368557","想有钱高利贷，支付宝汇潮支付")</f>
      </c>
      <c r="C5089" t="s" s="2">
        <v>15</v>
      </c>
      <c r="D5089" t="s" s="2">
        <v>16</v>
      </c>
      <c r="E5089" t="s" s="2">
        <v>17</v>
      </c>
      <c r="F5089" t="s" s="2">
        <f>HYPERLINK("http://ts.21cn.com/tousu/show/id/1368557","http://ts.21cn.com/tousu/show/id/1368557")</f>
      </c>
      <c r="G5089" t="s" s="2">
        <v>17</v>
      </c>
      <c r="H5089" t="s" s="2">
        <v>19</v>
      </c>
      <c r="I5089" t="s" s="2">
        <v>19754</v>
      </c>
      <c r="J5089" t="s" s="2">
        <v>19755</v>
      </c>
      <c r="K5089" t="s" s="2">
        <v>22</v>
      </c>
      <c r="L5089" t="s" s="2">
        <v>22</v>
      </c>
      <c r="M5089" t="s" s="2">
        <v>22</v>
      </c>
    </row>
    <row r="5090" ht="25.0" customHeight="true">
      <c r="A5090" t="s" s="2">
        <v>13</v>
      </c>
      <c r="B5090" t="s" s="2">
        <f>HYPERLINK("http://ts.21cn.com/tousu/show/id/1368556","蚂蚁闪电借骚扰通讯录所有人暴力催收")</f>
      </c>
      <c r="C5090" t="s" s="2">
        <v>15</v>
      </c>
      <c r="D5090" t="s" s="2">
        <v>16</v>
      </c>
      <c r="E5090" t="s" s="2">
        <v>17</v>
      </c>
      <c r="F5090" t="s" s="2">
        <f>HYPERLINK("http://ts.21cn.com/tousu/show/id/1368556","http://ts.21cn.com/tousu/show/id/1368556")</f>
      </c>
      <c r="G5090" t="s" s="2">
        <v>17</v>
      </c>
      <c r="H5090" t="s" s="2">
        <v>19</v>
      </c>
      <c r="I5090" t="s" s="2">
        <v>19758</v>
      </c>
      <c r="J5090" t="s" s="2">
        <v>19759</v>
      </c>
      <c r="K5090" t="s" s="2">
        <v>22</v>
      </c>
      <c r="L5090" t="s" s="2">
        <v>22</v>
      </c>
      <c r="M5090" t="s" s="2">
        <v>22</v>
      </c>
    </row>
    <row r="5091" ht="25.0" customHeight="true">
      <c r="A5091" t="s" s="2">
        <v>13</v>
      </c>
      <c r="B5091" t="s" s="2">
        <f>HYPERLINK("http://ts.21cn.com/tousu/show/id/1368555","钱站高利贷")</f>
      </c>
      <c r="C5091" t="s" s="2">
        <v>15</v>
      </c>
      <c r="D5091" t="s" s="2">
        <v>16</v>
      </c>
      <c r="E5091" t="s" s="2">
        <v>17</v>
      </c>
      <c r="F5091" t="s" s="2">
        <f>HYPERLINK("http://ts.21cn.com/tousu/show/id/1368555","http://ts.21cn.com/tousu/show/id/1368555")</f>
      </c>
      <c r="G5091" t="s" s="2">
        <v>17</v>
      </c>
      <c r="H5091" t="s" s="2">
        <v>19</v>
      </c>
      <c r="I5091" t="s" s="2">
        <v>19761</v>
      </c>
      <c r="J5091" t="s" s="2">
        <v>19762</v>
      </c>
      <c r="K5091" t="s" s="2">
        <v>22</v>
      </c>
      <c r="L5091" t="s" s="2">
        <v>22</v>
      </c>
      <c r="M5091" t="s" s="2">
        <v>22</v>
      </c>
    </row>
    <row r="5092" ht="25.0" customHeight="true">
      <c r="A5092" t="s" s="2">
        <v>13</v>
      </c>
      <c r="B5092" t="s" s="2">
        <f>HYPERLINK("http://ts.21cn.com/tousu/show/id/1363014","好易借高利贷套路贷")</f>
      </c>
      <c r="C5092" t="s" s="2">
        <v>15</v>
      </c>
      <c r="D5092" t="s" s="2">
        <v>16</v>
      </c>
      <c r="E5092" t="s" s="2">
        <v>17</v>
      </c>
      <c r="F5092" t="s" s="2">
        <f>HYPERLINK("http://ts.21cn.com/tousu/show/id/1363014","http://ts.21cn.com/tousu/show/id/1363014")</f>
      </c>
      <c r="G5092" t="s" s="2">
        <v>17</v>
      </c>
      <c r="H5092" t="s" s="2">
        <v>19</v>
      </c>
      <c r="I5092" t="s" s="2">
        <v>19765</v>
      </c>
      <c r="J5092" t="s" s="2">
        <v>19766</v>
      </c>
      <c r="K5092" t="s" s="2">
        <v>22</v>
      </c>
      <c r="L5092" t="s" s="2">
        <v>22</v>
      </c>
      <c r="M5092" t="s" s="2">
        <v>22</v>
      </c>
    </row>
    <row r="5093" ht="25.0" customHeight="true">
      <c r="A5093" t="s" s="2">
        <v>13</v>
      </c>
      <c r="B5093" t="s" s="2">
        <f>HYPERLINK("http://ts.21cn.com/tousu/show/id/1368554","立借高利贷，骚扰通讯录")</f>
      </c>
      <c r="C5093" t="s" s="2">
        <v>15</v>
      </c>
      <c r="D5093" t="s" s="2">
        <v>16</v>
      </c>
      <c r="E5093" t="s" s="2">
        <v>17</v>
      </c>
      <c r="F5093" t="s" s="2">
        <f>HYPERLINK("http://ts.21cn.com/tousu/show/id/1368554","http://ts.21cn.com/tousu/show/id/1368554")</f>
      </c>
      <c r="G5093" t="s" s="2">
        <v>17</v>
      </c>
      <c r="H5093" t="s" s="2">
        <v>19</v>
      </c>
      <c r="I5093" t="s" s="2">
        <v>19769</v>
      </c>
      <c r="J5093" t="s" s="2">
        <v>19770</v>
      </c>
      <c r="K5093" t="s" s="2">
        <v>22</v>
      </c>
      <c r="L5093" t="s" s="2">
        <v>22</v>
      </c>
      <c r="M5093" t="s" s="2">
        <v>22</v>
      </c>
    </row>
    <row r="5094" ht="25.0" customHeight="true">
      <c r="A5094" t="s" s="2">
        <v>13</v>
      </c>
      <c r="B5094" t="s" s="2">
        <f>HYPERLINK("http://ts.21cn.com/tousu/show/id/1368553","联动云罚单问题")</f>
      </c>
      <c r="C5094" t="s" s="2">
        <v>15</v>
      </c>
      <c r="D5094" t="s" s="2">
        <v>16</v>
      </c>
      <c r="E5094" t="s" s="2">
        <v>17</v>
      </c>
      <c r="F5094" t="s" s="2">
        <f>HYPERLINK("http://ts.21cn.com/tousu/show/id/1368553","http://ts.21cn.com/tousu/show/id/1368553")</f>
      </c>
      <c r="G5094" t="s" s="2">
        <v>17</v>
      </c>
      <c r="H5094" t="s" s="2">
        <v>19</v>
      </c>
      <c r="I5094" t="s" s="2">
        <v>19773</v>
      </c>
      <c r="J5094" t="s" s="2">
        <v>19774</v>
      </c>
      <c r="K5094" t="s" s="2">
        <v>22</v>
      </c>
      <c r="L5094" t="s" s="2">
        <v>22</v>
      </c>
      <c r="M5094" t="s" s="2">
        <v>22</v>
      </c>
    </row>
    <row r="5095" ht="25.0" customHeight="true">
      <c r="A5095" t="s" s="2">
        <v>13</v>
      </c>
      <c r="B5095" t="s" s="2">
        <f>HYPERLINK("http://ts.21cn.com/tousu/show/id/1368552","如期分期恶意扣费，砍头息")</f>
      </c>
      <c r="C5095" t="s" s="2">
        <v>15</v>
      </c>
      <c r="D5095" t="s" s="2">
        <v>16</v>
      </c>
      <c r="E5095" t="s" s="2">
        <v>17</v>
      </c>
      <c r="F5095" t="s" s="2">
        <f>HYPERLINK("http://ts.21cn.com/tousu/show/id/1368552","http://ts.21cn.com/tousu/show/id/1368552")</f>
      </c>
      <c r="G5095" t="s" s="2">
        <v>17</v>
      </c>
      <c r="H5095" t="s" s="2">
        <v>19</v>
      </c>
      <c r="I5095" t="s" s="2">
        <v>19777</v>
      </c>
      <c r="J5095" t="s" s="2">
        <v>19778</v>
      </c>
      <c r="K5095" t="s" s="2">
        <v>22</v>
      </c>
      <c r="L5095" t="s" s="2">
        <v>22</v>
      </c>
      <c r="M5095" t="s" s="2">
        <v>22</v>
      </c>
    </row>
    <row r="5096" ht="25.0" customHeight="true">
      <c r="A5096" t="s" s="2">
        <v>13</v>
      </c>
      <c r="B5096" t="s" s="2">
        <f>HYPERLINK("http://ts.21cn.com/tousu/show/id/1368445","骚扰、暴力催收、名誉受损")</f>
      </c>
      <c r="C5096" t="s" s="2">
        <v>15</v>
      </c>
      <c r="D5096" t="s" s="2">
        <v>16</v>
      </c>
      <c r="E5096" t="s" s="2">
        <v>17</v>
      </c>
      <c r="F5096" t="s" s="2">
        <f>HYPERLINK("http://ts.21cn.com/tousu/show/id/1368445","http://ts.21cn.com/tousu/show/id/1368445")</f>
      </c>
      <c r="G5096" t="s" s="2">
        <v>17</v>
      </c>
      <c r="H5096" t="s" s="2">
        <v>19</v>
      </c>
      <c r="I5096" t="s" s="2">
        <v>19777</v>
      </c>
      <c r="J5096" t="s" s="2">
        <v>19781</v>
      </c>
      <c r="K5096" t="s" s="2">
        <v>22</v>
      </c>
      <c r="L5096" t="s" s="2">
        <v>22</v>
      </c>
      <c r="M5096" t="s" s="2">
        <v>22</v>
      </c>
    </row>
    <row r="5097" ht="25.0" customHeight="true">
      <c r="A5097" t="s" s="2">
        <v>13</v>
      </c>
      <c r="B5097" t="s" s="2">
        <f>HYPERLINK("http://ts.21cn.com/tousu/show/id/1368551","洋钱罐爆我通讯录")</f>
      </c>
      <c r="C5097" t="s" s="2">
        <v>15</v>
      </c>
      <c r="D5097" t="s" s="2">
        <v>16</v>
      </c>
      <c r="E5097" t="s" s="2">
        <v>17</v>
      </c>
      <c r="F5097" t="s" s="2">
        <f>HYPERLINK("http://ts.21cn.com/tousu/show/id/1368551","http://ts.21cn.com/tousu/show/id/1368551")</f>
      </c>
      <c r="G5097" t="s" s="2">
        <v>17</v>
      </c>
      <c r="H5097" t="s" s="2">
        <v>19</v>
      </c>
      <c r="I5097" t="s" s="2">
        <v>19784</v>
      </c>
      <c r="J5097" t="s" s="2">
        <v>19785</v>
      </c>
      <c r="K5097" t="s" s="2">
        <v>22</v>
      </c>
      <c r="L5097" t="s" s="2">
        <v>22</v>
      </c>
      <c r="M5097" t="s" s="2">
        <v>22</v>
      </c>
    </row>
    <row r="5098" ht="25.0" customHeight="true">
      <c r="A5098" t="s" s="2">
        <v>13</v>
      </c>
      <c r="B5098" t="s" s="2">
        <f>HYPERLINK("http://ts.21cn.com/tousu/show/id/1368550","要求信用飞退还高额秒扣的飞行权益费")</f>
      </c>
      <c r="C5098" t="s" s="2">
        <v>52</v>
      </c>
      <c r="D5098" t="s" s="2">
        <v>16</v>
      </c>
      <c r="E5098" t="s" s="2">
        <v>17</v>
      </c>
      <c r="F5098" t="s" s="2">
        <f>HYPERLINK("http://ts.21cn.com/tousu/show/id/1368550","http://ts.21cn.com/tousu/show/id/1368550")</f>
      </c>
      <c r="G5098" t="s" s="2">
        <v>17</v>
      </c>
      <c r="H5098" t="s" s="2">
        <v>19</v>
      </c>
      <c r="I5098" t="s" s="2">
        <v>19788</v>
      </c>
      <c r="J5098" t="s" s="2">
        <v>19789</v>
      </c>
      <c r="K5098" t="s" s="2">
        <v>22</v>
      </c>
      <c r="L5098" t="s" s="2">
        <v>22</v>
      </c>
      <c r="M5098" t="s" s="2">
        <v>22</v>
      </c>
    </row>
    <row r="5099" ht="25.0" customHeight="true">
      <c r="A5099" t="s" s="2">
        <v>13</v>
      </c>
      <c r="B5099" t="s" s="2">
        <f>HYPERLINK("http://ts.21cn.com/tousu/show/id/1368548","高利息，砍头息")</f>
      </c>
      <c r="C5099" t="s" s="2">
        <v>52</v>
      </c>
      <c r="D5099" t="s" s="2">
        <v>16</v>
      </c>
      <c r="E5099" t="s" s="2">
        <v>17</v>
      </c>
      <c r="F5099" t="s" s="2">
        <f>HYPERLINK("http://ts.21cn.com/tousu/show/id/1368548","http://ts.21cn.com/tousu/show/id/1368548")</f>
      </c>
      <c r="G5099" t="s" s="2">
        <v>17</v>
      </c>
      <c r="H5099" t="s" s="2">
        <v>19</v>
      </c>
      <c r="I5099" t="s" s="2">
        <v>19792</v>
      </c>
      <c r="J5099" t="s" s="2">
        <v>19793</v>
      </c>
      <c r="K5099" t="s" s="2">
        <v>22</v>
      </c>
      <c r="L5099" t="s" s="2">
        <v>22</v>
      </c>
      <c r="M5099" t="s" s="2">
        <v>22</v>
      </c>
    </row>
    <row r="5100" ht="25.0" customHeight="true">
      <c r="A5100" t="s" s="2">
        <v>13</v>
      </c>
      <c r="B5100" t="s" s="2">
        <f>HYPERLINK("http://ts.21cn.com/tousu/show/id/1368547","合同欺诈，私自扣款")</f>
      </c>
      <c r="C5100" t="s" s="2">
        <v>15</v>
      </c>
      <c r="D5100" t="s" s="2">
        <v>16</v>
      </c>
      <c r="E5100" t="s" s="2">
        <v>17</v>
      </c>
      <c r="F5100" t="s" s="2">
        <f>HYPERLINK("http://ts.21cn.com/tousu/show/id/1368547","http://ts.21cn.com/tousu/show/id/1368547")</f>
      </c>
      <c r="G5100" t="s" s="2">
        <v>17</v>
      </c>
      <c r="H5100" t="s" s="2">
        <v>19</v>
      </c>
      <c r="I5100" t="s" s="2">
        <v>19795</v>
      </c>
      <c r="J5100" t="s" s="2">
        <v>19796</v>
      </c>
      <c r="K5100" t="s" s="2">
        <v>22</v>
      </c>
      <c r="L5100" t="s" s="2">
        <v>22</v>
      </c>
      <c r="M5100" t="s" s="2">
        <v>22</v>
      </c>
    </row>
    <row r="5101" ht="25.0" customHeight="true">
      <c r="A5101" t="s" s="2">
        <v>13</v>
      </c>
      <c r="B5101" t="s" s="2">
        <f>HYPERLINK("http://ts.21cn.com/tousu/show/id/1368311","我要投诉")</f>
      </c>
      <c r="C5101" t="s" s="2">
        <v>15</v>
      </c>
      <c r="D5101" t="s" s="2">
        <v>16</v>
      </c>
      <c r="E5101" t="s" s="2">
        <v>17</v>
      </c>
      <c r="F5101" t="s" s="2">
        <f>HYPERLINK("http://ts.21cn.com/tousu/show/id/1368311","http://ts.21cn.com/tousu/show/id/1368311")</f>
      </c>
      <c r="G5101" t="s" s="2">
        <v>17</v>
      </c>
      <c r="H5101" t="s" s="2">
        <v>19</v>
      </c>
      <c r="I5101" t="s" s="2">
        <v>19799</v>
      </c>
      <c r="J5101" t="s" s="2">
        <v>19800</v>
      </c>
      <c r="K5101" t="s" s="2">
        <v>22</v>
      </c>
      <c r="L5101" t="s" s="2">
        <v>22</v>
      </c>
      <c r="M5101" t="s" s="2">
        <v>22</v>
      </c>
    </row>
    <row r="5102" ht="25.0" customHeight="true">
      <c r="A5102" t="s" s="2">
        <v>13</v>
      </c>
      <c r="B5102" t="s" s="2">
        <f>HYPERLINK("http://ts.21cn.com/tousu/show/id/1368546","中汇支付拖欠代理商血汗钱")</f>
      </c>
      <c r="C5102" t="s" s="2">
        <v>15</v>
      </c>
      <c r="D5102" t="s" s="2">
        <v>16</v>
      </c>
      <c r="E5102" t="s" s="2">
        <v>17</v>
      </c>
      <c r="F5102" t="s" s="2">
        <f>HYPERLINK("http://ts.21cn.com/tousu/show/id/1368546","http://ts.21cn.com/tousu/show/id/1368546")</f>
      </c>
      <c r="G5102" t="s" s="2">
        <v>17</v>
      </c>
      <c r="H5102" t="s" s="2">
        <v>19</v>
      </c>
      <c r="I5102" t="s" s="2">
        <v>19803</v>
      </c>
      <c r="J5102" t="s" s="2">
        <v>19804</v>
      </c>
      <c r="K5102" t="s" s="2">
        <v>22</v>
      </c>
      <c r="L5102" t="s" s="2">
        <v>22</v>
      </c>
      <c r="M5102" t="s" s="2">
        <v>22</v>
      </c>
    </row>
    <row r="5103" ht="25.0" customHeight="true">
      <c r="A5103" t="s" s="2">
        <v>13</v>
      </c>
      <c r="B5103" t="s" s="2">
        <f>HYPERLINK("http://ts.21cn.com/tousu/show/id/1368545","京东白条蒋个人信息出售第三方")</f>
      </c>
      <c r="C5103" t="s" s="2">
        <v>15</v>
      </c>
      <c r="D5103" t="s" s="2">
        <v>16</v>
      </c>
      <c r="E5103" t="s" s="2">
        <v>17</v>
      </c>
      <c r="F5103" t="s" s="2">
        <f>HYPERLINK("http://ts.21cn.com/tousu/show/id/1368545","http://ts.21cn.com/tousu/show/id/1368545")</f>
      </c>
      <c r="G5103" t="s" s="2">
        <v>17</v>
      </c>
      <c r="H5103" t="s" s="2">
        <v>19</v>
      </c>
      <c r="I5103" t="s" s="2">
        <v>19807</v>
      </c>
      <c r="J5103" t="s" s="2">
        <v>19808</v>
      </c>
      <c r="K5103" t="s" s="2">
        <v>22</v>
      </c>
      <c r="L5103" t="s" s="2">
        <v>22</v>
      </c>
      <c r="M5103" t="s" s="2">
        <v>22</v>
      </c>
    </row>
    <row r="5104" ht="25.0" customHeight="true">
      <c r="A5104" t="s" s="2">
        <v>13</v>
      </c>
      <c r="B5104" t="s" s="2">
        <f>HYPERLINK("http://ts.21cn.com/tousu/show/id/1368543","关于美约app乱扣费问题，免费试用后，自动续费会员一年298元")</f>
      </c>
      <c r="C5104" t="s" s="2">
        <v>52</v>
      </c>
      <c r="D5104" t="s" s="2">
        <v>16</v>
      </c>
      <c r="E5104" t="s" s="2">
        <v>17</v>
      </c>
      <c r="F5104" t="s" s="2">
        <f>HYPERLINK("http://ts.21cn.com/tousu/show/id/1368543","http://ts.21cn.com/tousu/show/id/1368543")</f>
      </c>
      <c r="G5104" t="s" s="2">
        <v>17</v>
      </c>
      <c r="H5104" t="s" s="2">
        <v>19</v>
      </c>
      <c r="I5104" t="s" s="2">
        <v>19810</v>
      </c>
      <c r="J5104" t="s" s="2">
        <v>19811</v>
      </c>
      <c r="K5104" t="s" s="2">
        <v>22</v>
      </c>
      <c r="L5104" t="s" s="2">
        <v>22</v>
      </c>
      <c r="M5104" t="s" s="2">
        <v>22</v>
      </c>
    </row>
    <row r="5105" ht="25.0" customHeight="true">
      <c r="A5105" t="s" s="2">
        <v>13</v>
      </c>
      <c r="B5105" t="s" s="2">
        <f>HYPERLINK("http://ts.21cn.com/tousu/show/id/1368474","拼多多退店成功押金却迟迟未到账")</f>
      </c>
      <c r="C5105" t="s" s="2">
        <v>15</v>
      </c>
      <c r="D5105" t="s" s="2">
        <v>16</v>
      </c>
      <c r="E5105" t="s" s="2">
        <v>17</v>
      </c>
      <c r="F5105" t="s" s="2">
        <f>HYPERLINK("http://ts.21cn.com/tousu/show/id/1368474","http://ts.21cn.com/tousu/show/id/1368474")</f>
      </c>
      <c r="G5105" t="s" s="2">
        <v>17</v>
      </c>
      <c r="H5105" t="s" s="2">
        <v>19</v>
      </c>
      <c r="I5105" t="s" s="2">
        <v>19814</v>
      </c>
      <c r="J5105" t="s" s="2">
        <v>19815</v>
      </c>
      <c r="K5105" t="s" s="2">
        <v>22</v>
      </c>
      <c r="L5105" t="s" s="2">
        <v>22</v>
      </c>
      <c r="M5105" t="s" s="2">
        <v>22</v>
      </c>
    </row>
    <row r="5106" ht="25.0" customHeight="true">
      <c r="A5106" t="s" s="2">
        <v>13</v>
      </c>
      <c r="B5106" t="s" s="2">
        <f>HYPERLINK("http://ts.21cn.com/tousu/show/id/1368539","苏宁易购出售残次品手机")</f>
      </c>
      <c r="C5106" t="s" s="2">
        <v>15</v>
      </c>
      <c r="D5106" t="s" s="2">
        <v>16</v>
      </c>
      <c r="E5106" t="s" s="2">
        <v>17</v>
      </c>
      <c r="F5106" t="s" s="2">
        <f>HYPERLINK("http://ts.21cn.com/tousu/show/id/1368539","http://ts.21cn.com/tousu/show/id/1368539")</f>
      </c>
      <c r="G5106" t="s" s="2">
        <v>17</v>
      </c>
      <c r="H5106" t="s" s="2">
        <v>19</v>
      </c>
      <c r="I5106" t="s" s="2">
        <v>19818</v>
      </c>
      <c r="J5106" t="s" s="2">
        <v>19819</v>
      </c>
      <c r="K5106" t="s" s="2">
        <v>22</v>
      </c>
      <c r="L5106" t="s" s="2">
        <v>22</v>
      </c>
      <c r="M5106" t="s" s="2">
        <v>22</v>
      </c>
    </row>
    <row r="5107" ht="25.0" customHeight="true">
      <c r="A5107" t="s" s="2">
        <v>13</v>
      </c>
      <c r="B5107" t="s" s="2">
        <f>HYPERLINK("http://ts.21cn.com/tousu/show/id/1368538","钱站旗下速金服砍头息违规操作")</f>
      </c>
      <c r="C5107" t="s" s="2">
        <v>15</v>
      </c>
      <c r="D5107" t="s" s="2">
        <v>16</v>
      </c>
      <c r="E5107" t="s" s="2">
        <v>17</v>
      </c>
      <c r="F5107" t="s" s="2">
        <f>HYPERLINK("http://ts.21cn.com/tousu/show/id/1368538","http://ts.21cn.com/tousu/show/id/1368538")</f>
      </c>
      <c r="G5107" t="s" s="2">
        <v>17</v>
      </c>
      <c r="H5107" t="s" s="2">
        <v>19</v>
      </c>
      <c r="I5107" t="s" s="2">
        <v>19822</v>
      </c>
      <c r="J5107" t="s" s="2">
        <v>19823</v>
      </c>
      <c r="K5107" t="s" s="2">
        <v>22</v>
      </c>
      <c r="L5107" t="s" s="2">
        <v>22</v>
      </c>
      <c r="M5107" t="s" s="2">
        <v>22</v>
      </c>
    </row>
    <row r="5108" ht="25.0" customHeight="true">
      <c r="A5108" t="s" s="2">
        <v>13</v>
      </c>
      <c r="B5108" t="s" s="2">
        <f>HYPERLINK("http://ts.21cn.com/tousu/show/id/1368537","拍拍贷暴力催收影响到日常生活")</f>
      </c>
      <c r="C5108" t="s" s="2">
        <v>15</v>
      </c>
      <c r="D5108" t="s" s="2">
        <v>16</v>
      </c>
      <c r="E5108" t="s" s="2">
        <v>17</v>
      </c>
      <c r="F5108" t="s" s="2">
        <f>HYPERLINK("http://ts.21cn.com/tousu/show/id/1368537","http://ts.21cn.com/tousu/show/id/1368537")</f>
      </c>
      <c r="G5108" t="s" s="2">
        <v>17</v>
      </c>
      <c r="H5108" t="s" s="2">
        <v>19</v>
      </c>
      <c r="I5108" t="s" s="2">
        <v>19826</v>
      </c>
      <c r="J5108" t="s" s="2">
        <v>19827</v>
      </c>
      <c r="K5108" t="s" s="2">
        <v>22</v>
      </c>
      <c r="L5108" t="s" s="2">
        <v>22</v>
      </c>
      <c r="M5108" t="s" s="2">
        <v>22</v>
      </c>
    </row>
    <row r="5109" ht="25.0" customHeight="true">
      <c r="A5109" t="s" s="2">
        <v>13</v>
      </c>
      <c r="B5109" t="s" s="2">
        <f>HYPERLINK("http://ts.21cn.com/tousu/show/id/1368536","安逸花暴力催收爆破通讯录威胁本人")</f>
      </c>
      <c r="C5109" t="s" s="2">
        <v>15</v>
      </c>
      <c r="D5109" t="s" s="2">
        <v>16</v>
      </c>
      <c r="E5109" t="s" s="2">
        <v>17</v>
      </c>
      <c r="F5109" t="s" s="2">
        <f>HYPERLINK("http://ts.21cn.com/tousu/show/id/1368536","http://ts.21cn.com/tousu/show/id/1368536")</f>
      </c>
      <c r="G5109" t="s" s="2">
        <v>17</v>
      </c>
      <c r="H5109" t="s" s="2">
        <v>19</v>
      </c>
      <c r="I5109" t="s" s="2">
        <v>19830</v>
      </c>
      <c r="J5109" t="s" s="2">
        <v>19831</v>
      </c>
      <c r="K5109" t="s" s="2">
        <v>22</v>
      </c>
      <c r="L5109" t="s" s="2">
        <v>22</v>
      </c>
      <c r="M5109" t="s" s="2">
        <v>22</v>
      </c>
    </row>
    <row r="5110" ht="25.0" customHeight="true">
      <c r="A5110" t="s" s="2">
        <v>13</v>
      </c>
      <c r="B5110" t="s" s="2">
        <f>HYPERLINK("http://ts.21cn.com/tousu/show/id/1368535","闪银从未有过逾期，却借不了")</f>
      </c>
      <c r="C5110" t="s" s="2">
        <v>15</v>
      </c>
      <c r="D5110" t="s" s="2">
        <v>16</v>
      </c>
      <c r="E5110" t="s" s="2">
        <v>17</v>
      </c>
      <c r="F5110" t="s" s="2">
        <f>HYPERLINK("http://ts.21cn.com/tousu/show/id/1368535","http://ts.21cn.com/tousu/show/id/1368535")</f>
      </c>
      <c r="G5110" t="s" s="2">
        <v>17</v>
      </c>
      <c r="H5110" t="s" s="2">
        <v>19</v>
      </c>
      <c r="I5110" t="s" s="2">
        <v>19834</v>
      </c>
      <c r="J5110" t="s" s="2">
        <v>19835</v>
      </c>
      <c r="K5110" t="s" s="2">
        <v>22</v>
      </c>
      <c r="L5110" t="s" s="2">
        <v>22</v>
      </c>
      <c r="M5110" t="s" s="2">
        <v>22</v>
      </c>
    </row>
    <row r="5111" ht="25.0" customHeight="true">
      <c r="A5111" t="s" s="2">
        <v>13</v>
      </c>
      <c r="B5111" t="s" s="2">
        <f>HYPERLINK("http://ts.21cn.com/tousu/show/id/1368534","暴力催收")</f>
      </c>
      <c r="C5111" t="s" s="2">
        <v>15</v>
      </c>
      <c r="D5111" t="s" s="2">
        <v>16</v>
      </c>
      <c r="E5111" t="s" s="2">
        <v>17</v>
      </c>
      <c r="F5111" t="s" s="2">
        <f>HYPERLINK("http://ts.21cn.com/tousu/show/id/1368534","http://ts.21cn.com/tousu/show/id/1368534")</f>
      </c>
      <c r="G5111" t="s" s="2">
        <v>17</v>
      </c>
      <c r="H5111" t="s" s="2">
        <v>19</v>
      </c>
      <c r="I5111" t="s" s="2">
        <v>19837</v>
      </c>
      <c r="J5111" t="s" s="2">
        <v>19838</v>
      </c>
      <c r="K5111" t="s" s="2">
        <v>22</v>
      </c>
      <c r="L5111" t="s" s="2">
        <v>22</v>
      </c>
      <c r="M5111" t="s" s="2">
        <v>22</v>
      </c>
    </row>
    <row r="5112" ht="25.0" customHeight="true">
      <c r="A5112" t="s" s="2">
        <v>13</v>
      </c>
      <c r="B5112" t="s" s="2">
        <f>HYPERLINK("http://ts.21cn.com/tousu/show/id/1368532","2345立即贷砍头息归还")</f>
      </c>
      <c r="C5112" t="s" s="2">
        <v>15</v>
      </c>
      <c r="D5112" t="s" s="2">
        <v>16</v>
      </c>
      <c r="E5112" t="s" s="2">
        <v>17</v>
      </c>
      <c r="F5112" t="s" s="2">
        <f>HYPERLINK("http://ts.21cn.com/tousu/show/id/1368532","http://ts.21cn.com/tousu/show/id/1368532")</f>
      </c>
      <c r="G5112" t="s" s="2">
        <v>17</v>
      </c>
      <c r="H5112" t="s" s="2">
        <v>19</v>
      </c>
      <c r="I5112" t="s" s="2">
        <v>19841</v>
      </c>
      <c r="J5112" t="s" s="2">
        <v>19842</v>
      </c>
      <c r="K5112" t="s" s="2">
        <v>22</v>
      </c>
      <c r="L5112" t="s" s="2">
        <v>22</v>
      </c>
      <c r="M5112" t="s" s="2">
        <v>22</v>
      </c>
    </row>
    <row r="5113" ht="25.0" customHeight="true">
      <c r="A5113" t="s" s="2">
        <v>13</v>
      </c>
      <c r="B5113" t="s" s="2">
        <f>HYPERLINK("http://ts.21cn.com/tousu/show/id/1368533","饿了么点餐不配送平台商家不解决")</f>
      </c>
      <c r="C5113" t="s" s="2">
        <v>15</v>
      </c>
      <c r="D5113" t="s" s="2">
        <v>16</v>
      </c>
      <c r="E5113" t="s" s="2">
        <v>17</v>
      </c>
      <c r="F5113" t="s" s="2">
        <f>HYPERLINK("http://ts.21cn.com/tousu/show/id/1368533","http://ts.21cn.com/tousu/show/id/1368533")</f>
      </c>
      <c r="G5113" t="s" s="2">
        <v>17</v>
      </c>
      <c r="H5113" t="s" s="2">
        <v>19</v>
      </c>
      <c r="I5113" t="s" s="2">
        <v>19845</v>
      </c>
      <c r="J5113" t="s" s="2">
        <v>19846</v>
      </c>
      <c r="K5113" t="s" s="2">
        <v>22</v>
      </c>
      <c r="L5113" t="s" s="2">
        <v>22</v>
      </c>
      <c r="M5113" t="s" s="2">
        <v>22</v>
      </c>
    </row>
    <row r="5114" ht="25.0" customHeight="true">
      <c r="A5114" t="s" s="2">
        <v>13</v>
      </c>
      <c r="B5114" t="s" s="2">
        <f>HYPERLINK("http://ts.21cn.com/tousu/show/id/1368531","佰仟金融超过法定利率")</f>
      </c>
      <c r="C5114" t="s" s="2">
        <v>15</v>
      </c>
      <c r="D5114" t="s" s="2">
        <v>16</v>
      </c>
      <c r="E5114" t="s" s="2">
        <v>17</v>
      </c>
      <c r="F5114" t="s" s="2">
        <f>HYPERLINK("http://ts.21cn.com/tousu/show/id/1368531","http://ts.21cn.com/tousu/show/id/1368531")</f>
      </c>
      <c r="G5114" t="s" s="2">
        <v>17</v>
      </c>
      <c r="H5114" t="s" s="2">
        <v>19</v>
      </c>
      <c r="I5114" t="s" s="2">
        <v>19849</v>
      </c>
      <c r="J5114" t="s" s="2">
        <v>19850</v>
      </c>
      <c r="K5114" t="s" s="2">
        <v>22</v>
      </c>
      <c r="L5114" t="s" s="2">
        <v>22</v>
      </c>
      <c r="M5114" t="s" s="2">
        <v>22</v>
      </c>
    </row>
    <row r="5115" ht="25.0" customHeight="true">
      <c r="A5115" t="s" s="2">
        <v>13</v>
      </c>
      <c r="B5115" t="s" s="2">
        <f>HYPERLINK("http://ts.21cn.com/tousu/show/id/1368529","我来数科骚扰威胁恐吓")</f>
      </c>
      <c r="C5115" t="s" s="2">
        <v>15</v>
      </c>
      <c r="D5115" t="s" s="2">
        <v>16</v>
      </c>
      <c r="E5115" t="s" s="2">
        <v>17</v>
      </c>
      <c r="F5115" t="s" s="2">
        <f>HYPERLINK("http://ts.21cn.com/tousu/show/id/1368529","http://ts.21cn.com/tousu/show/id/1368529")</f>
      </c>
      <c r="G5115" t="s" s="2">
        <v>17</v>
      </c>
      <c r="H5115" t="s" s="2">
        <v>19</v>
      </c>
      <c r="I5115" t="s" s="2">
        <v>19853</v>
      </c>
      <c r="J5115" t="s" s="2">
        <v>19854</v>
      </c>
      <c r="K5115" t="s" s="2">
        <v>22</v>
      </c>
      <c r="L5115" t="s" s="2">
        <v>22</v>
      </c>
      <c r="M5115" t="s" s="2">
        <v>22</v>
      </c>
    </row>
    <row r="5116" ht="25.0" customHeight="true">
      <c r="A5116" t="s" s="2">
        <v>13</v>
      </c>
      <c r="B5116" t="s" s="2">
        <f>HYPERLINK("http://ts.21cn.com/tousu/show/id/1368530","立即秒贷乱扣款")</f>
      </c>
      <c r="C5116" t="s" s="2">
        <v>15</v>
      </c>
      <c r="D5116" t="s" s="2">
        <v>16</v>
      </c>
      <c r="E5116" t="s" s="2">
        <v>17</v>
      </c>
      <c r="F5116" t="s" s="2">
        <f>HYPERLINK("http://ts.21cn.com/tousu/show/id/1368530","http://ts.21cn.com/tousu/show/id/1368530")</f>
      </c>
      <c r="G5116" t="s" s="2">
        <v>17</v>
      </c>
      <c r="H5116" t="s" s="2">
        <v>19</v>
      </c>
      <c r="I5116" t="s" s="2">
        <v>19857</v>
      </c>
      <c r="J5116" t="s" s="2">
        <v>19858</v>
      </c>
      <c r="K5116" t="s" s="2">
        <v>22</v>
      </c>
      <c r="L5116" t="s" s="2">
        <v>22</v>
      </c>
      <c r="M5116" t="s" s="2">
        <v>22</v>
      </c>
    </row>
    <row r="5117" ht="25.0" customHeight="true">
      <c r="A5117" t="s" s="2">
        <v>13</v>
      </c>
      <c r="B5117" t="s" s="2">
        <f>HYPERLINK("http://ts.21cn.com/tousu/show/id/1368526","凡普信贷套路贷，恶意催收，没有诚信！")</f>
      </c>
      <c r="C5117" t="s" s="2">
        <v>15</v>
      </c>
      <c r="D5117" t="s" s="2">
        <v>16</v>
      </c>
      <c r="E5117" t="s" s="2">
        <v>17</v>
      </c>
      <c r="F5117" t="s" s="2">
        <f>HYPERLINK("http://ts.21cn.com/tousu/show/id/1368526","http://ts.21cn.com/tousu/show/id/1368526")</f>
      </c>
      <c r="G5117" t="s" s="2">
        <v>17</v>
      </c>
      <c r="H5117" t="s" s="2">
        <v>19</v>
      </c>
      <c r="I5117" t="s" s="2">
        <v>19861</v>
      </c>
      <c r="J5117" t="s" s="2">
        <v>19862</v>
      </c>
      <c r="K5117" t="s" s="2">
        <v>22</v>
      </c>
      <c r="L5117" t="s" s="2">
        <v>22</v>
      </c>
      <c r="M5117" t="s" s="2">
        <v>22</v>
      </c>
    </row>
    <row r="5118" ht="25.0" customHeight="true">
      <c r="A5118" t="s" s="2">
        <v>13</v>
      </c>
      <c r="B5118" t="s" s="2">
        <f>HYPERLINK("http://ts.21cn.com/tousu/show/id/1368528","众安保险捆绑销售保险")</f>
      </c>
      <c r="C5118" t="s" s="2">
        <v>15</v>
      </c>
      <c r="D5118" t="s" s="2">
        <v>16</v>
      </c>
      <c r="E5118" t="s" s="2">
        <v>17</v>
      </c>
      <c r="F5118" t="s" s="2">
        <f>HYPERLINK("http://ts.21cn.com/tousu/show/id/1368528","http://ts.21cn.com/tousu/show/id/1368528")</f>
      </c>
      <c r="G5118" t="s" s="2">
        <v>17</v>
      </c>
      <c r="H5118" t="s" s="2">
        <v>19</v>
      </c>
      <c r="I5118" t="s" s="2">
        <v>19861</v>
      </c>
      <c r="J5118" t="s" s="2">
        <v>19865</v>
      </c>
      <c r="K5118" t="s" s="2">
        <v>22</v>
      </c>
      <c r="L5118" t="s" s="2">
        <v>22</v>
      </c>
      <c r="M5118" t="s" s="2">
        <v>22</v>
      </c>
    </row>
    <row r="5119" ht="25.0" customHeight="true">
      <c r="A5119" t="s" s="2">
        <v>13</v>
      </c>
      <c r="B5119" t="s" s="2">
        <f>HYPERLINK("http://ts.21cn.com/tousu/show/id/1368527","奇速贷暴力催收，威胁家人")</f>
      </c>
      <c r="C5119" t="s" s="2">
        <v>15</v>
      </c>
      <c r="D5119" t="s" s="2">
        <v>16</v>
      </c>
      <c r="E5119" t="s" s="2">
        <v>17</v>
      </c>
      <c r="F5119" t="s" s="2">
        <f>HYPERLINK("http://ts.21cn.com/tousu/show/id/1368527","http://ts.21cn.com/tousu/show/id/1368527")</f>
      </c>
      <c r="G5119" t="s" s="2">
        <v>17</v>
      </c>
      <c r="H5119" t="s" s="2">
        <v>19</v>
      </c>
      <c r="I5119" t="s" s="2">
        <v>19868</v>
      </c>
      <c r="J5119" t="s" s="2">
        <v>19869</v>
      </c>
      <c r="K5119" t="s" s="2">
        <v>22</v>
      </c>
      <c r="L5119" t="s" s="2">
        <v>22</v>
      </c>
      <c r="M5119" t="s" s="2">
        <v>22</v>
      </c>
    </row>
    <row r="5120" ht="25.0" customHeight="true">
      <c r="A5120" t="s" s="2">
        <v>13</v>
      </c>
      <c r="B5120" t="s" s="2">
        <f>HYPERLINK("http://ts.21cn.com/tousu/show/id/1368525","薪薪借钱恶意扣费")</f>
      </c>
      <c r="C5120" t="s" s="2">
        <v>15</v>
      </c>
      <c r="D5120" t="s" s="2">
        <v>16</v>
      </c>
      <c r="E5120" t="s" s="2">
        <v>17</v>
      </c>
      <c r="F5120" t="s" s="2">
        <f>HYPERLINK("http://ts.21cn.com/tousu/show/id/1368525","http://ts.21cn.com/tousu/show/id/1368525")</f>
      </c>
      <c r="G5120" t="s" s="2">
        <v>17</v>
      </c>
      <c r="H5120" t="s" s="2">
        <v>19</v>
      </c>
      <c r="I5120" t="s" s="2">
        <v>19872</v>
      </c>
      <c r="J5120" t="s" s="2">
        <v>19873</v>
      </c>
      <c r="K5120" t="s" s="2">
        <v>22</v>
      </c>
      <c r="L5120" t="s" s="2">
        <v>22</v>
      </c>
      <c r="M5120" t="s" s="2">
        <v>22</v>
      </c>
    </row>
    <row r="5121" ht="25.0" customHeight="true">
      <c r="A5121" t="s" s="2">
        <v>13</v>
      </c>
      <c r="B5121" t="s" s="2">
        <f>HYPERLINK("http://ts.21cn.com/tousu/show/id/1368523","情求延期处理")</f>
      </c>
      <c r="C5121" t="s" s="2">
        <v>52</v>
      </c>
      <c r="D5121" t="s" s="2">
        <v>16</v>
      </c>
      <c r="E5121" t="s" s="2">
        <v>17</v>
      </c>
      <c r="F5121" t="s" s="2">
        <f>HYPERLINK("http://ts.21cn.com/tousu/show/id/1368523","http://ts.21cn.com/tousu/show/id/1368523")</f>
      </c>
      <c r="G5121" t="s" s="2">
        <v>17</v>
      </c>
      <c r="H5121" t="s" s="2">
        <v>19</v>
      </c>
      <c r="I5121" t="s" s="2">
        <v>19876</v>
      </c>
      <c r="J5121" t="s" s="2">
        <v>19877</v>
      </c>
      <c r="K5121" t="s" s="2">
        <v>22</v>
      </c>
      <c r="L5121" t="s" s="2">
        <v>22</v>
      </c>
      <c r="M5121" t="s" s="2">
        <v>22</v>
      </c>
    </row>
    <row r="5122" ht="25.0" customHeight="true">
      <c r="A5122" t="s" s="2">
        <v>13</v>
      </c>
      <c r="B5122" t="s" s="2">
        <f>HYPERLINK("http://ts.21cn.com/tousu/show/id/1366893","小木钱包")</f>
      </c>
      <c r="C5122" t="s" s="2">
        <v>15</v>
      </c>
      <c r="D5122" t="s" s="2">
        <v>16</v>
      </c>
      <c r="E5122" t="s" s="2">
        <v>17</v>
      </c>
      <c r="F5122" t="s" s="2">
        <f>HYPERLINK("http://ts.21cn.com/tousu/show/id/1366893","http://ts.21cn.com/tousu/show/id/1366893")</f>
      </c>
      <c r="G5122" t="s" s="2">
        <v>17</v>
      </c>
      <c r="H5122" t="s" s="2">
        <v>19</v>
      </c>
      <c r="I5122" t="s" s="2">
        <v>19880</v>
      </c>
      <c r="J5122" t="s" s="2">
        <v>19881</v>
      </c>
      <c r="K5122" t="s" s="2">
        <v>22</v>
      </c>
      <c r="L5122" t="s" s="2">
        <v>22</v>
      </c>
      <c r="M5122" t="s" s="2">
        <v>22</v>
      </c>
    </row>
    <row r="5123" ht="25.0" customHeight="true">
      <c r="A5123" t="s" s="2">
        <v>13</v>
      </c>
      <c r="B5123" t="s" s="2">
        <f>HYPERLINK("http://ts.21cn.com/tousu/show/id/1368521","小花钱包恶意催收")</f>
      </c>
      <c r="C5123" t="s" s="2">
        <v>15</v>
      </c>
      <c r="D5123" t="s" s="2">
        <v>16</v>
      </c>
      <c r="E5123" t="s" s="2">
        <v>17</v>
      </c>
      <c r="F5123" t="s" s="2">
        <f>HYPERLINK("http://ts.21cn.com/tousu/show/id/1368521","http://ts.21cn.com/tousu/show/id/1368521")</f>
      </c>
      <c r="G5123" t="s" s="2">
        <v>17</v>
      </c>
      <c r="H5123" t="s" s="2">
        <v>19</v>
      </c>
      <c r="I5123" t="s" s="2">
        <v>19884</v>
      </c>
      <c r="J5123" t="s" s="2">
        <v>19885</v>
      </c>
      <c r="K5123" t="s" s="2">
        <v>22</v>
      </c>
      <c r="L5123" t="s" s="2">
        <v>22</v>
      </c>
      <c r="M5123" t="s" s="2">
        <v>22</v>
      </c>
    </row>
    <row r="5124" ht="25.0" customHeight="true">
      <c r="A5124" t="s" s="2">
        <v>13</v>
      </c>
      <c r="B5124" t="s" s="2">
        <f>HYPERLINK("http://ts.21cn.com/tousu/show/id/1368520","你我贷")</f>
      </c>
      <c r="C5124" t="s" s="2">
        <v>15</v>
      </c>
      <c r="D5124" t="s" s="2">
        <v>16</v>
      </c>
      <c r="E5124" t="s" s="2">
        <v>17</v>
      </c>
      <c r="F5124" t="s" s="2">
        <f>HYPERLINK("http://ts.21cn.com/tousu/show/id/1368520","http://ts.21cn.com/tousu/show/id/1368520")</f>
      </c>
      <c r="G5124" t="s" s="2">
        <v>17</v>
      </c>
      <c r="H5124" t="s" s="2">
        <v>19</v>
      </c>
      <c r="I5124" t="s" s="2">
        <v>19887</v>
      </c>
      <c r="J5124" t="s" s="2">
        <v>19888</v>
      </c>
      <c r="K5124" t="s" s="2">
        <v>22</v>
      </c>
      <c r="L5124" t="s" s="2">
        <v>22</v>
      </c>
      <c r="M5124" t="s" s="2">
        <v>22</v>
      </c>
    </row>
    <row r="5125" ht="25.0" customHeight="true">
      <c r="A5125" t="s" s="2">
        <v>13</v>
      </c>
      <c r="B5125" t="s" s="2">
        <f>HYPERLINK("http://ts.21cn.com/tousu/show/id/1368519","付呗卡我30670元")</f>
      </c>
      <c r="C5125" t="s" s="2">
        <v>15</v>
      </c>
      <c r="D5125" t="s" s="2">
        <v>16</v>
      </c>
      <c r="E5125" t="s" s="2">
        <v>17</v>
      </c>
      <c r="F5125" t="s" s="2">
        <f>HYPERLINK("http://ts.21cn.com/tousu/show/id/1368519","http://ts.21cn.com/tousu/show/id/1368519")</f>
      </c>
      <c r="G5125" t="s" s="2">
        <v>17</v>
      </c>
      <c r="H5125" t="s" s="2">
        <v>19</v>
      </c>
      <c r="I5125" t="s" s="2">
        <v>19891</v>
      </c>
      <c r="J5125" t="s" s="2">
        <v>19892</v>
      </c>
      <c r="K5125" t="s" s="2">
        <v>22</v>
      </c>
      <c r="L5125" t="s" s="2">
        <v>22</v>
      </c>
      <c r="M5125" t="s" s="2">
        <v>22</v>
      </c>
    </row>
    <row r="5126" ht="25.0" customHeight="true">
      <c r="A5126" t="s" s="2">
        <v>13</v>
      </c>
      <c r="B5126" t="s" s="2">
        <f>HYPERLINK("http://ts.21cn.com/tousu/show/id/1368518","引导交钱，虚假信息，不给退钱")</f>
      </c>
      <c r="C5126" t="s" s="2">
        <v>15</v>
      </c>
      <c r="D5126" t="s" s="2">
        <v>16</v>
      </c>
      <c r="E5126" t="s" s="2">
        <v>17</v>
      </c>
      <c r="F5126" t="s" s="2">
        <f>HYPERLINK("http://ts.21cn.com/tousu/show/id/1368518","http://ts.21cn.com/tousu/show/id/1368518")</f>
      </c>
      <c r="G5126" t="s" s="2">
        <v>17</v>
      </c>
      <c r="H5126" t="s" s="2">
        <v>19</v>
      </c>
      <c r="I5126" t="s" s="2">
        <v>19895</v>
      </c>
      <c r="J5126" t="s" s="2">
        <v>19896</v>
      </c>
      <c r="K5126" t="s" s="2">
        <v>22</v>
      </c>
      <c r="L5126" t="s" s="2">
        <v>22</v>
      </c>
      <c r="M5126" t="s" s="2">
        <v>22</v>
      </c>
    </row>
    <row r="5127" ht="25.0" customHeight="true">
      <c r="A5127" t="s" s="2">
        <v>13</v>
      </c>
      <c r="B5127" t="s" s="2">
        <f>HYPERLINK("http://ts.21cn.com/tousu/show/id/1368517","暴力催收威胁恐吓")</f>
      </c>
      <c r="C5127" t="s" s="2">
        <v>15</v>
      </c>
      <c r="D5127" t="s" s="2">
        <v>16</v>
      </c>
      <c r="E5127" t="s" s="2">
        <v>17</v>
      </c>
      <c r="F5127" t="s" s="2">
        <f>HYPERLINK("http://ts.21cn.com/tousu/show/id/1368517","http://ts.21cn.com/tousu/show/id/1368517")</f>
      </c>
      <c r="G5127" t="s" s="2">
        <v>17</v>
      </c>
      <c r="H5127" t="s" s="2">
        <v>19</v>
      </c>
      <c r="I5127" t="s" s="2">
        <v>19898</v>
      </c>
      <c r="J5127" t="s" s="2">
        <v>19899</v>
      </c>
      <c r="K5127" t="s" s="2">
        <v>22</v>
      </c>
      <c r="L5127" t="s" s="2">
        <v>22</v>
      </c>
      <c r="M5127" t="s" s="2">
        <v>22</v>
      </c>
    </row>
    <row r="5128" ht="25.0" customHeight="true">
      <c r="A5128" t="s" s="2">
        <v>13</v>
      </c>
      <c r="B5128" t="s" s="2">
        <f>HYPERLINK("http://ts.21cn.com/tousu/show/id/1368515","火影帮高利贷")</f>
      </c>
      <c r="C5128" t="s" s="2">
        <v>15</v>
      </c>
      <c r="D5128" t="s" s="2">
        <v>16</v>
      </c>
      <c r="E5128" t="s" s="2">
        <v>17</v>
      </c>
      <c r="F5128" t="s" s="2">
        <f>HYPERLINK("http://ts.21cn.com/tousu/show/id/1368515","http://ts.21cn.com/tousu/show/id/1368515")</f>
      </c>
      <c r="G5128" t="s" s="2">
        <v>17</v>
      </c>
      <c r="H5128" t="s" s="2">
        <v>19</v>
      </c>
      <c r="I5128" t="s" s="2">
        <v>19902</v>
      </c>
      <c r="J5128" t="s" s="2">
        <v>19903</v>
      </c>
      <c r="K5128" t="s" s="2">
        <v>22</v>
      </c>
      <c r="L5128" t="s" s="2">
        <v>22</v>
      </c>
      <c r="M5128" t="s" s="2">
        <v>22</v>
      </c>
    </row>
    <row r="5129" ht="25.0" customHeight="true">
      <c r="A5129" t="s" s="2">
        <v>13</v>
      </c>
      <c r="B5129" t="s" s="2">
        <f>HYPERLINK("http://ts.21cn.com/tousu/show/id/1368514","闪银哼哼骚扰我通讯录")</f>
      </c>
      <c r="C5129" t="s" s="2">
        <v>15</v>
      </c>
      <c r="D5129" t="s" s="2">
        <v>16</v>
      </c>
      <c r="E5129" t="s" s="2">
        <v>17</v>
      </c>
      <c r="F5129" t="s" s="2">
        <f>HYPERLINK("http://ts.21cn.com/tousu/show/id/1368514","http://ts.21cn.com/tousu/show/id/1368514")</f>
      </c>
      <c r="G5129" t="s" s="2">
        <v>17</v>
      </c>
      <c r="H5129" t="s" s="2">
        <v>19</v>
      </c>
      <c r="I5129" t="s" s="2">
        <v>19906</v>
      </c>
      <c r="J5129" t="s" s="2">
        <v>19907</v>
      </c>
      <c r="K5129" t="s" s="2">
        <v>22</v>
      </c>
      <c r="L5129" t="s" s="2">
        <v>22</v>
      </c>
      <c r="M5129" t="s" s="2">
        <v>22</v>
      </c>
    </row>
    <row r="5130" ht="25.0" customHeight="true">
      <c r="A5130" t="s" s="2">
        <v>13</v>
      </c>
      <c r="B5130" t="s" s="2">
        <f>HYPERLINK("http://ts.21cn.com/tousu/show/id/1365652","盛钱包还我血汗钱")</f>
      </c>
      <c r="C5130" t="s" s="2">
        <v>15</v>
      </c>
      <c r="D5130" t="s" s="2">
        <v>16</v>
      </c>
      <c r="E5130" t="s" s="2">
        <v>17</v>
      </c>
      <c r="F5130" t="s" s="2">
        <f>HYPERLINK("http://ts.21cn.com/tousu/show/id/1365652","http://ts.21cn.com/tousu/show/id/1365652")</f>
      </c>
      <c r="G5130" t="s" s="2">
        <v>17</v>
      </c>
      <c r="H5130" t="s" s="2">
        <v>19</v>
      </c>
      <c r="I5130" t="s" s="2">
        <v>19910</v>
      </c>
      <c r="J5130" t="s" s="2">
        <v>19911</v>
      </c>
      <c r="K5130" t="s" s="2">
        <v>22</v>
      </c>
      <c r="L5130" t="s" s="2">
        <v>22</v>
      </c>
      <c r="M5130" t="s" s="2">
        <v>22</v>
      </c>
    </row>
    <row r="5131" ht="25.0" customHeight="true">
      <c r="A5131" t="s" s="2">
        <v>13</v>
      </c>
      <c r="B5131" t="s" s="2">
        <f>HYPERLINK("http://ts.21cn.com/tousu/show/id/1368513","百事普惠恶意扣款")</f>
      </c>
      <c r="C5131" t="s" s="2">
        <v>15</v>
      </c>
      <c r="D5131" t="s" s="2">
        <v>16</v>
      </c>
      <c r="E5131" t="s" s="2">
        <v>17</v>
      </c>
      <c r="F5131" t="s" s="2">
        <f>HYPERLINK("http://ts.21cn.com/tousu/show/id/1368513","http://ts.21cn.com/tousu/show/id/1368513")</f>
      </c>
      <c r="G5131" t="s" s="2">
        <v>17</v>
      </c>
      <c r="H5131" t="s" s="2">
        <v>19</v>
      </c>
      <c r="I5131" t="s" s="2">
        <v>19913</v>
      </c>
      <c r="J5131" t="s" s="2">
        <v>19914</v>
      </c>
      <c r="K5131" t="s" s="2">
        <v>22</v>
      </c>
      <c r="L5131" t="s" s="2">
        <v>22</v>
      </c>
      <c r="M5131" t="s" s="2">
        <v>22</v>
      </c>
    </row>
    <row r="5132" ht="25.0" customHeight="true">
      <c r="A5132" t="s" s="2">
        <v>13</v>
      </c>
      <c r="B5132" t="s" s="2">
        <f>HYPERLINK("http://ts.21cn.com/tousu/show/id/1368512","玖富万卡变相收取高额服务费，擅自修改借款合同")</f>
      </c>
      <c r="C5132" t="s" s="2">
        <v>15</v>
      </c>
      <c r="D5132" t="s" s="2">
        <v>16</v>
      </c>
      <c r="E5132" t="s" s="2">
        <v>17</v>
      </c>
      <c r="F5132" t="s" s="2">
        <f>HYPERLINK("http://ts.21cn.com/tousu/show/id/1368512","http://ts.21cn.com/tousu/show/id/1368512")</f>
      </c>
      <c r="G5132" t="s" s="2">
        <v>17</v>
      </c>
      <c r="H5132" t="s" s="2">
        <v>19</v>
      </c>
      <c r="I5132" t="s" s="2">
        <v>19917</v>
      </c>
      <c r="J5132" t="s" s="2">
        <v>19918</v>
      </c>
      <c r="K5132" t="s" s="2">
        <v>22</v>
      </c>
      <c r="L5132" t="s" s="2">
        <v>22</v>
      </c>
      <c r="M5132" t="s" s="2">
        <v>22</v>
      </c>
    </row>
    <row r="5133" ht="25.0" customHeight="true">
      <c r="A5133" t="s" s="2">
        <v>13</v>
      </c>
      <c r="B5133" t="s" s="2">
        <f>HYPERLINK("http://ts.21cn.com/tousu/show/id/1368511","每日优鲜吞钱不退款，客服一直打转转")</f>
      </c>
      <c r="C5133" t="s" s="2">
        <v>15</v>
      </c>
      <c r="D5133" t="s" s="2">
        <v>16</v>
      </c>
      <c r="E5133" t="s" s="2">
        <v>17</v>
      </c>
      <c r="F5133" t="s" s="2">
        <f>HYPERLINK("http://ts.21cn.com/tousu/show/id/1368511","http://ts.21cn.com/tousu/show/id/1368511")</f>
      </c>
      <c r="G5133" t="s" s="2">
        <v>17</v>
      </c>
      <c r="H5133" t="s" s="2">
        <v>19</v>
      </c>
      <c r="I5133" t="s" s="2">
        <v>19921</v>
      </c>
      <c r="J5133" t="s" s="2">
        <v>19922</v>
      </c>
      <c r="K5133" t="s" s="2">
        <v>22</v>
      </c>
      <c r="L5133" t="s" s="2">
        <v>22</v>
      </c>
      <c r="M5133" t="s" s="2">
        <v>22</v>
      </c>
    </row>
    <row r="5134" ht="25.0" customHeight="true">
      <c r="A5134" t="s" s="2">
        <v>13</v>
      </c>
      <c r="B5134" t="s" s="2">
        <f>HYPERLINK("http://ts.21cn.com/tousu/show/id/1368510","京东金融里的多米贷电话骚扰")</f>
      </c>
      <c r="C5134" t="s" s="2">
        <v>15</v>
      </c>
      <c r="D5134" t="s" s="2">
        <v>16</v>
      </c>
      <c r="E5134" t="s" s="2">
        <v>17</v>
      </c>
      <c r="F5134" t="s" s="2">
        <f>HYPERLINK("http://ts.21cn.com/tousu/show/id/1368510","http://ts.21cn.com/tousu/show/id/1368510")</f>
      </c>
      <c r="G5134" t="s" s="2">
        <v>17</v>
      </c>
      <c r="H5134" t="s" s="2">
        <v>19</v>
      </c>
      <c r="I5134" t="s" s="2">
        <v>19925</v>
      </c>
      <c r="J5134" t="s" s="2">
        <v>19926</v>
      </c>
      <c r="K5134" t="s" s="2">
        <v>22</v>
      </c>
      <c r="L5134" t="s" s="2">
        <v>22</v>
      </c>
      <c r="M5134" t="s" s="2">
        <v>22</v>
      </c>
    </row>
    <row r="5135" ht="25.0" customHeight="true">
      <c r="A5135" t="s" s="2">
        <v>13</v>
      </c>
      <c r="B5135" t="s" s="2">
        <f>HYPERLINK("http://ts.21cn.com/tousu/show/id/1368509","立借平台钱置宝无法还款造成逾期")</f>
      </c>
      <c r="C5135" t="s" s="2">
        <v>52</v>
      </c>
      <c r="D5135" t="s" s="2">
        <v>16</v>
      </c>
      <c r="E5135" t="s" s="2">
        <v>17</v>
      </c>
      <c r="F5135" t="s" s="2">
        <f>HYPERLINK("http://ts.21cn.com/tousu/show/id/1368509","http://ts.21cn.com/tousu/show/id/1368509")</f>
      </c>
      <c r="G5135" t="s" s="2">
        <v>17</v>
      </c>
      <c r="H5135" t="s" s="2">
        <v>19</v>
      </c>
      <c r="I5135" t="s" s="2">
        <v>19929</v>
      </c>
      <c r="J5135" t="s" s="2">
        <v>19930</v>
      </c>
      <c r="K5135" t="s" s="2">
        <v>22</v>
      </c>
      <c r="L5135" t="s" s="2">
        <v>22</v>
      </c>
      <c r="M5135" t="s" s="2">
        <v>22</v>
      </c>
    </row>
    <row r="5136" ht="25.0" customHeight="true">
      <c r="A5136" t="s" s="2">
        <v>13</v>
      </c>
      <c r="B5136" t="s" s="2">
        <f>HYPERLINK("http://ts.21cn.com/tousu/show/id/1368508","我来贷超高逾期费")</f>
      </c>
      <c r="C5136" t="s" s="2">
        <v>52</v>
      </c>
      <c r="D5136" t="s" s="2">
        <v>16</v>
      </c>
      <c r="E5136" t="s" s="2">
        <v>17</v>
      </c>
      <c r="F5136" t="s" s="2">
        <f>HYPERLINK("http://ts.21cn.com/tousu/show/id/1368508","http://ts.21cn.com/tousu/show/id/1368508")</f>
      </c>
      <c r="G5136" t="s" s="2">
        <v>17</v>
      </c>
      <c r="H5136" t="s" s="2">
        <v>19</v>
      </c>
      <c r="I5136" t="s" s="2">
        <v>19933</v>
      </c>
      <c r="J5136" t="s" s="2">
        <v>19934</v>
      </c>
      <c r="K5136" t="s" s="2">
        <v>22</v>
      </c>
      <c r="L5136" t="s" s="2">
        <v>22</v>
      </c>
      <c r="M5136" t="s" s="2">
        <v>22</v>
      </c>
    </row>
    <row r="5137" ht="25.0" customHeight="true">
      <c r="A5137" t="s" s="2">
        <v>13</v>
      </c>
      <c r="B5137" t="s" s="2">
        <f>HYPERLINK("http://ts.21cn.com/tousu/show/id/1368506","百万钱包")</f>
      </c>
      <c r="C5137" t="s" s="2">
        <v>15</v>
      </c>
      <c r="D5137" t="s" s="2">
        <v>16</v>
      </c>
      <c r="E5137" t="s" s="2">
        <v>17</v>
      </c>
      <c r="F5137" t="s" s="2">
        <f>HYPERLINK("http://ts.21cn.com/tousu/show/id/1368506","http://ts.21cn.com/tousu/show/id/1368506")</f>
      </c>
      <c r="G5137" t="s" s="2">
        <v>17</v>
      </c>
      <c r="H5137" t="s" s="2">
        <v>19</v>
      </c>
      <c r="I5137" t="s" s="2">
        <v>19937</v>
      </c>
      <c r="J5137" t="s" s="2">
        <v>19938</v>
      </c>
      <c r="K5137" t="s" s="2">
        <v>22</v>
      </c>
      <c r="L5137" t="s" s="2">
        <v>22</v>
      </c>
      <c r="M5137" t="s" s="2">
        <v>22</v>
      </c>
    </row>
    <row r="5138" ht="25.0" customHeight="true">
      <c r="A5138" t="s" s="2">
        <v>13</v>
      </c>
      <c r="B5138" t="s" s="2">
        <f>HYPERLINK("http://ts.21cn.com/tousu/show/id/1367798","协商后仍然每天不停的骚扰和诋毁")</f>
      </c>
      <c r="C5138" t="s" s="2">
        <v>15</v>
      </c>
      <c r="D5138" t="s" s="2">
        <v>16</v>
      </c>
      <c r="E5138" t="s" s="2">
        <v>17</v>
      </c>
      <c r="F5138" t="s" s="2">
        <f>HYPERLINK("http://ts.21cn.com/tousu/show/id/1367798","http://ts.21cn.com/tousu/show/id/1367798")</f>
      </c>
      <c r="G5138" t="s" s="2">
        <v>17</v>
      </c>
      <c r="H5138" t="s" s="2">
        <v>19</v>
      </c>
      <c r="I5138" t="s" s="2">
        <v>19941</v>
      </c>
      <c r="J5138" t="s" s="2">
        <v>19942</v>
      </c>
      <c r="K5138" t="s" s="2">
        <v>22</v>
      </c>
      <c r="L5138" t="s" s="2">
        <v>22</v>
      </c>
      <c r="M5138" t="s" s="2">
        <v>22</v>
      </c>
    </row>
    <row r="5139" ht="25.0" customHeight="true">
      <c r="A5139" t="s" s="2">
        <v>13</v>
      </c>
      <c r="B5139" t="s" s="2">
        <f>HYPERLINK("http://ts.21cn.com/tousu/show/id/1368507","京东金融暴力催收")</f>
      </c>
      <c r="C5139" t="s" s="2">
        <v>15</v>
      </c>
      <c r="D5139" t="s" s="2">
        <v>16</v>
      </c>
      <c r="E5139" t="s" s="2">
        <v>17</v>
      </c>
      <c r="F5139" t="s" s="2">
        <f>HYPERLINK("http://ts.21cn.com/tousu/show/id/1368507","http://ts.21cn.com/tousu/show/id/1368507")</f>
      </c>
      <c r="G5139" t="s" s="2">
        <v>17</v>
      </c>
      <c r="H5139" t="s" s="2">
        <v>19</v>
      </c>
      <c r="I5139" t="s" s="2">
        <v>19944</v>
      </c>
      <c r="J5139" t="s" s="2">
        <v>19945</v>
      </c>
      <c r="K5139" t="s" s="2">
        <v>22</v>
      </c>
      <c r="L5139" t="s" s="2">
        <v>22</v>
      </c>
      <c r="M5139" t="s" s="2">
        <v>22</v>
      </c>
    </row>
    <row r="5140" ht="25.0" customHeight="true">
      <c r="A5140" t="s" s="2">
        <v>13</v>
      </c>
      <c r="B5140" t="s" s="2">
        <f>HYPERLINK("http://ts.21cn.com/tousu/show/id/1368503","招联金融套路贷暴力催收影响正常生活工作")</f>
      </c>
      <c r="C5140" t="s" s="2">
        <v>15</v>
      </c>
      <c r="D5140" t="s" s="2">
        <v>16</v>
      </c>
      <c r="E5140" t="s" s="2">
        <v>17</v>
      </c>
      <c r="F5140" t="s" s="2">
        <f>HYPERLINK("http://ts.21cn.com/tousu/show/id/1368503","http://ts.21cn.com/tousu/show/id/1368503")</f>
      </c>
      <c r="G5140" t="s" s="2">
        <v>17</v>
      </c>
      <c r="H5140" t="s" s="2">
        <v>19</v>
      </c>
      <c r="I5140" t="s" s="2">
        <v>19948</v>
      </c>
      <c r="J5140" t="s" s="2">
        <v>19949</v>
      </c>
      <c r="K5140" t="s" s="2">
        <v>22</v>
      </c>
      <c r="L5140" t="s" s="2">
        <v>22</v>
      </c>
      <c r="M5140" t="s" s="2">
        <v>22</v>
      </c>
    </row>
    <row r="5141" ht="25.0" customHeight="true">
      <c r="A5141" t="s" s="2">
        <v>13</v>
      </c>
      <c r="B5141" t="s" s="2">
        <f>HYPERLINK("http://ts.21cn.com/tousu/show/id/1368505","浦发银行暴力催收泄露用户信息")</f>
      </c>
      <c r="C5141" t="s" s="2">
        <v>15</v>
      </c>
      <c r="D5141" t="s" s="2">
        <v>16</v>
      </c>
      <c r="E5141" t="s" s="2">
        <v>17</v>
      </c>
      <c r="F5141" t="s" s="2">
        <f>HYPERLINK("http://ts.21cn.com/tousu/show/id/1368505","http://ts.21cn.com/tousu/show/id/1368505")</f>
      </c>
      <c r="G5141" t="s" s="2">
        <v>17</v>
      </c>
      <c r="H5141" t="s" s="2">
        <v>19</v>
      </c>
      <c r="I5141" t="s" s="2">
        <v>19952</v>
      </c>
      <c r="J5141" t="s" s="2">
        <v>19953</v>
      </c>
      <c r="K5141" t="s" s="2">
        <v>22</v>
      </c>
      <c r="L5141" t="s" s="2">
        <v>22</v>
      </c>
      <c r="M5141" t="s" s="2">
        <v>22</v>
      </c>
    </row>
    <row r="5142" ht="25.0" customHeight="true">
      <c r="A5142" t="s" s="2">
        <v>13</v>
      </c>
      <c r="B5142" t="s" s="2">
        <f>HYPERLINK("http://ts.21cn.com/tousu/show/id/1368504","美团骑手车辆无手续撞车逃跑")</f>
      </c>
      <c r="C5142" t="s" s="2">
        <v>52</v>
      </c>
      <c r="D5142" t="s" s="2">
        <v>16</v>
      </c>
      <c r="E5142" t="s" s="2">
        <v>17</v>
      </c>
      <c r="F5142" t="s" s="2">
        <f>HYPERLINK("http://ts.21cn.com/tousu/show/id/1368504","http://ts.21cn.com/tousu/show/id/1368504")</f>
      </c>
      <c r="G5142" t="s" s="2">
        <v>17</v>
      </c>
      <c r="H5142" t="s" s="2">
        <v>19</v>
      </c>
      <c r="I5142" t="s" s="2">
        <v>19956</v>
      </c>
      <c r="J5142" t="s" s="2">
        <v>19957</v>
      </c>
      <c r="K5142" t="s" s="2">
        <v>22</v>
      </c>
      <c r="L5142" t="s" s="2">
        <v>22</v>
      </c>
      <c r="M5142" t="s" s="2">
        <v>22</v>
      </c>
    </row>
    <row r="5143" ht="25.0" customHeight="true">
      <c r="A5143" t="s" s="2">
        <v>13</v>
      </c>
      <c r="B5143" t="s" s="2">
        <f>HYPERLINK("http://ts.21cn.com/tousu/show/id/1368501","易宝支付和宝付支付为农安九州财富信息技术有限公司714高炮提供支付通道要求退还砍头息")</f>
      </c>
      <c r="C5143" t="s" s="2">
        <v>52</v>
      </c>
      <c r="D5143" t="s" s="2">
        <v>16</v>
      </c>
      <c r="E5143" t="s" s="2">
        <v>17</v>
      </c>
      <c r="F5143" t="s" s="2">
        <f>HYPERLINK("http://ts.21cn.com/tousu/show/id/1368501","http://ts.21cn.com/tousu/show/id/1368501")</f>
      </c>
      <c r="G5143" t="s" s="2">
        <v>17</v>
      </c>
      <c r="H5143" t="s" s="2">
        <v>19</v>
      </c>
      <c r="I5143" t="s" s="2">
        <v>19960</v>
      </c>
      <c r="J5143" t="s" s="2">
        <v>19961</v>
      </c>
      <c r="K5143" t="s" s="2">
        <v>22</v>
      </c>
      <c r="L5143" t="s" s="2">
        <v>22</v>
      </c>
      <c r="M5143" t="s" s="2">
        <v>22</v>
      </c>
    </row>
    <row r="5144" ht="25.0" customHeight="true">
      <c r="A5144" t="s" s="2">
        <v>13</v>
      </c>
      <c r="B5144" t="s" s="2">
        <f>HYPERLINK("http://ts.21cn.com/tousu/show/id/1368499","微粒贷恶意上门")</f>
      </c>
      <c r="C5144" t="s" s="2">
        <v>15</v>
      </c>
      <c r="D5144" t="s" s="2">
        <v>16</v>
      </c>
      <c r="E5144" t="s" s="2">
        <v>17</v>
      </c>
      <c r="F5144" t="s" s="2">
        <f>HYPERLINK("http://ts.21cn.com/tousu/show/id/1368499","http://ts.21cn.com/tousu/show/id/1368499")</f>
      </c>
      <c r="G5144" t="s" s="2">
        <v>17</v>
      </c>
      <c r="H5144" t="s" s="2">
        <v>19</v>
      </c>
      <c r="I5144" t="s" s="2">
        <v>19964</v>
      </c>
      <c r="J5144" t="s" s="2">
        <v>19965</v>
      </c>
      <c r="K5144" t="s" s="2">
        <v>22</v>
      </c>
      <c r="L5144" t="s" s="2">
        <v>22</v>
      </c>
      <c r="M5144" t="s" s="2">
        <v>22</v>
      </c>
    </row>
    <row r="5145" ht="25.0" customHeight="true">
      <c r="A5145" t="s" s="2">
        <v>13</v>
      </c>
      <c r="B5145" t="s" s="2">
        <f>HYPERLINK("http://ts.21cn.com/tousu/show/id/1368500","现金巴士高利贷，一期本金364，逾期一天10元，希望协商还款不同意")</f>
      </c>
      <c r="C5145" t="s" s="2">
        <v>15</v>
      </c>
      <c r="D5145" t="s" s="2">
        <v>16</v>
      </c>
      <c r="E5145" t="s" s="2">
        <v>17</v>
      </c>
      <c r="F5145" t="s" s="2">
        <f>HYPERLINK("http://ts.21cn.com/tousu/show/id/1368500","http://ts.21cn.com/tousu/show/id/1368500")</f>
      </c>
      <c r="G5145" t="s" s="2">
        <v>17</v>
      </c>
      <c r="H5145" t="s" s="2">
        <v>19</v>
      </c>
      <c r="I5145" t="s" s="2">
        <v>19968</v>
      </c>
      <c r="J5145" t="s" s="2">
        <v>19969</v>
      </c>
      <c r="K5145" t="s" s="2">
        <v>22</v>
      </c>
      <c r="L5145" t="s" s="2">
        <v>22</v>
      </c>
      <c r="M5145" t="s" s="2">
        <v>22</v>
      </c>
    </row>
    <row r="5146" ht="25.0" customHeight="true">
      <c r="A5146" t="s" s="2">
        <v>13</v>
      </c>
      <c r="B5146" t="s" s="2">
        <f>HYPERLINK("http://ts.21cn.com/tousu/show/id/1368498","高利贷平台")</f>
      </c>
      <c r="C5146" t="s" s="2">
        <v>15</v>
      </c>
      <c r="D5146" t="s" s="2">
        <v>16</v>
      </c>
      <c r="E5146" t="s" s="2">
        <v>17</v>
      </c>
      <c r="F5146" t="s" s="2">
        <f>HYPERLINK("http://ts.21cn.com/tousu/show/id/1368498","http://ts.21cn.com/tousu/show/id/1368498")</f>
      </c>
      <c r="G5146" t="s" s="2">
        <v>17</v>
      </c>
      <c r="H5146" t="s" s="2">
        <v>19</v>
      </c>
      <c r="I5146" t="s" s="2">
        <v>19972</v>
      </c>
      <c r="J5146" t="s" s="2">
        <v>19973</v>
      </c>
      <c r="K5146" t="s" s="2">
        <v>22</v>
      </c>
      <c r="L5146" t="s" s="2">
        <v>22</v>
      </c>
      <c r="M5146" t="s" s="2">
        <v>22</v>
      </c>
    </row>
    <row r="5147" ht="25.0" customHeight="true">
      <c r="A5147" t="s" s="2">
        <v>13</v>
      </c>
      <c r="B5147" t="s" s="2">
        <f>HYPERLINK("http://ts.21cn.com/tousu/show/id/1368497","立即贷乱扣款")</f>
      </c>
      <c r="C5147" t="s" s="2">
        <v>15</v>
      </c>
      <c r="D5147" t="s" s="2">
        <v>16</v>
      </c>
      <c r="E5147" t="s" s="2">
        <v>17</v>
      </c>
      <c r="F5147" t="s" s="2">
        <f>HYPERLINK("http://ts.21cn.com/tousu/show/id/1368497","http://ts.21cn.com/tousu/show/id/1368497")</f>
      </c>
      <c r="G5147" t="s" s="2">
        <v>17</v>
      </c>
      <c r="H5147" t="s" s="2">
        <v>19</v>
      </c>
      <c r="I5147" t="s" s="2">
        <v>19976</v>
      </c>
      <c r="J5147" t="s" s="2">
        <v>19977</v>
      </c>
      <c r="K5147" t="s" s="2">
        <v>22</v>
      </c>
      <c r="L5147" t="s" s="2">
        <v>22</v>
      </c>
      <c r="M5147" t="s" s="2">
        <v>22</v>
      </c>
    </row>
    <row r="5148" ht="25.0" customHeight="true">
      <c r="A5148" t="s" s="2">
        <v>13</v>
      </c>
      <c r="B5148" t="s" s="2">
        <f>HYPERLINK("http://ts.21cn.com/tousu/show/id/1368496","苏宁易购售卖变质大米")</f>
      </c>
      <c r="C5148" t="s" s="2">
        <v>15</v>
      </c>
      <c r="D5148" t="s" s="2">
        <v>16</v>
      </c>
      <c r="E5148" t="s" s="2">
        <v>17</v>
      </c>
      <c r="F5148" t="s" s="2">
        <f>HYPERLINK("http://ts.21cn.com/tousu/show/id/1368496","http://ts.21cn.com/tousu/show/id/1368496")</f>
      </c>
      <c r="G5148" t="s" s="2">
        <v>17</v>
      </c>
      <c r="H5148" t="s" s="2">
        <v>19</v>
      </c>
      <c r="I5148" t="s" s="2">
        <v>19980</v>
      </c>
      <c r="J5148" t="s" s="2">
        <v>19981</v>
      </c>
      <c r="K5148" t="s" s="2">
        <v>22</v>
      </c>
      <c r="L5148" t="s" s="2">
        <v>22</v>
      </c>
      <c r="M5148" t="s" s="2">
        <v>22</v>
      </c>
    </row>
    <row r="5149" ht="25.0" customHeight="true">
      <c r="A5149" t="s" s="2">
        <v>13</v>
      </c>
      <c r="B5149" t="s" s="2">
        <f>HYPERLINK("http://ts.21cn.com/tousu/show/id/1368494","豆豆钱对我联系人手机连环扣")</f>
      </c>
      <c r="C5149" t="s" s="2">
        <v>15</v>
      </c>
      <c r="D5149" t="s" s="2">
        <v>16</v>
      </c>
      <c r="E5149" t="s" s="2">
        <v>17</v>
      </c>
      <c r="F5149" t="s" s="2">
        <f>HYPERLINK("http://ts.21cn.com/tousu/show/id/1368494","http://ts.21cn.com/tousu/show/id/1368494")</f>
      </c>
      <c r="G5149" t="s" s="2">
        <v>17</v>
      </c>
      <c r="H5149" t="s" s="2">
        <v>19</v>
      </c>
      <c r="I5149" t="s" s="2">
        <v>19984</v>
      </c>
      <c r="J5149" t="s" s="2">
        <v>19985</v>
      </c>
      <c r="K5149" t="s" s="2">
        <v>22</v>
      </c>
      <c r="L5149" t="s" s="2">
        <v>22</v>
      </c>
      <c r="M5149" t="s" s="2">
        <v>22</v>
      </c>
    </row>
    <row r="5150" ht="25.0" customHeight="true">
      <c r="A5150" t="s" s="2">
        <v>13</v>
      </c>
      <c r="B5150" t="s" s="2">
        <f>HYPERLINK("http://ts.21cn.com/tousu/show/id/1368493","畅捷支付为违法714高炮提供支付通道")</f>
      </c>
      <c r="C5150" t="s" s="2">
        <v>15</v>
      </c>
      <c r="D5150" t="s" s="2">
        <v>16</v>
      </c>
      <c r="E5150" t="s" s="2">
        <v>17</v>
      </c>
      <c r="F5150" t="s" s="2">
        <f>HYPERLINK("http://ts.21cn.com/tousu/show/id/1368493","http://ts.21cn.com/tousu/show/id/1368493")</f>
      </c>
      <c r="G5150" t="s" s="2">
        <v>17</v>
      </c>
      <c r="H5150" t="s" s="2">
        <v>19</v>
      </c>
      <c r="I5150" t="s" s="2">
        <v>19988</v>
      </c>
      <c r="J5150" t="s" s="2">
        <v>19989</v>
      </c>
      <c r="K5150" t="s" s="2">
        <v>22</v>
      </c>
      <c r="L5150" t="s" s="2">
        <v>22</v>
      </c>
      <c r="M5150" t="s" s="2">
        <v>22</v>
      </c>
    </row>
    <row r="5151" ht="25.0" customHeight="true">
      <c r="A5151" t="s" s="2">
        <v>13</v>
      </c>
      <c r="B5151" t="s" s="2">
        <f>HYPERLINK("http://ts.21cn.com/tousu/show/id/1368495","闪银爆力催收")</f>
      </c>
      <c r="C5151" t="s" s="2">
        <v>15</v>
      </c>
      <c r="D5151" t="s" s="2">
        <v>16</v>
      </c>
      <c r="E5151" t="s" s="2">
        <v>17</v>
      </c>
      <c r="F5151" t="s" s="2">
        <f>HYPERLINK("http://ts.21cn.com/tousu/show/id/1368495","http://ts.21cn.com/tousu/show/id/1368495")</f>
      </c>
      <c r="G5151" t="s" s="2">
        <v>17</v>
      </c>
      <c r="H5151" t="s" s="2">
        <v>19</v>
      </c>
      <c r="I5151" t="s" s="2">
        <v>19992</v>
      </c>
      <c r="J5151" t="s" s="2">
        <v>19993</v>
      </c>
      <c r="K5151" t="s" s="2">
        <v>22</v>
      </c>
      <c r="L5151" t="s" s="2">
        <v>22</v>
      </c>
      <c r="M5151" t="s" s="2">
        <v>22</v>
      </c>
    </row>
    <row r="5152" ht="25.0" customHeight="true">
      <c r="A5152" t="s" s="2">
        <v>13</v>
      </c>
      <c r="B5152" t="s" s="2">
        <f>HYPERLINK("http://ts.21cn.com/tousu/show/id/1368492","招联好期贷轰炸通讯录")</f>
      </c>
      <c r="C5152" t="s" s="2">
        <v>15</v>
      </c>
      <c r="D5152" t="s" s="2">
        <v>16</v>
      </c>
      <c r="E5152" t="s" s="2">
        <v>17</v>
      </c>
      <c r="F5152" t="s" s="2">
        <f>HYPERLINK("http://ts.21cn.com/tousu/show/id/1368492","http://ts.21cn.com/tousu/show/id/1368492")</f>
      </c>
      <c r="G5152" t="s" s="2">
        <v>17</v>
      </c>
      <c r="H5152" t="s" s="2">
        <v>19</v>
      </c>
      <c r="I5152" t="s" s="2">
        <v>19996</v>
      </c>
      <c r="J5152" t="s" s="2">
        <v>19997</v>
      </c>
      <c r="K5152" t="s" s="2">
        <v>22</v>
      </c>
      <c r="L5152" t="s" s="2">
        <v>22</v>
      </c>
      <c r="M5152" t="s" s="2">
        <v>22</v>
      </c>
    </row>
    <row r="5153" ht="25.0" customHeight="true">
      <c r="A5153" t="s" s="2">
        <v>13</v>
      </c>
      <c r="B5153" t="s" s="2">
        <f>HYPERLINK("http://ts.21cn.com/tousu/show/id/1368488","爱又米直言要打联系人在能联系到我本人的情况下")</f>
      </c>
      <c r="C5153" t="s" s="2">
        <v>52</v>
      </c>
      <c r="D5153" t="s" s="2">
        <v>16</v>
      </c>
      <c r="E5153" t="s" s="2">
        <v>17</v>
      </c>
      <c r="F5153" t="s" s="2">
        <f>HYPERLINK("http://ts.21cn.com/tousu/show/id/1368488","http://ts.21cn.com/tousu/show/id/1368488")</f>
      </c>
      <c r="G5153" t="s" s="2">
        <v>17</v>
      </c>
      <c r="H5153" t="s" s="2">
        <v>19</v>
      </c>
      <c r="I5153" t="s" s="2">
        <v>20000</v>
      </c>
      <c r="J5153" t="s" s="2">
        <v>20001</v>
      </c>
      <c r="K5153" t="s" s="2">
        <v>22</v>
      </c>
      <c r="L5153" t="s" s="2">
        <v>22</v>
      </c>
      <c r="M5153" t="s" s="2">
        <v>22</v>
      </c>
    </row>
    <row r="5154" ht="25.0" customHeight="true">
      <c r="A5154" t="s" s="2">
        <v>13</v>
      </c>
      <c r="B5154" t="s" s="2">
        <f>HYPERLINK("http://ts.21cn.com/tousu/show/id/1368489","小赢卡贷利息太高还不起了")</f>
      </c>
      <c r="C5154" t="s" s="2">
        <v>15</v>
      </c>
      <c r="D5154" t="s" s="2">
        <v>16</v>
      </c>
      <c r="E5154" t="s" s="2">
        <v>17</v>
      </c>
      <c r="F5154" t="s" s="2">
        <f>HYPERLINK("http://ts.21cn.com/tousu/show/id/1368489","http://ts.21cn.com/tousu/show/id/1368489")</f>
      </c>
      <c r="G5154" t="s" s="2">
        <v>17</v>
      </c>
      <c r="H5154" t="s" s="2">
        <v>19</v>
      </c>
      <c r="I5154" t="s" s="2">
        <v>20004</v>
      </c>
      <c r="J5154" t="s" s="2">
        <v>20005</v>
      </c>
      <c r="K5154" t="s" s="2">
        <v>22</v>
      </c>
      <c r="L5154" t="s" s="2">
        <v>22</v>
      </c>
      <c r="M5154" t="s" s="2">
        <v>22</v>
      </c>
    </row>
    <row r="5155" ht="25.0" customHeight="true">
      <c r="A5155" t="s" s="2">
        <v>13</v>
      </c>
      <c r="B5155" t="s" s="2">
        <f>HYPERLINK("http://ts.21cn.com/tousu/show/id/1368487","智行用车平台不严谨，退款慢")</f>
      </c>
      <c r="C5155" t="s" s="2">
        <v>15</v>
      </c>
      <c r="D5155" t="s" s="2">
        <v>16</v>
      </c>
      <c r="E5155" t="s" s="2">
        <v>17</v>
      </c>
      <c r="F5155" t="s" s="2">
        <f>HYPERLINK("http://ts.21cn.com/tousu/show/id/1368487","http://ts.21cn.com/tousu/show/id/1368487")</f>
      </c>
      <c r="G5155" t="s" s="2">
        <v>17</v>
      </c>
      <c r="H5155" t="s" s="2">
        <v>19</v>
      </c>
      <c r="I5155" t="s" s="2">
        <v>20008</v>
      </c>
      <c r="J5155" t="s" s="2">
        <v>20009</v>
      </c>
      <c r="K5155" t="s" s="2">
        <v>22</v>
      </c>
      <c r="L5155" t="s" s="2">
        <v>22</v>
      </c>
      <c r="M5155" t="s" s="2">
        <v>22</v>
      </c>
    </row>
    <row r="5156" ht="25.0" customHeight="true">
      <c r="A5156" t="s" s="2">
        <v>13</v>
      </c>
      <c r="B5156" t="s" s="2">
        <f>HYPERLINK("http://ts.21cn.com/tousu/show/id/1368491","小象优品逾期暴力催收并骚扰通讯录，发短信骚扰")</f>
      </c>
      <c r="C5156" t="s" s="2">
        <v>15</v>
      </c>
      <c r="D5156" t="s" s="2">
        <v>16</v>
      </c>
      <c r="E5156" t="s" s="2">
        <v>17</v>
      </c>
      <c r="F5156" t="s" s="2">
        <f>HYPERLINK("http://ts.21cn.com/tousu/show/id/1368491","http://ts.21cn.com/tousu/show/id/1368491")</f>
      </c>
      <c r="G5156" t="s" s="2">
        <v>17</v>
      </c>
      <c r="H5156" t="s" s="2">
        <v>19</v>
      </c>
      <c r="I5156" t="s" s="2">
        <v>20012</v>
      </c>
      <c r="J5156" t="s" s="2">
        <v>20013</v>
      </c>
      <c r="K5156" t="s" s="2">
        <v>22</v>
      </c>
      <c r="L5156" t="s" s="2">
        <v>22</v>
      </c>
      <c r="M5156" t="s" s="2">
        <v>22</v>
      </c>
    </row>
    <row r="5157" ht="25.0" customHeight="true">
      <c r="A5157" t="s" s="2">
        <v>13</v>
      </c>
      <c r="B5157" t="s" s="2">
        <f>HYPERLINK("http://ts.21cn.com/tousu/show/id/1368486","投诉骑驴游，客户未消费却以霸王条款拒绝退款")</f>
      </c>
      <c r="C5157" t="s" s="2">
        <v>15</v>
      </c>
      <c r="D5157" t="s" s="2">
        <v>16</v>
      </c>
      <c r="E5157" t="s" s="2">
        <v>17</v>
      </c>
      <c r="F5157" t="s" s="2">
        <f>HYPERLINK("http://ts.21cn.com/tousu/show/id/1368486","http://ts.21cn.com/tousu/show/id/1368486")</f>
      </c>
      <c r="G5157" t="s" s="2">
        <v>17</v>
      </c>
      <c r="H5157" t="s" s="2">
        <v>19</v>
      </c>
      <c r="I5157" t="s" s="2">
        <v>20016</v>
      </c>
      <c r="J5157" t="s" s="2">
        <v>20017</v>
      </c>
      <c r="K5157" t="s" s="2">
        <v>22</v>
      </c>
      <c r="L5157" t="s" s="2">
        <v>22</v>
      </c>
      <c r="M5157" t="s" s="2">
        <v>22</v>
      </c>
    </row>
    <row r="5158" ht="25.0" customHeight="true">
      <c r="A5158" t="s" s="2">
        <v>13</v>
      </c>
      <c r="B5158" t="s" s="2">
        <f>HYPERLINK("http://ts.21cn.com/tousu/show/id/1368490","支付宝微信为赌博网站提供充值通道")</f>
      </c>
      <c r="C5158" t="s" s="2">
        <v>15</v>
      </c>
      <c r="D5158" t="s" s="2">
        <v>16</v>
      </c>
      <c r="E5158" t="s" s="2">
        <v>17</v>
      </c>
      <c r="F5158" t="s" s="2">
        <f>HYPERLINK("http://ts.21cn.com/tousu/show/id/1368490","http://ts.21cn.com/tousu/show/id/1368490")</f>
      </c>
      <c r="G5158" t="s" s="2">
        <v>17</v>
      </c>
      <c r="H5158" t="s" s="2">
        <v>19</v>
      </c>
      <c r="I5158" t="s" s="2">
        <v>20016</v>
      </c>
      <c r="J5158" t="s" s="2">
        <v>20020</v>
      </c>
      <c r="K5158" t="s" s="2">
        <v>22</v>
      </c>
      <c r="L5158" t="s" s="2">
        <v>22</v>
      </c>
      <c r="M5158" t="s" s="2">
        <v>22</v>
      </c>
    </row>
    <row r="5159" ht="25.0" customHeight="true">
      <c r="A5159" t="s" s="2">
        <v>13</v>
      </c>
      <c r="B5159" t="s" s="2">
        <f>HYPERLINK("http://ts.21cn.com/tousu/show/id/1368485","有用分期高利贷高利息。撤销合同，停止催收。")</f>
      </c>
      <c r="C5159" t="s" s="2">
        <v>15</v>
      </c>
      <c r="D5159" t="s" s="2">
        <v>16</v>
      </c>
      <c r="E5159" t="s" s="2">
        <v>17</v>
      </c>
      <c r="F5159" t="s" s="2">
        <f>HYPERLINK("http://ts.21cn.com/tousu/show/id/1368485","http://ts.21cn.com/tousu/show/id/1368485")</f>
      </c>
      <c r="G5159" t="s" s="2">
        <v>17</v>
      </c>
      <c r="H5159" t="s" s="2">
        <v>19</v>
      </c>
      <c r="I5159" t="s" s="2">
        <v>20023</v>
      </c>
      <c r="J5159" t="s" s="2">
        <v>20024</v>
      </c>
      <c r="K5159" t="s" s="2">
        <v>22</v>
      </c>
      <c r="L5159" t="s" s="2">
        <v>22</v>
      </c>
      <c r="M5159" t="s" s="2">
        <v>22</v>
      </c>
    </row>
    <row r="5160" ht="25.0" customHeight="true">
      <c r="A5160" t="s" s="2">
        <v>13</v>
      </c>
      <c r="B5160" t="s" s="2">
        <f>HYPERLINK("http://ts.21cn.com/tousu/show/id/1368484","优信优卡不能充值，合作方寺库、北京银联商务受牵连，回应协助积极处理")</f>
      </c>
      <c r="C5160" t="s" s="2">
        <v>15</v>
      </c>
      <c r="D5160" t="s" s="2">
        <v>16</v>
      </c>
      <c r="E5160" t="s" s="2">
        <v>17</v>
      </c>
      <c r="F5160" t="s" s="2">
        <f>HYPERLINK("http://ts.21cn.com/tousu/show/id/1368484","http://ts.21cn.com/tousu/show/id/1368484")</f>
      </c>
      <c r="G5160" t="s" s="2">
        <v>17</v>
      </c>
      <c r="H5160" t="s" s="2">
        <v>19</v>
      </c>
      <c r="I5160" t="s" s="2">
        <v>20026</v>
      </c>
      <c r="J5160" t="s" s="2">
        <v>20027</v>
      </c>
      <c r="K5160" t="s" s="2">
        <v>22</v>
      </c>
      <c r="L5160" t="s" s="2">
        <v>22</v>
      </c>
      <c r="M5160" t="s" s="2">
        <v>22</v>
      </c>
    </row>
    <row r="5161" ht="25.0" customHeight="true">
      <c r="A5161" t="s" s="2">
        <v>13</v>
      </c>
      <c r="B5161" t="s" s="2">
        <f>HYPERLINK("http://ts.21cn.com/tousu/show/id/1368483","利息太高，不停的电话短信威胁性的骚扰本人和家人")</f>
      </c>
      <c r="C5161" t="s" s="2">
        <v>15</v>
      </c>
      <c r="D5161" t="s" s="2">
        <v>16</v>
      </c>
      <c r="E5161" t="s" s="2">
        <v>17</v>
      </c>
      <c r="F5161" t="s" s="2">
        <f>HYPERLINK("http://ts.21cn.com/tousu/show/id/1368483","http://ts.21cn.com/tousu/show/id/1368483")</f>
      </c>
      <c r="G5161" t="s" s="2">
        <v>17</v>
      </c>
      <c r="H5161" t="s" s="2">
        <v>19</v>
      </c>
      <c r="I5161" t="s" s="2">
        <v>20030</v>
      </c>
      <c r="J5161" t="s" s="2">
        <v>20031</v>
      </c>
      <c r="K5161" t="s" s="2">
        <v>22</v>
      </c>
      <c r="L5161" t="s" s="2">
        <v>22</v>
      </c>
      <c r="M5161" t="s" s="2">
        <v>22</v>
      </c>
    </row>
    <row r="5162" ht="25.0" customHeight="true">
      <c r="A5162" t="s" s="2">
        <v>13</v>
      </c>
      <c r="B5162" t="s" s="2">
        <f>HYPERLINK("http://ts.21cn.com/tousu/show/id/1368481","宜人贷套路贷砍头息加服务费3万元")</f>
      </c>
      <c r="C5162" t="s" s="2">
        <v>15</v>
      </c>
      <c r="D5162" t="s" s="2">
        <v>16</v>
      </c>
      <c r="E5162" t="s" s="2">
        <v>17</v>
      </c>
      <c r="F5162" t="s" s="2">
        <f>HYPERLINK("http://ts.21cn.com/tousu/show/id/1368481","http://ts.21cn.com/tousu/show/id/1368481")</f>
      </c>
      <c r="G5162" t="s" s="2">
        <v>17</v>
      </c>
      <c r="H5162" t="s" s="2">
        <v>19</v>
      </c>
      <c r="I5162" t="s" s="2">
        <v>20034</v>
      </c>
      <c r="J5162" t="s" s="2">
        <v>20035</v>
      </c>
      <c r="K5162" t="s" s="2">
        <v>22</v>
      </c>
      <c r="L5162" t="s" s="2">
        <v>22</v>
      </c>
      <c r="M5162" t="s" s="2">
        <v>22</v>
      </c>
    </row>
    <row r="5163" ht="25.0" customHeight="true">
      <c r="A5163" t="s" s="2">
        <v>13</v>
      </c>
      <c r="B5163" t="s" s="2">
        <f>HYPERLINK("http://ts.21cn.com/tousu/show/id/1368482","充值不到账，苹果公司不予退款")</f>
      </c>
      <c r="C5163" t="s" s="2">
        <v>15</v>
      </c>
      <c r="D5163" t="s" s="2">
        <v>16</v>
      </c>
      <c r="E5163" t="s" s="2">
        <v>17</v>
      </c>
      <c r="F5163" t="s" s="2">
        <f>HYPERLINK("http://ts.21cn.com/tousu/show/id/1368482","http://ts.21cn.com/tousu/show/id/1368482")</f>
      </c>
      <c r="G5163" t="s" s="2">
        <v>17</v>
      </c>
      <c r="H5163" t="s" s="2">
        <v>19</v>
      </c>
      <c r="I5163" t="s" s="2">
        <v>20038</v>
      </c>
      <c r="J5163" t="s" s="2">
        <v>20039</v>
      </c>
      <c r="K5163" t="s" s="2">
        <v>22</v>
      </c>
      <c r="L5163" t="s" s="2">
        <v>22</v>
      </c>
      <c r="M5163" t="s" s="2">
        <v>22</v>
      </c>
    </row>
    <row r="5164" ht="25.0" customHeight="true">
      <c r="A5164" t="s" s="2">
        <v>13</v>
      </c>
      <c r="B5164" t="s" s="2">
        <f>HYPERLINK("http://ts.21cn.com/tousu/show/id/1368479","请求分期")</f>
      </c>
      <c r="C5164" t="s" s="2">
        <v>52</v>
      </c>
      <c r="D5164" t="s" s="2">
        <v>16</v>
      </c>
      <c r="E5164" t="s" s="2">
        <v>17</v>
      </c>
      <c r="F5164" t="s" s="2">
        <f>HYPERLINK("http://ts.21cn.com/tousu/show/id/1368479","http://ts.21cn.com/tousu/show/id/1368479")</f>
      </c>
      <c r="G5164" t="s" s="2">
        <v>17</v>
      </c>
      <c r="H5164" t="s" s="2">
        <v>19</v>
      </c>
      <c r="I5164" t="s" s="2">
        <v>20042</v>
      </c>
      <c r="J5164" t="s" s="2">
        <v>20043</v>
      </c>
      <c r="K5164" t="s" s="2">
        <v>22</v>
      </c>
      <c r="L5164" t="s" s="2">
        <v>22</v>
      </c>
      <c r="M5164" t="s" s="2">
        <v>22</v>
      </c>
    </row>
    <row r="5165" ht="25.0" customHeight="true">
      <c r="A5165" t="s" s="2">
        <v>13</v>
      </c>
      <c r="B5165" t="s" s="2">
        <f>HYPERLINK("http://ts.21cn.com/tousu/show/id/1368478","好分期投诉")</f>
      </c>
      <c r="C5165" t="s" s="2">
        <v>15</v>
      </c>
      <c r="D5165" t="s" s="2">
        <v>16</v>
      </c>
      <c r="E5165" t="s" s="2">
        <v>17</v>
      </c>
      <c r="F5165" t="s" s="2">
        <f>HYPERLINK("http://ts.21cn.com/tousu/show/id/1368478","http://ts.21cn.com/tousu/show/id/1368478")</f>
      </c>
      <c r="G5165" t="s" s="2">
        <v>17</v>
      </c>
      <c r="H5165" t="s" s="2">
        <v>19</v>
      </c>
      <c r="I5165" t="s" s="2">
        <v>20046</v>
      </c>
      <c r="J5165" t="s" s="2">
        <v>20047</v>
      </c>
      <c r="K5165" t="s" s="2">
        <v>22</v>
      </c>
      <c r="L5165" t="s" s="2">
        <v>22</v>
      </c>
      <c r="M5165" t="s" s="2">
        <v>22</v>
      </c>
    </row>
    <row r="5166" ht="25.0" customHeight="true">
      <c r="A5166" t="s" s="2">
        <v>13</v>
      </c>
      <c r="B5166" t="s" s="2">
        <f>HYPERLINK("http://ts.21cn.com/tousu/show/id/1368476","京东白条骚扰收货人")</f>
      </c>
      <c r="C5166" t="s" s="2">
        <v>15</v>
      </c>
      <c r="D5166" t="s" s="2">
        <v>16</v>
      </c>
      <c r="E5166" t="s" s="2">
        <v>17</v>
      </c>
      <c r="F5166" t="s" s="2">
        <f>HYPERLINK("http://ts.21cn.com/tousu/show/id/1368476","http://ts.21cn.com/tousu/show/id/1368476")</f>
      </c>
      <c r="G5166" t="s" s="2">
        <v>17</v>
      </c>
      <c r="H5166" t="s" s="2">
        <v>19</v>
      </c>
      <c r="I5166" t="s" s="2">
        <v>20050</v>
      </c>
      <c r="J5166" t="s" s="2">
        <v>20051</v>
      </c>
      <c r="K5166" t="s" s="2">
        <v>22</v>
      </c>
      <c r="L5166" t="s" s="2">
        <v>22</v>
      </c>
      <c r="M5166" t="s" s="2">
        <v>22</v>
      </c>
    </row>
    <row r="5167" ht="25.0" customHeight="true">
      <c r="A5167" t="s" s="2">
        <v>13</v>
      </c>
      <c r="B5167" t="s" s="2">
        <f>HYPERLINK("http://ts.21cn.com/tousu/show/id/1368475","滴滴公司联合汽车租赁公司欺诈司机")</f>
      </c>
      <c r="C5167" t="s" s="2">
        <v>15</v>
      </c>
      <c r="D5167" t="s" s="2">
        <v>16</v>
      </c>
      <c r="E5167" t="s" s="2">
        <v>17</v>
      </c>
      <c r="F5167" t="s" s="2">
        <f>HYPERLINK("http://ts.21cn.com/tousu/show/id/1368475","http://ts.21cn.com/tousu/show/id/1368475")</f>
      </c>
      <c r="G5167" t="s" s="2">
        <v>17</v>
      </c>
      <c r="H5167" t="s" s="2">
        <v>19</v>
      </c>
      <c r="I5167" t="s" s="2">
        <v>20054</v>
      </c>
      <c r="J5167" t="s" s="2">
        <v>20055</v>
      </c>
      <c r="K5167" t="s" s="2">
        <v>22</v>
      </c>
      <c r="L5167" t="s" s="2">
        <v>22</v>
      </c>
      <c r="M5167" t="s" s="2">
        <v>22</v>
      </c>
    </row>
    <row r="5168" ht="25.0" customHeight="true">
      <c r="A5168" t="s" s="2">
        <v>13</v>
      </c>
      <c r="B5168" t="s" s="2">
        <f>HYPERLINK("http://ts.21cn.com/tousu/show/id/1368409","人人花扣银行卡的钱扣得合理吗")</f>
      </c>
      <c r="C5168" t="s" s="2">
        <v>15</v>
      </c>
      <c r="D5168" t="s" s="2">
        <v>16</v>
      </c>
      <c r="E5168" t="s" s="2">
        <v>17</v>
      </c>
      <c r="F5168" t="s" s="2">
        <f>HYPERLINK("http://ts.21cn.com/tousu/show/id/1368409","http://ts.21cn.com/tousu/show/id/1368409")</f>
      </c>
      <c r="G5168" t="s" s="2">
        <v>17</v>
      </c>
      <c r="H5168" t="s" s="2">
        <v>19</v>
      </c>
      <c r="I5168" t="s" s="2">
        <v>20058</v>
      </c>
      <c r="J5168" t="s" s="2">
        <v>20059</v>
      </c>
      <c r="K5168" t="s" s="2">
        <v>22</v>
      </c>
      <c r="L5168" t="s" s="2">
        <v>22</v>
      </c>
      <c r="M5168" t="s" s="2">
        <v>22</v>
      </c>
    </row>
    <row r="5169" ht="25.0" customHeight="true">
      <c r="A5169" t="s" s="2">
        <v>13</v>
      </c>
      <c r="B5169" t="s" s="2">
        <f>HYPERLINK("http://ts.21cn.com/tousu/show/id/1368473","银盛通扣激活手续费298")</f>
      </c>
      <c r="C5169" t="s" s="2">
        <v>15</v>
      </c>
      <c r="D5169" t="s" s="2">
        <v>16</v>
      </c>
      <c r="E5169" t="s" s="2">
        <v>17</v>
      </c>
      <c r="F5169" t="s" s="2">
        <f>HYPERLINK("http://ts.21cn.com/tousu/show/id/1368473","http://ts.21cn.com/tousu/show/id/1368473")</f>
      </c>
      <c r="G5169" t="s" s="2">
        <v>17</v>
      </c>
      <c r="H5169" t="s" s="2">
        <v>19</v>
      </c>
      <c r="I5169" t="s" s="2">
        <v>20062</v>
      </c>
      <c r="J5169" t="s" s="2">
        <v>20063</v>
      </c>
      <c r="K5169" t="s" s="2">
        <v>22</v>
      </c>
      <c r="L5169" t="s" s="2">
        <v>22</v>
      </c>
      <c r="M5169" t="s" s="2">
        <v>22</v>
      </c>
    </row>
    <row r="5170" ht="25.0" customHeight="true">
      <c r="A5170" t="s" s="2">
        <v>13</v>
      </c>
      <c r="B5170" t="s" s="2">
        <f>HYPERLINK("http://ts.21cn.com/tousu/show/id/1368472","中信银行乱发短信")</f>
      </c>
      <c r="C5170" t="s" s="2">
        <v>15</v>
      </c>
      <c r="D5170" t="s" s="2">
        <v>16</v>
      </c>
      <c r="E5170" t="s" s="2">
        <v>17</v>
      </c>
      <c r="F5170" t="s" s="2">
        <f>HYPERLINK("http://ts.21cn.com/tousu/show/id/1368472","http://ts.21cn.com/tousu/show/id/1368472")</f>
      </c>
      <c r="G5170" t="s" s="2">
        <v>17</v>
      </c>
      <c r="H5170" t="s" s="2">
        <v>19</v>
      </c>
      <c r="I5170" t="s" s="2">
        <v>20066</v>
      </c>
      <c r="J5170" t="s" s="2">
        <v>20067</v>
      </c>
      <c r="K5170" t="s" s="2">
        <v>22</v>
      </c>
      <c r="L5170" t="s" s="2">
        <v>22</v>
      </c>
      <c r="M5170" t="s" s="2">
        <v>22</v>
      </c>
    </row>
    <row r="5171" ht="25.0" customHeight="true">
      <c r="A5171" t="s" s="2">
        <v>13</v>
      </c>
      <c r="B5171" t="s" s="2">
        <f>HYPERLINK("http://ts.21cn.com/tousu/show/id/1368470","小赢卡贷恶意造成借款人逾期")</f>
      </c>
      <c r="C5171" t="s" s="2">
        <v>15</v>
      </c>
      <c r="D5171" t="s" s="2">
        <v>16</v>
      </c>
      <c r="E5171" t="s" s="2">
        <v>17</v>
      </c>
      <c r="F5171" t="s" s="2">
        <f>HYPERLINK("http://ts.21cn.com/tousu/show/id/1368470","http://ts.21cn.com/tousu/show/id/1368470")</f>
      </c>
      <c r="G5171" t="s" s="2">
        <v>17</v>
      </c>
      <c r="H5171" t="s" s="2">
        <v>19</v>
      </c>
      <c r="I5171" t="s" s="2">
        <v>20070</v>
      </c>
      <c r="J5171" t="s" s="2">
        <v>20071</v>
      </c>
      <c r="K5171" t="s" s="2">
        <v>22</v>
      </c>
      <c r="L5171" t="s" s="2">
        <v>22</v>
      </c>
      <c r="M5171" t="s" s="2">
        <v>22</v>
      </c>
    </row>
    <row r="5172" ht="25.0" customHeight="true">
      <c r="A5172" t="s" s="2">
        <v>13</v>
      </c>
      <c r="B5172" t="s" s="2">
        <f>HYPERLINK("http://ts.21cn.com/tousu/show/id/1368468","360暴力催收")</f>
      </c>
      <c r="C5172" t="s" s="2">
        <v>15</v>
      </c>
      <c r="D5172" t="s" s="2">
        <v>16</v>
      </c>
      <c r="E5172" t="s" s="2">
        <v>17</v>
      </c>
      <c r="F5172" t="s" s="2">
        <f>HYPERLINK("http://ts.21cn.com/tousu/show/id/1368468","http://ts.21cn.com/tousu/show/id/1368468")</f>
      </c>
      <c r="G5172" t="s" s="2">
        <v>17</v>
      </c>
      <c r="H5172" t="s" s="2">
        <v>19</v>
      </c>
      <c r="I5172" t="s" s="2">
        <v>20073</v>
      </c>
      <c r="J5172" t="s" s="2">
        <v>20074</v>
      </c>
      <c r="K5172" t="s" s="2">
        <v>22</v>
      </c>
      <c r="L5172" t="s" s="2">
        <v>22</v>
      </c>
      <c r="M5172" t="s" s="2">
        <v>22</v>
      </c>
    </row>
    <row r="5173" ht="25.0" customHeight="true">
      <c r="A5173" t="s" s="2">
        <v>13</v>
      </c>
      <c r="B5173" t="s" s="2">
        <f>HYPERLINK("http://ts.21cn.com/tousu/show/id/1368469","活力花爆通讯录")</f>
      </c>
      <c r="C5173" t="s" s="2">
        <v>15</v>
      </c>
      <c r="D5173" t="s" s="2">
        <v>16</v>
      </c>
      <c r="E5173" t="s" s="2">
        <v>17</v>
      </c>
      <c r="F5173" t="s" s="2">
        <f>HYPERLINK("http://ts.21cn.com/tousu/show/id/1368469","http://ts.21cn.com/tousu/show/id/1368469")</f>
      </c>
      <c r="G5173" t="s" s="2">
        <v>17</v>
      </c>
      <c r="H5173" t="s" s="2">
        <v>19</v>
      </c>
      <c r="I5173" t="s" s="2">
        <v>20077</v>
      </c>
      <c r="J5173" t="s" s="2">
        <v>20078</v>
      </c>
      <c r="K5173" t="s" s="2">
        <v>22</v>
      </c>
      <c r="L5173" t="s" s="2">
        <v>22</v>
      </c>
      <c r="M5173" t="s" s="2">
        <v>22</v>
      </c>
    </row>
    <row r="5174" ht="25.0" customHeight="true">
      <c r="A5174" t="s" s="2">
        <v>13</v>
      </c>
      <c r="B5174" t="s" s="2">
        <f>HYPERLINK("http://ts.21cn.com/tousu/show/id/1368467","小花钱包暴力催收")</f>
      </c>
      <c r="C5174" t="s" s="2">
        <v>15</v>
      </c>
      <c r="D5174" t="s" s="2">
        <v>16</v>
      </c>
      <c r="E5174" t="s" s="2">
        <v>17</v>
      </c>
      <c r="F5174" t="s" s="2">
        <f>HYPERLINK("http://ts.21cn.com/tousu/show/id/1368467","http://ts.21cn.com/tousu/show/id/1368467")</f>
      </c>
      <c r="G5174" t="s" s="2">
        <v>17</v>
      </c>
      <c r="H5174" t="s" s="2">
        <v>19</v>
      </c>
      <c r="I5174" t="s" s="2">
        <v>20080</v>
      </c>
      <c r="J5174" t="s" s="2">
        <v>20081</v>
      </c>
      <c r="K5174" t="s" s="2">
        <v>22</v>
      </c>
      <c r="L5174" t="s" s="2">
        <v>22</v>
      </c>
      <c r="M5174" t="s" s="2">
        <v>22</v>
      </c>
    </row>
    <row r="5175" ht="25.0" customHeight="true">
      <c r="A5175" t="s" s="2">
        <v>13</v>
      </c>
      <c r="B5175" t="s" s="2">
        <f>HYPERLINK("http://ts.21cn.com/tousu/show/id/1368466","壹心分期协商处理")</f>
      </c>
      <c r="C5175" t="s" s="2">
        <v>52</v>
      </c>
      <c r="D5175" t="s" s="2">
        <v>16</v>
      </c>
      <c r="E5175" t="s" s="2">
        <v>17</v>
      </c>
      <c r="F5175" t="s" s="2">
        <f>HYPERLINK("http://ts.21cn.com/tousu/show/id/1368466","http://ts.21cn.com/tousu/show/id/1368466")</f>
      </c>
      <c r="G5175" t="s" s="2">
        <v>17</v>
      </c>
      <c r="H5175" t="s" s="2">
        <v>19</v>
      </c>
      <c r="I5175" t="s" s="2">
        <v>20084</v>
      </c>
      <c r="J5175" t="s" s="2">
        <v>20085</v>
      </c>
      <c r="K5175" t="s" s="2">
        <v>22</v>
      </c>
      <c r="L5175" t="s" s="2">
        <v>22</v>
      </c>
      <c r="M5175" t="s" s="2">
        <v>22</v>
      </c>
    </row>
    <row r="5176" ht="25.0" customHeight="true">
      <c r="A5176" t="s" s="2">
        <v>13</v>
      </c>
      <c r="B5176" t="s" s="2">
        <f>HYPERLINK("http://ts.21cn.com/tousu/show/id/1368465","移动公司用办套餐送手机的名义来给客户办理贷款")</f>
      </c>
      <c r="C5176" t="s" s="2">
        <v>15</v>
      </c>
      <c r="D5176" t="s" s="2">
        <v>16</v>
      </c>
      <c r="E5176" t="s" s="2">
        <v>17</v>
      </c>
      <c r="F5176" t="s" s="2">
        <f>HYPERLINK("http://ts.21cn.com/tousu/show/id/1368465","http://ts.21cn.com/tousu/show/id/1368465")</f>
      </c>
      <c r="G5176" t="s" s="2">
        <v>17</v>
      </c>
      <c r="H5176" t="s" s="2">
        <v>19</v>
      </c>
      <c r="I5176" t="s" s="2">
        <v>20088</v>
      </c>
      <c r="J5176" t="s" s="2">
        <v>20089</v>
      </c>
      <c r="K5176" t="s" s="2">
        <v>22</v>
      </c>
      <c r="L5176" t="s" s="2">
        <v>22</v>
      </c>
      <c r="M5176" t="s" s="2">
        <v>22</v>
      </c>
    </row>
    <row r="5177" ht="25.0" customHeight="true">
      <c r="A5177" t="s" s="2">
        <v>13</v>
      </c>
      <c r="B5177" t="s" s="2">
        <f>HYPERLINK("http://ts.21cn.com/tousu/show/id/1368464","闪电借款恶意性骚扰")</f>
      </c>
      <c r="C5177" t="s" s="2">
        <v>15</v>
      </c>
      <c r="D5177" t="s" s="2">
        <v>16</v>
      </c>
      <c r="E5177" t="s" s="2">
        <v>17</v>
      </c>
      <c r="F5177" t="s" s="2">
        <f>HYPERLINK("http://ts.21cn.com/tousu/show/id/1368464","http://ts.21cn.com/tousu/show/id/1368464")</f>
      </c>
      <c r="G5177" t="s" s="2">
        <v>17</v>
      </c>
      <c r="H5177" t="s" s="2">
        <v>19</v>
      </c>
      <c r="I5177" t="s" s="2">
        <v>20091</v>
      </c>
      <c r="J5177" t="s" s="2">
        <v>20092</v>
      </c>
      <c r="K5177" t="s" s="2">
        <v>22</v>
      </c>
      <c r="L5177" t="s" s="2">
        <v>22</v>
      </c>
      <c r="M5177" t="s" s="2">
        <v>22</v>
      </c>
    </row>
    <row r="5178" ht="25.0" customHeight="true">
      <c r="A5178" t="s" s="2">
        <v>13</v>
      </c>
      <c r="B5178" t="s" s="2">
        <f>HYPERLINK("http://ts.21cn.com/tousu/show/id/1368463","投诉联动云共享汽车公司，理赔迟迟不退换给我！")</f>
      </c>
      <c r="C5178" t="s" s="2">
        <v>15</v>
      </c>
      <c r="D5178" t="s" s="2">
        <v>16</v>
      </c>
      <c r="E5178" t="s" s="2">
        <v>17</v>
      </c>
      <c r="F5178" t="s" s="2">
        <f>HYPERLINK("http://ts.21cn.com/tousu/show/id/1368463","http://ts.21cn.com/tousu/show/id/1368463")</f>
      </c>
      <c r="G5178" t="s" s="2">
        <v>17</v>
      </c>
      <c r="H5178" t="s" s="2">
        <v>19</v>
      </c>
      <c r="I5178" t="s" s="2">
        <v>20095</v>
      </c>
      <c r="J5178" t="s" s="2">
        <v>20096</v>
      </c>
      <c r="K5178" t="s" s="2">
        <v>22</v>
      </c>
      <c r="L5178" t="s" s="2">
        <v>22</v>
      </c>
      <c r="M5178" t="s" s="2">
        <v>22</v>
      </c>
    </row>
    <row r="5179" ht="25.0" customHeight="true">
      <c r="A5179" t="s" s="2">
        <v>13</v>
      </c>
      <c r="B5179" t="s" s="2">
        <f>HYPERLINK("http://ts.21cn.com/tousu/show/id/1368462","宜人普惠暴利催收威胁")</f>
      </c>
      <c r="C5179" t="s" s="2">
        <v>15</v>
      </c>
      <c r="D5179" t="s" s="2">
        <v>16</v>
      </c>
      <c r="E5179" t="s" s="2">
        <v>17</v>
      </c>
      <c r="F5179" t="s" s="2">
        <f>HYPERLINK("http://ts.21cn.com/tousu/show/id/1368462","http://ts.21cn.com/tousu/show/id/1368462")</f>
      </c>
      <c r="G5179" t="s" s="2">
        <v>17</v>
      </c>
      <c r="H5179" t="s" s="2">
        <v>19</v>
      </c>
      <c r="I5179" t="s" s="2">
        <v>20099</v>
      </c>
      <c r="J5179" t="s" s="2">
        <v>20100</v>
      </c>
      <c r="K5179" t="s" s="2">
        <v>22</v>
      </c>
      <c r="L5179" t="s" s="2">
        <v>22</v>
      </c>
      <c r="M5179" t="s" s="2">
        <v>22</v>
      </c>
    </row>
    <row r="5180" ht="25.0" customHeight="true">
      <c r="A5180" t="s" s="2">
        <v>13</v>
      </c>
      <c r="B5180" t="s" s="2">
        <f>HYPERLINK("http://ts.21cn.com/tousu/show/id/1368421","美好分期套路贷暴力催收，轰炸我通讯录，威胁恐吓我家人辱骂我朋友")</f>
      </c>
      <c r="C5180" t="s" s="2">
        <v>15</v>
      </c>
      <c r="D5180" t="s" s="2">
        <v>16</v>
      </c>
      <c r="E5180" t="s" s="2">
        <v>17</v>
      </c>
      <c r="F5180" t="s" s="2">
        <f>HYPERLINK("http://ts.21cn.com/tousu/show/id/1368421","http://ts.21cn.com/tousu/show/id/1368421")</f>
      </c>
      <c r="G5180" t="s" s="2">
        <v>17</v>
      </c>
      <c r="H5180" t="s" s="2">
        <v>19</v>
      </c>
      <c r="I5180" t="s" s="2">
        <v>20102</v>
      </c>
      <c r="J5180" t="s" s="2">
        <v>20103</v>
      </c>
      <c r="K5180" t="s" s="2">
        <v>22</v>
      </c>
      <c r="L5180" t="s" s="2">
        <v>22</v>
      </c>
      <c r="M5180" t="s" s="2">
        <v>22</v>
      </c>
    </row>
    <row r="5181" ht="25.0" customHeight="true">
      <c r="A5181" t="s" s="2">
        <v>13</v>
      </c>
      <c r="B5181" t="s" s="2">
        <f>HYPERLINK("http://ts.21cn.com/tousu/show/id/1368461","现金巴士砍头息")</f>
      </c>
      <c r="C5181" t="s" s="2">
        <v>15</v>
      </c>
      <c r="D5181" t="s" s="2">
        <v>16</v>
      </c>
      <c r="E5181" t="s" s="2">
        <v>17</v>
      </c>
      <c r="F5181" t="s" s="2">
        <f>HYPERLINK("http://ts.21cn.com/tousu/show/id/1368461","http://ts.21cn.com/tousu/show/id/1368461")</f>
      </c>
      <c r="G5181" t="s" s="2">
        <v>17</v>
      </c>
      <c r="H5181" t="s" s="2">
        <v>19</v>
      </c>
      <c r="I5181" t="s" s="2">
        <v>20105</v>
      </c>
      <c r="J5181" t="s" s="2">
        <v>20106</v>
      </c>
      <c r="K5181" t="s" s="2">
        <v>22</v>
      </c>
      <c r="L5181" t="s" s="2">
        <v>22</v>
      </c>
      <c r="M5181" t="s" s="2">
        <v>22</v>
      </c>
    </row>
    <row r="5182" ht="25.0" customHeight="true">
      <c r="A5182" t="s" s="2">
        <v>13</v>
      </c>
      <c r="B5182" t="s" s="2">
        <f>HYPERLINK("http://ts.21cn.com/tousu/show/id/1368010","立即贷，超利贷，砍头息，强制从银行卡乱扣钱！")</f>
      </c>
      <c r="C5182" t="s" s="2">
        <v>15</v>
      </c>
      <c r="D5182" t="s" s="2">
        <v>16</v>
      </c>
      <c r="E5182" t="s" s="2">
        <v>17</v>
      </c>
      <c r="F5182" t="s" s="2">
        <f>HYPERLINK("http://ts.21cn.com/tousu/show/id/1368010","http://ts.21cn.com/tousu/show/id/1368010")</f>
      </c>
      <c r="G5182" t="s" s="2">
        <v>17</v>
      </c>
      <c r="H5182" t="s" s="2">
        <v>19</v>
      </c>
      <c r="I5182" t="s" s="2">
        <v>20105</v>
      </c>
      <c r="J5182" t="s" s="2">
        <v>20109</v>
      </c>
      <c r="K5182" t="s" s="2">
        <v>22</v>
      </c>
      <c r="L5182" t="s" s="2">
        <v>22</v>
      </c>
      <c r="M5182" t="s" s="2">
        <v>22</v>
      </c>
    </row>
    <row r="5183" ht="25.0" customHeight="true">
      <c r="A5183" t="s" s="2">
        <v>13</v>
      </c>
      <c r="B5183" t="s" s="2">
        <f>HYPERLINK("http://ts.21cn.com/tousu/show/id/1368460","王者钱包app打不开")</f>
      </c>
      <c r="C5183" t="s" s="2">
        <v>15</v>
      </c>
      <c r="D5183" t="s" s="2">
        <v>16</v>
      </c>
      <c r="E5183" t="s" s="2">
        <v>17</v>
      </c>
      <c r="F5183" t="s" s="2">
        <f>HYPERLINK("http://ts.21cn.com/tousu/show/id/1368460","http://ts.21cn.com/tousu/show/id/1368460")</f>
      </c>
      <c r="G5183" t="s" s="2">
        <v>17</v>
      </c>
      <c r="H5183" t="s" s="2">
        <v>19</v>
      </c>
      <c r="I5183" t="s" s="2">
        <v>20112</v>
      </c>
      <c r="J5183" t="s" s="2">
        <v>20113</v>
      </c>
      <c r="K5183" t="s" s="2">
        <v>22</v>
      </c>
      <c r="L5183" t="s" s="2">
        <v>22</v>
      </c>
      <c r="M5183" t="s" s="2">
        <v>22</v>
      </c>
    </row>
    <row r="5184" ht="25.0" customHeight="true">
      <c r="A5184" t="s" s="2">
        <v>13</v>
      </c>
      <c r="B5184" t="s" s="2">
        <f>HYPERLINK("http://ts.21cn.com/tousu/show/id/1368458","高利贷人贷钱包")</f>
      </c>
      <c r="C5184" t="s" s="2">
        <v>15</v>
      </c>
      <c r="D5184" t="s" s="2">
        <v>16</v>
      </c>
      <c r="E5184" t="s" s="2">
        <v>17</v>
      </c>
      <c r="F5184" t="s" s="2">
        <f>HYPERLINK("http://ts.21cn.com/tousu/show/id/1368458","http://ts.21cn.com/tousu/show/id/1368458")</f>
      </c>
      <c r="G5184" t="s" s="2">
        <v>17</v>
      </c>
      <c r="H5184" t="s" s="2">
        <v>19</v>
      </c>
      <c r="I5184" t="s" s="2">
        <v>20116</v>
      </c>
      <c r="J5184" t="s" s="2">
        <v>20117</v>
      </c>
      <c r="K5184" t="s" s="2">
        <v>22</v>
      </c>
      <c r="L5184" t="s" s="2">
        <v>22</v>
      </c>
      <c r="M5184" t="s" s="2">
        <v>22</v>
      </c>
    </row>
    <row r="5185" ht="25.0" customHeight="true">
      <c r="A5185" t="s" s="2">
        <v>13</v>
      </c>
      <c r="B5185" t="s" s="2">
        <f>HYPERLINK("http://ts.21cn.com/tousu/show/id/1368459","永恒优享非法放贷")</f>
      </c>
      <c r="C5185" t="s" s="2">
        <v>15</v>
      </c>
      <c r="D5185" t="s" s="2">
        <v>16</v>
      </c>
      <c r="E5185" t="s" s="2">
        <v>17</v>
      </c>
      <c r="F5185" t="s" s="2">
        <f>HYPERLINK("http://ts.21cn.com/tousu/show/id/1368459","http://ts.21cn.com/tousu/show/id/1368459")</f>
      </c>
      <c r="G5185" t="s" s="2">
        <v>17</v>
      </c>
      <c r="H5185" t="s" s="2">
        <v>19</v>
      </c>
      <c r="I5185" t="s" s="2">
        <v>20120</v>
      </c>
      <c r="J5185" t="s" s="2">
        <v>20121</v>
      </c>
      <c r="K5185" t="s" s="2">
        <v>22</v>
      </c>
      <c r="L5185" t="s" s="2">
        <v>22</v>
      </c>
      <c r="M5185" t="s" s="2">
        <v>22</v>
      </c>
    </row>
    <row r="5186" ht="25.0" customHeight="true">
      <c r="A5186" t="s" s="2">
        <v>13</v>
      </c>
      <c r="B5186" t="s" s="2">
        <f>HYPERLINK("http://ts.21cn.com/tousu/show/id/1368408","信用卡刷卡两天没到账")</f>
      </c>
      <c r="C5186" t="s" s="2">
        <v>15</v>
      </c>
      <c r="D5186" t="s" s="2">
        <v>16</v>
      </c>
      <c r="E5186" t="s" s="2">
        <v>17</v>
      </c>
      <c r="F5186" t="s" s="2">
        <f>HYPERLINK("http://ts.21cn.com/tousu/show/id/1368408","http://ts.21cn.com/tousu/show/id/1368408")</f>
      </c>
      <c r="G5186" t="s" s="2">
        <v>17</v>
      </c>
      <c r="H5186" t="s" s="2">
        <v>19</v>
      </c>
      <c r="I5186" t="s" s="2">
        <v>20124</v>
      </c>
      <c r="J5186" t="s" s="2">
        <v>20125</v>
      </c>
      <c r="K5186" t="s" s="2">
        <v>22</v>
      </c>
      <c r="L5186" t="s" s="2">
        <v>22</v>
      </c>
      <c r="M5186" t="s" s="2">
        <v>22</v>
      </c>
    </row>
    <row r="5187" ht="25.0" customHeight="true">
      <c r="A5187" t="s" s="2">
        <v>13</v>
      </c>
      <c r="B5187" t="s" s="2">
        <f>HYPERLINK("http://ts.21cn.com/tousu/show/id/1368457","随行付还到网贷一直恐吓我")</f>
      </c>
      <c r="C5187" t="s" s="2">
        <v>15</v>
      </c>
      <c r="D5187" t="s" s="2">
        <v>16</v>
      </c>
      <c r="E5187" t="s" s="2">
        <v>17</v>
      </c>
      <c r="F5187" t="s" s="2">
        <f>HYPERLINK("http://ts.21cn.com/tousu/show/id/1368457","http://ts.21cn.com/tousu/show/id/1368457")</f>
      </c>
      <c r="G5187" t="s" s="2">
        <v>17</v>
      </c>
      <c r="H5187" t="s" s="2">
        <v>19</v>
      </c>
      <c r="I5187" t="s" s="2">
        <v>20128</v>
      </c>
      <c r="J5187" t="s" s="2">
        <v>20129</v>
      </c>
      <c r="K5187" t="s" s="2">
        <v>22</v>
      </c>
      <c r="L5187" t="s" s="2">
        <v>22</v>
      </c>
      <c r="M5187" t="s" s="2">
        <v>22</v>
      </c>
    </row>
    <row r="5188" ht="25.0" customHeight="true">
      <c r="A5188" t="s" s="2">
        <v>13</v>
      </c>
      <c r="B5188" t="s" s="2">
        <f>HYPERLINK("http://ts.21cn.com/tousu/show/id/1368456","淘集集宝贝下架不了")</f>
      </c>
      <c r="C5188" t="s" s="2">
        <v>15</v>
      </c>
      <c r="D5188" t="s" s="2">
        <v>16</v>
      </c>
      <c r="E5188" t="s" s="2">
        <v>17</v>
      </c>
      <c r="F5188" t="s" s="2">
        <f>HYPERLINK("http://ts.21cn.com/tousu/show/id/1368456","http://ts.21cn.com/tousu/show/id/1368456")</f>
      </c>
      <c r="G5188" t="s" s="2">
        <v>17</v>
      </c>
      <c r="H5188" t="s" s="2">
        <v>19</v>
      </c>
      <c r="I5188" t="s" s="2">
        <v>20132</v>
      </c>
      <c r="J5188" t="s" s="2">
        <v>20133</v>
      </c>
      <c r="K5188" t="s" s="2">
        <v>22</v>
      </c>
      <c r="L5188" t="s" s="2">
        <v>22</v>
      </c>
      <c r="M5188" t="s" s="2">
        <v>22</v>
      </c>
    </row>
    <row r="5189" ht="25.0" customHeight="true">
      <c r="A5189" t="s" s="2">
        <v>13</v>
      </c>
      <c r="B5189" t="s" s="2">
        <f>HYPERLINK("http://ts.21cn.com/tousu/show/id/1368455","暴力催收，打电话到公司进行骚扰")</f>
      </c>
      <c r="C5189" t="s" s="2">
        <v>15</v>
      </c>
      <c r="D5189" t="s" s="2">
        <v>16</v>
      </c>
      <c r="E5189" t="s" s="2">
        <v>17</v>
      </c>
      <c r="F5189" t="s" s="2">
        <f>HYPERLINK("http://ts.21cn.com/tousu/show/id/1368455","http://ts.21cn.com/tousu/show/id/1368455")</f>
      </c>
      <c r="G5189" t="s" s="2">
        <v>17</v>
      </c>
      <c r="H5189" t="s" s="2">
        <v>19</v>
      </c>
      <c r="I5189" t="s" s="2">
        <v>20136</v>
      </c>
      <c r="J5189" t="s" s="2">
        <v>20137</v>
      </c>
      <c r="K5189" t="s" s="2">
        <v>22</v>
      </c>
      <c r="L5189" t="s" s="2">
        <v>22</v>
      </c>
      <c r="M5189" t="s" s="2">
        <v>22</v>
      </c>
    </row>
    <row r="5190" ht="25.0" customHeight="true">
      <c r="A5190" t="s" s="2">
        <v>13</v>
      </c>
      <c r="B5190" t="s" s="2">
        <f>HYPERLINK("http://ts.21cn.com/tousu/show/id/1368378","瑞银信业务员收取套路客户押金")</f>
      </c>
      <c r="C5190" t="s" s="2">
        <v>15</v>
      </c>
      <c r="D5190" t="s" s="2">
        <v>16</v>
      </c>
      <c r="E5190" t="s" s="2">
        <v>17</v>
      </c>
      <c r="F5190" t="s" s="2">
        <f>HYPERLINK("http://ts.21cn.com/tousu/show/id/1368378","http://ts.21cn.com/tousu/show/id/1368378")</f>
      </c>
      <c r="G5190" t="s" s="2">
        <v>17</v>
      </c>
      <c r="H5190" t="s" s="2">
        <v>19</v>
      </c>
      <c r="I5190" t="s" s="2">
        <v>20140</v>
      </c>
      <c r="J5190" t="s" s="2">
        <v>20141</v>
      </c>
      <c r="K5190" t="s" s="2">
        <v>22</v>
      </c>
      <c r="L5190" t="s" s="2">
        <v>22</v>
      </c>
      <c r="M5190" t="s" s="2">
        <v>22</v>
      </c>
    </row>
    <row r="5191" ht="25.0" customHeight="true">
      <c r="A5191" t="s" s="2">
        <v>13</v>
      </c>
      <c r="B5191" t="s" s="2">
        <f>HYPERLINK("http://ts.21cn.com/tousu/show/id/1368453","省呗随意联系通讯录")</f>
      </c>
      <c r="C5191" t="s" s="2">
        <v>15</v>
      </c>
      <c r="D5191" t="s" s="2">
        <v>16</v>
      </c>
      <c r="E5191" t="s" s="2">
        <v>17</v>
      </c>
      <c r="F5191" t="s" s="2">
        <f>HYPERLINK("http://ts.21cn.com/tousu/show/id/1368453","http://ts.21cn.com/tousu/show/id/1368453")</f>
      </c>
      <c r="G5191" t="s" s="2">
        <v>17</v>
      </c>
      <c r="H5191" t="s" s="2">
        <v>19</v>
      </c>
      <c r="I5191" t="s" s="2">
        <v>20140</v>
      </c>
      <c r="J5191" t="s" s="2">
        <v>20144</v>
      </c>
      <c r="K5191" t="s" s="2">
        <v>22</v>
      </c>
      <c r="L5191" t="s" s="2">
        <v>22</v>
      </c>
      <c r="M5191" t="s" s="2">
        <v>22</v>
      </c>
    </row>
    <row r="5192" ht="25.0" customHeight="true">
      <c r="A5192" t="s" s="2">
        <v>13</v>
      </c>
      <c r="B5192" t="s" s="2">
        <f>HYPERLINK("http://ts.21cn.com/tousu/show/id/1368454","被电信诈骗想协商延期免息还款")</f>
      </c>
      <c r="C5192" t="s" s="2">
        <v>15</v>
      </c>
      <c r="D5192" t="s" s="2">
        <v>16</v>
      </c>
      <c r="E5192" t="s" s="2">
        <v>17</v>
      </c>
      <c r="F5192" t="s" s="2">
        <f>HYPERLINK("http://ts.21cn.com/tousu/show/id/1368454","http://ts.21cn.com/tousu/show/id/1368454")</f>
      </c>
      <c r="G5192" t="s" s="2">
        <v>17</v>
      </c>
      <c r="H5192" t="s" s="2">
        <v>19</v>
      </c>
      <c r="I5192" t="s" s="2">
        <v>20147</v>
      </c>
      <c r="J5192" t="s" s="2">
        <v>20148</v>
      </c>
      <c r="K5192" t="s" s="2">
        <v>22</v>
      </c>
      <c r="L5192" t="s" s="2">
        <v>22</v>
      </c>
      <c r="M5192" t="s" s="2">
        <v>22</v>
      </c>
    </row>
    <row r="5193" ht="25.0" customHeight="true">
      <c r="A5193" t="s" s="2">
        <v>13</v>
      </c>
      <c r="B5193" t="s" s="2">
        <f>HYPERLINK("http://ts.21cn.com/tousu/show/id/1368451","交通银行单方面违约")</f>
      </c>
      <c r="C5193" t="s" s="2">
        <v>15</v>
      </c>
      <c r="D5193" t="s" s="2">
        <v>16</v>
      </c>
      <c r="E5193" t="s" s="2">
        <v>17</v>
      </c>
      <c r="F5193" t="s" s="2">
        <f>HYPERLINK("http://ts.21cn.com/tousu/show/id/1368451","http://ts.21cn.com/tousu/show/id/1368451")</f>
      </c>
      <c r="G5193" t="s" s="2">
        <v>17</v>
      </c>
      <c r="H5193" t="s" s="2">
        <v>19</v>
      </c>
      <c r="I5193" t="s" s="2">
        <v>20151</v>
      </c>
      <c r="J5193" t="s" s="2">
        <v>20152</v>
      </c>
      <c r="K5193" t="s" s="2">
        <v>22</v>
      </c>
      <c r="L5193" t="s" s="2">
        <v>22</v>
      </c>
      <c r="M5193" t="s" s="2">
        <v>22</v>
      </c>
    </row>
    <row r="5194" ht="25.0" customHeight="true">
      <c r="A5194" t="s" s="2">
        <v>13</v>
      </c>
      <c r="B5194" t="s" s="2">
        <f>HYPERLINK("http://ts.21cn.com/tousu/show/id/1368450","搜狗借钱客户承诺第二天还款还款日第二天被爆通讯录")</f>
      </c>
      <c r="C5194" t="s" s="2">
        <v>15</v>
      </c>
      <c r="D5194" t="s" s="2">
        <v>16</v>
      </c>
      <c r="E5194" t="s" s="2">
        <v>17</v>
      </c>
      <c r="F5194" t="s" s="2">
        <f>HYPERLINK("http://ts.21cn.com/tousu/show/id/1368450","http://ts.21cn.com/tousu/show/id/1368450")</f>
      </c>
      <c r="G5194" t="s" s="2">
        <v>17</v>
      </c>
      <c r="H5194" t="s" s="2">
        <v>19</v>
      </c>
      <c r="I5194" t="s" s="2">
        <v>20155</v>
      </c>
      <c r="J5194" t="s" s="2">
        <v>20156</v>
      </c>
      <c r="K5194" t="s" s="2">
        <v>22</v>
      </c>
      <c r="L5194" t="s" s="2">
        <v>22</v>
      </c>
      <c r="M5194" t="s" s="2">
        <v>22</v>
      </c>
    </row>
    <row r="5195" ht="25.0" customHeight="true">
      <c r="A5195" t="s" s="2">
        <v>13</v>
      </c>
      <c r="B5195" t="s" s="2">
        <f>HYPERLINK("http://ts.21cn.com/tousu/show/id/1368448","易宝支付莫名盗刷本人银行卡，不明扣款，要求退款！！")</f>
      </c>
      <c r="C5195" t="s" s="2">
        <v>15</v>
      </c>
      <c r="D5195" t="s" s="2">
        <v>16</v>
      </c>
      <c r="E5195" t="s" s="2">
        <v>17</v>
      </c>
      <c r="F5195" t="s" s="2">
        <f>HYPERLINK("http://ts.21cn.com/tousu/show/id/1368448","http://ts.21cn.com/tousu/show/id/1368448")</f>
      </c>
      <c r="G5195" t="s" s="2">
        <v>17</v>
      </c>
      <c r="H5195" t="s" s="2">
        <v>19</v>
      </c>
      <c r="I5195" t="s" s="2">
        <v>20159</v>
      </c>
      <c r="J5195" t="s" s="2">
        <v>20160</v>
      </c>
      <c r="K5195" t="s" s="2">
        <v>22</v>
      </c>
      <c r="L5195" t="s" s="2">
        <v>22</v>
      </c>
      <c r="M5195" t="s" s="2">
        <v>22</v>
      </c>
    </row>
    <row r="5196" ht="25.0" customHeight="true">
      <c r="A5196" t="s" s="2">
        <v>13</v>
      </c>
      <c r="B5196" t="s" s="2">
        <f>HYPERLINK("http://ts.21cn.com/tousu/show/id/1368447","人人花乱扣费")</f>
      </c>
      <c r="C5196" t="s" s="2">
        <v>15</v>
      </c>
      <c r="D5196" t="s" s="2">
        <v>16</v>
      </c>
      <c r="E5196" t="s" s="2">
        <v>17</v>
      </c>
      <c r="F5196" t="s" s="2">
        <f>HYPERLINK("http://ts.21cn.com/tousu/show/id/1368447","http://ts.21cn.com/tousu/show/id/1368447")</f>
      </c>
      <c r="G5196" t="s" s="2">
        <v>17</v>
      </c>
      <c r="H5196" t="s" s="2">
        <v>19</v>
      </c>
      <c r="I5196" t="s" s="2">
        <v>20162</v>
      </c>
      <c r="J5196" t="s" s="2">
        <v>20163</v>
      </c>
      <c r="K5196" t="s" s="2">
        <v>22</v>
      </c>
      <c r="L5196" t="s" s="2">
        <v>22</v>
      </c>
      <c r="M5196" t="s" s="2">
        <v>22</v>
      </c>
    </row>
    <row r="5197" ht="25.0" customHeight="true">
      <c r="A5197" t="s" s="2">
        <v>13</v>
      </c>
      <c r="B5197" t="s" s="2">
        <f>HYPERLINK("http://ts.21cn.com/tousu/show/id/1368449","玖富万卡高利贷，阴阳合同")</f>
      </c>
      <c r="C5197" t="s" s="2">
        <v>15</v>
      </c>
      <c r="D5197" t="s" s="2">
        <v>16</v>
      </c>
      <c r="E5197" t="s" s="2">
        <v>17</v>
      </c>
      <c r="F5197" t="s" s="2">
        <f>HYPERLINK("http://ts.21cn.com/tousu/show/id/1368449","http://ts.21cn.com/tousu/show/id/1368449")</f>
      </c>
      <c r="G5197" t="s" s="2">
        <v>17</v>
      </c>
      <c r="H5197" t="s" s="2">
        <v>19</v>
      </c>
      <c r="I5197" t="s" s="2">
        <v>20165</v>
      </c>
      <c r="J5197" t="s" s="2">
        <v>20166</v>
      </c>
      <c r="K5197" t="s" s="2">
        <v>22</v>
      </c>
      <c r="L5197" t="s" s="2">
        <v>22</v>
      </c>
      <c r="M5197" t="s" s="2">
        <v>22</v>
      </c>
    </row>
    <row r="5198" ht="25.0" customHeight="true">
      <c r="A5198" t="s" s="2">
        <v>13</v>
      </c>
      <c r="B5198" t="s" s="2">
        <f>HYPERLINK("http://ts.21cn.com/tousu/show/id/1368444","侮辱催收")</f>
      </c>
      <c r="C5198" t="s" s="2">
        <v>15</v>
      </c>
      <c r="D5198" t="s" s="2">
        <v>16</v>
      </c>
      <c r="E5198" t="s" s="2">
        <v>17</v>
      </c>
      <c r="F5198" t="s" s="2">
        <f>HYPERLINK("http://ts.21cn.com/tousu/show/id/1368444","http://ts.21cn.com/tousu/show/id/1368444")</f>
      </c>
      <c r="G5198" t="s" s="2">
        <v>17</v>
      </c>
      <c r="H5198" t="s" s="2">
        <v>19</v>
      </c>
      <c r="I5198" t="s" s="2">
        <v>20169</v>
      </c>
      <c r="J5198" t="s" s="2">
        <v>20170</v>
      </c>
      <c r="K5198" t="s" s="2">
        <v>22</v>
      </c>
      <c r="L5198" t="s" s="2">
        <v>22</v>
      </c>
      <c r="M5198" t="s" s="2">
        <v>22</v>
      </c>
    </row>
    <row r="5199" ht="25.0" customHeight="true">
      <c r="A5199" t="s" s="2">
        <v>13</v>
      </c>
      <c r="B5199" t="s" s="2">
        <f>HYPERLINK("http://ts.21cn.com/tousu/show/id/1368443","芒果筹轻周转恶意逾期造成巨额逾期费用")</f>
      </c>
      <c r="C5199" t="s" s="2">
        <v>15</v>
      </c>
      <c r="D5199" t="s" s="2">
        <v>16</v>
      </c>
      <c r="E5199" t="s" s="2">
        <v>17</v>
      </c>
      <c r="F5199" t="s" s="2">
        <f>HYPERLINK("http://ts.21cn.com/tousu/show/id/1368443","http://ts.21cn.com/tousu/show/id/1368443")</f>
      </c>
      <c r="G5199" t="s" s="2">
        <v>17</v>
      </c>
      <c r="H5199" t="s" s="2">
        <v>19</v>
      </c>
      <c r="I5199" t="s" s="2">
        <v>20173</v>
      </c>
      <c r="J5199" t="s" s="2">
        <v>20174</v>
      </c>
      <c r="K5199" t="s" s="2">
        <v>22</v>
      </c>
      <c r="L5199" t="s" s="2">
        <v>22</v>
      </c>
      <c r="M5199" t="s" s="2">
        <v>22</v>
      </c>
    </row>
    <row r="5200" ht="25.0" customHeight="true">
      <c r="A5200" t="s" s="2">
        <v>13</v>
      </c>
      <c r="B5200" t="s" s="2">
        <f>HYPERLINK("http://ts.21cn.com/tousu/show/id/1368442","My钱包爆力催收，侮辱朋友圈")</f>
      </c>
      <c r="C5200" t="s" s="2">
        <v>15</v>
      </c>
      <c r="D5200" t="s" s="2">
        <v>16</v>
      </c>
      <c r="E5200" t="s" s="2">
        <v>17</v>
      </c>
      <c r="F5200" t="s" s="2">
        <f>HYPERLINK("http://ts.21cn.com/tousu/show/id/1368442","http://ts.21cn.com/tousu/show/id/1368442")</f>
      </c>
      <c r="G5200" t="s" s="2">
        <v>17</v>
      </c>
      <c r="H5200" t="s" s="2">
        <v>19</v>
      </c>
      <c r="I5200" t="s" s="2">
        <v>20177</v>
      </c>
      <c r="J5200" t="s" s="2">
        <v>20178</v>
      </c>
      <c r="K5200" t="s" s="2">
        <v>22</v>
      </c>
      <c r="L5200" t="s" s="2">
        <v>22</v>
      </c>
      <c r="M5200" t="s" s="2">
        <v>22</v>
      </c>
    </row>
    <row r="5201" ht="25.0" customHeight="true">
      <c r="A5201" t="s" s="2">
        <v>13</v>
      </c>
      <c r="B5201" t="s" s="2">
        <f>HYPERLINK("http://ts.21cn.com/tousu/show/id/1368439","花转转樱桃小借恶意导致客户逾期收取逾期费")</f>
      </c>
      <c r="C5201" t="s" s="2">
        <v>15</v>
      </c>
      <c r="D5201" t="s" s="2">
        <v>16</v>
      </c>
      <c r="E5201" t="s" s="2">
        <v>17</v>
      </c>
      <c r="F5201" t="s" s="2">
        <f>HYPERLINK("http://ts.21cn.com/tousu/show/id/1368439","http://ts.21cn.com/tousu/show/id/1368439")</f>
      </c>
      <c r="G5201" t="s" s="2">
        <v>17</v>
      </c>
      <c r="H5201" t="s" s="2">
        <v>19</v>
      </c>
      <c r="I5201" t="s" s="2">
        <v>20181</v>
      </c>
      <c r="J5201" t="s" s="2">
        <v>20182</v>
      </c>
      <c r="K5201" t="s" s="2">
        <v>22</v>
      </c>
      <c r="L5201" t="s" s="2">
        <v>22</v>
      </c>
      <c r="M5201" t="s" s="2">
        <v>22</v>
      </c>
    </row>
    <row r="5202" ht="25.0" customHeight="true">
      <c r="A5202" t="s" s="2">
        <v>13</v>
      </c>
      <c r="B5202" t="s" s="2">
        <f>HYPERLINK("http://ts.21cn.com/tousu/show/id/1368441","借款1000要还1782")</f>
      </c>
      <c r="C5202" t="s" s="2">
        <v>15</v>
      </c>
      <c r="D5202" t="s" s="2">
        <v>16</v>
      </c>
      <c r="E5202" t="s" s="2">
        <v>17</v>
      </c>
      <c r="F5202" t="s" s="2">
        <f>HYPERLINK("http://ts.21cn.com/tousu/show/id/1368441","http://ts.21cn.com/tousu/show/id/1368441")</f>
      </c>
      <c r="G5202" t="s" s="2">
        <v>17</v>
      </c>
      <c r="H5202" t="s" s="2">
        <v>19</v>
      </c>
      <c r="I5202" t="s" s="2">
        <v>20185</v>
      </c>
      <c r="J5202" t="s" s="2">
        <v>20186</v>
      </c>
      <c r="K5202" t="s" s="2">
        <v>22</v>
      </c>
      <c r="L5202" t="s" s="2">
        <v>22</v>
      </c>
      <c r="M5202" t="s" s="2">
        <v>22</v>
      </c>
    </row>
    <row r="5203" ht="25.0" customHeight="true">
      <c r="A5203" t="s" s="2">
        <v>13</v>
      </c>
      <c r="B5203" t="s" s="2">
        <f>HYPERLINK("http://ts.21cn.com/tousu/show/id/1368440","my钱包收取高额手续费、且不与我沟通")</f>
      </c>
      <c r="C5203" t="s" s="2">
        <v>15</v>
      </c>
      <c r="D5203" t="s" s="2">
        <v>16</v>
      </c>
      <c r="E5203" t="s" s="2">
        <v>17</v>
      </c>
      <c r="F5203" t="s" s="2">
        <f>HYPERLINK("http://ts.21cn.com/tousu/show/id/1368440","http://ts.21cn.com/tousu/show/id/1368440")</f>
      </c>
      <c r="G5203" t="s" s="2">
        <v>17</v>
      </c>
      <c r="H5203" t="s" s="2">
        <v>19</v>
      </c>
      <c r="I5203" t="s" s="2">
        <v>20189</v>
      </c>
      <c r="J5203" t="s" s="2">
        <v>20190</v>
      </c>
      <c r="K5203" t="s" s="2">
        <v>22</v>
      </c>
      <c r="L5203" t="s" s="2">
        <v>22</v>
      </c>
      <c r="M5203" t="s" s="2">
        <v>22</v>
      </c>
    </row>
    <row r="5204" ht="25.0" customHeight="true">
      <c r="A5204" t="s" s="2">
        <v>13</v>
      </c>
      <c r="B5204" t="s" s="2">
        <f>HYPERLINK("http://ts.21cn.com/tousu/show/id/1368437","苏宁易购恶劣催收")</f>
      </c>
      <c r="C5204" t="s" s="2">
        <v>15</v>
      </c>
      <c r="D5204" t="s" s="2">
        <v>16</v>
      </c>
      <c r="E5204" t="s" s="2">
        <v>17</v>
      </c>
      <c r="F5204" t="s" s="2">
        <f>HYPERLINK("http://ts.21cn.com/tousu/show/id/1368437","http://ts.21cn.com/tousu/show/id/1368437")</f>
      </c>
      <c r="G5204" t="s" s="2">
        <v>17</v>
      </c>
      <c r="H5204" t="s" s="2">
        <v>19</v>
      </c>
      <c r="I5204" t="s" s="2">
        <v>20193</v>
      </c>
      <c r="J5204" t="s" s="2">
        <v>20194</v>
      </c>
      <c r="K5204" t="s" s="2">
        <v>22</v>
      </c>
      <c r="L5204" t="s" s="2">
        <v>22</v>
      </c>
      <c r="M5204" t="s" s="2">
        <v>22</v>
      </c>
    </row>
    <row r="5205" ht="25.0" customHeight="true">
      <c r="A5205" t="s" s="2">
        <v>13</v>
      </c>
      <c r="B5205" t="s" s="2">
        <f>HYPERLINK("http://ts.21cn.com/tousu/show/id/1368438","未经本人允许，私自联系通讯录")</f>
      </c>
      <c r="C5205" t="s" s="2">
        <v>15</v>
      </c>
      <c r="D5205" t="s" s="2">
        <v>16</v>
      </c>
      <c r="E5205" t="s" s="2">
        <v>17</v>
      </c>
      <c r="F5205" t="s" s="2">
        <f>HYPERLINK("http://ts.21cn.com/tousu/show/id/1368438","http://ts.21cn.com/tousu/show/id/1368438")</f>
      </c>
      <c r="G5205" t="s" s="2">
        <v>17</v>
      </c>
      <c r="H5205" t="s" s="2">
        <v>19</v>
      </c>
      <c r="I5205" t="s" s="2">
        <v>20197</v>
      </c>
      <c r="J5205" t="s" s="2">
        <v>20198</v>
      </c>
      <c r="K5205" t="s" s="2">
        <v>22</v>
      </c>
      <c r="L5205" t="s" s="2">
        <v>22</v>
      </c>
      <c r="M5205" t="s" s="2">
        <v>22</v>
      </c>
    </row>
    <row r="5206" ht="25.0" customHeight="true">
      <c r="A5206" t="s" s="2">
        <v>13</v>
      </c>
      <c r="B5206" t="s" s="2">
        <f>HYPERLINK("http://ts.21cn.com/tousu/show/id/1368435","现金巴士恶意轰炸通讯录催收")</f>
      </c>
      <c r="C5206" t="s" s="2">
        <v>15</v>
      </c>
      <c r="D5206" t="s" s="2">
        <v>16</v>
      </c>
      <c r="E5206" t="s" s="2">
        <v>17</v>
      </c>
      <c r="F5206" t="s" s="2">
        <f>HYPERLINK("http://ts.21cn.com/tousu/show/id/1368435","http://ts.21cn.com/tousu/show/id/1368435")</f>
      </c>
      <c r="G5206" t="s" s="2">
        <v>17</v>
      </c>
      <c r="H5206" t="s" s="2">
        <v>19</v>
      </c>
      <c r="I5206" t="s" s="2">
        <v>20201</v>
      </c>
      <c r="J5206" t="s" s="2">
        <v>20202</v>
      </c>
      <c r="K5206" t="s" s="2">
        <v>22</v>
      </c>
      <c r="L5206" t="s" s="2">
        <v>22</v>
      </c>
      <c r="M5206" t="s" s="2">
        <v>22</v>
      </c>
    </row>
    <row r="5207" ht="25.0" customHeight="true">
      <c r="A5207" t="s" s="2">
        <v>13</v>
      </c>
      <c r="B5207" t="s" s="2">
        <f>HYPERLINK("http://ts.21cn.com/tousu/show/id/1368434","立马进钱app里面只借了4900元尽然要我还10942.8元，并一直骚扰家人及通讯录")</f>
      </c>
      <c r="C5207" t="s" s="2">
        <v>15</v>
      </c>
      <c r="D5207" t="s" s="2">
        <v>16</v>
      </c>
      <c r="E5207" t="s" s="2">
        <v>17</v>
      </c>
      <c r="F5207" t="s" s="2">
        <f>HYPERLINK("http://ts.21cn.com/tousu/show/id/1368434","http://ts.21cn.com/tousu/show/id/1368434")</f>
      </c>
      <c r="G5207" t="s" s="2">
        <v>17</v>
      </c>
      <c r="H5207" t="s" s="2">
        <v>19</v>
      </c>
      <c r="I5207" t="s" s="2">
        <v>20205</v>
      </c>
      <c r="J5207" t="s" s="2">
        <v>20206</v>
      </c>
      <c r="K5207" t="s" s="2">
        <v>22</v>
      </c>
      <c r="L5207" t="s" s="2">
        <v>22</v>
      </c>
      <c r="M5207" t="s" s="2">
        <v>22</v>
      </c>
    </row>
    <row r="5208" ht="25.0" customHeight="true">
      <c r="A5208" t="s" s="2">
        <v>13</v>
      </c>
      <c r="B5208" t="s" s="2">
        <f>HYPERLINK("http://ts.21cn.com/tousu/show/id/1368436","短贷王714高利贷强制购物")</f>
      </c>
      <c r="C5208" t="s" s="2">
        <v>15</v>
      </c>
      <c r="D5208" t="s" s="2">
        <v>16</v>
      </c>
      <c r="E5208" t="s" s="2">
        <v>17</v>
      </c>
      <c r="F5208" t="s" s="2">
        <f>HYPERLINK("http://ts.21cn.com/tousu/show/id/1368436","http://ts.21cn.com/tousu/show/id/1368436")</f>
      </c>
      <c r="G5208" t="s" s="2">
        <v>17</v>
      </c>
      <c r="H5208" t="s" s="2">
        <v>19</v>
      </c>
      <c r="I5208" t="s" s="2">
        <v>20209</v>
      </c>
      <c r="J5208" t="s" s="2">
        <v>20210</v>
      </c>
      <c r="K5208" t="s" s="2">
        <v>22</v>
      </c>
      <c r="L5208" t="s" s="2">
        <v>22</v>
      </c>
      <c r="M5208" t="s" s="2">
        <v>22</v>
      </c>
    </row>
    <row r="5209" ht="25.0" customHeight="true">
      <c r="A5209" t="s" s="2">
        <v>13</v>
      </c>
      <c r="B5209" t="s" s="2">
        <f>HYPERLINK("http://ts.21cn.com/tousu/show/id/1368433","闪银高利贷恶意骚扰")</f>
      </c>
      <c r="C5209" t="s" s="2">
        <v>15</v>
      </c>
      <c r="D5209" t="s" s="2">
        <v>16</v>
      </c>
      <c r="E5209" t="s" s="2">
        <v>17</v>
      </c>
      <c r="F5209" t="s" s="2">
        <f>HYPERLINK("http://ts.21cn.com/tousu/show/id/1368433","http://ts.21cn.com/tousu/show/id/1368433")</f>
      </c>
      <c r="G5209" t="s" s="2">
        <v>17</v>
      </c>
      <c r="H5209" t="s" s="2">
        <v>19</v>
      </c>
      <c r="I5209" t="s" s="2">
        <v>20213</v>
      </c>
      <c r="J5209" t="s" s="2">
        <v>20214</v>
      </c>
      <c r="K5209" t="s" s="2">
        <v>22</v>
      </c>
      <c r="L5209" t="s" s="2">
        <v>22</v>
      </c>
      <c r="M5209" t="s" s="2">
        <v>22</v>
      </c>
    </row>
    <row r="5210" ht="25.0" customHeight="true">
      <c r="A5210" t="s" s="2">
        <v>13</v>
      </c>
      <c r="B5210" t="s" s="2">
        <f>HYPERLINK("http://ts.21cn.com/tousu/show/id/1368376","恶意催收")</f>
      </c>
      <c r="C5210" t="s" s="2">
        <v>15</v>
      </c>
      <c r="D5210" t="s" s="2">
        <v>16</v>
      </c>
      <c r="E5210" t="s" s="2">
        <v>17</v>
      </c>
      <c r="F5210" t="s" s="2">
        <f>HYPERLINK("http://ts.21cn.com/tousu/show/id/1368376","http://ts.21cn.com/tousu/show/id/1368376")</f>
      </c>
      <c r="G5210" t="s" s="2">
        <v>17</v>
      </c>
      <c r="H5210" t="s" s="2">
        <v>19</v>
      </c>
      <c r="I5210" t="s" s="2">
        <v>20216</v>
      </c>
      <c r="J5210" t="s" s="2">
        <v>20217</v>
      </c>
      <c r="K5210" t="s" s="2">
        <v>22</v>
      </c>
      <c r="L5210" t="s" s="2">
        <v>22</v>
      </c>
      <c r="M5210" t="s" s="2">
        <v>22</v>
      </c>
    </row>
    <row r="5211" ht="25.0" customHeight="true">
      <c r="A5211" t="s" s="2">
        <v>13</v>
      </c>
      <c r="B5211" t="s" s="2">
        <f>HYPERLINK("http://ts.21cn.com/tousu/show/id/1368432","我来贷威胁本人")</f>
      </c>
      <c r="C5211" t="s" s="2">
        <v>15</v>
      </c>
      <c r="D5211" t="s" s="2">
        <v>16</v>
      </c>
      <c r="E5211" t="s" s="2">
        <v>17</v>
      </c>
      <c r="F5211" t="s" s="2">
        <f>HYPERLINK("http://ts.21cn.com/tousu/show/id/1368432","http://ts.21cn.com/tousu/show/id/1368432")</f>
      </c>
      <c r="G5211" t="s" s="2">
        <v>17</v>
      </c>
      <c r="H5211" t="s" s="2">
        <v>19</v>
      </c>
      <c r="I5211" t="s" s="2">
        <v>20220</v>
      </c>
      <c r="J5211" t="s" s="2">
        <v>20221</v>
      </c>
      <c r="K5211" t="s" s="2">
        <v>22</v>
      </c>
      <c r="L5211" t="s" s="2">
        <v>22</v>
      </c>
      <c r="M5211" t="s" s="2">
        <v>22</v>
      </c>
    </row>
    <row r="5212" ht="25.0" customHeight="true">
      <c r="A5212" t="s" s="2">
        <v>13</v>
      </c>
      <c r="B5212" t="s" s="2">
        <f>HYPERLINK("http://ts.21cn.com/tousu/show/id/1368431","未经允许，恶意扣费168元")</f>
      </c>
      <c r="C5212" t="s" s="2">
        <v>15</v>
      </c>
      <c r="D5212" t="s" s="2">
        <v>16</v>
      </c>
      <c r="E5212" t="s" s="2">
        <v>17</v>
      </c>
      <c r="F5212" t="s" s="2">
        <f>HYPERLINK("http://ts.21cn.com/tousu/show/id/1368431","http://ts.21cn.com/tousu/show/id/1368431")</f>
      </c>
      <c r="G5212" t="s" s="2">
        <v>17</v>
      </c>
      <c r="H5212" t="s" s="2">
        <v>19</v>
      </c>
      <c r="I5212" t="s" s="2">
        <v>20224</v>
      </c>
      <c r="J5212" t="s" s="2">
        <v>20225</v>
      </c>
      <c r="K5212" t="s" s="2">
        <v>22</v>
      </c>
      <c r="L5212" t="s" s="2">
        <v>22</v>
      </c>
      <c r="M5212" t="s" s="2">
        <v>22</v>
      </c>
    </row>
    <row r="5213" ht="25.0" customHeight="true">
      <c r="A5213" t="s" s="2">
        <v>13</v>
      </c>
      <c r="B5213" t="s" s="2">
        <f>HYPERLINK("http://ts.21cn.com/tousu/show/id/1368430","深圳市我爱我网络科技有限公司我的棋牌退还3万本金赔偿")</f>
      </c>
      <c r="C5213" t="s" s="2">
        <v>15</v>
      </c>
      <c r="D5213" t="s" s="2">
        <v>16</v>
      </c>
      <c r="E5213" t="s" s="2">
        <v>17</v>
      </c>
      <c r="F5213" t="s" s="2">
        <f>HYPERLINK("http://ts.21cn.com/tousu/show/id/1368430","http://ts.21cn.com/tousu/show/id/1368430")</f>
      </c>
      <c r="G5213" t="s" s="2">
        <v>17</v>
      </c>
      <c r="H5213" t="s" s="2">
        <v>19</v>
      </c>
      <c r="I5213" t="s" s="2">
        <v>20228</v>
      </c>
      <c r="J5213" t="s" s="2">
        <v>20229</v>
      </c>
      <c r="K5213" t="s" s="2">
        <v>22</v>
      </c>
      <c r="L5213" t="s" s="2">
        <v>22</v>
      </c>
      <c r="M5213" t="s" s="2">
        <v>22</v>
      </c>
    </row>
    <row r="5214" ht="25.0" customHeight="true">
      <c r="A5214" t="s" s="2">
        <v>13</v>
      </c>
      <c r="B5214" t="s" s="2">
        <f>HYPERLINK("http://ts.21cn.com/tousu/show/id/1368429","搜狗借款非法获取通讯录，恐吓催收")</f>
      </c>
      <c r="C5214" t="s" s="2">
        <v>15</v>
      </c>
      <c r="D5214" t="s" s="2">
        <v>16</v>
      </c>
      <c r="E5214" t="s" s="2">
        <v>17</v>
      </c>
      <c r="F5214" t="s" s="2">
        <f>HYPERLINK("http://ts.21cn.com/tousu/show/id/1368429","http://ts.21cn.com/tousu/show/id/1368429")</f>
      </c>
      <c r="G5214" t="s" s="2">
        <v>17</v>
      </c>
      <c r="H5214" t="s" s="2">
        <v>19</v>
      </c>
      <c r="I5214" t="s" s="2">
        <v>20232</v>
      </c>
      <c r="J5214" t="s" s="2">
        <v>20233</v>
      </c>
      <c r="K5214" t="s" s="2">
        <v>22</v>
      </c>
      <c r="L5214" t="s" s="2">
        <v>22</v>
      </c>
      <c r="M5214" t="s" s="2">
        <v>22</v>
      </c>
    </row>
    <row r="5215" ht="25.0" customHeight="true">
      <c r="A5215" t="s" s="2">
        <v>13</v>
      </c>
      <c r="B5215" t="s" s="2">
        <f>HYPERLINK("http://ts.21cn.com/tousu/show/id/1368427","盼达用车押金不退")</f>
      </c>
      <c r="C5215" t="s" s="2">
        <v>15</v>
      </c>
      <c r="D5215" t="s" s="2">
        <v>16</v>
      </c>
      <c r="E5215" t="s" s="2">
        <v>17</v>
      </c>
      <c r="F5215" t="s" s="2">
        <f>HYPERLINK("http://ts.21cn.com/tousu/show/id/1368427","http://ts.21cn.com/tousu/show/id/1368427")</f>
      </c>
      <c r="G5215" t="s" s="2">
        <v>17</v>
      </c>
      <c r="H5215" t="s" s="2">
        <v>19</v>
      </c>
      <c r="I5215" t="s" s="2">
        <v>20236</v>
      </c>
      <c r="J5215" t="s" s="2">
        <v>20237</v>
      </c>
      <c r="K5215" t="s" s="2">
        <v>22</v>
      </c>
      <c r="L5215" t="s" s="2">
        <v>22</v>
      </c>
      <c r="M5215" t="s" s="2">
        <v>22</v>
      </c>
    </row>
    <row r="5216" ht="25.0" customHeight="true">
      <c r="A5216" t="s" s="2">
        <v>13</v>
      </c>
      <c r="B5216" t="s" s="2">
        <f>HYPERLINK("http://ts.21cn.com/tousu/show/id/1368426","恶意标记淘宝号降权")</f>
      </c>
      <c r="C5216" t="s" s="2">
        <v>52</v>
      </c>
      <c r="D5216" t="s" s="2">
        <v>16</v>
      </c>
      <c r="E5216" t="s" s="2">
        <v>17</v>
      </c>
      <c r="F5216" t="s" s="2">
        <f>HYPERLINK("http://ts.21cn.com/tousu/show/id/1368426","http://ts.21cn.com/tousu/show/id/1368426")</f>
      </c>
      <c r="G5216" t="s" s="2">
        <v>17</v>
      </c>
      <c r="H5216" t="s" s="2">
        <v>19</v>
      </c>
      <c r="I5216" t="s" s="2">
        <v>20240</v>
      </c>
      <c r="J5216" t="s" s="2">
        <v>20241</v>
      </c>
      <c r="K5216" t="s" s="2">
        <v>22</v>
      </c>
      <c r="L5216" t="s" s="2">
        <v>22</v>
      </c>
      <c r="M5216" t="s" s="2">
        <v>22</v>
      </c>
    </row>
    <row r="5217" ht="25.0" customHeight="true">
      <c r="A5217" t="s" s="2">
        <v>13</v>
      </c>
      <c r="B5217" t="s" s="2">
        <f>HYPERLINK("http://ts.21cn.com/tousu/show/id/1368428","玖富万卡拖拖，说先还清再返款，真是滑稽可笑")</f>
      </c>
      <c r="C5217" t="s" s="2">
        <v>15</v>
      </c>
      <c r="D5217" t="s" s="2">
        <v>16</v>
      </c>
      <c r="E5217" t="s" s="2">
        <v>17</v>
      </c>
      <c r="F5217" t="s" s="2">
        <f>HYPERLINK("http://ts.21cn.com/tousu/show/id/1368428","http://ts.21cn.com/tousu/show/id/1368428")</f>
      </c>
      <c r="G5217" t="s" s="2">
        <v>17</v>
      </c>
      <c r="H5217" t="s" s="2">
        <v>19</v>
      </c>
      <c r="I5217" t="s" s="2">
        <v>20244</v>
      </c>
      <c r="J5217" t="s" s="2">
        <v>20245</v>
      </c>
      <c r="K5217" t="s" s="2">
        <v>22</v>
      </c>
      <c r="L5217" t="s" s="2">
        <v>22</v>
      </c>
      <c r="M5217" t="s" s="2">
        <v>22</v>
      </c>
    </row>
    <row r="5218" ht="25.0" customHeight="true">
      <c r="A5218" t="s" s="2">
        <v>13</v>
      </c>
      <c r="B5218" t="s" s="2">
        <f>HYPERLINK("http://ts.21cn.com/tousu/show/id/1368425","京东白条停止骚扰")</f>
      </c>
      <c r="C5218" t="s" s="2">
        <v>15</v>
      </c>
      <c r="D5218" t="s" s="2">
        <v>16</v>
      </c>
      <c r="E5218" t="s" s="2">
        <v>17</v>
      </c>
      <c r="F5218" t="s" s="2">
        <f>HYPERLINK("http://ts.21cn.com/tousu/show/id/1368425","http://ts.21cn.com/tousu/show/id/1368425")</f>
      </c>
      <c r="G5218" t="s" s="2">
        <v>17</v>
      </c>
      <c r="H5218" t="s" s="2">
        <v>19</v>
      </c>
      <c r="I5218" t="s" s="2">
        <v>20248</v>
      </c>
      <c r="J5218" t="s" s="2">
        <v>20249</v>
      </c>
      <c r="K5218" t="s" s="2">
        <v>22</v>
      </c>
      <c r="L5218" t="s" s="2">
        <v>22</v>
      </c>
      <c r="M5218" t="s" s="2">
        <v>22</v>
      </c>
    </row>
    <row r="5219" ht="25.0" customHeight="true">
      <c r="A5219" t="s" s="2">
        <v>13</v>
      </c>
      <c r="B5219" t="s" s="2">
        <f>HYPERLINK("http://ts.21cn.com/tousu/show/id/1368424","砍头息")</f>
      </c>
      <c r="C5219" t="s" s="2">
        <v>52</v>
      </c>
      <c r="D5219" t="s" s="2">
        <v>16</v>
      </c>
      <c r="E5219" t="s" s="2">
        <v>17</v>
      </c>
      <c r="F5219" t="s" s="2">
        <f>HYPERLINK("http://ts.21cn.com/tousu/show/id/1368424","http://ts.21cn.com/tousu/show/id/1368424")</f>
      </c>
      <c r="G5219" t="s" s="2">
        <v>17</v>
      </c>
      <c r="H5219" t="s" s="2">
        <v>19</v>
      </c>
      <c r="I5219" t="s" s="2">
        <v>20251</v>
      </c>
      <c r="J5219" t="s" s="2">
        <v>20252</v>
      </c>
      <c r="K5219" t="s" s="2">
        <v>22</v>
      </c>
      <c r="L5219" t="s" s="2">
        <v>22</v>
      </c>
      <c r="M5219" t="s" s="2">
        <v>22</v>
      </c>
    </row>
    <row r="5220" ht="25.0" customHeight="true">
      <c r="A5220" t="s" s="2">
        <v>13</v>
      </c>
      <c r="B5220" t="s" s="2">
        <f>HYPERLINK("http://ts.21cn.com/tousu/show/id/1368422","招商银行")</f>
      </c>
      <c r="C5220" t="s" s="2">
        <v>15</v>
      </c>
      <c r="D5220" t="s" s="2">
        <v>16</v>
      </c>
      <c r="E5220" t="s" s="2">
        <v>17</v>
      </c>
      <c r="F5220" t="s" s="2">
        <f>HYPERLINK("http://ts.21cn.com/tousu/show/id/1368422","http://ts.21cn.com/tousu/show/id/1368422")</f>
      </c>
      <c r="G5220" t="s" s="2">
        <v>17</v>
      </c>
      <c r="H5220" t="s" s="2">
        <v>19</v>
      </c>
      <c r="I5220" t="s" s="2">
        <v>20255</v>
      </c>
      <c r="J5220" t="s" s="2">
        <v>20256</v>
      </c>
      <c r="K5220" t="s" s="2">
        <v>22</v>
      </c>
      <c r="L5220" t="s" s="2">
        <v>22</v>
      </c>
      <c r="M5220" t="s" s="2">
        <v>22</v>
      </c>
    </row>
    <row r="5221" ht="25.0" customHeight="true">
      <c r="A5221" t="s" s="2">
        <v>13</v>
      </c>
      <c r="B5221" t="s" s="2">
        <f>HYPERLINK("http://ts.21cn.com/tousu/show/id/1368420","说话很难听")</f>
      </c>
      <c r="C5221" t="s" s="2">
        <v>15</v>
      </c>
      <c r="D5221" t="s" s="2">
        <v>16</v>
      </c>
      <c r="E5221" t="s" s="2">
        <v>17</v>
      </c>
      <c r="F5221" t="s" s="2">
        <f>HYPERLINK("http://ts.21cn.com/tousu/show/id/1368420","http://ts.21cn.com/tousu/show/id/1368420")</f>
      </c>
      <c r="G5221" t="s" s="2">
        <v>17</v>
      </c>
      <c r="H5221" t="s" s="2">
        <v>19</v>
      </c>
      <c r="I5221" t="s" s="2">
        <v>20259</v>
      </c>
      <c r="J5221" t="s" s="2">
        <v>20260</v>
      </c>
      <c r="K5221" t="s" s="2">
        <v>22</v>
      </c>
      <c r="L5221" t="s" s="2">
        <v>22</v>
      </c>
      <c r="M5221" t="s" s="2">
        <v>22</v>
      </c>
    </row>
    <row r="5222" ht="25.0" customHeight="true">
      <c r="A5222" t="s" s="2">
        <v>13</v>
      </c>
      <c r="B5222" t="s" s="2">
        <f>HYPERLINK("http://ts.21cn.com/tousu/show/id/1368419","手机借钱飞鸟分期高利贷")</f>
      </c>
      <c r="C5222" t="s" s="2">
        <v>15</v>
      </c>
      <c r="D5222" t="s" s="2">
        <v>16</v>
      </c>
      <c r="E5222" t="s" s="2">
        <v>17</v>
      </c>
      <c r="F5222" t="s" s="2">
        <f>HYPERLINK("http://ts.21cn.com/tousu/show/id/1368419","http://ts.21cn.com/tousu/show/id/1368419")</f>
      </c>
      <c r="G5222" t="s" s="2">
        <v>17</v>
      </c>
      <c r="H5222" t="s" s="2">
        <v>19</v>
      </c>
      <c r="I5222" t="s" s="2">
        <v>20263</v>
      </c>
      <c r="J5222" t="s" s="2">
        <v>20264</v>
      </c>
      <c r="K5222" t="s" s="2">
        <v>22</v>
      </c>
      <c r="L5222" t="s" s="2">
        <v>22</v>
      </c>
      <c r="M5222" t="s" s="2">
        <v>22</v>
      </c>
    </row>
    <row r="5223" ht="25.0" customHeight="true">
      <c r="A5223" t="s" s="2">
        <v>13</v>
      </c>
      <c r="B5223" t="s" s="2">
        <f>HYPERLINK("http://ts.21cn.com/tousu/show/id/1368418","四十九元加入购票优惠会员，但是并不能享受购票优惠")</f>
      </c>
      <c r="C5223" t="s" s="2">
        <v>52</v>
      </c>
      <c r="D5223" t="s" s="2">
        <v>16</v>
      </c>
      <c r="E5223" t="s" s="2">
        <v>17</v>
      </c>
      <c r="F5223" t="s" s="2">
        <f>HYPERLINK("http://ts.21cn.com/tousu/show/id/1368418","http://ts.21cn.com/tousu/show/id/1368418")</f>
      </c>
      <c r="G5223" t="s" s="2">
        <v>17</v>
      </c>
      <c r="H5223" t="s" s="2">
        <v>19</v>
      </c>
      <c r="I5223" t="s" s="2">
        <v>20267</v>
      </c>
      <c r="J5223" t="s" s="2">
        <v>20268</v>
      </c>
      <c r="K5223" t="s" s="2">
        <v>22</v>
      </c>
      <c r="L5223" t="s" s="2">
        <v>22</v>
      </c>
      <c r="M5223" t="s" s="2">
        <v>22</v>
      </c>
    </row>
    <row r="5224" ht="25.0" customHeight="true">
      <c r="A5224" t="s" s="2">
        <v>13</v>
      </c>
      <c r="B5224" t="s" s="2">
        <f>HYPERLINK("http://ts.21cn.com/tousu/show/id/1368109","还款没处理")</f>
      </c>
      <c r="C5224" t="s" s="2">
        <v>52</v>
      </c>
      <c r="D5224" t="s" s="2">
        <v>16</v>
      </c>
      <c r="E5224" t="s" s="2">
        <v>17</v>
      </c>
      <c r="F5224" t="s" s="2">
        <f>HYPERLINK("http://ts.21cn.com/tousu/show/id/1368109","http://ts.21cn.com/tousu/show/id/1368109")</f>
      </c>
      <c r="G5224" t="s" s="2">
        <v>17</v>
      </c>
      <c r="H5224" t="s" s="2">
        <v>19</v>
      </c>
      <c r="I5224" t="s" s="2">
        <v>20271</v>
      </c>
      <c r="J5224" t="s" s="2">
        <v>20272</v>
      </c>
      <c r="K5224" t="s" s="2">
        <v>22</v>
      </c>
      <c r="L5224" t="s" s="2">
        <v>22</v>
      </c>
      <c r="M5224" t="s" s="2">
        <v>22</v>
      </c>
    </row>
    <row r="5225" ht="25.0" customHeight="true">
      <c r="A5225" t="s" s="2">
        <v>13</v>
      </c>
      <c r="B5225" t="s" s="2">
        <f>HYPERLINK("http://ts.21cn.com/tousu/show/id/1368417","合同欺诈，私自扣款")</f>
      </c>
      <c r="C5225" t="s" s="2">
        <v>15</v>
      </c>
      <c r="D5225" t="s" s="2">
        <v>16</v>
      </c>
      <c r="E5225" t="s" s="2">
        <v>17</v>
      </c>
      <c r="F5225" t="s" s="2">
        <f>HYPERLINK("http://ts.21cn.com/tousu/show/id/1368417","http://ts.21cn.com/tousu/show/id/1368417")</f>
      </c>
      <c r="G5225" t="s" s="2">
        <v>17</v>
      </c>
      <c r="H5225" t="s" s="2">
        <v>19</v>
      </c>
      <c r="I5225" t="s" s="2">
        <v>20274</v>
      </c>
      <c r="J5225" t="s" s="2">
        <v>20275</v>
      </c>
      <c r="K5225" t="s" s="2">
        <v>22</v>
      </c>
      <c r="L5225" t="s" s="2">
        <v>22</v>
      </c>
      <c r="M5225" t="s" s="2">
        <v>22</v>
      </c>
    </row>
    <row r="5226" ht="25.0" customHeight="true">
      <c r="A5226" t="s" s="2">
        <v>13</v>
      </c>
      <c r="B5226" t="s" s="2">
        <f>HYPERLINK("http://ts.21cn.com/tousu/show/id/1368415","取消被逾期征信")</f>
      </c>
      <c r="C5226" t="s" s="2">
        <v>15</v>
      </c>
      <c r="D5226" t="s" s="2">
        <v>16</v>
      </c>
      <c r="E5226" t="s" s="2">
        <v>17</v>
      </c>
      <c r="F5226" t="s" s="2">
        <f>HYPERLINK("http://ts.21cn.com/tousu/show/id/1368415","http://ts.21cn.com/tousu/show/id/1368415")</f>
      </c>
      <c r="G5226" t="s" s="2">
        <v>17</v>
      </c>
      <c r="H5226" t="s" s="2">
        <v>19</v>
      </c>
      <c r="I5226" t="s" s="2">
        <v>20278</v>
      </c>
      <c r="J5226" t="s" s="2">
        <v>20279</v>
      </c>
      <c r="K5226" t="s" s="2">
        <v>22</v>
      </c>
      <c r="L5226" t="s" s="2">
        <v>22</v>
      </c>
      <c r="M5226" t="s" s="2">
        <v>22</v>
      </c>
    </row>
    <row r="5227" ht="25.0" customHeight="true">
      <c r="A5227" t="s" s="2">
        <v>13</v>
      </c>
      <c r="B5227" t="s" s="2">
        <f>HYPERLINK("http://ts.21cn.com/tousu/show/id/1368416","诱导办理业务")</f>
      </c>
      <c r="C5227" t="s" s="2">
        <v>15</v>
      </c>
      <c r="D5227" t="s" s="2">
        <v>16</v>
      </c>
      <c r="E5227" t="s" s="2">
        <v>17</v>
      </c>
      <c r="F5227" t="s" s="2">
        <f>HYPERLINK("http://ts.21cn.com/tousu/show/id/1368416","http://ts.21cn.com/tousu/show/id/1368416")</f>
      </c>
      <c r="G5227" t="s" s="2">
        <v>17</v>
      </c>
      <c r="H5227" t="s" s="2">
        <v>19</v>
      </c>
      <c r="I5227" t="s" s="2">
        <v>20282</v>
      </c>
      <c r="J5227" t="s" s="2">
        <v>20283</v>
      </c>
      <c r="K5227" t="s" s="2">
        <v>22</v>
      </c>
      <c r="L5227" t="s" s="2">
        <v>22</v>
      </c>
      <c r="M5227" t="s" s="2">
        <v>22</v>
      </c>
    </row>
    <row r="5228" ht="25.0" customHeight="true">
      <c r="A5228" t="s" s="2">
        <v>13</v>
      </c>
      <c r="B5228" t="s" s="2">
        <f>HYPERLINK("http://ts.21cn.com/tousu/show/id/1368414","利息过高且逾期后威胁并骚扰。由于现阶段资金周转问题出现逾期。")</f>
      </c>
      <c r="C5228" t="s" s="2">
        <v>15</v>
      </c>
      <c r="D5228" t="s" s="2">
        <v>16</v>
      </c>
      <c r="E5228" t="s" s="2">
        <v>17</v>
      </c>
      <c r="F5228" t="s" s="2">
        <f>HYPERLINK("http://ts.21cn.com/tousu/show/id/1368414","http://ts.21cn.com/tousu/show/id/1368414")</f>
      </c>
      <c r="G5228" t="s" s="2">
        <v>17</v>
      </c>
      <c r="H5228" t="s" s="2">
        <v>19</v>
      </c>
      <c r="I5228" t="s" s="2">
        <v>20286</v>
      </c>
      <c r="J5228" t="s" s="2">
        <v>20287</v>
      </c>
      <c r="K5228" t="s" s="2">
        <v>22</v>
      </c>
      <c r="L5228" t="s" s="2">
        <v>22</v>
      </c>
      <c r="M5228" t="s" s="2">
        <v>22</v>
      </c>
    </row>
    <row r="5229" ht="25.0" customHeight="true">
      <c r="A5229" t="s" s="2">
        <v>13</v>
      </c>
      <c r="B5229" t="s" s="2">
        <f>HYPERLINK("http://ts.21cn.com/tousu/show/id/1368413","信而富高利贷砍头息")</f>
      </c>
      <c r="C5229" t="s" s="2">
        <v>15</v>
      </c>
      <c r="D5229" t="s" s="2">
        <v>16</v>
      </c>
      <c r="E5229" t="s" s="2">
        <v>17</v>
      </c>
      <c r="F5229" t="s" s="2">
        <f>HYPERLINK("http://ts.21cn.com/tousu/show/id/1368413","http://ts.21cn.com/tousu/show/id/1368413")</f>
      </c>
      <c r="G5229" t="s" s="2">
        <v>17</v>
      </c>
      <c r="H5229" t="s" s="2">
        <v>19</v>
      </c>
      <c r="I5229" t="s" s="2">
        <v>20290</v>
      </c>
      <c r="J5229" t="s" s="2">
        <v>20291</v>
      </c>
      <c r="K5229" t="s" s="2">
        <v>22</v>
      </c>
      <c r="L5229" t="s" s="2">
        <v>22</v>
      </c>
      <c r="M5229" t="s" s="2">
        <v>22</v>
      </c>
    </row>
    <row r="5230" ht="25.0" customHeight="true">
      <c r="A5230" t="s" s="2">
        <v>13</v>
      </c>
      <c r="B5230" t="s" s="2">
        <f>HYPERLINK("http://ts.21cn.com/tousu/show/id/1368412","高利贷")</f>
      </c>
      <c r="C5230" t="s" s="2">
        <v>15</v>
      </c>
      <c r="D5230" t="s" s="2">
        <v>16</v>
      </c>
      <c r="E5230" t="s" s="2">
        <v>17</v>
      </c>
      <c r="F5230" t="s" s="2">
        <f>HYPERLINK("http://ts.21cn.com/tousu/show/id/1368412","http://ts.21cn.com/tousu/show/id/1368412")</f>
      </c>
      <c r="G5230" t="s" s="2">
        <v>17</v>
      </c>
      <c r="H5230" t="s" s="2">
        <v>19</v>
      </c>
      <c r="I5230" t="s" s="2">
        <v>20293</v>
      </c>
      <c r="J5230" t="s" s="2">
        <v>20294</v>
      </c>
      <c r="K5230" t="s" s="2">
        <v>22</v>
      </c>
      <c r="L5230" t="s" s="2">
        <v>22</v>
      </c>
      <c r="M5230" t="s" s="2">
        <v>22</v>
      </c>
    </row>
    <row r="5231" ht="25.0" customHeight="true">
      <c r="A5231" t="s" s="2">
        <v>13</v>
      </c>
      <c r="B5231" t="s" s="2">
        <f>HYPERLINK("http://ts.21cn.com/tousu/show/id/1368407","兴业银行暴力催收不属于我的信用卡欠款")</f>
      </c>
      <c r="C5231" t="s" s="2">
        <v>15</v>
      </c>
      <c r="D5231" t="s" s="2">
        <v>16</v>
      </c>
      <c r="E5231" t="s" s="2">
        <v>17</v>
      </c>
      <c r="F5231" t="s" s="2">
        <f>HYPERLINK("http://ts.21cn.com/tousu/show/id/1368407","http://ts.21cn.com/tousu/show/id/1368407")</f>
      </c>
      <c r="G5231" t="s" s="2">
        <v>17</v>
      </c>
      <c r="H5231" t="s" s="2">
        <v>19</v>
      </c>
      <c r="I5231" t="s" s="2">
        <v>20297</v>
      </c>
      <c r="J5231" t="s" s="2">
        <v>20298</v>
      </c>
      <c r="K5231" t="s" s="2">
        <v>22</v>
      </c>
      <c r="L5231" t="s" s="2">
        <v>22</v>
      </c>
      <c r="M5231" t="s" s="2">
        <v>22</v>
      </c>
    </row>
    <row r="5232" ht="25.0" customHeight="true">
      <c r="A5232" t="s" s="2">
        <v>13</v>
      </c>
      <c r="B5232" t="s" s="2">
        <f>HYPERLINK("http://ts.21cn.com/tousu/show/id/1368406","随手记福贷砍头息")</f>
      </c>
      <c r="C5232" t="s" s="2">
        <v>15</v>
      </c>
      <c r="D5232" t="s" s="2">
        <v>16</v>
      </c>
      <c r="E5232" t="s" s="2">
        <v>17</v>
      </c>
      <c r="F5232" t="s" s="2">
        <f>HYPERLINK("http://ts.21cn.com/tousu/show/id/1368406","http://ts.21cn.com/tousu/show/id/1368406")</f>
      </c>
      <c r="G5232" t="s" s="2">
        <v>17</v>
      </c>
      <c r="H5232" t="s" s="2">
        <v>19</v>
      </c>
      <c r="I5232" t="s" s="2">
        <v>20301</v>
      </c>
      <c r="J5232" t="s" s="2">
        <v>20302</v>
      </c>
      <c r="K5232" t="s" s="2">
        <v>22</v>
      </c>
      <c r="L5232" t="s" s="2">
        <v>22</v>
      </c>
      <c r="M5232" t="s" s="2">
        <v>22</v>
      </c>
    </row>
    <row r="5233" ht="25.0" customHeight="true">
      <c r="A5233" t="s" s="2">
        <v>13</v>
      </c>
      <c r="B5233" t="s" s="2">
        <f>HYPERLINK("http://ts.21cn.com/tousu/show/id/1368404","及贷暴力催债")</f>
      </c>
      <c r="C5233" t="s" s="2">
        <v>15</v>
      </c>
      <c r="D5233" t="s" s="2">
        <v>16</v>
      </c>
      <c r="E5233" t="s" s="2">
        <v>17</v>
      </c>
      <c r="F5233" t="s" s="2">
        <f>HYPERLINK("http://ts.21cn.com/tousu/show/id/1368404","http://ts.21cn.com/tousu/show/id/1368404")</f>
      </c>
      <c r="G5233" t="s" s="2">
        <v>17</v>
      </c>
      <c r="H5233" t="s" s="2">
        <v>19</v>
      </c>
      <c r="I5233" t="s" s="2">
        <v>20305</v>
      </c>
      <c r="J5233" t="s" s="2">
        <v>20306</v>
      </c>
      <c r="K5233" t="s" s="2">
        <v>22</v>
      </c>
      <c r="L5233" t="s" s="2">
        <v>22</v>
      </c>
      <c r="M5233" t="s" s="2">
        <v>22</v>
      </c>
    </row>
    <row r="5234" ht="25.0" customHeight="true">
      <c r="A5234" t="s" s="2">
        <v>13</v>
      </c>
      <c r="B5234" t="s" s="2">
        <f>HYPERLINK("http://ts.21cn.com/tousu/show/id/1368405","月光侠高利贷")</f>
      </c>
      <c r="C5234" t="s" s="2">
        <v>15</v>
      </c>
      <c r="D5234" t="s" s="2">
        <v>16</v>
      </c>
      <c r="E5234" t="s" s="2">
        <v>17</v>
      </c>
      <c r="F5234" t="s" s="2">
        <f>HYPERLINK("http://ts.21cn.com/tousu/show/id/1368405","http://ts.21cn.com/tousu/show/id/1368405")</f>
      </c>
      <c r="G5234" t="s" s="2">
        <v>17</v>
      </c>
      <c r="H5234" t="s" s="2">
        <v>19</v>
      </c>
      <c r="I5234" t="s" s="2">
        <v>20309</v>
      </c>
      <c r="J5234" t="s" s="2">
        <v>20310</v>
      </c>
      <c r="K5234" t="s" s="2">
        <v>22</v>
      </c>
      <c r="L5234" t="s" s="2">
        <v>22</v>
      </c>
      <c r="M5234" t="s" s="2">
        <v>22</v>
      </c>
    </row>
    <row r="5235" ht="25.0" customHeight="true">
      <c r="A5235" t="s" s="2">
        <v>13</v>
      </c>
      <c r="B5235" t="s" s="2">
        <f>HYPERLINK("http://ts.21cn.com/tousu/show/id/1368403","与苏州银行打成信用卡还款协商后仍电话骚扰")</f>
      </c>
      <c r="C5235" t="s" s="2">
        <v>15</v>
      </c>
      <c r="D5235" t="s" s="2">
        <v>16</v>
      </c>
      <c r="E5235" t="s" s="2">
        <v>17</v>
      </c>
      <c r="F5235" t="s" s="2">
        <f>HYPERLINK("http://ts.21cn.com/tousu/show/id/1368403","http://ts.21cn.com/tousu/show/id/1368403")</f>
      </c>
      <c r="G5235" t="s" s="2">
        <v>17</v>
      </c>
      <c r="H5235" t="s" s="2">
        <v>19</v>
      </c>
      <c r="I5235" t="s" s="2">
        <v>20313</v>
      </c>
      <c r="J5235" t="s" s="2">
        <v>20314</v>
      </c>
      <c r="K5235" t="s" s="2">
        <v>22</v>
      </c>
      <c r="L5235" t="s" s="2">
        <v>22</v>
      </c>
      <c r="M5235" t="s" s="2">
        <v>22</v>
      </c>
    </row>
    <row r="5236" ht="25.0" customHeight="true">
      <c r="A5236" t="s" s="2">
        <v>13</v>
      </c>
      <c r="B5236" t="s" s="2">
        <f>HYPERLINK("http://ts.21cn.com/tousu/show/id/1368402","享换机恶意催收、恐吓")</f>
      </c>
      <c r="C5236" t="s" s="2">
        <v>15</v>
      </c>
      <c r="D5236" t="s" s="2">
        <v>16</v>
      </c>
      <c r="E5236" t="s" s="2">
        <v>17</v>
      </c>
      <c r="F5236" t="s" s="2">
        <f>HYPERLINK("http://ts.21cn.com/tousu/show/id/1368402","http://ts.21cn.com/tousu/show/id/1368402")</f>
      </c>
      <c r="G5236" t="s" s="2">
        <v>17</v>
      </c>
      <c r="H5236" t="s" s="2">
        <v>19</v>
      </c>
      <c r="I5236" t="s" s="2">
        <v>20317</v>
      </c>
      <c r="J5236" t="s" s="2">
        <v>20318</v>
      </c>
      <c r="K5236" t="s" s="2">
        <v>22</v>
      </c>
      <c r="L5236" t="s" s="2">
        <v>22</v>
      </c>
      <c r="M5236" t="s" s="2">
        <v>22</v>
      </c>
    </row>
    <row r="5237" ht="25.0" customHeight="true">
      <c r="A5237" t="s" s="2">
        <v>13</v>
      </c>
      <c r="B5237" t="s" s="2">
        <f>HYPERLINK("http://ts.21cn.com/tousu/show/id/1368401","暴力催收，态度恶劣")</f>
      </c>
      <c r="C5237" t="s" s="2">
        <v>15</v>
      </c>
      <c r="D5237" t="s" s="2">
        <v>16</v>
      </c>
      <c r="E5237" t="s" s="2">
        <v>17</v>
      </c>
      <c r="F5237" t="s" s="2">
        <f>HYPERLINK("http://ts.21cn.com/tousu/show/id/1368401","http://ts.21cn.com/tousu/show/id/1368401")</f>
      </c>
      <c r="G5237" t="s" s="2">
        <v>17</v>
      </c>
      <c r="H5237" t="s" s="2">
        <v>19</v>
      </c>
      <c r="I5237" t="s" s="2">
        <v>20320</v>
      </c>
      <c r="J5237" t="s" s="2">
        <v>20321</v>
      </c>
      <c r="K5237" t="s" s="2">
        <v>22</v>
      </c>
      <c r="L5237" t="s" s="2">
        <v>22</v>
      </c>
      <c r="M5237" t="s" s="2">
        <v>22</v>
      </c>
    </row>
    <row r="5238" ht="25.0" customHeight="true">
      <c r="A5238" t="s" s="2">
        <v>13</v>
      </c>
      <c r="B5238" t="s" s="2">
        <f>HYPERLINK("http://ts.21cn.com/tousu/show/id/1368400","信用飞高利贷变相收取砍头息放款强制卖保险")</f>
      </c>
      <c r="C5238" t="s" s="2">
        <v>15</v>
      </c>
      <c r="D5238" t="s" s="2">
        <v>16</v>
      </c>
      <c r="E5238" t="s" s="2">
        <v>17</v>
      </c>
      <c r="F5238" t="s" s="2">
        <f>HYPERLINK("http://ts.21cn.com/tousu/show/id/1368400","http://ts.21cn.com/tousu/show/id/1368400")</f>
      </c>
      <c r="G5238" t="s" s="2">
        <v>17</v>
      </c>
      <c r="H5238" t="s" s="2">
        <v>19</v>
      </c>
      <c r="I5238" t="s" s="2">
        <v>20324</v>
      </c>
      <c r="J5238" t="s" s="2">
        <v>20325</v>
      </c>
      <c r="K5238" t="s" s="2">
        <v>22</v>
      </c>
      <c r="L5238" t="s" s="2">
        <v>22</v>
      </c>
      <c r="M5238" t="s" s="2">
        <v>22</v>
      </c>
    </row>
    <row r="5239" ht="25.0" customHeight="true">
      <c r="A5239" t="s" s="2">
        <v>13</v>
      </c>
      <c r="B5239" t="s" s="2">
        <f>HYPERLINK("http://ts.21cn.com/tousu/show/id/1368399","骚扰恐吓")</f>
      </c>
      <c r="C5239" t="s" s="2">
        <v>15</v>
      </c>
      <c r="D5239" t="s" s="2">
        <v>16</v>
      </c>
      <c r="E5239" t="s" s="2">
        <v>17</v>
      </c>
      <c r="F5239" t="s" s="2">
        <f>HYPERLINK("http://ts.21cn.com/tousu/show/id/1368399","http://ts.21cn.com/tousu/show/id/1368399")</f>
      </c>
      <c r="G5239" t="s" s="2">
        <v>17</v>
      </c>
      <c r="H5239" t="s" s="2">
        <v>19</v>
      </c>
      <c r="I5239" t="s" s="2">
        <v>20327</v>
      </c>
      <c r="J5239" t="s" s="2">
        <v>20328</v>
      </c>
      <c r="K5239" t="s" s="2">
        <v>22</v>
      </c>
      <c r="L5239" t="s" s="2">
        <v>22</v>
      </c>
      <c r="M5239" t="s" s="2">
        <v>22</v>
      </c>
    </row>
    <row r="5240" ht="25.0" customHeight="true">
      <c r="A5240" t="s" s="2">
        <v>13</v>
      </c>
      <c r="B5240" t="s" s="2">
        <f>HYPERLINK("http://ts.21cn.com/tousu/show/id/1368398","要求停止骚扰，解释清楚，调整利率")</f>
      </c>
      <c r="C5240" t="s" s="2">
        <v>15</v>
      </c>
      <c r="D5240" t="s" s="2">
        <v>16</v>
      </c>
      <c r="E5240" t="s" s="2">
        <v>17</v>
      </c>
      <c r="F5240" t="s" s="2">
        <f>HYPERLINK("http://ts.21cn.com/tousu/show/id/1368398","http://ts.21cn.com/tousu/show/id/1368398")</f>
      </c>
      <c r="G5240" t="s" s="2">
        <v>17</v>
      </c>
      <c r="H5240" t="s" s="2">
        <v>19</v>
      </c>
      <c r="I5240" t="s" s="2">
        <v>20331</v>
      </c>
      <c r="J5240" t="s" s="2">
        <v>20332</v>
      </c>
      <c r="K5240" t="s" s="2">
        <v>22</v>
      </c>
      <c r="L5240" t="s" s="2">
        <v>22</v>
      </c>
      <c r="M5240" t="s" s="2">
        <v>22</v>
      </c>
    </row>
    <row r="5241" ht="25.0" customHeight="true">
      <c r="A5241" t="s" s="2">
        <v>13</v>
      </c>
      <c r="B5241" t="s" s="2">
        <f>HYPERLINK("http://ts.21cn.com/tousu/show/id/1368397","飞贷金融暴力催收")</f>
      </c>
      <c r="C5241" t="s" s="2">
        <v>15</v>
      </c>
      <c r="D5241" t="s" s="2">
        <v>16</v>
      </c>
      <c r="E5241" t="s" s="2">
        <v>17</v>
      </c>
      <c r="F5241" t="s" s="2">
        <f>HYPERLINK("http://ts.21cn.com/tousu/show/id/1368397","http://ts.21cn.com/tousu/show/id/1368397")</f>
      </c>
      <c r="G5241" t="s" s="2">
        <v>17</v>
      </c>
      <c r="H5241" t="s" s="2">
        <v>19</v>
      </c>
      <c r="I5241" t="s" s="2">
        <v>20335</v>
      </c>
      <c r="J5241" t="s" s="2">
        <v>20336</v>
      </c>
      <c r="K5241" t="s" s="2">
        <v>22</v>
      </c>
      <c r="L5241" t="s" s="2">
        <v>22</v>
      </c>
      <c r="M5241" t="s" s="2">
        <v>22</v>
      </c>
    </row>
    <row r="5242" ht="25.0" customHeight="true">
      <c r="A5242" t="s" s="2">
        <v>13</v>
      </c>
      <c r="B5242" t="s" s="2">
        <f>HYPERLINK("http://ts.21cn.com/tousu/show/id/1368394","丰趣海淘拖欠员工工资，强制执行也没用")</f>
      </c>
      <c r="C5242" t="s" s="2">
        <v>15</v>
      </c>
      <c r="D5242" t="s" s="2">
        <v>16</v>
      </c>
      <c r="E5242" t="s" s="2">
        <v>17</v>
      </c>
      <c r="F5242" t="s" s="2">
        <f>HYPERLINK("http://ts.21cn.com/tousu/show/id/1368394","http://ts.21cn.com/tousu/show/id/1368394")</f>
      </c>
      <c r="G5242" t="s" s="2">
        <v>17</v>
      </c>
      <c r="H5242" t="s" s="2">
        <v>19</v>
      </c>
      <c r="I5242" t="s" s="2">
        <v>20338</v>
      </c>
      <c r="J5242" t="s" s="2">
        <v>20339</v>
      </c>
      <c r="K5242" t="s" s="2">
        <v>22</v>
      </c>
      <c r="L5242" t="s" s="2">
        <v>22</v>
      </c>
      <c r="M5242" t="s" s="2">
        <v>22</v>
      </c>
    </row>
    <row r="5243" ht="25.0" customHeight="true">
      <c r="A5243" t="s" s="2">
        <v>13</v>
      </c>
      <c r="B5243" t="s" s="2">
        <f>HYPERLINK("http://ts.21cn.com/tousu/show/id/1368396","逾期费用太高，")</f>
      </c>
      <c r="C5243" t="s" s="2">
        <v>15</v>
      </c>
      <c r="D5243" t="s" s="2">
        <v>16</v>
      </c>
      <c r="E5243" t="s" s="2">
        <v>17</v>
      </c>
      <c r="F5243" t="s" s="2">
        <f>HYPERLINK("http://ts.21cn.com/tousu/show/id/1368396","http://ts.21cn.com/tousu/show/id/1368396")</f>
      </c>
      <c r="G5243" t="s" s="2">
        <v>17</v>
      </c>
      <c r="H5243" t="s" s="2">
        <v>19</v>
      </c>
      <c r="I5243" t="s" s="2">
        <v>20342</v>
      </c>
      <c r="J5243" t="s" s="2">
        <v>20343</v>
      </c>
      <c r="K5243" t="s" s="2">
        <v>22</v>
      </c>
      <c r="L5243" t="s" s="2">
        <v>22</v>
      </c>
      <c r="M5243" t="s" s="2">
        <v>22</v>
      </c>
    </row>
    <row r="5244" ht="25.0" customHeight="true">
      <c r="A5244" t="s" s="2">
        <v>13</v>
      </c>
      <c r="B5244" t="s" s="2">
        <f>HYPERLINK("http://ts.21cn.com/tousu/show/id/1368392","中金支付违规提供714高炮支付渠道")</f>
      </c>
      <c r="C5244" t="s" s="2">
        <v>15</v>
      </c>
      <c r="D5244" t="s" s="2">
        <v>16</v>
      </c>
      <c r="E5244" t="s" s="2">
        <v>17</v>
      </c>
      <c r="F5244" t="s" s="2">
        <f>HYPERLINK("http://ts.21cn.com/tousu/show/id/1368392","http://ts.21cn.com/tousu/show/id/1368392")</f>
      </c>
      <c r="G5244" t="s" s="2">
        <v>17</v>
      </c>
      <c r="H5244" t="s" s="2">
        <v>19</v>
      </c>
      <c r="I5244" t="s" s="2">
        <v>20346</v>
      </c>
      <c r="J5244" t="s" s="2">
        <v>20347</v>
      </c>
      <c r="K5244" t="s" s="2">
        <v>22</v>
      </c>
      <c r="L5244" t="s" s="2">
        <v>22</v>
      </c>
      <c r="M5244" t="s" s="2">
        <v>22</v>
      </c>
    </row>
    <row r="5245" ht="25.0" customHeight="true">
      <c r="A5245" t="s" s="2">
        <v>13</v>
      </c>
      <c r="B5245" t="s" s="2">
        <f>HYPERLINK("http://ts.21cn.com/tousu/show/id/1368395","友信信贷在未逾期的时间内对借款人进行暴力催收")</f>
      </c>
      <c r="C5245" t="s" s="2">
        <v>15</v>
      </c>
      <c r="D5245" t="s" s="2">
        <v>16</v>
      </c>
      <c r="E5245" t="s" s="2">
        <v>17</v>
      </c>
      <c r="F5245" t="s" s="2">
        <f>HYPERLINK("http://ts.21cn.com/tousu/show/id/1368395","http://ts.21cn.com/tousu/show/id/1368395")</f>
      </c>
      <c r="G5245" t="s" s="2">
        <v>17</v>
      </c>
      <c r="H5245" t="s" s="2">
        <v>19</v>
      </c>
      <c r="I5245" t="s" s="2">
        <v>20349</v>
      </c>
      <c r="J5245" t="s" s="2">
        <v>20350</v>
      </c>
      <c r="K5245" t="s" s="2">
        <v>22</v>
      </c>
      <c r="L5245" t="s" s="2">
        <v>22</v>
      </c>
      <c r="M5245" t="s" s="2">
        <v>22</v>
      </c>
    </row>
    <row r="5246" ht="25.0" customHeight="true">
      <c r="A5246" t="s" s="2">
        <v>13</v>
      </c>
      <c r="B5246" t="s" s="2">
        <f>HYPERLINK("http://ts.21cn.com/tousu/show/id/1368391","乱发恐吓短信")</f>
      </c>
      <c r="C5246" t="s" s="2">
        <v>52</v>
      </c>
      <c r="D5246" t="s" s="2">
        <v>16</v>
      </c>
      <c r="E5246" t="s" s="2">
        <v>17</v>
      </c>
      <c r="F5246" t="s" s="2">
        <f>HYPERLINK("http://ts.21cn.com/tousu/show/id/1368391","http://ts.21cn.com/tousu/show/id/1368391")</f>
      </c>
      <c r="G5246" t="s" s="2">
        <v>17</v>
      </c>
      <c r="H5246" t="s" s="2">
        <v>19</v>
      </c>
      <c r="I5246" t="s" s="2">
        <v>20353</v>
      </c>
      <c r="J5246" t="s" s="2">
        <v>20354</v>
      </c>
      <c r="K5246" t="s" s="2">
        <v>22</v>
      </c>
      <c r="L5246" t="s" s="2">
        <v>22</v>
      </c>
      <c r="M5246" t="s" s="2">
        <v>22</v>
      </c>
    </row>
    <row r="5247" ht="25.0" customHeight="true">
      <c r="A5247" t="s" s="2">
        <v>13</v>
      </c>
      <c r="B5247" t="s" s="2">
        <f>HYPERLINK("http://ts.21cn.com/tousu/show/id/1368390","私自爆通讯录，没有任何通知和回复")</f>
      </c>
      <c r="C5247" t="s" s="2">
        <v>15</v>
      </c>
      <c r="D5247" t="s" s="2">
        <v>16</v>
      </c>
      <c r="E5247" t="s" s="2">
        <v>17</v>
      </c>
      <c r="F5247" t="s" s="2">
        <f>HYPERLINK("http://ts.21cn.com/tousu/show/id/1368390","http://ts.21cn.com/tousu/show/id/1368390")</f>
      </c>
      <c r="G5247" t="s" s="2">
        <v>17</v>
      </c>
      <c r="H5247" t="s" s="2">
        <v>19</v>
      </c>
      <c r="I5247" t="s" s="2">
        <v>20357</v>
      </c>
      <c r="J5247" t="s" s="2">
        <v>20358</v>
      </c>
      <c r="K5247" t="s" s="2">
        <v>22</v>
      </c>
      <c r="L5247" t="s" s="2">
        <v>22</v>
      </c>
      <c r="M5247" t="s" s="2">
        <v>22</v>
      </c>
    </row>
    <row r="5248" ht="25.0" customHeight="true">
      <c r="A5248" t="s" s="2">
        <v>13</v>
      </c>
      <c r="B5248" t="s" s="2">
        <f>HYPERLINK("http://ts.21cn.com/tousu/show/id/1368387","投诉U卡贷借款利息高达53.4%,app自动更改还款账户，无法查看借款协议")</f>
      </c>
      <c r="C5248" t="s" s="2">
        <v>15</v>
      </c>
      <c r="D5248" t="s" s="2">
        <v>16</v>
      </c>
      <c r="E5248" t="s" s="2">
        <v>17</v>
      </c>
      <c r="F5248" t="s" s="2">
        <f>HYPERLINK("http://ts.21cn.com/tousu/show/id/1368387","http://ts.21cn.com/tousu/show/id/1368387")</f>
      </c>
      <c r="G5248" t="s" s="2">
        <v>17</v>
      </c>
      <c r="H5248" t="s" s="2">
        <v>19</v>
      </c>
      <c r="I5248" t="s" s="2">
        <v>20361</v>
      </c>
      <c r="J5248" t="s" s="2">
        <v>20362</v>
      </c>
      <c r="K5248" t="s" s="2">
        <v>22</v>
      </c>
      <c r="L5248" t="s" s="2">
        <v>22</v>
      </c>
      <c r="M5248" t="s" s="2">
        <v>22</v>
      </c>
    </row>
    <row r="5249" ht="25.0" customHeight="true">
      <c r="A5249" t="s" s="2">
        <v>13</v>
      </c>
      <c r="B5249" t="s" s="2">
        <f>HYPERLINK("http://ts.21cn.com/tousu/show/id/1368389","百度有钱花恐吓威胁")</f>
      </c>
      <c r="C5249" t="s" s="2">
        <v>15</v>
      </c>
      <c r="D5249" t="s" s="2">
        <v>16</v>
      </c>
      <c r="E5249" t="s" s="2">
        <v>17</v>
      </c>
      <c r="F5249" t="s" s="2">
        <f>HYPERLINK("http://ts.21cn.com/tousu/show/id/1368389","http://ts.21cn.com/tousu/show/id/1368389")</f>
      </c>
      <c r="G5249" t="s" s="2">
        <v>17</v>
      </c>
      <c r="H5249" t="s" s="2">
        <v>19</v>
      </c>
      <c r="I5249" t="s" s="2">
        <v>20365</v>
      </c>
      <c r="J5249" t="s" s="2">
        <v>20366</v>
      </c>
      <c r="K5249" t="s" s="2">
        <v>22</v>
      </c>
      <c r="L5249" t="s" s="2">
        <v>22</v>
      </c>
      <c r="M5249" t="s" s="2">
        <v>22</v>
      </c>
    </row>
    <row r="5250" ht="25.0" customHeight="true">
      <c r="A5250" t="s" s="2">
        <v>13</v>
      </c>
      <c r="B5250" t="s" s="2">
        <f>HYPERLINK("http://ts.21cn.com/tousu/show/id/1365288","天猫蟹码头食品旗舰店发大闸蟹券但是不能提货")</f>
      </c>
      <c r="C5250" t="s" s="2">
        <v>15</v>
      </c>
      <c r="D5250" t="s" s="2">
        <v>16</v>
      </c>
      <c r="E5250" t="s" s="2">
        <v>17</v>
      </c>
      <c r="F5250" t="s" s="2">
        <f>HYPERLINK("http://ts.21cn.com/tousu/show/id/1365288","http://ts.21cn.com/tousu/show/id/1365288")</f>
      </c>
      <c r="G5250" t="s" s="2">
        <v>17</v>
      </c>
      <c r="H5250" t="s" s="2">
        <v>19</v>
      </c>
      <c r="I5250" t="s" s="2">
        <v>20369</v>
      </c>
      <c r="J5250" t="s" s="2">
        <v>20370</v>
      </c>
      <c r="K5250" t="s" s="2">
        <v>22</v>
      </c>
      <c r="L5250" t="s" s="2">
        <v>22</v>
      </c>
      <c r="M5250" t="s" s="2">
        <v>22</v>
      </c>
    </row>
    <row r="5251" ht="25.0" customHeight="true">
      <c r="A5251" t="s" s="2">
        <v>13</v>
      </c>
      <c r="B5251" t="s" s="2">
        <f>HYPERLINK("http://ts.21cn.com/tousu/show/id/1368386","花转转恶意导致逾期还不进去款")</f>
      </c>
      <c r="C5251" t="s" s="2">
        <v>15</v>
      </c>
      <c r="D5251" t="s" s="2">
        <v>16</v>
      </c>
      <c r="E5251" t="s" s="2">
        <v>17</v>
      </c>
      <c r="F5251" t="s" s="2">
        <f>HYPERLINK("http://ts.21cn.com/tousu/show/id/1368386","http://ts.21cn.com/tousu/show/id/1368386")</f>
      </c>
      <c r="G5251" t="s" s="2">
        <v>17</v>
      </c>
      <c r="H5251" t="s" s="2">
        <v>19</v>
      </c>
      <c r="I5251" t="s" s="2">
        <v>20373</v>
      </c>
      <c r="J5251" t="s" s="2">
        <v>20374</v>
      </c>
      <c r="K5251" t="s" s="2">
        <v>22</v>
      </c>
      <c r="L5251" t="s" s="2">
        <v>22</v>
      </c>
      <c r="M5251" t="s" s="2">
        <v>22</v>
      </c>
    </row>
    <row r="5252" ht="25.0" customHeight="true">
      <c r="A5252" t="s" s="2">
        <v>13</v>
      </c>
      <c r="B5252" t="s" s="2">
        <f>HYPERLINK("http://ts.21cn.com/tousu/show/id/1368384","平安银行委托黑社会威胁恐吓")</f>
      </c>
      <c r="C5252" t="s" s="2">
        <v>15</v>
      </c>
      <c r="D5252" t="s" s="2">
        <v>16</v>
      </c>
      <c r="E5252" t="s" s="2">
        <v>17</v>
      </c>
      <c r="F5252" t="s" s="2">
        <f>HYPERLINK("http://ts.21cn.com/tousu/show/id/1368384","http://ts.21cn.com/tousu/show/id/1368384")</f>
      </c>
      <c r="G5252" t="s" s="2">
        <v>17</v>
      </c>
      <c r="H5252" t="s" s="2">
        <v>19</v>
      </c>
      <c r="I5252" t="s" s="2">
        <v>20377</v>
      </c>
      <c r="J5252" t="s" s="2">
        <v>20378</v>
      </c>
      <c r="K5252" t="s" s="2">
        <v>22</v>
      </c>
      <c r="L5252" t="s" s="2">
        <v>22</v>
      </c>
      <c r="M5252" t="s" s="2">
        <v>22</v>
      </c>
    </row>
    <row r="5253" ht="25.0" customHeight="true">
      <c r="A5253" t="s" s="2">
        <v>13</v>
      </c>
      <c r="B5253" t="s" s="2">
        <f>HYPERLINK("http://ts.21cn.com/tousu/show/id/1368385","闪银哼哼瞬瞬一直催收")</f>
      </c>
      <c r="C5253" t="s" s="2">
        <v>52</v>
      </c>
      <c r="D5253" t="s" s="2">
        <v>16</v>
      </c>
      <c r="E5253" t="s" s="2">
        <v>17</v>
      </c>
      <c r="F5253" t="s" s="2">
        <f>HYPERLINK("http://ts.21cn.com/tousu/show/id/1368385","http://ts.21cn.com/tousu/show/id/1368385")</f>
      </c>
      <c r="G5253" t="s" s="2">
        <v>17</v>
      </c>
      <c r="H5253" t="s" s="2">
        <v>19</v>
      </c>
      <c r="I5253" t="s" s="2">
        <v>20381</v>
      </c>
      <c r="J5253" t="s" s="2">
        <v>20382</v>
      </c>
      <c r="K5253" t="s" s="2">
        <v>22</v>
      </c>
      <c r="L5253" t="s" s="2">
        <v>22</v>
      </c>
      <c r="M5253" t="s" s="2">
        <v>22</v>
      </c>
    </row>
    <row r="5254" ht="25.0" customHeight="true">
      <c r="A5254" t="s" s="2">
        <v>13</v>
      </c>
      <c r="B5254" t="s" s="2">
        <f>HYPERLINK("http://ts.21cn.com/tousu/show/id/1368383","花转转恶意逾期，多次联系减免不处理问题")</f>
      </c>
      <c r="C5254" t="s" s="2">
        <v>15</v>
      </c>
      <c r="D5254" t="s" s="2">
        <v>16</v>
      </c>
      <c r="E5254" t="s" s="2">
        <v>17</v>
      </c>
      <c r="F5254" t="s" s="2">
        <f>HYPERLINK("http://ts.21cn.com/tousu/show/id/1368383","http://ts.21cn.com/tousu/show/id/1368383")</f>
      </c>
      <c r="G5254" t="s" s="2">
        <v>17</v>
      </c>
      <c r="H5254" t="s" s="2">
        <v>19</v>
      </c>
      <c r="I5254" t="s" s="2">
        <v>20385</v>
      </c>
      <c r="J5254" t="s" s="2">
        <v>20386</v>
      </c>
      <c r="K5254" t="s" s="2">
        <v>22</v>
      </c>
      <c r="L5254" t="s" s="2">
        <v>22</v>
      </c>
      <c r="M5254" t="s" s="2">
        <v>22</v>
      </c>
    </row>
    <row r="5255" ht="25.0" customHeight="true">
      <c r="A5255" t="s" s="2">
        <v>13</v>
      </c>
      <c r="B5255" t="s" s="2">
        <f>HYPERLINK("http://ts.21cn.com/tousu/show/id/1368382","违规催收")</f>
      </c>
      <c r="C5255" t="s" s="2">
        <v>15</v>
      </c>
      <c r="D5255" t="s" s="2">
        <v>16</v>
      </c>
      <c r="E5255" t="s" s="2">
        <v>17</v>
      </c>
      <c r="F5255" t="s" s="2">
        <f>HYPERLINK("http://ts.21cn.com/tousu/show/id/1368382","http://ts.21cn.com/tousu/show/id/1368382")</f>
      </c>
      <c r="G5255" t="s" s="2">
        <v>17</v>
      </c>
      <c r="H5255" t="s" s="2">
        <v>19</v>
      </c>
      <c r="I5255" t="s" s="2">
        <v>20389</v>
      </c>
      <c r="J5255" t="s" s="2">
        <v>20390</v>
      </c>
      <c r="K5255" t="s" s="2">
        <v>22</v>
      </c>
      <c r="L5255" t="s" s="2">
        <v>22</v>
      </c>
      <c r="M5255" t="s" s="2">
        <v>22</v>
      </c>
    </row>
    <row r="5256" ht="25.0" customHeight="true">
      <c r="A5256" t="s" s="2">
        <v>13</v>
      </c>
      <c r="B5256" t="s" s="2">
        <f>HYPERLINK("http://ts.21cn.com/tousu/show/id/1368379","拍拍贷爆我通讯录")</f>
      </c>
      <c r="C5256" t="s" s="2">
        <v>15</v>
      </c>
      <c r="D5256" t="s" s="2">
        <v>16</v>
      </c>
      <c r="E5256" t="s" s="2">
        <v>17</v>
      </c>
      <c r="F5256" t="s" s="2">
        <f>HYPERLINK("http://ts.21cn.com/tousu/show/id/1368379","http://ts.21cn.com/tousu/show/id/1368379")</f>
      </c>
      <c r="G5256" t="s" s="2">
        <v>17</v>
      </c>
      <c r="H5256" t="s" s="2">
        <v>19</v>
      </c>
      <c r="I5256" t="s" s="2">
        <v>20393</v>
      </c>
      <c r="J5256" t="s" s="2">
        <v>20394</v>
      </c>
      <c r="K5256" t="s" s="2">
        <v>22</v>
      </c>
      <c r="L5256" t="s" s="2">
        <v>22</v>
      </c>
      <c r="M5256" t="s" s="2">
        <v>22</v>
      </c>
    </row>
    <row r="5257" ht="25.0" customHeight="true">
      <c r="A5257" t="s" s="2">
        <v>13</v>
      </c>
      <c r="B5257" t="s" s="2">
        <f>HYPERLINK("http://ts.21cn.com/tousu/show/id/1368381","松紧贷提前结清，利息很高，高利贷啊")</f>
      </c>
      <c r="C5257" t="s" s="2">
        <v>15</v>
      </c>
      <c r="D5257" t="s" s="2">
        <v>16</v>
      </c>
      <c r="E5257" t="s" s="2">
        <v>17</v>
      </c>
      <c r="F5257" t="s" s="2">
        <f>HYPERLINK("http://ts.21cn.com/tousu/show/id/1368381","http://ts.21cn.com/tousu/show/id/1368381")</f>
      </c>
      <c r="G5257" t="s" s="2">
        <v>17</v>
      </c>
      <c r="H5257" t="s" s="2">
        <v>19</v>
      </c>
      <c r="I5257" t="s" s="2">
        <v>20397</v>
      </c>
      <c r="J5257" t="s" s="2">
        <v>20398</v>
      </c>
      <c r="K5257" t="s" s="2">
        <v>22</v>
      </c>
      <c r="L5257" t="s" s="2">
        <v>22</v>
      </c>
      <c r="M5257" t="s" s="2">
        <v>22</v>
      </c>
    </row>
    <row r="5258" ht="25.0" customHeight="true">
      <c r="A5258" t="s" s="2">
        <v>13</v>
      </c>
      <c r="B5258" t="s" s="2">
        <f>HYPERLINK("http://ts.21cn.com/tousu/show/id/1368380","交通银行黑社会威胁")</f>
      </c>
      <c r="C5258" t="s" s="2">
        <v>15</v>
      </c>
      <c r="D5258" t="s" s="2">
        <v>16</v>
      </c>
      <c r="E5258" t="s" s="2">
        <v>17</v>
      </c>
      <c r="F5258" t="s" s="2">
        <f>HYPERLINK("http://ts.21cn.com/tousu/show/id/1368380","http://ts.21cn.com/tousu/show/id/1368380")</f>
      </c>
      <c r="G5258" t="s" s="2">
        <v>17</v>
      </c>
      <c r="H5258" t="s" s="2">
        <v>19</v>
      </c>
      <c r="I5258" t="s" s="2">
        <v>20401</v>
      </c>
      <c r="J5258" t="s" s="2">
        <v>20402</v>
      </c>
      <c r="K5258" t="s" s="2">
        <v>22</v>
      </c>
      <c r="L5258" t="s" s="2">
        <v>22</v>
      </c>
      <c r="M5258" t="s" s="2">
        <v>22</v>
      </c>
    </row>
    <row r="5259" ht="25.0" customHeight="true">
      <c r="A5259" t="s" s="2">
        <v>13</v>
      </c>
      <c r="B5259" t="s" s="2">
        <f>HYPERLINK("http://ts.21cn.com/tousu/show/id/1368377","代打没有按时间完成，不理买家补亏款")</f>
      </c>
      <c r="C5259" t="s" s="2">
        <v>15</v>
      </c>
      <c r="D5259" t="s" s="2">
        <v>16</v>
      </c>
      <c r="E5259" t="s" s="2">
        <v>17</v>
      </c>
      <c r="F5259" t="s" s="2">
        <f>HYPERLINK("http://ts.21cn.com/tousu/show/id/1368377","http://ts.21cn.com/tousu/show/id/1368377")</f>
      </c>
      <c r="G5259" t="s" s="2">
        <v>17</v>
      </c>
      <c r="H5259" t="s" s="2">
        <v>19</v>
      </c>
      <c r="I5259" t="s" s="2">
        <v>20405</v>
      </c>
      <c r="J5259" t="s" s="2">
        <v>20406</v>
      </c>
      <c r="K5259" t="s" s="2">
        <v>22</v>
      </c>
      <c r="L5259" t="s" s="2">
        <v>22</v>
      </c>
      <c r="M5259" t="s" s="2">
        <v>22</v>
      </c>
    </row>
    <row r="5260" ht="25.0" customHeight="true">
      <c r="A5260" t="s" s="2">
        <v>13</v>
      </c>
      <c r="B5260" t="s" s="2">
        <f>HYPERLINK("http://ts.21cn.com/tousu/show/id/1368374","浦发银行使用软暴力催收信用卡欠款")</f>
      </c>
      <c r="C5260" t="s" s="2">
        <v>15</v>
      </c>
      <c r="D5260" t="s" s="2">
        <v>16</v>
      </c>
      <c r="E5260" t="s" s="2">
        <v>17</v>
      </c>
      <c r="F5260" t="s" s="2">
        <f>HYPERLINK("http://ts.21cn.com/tousu/show/id/1368374","http://ts.21cn.com/tousu/show/id/1368374")</f>
      </c>
      <c r="G5260" t="s" s="2">
        <v>17</v>
      </c>
      <c r="H5260" t="s" s="2">
        <v>19</v>
      </c>
      <c r="I5260" t="s" s="2">
        <v>20409</v>
      </c>
      <c r="J5260" t="s" s="2">
        <v>20410</v>
      </c>
      <c r="K5260" t="s" s="2">
        <v>22</v>
      </c>
      <c r="L5260" t="s" s="2">
        <v>22</v>
      </c>
      <c r="M5260" t="s" s="2">
        <v>22</v>
      </c>
    </row>
    <row r="5261" ht="25.0" customHeight="true">
      <c r="A5261" t="s" s="2">
        <v>13</v>
      </c>
      <c r="B5261" t="s" s="2">
        <f>HYPERLINK("http://ts.21cn.com/tousu/show/id/1368373","拼多多现金助力活动")</f>
      </c>
      <c r="C5261" t="s" s="2">
        <v>15</v>
      </c>
      <c r="D5261" t="s" s="2">
        <v>16</v>
      </c>
      <c r="E5261" t="s" s="2">
        <v>17</v>
      </c>
      <c r="F5261" t="s" s="2">
        <f>HYPERLINK("http://ts.21cn.com/tousu/show/id/1368373","http://ts.21cn.com/tousu/show/id/1368373")</f>
      </c>
      <c r="G5261" t="s" s="2">
        <v>17</v>
      </c>
      <c r="H5261" t="s" s="2">
        <v>19</v>
      </c>
      <c r="I5261" t="s" s="2">
        <v>20412</v>
      </c>
      <c r="J5261" t="s" s="2">
        <v>20413</v>
      </c>
      <c r="K5261" t="s" s="2">
        <v>22</v>
      </c>
      <c r="L5261" t="s" s="2">
        <v>22</v>
      </c>
      <c r="M5261" t="s" s="2">
        <v>22</v>
      </c>
    </row>
    <row r="5262" ht="25.0" customHeight="true">
      <c r="A5262" t="s" s="2">
        <v>13</v>
      </c>
      <c r="B5262" t="s" s="2">
        <f>HYPERLINK("http://ts.21cn.com/tousu/show/id/1368372","天天发些短信，真的很烦")</f>
      </c>
      <c r="C5262" t="s" s="2">
        <v>52</v>
      </c>
      <c r="D5262" t="s" s="2">
        <v>16</v>
      </c>
      <c r="E5262" t="s" s="2">
        <v>17</v>
      </c>
      <c r="F5262" t="s" s="2">
        <f>HYPERLINK("http://ts.21cn.com/tousu/show/id/1368372","http://ts.21cn.com/tousu/show/id/1368372")</f>
      </c>
      <c r="G5262" t="s" s="2">
        <v>17</v>
      </c>
      <c r="H5262" t="s" s="2">
        <v>19</v>
      </c>
      <c r="I5262" t="s" s="2">
        <v>20416</v>
      </c>
      <c r="J5262" t="s" s="2">
        <v>20417</v>
      </c>
      <c r="K5262" t="s" s="2">
        <v>22</v>
      </c>
      <c r="L5262" t="s" s="2">
        <v>22</v>
      </c>
      <c r="M5262" t="s" s="2">
        <v>22</v>
      </c>
    </row>
    <row r="5263" ht="25.0" customHeight="true">
      <c r="A5263" t="s" s="2">
        <v>13</v>
      </c>
      <c r="B5263" t="s" s="2">
        <f>HYPERLINK("http://ts.21cn.com/tousu/show/id/1368371","暴力催收威胁家人")</f>
      </c>
      <c r="C5263" t="s" s="2">
        <v>15</v>
      </c>
      <c r="D5263" t="s" s="2">
        <v>16</v>
      </c>
      <c r="E5263" t="s" s="2">
        <v>17</v>
      </c>
      <c r="F5263" t="s" s="2">
        <f>HYPERLINK("http://ts.21cn.com/tousu/show/id/1368371","http://ts.21cn.com/tousu/show/id/1368371")</f>
      </c>
      <c r="G5263" t="s" s="2">
        <v>17</v>
      </c>
      <c r="H5263" t="s" s="2">
        <v>19</v>
      </c>
      <c r="I5263" t="s" s="2">
        <v>20420</v>
      </c>
      <c r="J5263" t="s" s="2">
        <v>20421</v>
      </c>
      <c r="K5263" t="s" s="2">
        <v>22</v>
      </c>
      <c r="L5263" t="s" s="2">
        <v>22</v>
      </c>
      <c r="M5263" t="s" s="2">
        <v>22</v>
      </c>
    </row>
    <row r="5264" ht="25.0" customHeight="true">
      <c r="A5264" t="s" s="2">
        <v>13</v>
      </c>
      <c r="B5264" t="s" s="2">
        <f>HYPERLINK("http://ts.21cn.com/tousu/show/id/1368370","小鹅贷714高利贷强制购物")</f>
      </c>
      <c r="C5264" t="s" s="2">
        <v>15</v>
      </c>
      <c r="D5264" t="s" s="2">
        <v>16</v>
      </c>
      <c r="E5264" t="s" s="2">
        <v>17</v>
      </c>
      <c r="F5264" t="s" s="2">
        <f>HYPERLINK("http://ts.21cn.com/tousu/show/id/1368370","http://ts.21cn.com/tousu/show/id/1368370")</f>
      </c>
      <c r="G5264" t="s" s="2">
        <v>17</v>
      </c>
      <c r="H5264" t="s" s="2">
        <v>19</v>
      </c>
      <c r="I5264" t="s" s="2">
        <v>20424</v>
      </c>
      <c r="J5264" t="s" s="2">
        <v>20425</v>
      </c>
      <c r="K5264" t="s" s="2">
        <v>22</v>
      </c>
      <c r="L5264" t="s" s="2">
        <v>22</v>
      </c>
      <c r="M5264" t="s" s="2">
        <v>22</v>
      </c>
    </row>
    <row r="5265" ht="25.0" customHeight="true">
      <c r="A5265" t="s" s="2">
        <v>13</v>
      </c>
      <c r="B5265" t="s" s="2">
        <f>HYPERLINK("http://ts.21cn.com/tousu/show/id/1368369","骚扰，威胁我和家人")</f>
      </c>
      <c r="C5265" t="s" s="2">
        <v>15</v>
      </c>
      <c r="D5265" t="s" s="2">
        <v>16</v>
      </c>
      <c r="E5265" t="s" s="2">
        <v>17</v>
      </c>
      <c r="F5265" t="s" s="2">
        <f>HYPERLINK("http://ts.21cn.com/tousu/show/id/1368369","http://ts.21cn.com/tousu/show/id/1368369")</f>
      </c>
      <c r="G5265" t="s" s="2">
        <v>17</v>
      </c>
      <c r="H5265" t="s" s="2">
        <v>19</v>
      </c>
      <c r="I5265" t="s" s="2">
        <v>20428</v>
      </c>
      <c r="J5265" t="s" s="2">
        <v>20429</v>
      </c>
      <c r="K5265" t="s" s="2">
        <v>22</v>
      </c>
      <c r="L5265" t="s" s="2">
        <v>22</v>
      </c>
      <c r="M5265" t="s" s="2">
        <v>22</v>
      </c>
    </row>
    <row r="5266" ht="25.0" customHeight="true">
      <c r="A5266" t="s" s="2">
        <v>13</v>
      </c>
      <c r="B5266" t="s" s="2">
        <f>HYPERLINK("http://ts.21cn.com/tousu/show/id/1368367","及贷收取高额息费")</f>
      </c>
      <c r="C5266" t="s" s="2">
        <v>15</v>
      </c>
      <c r="D5266" t="s" s="2">
        <v>16</v>
      </c>
      <c r="E5266" t="s" s="2">
        <v>17</v>
      </c>
      <c r="F5266" t="s" s="2">
        <f>HYPERLINK("http://ts.21cn.com/tousu/show/id/1368367","http://ts.21cn.com/tousu/show/id/1368367")</f>
      </c>
      <c r="G5266" t="s" s="2">
        <v>17</v>
      </c>
      <c r="H5266" t="s" s="2">
        <v>19</v>
      </c>
      <c r="I5266" t="s" s="2">
        <v>20431</v>
      </c>
      <c r="J5266" t="s" s="2">
        <v>20432</v>
      </c>
      <c r="K5266" t="s" s="2">
        <v>22</v>
      </c>
      <c r="L5266" t="s" s="2">
        <v>22</v>
      </c>
      <c r="M5266" t="s" s="2">
        <v>22</v>
      </c>
    </row>
    <row r="5267" ht="25.0" customHeight="true">
      <c r="A5267" t="s" s="2">
        <v>13</v>
      </c>
      <c r="B5267" t="s" s="2">
        <f>HYPERLINK("http://ts.21cn.com/tousu/show/id/1368366","易安保险联合高利贷平台捆绑销售保险")</f>
      </c>
      <c r="C5267" t="s" s="2">
        <v>15</v>
      </c>
      <c r="D5267" t="s" s="2">
        <v>16</v>
      </c>
      <c r="E5267" t="s" s="2">
        <v>17</v>
      </c>
      <c r="F5267" t="s" s="2">
        <f>HYPERLINK("http://ts.21cn.com/tousu/show/id/1368366","http://ts.21cn.com/tousu/show/id/1368366")</f>
      </c>
      <c r="G5267" t="s" s="2">
        <v>17</v>
      </c>
      <c r="H5267" t="s" s="2">
        <v>19</v>
      </c>
      <c r="I5267" t="s" s="2">
        <v>20435</v>
      </c>
      <c r="J5267" t="s" s="2">
        <v>20436</v>
      </c>
      <c r="K5267" t="s" s="2">
        <v>22</v>
      </c>
      <c r="L5267" t="s" s="2">
        <v>22</v>
      </c>
      <c r="M5267" t="s" s="2">
        <v>22</v>
      </c>
    </row>
    <row r="5268" ht="25.0" customHeight="true">
      <c r="A5268" t="s" s="2">
        <v>13</v>
      </c>
      <c r="B5268" t="s" s="2">
        <f>HYPERLINK("http://ts.21cn.com/tousu/show/id/1368363","非法放贷")</f>
      </c>
      <c r="C5268" t="s" s="2">
        <v>15</v>
      </c>
      <c r="D5268" t="s" s="2">
        <v>16</v>
      </c>
      <c r="E5268" t="s" s="2">
        <v>17</v>
      </c>
      <c r="F5268" t="s" s="2">
        <f>HYPERLINK("http://ts.21cn.com/tousu/show/id/1368363","http://ts.21cn.com/tousu/show/id/1368363")</f>
      </c>
      <c r="G5268" t="s" s="2">
        <v>17</v>
      </c>
      <c r="H5268" t="s" s="2">
        <v>19</v>
      </c>
      <c r="I5268" t="s" s="2">
        <v>20439</v>
      </c>
      <c r="J5268" t="s" s="2">
        <v>20440</v>
      </c>
      <c r="K5268" t="s" s="2">
        <v>22</v>
      </c>
      <c r="L5268" t="s" s="2">
        <v>22</v>
      </c>
      <c r="M5268" t="s" s="2">
        <v>22</v>
      </c>
    </row>
    <row r="5269" ht="25.0" customHeight="true">
      <c r="A5269" t="s" s="2">
        <v>13</v>
      </c>
      <c r="B5269" t="s" s="2">
        <f>HYPERLINK("http://ts.21cn.com/tousu/show/id/1368362","利息太高电话催收骚扰电话")</f>
      </c>
      <c r="C5269" t="s" s="2">
        <v>15</v>
      </c>
      <c r="D5269" t="s" s="2">
        <v>16</v>
      </c>
      <c r="E5269" t="s" s="2">
        <v>17</v>
      </c>
      <c r="F5269" t="s" s="2">
        <f>HYPERLINK("http://ts.21cn.com/tousu/show/id/1368362","http://ts.21cn.com/tousu/show/id/1368362")</f>
      </c>
      <c r="G5269" t="s" s="2">
        <v>17</v>
      </c>
      <c r="H5269" t="s" s="2">
        <v>19</v>
      </c>
      <c r="I5269" t="s" s="2">
        <v>20443</v>
      </c>
      <c r="J5269" t="s" s="2">
        <v>20444</v>
      </c>
      <c r="K5269" t="s" s="2">
        <v>22</v>
      </c>
      <c r="L5269" t="s" s="2">
        <v>22</v>
      </c>
      <c r="M5269" t="s" s="2">
        <v>22</v>
      </c>
    </row>
    <row r="5270" ht="25.0" customHeight="true">
      <c r="A5270" t="s" s="2">
        <v>13</v>
      </c>
      <c r="B5270" t="s" s="2">
        <f>HYPERLINK("http://ts.21cn.com/tousu/show/id/1368361","芒果筹app失效无法登陆导致逾期、要我还被迫的逾期费用")</f>
      </c>
      <c r="C5270" t="s" s="2">
        <v>15</v>
      </c>
      <c r="D5270" t="s" s="2">
        <v>16</v>
      </c>
      <c r="E5270" t="s" s="2">
        <v>17</v>
      </c>
      <c r="F5270" t="s" s="2">
        <f>HYPERLINK("http://ts.21cn.com/tousu/show/id/1368361","http://ts.21cn.com/tousu/show/id/1368361")</f>
      </c>
      <c r="G5270" t="s" s="2">
        <v>17</v>
      </c>
      <c r="H5270" t="s" s="2">
        <v>19</v>
      </c>
      <c r="I5270" t="s" s="2">
        <v>20447</v>
      </c>
      <c r="J5270" t="s" s="2">
        <v>20448</v>
      </c>
      <c r="K5270" t="s" s="2">
        <v>22</v>
      </c>
      <c r="L5270" t="s" s="2">
        <v>22</v>
      </c>
      <c r="M5270" t="s" s="2">
        <v>22</v>
      </c>
    </row>
    <row r="5271" ht="25.0" customHeight="true">
      <c r="A5271" t="s" s="2">
        <v>13</v>
      </c>
      <c r="B5271" t="s" s="2">
        <f>HYPERLINK("http://ts.21cn.com/tousu/show/id/1368360","农业信用卡因为父亲生病逾期两个月没按时还款，农业找外包催收不正当催收，还自称是律师事务所，说要起诉我让我一次性还清，")</f>
      </c>
      <c r="C5271" t="s" s="2">
        <v>15</v>
      </c>
      <c r="D5271" t="s" s="2">
        <v>16</v>
      </c>
      <c r="E5271" t="s" s="2">
        <v>17</v>
      </c>
      <c r="F5271" t="s" s="2">
        <f>HYPERLINK("http://ts.21cn.com/tousu/show/id/1368360","http://ts.21cn.com/tousu/show/id/1368360")</f>
      </c>
      <c r="G5271" t="s" s="2">
        <v>17</v>
      </c>
      <c r="H5271" t="s" s="2">
        <v>19</v>
      </c>
      <c r="I5271" t="s" s="2">
        <v>20451</v>
      </c>
      <c r="J5271" t="s" s="2">
        <v>20452</v>
      </c>
      <c r="K5271" t="s" s="2">
        <v>22</v>
      </c>
      <c r="L5271" t="s" s="2">
        <v>22</v>
      </c>
      <c r="M5271" t="s" s="2">
        <v>22</v>
      </c>
    </row>
    <row r="5272" ht="25.0" customHeight="true">
      <c r="A5272" t="s" s="2">
        <v>13</v>
      </c>
      <c r="B5272" t="s" s="2">
        <f>HYPERLINK("http://ts.21cn.com/tousu/show/id/1368359","钱站高利贷阴阳合同黑网贷")</f>
      </c>
      <c r="C5272" t="s" s="2">
        <v>15</v>
      </c>
      <c r="D5272" t="s" s="2">
        <v>16</v>
      </c>
      <c r="E5272" t="s" s="2">
        <v>17</v>
      </c>
      <c r="F5272" t="s" s="2">
        <f>HYPERLINK("http://ts.21cn.com/tousu/show/id/1368359","http://ts.21cn.com/tousu/show/id/1368359")</f>
      </c>
      <c r="G5272" t="s" s="2">
        <v>17</v>
      </c>
      <c r="H5272" t="s" s="2">
        <v>19</v>
      </c>
      <c r="I5272" t="s" s="2">
        <v>20455</v>
      </c>
      <c r="J5272" t="s" s="2">
        <v>20456</v>
      </c>
      <c r="K5272" t="s" s="2">
        <v>22</v>
      </c>
      <c r="L5272" t="s" s="2">
        <v>22</v>
      </c>
      <c r="M5272" t="s" s="2">
        <v>22</v>
      </c>
    </row>
    <row r="5273" ht="25.0" customHeight="true">
      <c r="A5273" t="s" s="2">
        <v>13</v>
      </c>
      <c r="B5273" t="s" s="2">
        <f>HYPERLINK("http://ts.21cn.com/tousu/show/id/1368357","钱站暴力催债骚扰老人")</f>
      </c>
      <c r="C5273" t="s" s="2">
        <v>15</v>
      </c>
      <c r="D5273" t="s" s="2">
        <v>16</v>
      </c>
      <c r="E5273" t="s" s="2">
        <v>17</v>
      </c>
      <c r="F5273" t="s" s="2">
        <f>HYPERLINK("http://ts.21cn.com/tousu/show/id/1368357","http://ts.21cn.com/tousu/show/id/1368357")</f>
      </c>
      <c r="G5273" t="s" s="2">
        <v>17</v>
      </c>
      <c r="H5273" t="s" s="2">
        <v>19</v>
      </c>
      <c r="I5273" t="s" s="2">
        <v>20459</v>
      </c>
      <c r="J5273" t="s" s="2">
        <v>20460</v>
      </c>
      <c r="K5273" t="s" s="2">
        <v>22</v>
      </c>
      <c r="L5273" t="s" s="2">
        <v>22</v>
      </c>
      <c r="M5273" t="s" s="2">
        <v>22</v>
      </c>
    </row>
    <row r="5274" ht="25.0" customHeight="true">
      <c r="A5274" t="s" s="2">
        <v>13</v>
      </c>
      <c r="B5274" t="s" s="2">
        <f>HYPERLINK("http://ts.21cn.com/tousu/show/id/1368356","智行火车票没有注销账号的地方，为保护个人隐私，希望能将账号注销掉")</f>
      </c>
      <c r="C5274" t="s" s="2">
        <v>52</v>
      </c>
      <c r="D5274" t="s" s="2">
        <v>16</v>
      </c>
      <c r="E5274" t="s" s="2">
        <v>17</v>
      </c>
      <c r="F5274" t="s" s="2">
        <f>HYPERLINK("http://ts.21cn.com/tousu/show/id/1368356","http://ts.21cn.com/tousu/show/id/1368356")</f>
      </c>
      <c r="G5274" t="s" s="2">
        <v>17</v>
      </c>
      <c r="H5274" t="s" s="2">
        <v>19</v>
      </c>
      <c r="I5274" t="s" s="2">
        <v>20459</v>
      </c>
      <c r="J5274" t="s" s="2">
        <v>20463</v>
      </c>
      <c r="K5274" t="s" s="2">
        <v>22</v>
      </c>
      <c r="L5274" t="s" s="2">
        <v>22</v>
      </c>
      <c r="M5274" t="s" s="2">
        <v>22</v>
      </c>
    </row>
    <row r="5275" ht="25.0" customHeight="true">
      <c r="A5275" t="s" s="2">
        <v>13</v>
      </c>
      <c r="B5275" t="s" s="2">
        <f>HYPERLINK("http://ts.21cn.com/tousu/show/id/1368355","及贷砍头息，暴力催收，恶意骚扰联系人")</f>
      </c>
      <c r="C5275" t="s" s="2">
        <v>15</v>
      </c>
      <c r="D5275" t="s" s="2">
        <v>16</v>
      </c>
      <c r="E5275" t="s" s="2">
        <v>17</v>
      </c>
      <c r="F5275" t="s" s="2">
        <f>HYPERLINK("http://ts.21cn.com/tousu/show/id/1368355","http://ts.21cn.com/tousu/show/id/1368355")</f>
      </c>
      <c r="G5275" t="s" s="2">
        <v>17</v>
      </c>
      <c r="H5275" t="s" s="2">
        <v>19</v>
      </c>
      <c r="I5275" t="s" s="2">
        <v>20466</v>
      </c>
      <c r="J5275" t="s" s="2">
        <v>20467</v>
      </c>
      <c r="K5275" t="s" s="2">
        <v>22</v>
      </c>
      <c r="L5275" t="s" s="2">
        <v>22</v>
      </c>
      <c r="M5275" t="s" s="2">
        <v>22</v>
      </c>
    </row>
    <row r="5276" ht="25.0" customHeight="true">
      <c r="A5276" t="s" s="2">
        <v>13</v>
      </c>
      <c r="B5276" t="s" s="2">
        <f>HYPERLINK("http://ts.21cn.com/tousu/show/id/1368353","拍拍贷催收威胁恐吓")</f>
      </c>
      <c r="C5276" t="s" s="2">
        <v>15</v>
      </c>
      <c r="D5276" t="s" s="2">
        <v>16</v>
      </c>
      <c r="E5276" t="s" s="2">
        <v>17</v>
      </c>
      <c r="F5276" t="s" s="2">
        <f>HYPERLINK("http://ts.21cn.com/tousu/show/id/1368353","http://ts.21cn.com/tousu/show/id/1368353")</f>
      </c>
      <c r="G5276" t="s" s="2">
        <v>17</v>
      </c>
      <c r="H5276" t="s" s="2">
        <v>19</v>
      </c>
      <c r="I5276" t="s" s="2">
        <v>20470</v>
      </c>
      <c r="J5276" t="s" s="2">
        <v>20471</v>
      </c>
      <c r="K5276" t="s" s="2">
        <v>22</v>
      </c>
      <c r="L5276" t="s" s="2">
        <v>22</v>
      </c>
      <c r="M5276" t="s" s="2">
        <v>22</v>
      </c>
    </row>
    <row r="5277" ht="25.0" customHeight="true">
      <c r="A5277" t="s" s="2">
        <v>13</v>
      </c>
      <c r="B5277" t="s" s="2">
        <f>HYPERLINK("http://ts.21cn.com/tousu/show/id/1368354","暴力催收，恐吓威胁")</f>
      </c>
      <c r="C5277" t="s" s="2">
        <v>15</v>
      </c>
      <c r="D5277" t="s" s="2">
        <v>16</v>
      </c>
      <c r="E5277" t="s" s="2">
        <v>17</v>
      </c>
      <c r="F5277" t="s" s="2">
        <f>HYPERLINK("http://ts.21cn.com/tousu/show/id/1368354","http://ts.21cn.com/tousu/show/id/1368354")</f>
      </c>
      <c r="G5277" t="s" s="2">
        <v>17</v>
      </c>
      <c r="H5277" t="s" s="2">
        <v>19</v>
      </c>
      <c r="I5277" t="s" s="2">
        <v>20474</v>
      </c>
      <c r="J5277" t="s" s="2">
        <v>20475</v>
      </c>
      <c r="K5277" t="s" s="2">
        <v>22</v>
      </c>
      <c r="L5277" t="s" s="2">
        <v>22</v>
      </c>
      <c r="M5277" t="s" s="2">
        <v>22</v>
      </c>
    </row>
    <row r="5278" ht="25.0" customHeight="true">
      <c r="A5278" t="s" s="2">
        <v>13</v>
      </c>
      <c r="B5278" t="s" s="2">
        <f>HYPERLINK("http://ts.21cn.com/tousu/show/id/1368352","暴力催收")</f>
      </c>
      <c r="C5278" t="s" s="2">
        <v>15</v>
      </c>
      <c r="D5278" t="s" s="2">
        <v>16</v>
      </c>
      <c r="E5278" t="s" s="2">
        <v>17</v>
      </c>
      <c r="F5278" t="s" s="2">
        <f>HYPERLINK("http://ts.21cn.com/tousu/show/id/1368352","http://ts.21cn.com/tousu/show/id/1368352")</f>
      </c>
      <c r="G5278" t="s" s="2">
        <v>17</v>
      </c>
      <c r="H5278" t="s" s="2">
        <v>19</v>
      </c>
      <c r="I5278" t="s" s="2">
        <v>20477</v>
      </c>
      <c r="J5278" t="s" s="2">
        <v>20478</v>
      </c>
      <c r="K5278" t="s" s="2">
        <v>22</v>
      </c>
      <c r="L5278" t="s" s="2">
        <v>22</v>
      </c>
      <c r="M5278" t="s" s="2">
        <v>22</v>
      </c>
    </row>
    <row r="5279" ht="25.0" customHeight="true">
      <c r="A5279" t="s" s="2">
        <v>13</v>
      </c>
      <c r="B5279" t="s" s="2">
        <f>HYPERLINK("http://ts.21cn.com/tousu/show/id/1368327","华农钱庄非法高利贷汇潮支付非法为高利贷提供支付渠道")</f>
      </c>
      <c r="C5279" t="s" s="2">
        <v>15</v>
      </c>
      <c r="D5279" t="s" s="2">
        <v>16</v>
      </c>
      <c r="E5279" t="s" s="2">
        <v>17</v>
      </c>
      <c r="F5279" t="s" s="2">
        <f>HYPERLINK("http://ts.21cn.com/tousu/show/id/1368327","http://ts.21cn.com/tousu/show/id/1368327")</f>
      </c>
      <c r="G5279" t="s" s="2">
        <v>17</v>
      </c>
      <c r="H5279" t="s" s="2">
        <v>19</v>
      </c>
      <c r="I5279" t="s" s="2">
        <v>20481</v>
      </c>
      <c r="J5279" t="s" s="2">
        <v>20482</v>
      </c>
      <c r="K5279" t="s" s="2">
        <v>22</v>
      </c>
      <c r="L5279" t="s" s="2">
        <v>22</v>
      </c>
      <c r="M5279" t="s" s="2">
        <v>22</v>
      </c>
    </row>
    <row r="5280" ht="25.0" customHeight="true">
      <c r="A5280" t="s" s="2">
        <v>13</v>
      </c>
      <c r="B5280" t="s" s="2">
        <f>HYPERLINK("http://ts.21cn.com/tousu/show/id/1368350","爱投资平台没有按时还款")</f>
      </c>
      <c r="C5280" t="s" s="2">
        <v>15</v>
      </c>
      <c r="D5280" t="s" s="2">
        <v>16</v>
      </c>
      <c r="E5280" t="s" s="2">
        <v>17</v>
      </c>
      <c r="F5280" t="s" s="2">
        <f>HYPERLINK("http://ts.21cn.com/tousu/show/id/1368350","http://ts.21cn.com/tousu/show/id/1368350")</f>
      </c>
      <c r="G5280" t="s" s="2">
        <v>17</v>
      </c>
      <c r="H5280" t="s" s="2">
        <v>19</v>
      </c>
      <c r="I5280" t="s" s="2">
        <v>20485</v>
      </c>
      <c r="J5280" t="s" s="2">
        <v>20486</v>
      </c>
      <c r="K5280" t="s" s="2">
        <v>22</v>
      </c>
      <c r="L5280" t="s" s="2">
        <v>22</v>
      </c>
      <c r="M5280" t="s" s="2">
        <v>22</v>
      </c>
    </row>
    <row r="5281" ht="25.0" customHeight="true">
      <c r="A5281" t="s" s="2">
        <v>13</v>
      </c>
      <c r="B5281" t="s" s="2">
        <f>HYPERLINK("http://ts.21cn.com/tousu/show/id/1368349","哆咪黑卡恶意扣费299")</f>
      </c>
      <c r="C5281" t="s" s="2">
        <v>15</v>
      </c>
      <c r="D5281" t="s" s="2">
        <v>16</v>
      </c>
      <c r="E5281" t="s" s="2">
        <v>17</v>
      </c>
      <c r="F5281" t="s" s="2">
        <f>HYPERLINK("http://ts.21cn.com/tousu/show/id/1368349","http://ts.21cn.com/tousu/show/id/1368349")</f>
      </c>
      <c r="G5281" t="s" s="2">
        <v>17</v>
      </c>
      <c r="H5281" t="s" s="2">
        <v>19</v>
      </c>
      <c r="I5281" t="s" s="2">
        <v>20489</v>
      </c>
      <c r="J5281" t="s" s="2">
        <v>20490</v>
      </c>
      <c r="K5281" t="s" s="2">
        <v>22</v>
      </c>
      <c r="L5281" t="s" s="2">
        <v>22</v>
      </c>
      <c r="M5281" t="s" s="2">
        <v>22</v>
      </c>
    </row>
    <row r="5282" ht="25.0" customHeight="true">
      <c r="A5282" t="s" s="2">
        <v>13</v>
      </c>
      <c r="B5282" t="s" s="2">
        <f>HYPERLINK("http://ts.21cn.com/tousu/show/id/1368348","我来贷高息放贷，暴力催收")</f>
      </c>
      <c r="C5282" t="s" s="2">
        <v>15</v>
      </c>
      <c r="D5282" t="s" s="2">
        <v>16</v>
      </c>
      <c r="E5282" t="s" s="2">
        <v>17</v>
      </c>
      <c r="F5282" t="s" s="2">
        <f>HYPERLINK("http://ts.21cn.com/tousu/show/id/1368348","http://ts.21cn.com/tousu/show/id/1368348")</f>
      </c>
      <c r="G5282" t="s" s="2">
        <v>17</v>
      </c>
      <c r="H5282" t="s" s="2">
        <v>19</v>
      </c>
      <c r="I5282" t="s" s="2">
        <v>20493</v>
      </c>
      <c r="J5282" t="s" s="2">
        <v>20494</v>
      </c>
      <c r="K5282" t="s" s="2">
        <v>22</v>
      </c>
      <c r="L5282" t="s" s="2">
        <v>22</v>
      </c>
      <c r="M5282" t="s" s="2">
        <v>22</v>
      </c>
    </row>
    <row r="5283" ht="25.0" customHeight="true">
      <c r="A5283" t="s" s="2">
        <v>13</v>
      </c>
      <c r="B5283" t="s" s="2">
        <f>HYPERLINK("http://ts.21cn.com/tousu/show/id/1368346","人人花乱扣费")</f>
      </c>
      <c r="C5283" t="s" s="2">
        <v>15</v>
      </c>
      <c r="D5283" t="s" s="2">
        <v>16</v>
      </c>
      <c r="E5283" t="s" s="2">
        <v>17</v>
      </c>
      <c r="F5283" t="s" s="2">
        <f>HYPERLINK("http://ts.21cn.com/tousu/show/id/1368346","http://ts.21cn.com/tousu/show/id/1368346")</f>
      </c>
      <c r="G5283" t="s" s="2">
        <v>17</v>
      </c>
      <c r="H5283" t="s" s="2">
        <v>19</v>
      </c>
      <c r="I5283" t="s" s="2">
        <v>20496</v>
      </c>
      <c r="J5283" t="s" s="2">
        <v>20497</v>
      </c>
      <c r="K5283" t="s" s="2">
        <v>22</v>
      </c>
      <c r="L5283" t="s" s="2">
        <v>22</v>
      </c>
      <c r="M5283" t="s" s="2">
        <v>22</v>
      </c>
    </row>
    <row r="5284" ht="25.0" customHeight="true">
      <c r="A5284" t="s" s="2">
        <v>13</v>
      </c>
      <c r="B5284" t="s" s="2">
        <f>HYPERLINK("http://ts.21cn.com/tousu/show/id/1368345","分期鸭强制逾期")</f>
      </c>
      <c r="C5284" t="s" s="2">
        <v>15</v>
      </c>
      <c r="D5284" t="s" s="2">
        <v>16</v>
      </c>
      <c r="E5284" t="s" s="2">
        <v>17</v>
      </c>
      <c r="F5284" t="s" s="2">
        <f>HYPERLINK("http://ts.21cn.com/tousu/show/id/1368345","http://ts.21cn.com/tousu/show/id/1368345")</f>
      </c>
      <c r="G5284" t="s" s="2">
        <v>17</v>
      </c>
      <c r="H5284" t="s" s="2">
        <v>19</v>
      </c>
      <c r="I5284" t="s" s="2">
        <v>20500</v>
      </c>
      <c r="J5284" t="s" s="2">
        <v>20501</v>
      </c>
      <c r="K5284" t="s" s="2">
        <v>22</v>
      </c>
      <c r="L5284" t="s" s="2">
        <v>22</v>
      </c>
      <c r="M5284" t="s" s="2">
        <v>22</v>
      </c>
    </row>
    <row r="5285" ht="25.0" customHeight="true">
      <c r="A5285" t="s" s="2">
        <v>13</v>
      </c>
      <c r="B5285" t="s" s="2">
        <f>HYPERLINK("http://ts.21cn.com/tousu/show/id/1368342","钱站高利贷")</f>
      </c>
      <c r="C5285" t="s" s="2">
        <v>15</v>
      </c>
      <c r="D5285" t="s" s="2">
        <v>16</v>
      </c>
      <c r="E5285" t="s" s="2">
        <v>17</v>
      </c>
      <c r="F5285" t="s" s="2">
        <f>HYPERLINK("http://ts.21cn.com/tousu/show/id/1368342","http://ts.21cn.com/tousu/show/id/1368342")</f>
      </c>
      <c r="G5285" t="s" s="2">
        <v>17</v>
      </c>
      <c r="H5285" t="s" s="2">
        <v>19</v>
      </c>
      <c r="I5285" t="s" s="2">
        <v>20503</v>
      </c>
      <c r="J5285" t="s" s="2">
        <v>20504</v>
      </c>
      <c r="K5285" t="s" s="2">
        <v>22</v>
      </c>
      <c r="L5285" t="s" s="2">
        <v>22</v>
      </c>
      <c r="M5285" t="s" s="2">
        <v>22</v>
      </c>
    </row>
    <row r="5286" ht="25.0" customHeight="true">
      <c r="A5286" t="s" s="2">
        <v>13</v>
      </c>
      <c r="B5286" t="s" s="2">
        <f>HYPERLINK("http://ts.21cn.com/tousu/show/id/1368343","买单侠逾期费用太高，1180元应还款9天产生216元逾期费用")</f>
      </c>
      <c r="C5286" t="s" s="2">
        <v>15</v>
      </c>
      <c r="D5286" t="s" s="2">
        <v>16</v>
      </c>
      <c r="E5286" t="s" s="2">
        <v>17</v>
      </c>
      <c r="F5286" t="s" s="2">
        <f>HYPERLINK("http://ts.21cn.com/tousu/show/id/1368343","http://ts.21cn.com/tousu/show/id/1368343")</f>
      </c>
      <c r="G5286" t="s" s="2">
        <v>17</v>
      </c>
      <c r="H5286" t="s" s="2">
        <v>19</v>
      </c>
      <c r="I5286" t="s" s="2">
        <v>20507</v>
      </c>
      <c r="J5286" t="s" s="2">
        <v>20508</v>
      </c>
      <c r="K5286" t="s" s="2">
        <v>22</v>
      </c>
      <c r="L5286" t="s" s="2">
        <v>22</v>
      </c>
      <c r="M5286" t="s" s="2">
        <v>22</v>
      </c>
    </row>
    <row r="5287" ht="25.0" customHeight="true">
      <c r="A5287" t="s" s="2">
        <v>13</v>
      </c>
      <c r="B5287" t="s" s="2">
        <f>HYPERLINK("http://ts.21cn.com/tousu/show/id/1368341","暴力催收")</f>
      </c>
      <c r="C5287" t="s" s="2">
        <v>15</v>
      </c>
      <c r="D5287" t="s" s="2">
        <v>16</v>
      </c>
      <c r="E5287" t="s" s="2">
        <v>17</v>
      </c>
      <c r="F5287" t="s" s="2">
        <f>HYPERLINK("http://ts.21cn.com/tousu/show/id/1368341","http://ts.21cn.com/tousu/show/id/1368341")</f>
      </c>
      <c r="G5287" t="s" s="2">
        <v>17</v>
      </c>
      <c r="H5287" t="s" s="2">
        <v>19</v>
      </c>
      <c r="I5287" t="s" s="2">
        <v>20510</v>
      </c>
      <c r="J5287" t="s" s="2">
        <v>20511</v>
      </c>
      <c r="K5287" t="s" s="2">
        <v>22</v>
      </c>
      <c r="L5287" t="s" s="2">
        <v>22</v>
      </c>
      <c r="M5287" t="s" s="2">
        <v>22</v>
      </c>
    </row>
    <row r="5288" ht="25.0" customHeight="true">
      <c r="A5288" t="s" s="2">
        <v>13</v>
      </c>
      <c r="B5288" t="s" s="2">
        <f>HYPERLINK("http://ts.21cn.com/tousu/show/id/1368340","套路贷阴阳合同高利贷")</f>
      </c>
      <c r="C5288" t="s" s="2">
        <v>15</v>
      </c>
      <c r="D5288" t="s" s="2">
        <v>16</v>
      </c>
      <c r="E5288" t="s" s="2">
        <v>17</v>
      </c>
      <c r="F5288" t="s" s="2">
        <f>HYPERLINK("http://ts.21cn.com/tousu/show/id/1368340","http://ts.21cn.com/tousu/show/id/1368340")</f>
      </c>
      <c r="G5288" t="s" s="2">
        <v>17</v>
      </c>
      <c r="H5288" t="s" s="2">
        <v>19</v>
      </c>
      <c r="I5288" t="s" s="2">
        <v>20514</v>
      </c>
      <c r="J5288" t="s" s="2">
        <v>20515</v>
      </c>
      <c r="K5288" t="s" s="2">
        <v>22</v>
      </c>
      <c r="L5288" t="s" s="2">
        <v>22</v>
      </c>
      <c r="M5288" t="s" s="2">
        <v>22</v>
      </c>
    </row>
    <row r="5289" ht="25.0" customHeight="true">
      <c r="A5289" t="s" s="2">
        <v>13</v>
      </c>
      <c r="B5289" t="s" s="2">
        <f>HYPERLINK("http://ts.21cn.com/tousu/show/id/1368338","百事普惠恶意扣除手续费")</f>
      </c>
      <c r="C5289" t="s" s="2">
        <v>15</v>
      </c>
      <c r="D5289" t="s" s="2">
        <v>16</v>
      </c>
      <c r="E5289" t="s" s="2">
        <v>17</v>
      </c>
      <c r="F5289" t="s" s="2">
        <f>HYPERLINK("http://ts.21cn.com/tousu/show/id/1368338","http://ts.21cn.com/tousu/show/id/1368338")</f>
      </c>
      <c r="G5289" t="s" s="2">
        <v>17</v>
      </c>
      <c r="H5289" t="s" s="2">
        <v>19</v>
      </c>
      <c r="I5289" t="s" s="2">
        <v>20514</v>
      </c>
      <c r="J5289" t="s" s="2">
        <v>20518</v>
      </c>
      <c r="K5289" t="s" s="2">
        <v>22</v>
      </c>
      <c r="L5289" t="s" s="2">
        <v>22</v>
      </c>
      <c r="M5289" t="s" s="2">
        <v>22</v>
      </c>
    </row>
    <row r="5290" ht="25.0" customHeight="true">
      <c r="A5290" t="s" s="2">
        <v>13</v>
      </c>
      <c r="B5290" t="s" s="2">
        <f>HYPERLINK("http://ts.21cn.com/tousu/show/id/1368336","暴力催收，电话骚扰")</f>
      </c>
      <c r="C5290" t="s" s="2">
        <v>15</v>
      </c>
      <c r="D5290" t="s" s="2">
        <v>16</v>
      </c>
      <c r="E5290" t="s" s="2">
        <v>17</v>
      </c>
      <c r="F5290" t="s" s="2">
        <f>HYPERLINK("http://ts.21cn.com/tousu/show/id/1368336","http://ts.21cn.com/tousu/show/id/1368336")</f>
      </c>
      <c r="G5290" t="s" s="2">
        <v>17</v>
      </c>
      <c r="H5290" t="s" s="2">
        <v>19</v>
      </c>
      <c r="I5290" t="s" s="2">
        <v>20521</v>
      </c>
      <c r="J5290" t="s" s="2">
        <v>20522</v>
      </c>
      <c r="K5290" t="s" s="2">
        <v>22</v>
      </c>
      <c r="L5290" t="s" s="2">
        <v>22</v>
      </c>
      <c r="M5290" t="s" s="2">
        <v>22</v>
      </c>
    </row>
    <row r="5291" ht="25.0" customHeight="true">
      <c r="A5291" t="s" s="2">
        <v>13</v>
      </c>
      <c r="B5291" t="s" s="2">
        <f>HYPERLINK("http://ts.21cn.com/tousu/show/id/1368335","工商银行信用卡暴力催收")</f>
      </c>
      <c r="C5291" t="s" s="2">
        <v>15</v>
      </c>
      <c r="D5291" t="s" s="2">
        <v>16</v>
      </c>
      <c r="E5291" t="s" s="2">
        <v>17</v>
      </c>
      <c r="F5291" t="s" s="2">
        <f>HYPERLINK("http://ts.21cn.com/tousu/show/id/1368335","http://ts.21cn.com/tousu/show/id/1368335")</f>
      </c>
      <c r="G5291" t="s" s="2">
        <v>17</v>
      </c>
      <c r="H5291" t="s" s="2">
        <v>19</v>
      </c>
      <c r="I5291" t="s" s="2">
        <v>20525</v>
      </c>
      <c r="J5291" t="s" s="2">
        <v>20526</v>
      </c>
      <c r="K5291" t="s" s="2">
        <v>22</v>
      </c>
      <c r="L5291" t="s" s="2">
        <v>22</v>
      </c>
      <c r="M5291" t="s" s="2">
        <v>22</v>
      </c>
    </row>
    <row r="5292" ht="25.0" customHeight="true">
      <c r="A5292" t="s" s="2">
        <v>13</v>
      </c>
      <c r="B5292" t="s" s="2">
        <f>HYPERLINK("http://ts.21cn.com/tousu/show/id/1368334","平安普惠贷款隐瞒隐藏并强制收取高额保险费管理费投诉事宜")</f>
      </c>
      <c r="C5292" t="s" s="2">
        <v>15</v>
      </c>
      <c r="D5292" t="s" s="2">
        <v>16</v>
      </c>
      <c r="E5292" t="s" s="2">
        <v>17</v>
      </c>
      <c r="F5292" t="s" s="2">
        <f>HYPERLINK("http://ts.21cn.com/tousu/show/id/1368334","http://ts.21cn.com/tousu/show/id/1368334")</f>
      </c>
      <c r="G5292" t="s" s="2">
        <v>17</v>
      </c>
      <c r="H5292" t="s" s="2">
        <v>19</v>
      </c>
      <c r="I5292" t="s" s="2">
        <v>20528</v>
      </c>
      <c r="J5292" t="s" s="2">
        <v>20529</v>
      </c>
      <c r="K5292" t="s" s="2">
        <v>22</v>
      </c>
      <c r="L5292" t="s" s="2">
        <v>22</v>
      </c>
      <c r="M5292" t="s" s="2">
        <v>22</v>
      </c>
    </row>
    <row r="5293" ht="25.0" customHeight="true">
      <c r="A5293" t="s" s="2">
        <v>13</v>
      </c>
      <c r="B5293" t="s" s="2">
        <f>HYPERLINK("http://ts.21cn.com/tousu/show/id/1368333","态度强硬，父母已经离婚卖房，平台不同意协商还款")</f>
      </c>
      <c r="C5293" t="s" s="2">
        <v>15</v>
      </c>
      <c r="D5293" t="s" s="2">
        <v>16</v>
      </c>
      <c r="E5293" t="s" s="2">
        <v>17</v>
      </c>
      <c r="F5293" t="s" s="2">
        <f>HYPERLINK("http://ts.21cn.com/tousu/show/id/1368333","http://ts.21cn.com/tousu/show/id/1368333")</f>
      </c>
      <c r="G5293" t="s" s="2">
        <v>17</v>
      </c>
      <c r="H5293" t="s" s="2">
        <v>19</v>
      </c>
      <c r="I5293" t="s" s="2">
        <v>20532</v>
      </c>
      <c r="J5293" t="s" s="2">
        <v>20533</v>
      </c>
      <c r="K5293" t="s" s="2">
        <v>22</v>
      </c>
      <c r="L5293" t="s" s="2">
        <v>22</v>
      </c>
      <c r="M5293" t="s" s="2">
        <v>22</v>
      </c>
    </row>
    <row r="5294" ht="25.0" customHeight="true">
      <c r="A5294" t="s" s="2">
        <v>13</v>
      </c>
      <c r="B5294" t="s" s="2">
        <f>HYPERLINK("http://ts.21cn.com/tousu/show/id/1368305","通过拼多多平台诱使上当")</f>
      </c>
      <c r="C5294" t="s" s="2">
        <v>15</v>
      </c>
      <c r="D5294" t="s" s="2">
        <v>16</v>
      </c>
      <c r="E5294" t="s" s="2">
        <v>17</v>
      </c>
      <c r="F5294" t="s" s="2">
        <f>HYPERLINK("http://ts.21cn.com/tousu/show/id/1368305","http://ts.21cn.com/tousu/show/id/1368305")</f>
      </c>
      <c r="G5294" t="s" s="2">
        <v>17</v>
      </c>
      <c r="H5294" t="s" s="2">
        <v>19</v>
      </c>
      <c r="I5294" t="s" s="2">
        <v>20536</v>
      </c>
      <c r="J5294" t="s" s="2">
        <v>20537</v>
      </c>
      <c r="K5294" t="s" s="2">
        <v>22</v>
      </c>
      <c r="L5294" t="s" s="2">
        <v>22</v>
      </c>
      <c r="M5294" t="s" s="2">
        <v>22</v>
      </c>
    </row>
    <row r="5295" ht="25.0" customHeight="true">
      <c r="A5295" t="s" s="2">
        <v>13</v>
      </c>
      <c r="B5295" t="s" s="2">
        <f>HYPERLINK("http://ts.21cn.com/tousu/show/id/1368331","商业版微信冻结资金")</f>
      </c>
      <c r="C5295" t="s" s="2">
        <v>15</v>
      </c>
      <c r="D5295" t="s" s="2">
        <v>16</v>
      </c>
      <c r="E5295" t="s" s="2">
        <v>17</v>
      </c>
      <c r="F5295" t="s" s="2">
        <f>HYPERLINK("http://ts.21cn.com/tousu/show/id/1368331","http://ts.21cn.com/tousu/show/id/1368331")</f>
      </c>
      <c r="G5295" t="s" s="2">
        <v>17</v>
      </c>
      <c r="H5295" t="s" s="2">
        <v>19</v>
      </c>
      <c r="I5295" t="s" s="2">
        <v>20540</v>
      </c>
      <c r="J5295" t="s" s="2">
        <v>20541</v>
      </c>
      <c r="K5295" t="s" s="2">
        <v>22</v>
      </c>
      <c r="L5295" t="s" s="2">
        <v>22</v>
      </c>
      <c r="M5295" t="s" s="2">
        <v>22</v>
      </c>
    </row>
    <row r="5296" ht="25.0" customHeight="true">
      <c r="A5296" t="s" s="2">
        <v>13</v>
      </c>
      <c r="B5296" t="s" s="2">
        <f>HYPERLINK("http://ts.21cn.com/tousu/show/id/1368330","中经汇通电子卡无法使用，要求退款")</f>
      </c>
      <c r="C5296" t="s" s="2">
        <v>15</v>
      </c>
      <c r="D5296" t="s" s="2">
        <v>16</v>
      </c>
      <c r="E5296" t="s" s="2">
        <v>17</v>
      </c>
      <c r="F5296" t="s" s="2">
        <f>HYPERLINK("http://ts.21cn.com/tousu/show/id/1368330","http://ts.21cn.com/tousu/show/id/1368330")</f>
      </c>
      <c r="G5296" t="s" s="2">
        <v>17</v>
      </c>
      <c r="H5296" t="s" s="2">
        <v>19</v>
      </c>
      <c r="I5296" t="s" s="2">
        <v>20544</v>
      </c>
      <c r="J5296" t="s" s="2">
        <v>20545</v>
      </c>
      <c r="K5296" t="s" s="2">
        <v>22</v>
      </c>
      <c r="L5296" t="s" s="2">
        <v>22</v>
      </c>
      <c r="M5296" t="s" s="2">
        <v>22</v>
      </c>
    </row>
    <row r="5297" ht="25.0" customHeight="true">
      <c r="A5297" t="s" s="2">
        <v>13</v>
      </c>
      <c r="B5297" t="s" s="2">
        <f>HYPERLINK("http://ts.21cn.com/tousu/show/id/1368329","毒APP瑕疵鞋退货扣服务费")</f>
      </c>
      <c r="C5297" t="s" s="2">
        <v>15</v>
      </c>
      <c r="D5297" t="s" s="2">
        <v>16</v>
      </c>
      <c r="E5297" t="s" s="2">
        <v>17</v>
      </c>
      <c r="F5297" t="s" s="2">
        <f>HYPERLINK("http://ts.21cn.com/tousu/show/id/1368329","http://ts.21cn.com/tousu/show/id/1368329")</f>
      </c>
      <c r="G5297" t="s" s="2">
        <v>17</v>
      </c>
      <c r="H5297" t="s" s="2">
        <v>19</v>
      </c>
      <c r="I5297" t="s" s="2">
        <v>20548</v>
      </c>
      <c r="J5297" t="s" s="2">
        <v>20549</v>
      </c>
      <c r="K5297" t="s" s="2">
        <v>22</v>
      </c>
      <c r="L5297" t="s" s="2">
        <v>22</v>
      </c>
      <c r="M5297" t="s" s="2">
        <v>22</v>
      </c>
    </row>
    <row r="5298" ht="25.0" customHeight="true">
      <c r="A5298" t="s" s="2">
        <v>13</v>
      </c>
      <c r="B5298" t="s" s="2">
        <f>HYPERLINK("http://ts.21cn.com/tousu/show/id/1368328","捷信暴力，恐吓催收")</f>
      </c>
      <c r="C5298" t="s" s="2">
        <v>15</v>
      </c>
      <c r="D5298" t="s" s="2">
        <v>16</v>
      </c>
      <c r="E5298" t="s" s="2">
        <v>17</v>
      </c>
      <c r="F5298" t="s" s="2">
        <f>HYPERLINK("http://ts.21cn.com/tousu/show/id/1368328","http://ts.21cn.com/tousu/show/id/1368328")</f>
      </c>
      <c r="G5298" t="s" s="2">
        <v>17</v>
      </c>
      <c r="H5298" t="s" s="2">
        <v>19</v>
      </c>
      <c r="I5298" t="s" s="2">
        <v>20552</v>
      </c>
      <c r="J5298" t="s" s="2">
        <v>20553</v>
      </c>
      <c r="K5298" t="s" s="2">
        <v>22</v>
      </c>
      <c r="L5298" t="s" s="2">
        <v>22</v>
      </c>
      <c r="M5298" t="s" s="2">
        <v>22</v>
      </c>
    </row>
    <row r="5299" ht="25.0" customHeight="true">
      <c r="A5299" t="s" s="2">
        <v>13</v>
      </c>
      <c r="B5299" t="s" s="2">
        <f>HYPERLINK("http://ts.21cn.com/tousu/show/id/1368326","平安普惠贷款隐瞒隐藏并强制收取高额保险费管理费投诉事宜")</f>
      </c>
      <c r="C5299" t="s" s="2">
        <v>15</v>
      </c>
      <c r="D5299" t="s" s="2">
        <v>16</v>
      </c>
      <c r="E5299" t="s" s="2">
        <v>17</v>
      </c>
      <c r="F5299" t="s" s="2">
        <f>HYPERLINK("http://ts.21cn.com/tousu/show/id/1368326","http://ts.21cn.com/tousu/show/id/1368326")</f>
      </c>
      <c r="G5299" t="s" s="2">
        <v>17</v>
      </c>
      <c r="H5299" t="s" s="2">
        <v>19</v>
      </c>
      <c r="I5299" t="s" s="2">
        <v>20555</v>
      </c>
      <c r="J5299" t="s" s="2">
        <v>20556</v>
      </c>
      <c r="K5299" t="s" s="2">
        <v>22</v>
      </c>
      <c r="L5299" t="s" s="2">
        <v>22</v>
      </c>
      <c r="M5299" t="s" s="2">
        <v>22</v>
      </c>
    </row>
    <row r="5300" ht="25.0" customHeight="true">
      <c r="A5300" t="s" s="2">
        <v>13</v>
      </c>
      <c r="B5300" t="s" s="2">
        <f>HYPERLINK("http://ts.21cn.com/tousu/show/id/1368324","捷信金融虚假宣传无法协商")</f>
      </c>
      <c r="C5300" t="s" s="2">
        <v>15</v>
      </c>
      <c r="D5300" t="s" s="2">
        <v>16</v>
      </c>
      <c r="E5300" t="s" s="2">
        <v>17</v>
      </c>
      <c r="F5300" t="s" s="2">
        <f>HYPERLINK("http://ts.21cn.com/tousu/show/id/1368324","http://ts.21cn.com/tousu/show/id/1368324")</f>
      </c>
      <c r="G5300" t="s" s="2">
        <v>17</v>
      </c>
      <c r="H5300" t="s" s="2">
        <v>19</v>
      </c>
      <c r="I5300" t="s" s="2">
        <v>20559</v>
      </c>
      <c r="J5300" t="s" s="2">
        <v>20560</v>
      </c>
      <c r="K5300" t="s" s="2">
        <v>22</v>
      </c>
      <c r="L5300" t="s" s="2">
        <v>22</v>
      </c>
      <c r="M5300" t="s" s="2">
        <v>22</v>
      </c>
    </row>
    <row r="5301" ht="25.0" customHeight="true">
      <c r="A5301" t="s" s="2">
        <v>13</v>
      </c>
      <c r="B5301" t="s" s="2">
        <f>HYPERLINK("http://ts.21cn.com/tousu/show/id/1368323","拍拍贷")</f>
      </c>
      <c r="C5301" t="s" s="2">
        <v>15</v>
      </c>
      <c r="D5301" t="s" s="2">
        <v>16</v>
      </c>
      <c r="E5301" t="s" s="2">
        <v>17</v>
      </c>
      <c r="F5301" t="s" s="2">
        <f>HYPERLINK("http://ts.21cn.com/tousu/show/id/1368323","http://ts.21cn.com/tousu/show/id/1368323")</f>
      </c>
      <c r="G5301" t="s" s="2">
        <v>17</v>
      </c>
      <c r="H5301" t="s" s="2">
        <v>19</v>
      </c>
      <c r="I5301" t="s" s="2">
        <v>20562</v>
      </c>
      <c r="J5301" t="s" s="2">
        <v>20563</v>
      </c>
      <c r="K5301" t="s" s="2">
        <v>22</v>
      </c>
      <c r="L5301" t="s" s="2">
        <v>22</v>
      </c>
      <c r="M5301" t="s" s="2">
        <v>22</v>
      </c>
    </row>
    <row r="5302" ht="25.0" customHeight="true">
      <c r="A5302" t="s" s="2">
        <v>13</v>
      </c>
      <c r="B5302" t="s" s="2">
        <f>HYPERLINK("http://ts.21cn.com/tousu/show/id/1368322","云闪付说已经退款了，建行说没收到")</f>
      </c>
      <c r="C5302" t="s" s="2">
        <v>15</v>
      </c>
      <c r="D5302" t="s" s="2">
        <v>16</v>
      </c>
      <c r="E5302" t="s" s="2">
        <v>17</v>
      </c>
      <c r="F5302" t="s" s="2">
        <f>HYPERLINK("http://ts.21cn.com/tousu/show/id/1368322","http://ts.21cn.com/tousu/show/id/1368322")</f>
      </c>
      <c r="G5302" t="s" s="2">
        <v>17</v>
      </c>
      <c r="H5302" t="s" s="2">
        <v>19</v>
      </c>
      <c r="I5302" t="s" s="2">
        <v>20566</v>
      </c>
      <c r="J5302" t="s" s="2">
        <v>20567</v>
      </c>
      <c r="K5302" t="s" s="2">
        <v>22</v>
      </c>
      <c r="L5302" t="s" s="2">
        <v>22</v>
      </c>
      <c r="M5302" t="s" s="2">
        <v>22</v>
      </c>
    </row>
    <row r="5303" ht="25.0" customHeight="true">
      <c r="A5303" t="s" s="2">
        <v>13</v>
      </c>
      <c r="B5303" t="s" s="2">
        <f>HYPERLINK("http://ts.21cn.com/tousu/show/id/1368321","闪银哼哼贷款时强制人购买156元商品")</f>
      </c>
      <c r="C5303" t="s" s="2">
        <v>15</v>
      </c>
      <c r="D5303" t="s" s="2">
        <v>16</v>
      </c>
      <c r="E5303" t="s" s="2">
        <v>17</v>
      </c>
      <c r="F5303" t="s" s="2">
        <f>HYPERLINK("http://ts.21cn.com/tousu/show/id/1368321","http://ts.21cn.com/tousu/show/id/1368321")</f>
      </c>
      <c r="G5303" t="s" s="2">
        <v>17</v>
      </c>
      <c r="H5303" t="s" s="2">
        <v>19</v>
      </c>
      <c r="I5303" t="s" s="2">
        <v>20570</v>
      </c>
      <c r="J5303" t="s" s="2">
        <v>20571</v>
      </c>
      <c r="K5303" t="s" s="2">
        <v>22</v>
      </c>
      <c r="L5303" t="s" s="2">
        <v>22</v>
      </c>
      <c r="M5303" t="s" s="2">
        <v>22</v>
      </c>
    </row>
    <row r="5304" ht="25.0" customHeight="true">
      <c r="A5304" t="s" s="2">
        <v>13</v>
      </c>
      <c r="B5304" t="s" s="2">
        <f>HYPERLINK("http://ts.21cn.com/tousu/show/id/1368320","暴力威胁恐吓催收")</f>
      </c>
      <c r="C5304" t="s" s="2">
        <v>15</v>
      </c>
      <c r="D5304" t="s" s="2">
        <v>16</v>
      </c>
      <c r="E5304" t="s" s="2">
        <v>17</v>
      </c>
      <c r="F5304" t="s" s="2">
        <f>HYPERLINK("http://ts.21cn.com/tousu/show/id/1368320","http://ts.21cn.com/tousu/show/id/1368320")</f>
      </c>
      <c r="G5304" t="s" s="2">
        <v>17</v>
      </c>
      <c r="H5304" t="s" s="2">
        <v>19</v>
      </c>
      <c r="I5304" t="s" s="2">
        <v>20574</v>
      </c>
      <c r="J5304" t="s" s="2">
        <v>20575</v>
      </c>
      <c r="K5304" t="s" s="2">
        <v>22</v>
      </c>
      <c r="L5304" t="s" s="2">
        <v>22</v>
      </c>
      <c r="M5304" t="s" s="2">
        <v>22</v>
      </c>
    </row>
    <row r="5305" ht="25.0" customHeight="true">
      <c r="A5305" t="s" s="2">
        <v>13</v>
      </c>
      <c r="B5305" t="s" s="2">
        <f>HYPERLINK("http://ts.21cn.com/tousu/show/id/1368319","极其讽刺")</f>
      </c>
      <c r="C5305" t="s" s="2">
        <v>52</v>
      </c>
      <c r="D5305" t="s" s="2">
        <v>16</v>
      </c>
      <c r="E5305" t="s" s="2">
        <v>17</v>
      </c>
      <c r="F5305" t="s" s="2">
        <f>HYPERLINK("http://ts.21cn.com/tousu/show/id/1368319","http://ts.21cn.com/tousu/show/id/1368319")</f>
      </c>
      <c r="G5305" t="s" s="2">
        <v>17</v>
      </c>
      <c r="H5305" t="s" s="2">
        <v>19</v>
      </c>
      <c r="I5305" t="s" s="2">
        <v>20578</v>
      </c>
      <c r="J5305" t="s" s="2">
        <v>20579</v>
      </c>
      <c r="K5305" t="s" s="2">
        <v>22</v>
      </c>
      <c r="L5305" t="s" s="2">
        <v>22</v>
      </c>
      <c r="M5305" t="s" s="2">
        <v>22</v>
      </c>
    </row>
    <row r="5306" ht="25.0" customHeight="true">
      <c r="A5306" t="s" s="2">
        <v>13</v>
      </c>
      <c r="B5306" t="s" s="2">
        <f>HYPERLINK("http://ts.21cn.com/tousu/show/id/1368325","打骚扰电话")</f>
      </c>
      <c r="C5306" t="s" s="2">
        <v>15</v>
      </c>
      <c r="D5306" t="s" s="2">
        <v>16</v>
      </c>
      <c r="E5306" t="s" s="2">
        <v>17</v>
      </c>
      <c r="F5306" t="s" s="2">
        <f>HYPERLINK("http://ts.21cn.com/tousu/show/id/1368325","http://ts.21cn.com/tousu/show/id/1368325")</f>
      </c>
      <c r="G5306" t="s" s="2">
        <v>17</v>
      </c>
      <c r="H5306" t="s" s="2">
        <v>19</v>
      </c>
      <c r="I5306" t="s" s="2">
        <v>20582</v>
      </c>
      <c r="J5306" t="s" s="2">
        <v>20583</v>
      </c>
      <c r="K5306" t="s" s="2">
        <v>22</v>
      </c>
      <c r="L5306" t="s" s="2">
        <v>22</v>
      </c>
      <c r="M5306" t="s" s="2">
        <v>22</v>
      </c>
    </row>
    <row r="5307" ht="25.0" customHeight="true">
      <c r="A5307" t="s" s="2">
        <v>13</v>
      </c>
      <c r="B5307" t="s" s="2">
        <f>HYPERLINK("http://ts.21cn.com/tousu/show/id/1368318","立借平台借7000还11760")</f>
      </c>
      <c r="C5307" t="s" s="2">
        <v>52</v>
      </c>
      <c r="D5307" t="s" s="2">
        <v>16</v>
      </c>
      <c r="E5307" t="s" s="2">
        <v>17</v>
      </c>
      <c r="F5307" t="s" s="2">
        <f>HYPERLINK("http://ts.21cn.com/tousu/show/id/1368318","http://ts.21cn.com/tousu/show/id/1368318")</f>
      </c>
      <c r="G5307" t="s" s="2">
        <v>17</v>
      </c>
      <c r="H5307" t="s" s="2">
        <v>19</v>
      </c>
      <c r="I5307" t="s" s="2">
        <v>20586</v>
      </c>
      <c r="J5307" t="s" s="2">
        <v>20587</v>
      </c>
      <c r="K5307" t="s" s="2">
        <v>22</v>
      </c>
      <c r="L5307" t="s" s="2">
        <v>22</v>
      </c>
      <c r="M5307" t="s" s="2">
        <v>22</v>
      </c>
    </row>
    <row r="5308" ht="25.0" customHeight="true">
      <c r="A5308" t="s" s="2">
        <v>13</v>
      </c>
      <c r="B5308" t="s" s="2">
        <f>HYPERLINK("http://ts.21cn.com/tousu/show/id/1368317","车海洋智能洗车")</f>
      </c>
      <c r="C5308" t="s" s="2">
        <v>52</v>
      </c>
      <c r="D5308" t="s" s="2">
        <v>16</v>
      </c>
      <c r="E5308" t="s" s="2">
        <v>17</v>
      </c>
      <c r="F5308" t="s" s="2">
        <f>HYPERLINK("http://ts.21cn.com/tousu/show/id/1368317","http://ts.21cn.com/tousu/show/id/1368317")</f>
      </c>
      <c r="G5308" t="s" s="2">
        <v>17</v>
      </c>
      <c r="H5308" t="s" s="2">
        <v>19</v>
      </c>
      <c r="I5308" t="s" s="2">
        <v>20590</v>
      </c>
      <c r="J5308" t="s" s="2">
        <v>20591</v>
      </c>
      <c r="K5308" t="s" s="2">
        <v>22</v>
      </c>
      <c r="L5308" t="s" s="2">
        <v>22</v>
      </c>
      <c r="M5308" t="s" s="2">
        <v>22</v>
      </c>
    </row>
    <row r="5309" ht="25.0" customHeight="true">
      <c r="A5309" t="s" s="2">
        <v>13</v>
      </c>
      <c r="B5309" t="s" s="2">
        <f>HYPERLINK("http://ts.21cn.com/tousu/show/id/1368315","天猫卷过期不给延期")</f>
      </c>
      <c r="C5309" t="s" s="2">
        <v>52</v>
      </c>
      <c r="D5309" t="s" s="2">
        <v>16</v>
      </c>
      <c r="E5309" t="s" s="2">
        <v>17</v>
      </c>
      <c r="F5309" t="s" s="2">
        <f>HYPERLINK("http://ts.21cn.com/tousu/show/id/1368315","http://ts.21cn.com/tousu/show/id/1368315")</f>
      </c>
      <c r="G5309" t="s" s="2">
        <v>17</v>
      </c>
      <c r="H5309" t="s" s="2">
        <v>19</v>
      </c>
      <c r="I5309" t="s" s="2">
        <v>20594</v>
      </c>
      <c r="J5309" t="s" s="2">
        <v>20595</v>
      </c>
      <c r="K5309" t="s" s="2">
        <v>22</v>
      </c>
      <c r="L5309" t="s" s="2">
        <v>22</v>
      </c>
      <c r="M5309" t="s" s="2">
        <v>22</v>
      </c>
    </row>
    <row r="5310" ht="25.0" customHeight="true">
      <c r="A5310" t="s" s="2">
        <v>13</v>
      </c>
      <c r="B5310" t="s" s="2">
        <f>HYPERLINK("http://ts.21cn.com/tousu/show/id/1368314","京东还款后台无法打开不联系本人的情况下多次联系单位前台电话影响他人正常工作")</f>
      </c>
      <c r="C5310" t="s" s="2">
        <v>52</v>
      </c>
      <c r="D5310" t="s" s="2">
        <v>16</v>
      </c>
      <c r="E5310" t="s" s="2">
        <v>17</v>
      </c>
      <c r="F5310" t="s" s="2">
        <f>HYPERLINK("http://ts.21cn.com/tousu/show/id/1368314","http://ts.21cn.com/tousu/show/id/1368314")</f>
      </c>
      <c r="G5310" t="s" s="2">
        <v>17</v>
      </c>
      <c r="H5310" t="s" s="2">
        <v>19</v>
      </c>
      <c r="I5310" t="s" s="2">
        <v>20598</v>
      </c>
      <c r="J5310" t="s" s="2">
        <v>20599</v>
      </c>
      <c r="K5310" t="s" s="2">
        <v>22</v>
      </c>
      <c r="L5310" t="s" s="2">
        <v>22</v>
      </c>
      <c r="M5310" t="s" s="2">
        <v>22</v>
      </c>
    </row>
    <row r="5311" ht="25.0" customHeight="true">
      <c r="A5311" t="s" s="2">
        <v>13</v>
      </c>
      <c r="B5311" t="s" s="2">
        <f>HYPERLINK("http://ts.21cn.com/tousu/show/id/1368316","盗刷银行卡")</f>
      </c>
      <c r="C5311" t="s" s="2">
        <v>15</v>
      </c>
      <c r="D5311" t="s" s="2">
        <v>16</v>
      </c>
      <c r="E5311" t="s" s="2">
        <v>17</v>
      </c>
      <c r="F5311" t="s" s="2">
        <f>HYPERLINK("http://ts.21cn.com/tousu/show/id/1368316","http://ts.21cn.com/tousu/show/id/1368316")</f>
      </c>
      <c r="G5311" t="s" s="2">
        <v>17</v>
      </c>
      <c r="H5311" t="s" s="2">
        <v>19</v>
      </c>
      <c r="I5311" t="s" s="2">
        <v>20601</v>
      </c>
      <c r="J5311" t="s" s="2">
        <v>20602</v>
      </c>
      <c r="K5311" t="s" s="2">
        <v>22</v>
      </c>
      <c r="L5311" t="s" s="2">
        <v>22</v>
      </c>
      <c r="M5311" t="s" s="2">
        <v>22</v>
      </c>
    </row>
    <row r="5312" ht="25.0" customHeight="true">
      <c r="A5312" t="s" s="2">
        <v>13</v>
      </c>
      <c r="B5312" t="s" s="2">
        <f>HYPERLINK("http://ts.21cn.com/tousu/show/id/1368288","爱又米暴力催收，高利贷，爆通讯录，给通讯录发闪屏短信，给学校打电话，影响学校老师正常工作")</f>
      </c>
      <c r="C5312" t="s" s="2">
        <v>15</v>
      </c>
      <c r="D5312" t="s" s="2">
        <v>16</v>
      </c>
      <c r="E5312" t="s" s="2">
        <v>17</v>
      </c>
      <c r="F5312" t="s" s="2">
        <f>HYPERLINK("http://ts.21cn.com/tousu/show/id/1368288","http://ts.21cn.com/tousu/show/id/1368288")</f>
      </c>
      <c r="G5312" t="s" s="2">
        <v>17</v>
      </c>
      <c r="H5312" t="s" s="2">
        <v>19</v>
      </c>
      <c r="I5312" t="s" s="2">
        <v>20605</v>
      </c>
      <c r="J5312" t="s" s="2">
        <v>20606</v>
      </c>
      <c r="K5312" t="s" s="2">
        <v>22</v>
      </c>
      <c r="L5312" t="s" s="2">
        <v>22</v>
      </c>
      <c r="M5312" t="s" s="2">
        <v>22</v>
      </c>
    </row>
    <row r="5313" ht="25.0" customHeight="true">
      <c r="A5313" t="s" s="2">
        <v>13</v>
      </c>
      <c r="B5313" t="s" s="2">
        <f>HYPERLINK("http://ts.21cn.com/tousu/show/id/1368313","小花钱包暴力催收")</f>
      </c>
      <c r="C5313" t="s" s="2">
        <v>15</v>
      </c>
      <c r="D5313" t="s" s="2">
        <v>16</v>
      </c>
      <c r="E5313" t="s" s="2">
        <v>17</v>
      </c>
      <c r="F5313" t="s" s="2">
        <f>HYPERLINK("http://ts.21cn.com/tousu/show/id/1368313","http://ts.21cn.com/tousu/show/id/1368313")</f>
      </c>
      <c r="G5313" t="s" s="2">
        <v>17</v>
      </c>
      <c r="H5313" t="s" s="2">
        <v>19</v>
      </c>
      <c r="I5313" t="s" s="2">
        <v>20608</v>
      </c>
      <c r="J5313" t="s" s="2">
        <v>20609</v>
      </c>
      <c r="K5313" t="s" s="2">
        <v>22</v>
      </c>
      <c r="L5313" t="s" s="2">
        <v>22</v>
      </c>
      <c r="M5313" t="s" s="2">
        <v>22</v>
      </c>
    </row>
    <row r="5314" ht="25.0" customHeight="true">
      <c r="A5314" t="s" s="2">
        <v>13</v>
      </c>
      <c r="B5314" t="s" s="2">
        <f>HYPERLINK("http://ts.21cn.com/tousu/show/id/1368310","小黑鲨高利贷变相威胁恐吓暴力催收")</f>
      </c>
      <c r="C5314" t="s" s="2">
        <v>15</v>
      </c>
      <c r="D5314" t="s" s="2">
        <v>16</v>
      </c>
      <c r="E5314" t="s" s="2">
        <v>17</v>
      </c>
      <c r="F5314" t="s" s="2">
        <f>HYPERLINK("http://ts.21cn.com/tousu/show/id/1368310","http://ts.21cn.com/tousu/show/id/1368310")</f>
      </c>
      <c r="G5314" t="s" s="2">
        <v>17</v>
      </c>
      <c r="H5314" t="s" s="2">
        <v>19</v>
      </c>
      <c r="I5314" t="s" s="2">
        <v>20612</v>
      </c>
      <c r="J5314" t="s" s="2">
        <v>20613</v>
      </c>
      <c r="K5314" t="s" s="2">
        <v>22</v>
      </c>
      <c r="L5314" t="s" s="2">
        <v>22</v>
      </c>
      <c r="M5314" t="s" s="2">
        <v>22</v>
      </c>
    </row>
    <row r="5315" ht="25.0" customHeight="true">
      <c r="A5315" t="s" s="2">
        <v>13</v>
      </c>
      <c r="B5315" t="s" s="2">
        <f>HYPERLINK("http://ts.21cn.com/tousu/show/id/1368312","运城途窝假日酒店坑外地人")</f>
      </c>
      <c r="C5315" t="s" s="2">
        <v>15</v>
      </c>
      <c r="D5315" t="s" s="2">
        <v>16</v>
      </c>
      <c r="E5315" t="s" s="2">
        <v>17</v>
      </c>
      <c r="F5315" t="s" s="2">
        <f>HYPERLINK("http://ts.21cn.com/tousu/show/id/1368312","http://ts.21cn.com/tousu/show/id/1368312")</f>
      </c>
      <c r="G5315" t="s" s="2">
        <v>17</v>
      </c>
      <c r="H5315" t="s" s="2">
        <v>19</v>
      </c>
      <c r="I5315" t="s" s="2">
        <v>20616</v>
      </c>
      <c r="J5315" t="s" s="2">
        <v>20617</v>
      </c>
      <c r="K5315" t="s" s="2">
        <v>22</v>
      </c>
      <c r="L5315" t="s" s="2">
        <v>22</v>
      </c>
      <c r="M5315" t="s" s="2">
        <v>22</v>
      </c>
    </row>
    <row r="5316" ht="25.0" customHeight="true">
      <c r="A5316" t="s" s="2">
        <v>13</v>
      </c>
      <c r="B5316" t="s" s="2">
        <f>HYPERLINK("http://ts.21cn.com/tousu/show/id/1368285","永恒优享高利贷714")</f>
      </c>
      <c r="C5316" t="s" s="2">
        <v>15</v>
      </c>
      <c r="D5316" t="s" s="2">
        <v>16</v>
      </c>
      <c r="E5316" t="s" s="2">
        <v>17</v>
      </c>
      <c r="F5316" t="s" s="2">
        <f>HYPERLINK("http://ts.21cn.com/tousu/show/id/1368285","http://ts.21cn.com/tousu/show/id/1368285")</f>
      </c>
      <c r="G5316" t="s" s="2">
        <v>17</v>
      </c>
      <c r="H5316" t="s" s="2">
        <v>19</v>
      </c>
      <c r="I5316" t="s" s="2">
        <v>20620</v>
      </c>
      <c r="J5316" t="s" s="2">
        <v>20621</v>
      </c>
      <c r="K5316" t="s" s="2">
        <v>22</v>
      </c>
      <c r="L5316" t="s" s="2">
        <v>22</v>
      </c>
      <c r="M5316" t="s" s="2">
        <v>22</v>
      </c>
    </row>
    <row r="5317" ht="25.0" customHeight="true">
      <c r="A5317" t="s" s="2">
        <v>13</v>
      </c>
      <c r="B5317" t="s" s="2">
        <f>HYPERLINK("http://ts.21cn.com/tousu/show/id/1368278","购买打印机，故意非常多不给退款退货")</f>
      </c>
      <c r="C5317" t="s" s="2">
        <v>52</v>
      </c>
      <c r="D5317" t="s" s="2">
        <v>16</v>
      </c>
      <c r="E5317" t="s" s="2">
        <v>17</v>
      </c>
      <c r="F5317" t="s" s="2">
        <f>HYPERLINK("http://ts.21cn.com/tousu/show/id/1368278","http://ts.21cn.com/tousu/show/id/1368278")</f>
      </c>
      <c r="G5317" t="s" s="2">
        <v>17</v>
      </c>
      <c r="H5317" t="s" s="2">
        <v>19</v>
      </c>
      <c r="I5317" t="s" s="2">
        <v>20624</v>
      </c>
      <c r="J5317" t="s" s="2">
        <v>20625</v>
      </c>
      <c r="K5317" t="s" s="2">
        <v>22</v>
      </c>
      <c r="L5317" t="s" s="2">
        <v>22</v>
      </c>
      <c r="M5317" t="s" s="2">
        <v>22</v>
      </c>
    </row>
    <row r="5318" ht="25.0" customHeight="true">
      <c r="A5318" t="s" s="2">
        <v>13</v>
      </c>
      <c r="B5318" t="s" s="2">
        <f>HYPERLINK("http://ts.21cn.com/tousu/show/id/1368309","小象优品借款利息太高无减免")</f>
      </c>
      <c r="C5318" t="s" s="2">
        <v>15</v>
      </c>
      <c r="D5318" t="s" s="2">
        <v>16</v>
      </c>
      <c r="E5318" t="s" s="2">
        <v>17</v>
      </c>
      <c r="F5318" t="s" s="2">
        <f>HYPERLINK("http://ts.21cn.com/tousu/show/id/1368309","http://ts.21cn.com/tousu/show/id/1368309")</f>
      </c>
      <c r="G5318" t="s" s="2">
        <v>17</v>
      </c>
      <c r="H5318" t="s" s="2">
        <v>19</v>
      </c>
      <c r="I5318" t="s" s="2">
        <v>20628</v>
      </c>
      <c r="J5318" t="s" s="2">
        <v>20629</v>
      </c>
      <c r="K5318" t="s" s="2">
        <v>22</v>
      </c>
      <c r="L5318" t="s" s="2">
        <v>22</v>
      </c>
      <c r="M5318" t="s" s="2">
        <v>22</v>
      </c>
    </row>
    <row r="5319" ht="25.0" customHeight="true">
      <c r="A5319" t="s" s="2">
        <v>13</v>
      </c>
      <c r="B5319" t="s" s="2">
        <f>HYPERLINK("http://ts.21cn.com/tousu/show/id/1368308","还呗无法注销账户，在线客服形同虚设")</f>
      </c>
      <c r="C5319" t="s" s="2">
        <v>15</v>
      </c>
      <c r="D5319" t="s" s="2">
        <v>16</v>
      </c>
      <c r="E5319" t="s" s="2">
        <v>17</v>
      </c>
      <c r="F5319" t="s" s="2">
        <f>HYPERLINK("http://ts.21cn.com/tousu/show/id/1368308","http://ts.21cn.com/tousu/show/id/1368308")</f>
      </c>
      <c r="G5319" t="s" s="2">
        <v>17</v>
      </c>
      <c r="H5319" t="s" s="2">
        <v>19</v>
      </c>
      <c r="I5319" t="s" s="2">
        <v>20632</v>
      </c>
      <c r="J5319" t="s" s="2">
        <v>20633</v>
      </c>
      <c r="K5319" t="s" s="2">
        <v>22</v>
      </c>
      <c r="L5319" t="s" s="2">
        <v>22</v>
      </c>
      <c r="M5319" t="s" s="2">
        <v>22</v>
      </c>
    </row>
    <row r="5320" ht="25.0" customHeight="true">
      <c r="A5320" t="s" s="2">
        <v>13</v>
      </c>
      <c r="B5320" t="s" s="2">
        <f>HYPERLINK("http://ts.21cn.com/tousu/show/id/1368307","乱收审核费用跟乱打电话")</f>
      </c>
      <c r="C5320" t="s" s="2">
        <v>15</v>
      </c>
      <c r="D5320" t="s" s="2">
        <v>16</v>
      </c>
      <c r="E5320" t="s" s="2">
        <v>17</v>
      </c>
      <c r="F5320" t="s" s="2">
        <f>HYPERLINK("http://ts.21cn.com/tousu/show/id/1368307","http://ts.21cn.com/tousu/show/id/1368307")</f>
      </c>
      <c r="G5320" t="s" s="2">
        <v>17</v>
      </c>
      <c r="H5320" t="s" s="2">
        <v>19</v>
      </c>
      <c r="I5320" t="s" s="2">
        <v>20636</v>
      </c>
      <c r="J5320" t="s" s="2">
        <v>20637</v>
      </c>
      <c r="K5320" t="s" s="2">
        <v>22</v>
      </c>
      <c r="L5320" t="s" s="2">
        <v>22</v>
      </c>
      <c r="M5320" t="s" s="2">
        <v>22</v>
      </c>
    </row>
    <row r="5321" ht="25.0" customHeight="true">
      <c r="A5321" t="s" s="2">
        <v>13</v>
      </c>
      <c r="B5321" t="s" s="2">
        <f>HYPERLINK("http://ts.21cn.com/tousu/show/id/1368306","京东金融冒充法院发通告函")</f>
      </c>
      <c r="C5321" t="s" s="2">
        <v>15</v>
      </c>
      <c r="D5321" t="s" s="2">
        <v>16</v>
      </c>
      <c r="E5321" t="s" s="2">
        <v>17</v>
      </c>
      <c r="F5321" t="s" s="2">
        <f>HYPERLINK("http://ts.21cn.com/tousu/show/id/1368306","http://ts.21cn.com/tousu/show/id/1368306")</f>
      </c>
      <c r="G5321" t="s" s="2">
        <v>17</v>
      </c>
      <c r="H5321" t="s" s="2">
        <v>19</v>
      </c>
      <c r="I5321" t="s" s="2">
        <v>20640</v>
      </c>
      <c r="J5321" t="s" s="2">
        <v>20641</v>
      </c>
      <c r="K5321" t="s" s="2">
        <v>22</v>
      </c>
      <c r="L5321" t="s" s="2">
        <v>22</v>
      </c>
      <c r="M5321" t="s" s="2">
        <v>22</v>
      </c>
    </row>
    <row r="5322" ht="25.0" customHeight="true">
      <c r="A5322" t="s" s="2">
        <v>13</v>
      </c>
      <c r="B5322" t="s" s="2">
        <f>HYPERLINK("http://ts.21cn.com/tousu/show/id/1368304","京东白条协商还款")</f>
      </c>
      <c r="C5322" t="s" s="2">
        <v>52</v>
      </c>
      <c r="D5322" t="s" s="2">
        <v>16</v>
      </c>
      <c r="E5322" t="s" s="2">
        <v>17</v>
      </c>
      <c r="F5322" t="s" s="2">
        <f>HYPERLINK("http://ts.21cn.com/tousu/show/id/1368304","http://ts.21cn.com/tousu/show/id/1368304")</f>
      </c>
      <c r="G5322" t="s" s="2">
        <v>17</v>
      </c>
      <c r="H5322" t="s" s="2">
        <v>19</v>
      </c>
      <c r="I5322" t="s" s="2">
        <v>20644</v>
      </c>
      <c r="J5322" t="s" s="2">
        <v>20645</v>
      </c>
      <c r="K5322" t="s" s="2">
        <v>22</v>
      </c>
      <c r="L5322" t="s" s="2">
        <v>22</v>
      </c>
      <c r="M5322" t="s" s="2">
        <v>22</v>
      </c>
    </row>
    <row r="5323" ht="25.0" customHeight="true">
      <c r="A5323" t="s" s="2">
        <v>13</v>
      </c>
      <c r="B5323" t="s" s="2">
        <f>HYPERLINK("http://ts.21cn.com/tousu/show/id/1368303","投诉闪银奇异平台电话要挟我")</f>
      </c>
      <c r="C5323" t="s" s="2">
        <v>15</v>
      </c>
      <c r="D5323" t="s" s="2">
        <v>16</v>
      </c>
      <c r="E5323" t="s" s="2">
        <v>17</v>
      </c>
      <c r="F5323" t="s" s="2">
        <f>HYPERLINK("http://ts.21cn.com/tousu/show/id/1368303","http://ts.21cn.com/tousu/show/id/1368303")</f>
      </c>
      <c r="G5323" t="s" s="2">
        <v>17</v>
      </c>
      <c r="H5323" t="s" s="2">
        <v>19</v>
      </c>
      <c r="I5323" t="s" s="2">
        <v>20648</v>
      </c>
      <c r="J5323" t="s" s="2">
        <v>20649</v>
      </c>
      <c r="K5323" t="s" s="2">
        <v>22</v>
      </c>
      <c r="L5323" t="s" s="2">
        <v>22</v>
      </c>
      <c r="M5323" t="s" s="2">
        <v>22</v>
      </c>
    </row>
    <row r="5324" ht="25.0" customHeight="true">
      <c r="A5324" t="s" s="2">
        <v>13</v>
      </c>
      <c r="B5324" t="s" s="2">
        <f>HYPERLINK("http://ts.21cn.com/tousu/show/id/1368302","花转转樱桃小借平台恶意让人逾期")</f>
      </c>
      <c r="C5324" t="s" s="2">
        <v>15</v>
      </c>
      <c r="D5324" t="s" s="2">
        <v>16</v>
      </c>
      <c r="E5324" t="s" s="2">
        <v>17</v>
      </c>
      <c r="F5324" t="s" s="2">
        <f>HYPERLINK("http://ts.21cn.com/tousu/show/id/1368302","http://ts.21cn.com/tousu/show/id/1368302")</f>
      </c>
      <c r="G5324" t="s" s="2">
        <v>17</v>
      </c>
      <c r="H5324" t="s" s="2">
        <v>19</v>
      </c>
      <c r="I5324" t="s" s="2">
        <v>20652</v>
      </c>
      <c r="J5324" t="s" s="2">
        <v>20653</v>
      </c>
      <c r="K5324" t="s" s="2">
        <v>22</v>
      </c>
      <c r="L5324" t="s" s="2">
        <v>22</v>
      </c>
      <c r="M5324" t="s" s="2">
        <v>22</v>
      </c>
    </row>
    <row r="5325" ht="25.0" customHeight="true">
      <c r="A5325" t="s" s="2">
        <v>13</v>
      </c>
      <c r="B5325" t="s" s="2">
        <f>HYPERLINK("http://ts.21cn.com/tousu/show/id/1368301","投诉支付宝催收客服")</f>
      </c>
      <c r="C5325" t="s" s="2">
        <v>15</v>
      </c>
      <c r="D5325" t="s" s="2">
        <v>16</v>
      </c>
      <c r="E5325" t="s" s="2">
        <v>17</v>
      </c>
      <c r="F5325" t="s" s="2">
        <f>HYPERLINK("http://ts.21cn.com/tousu/show/id/1368301","http://ts.21cn.com/tousu/show/id/1368301")</f>
      </c>
      <c r="G5325" t="s" s="2">
        <v>17</v>
      </c>
      <c r="H5325" t="s" s="2">
        <v>19</v>
      </c>
      <c r="I5325" t="s" s="2">
        <v>20656</v>
      </c>
      <c r="J5325" t="s" s="2">
        <v>20657</v>
      </c>
      <c r="K5325" t="s" s="2">
        <v>22</v>
      </c>
      <c r="L5325" t="s" s="2">
        <v>22</v>
      </c>
      <c r="M5325" t="s" s="2">
        <v>22</v>
      </c>
    </row>
    <row r="5326" ht="25.0" customHeight="true">
      <c r="A5326" t="s" s="2">
        <v>13</v>
      </c>
      <c r="B5326" t="s" s="2">
        <f>HYPERLINK("http://ts.21cn.com/tousu/show/id/1368300","上海翰银为赌博输平台收单，请求瀚银为我退款挽回经济损失")</f>
      </c>
      <c r="C5326" t="s" s="2">
        <v>15</v>
      </c>
      <c r="D5326" t="s" s="2">
        <v>16</v>
      </c>
      <c r="E5326" t="s" s="2">
        <v>17</v>
      </c>
      <c r="F5326" t="s" s="2">
        <f>HYPERLINK("http://ts.21cn.com/tousu/show/id/1368300","http://ts.21cn.com/tousu/show/id/1368300")</f>
      </c>
      <c r="G5326" t="s" s="2">
        <v>17</v>
      </c>
      <c r="H5326" t="s" s="2">
        <v>19</v>
      </c>
      <c r="I5326" t="s" s="2">
        <v>20659</v>
      </c>
      <c r="J5326" t="s" s="2">
        <v>20660</v>
      </c>
      <c r="K5326" t="s" s="2">
        <v>22</v>
      </c>
      <c r="L5326" t="s" s="2">
        <v>22</v>
      </c>
      <c r="M5326" t="s" s="2">
        <v>22</v>
      </c>
    </row>
    <row r="5327" ht="25.0" customHeight="true">
      <c r="A5327" t="s" s="2">
        <v>13</v>
      </c>
      <c r="B5327" t="s" s="2">
        <f>HYPERLINK("http://ts.21cn.com/tousu/show/id/1368299","升学教育机构不退款")</f>
      </c>
      <c r="C5327" t="s" s="2">
        <v>15</v>
      </c>
      <c r="D5327" t="s" s="2">
        <v>16</v>
      </c>
      <c r="E5327" t="s" s="2">
        <v>17</v>
      </c>
      <c r="F5327" t="s" s="2">
        <f>HYPERLINK("http://ts.21cn.com/tousu/show/id/1368299","http://ts.21cn.com/tousu/show/id/1368299")</f>
      </c>
      <c r="G5327" t="s" s="2">
        <v>17</v>
      </c>
      <c r="H5327" t="s" s="2">
        <v>19</v>
      </c>
      <c r="I5327" t="s" s="2">
        <v>20662</v>
      </c>
      <c r="J5327" t="s" s="2">
        <v>20663</v>
      </c>
      <c r="K5327" t="s" s="2">
        <v>22</v>
      </c>
      <c r="L5327" t="s" s="2">
        <v>22</v>
      </c>
      <c r="M5327" t="s" s="2">
        <v>22</v>
      </c>
    </row>
    <row r="5328" ht="25.0" customHeight="true">
      <c r="A5328" t="s" s="2">
        <v>13</v>
      </c>
      <c r="B5328" t="s" s="2">
        <f>HYPERLINK("http://ts.21cn.com/tousu/show/id/1365493","中国移动套路消费者")</f>
      </c>
      <c r="C5328" t="s" s="2">
        <v>15</v>
      </c>
      <c r="D5328" t="s" s="2">
        <v>16</v>
      </c>
      <c r="E5328" t="s" s="2">
        <v>17</v>
      </c>
      <c r="F5328" t="s" s="2">
        <f>HYPERLINK("http://ts.21cn.com/tousu/show/id/1365493","http://ts.21cn.com/tousu/show/id/1365493")</f>
      </c>
      <c r="G5328" t="s" s="2">
        <v>17</v>
      </c>
      <c r="H5328" t="s" s="2">
        <v>19</v>
      </c>
      <c r="I5328" t="s" s="2">
        <v>20666</v>
      </c>
      <c r="J5328" t="s" s="2">
        <v>20667</v>
      </c>
      <c r="K5328" t="s" s="2">
        <v>22</v>
      </c>
      <c r="L5328" t="s" s="2">
        <v>22</v>
      </c>
      <c r="M5328" t="s" s="2">
        <v>22</v>
      </c>
    </row>
    <row r="5329" ht="25.0" customHeight="true">
      <c r="A5329" t="s" s="2">
        <v>13</v>
      </c>
      <c r="B5329" t="s" s="2">
        <f>HYPERLINK("http://ts.21cn.com/tousu/show/id/1368298","钱站")</f>
      </c>
      <c r="C5329" t="s" s="2">
        <v>15</v>
      </c>
      <c r="D5329" t="s" s="2">
        <v>16</v>
      </c>
      <c r="E5329" t="s" s="2">
        <v>17</v>
      </c>
      <c r="F5329" t="s" s="2">
        <f>HYPERLINK("http://ts.21cn.com/tousu/show/id/1368298","http://ts.21cn.com/tousu/show/id/1368298")</f>
      </c>
      <c r="G5329" t="s" s="2">
        <v>17</v>
      </c>
      <c r="H5329" t="s" s="2">
        <v>19</v>
      </c>
      <c r="I5329" t="s" s="2">
        <v>20669</v>
      </c>
      <c r="J5329" t="s" s="2">
        <v>20670</v>
      </c>
      <c r="K5329" t="s" s="2">
        <v>22</v>
      </c>
      <c r="L5329" t="s" s="2">
        <v>22</v>
      </c>
      <c r="M5329" t="s" s="2">
        <v>22</v>
      </c>
    </row>
    <row r="5330" ht="25.0" customHeight="true">
      <c r="A5330" t="s" s="2">
        <v>13</v>
      </c>
      <c r="B5330" t="s" s="2">
        <f>HYPERLINK("http://ts.21cn.com/tousu/show/id/1368297","暴力催收")</f>
      </c>
      <c r="C5330" t="s" s="2">
        <v>15</v>
      </c>
      <c r="D5330" t="s" s="2">
        <v>16</v>
      </c>
      <c r="E5330" t="s" s="2">
        <v>17</v>
      </c>
      <c r="F5330" t="s" s="2">
        <f>HYPERLINK("http://ts.21cn.com/tousu/show/id/1368297","http://ts.21cn.com/tousu/show/id/1368297")</f>
      </c>
      <c r="G5330" t="s" s="2">
        <v>17</v>
      </c>
      <c r="H5330" t="s" s="2">
        <v>19</v>
      </c>
      <c r="I5330" t="s" s="2">
        <v>20672</v>
      </c>
      <c r="J5330" t="s" s="2">
        <v>20673</v>
      </c>
      <c r="K5330" t="s" s="2">
        <v>22</v>
      </c>
      <c r="L5330" t="s" s="2">
        <v>22</v>
      </c>
      <c r="M5330" t="s" s="2">
        <v>22</v>
      </c>
    </row>
    <row r="5331" ht="25.0" customHeight="true">
      <c r="A5331" t="s" s="2">
        <v>13</v>
      </c>
      <c r="B5331" t="s" s="2">
        <f>HYPERLINK("http://ts.21cn.com/tousu/show/id/1368294","玖富万卡催收威胁还款人")</f>
      </c>
      <c r="C5331" t="s" s="2">
        <v>15</v>
      </c>
      <c r="D5331" t="s" s="2">
        <v>16</v>
      </c>
      <c r="E5331" t="s" s="2">
        <v>17</v>
      </c>
      <c r="F5331" t="s" s="2">
        <f>HYPERLINK("http://ts.21cn.com/tousu/show/id/1368294","http://ts.21cn.com/tousu/show/id/1368294")</f>
      </c>
      <c r="G5331" t="s" s="2">
        <v>17</v>
      </c>
      <c r="H5331" t="s" s="2">
        <v>19</v>
      </c>
      <c r="I5331" t="s" s="2">
        <v>20676</v>
      </c>
      <c r="J5331" t="s" s="2">
        <v>20677</v>
      </c>
      <c r="K5331" t="s" s="2">
        <v>22</v>
      </c>
      <c r="L5331" t="s" s="2">
        <v>22</v>
      </c>
      <c r="M5331" t="s" s="2">
        <v>22</v>
      </c>
    </row>
    <row r="5332" ht="25.0" customHeight="true">
      <c r="A5332" t="s" s="2">
        <v>13</v>
      </c>
      <c r="B5332" t="s" s="2">
        <f>HYPERLINK("http://ts.21cn.com/tousu/show/id/1368293","人身攻击、讽刺、暴力催收")</f>
      </c>
      <c r="C5332" t="s" s="2">
        <v>15</v>
      </c>
      <c r="D5332" t="s" s="2">
        <v>16</v>
      </c>
      <c r="E5332" t="s" s="2">
        <v>17</v>
      </c>
      <c r="F5332" t="s" s="2">
        <f>HYPERLINK("http://ts.21cn.com/tousu/show/id/1368293","http://ts.21cn.com/tousu/show/id/1368293")</f>
      </c>
      <c r="G5332" t="s" s="2">
        <v>17</v>
      </c>
      <c r="H5332" t="s" s="2">
        <v>19</v>
      </c>
      <c r="I5332" t="s" s="2">
        <v>20680</v>
      </c>
      <c r="J5332" t="s" s="2">
        <v>20681</v>
      </c>
      <c r="K5332" t="s" s="2">
        <v>22</v>
      </c>
      <c r="L5332" t="s" s="2">
        <v>22</v>
      </c>
      <c r="M5332" t="s" s="2">
        <v>22</v>
      </c>
    </row>
    <row r="5333" ht="25.0" customHeight="true">
      <c r="A5333" t="s" s="2">
        <v>13</v>
      </c>
      <c r="B5333" t="s" s="2">
        <f>HYPERLINK("http://ts.21cn.com/tousu/show/id/1368292","及贷放款时直接扣除所谓的保费，存在欺诈消费行为")</f>
      </c>
      <c r="C5333" t="s" s="2">
        <v>15</v>
      </c>
      <c r="D5333" t="s" s="2">
        <v>16</v>
      </c>
      <c r="E5333" t="s" s="2">
        <v>17</v>
      </c>
      <c r="F5333" t="s" s="2">
        <f>HYPERLINK("http://ts.21cn.com/tousu/show/id/1368292","http://ts.21cn.com/tousu/show/id/1368292")</f>
      </c>
      <c r="G5333" t="s" s="2">
        <v>17</v>
      </c>
      <c r="H5333" t="s" s="2">
        <v>19</v>
      </c>
      <c r="I5333" t="s" s="2">
        <v>20683</v>
      </c>
      <c r="J5333" t="s" s="2">
        <v>20684</v>
      </c>
      <c r="K5333" t="s" s="2">
        <v>22</v>
      </c>
      <c r="L5333" t="s" s="2">
        <v>22</v>
      </c>
      <c r="M5333" t="s" s="2">
        <v>22</v>
      </c>
    </row>
    <row r="5334" ht="25.0" customHeight="true">
      <c r="A5334" t="s" s="2">
        <v>13</v>
      </c>
      <c r="B5334" t="s" s="2">
        <f>HYPERLINK("http://ts.21cn.com/tousu/show/id/1368224","恶意扣款欺诈")</f>
      </c>
      <c r="C5334" t="s" s="2">
        <v>15</v>
      </c>
      <c r="D5334" t="s" s="2">
        <v>16</v>
      </c>
      <c r="E5334" t="s" s="2">
        <v>17</v>
      </c>
      <c r="F5334" t="s" s="2">
        <f>HYPERLINK("http://ts.21cn.com/tousu/show/id/1368224","http://ts.21cn.com/tousu/show/id/1368224")</f>
      </c>
      <c r="G5334" t="s" s="2">
        <v>17</v>
      </c>
      <c r="H5334" t="s" s="2">
        <v>19</v>
      </c>
      <c r="I5334" t="s" s="2">
        <v>20687</v>
      </c>
      <c r="J5334" t="s" s="2">
        <v>20688</v>
      </c>
      <c r="K5334" t="s" s="2">
        <v>22</v>
      </c>
      <c r="L5334" t="s" s="2">
        <v>22</v>
      </c>
      <c r="M5334" t="s" s="2">
        <v>22</v>
      </c>
    </row>
    <row r="5335" ht="25.0" customHeight="true">
      <c r="A5335" t="s" s="2">
        <v>13</v>
      </c>
      <c r="B5335" t="s" s="2">
        <f>HYPERLINK("http://ts.21cn.com/tousu/show/id/1368291","百事普惠欺诈")</f>
      </c>
      <c r="C5335" t="s" s="2">
        <v>15</v>
      </c>
      <c r="D5335" t="s" s="2">
        <v>16</v>
      </c>
      <c r="E5335" t="s" s="2">
        <v>17</v>
      </c>
      <c r="F5335" t="s" s="2">
        <f>HYPERLINK("http://ts.21cn.com/tousu/show/id/1368291","http://ts.21cn.com/tousu/show/id/1368291")</f>
      </c>
      <c r="G5335" t="s" s="2">
        <v>17</v>
      </c>
      <c r="H5335" t="s" s="2">
        <v>19</v>
      </c>
      <c r="I5335" t="s" s="2">
        <v>20691</v>
      </c>
      <c r="J5335" t="s" s="2">
        <v>20692</v>
      </c>
      <c r="K5335" t="s" s="2">
        <v>22</v>
      </c>
      <c r="L5335" t="s" s="2">
        <v>22</v>
      </c>
      <c r="M5335" t="s" s="2">
        <v>22</v>
      </c>
    </row>
    <row r="5336" ht="25.0" customHeight="true">
      <c r="A5336" t="s" s="2">
        <v>13</v>
      </c>
      <c r="B5336" t="s" s="2">
        <f>HYPERLINK("http://ts.21cn.com/tousu/show/id/1368289","暴力催收态度恶劣")</f>
      </c>
      <c r="C5336" t="s" s="2">
        <v>15</v>
      </c>
      <c r="D5336" t="s" s="2">
        <v>16</v>
      </c>
      <c r="E5336" t="s" s="2">
        <v>17</v>
      </c>
      <c r="F5336" t="s" s="2">
        <f>HYPERLINK("http://ts.21cn.com/tousu/show/id/1368289","http://ts.21cn.com/tousu/show/id/1368289")</f>
      </c>
      <c r="G5336" t="s" s="2">
        <v>17</v>
      </c>
      <c r="H5336" t="s" s="2">
        <v>19</v>
      </c>
      <c r="I5336" t="s" s="2">
        <v>20695</v>
      </c>
      <c r="J5336" t="s" s="2">
        <v>20696</v>
      </c>
      <c r="K5336" t="s" s="2">
        <v>22</v>
      </c>
      <c r="L5336" t="s" s="2">
        <v>22</v>
      </c>
      <c r="M5336" t="s" s="2">
        <v>22</v>
      </c>
    </row>
    <row r="5337" ht="25.0" customHeight="true">
      <c r="A5337" t="s" s="2">
        <v>13</v>
      </c>
      <c r="B5337" t="s" s="2">
        <f>HYPERLINK("http://ts.21cn.com/tousu/show/id/1368287","每次担保费收取200元")</f>
      </c>
      <c r="C5337" t="s" s="2">
        <v>52</v>
      </c>
      <c r="D5337" t="s" s="2">
        <v>16</v>
      </c>
      <c r="E5337" t="s" s="2">
        <v>17</v>
      </c>
      <c r="F5337" t="s" s="2">
        <f>HYPERLINK("http://ts.21cn.com/tousu/show/id/1368287","http://ts.21cn.com/tousu/show/id/1368287")</f>
      </c>
      <c r="G5337" t="s" s="2">
        <v>17</v>
      </c>
      <c r="H5337" t="s" s="2">
        <v>19</v>
      </c>
      <c r="I5337" t="s" s="2">
        <v>20699</v>
      </c>
      <c r="J5337" t="s" s="2">
        <v>20700</v>
      </c>
      <c r="K5337" t="s" s="2">
        <v>22</v>
      </c>
      <c r="L5337" t="s" s="2">
        <v>22</v>
      </c>
      <c r="M5337" t="s" s="2">
        <v>22</v>
      </c>
    </row>
    <row r="5338" ht="25.0" customHeight="true">
      <c r="A5338" t="s" s="2">
        <v>13</v>
      </c>
      <c r="B5338" t="s" s="2">
        <f>HYPERLINK("http://ts.21cn.com/tousu/show/id/1368286","闪电借款不容协商还款")</f>
      </c>
      <c r="C5338" t="s" s="2">
        <v>15</v>
      </c>
      <c r="D5338" t="s" s="2">
        <v>16</v>
      </c>
      <c r="E5338" t="s" s="2">
        <v>17</v>
      </c>
      <c r="F5338" t="s" s="2">
        <f>HYPERLINK("http://ts.21cn.com/tousu/show/id/1368286","http://ts.21cn.com/tousu/show/id/1368286")</f>
      </c>
      <c r="G5338" t="s" s="2">
        <v>17</v>
      </c>
      <c r="H5338" t="s" s="2">
        <v>19</v>
      </c>
      <c r="I5338" t="s" s="2">
        <v>20703</v>
      </c>
      <c r="J5338" t="s" s="2">
        <v>20704</v>
      </c>
      <c r="K5338" t="s" s="2">
        <v>22</v>
      </c>
      <c r="L5338" t="s" s="2">
        <v>22</v>
      </c>
      <c r="M5338" t="s" s="2">
        <v>22</v>
      </c>
    </row>
    <row r="5339" ht="25.0" customHeight="true">
      <c r="A5339" t="s" s="2">
        <v>13</v>
      </c>
      <c r="B5339" t="s" s="2">
        <f>HYPERLINK("http://ts.21cn.com/tousu/show/id/1368284","举报小赢卡贷")</f>
      </c>
      <c r="C5339" t="s" s="2">
        <v>15</v>
      </c>
      <c r="D5339" t="s" s="2">
        <v>16</v>
      </c>
      <c r="E5339" t="s" s="2">
        <v>17</v>
      </c>
      <c r="F5339" t="s" s="2">
        <f>HYPERLINK("http://ts.21cn.com/tousu/show/id/1368284","http://ts.21cn.com/tousu/show/id/1368284")</f>
      </c>
      <c r="G5339" t="s" s="2">
        <v>17</v>
      </c>
      <c r="H5339" t="s" s="2">
        <v>19</v>
      </c>
      <c r="I5339" t="s" s="2">
        <v>20707</v>
      </c>
      <c r="J5339" t="s" s="2">
        <v>20708</v>
      </c>
      <c r="K5339" t="s" s="2">
        <v>22</v>
      </c>
      <c r="L5339" t="s" s="2">
        <v>22</v>
      </c>
      <c r="M5339" t="s" s="2">
        <v>22</v>
      </c>
    </row>
    <row r="5340" ht="25.0" customHeight="true">
      <c r="A5340" t="s" s="2">
        <v>13</v>
      </c>
      <c r="B5340" t="s" s="2">
        <f>HYPERLINK("http://ts.21cn.com/tousu/show/id/1368283","绿森数码商城1个月未发货")</f>
      </c>
      <c r="C5340" t="s" s="2">
        <v>15</v>
      </c>
      <c r="D5340" t="s" s="2">
        <v>16</v>
      </c>
      <c r="E5340" t="s" s="2">
        <v>17</v>
      </c>
      <c r="F5340" t="s" s="2">
        <f>HYPERLINK("http://ts.21cn.com/tousu/show/id/1368283","http://ts.21cn.com/tousu/show/id/1368283")</f>
      </c>
      <c r="G5340" t="s" s="2">
        <v>17</v>
      </c>
      <c r="H5340" t="s" s="2">
        <v>19</v>
      </c>
      <c r="I5340" t="s" s="2">
        <v>20711</v>
      </c>
      <c r="J5340" t="s" s="2">
        <v>20712</v>
      </c>
      <c r="K5340" t="s" s="2">
        <v>22</v>
      </c>
      <c r="L5340" t="s" s="2">
        <v>22</v>
      </c>
      <c r="M5340" t="s" s="2">
        <v>22</v>
      </c>
    </row>
    <row r="5341" ht="25.0" customHeight="true">
      <c r="A5341" t="s" s="2">
        <v>13</v>
      </c>
      <c r="B5341" t="s" s="2">
        <f>HYPERLINK("http://ts.21cn.com/tousu/show/id/1367785","微信支付永久封禁要求解封")</f>
      </c>
      <c r="C5341" t="s" s="2">
        <v>15</v>
      </c>
      <c r="D5341" t="s" s="2">
        <v>16</v>
      </c>
      <c r="E5341" t="s" s="2">
        <v>17</v>
      </c>
      <c r="F5341" t="s" s="2">
        <f>HYPERLINK("http://ts.21cn.com/tousu/show/id/1367785","http://ts.21cn.com/tousu/show/id/1367785")</f>
      </c>
      <c r="G5341" t="s" s="2">
        <v>17</v>
      </c>
      <c r="H5341" t="s" s="2">
        <v>19</v>
      </c>
      <c r="I5341" t="s" s="2">
        <v>20715</v>
      </c>
      <c r="J5341" t="s" s="2">
        <v>20716</v>
      </c>
      <c r="K5341" t="s" s="2">
        <v>22</v>
      </c>
      <c r="L5341" t="s" s="2">
        <v>22</v>
      </c>
      <c r="M5341" t="s" s="2">
        <v>22</v>
      </c>
    </row>
    <row r="5342" ht="25.0" customHeight="true">
      <c r="A5342" t="s" s="2">
        <v>13</v>
      </c>
      <c r="B5342" t="s" s="2">
        <f>HYPERLINK("http://ts.21cn.com/tousu/show/id/1368282","招联金融恶意催收")</f>
      </c>
      <c r="C5342" t="s" s="2">
        <v>15</v>
      </c>
      <c r="D5342" t="s" s="2">
        <v>16</v>
      </c>
      <c r="E5342" t="s" s="2">
        <v>17</v>
      </c>
      <c r="F5342" t="s" s="2">
        <f>HYPERLINK("http://ts.21cn.com/tousu/show/id/1368282","http://ts.21cn.com/tousu/show/id/1368282")</f>
      </c>
      <c r="G5342" t="s" s="2">
        <v>17</v>
      </c>
      <c r="H5342" t="s" s="2">
        <v>19</v>
      </c>
      <c r="I5342" t="s" s="2">
        <v>20718</v>
      </c>
      <c r="J5342" t="s" s="2">
        <v>20719</v>
      </c>
      <c r="K5342" t="s" s="2">
        <v>22</v>
      </c>
      <c r="L5342" t="s" s="2">
        <v>22</v>
      </c>
      <c r="M5342" t="s" s="2">
        <v>22</v>
      </c>
    </row>
    <row r="5343" ht="25.0" customHeight="true">
      <c r="A5343" t="s" s="2">
        <v>13</v>
      </c>
      <c r="B5343" t="s" s="2">
        <f>HYPERLINK("http://ts.21cn.com/tousu/show/id/1368281","爆力催收利息太高")</f>
      </c>
      <c r="C5343" t="s" s="2">
        <v>15</v>
      </c>
      <c r="D5343" t="s" s="2">
        <v>16</v>
      </c>
      <c r="E5343" t="s" s="2">
        <v>17</v>
      </c>
      <c r="F5343" t="s" s="2">
        <f>HYPERLINK("http://ts.21cn.com/tousu/show/id/1368281","http://ts.21cn.com/tousu/show/id/1368281")</f>
      </c>
      <c r="G5343" t="s" s="2">
        <v>17</v>
      </c>
      <c r="H5343" t="s" s="2">
        <v>19</v>
      </c>
      <c r="I5343" t="s" s="2">
        <v>20718</v>
      </c>
      <c r="J5343" t="s" s="2">
        <v>20722</v>
      </c>
      <c r="K5343" t="s" s="2">
        <v>22</v>
      </c>
      <c r="L5343" t="s" s="2">
        <v>22</v>
      </c>
      <c r="M5343" t="s" s="2">
        <v>22</v>
      </c>
    </row>
    <row r="5344" ht="25.0" customHeight="true">
      <c r="A5344" t="s" s="2">
        <v>13</v>
      </c>
      <c r="B5344" t="s" s="2">
        <f>HYPERLINK("http://ts.21cn.com/tousu/show/id/1368279","宝付支付违规为第三方平台提供支付通道")</f>
      </c>
      <c r="C5344" t="s" s="2">
        <v>15</v>
      </c>
      <c r="D5344" t="s" s="2">
        <v>16</v>
      </c>
      <c r="E5344" t="s" s="2">
        <v>17</v>
      </c>
      <c r="F5344" t="s" s="2">
        <f>HYPERLINK("http://ts.21cn.com/tousu/show/id/1368279","http://ts.21cn.com/tousu/show/id/1368279")</f>
      </c>
      <c r="G5344" t="s" s="2">
        <v>17</v>
      </c>
      <c r="H5344" t="s" s="2">
        <v>19</v>
      </c>
      <c r="I5344" t="s" s="2">
        <v>20725</v>
      </c>
      <c r="J5344" t="s" s="2">
        <v>20726</v>
      </c>
      <c r="K5344" t="s" s="2">
        <v>22</v>
      </c>
      <c r="L5344" t="s" s="2">
        <v>22</v>
      </c>
      <c r="M5344" t="s" s="2">
        <v>22</v>
      </c>
    </row>
    <row r="5345" ht="25.0" customHeight="true">
      <c r="A5345" t="s" s="2">
        <v>13</v>
      </c>
      <c r="B5345" t="s" s="2">
        <f>HYPERLINK("http://ts.21cn.com/tousu/show/id/1368277","集体投诉英孚教育退款难")</f>
      </c>
      <c r="C5345" t="s" s="2">
        <v>15</v>
      </c>
      <c r="D5345" t="s" s="2">
        <v>16</v>
      </c>
      <c r="E5345" t="s" s="2">
        <v>17</v>
      </c>
      <c r="F5345" t="s" s="2">
        <f>HYPERLINK("http://ts.21cn.com/tousu/show/id/1368277","http://ts.21cn.com/tousu/show/id/1368277")</f>
      </c>
      <c r="G5345" t="s" s="2">
        <v>17</v>
      </c>
      <c r="H5345" t="s" s="2">
        <v>19</v>
      </c>
      <c r="I5345" t="s" s="2">
        <v>20729</v>
      </c>
      <c r="J5345" t="s" s="2">
        <v>20730</v>
      </c>
      <c r="K5345" t="s" s="2">
        <v>22</v>
      </c>
      <c r="L5345" t="s" s="2">
        <v>22</v>
      </c>
      <c r="M5345" t="s" s="2">
        <v>22</v>
      </c>
    </row>
    <row r="5346" ht="25.0" customHeight="true">
      <c r="A5346" t="s" s="2">
        <v>13</v>
      </c>
      <c r="B5346" t="s" s="2">
        <f>HYPERLINK("http://ts.21cn.com/tousu/show/id/1368276","马上花没借说我逾期")</f>
      </c>
      <c r="C5346" t="s" s="2">
        <v>15</v>
      </c>
      <c r="D5346" t="s" s="2">
        <v>16</v>
      </c>
      <c r="E5346" t="s" s="2">
        <v>17</v>
      </c>
      <c r="F5346" t="s" s="2">
        <f>HYPERLINK("http://ts.21cn.com/tousu/show/id/1368276","http://ts.21cn.com/tousu/show/id/1368276")</f>
      </c>
      <c r="G5346" t="s" s="2">
        <v>17</v>
      </c>
      <c r="H5346" t="s" s="2">
        <v>19</v>
      </c>
      <c r="I5346" t="s" s="2">
        <v>20733</v>
      </c>
      <c r="J5346" t="s" s="2">
        <v>20734</v>
      </c>
      <c r="K5346" t="s" s="2">
        <v>22</v>
      </c>
      <c r="L5346" t="s" s="2">
        <v>22</v>
      </c>
      <c r="M5346" t="s" s="2">
        <v>22</v>
      </c>
    </row>
    <row r="5347" ht="25.0" customHeight="true">
      <c r="A5347" t="s" s="2">
        <v>13</v>
      </c>
      <c r="B5347" t="s" s="2">
        <f>HYPERLINK("http://ts.21cn.com/tousu/show/id/1368249","商家不开发票")</f>
      </c>
      <c r="C5347" t="s" s="2">
        <v>15</v>
      </c>
      <c r="D5347" t="s" s="2">
        <v>16</v>
      </c>
      <c r="E5347" t="s" s="2">
        <v>17</v>
      </c>
      <c r="F5347" t="s" s="2">
        <f>HYPERLINK("http://ts.21cn.com/tousu/show/id/1368249","http://ts.21cn.com/tousu/show/id/1368249")</f>
      </c>
      <c r="G5347" t="s" s="2">
        <v>17</v>
      </c>
      <c r="H5347" t="s" s="2">
        <v>19</v>
      </c>
      <c r="I5347" t="s" s="2">
        <v>20737</v>
      </c>
      <c r="J5347" t="s" s="2">
        <v>20738</v>
      </c>
      <c r="K5347" t="s" s="2">
        <v>22</v>
      </c>
      <c r="L5347" t="s" s="2">
        <v>22</v>
      </c>
      <c r="M5347" t="s" s="2">
        <v>22</v>
      </c>
    </row>
    <row r="5348" ht="25.0" customHeight="true">
      <c r="A5348" t="s" s="2">
        <v>13</v>
      </c>
      <c r="B5348" t="s" s="2">
        <f>HYPERLINK("http://ts.21cn.com/tousu/show/id/1368274","新橙优品自私扣款")</f>
      </c>
      <c r="C5348" t="s" s="2">
        <v>15</v>
      </c>
      <c r="D5348" t="s" s="2">
        <v>16</v>
      </c>
      <c r="E5348" t="s" s="2">
        <v>17</v>
      </c>
      <c r="F5348" t="s" s="2">
        <f>HYPERLINK("http://ts.21cn.com/tousu/show/id/1368274","http://ts.21cn.com/tousu/show/id/1368274")</f>
      </c>
      <c r="G5348" t="s" s="2">
        <v>17</v>
      </c>
      <c r="H5348" t="s" s="2">
        <v>19</v>
      </c>
      <c r="I5348" t="s" s="2">
        <v>20741</v>
      </c>
      <c r="J5348" t="s" s="2">
        <v>20742</v>
      </c>
      <c r="K5348" t="s" s="2">
        <v>22</v>
      </c>
      <c r="L5348" t="s" s="2">
        <v>22</v>
      </c>
      <c r="M5348" t="s" s="2">
        <v>22</v>
      </c>
    </row>
    <row r="5349" ht="25.0" customHeight="true">
      <c r="A5349" t="s" s="2">
        <v>13</v>
      </c>
      <c r="B5349" t="s" s="2">
        <f>HYPERLINK("http://ts.21cn.com/tousu/show/id/1368272","钱伴高额服务费，提前结清不给予减免")</f>
      </c>
      <c r="C5349" t="s" s="2">
        <v>15</v>
      </c>
      <c r="D5349" t="s" s="2">
        <v>16</v>
      </c>
      <c r="E5349" t="s" s="2">
        <v>17</v>
      </c>
      <c r="F5349" t="s" s="2">
        <f>HYPERLINK("http://ts.21cn.com/tousu/show/id/1368272","http://ts.21cn.com/tousu/show/id/1368272")</f>
      </c>
      <c r="G5349" t="s" s="2">
        <v>17</v>
      </c>
      <c r="H5349" t="s" s="2">
        <v>19</v>
      </c>
      <c r="I5349" t="s" s="2">
        <v>20745</v>
      </c>
      <c r="J5349" t="s" s="2">
        <v>20746</v>
      </c>
      <c r="K5349" t="s" s="2">
        <v>22</v>
      </c>
      <c r="L5349" t="s" s="2">
        <v>22</v>
      </c>
      <c r="M5349" t="s" s="2">
        <v>22</v>
      </c>
    </row>
    <row r="5350" ht="25.0" customHeight="true">
      <c r="A5350" t="s" s="2">
        <v>13</v>
      </c>
      <c r="B5350" t="s" s="2">
        <f>HYPERLINK("http://ts.21cn.com/tousu/show/id/1368271","付款后，10多天不发货")</f>
      </c>
      <c r="C5350" t="s" s="2">
        <v>52</v>
      </c>
      <c r="D5350" t="s" s="2">
        <v>16</v>
      </c>
      <c r="E5350" t="s" s="2">
        <v>17</v>
      </c>
      <c r="F5350" t="s" s="2">
        <f>HYPERLINK("http://ts.21cn.com/tousu/show/id/1368271","http://ts.21cn.com/tousu/show/id/1368271")</f>
      </c>
      <c r="G5350" t="s" s="2">
        <v>17</v>
      </c>
      <c r="H5350" t="s" s="2">
        <v>19</v>
      </c>
      <c r="I5350" t="s" s="2">
        <v>20749</v>
      </c>
      <c r="J5350" t="s" s="2">
        <v>20750</v>
      </c>
      <c r="K5350" t="s" s="2">
        <v>22</v>
      </c>
      <c r="L5350" t="s" s="2">
        <v>22</v>
      </c>
      <c r="M5350" t="s" s="2">
        <v>22</v>
      </c>
    </row>
    <row r="5351" ht="25.0" customHeight="true">
      <c r="A5351" t="s" s="2">
        <v>13</v>
      </c>
      <c r="B5351" t="s" s="2">
        <f>HYPERLINK("http://ts.21cn.com/tousu/show/id/1368273","服务费，保险费")</f>
      </c>
      <c r="C5351" t="s" s="2">
        <v>52</v>
      </c>
      <c r="D5351" t="s" s="2">
        <v>16</v>
      </c>
      <c r="E5351" t="s" s="2">
        <v>17</v>
      </c>
      <c r="F5351" t="s" s="2">
        <f>HYPERLINK("http://ts.21cn.com/tousu/show/id/1368273","http://ts.21cn.com/tousu/show/id/1368273")</f>
      </c>
      <c r="G5351" t="s" s="2">
        <v>17</v>
      </c>
      <c r="H5351" t="s" s="2">
        <v>19</v>
      </c>
      <c r="I5351" t="s" s="2">
        <v>20753</v>
      </c>
      <c r="J5351" t="s" s="2">
        <v>20754</v>
      </c>
      <c r="K5351" t="s" s="2">
        <v>22</v>
      </c>
      <c r="L5351" t="s" s="2">
        <v>22</v>
      </c>
      <c r="M5351" t="s" s="2">
        <v>22</v>
      </c>
    </row>
    <row r="5352" ht="25.0" customHeight="true">
      <c r="A5352" t="s" s="2">
        <v>13</v>
      </c>
      <c r="B5352" t="s" s="2">
        <f>HYPERLINK("http://ts.21cn.com/tousu/show/id/1368269","敏付支付违法违规为博彩网站提供充值通道")</f>
      </c>
      <c r="C5352" t="s" s="2">
        <v>15</v>
      </c>
      <c r="D5352" t="s" s="2">
        <v>16</v>
      </c>
      <c r="E5352" t="s" s="2">
        <v>17</v>
      </c>
      <c r="F5352" t="s" s="2">
        <f>HYPERLINK("http://ts.21cn.com/tousu/show/id/1368269","http://ts.21cn.com/tousu/show/id/1368269")</f>
      </c>
      <c r="G5352" t="s" s="2">
        <v>17</v>
      </c>
      <c r="H5352" t="s" s="2">
        <v>19</v>
      </c>
      <c r="I5352" t="s" s="2">
        <v>20757</v>
      </c>
      <c r="J5352" t="s" s="2">
        <v>20758</v>
      </c>
      <c r="K5352" t="s" s="2">
        <v>22</v>
      </c>
      <c r="L5352" t="s" s="2">
        <v>22</v>
      </c>
      <c r="M5352" t="s" s="2">
        <v>22</v>
      </c>
    </row>
    <row r="5353" ht="25.0" customHeight="true">
      <c r="A5353" t="s" s="2">
        <v>13</v>
      </c>
      <c r="B5353" t="s" s="2">
        <f>HYPERLINK("http://ts.21cn.com/tousu/show/id/1368270","新橙优品超级高利息，前期砍头，借10000到8000，还款15000多")</f>
      </c>
      <c r="C5353" t="s" s="2">
        <v>52</v>
      </c>
      <c r="D5353" t="s" s="2">
        <v>16</v>
      </c>
      <c r="E5353" t="s" s="2">
        <v>17</v>
      </c>
      <c r="F5353" t="s" s="2">
        <f>HYPERLINK("http://ts.21cn.com/tousu/show/id/1368270","http://ts.21cn.com/tousu/show/id/1368270")</f>
      </c>
      <c r="G5353" t="s" s="2">
        <v>17</v>
      </c>
      <c r="H5353" t="s" s="2">
        <v>19</v>
      </c>
      <c r="I5353" t="s" s="2">
        <v>20761</v>
      </c>
      <c r="J5353" t="s" s="2">
        <v>20762</v>
      </c>
      <c r="K5353" t="s" s="2">
        <v>22</v>
      </c>
      <c r="L5353" t="s" s="2">
        <v>22</v>
      </c>
      <c r="M5353" t="s" s="2">
        <v>22</v>
      </c>
    </row>
    <row r="5354" ht="25.0" customHeight="true">
      <c r="A5354" t="s" s="2">
        <v>13</v>
      </c>
      <c r="B5354" t="s" s="2">
        <f>HYPERLINK("http://ts.21cn.com/tousu/show/id/1368268","退还违约金，罚息")</f>
      </c>
      <c r="C5354" t="s" s="2">
        <v>15</v>
      </c>
      <c r="D5354" t="s" s="2">
        <v>16</v>
      </c>
      <c r="E5354" t="s" s="2">
        <v>17</v>
      </c>
      <c r="F5354" t="s" s="2">
        <f>HYPERLINK("http://ts.21cn.com/tousu/show/id/1368268","http://ts.21cn.com/tousu/show/id/1368268")</f>
      </c>
      <c r="G5354" t="s" s="2">
        <v>17</v>
      </c>
      <c r="H5354" t="s" s="2">
        <v>19</v>
      </c>
      <c r="I5354" t="s" s="2">
        <v>20765</v>
      </c>
      <c r="J5354" t="s" s="2">
        <v>20766</v>
      </c>
      <c r="K5354" t="s" s="2">
        <v>22</v>
      </c>
      <c r="L5354" t="s" s="2">
        <v>22</v>
      </c>
      <c r="M5354" t="s" s="2">
        <v>22</v>
      </c>
    </row>
    <row r="5355" ht="25.0" customHeight="true">
      <c r="A5355" t="s" s="2">
        <v>13</v>
      </c>
      <c r="B5355" t="s" s="2">
        <f>HYPERLINK("http://ts.21cn.com/tousu/show/id/1368266","多米贷平台催收以恐吓形式催收")</f>
      </c>
      <c r="C5355" t="s" s="2">
        <v>15</v>
      </c>
      <c r="D5355" t="s" s="2">
        <v>16</v>
      </c>
      <c r="E5355" t="s" s="2">
        <v>17</v>
      </c>
      <c r="F5355" t="s" s="2">
        <f>HYPERLINK("http://ts.21cn.com/tousu/show/id/1368266","http://ts.21cn.com/tousu/show/id/1368266")</f>
      </c>
      <c r="G5355" t="s" s="2">
        <v>17</v>
      </c>
      <c r="H5355" t="s" s="2">
        <v>19</v>
      </c>
      <c r="I5355" t="s" s="2">
        <v>20769</v>
      </c>
      <c r="J5355" t="s" s="2">
        <v>20770</v>
      </c>
      <c r="K5355" t="s" s="2">
        <v>22</v>
      </c>
      <c r="L5355" t="s" s="2">
        <v>22</v>
      </c>
      <c r="M5355" t="s" s="2">
        <v>22</v>
      </c>
    </row>
    <row r="5356" ht="25.0" customHeight="true">
      <c r="A5356" t="s" s="2">
        <v>13</v>
      </c>
      <c r="B5356" t="s" s="2">
        <f>HYPERLINK("http://ts.21cn.com/tousu/show/id/1368265","苏宁易购单方面限制会员服务，要求退费")</f>
      </c>
      <c r="C5356" t="s" s="2">
        <v>15</v>
      </c>
      <c r="D5356" t="s" s="2">
        <v>16</v>
      </c>
      <c r="E5356" t="s" s="2">
        <v>17</v>
      </c>
      <c r="F5356" t="s" s="2">
        <f>HYPERLINK("http://ts.21cn.com/tousu/show/id/1368265","http://ts.21cn.com/tousu/show/id/1368265")</f>
      </c>
      <c r="G5356" t="s" s="2">
        <v>17</v>
      </c>
      <c r="H5356" t="s" s="2">
        <v>19</v>
      </c>
      <c r="I5356" t="s" s="2">
        <v>20773</v>
      </c>
      <c r="J5356" t="s" s="2">
        <v>20774</v>
      </c>
      <c r="K5356" t="s" s="2">
        <v>22</v>
      </c>
      <c r="L5356" t="s" s="2">
        <v>22</v>
      </c>
      <c r="M5356" t="s" s="2">
        <v>22</v>
      </c>
    </row>
    <row r="5357" ht="25.0" customHeight="true">
      <c r="A5357" t="s" s="2">
        <v>13</v>
      </c>
      <c r="B5357" t="s" s="2">
        <f>HYPERLINK("http://ts.21cn.com/tousu/show/id/1368264","暴力催收")</f>
      </c>
      <c r="C5357" t="s" s="2">
        <v>15</v>
      </c>
      <c r="D5357" t="s" s="2">
        <v>16</v>
      </c>
      <c r="E5357" t="s" s="2">
        <v>17</v>
      </c>
      <c r="F5357" t="s" s="2">
        <f>HYPERLINK("http://ts.21cn.com/tousu/show/id/1368264","http://ts.21cn.com/tousu/show/id/1368264")</f>
      </c>
      <c r="G5357" t="s" s="2">
        <v>17</v>
      </c>
      <c r="H5357" t="s" s="2">
        <v>19</v>
      </c>
      <c r="I5357" t="s" s="2">
        <v>20776</v>
      </c>
      <c r="J5357" t="s" s="2">
        <v>20777</v>
      </c>
      <c r="K5357" t="s" s="2">
        <v>22</v>
      </c>
      <c r="L5357" t="s" s="2">
        <v>22</v>
      </c>
      <c r="M5357" t="s" s="2">
        <v>22</v>
      </c>
    </row>
    <row r="5358" ht="25.0" customHeight="true">
      <c r="A5358" t="s" s="2">
        <v>13</v>
      </c>
      <c r="B5358" t="s" s="2">
        <f>HYPERLINK("http://ts.21cn.com/tousu/show/id/1368263","重复扣款，核实清楚竟然以游戏币形式返还多扣的钱")</f>
      </c>
      <c r="C5358" t="s" s="2">
        <v>15</v>
      </c>
      <c r="D5358" t="s" s="2">
        <v>16</v>
      </c>
      <c r="E5358" t="s" s="2">
        <v>17</v>
      </c>
      <c r="F5358" t="s" s="2">
        <f>HYPERLINK("http://ts.21cn.com/tousu/show/id/1368263","http://ts.21cn.com/tousu/show/id/1368263")</f>
      </c>
      <c r="G5358" t="s" s="2">
        <v>17</v>
      </c>
      <c r="H5358" t="s" s="2">
        <v>19</v>
      </c>
      <c r="I5358" t="s" s="2">
        <v>20780</v>
      </c>
      <c r="J5358" t="s" s="2">
        <v>20781</v>
      </c>
      <c r="K5358" t="s" s="2">
        <v>22</v>
      </c>
      <c r="L5358" t="s" s="2">
        <v>22</v>
      </c>
      <c r="M5358" t="s" s="2">
        <v>22</v>
      </c>
    </row>
    <row r="5359" ht="25.0" customHeight="true">
      <c r="A5359" t="s" s="2">
        <v>13</v>
      </c>
      <c r="B5359" t="s" s="2">
        <f>HYPERLINK("http://ts.21cn.com/tousu/show/id/1368262","51人品贷黑心高利贷，暴利催收骚扰联系人")</f>
      </c>
      <c r="C5359" t="s" s="2">
        <v>15</v>
      </c>
      <c r="D5359" t="s" s="2">
        <v>16</v>
      </c>
      <c r="E5359" t="s" s="2">
        <v>17</v>
      </c>
      <c r="F5359" t="s" s="2">
        <f>HYPERLINK("http://ts.21cn.com/tousu/show/id/1368262","http://ts.21cn.com/tousu/show/id/1368262")</f>
      </c>
      <c r="G5359" t="s" s="2">
        <v>17</v>
      </c>
      <c r="H5359" t="s" s="2">
        <v>19</v>
      </c>
      <c r="I5359" t="s" s="2">
        <v>20783</v>
      </c>
      <c r="J5359" t="s" s="2">
        <v>20784</v>
      </c>
      <c r="K5359" t="s" s="2">
        <v>22</v>
      </c>
      <c r="L5359" t="s" s="2">
        <v>22</v>
      </c>
      <c r="M5359" t="s" s="2">
        <v>22</v>
      </c>
    </row>
    <row r="5360" ht="25.0" customHeight="true">
      <c r="A5360" t="s" s="2">
        <v>13</v>
      </c>
      <c r="B5360" t="s" s="2">
        <f>HYPERLINK("http://ts.21cn.com/tousu/show/id/1368261","在淘集集的2000元保证金退不了")</f>
      </c>
      <c r="C5360" t="s" s="2">
        <v>15</v>
      </c>
      <c r="D5360" t="s" s="2">
        <v>16</v>
      </c>
      <c r="E5360" t="s" s="2">
        <v>17</v>
      </c>
      <c r="F5360" t="s" s="2">
        <f>HYPERLINK("http://ts.21cn.com/tousu/show/id/1368261","http://ts.21cn.com/tousu/show/id/1368261")</f>
      </c>
      <c r="G5360" t="s" s="2">
        <v>17</v>
      </c>
      <c r="H5360" t="s" s="2">
        <v>19</v>
      </c>
      <c r="I5360" t="s" s="2">
        <v>20786</v>
      </c>
      <c r="J5360" t="s" s="2">
        <v>20787</v>
      </c>
      <c r="K5360" t="s" s="2">
        <v>22</v>
      </c>
      <c r="L5360" t="s" s="2">
        <v>22</v>
      </c>
      <c r="M5360" t="s" s="2">
        <v>22</v>
      </c>
    </row>
    <row r="5361" ht="25.0" customHeight="true">
      <c r="A5361" t="s" s="2">
        <v>13</v>
      </c>
      <c r="B5361" t="s" s="2">
        <f>HYPERLINK("http://ts.21cn.com/tousu/show/id/1368260","建设银行强行剥夺公民权利")</f>
      </c>
      <c r="C5361" t="s" s="2">
        <v>15</v>
      </c>
      <c r="D5361" t="s" s="2">
        <v>16</v>
      </c>
      <c r="E5361" t="s" s="2">
        <v>17</v>
      </c>
      <c r="F5361" t="s" s="2">
        <f>HYPERLINK("http://ts.21cn.com/tousu/show/id/1368260","http://ts.21cn.com/tousu/show/id/1368260")</f>
      </c>
      <c r="G5361" t="s" s="2">
        <v>17</v>
      </c>
      <c r="H5361" t="s" s="2">
        <v>19</v>
      </c>
      <c r="I5361" t="s" s="2">
        <v>20790</v>
      </c>
      <c r="J5361" t="s" s="2">
        <v>20791</v>
      </c>
      <c r="K5361" t="s" s="2">
        <v>22</v>
      </c>
      <c r="L5361" t="s" s="2">
        <v>22</v>
      </c>
      <c r="M5361" t="s" s="2">
        <v>22</v>
      </c>
    </row>
    <row r="5362" ht="25.0" customHeight="true">
      <c r="A5362" t="s" s="2">
        <v>13</v>
      </c>
      <c r="B5362" t="s" s="2">
        <f>HYPERLINK("http://ts.21cn.com/tousu/show/id/1368259","闪银哼哼瞬瞬催收不给予沟通机会威胁爆通讯录")</f>
      </c>
      <c r="C5362" t="s" s="2">
        <v>15</v>
      </c>
      <c r="D5362" t="s" s="2">
        <v>16</v>
      </c>
      <c r="E5362" t="s" s="2">
        <v>17</v>
      </c>
      <c r="F5362" t="s" s="2">
        <f>HYPERLINK("http://ts.21cn.com/tousu/show/id/1368259","http://ts.21cn.com/tousu/show/id/1368259")</f>
      </c>
      <c r="G5362" t="s" s="2">
        <v>17</v>
      </c>
      <c r="H5362" t="s" s="2">
        <v>19</v>
      </c>
      <c r="I5362" t="s" s="2">
        <v>20794</v>
      </c>
      <c r="J5362" t="s" s="2">
        <v>20795</v>
      </c>
      <c r="K5362" t="s" s="2">
        <v>22</v>
      </c>
      <c r="L5362" t="s" s="2">
        <v>22</v>
      </c>
      <c r="M5362" t="s" s="2">
        <v>22</v>
      </c>
    </row>
    <row r="5363" ht="25.0" customHeight="true">
      <c r="A5363" t="s" s="2">
        <v>13</v>
      </c>
      <c r="B5363" t="s" s="2">
        <f>HYPERLINK("http://ts.21cn.com/tousu/show/id/1368258","要求拉人头发展下线")</f>
      </c>
      <c r="C5363" t="s" s="2">
        <v>15</v>
      </c>
      <c r="D5363" t="s" s="2">
        <v>16</v>
      </c>
      <c r="E5363" t="s" s="2">
        <v>17</v>
      </c>
      <c r="F5363" t="s" s="2">
        <f>HYPERLINK("http://ts.21cn.com/tousu/show/id/1368258","http://ts.21cn.com/tousu/show/id/1368258")</f>
      </c>
      <c r="G5363" t="s" s="2">
        <v>17</v>
      </c>
      <c r="H5363" t="s" s="2">
        <v>19</v>
      </c>
      <c r="I5363" t="s" s="2">
        <v>20798</v>
      </c>
      <c r="J5363" t="s" s="2">
        <v>20799</v>
      </c>
      <c r="K5363" t="s" s="2">
        <v>22</v>
      </c>
      <c r="L5363" t="s" s="2">
        <v>22</v>
      </c>
      <c r="M5363" t="s" s="2">
        <v>22</v>
      </c>
    </row>
    <row r="5364" ht="25.0" customHeight="true">
      <c r="A5364" t="s" s="2">
        <v>13</v>
      </c>
      <c r="B5364" t="s" s="2">
        <f>HYPERLINK("http://ts.21cn.com/tousu/show/id/1368257","砍头息！退款")</f>
      </c>
      <c r="C5364" t="s" s="2">
        <v>15</v>
      </c>
      <c r="D5364" t="s" s="2">
        <v>16</v>
      </c>
      <c r="E5364" t="s" s="2">
        <v>17</v>
      </c>
      <c r="F5364" t="s" s="2">
        <f>HYPERLINK("http://ts.21cn.com/tousu/show/id/1368257","http://ts.21cn.com/tousu/show/id/1368257")</f>
      </c>
      <c r="G5364" t="s" s="2">
        <v>17</v>
      </c>
      <c r="H5364" t="s" s="2">
        <v>19</v>
      </c>
      <c r="I5364" t="s" s="2">
        <v>20802</v>
      </c>
      <c r="J5364" t="s" s="2">
        <v>20803</v>
      </c>
      <c r="K5364" t="s" s="2">
        <v>22</v>
      </c>
      <c r="L5364" t="s" s="2">
        <v>22</v>
      </c>
      <c r="M5364" t="s" s="2">
        <v>22</v>
      </c>
    </row>
    <row r="5365" ht="25.0" customHeight="true">
      <c r="A5365" t="s" s="2">
        <v>13</v>
      </c>
      <c r="B5365" t="s" s="2">
        <f>HYPERLINK("http://ts.21cn.com/tousu/show/id/1368255","投诉易贷在线")</f>
      </c>
      <c r="C5365" t="s" s="2">
        <v>15</v>
      </c>
      <c r="D5365" t="s" s="2">
        <v>16</v>
      </c>
      <c r="E5365" t="s" s="2">
        <v>17</v>
      </c>
      <c r="F5365" t="s" s="2">
        <f>HYPERLINK("http://ts.21cn.com/tousu/show/id/1368255","http://ts.21cn.com/tousu/show/id/1368255")</f>
      </c>
      <c r="G5365" t="s" s="2">
        <v>17</v>
      </c>
      <c r="H5365" t="s" s="2">
        <v>19</v>
      </c>
      <c r="I5365" t="s" s="2">
        <v>20806</v>
      </c>
      <c r="J5365" t="s" s="2">
        <v>20807</v>
      </c>
      <c r="K5365" t="s" s="2">
        <v>22</v>
      </c>
      <c r="L5365" t="s" s="2">
        <v>22</v>
      </c>
      <c r="M5365" t="s" s="2">
        <v>22</v>
      </c>
    </row>
    <row r="5366" ht="25.0" customHeight="true">
      <c r="A5366" t="s" s="2">
        <v>13</v>
      </c>
      <c r="B5366" t="s" s="2">
        <f>HYPERLINK("http://ts.21cn.com/tousu/show/id/1368256","现金巴士黑心高利贷")</f>
      </c>
      <c r="C5366" t="s" s="2">
        <v>15</v>
      </c>
      <c r="D5366" t="s" s="2">
        <v>16</v>
      </c>
      <c r="E5366" t="s" s="2">
        <v>17</v>
      </c>
      <c r="F5366" t="s" s="2">
        <f>HYPERLINK("http://ts.21cn.com/tousu/show/id/1368256","http://ts.21cn.com/tousu/show/id/1368256")</f>
      </c>
      <c r="G5366" t="s" s="2">
        <v>17</v>
      </c>
      <c r="H5366" t="s" s="2">
        <v>19</v>
      </c>
      <c r="I5366" t="s" s="2">
        <v>20810</v>
      </c>
      <c r="J5366" t="s" s="2">
        <v>20811</v>
      </c>
      <c r="K5366" t="s" s="2">
        <v>22</v>
      </c>
      <c r="L5366" t="s" s="2">
        <v>22</v>
      </c>
      <c r="M5366" t="s" s="2">
        <v>22</v>
      </c>
    </row>
    <row r="5367" ht="25.0" customHeight="true">
      <c r="A5367" t="s" s="2">
        <v>13</v>
      </c>
      <c r="B5367" t="s" s="2">
        <f>HYPERLINK("http://ts.21cn.com/tousu/show/id/1368253","大量用户无法退还立刻出行499元押金")</f>
      </c>
      <c r="C5367" t="s" s="2">
        <v>52</v>
      </c>
      <c r="D5367" t="s" s="2">
        <v>16</v>
      </c>
      <c r="E5367" t="s" s="2">
        <v>17</v>
      </c>
      <c r="F5367" t="s" s="2">
        <f>HYPERLINK("http://ts.21cn.com/tousu/show/id/1368253","http://ts.21cn.com/tousu/show/id/1368253")</f>
      </c>
      <c r="G5367" t="s" s="2">
        <v>17</v>
      </c>
      <c r="H5367" t="s" s="2">
        <v>19</v>
      </c>
      <c r="I5367" t="s" s="2">
        <v>20813</v>
      </c>
      <c r="J5367" t="s" s="2">
        <v>20814</v>
      </c>
      <c r="K5367" t="s" s="2">
        <v>22</v>
      </c>
      <c r="L5367" t="s" s="2">
        <v>22</v>
      </c>
      <c r="M5367" t="s" s="2">
        <v>22</v>
      </c>
    </row>
    <row r="5368" ht="25.0" customHeight="true">
      <c r="A5368" t="s" s="2">
        <v>13</v>
      </c>
      <c r="B5368" t="s" s="2">
        <f>HYPERLINK("http://ts.21cn.com/tousu/show/id/1368254","豹子贷无故扣钱不需要还要扣")</f>
      </c>
      <c r="C5368" t="s" s="2">
        <v>52</v>
      </c>
      <c r="D5368" t="s" s="2">
        <v>16</v>
      </c>
      <c r="E5368" t="s" s="2">
        <v>17</v>
      </c>
      <c r="F5368" t="s" s="2">
        <f>HYPERLINK("http://ts.21cn.com/tousu/show/id/1368254","http://ts.21cn.com/tousu/show/id/1368254")</f>
      </c>
      <c r="G5368" t="s" s="2">
        <v>17</v>
      </c>
      <c r="H5368" t="s" s="2">
        <v>19</v>
      </c>
      <c r="I5368" t="s" s="2">
        <v>20816</v>
      </c>
      <c r="J5368" t="s" s="2">
        <v>20817</v>
      </c>
      <c r="K5368" t="s" s="2">
        <v>22</v>
      </c>
      <c r="L5368" t="s" s="2">
        <v>22</v>
      </c>
      <c r="M5368" t="s" s="2">
        <v>22</v>
      </c>
    </row>
    <row r="5369" ht="25.0" customHeight="true">
      <c r="A5369" t="s" s="2">
        <v>13</v>
      </c>
      <c r="B5369" t="s" s="2">
        <f>HYPERLINK("http://ts.21cn.com/tousu/show/id/1368252","钱站高利贷")</f>
      </c>
      <c r="C5369" t="s" s="2">
        <v>15</v>
      </c>
      <c r="D5369" t="s" s="2">
        <v>16</v>
      </c>
      <c r="E5369" t="s" s="2">
        <v>17</v>
      </c>
      <c r="F5369" t="s" s="2">
        <f>HYPERLINK("http://ts.21cn.com/tousu/show/id/1368252","http://ts.21cn.com/tousu/show/id/1368252")</f>
      </c>
      <c r="G5369" t="s" s="2">
        <v>17</v>
      </c>
      <c r="H5369" t="s" s="2">
        <v>19</v>
      </c>
      <c r="I5369" t="s" s="2">
        <v>20819</v>
      </c>
      <c r="J5369" t="s" s="2">
        <v>20820</v>
      </c>
      <c r="K5369" t="s" s="2">
        <v>22</v>
      </c>
      <c r="L5369" t="s" s="2">
        <v>22</v>
      </c>
      <c r="M5369" t="s" s="2">
        <v>22</v>
      </c>
    </row>
    <row r="5370" ht="25.0" customHeight="true">
      <c r="A5370" t="s" s="2">
        <v>13</v>
      </c>
      <c r="B5370" t="s" s="2">
        <f>HYPERLINK("http://ts.21cn.com/tousu/show/id/1368251","小赢轰炸式骚扰通讯录亲戚朋友")</f>
      </c>
      <c r="C5370" t="s" s="2">
        <v>15</v>
      </c>
      <c r="D5370" t="s" s="2">
        <v>16</v>
      </c>
      <c r="E5370" t="s" s="2">
        <v>17</v>
      </c>
      <c r="F5370" t="s" s="2">
        <f>HYPERLINK("http://ts.21cn.com/tousu/show/id/1368251","http://ts.21cn.com/tousu/show/id/1368251")</f>
      </c>
      <c r="G5370" t="s" s="2">
        <v>17</v>
      </c>
      <c r="H5370" t="s" s="2">
        <v>19</v>
      </c>
      <c r="I5370" t="s" s="2">
        <v>20823</v>
      </c>
      <c r="J5370" t="s" s="2">
        <v>20824</v>
      </c>
      <c r="K5370" t="s" s="2">
        <v>22</v>
      </c>
      <c r="L5370" t="s" s="2">
        <v>22</v>
      </c>
      <c r="M5370" t="s" s="2">
        <v>22</v>
      </c>
    </row>
    <row r="5371" ht="25.0" customHeight="true">
      <c r="A5371" t="s" s="2">
        <v>13</v>
      </c>
      <c r="B5371" t="s" s="2">
        <f>HYPERLINK("http://ts.21cn.com/tousu/show/id/1368250","拇指下款恶意扣款")</f>
      </c>
      <c r="C5371" t="s" s="2">
        <v>15</v>
      </c>
      <c r="D5371" t="s" s="2">
        <v>16</v>
      </c>
      <c r="E5371" t="s" s="2">
        <v>17</v>
      </c>
      <c r="F5371" t="s" s="2">
        <f>HYPERLINK("http://ts.21cn.com/tousu/show/id/1368250","http://ts.21cn.com/tousu/show/id/1368250")</f>
      </c>
      <c r="G5371" t="s" s="2">
        <v>17</v>
      </c>
      <c r="H5371" t="s" s="2">
        <v>19</v>
      </c>
      <c r="I5371" t="s" s="2">
        <v>20826</v>
      </c>
      <c r="J5371" t="s" s="2">
        <v>20827</v>
      </c>
      <c r="K5371" t="s" s="2">
        <v>22</v>
      </c>
      <c r="L5371" t="s" s="2">
        <v>22</v>
      </c>
      <c r="M5371" t="s" s="2">
        <v>22</v>
      </c>
    </row>
    <row r="5372" ht="25.0" customHeight="true">
      <c r="A5372" t="s" s="2">
        <v>13</v>
      </c>
      <c r="B5372" t="s" s="2">
        <f>HYPERLINK("http://ts.21cn.com/tousu/show/id/1368248","高利贷，砍头息，辱骂家人，恐吓")</f>
      </c>
      <c r="C5372" t="s" s="2">
        <v>15</v>
      </c>
      <c r="D5372" t="s" s="2">
        <v>16</v>
      </c>
      <c r="E5372" t="s" s="2">
        <v>17</v>
      </c>
      <c r="F5372" t="s" s="2">
        <f>HYPERLINK("http://ts.21cn.com/tousu/show/id/1368248","http://ts.21cn.com/tousu/show/id/1368248")</f>
      </c>
      <c r="G5372" t="s" s="2">
        <v>17</v>
      </c>
      <c r="H5372" t="s" s="2">
        <v>19</v>
      </c>
      <c r="I5372" t="s" s="2">
        <v>20830</v>
      </c>
      <c r="J5372" t="s" s="2">
        <v>20831</v>
      </c>
      <c r="K5372" t="s" s="2">
        <v>22</v>
      </c>
      <c r="L5372" t="s" s="2">
        <v>22</v>
      </c>
      <c r="M5372" t="s" s="2">
        <v>22</v>
      </c>
    </row>
    <row r="5373" ht="25.0" customHeight="true">
      <c r="A5373" t="s" s="2">
        <v>13</v>
      </c>
      <c r="B5373" t="s" s="2">
        <f>HYPERLINK("http://ts.21cn.com/tousu/show/id/1368247","恶意催收，电话骚扰，")</f>
      </c>
      <c r="C5373" t="s" s="2">
        <v>15</v>
      </c>
      <c r="D5373" t="s" s="2">
        <v>16</v>
      </c>
      <c r="E5373" t="s" s="2">
        <v>17</v>
      </c>
      <c r="F5373" t="s" s="2">
        <f>HYPERLINK("http://ts.21cn.com/tousu/show/id/1368247","http://ts.21cn.com/tousu/show/id/1368247")</f>
      </c>
      <c r="G5373" t="s" s="2">
        <v>17</v>
      </c>
      <c r="H5373" t="s" s="2">
        <v>19</v>
      </c>
      <c r="I5373" t="s" s="2">
        <v>20834</v>
      </c>
      <c r="J5373" t="s" s="2">
        <v>20835</v>
      </c>
      <c r="K5373" t="s" s="2">
        <v>22</v>
      </c>
      <c r="L5373" t="s" s="2">
        <v>22</v>
      </c>
      <c r="M5373" t="s" s="2">
        <v>22</v>
      </c>
    </row>
    <row r="5374" ht="25.0" customHeight="true">
      <c r="A5374" t="s" s="2">
        <v>13</v>
      </c>
      <c r="B5374" t="s" s="2">
        <f>HYPERLINK("http://ts.21cn.com/tousu/show/id/1368246","洋钱罐借款平台恶意催收，威胁家人")</f>
      </c>
      <c r="C5374" t="s" s="2">
        <v>15</v>
      </c>
      <c r="D5374" t="s" s="2">
        <v>16</v>
      </c>
      <c r="E5374" t="s" s="2">
        <v>17</v>
      </c>
      <c r="F5374" t="s" s="2">
        <f>HYPERLINK("http://ts.21cn.com/tousu/show/id/1368246","http://ts.21cn.com/tousu/show/id/1368246")</f>
      </c>
      <c r="G5374" t="s" s="2">
        <v>17</v>
      </c>
      <c r="H5374" t="s" s="2">
        <v>19</v>
      </c>
      <c r="I5374" t="s" s="2">
        <v>20838</v>
      </c>
      <c r="J5374" t="s" s="2">
        <v>20839</v>
      </c>
      <c r="K5374" t="s" s="2">
        <v>22</v>
      </c>
      <c r="L5374" t="s" s="2">
        <v>22</v>
      </c>
      <c r="M5374" t="s" s="2">
        <v>22</v>
      </c>
    </row>
    <row r="5375" ht="25.0" customHeight="true">
      <c r="A5375" t="s" s="2">
        <v>13</v>
      </c>
      <c r="B5375" t="s" s="2">
        <f>HYPERLINK("http://ts.21cn.com/tousu/show/id/1368245","暴力催收，威胁恐吓")</f>
      </c>
      <c r="C5375" t="s" s="2">
        <v>15</v>
      </c>
      <c r="D5375" t="s" s="2">
        <v>16</v>
      </c>
      <c r="E5375" t="s" s="2">
        <v>17</v>
      </c>
      <c r="F5375" t="s" s="2">
        <f>HYPERLINK("http://ts.21cn.com/tousu/show/id/1368245","http://ts.21cn.com/tousu/show/id/1368245")</f>
      </c>
      <c r="G5375" t="s" s="2">
        <v>17</v>
      </c>
      <c r="H5375" t="s" s="2">
        <v>19</v>
      </c>
      <c r="I5375" t="s" s="2">
        <v>20842</v>
      </c>
      <c r="J5375" t="s" s="2">
        <v>20843</v>
      </c>
      <c r="K5375" t="s" s="2">
        <v>22</v>
      </c>
      <c r="L5375" t="s" s="2">
        <v>22</v>
      </c>
      <c r="M5375" t="s" s="2">
        <v>22</v>
      </c>
    </row>
    <row r="5376" ht="25.0" customHeight="true">
      <c r="A5376" t="s" s="2">
        <v>13</v>
      </c>
      <c r="B5376" t="s" s="2">
        <f>HYPERLINK("http://ts.21cn.com/tousu/show/id/1368244","交行暴力")</f>
      </c>
      <c r="C5376" t="s" s="2">
        <v>15</v>
      </c>
      <c r="D5376" t="s" s="2">
        <v>16</v>
      </c>
      <c r="E5376" t="s" s="2">
        <v>17</v>
      </c>
      <c r="F5376" t="s" s="2">
        <f>HYPERLINK("http://ts.21cn.com/tousu/show/id/1368244","http://ts.21cn.com/tousu/show/id/1368244")</f>
      </c>
      <c r="G5376" t="s" s="2">
        <v>17</v>
      </c>
      <c r="H5376" t="s" s="2">
        <v>19</v>
      </c>
      <c r="I5376" t="s" s="2">
        <v>20846</v>
      </c>
      <c r="J5376" t="s" s="2">
        <v>20847</v>
      </c>
      <c r="K5376" t="s" s="2">
        <v>22</v>
      </c>
      <c r="L5376" t="s" s="2">
        <v>22</v>
      </c>
      <c r="M5376" t="s" s="2">
        <v>22</v>
      </c>
    </row>
    <row r="5377" ht="25.0" customHeight="true">
      <c r="A5377" t="s" s="2">
        <v>13</v>
      </c>
      <c r="B5377" t="s" s="2">
        <f>HYPERLINK("http://ts.21cn.com/tousu/show/id/1368243","米米罐超高利贷，变相收取高额费用")</f>
      </c>
      <c r="C5377" t="s" s="2">
        <v>15</v>
      </c>
      <c r="D5377" t="s" s="2">
        <v>16</v>
      </c>
      <c r="E5377" t="s" s="2">
        <v>17</v>
      </c>
      <c r="F5377" t="s" s="2">
        <f>HYPERLINK("http://ts.21cn.com/tousu/show/id/1368243","http://ts.21cn.com/tousu/show/id/1368243")</f>
      </c>
      <c r="G5377" t="s" s="2">
        <v>17</v>
      </c>
      <c r="H5377" t="s" s="2">
        <v>19</v>
      </c>
      <c r="I5377" t="s" s="2">
        <v>20850</v>
      </c>
      <c r="J5377" t="s" s="2">
        <v>20851</v>
      </c>
      <c r="K5377" t="s" s="2">
        <v>22</v>
      </c>
      <c r="L5377" t="s" s="2">
        <v>22</v>
      </c>
      <c r="M5377" t="s" s="2">
        <v>22</v>
      </c>
    </row>
    <row r="5378" ht="25.0" customHeight="true">
      <c r="A5378" t="s" s="2">
        <v>13</v>
      </c>
      <c r="B5378" t="s" s="2">
        <f>HYPERLINK("http://ts.21cn.com/tousu/show/id/1368242","今借到周健南不销条")</f>
      </c>
      <c r="C5378" t="s" s="2">
        <v>52</v>
      </c>
      <c r="D5378" t="s" s="2">
        <v>16</v>
      </c>
      <c r="E5378" t="s" s="2">
        <v>17</v>
      </c>
      <c r="F5378" t="s" s="2">
        <f>HYPERLINK("http://ts.21cn.com/tousu/show/id/1368242","http://ts.21cn.com/tousu/show/id/1368242")</f>
      </c>
      <c r="G5378" t="s" s="2">
        <v>17</v>
      </c>
      <c r="H5378" t="s" s="2">
        <v>19</v>
      </c>
      <c r="I5378" t="s" s="2">
        <v>20854</v>
      </c>
      <c r="J5378" t="s" s="2">
        <v>20855</v>
      </c>
      <c r="K5378" t="s" s="2">
        <v>22</v>
      </c>
      <c r="L5378" t="s" s="2">
        <v>22</v>
      </c>
      <c r="M5378" t="s" s="2">
        <v>22</v>
      </c>
    </row>
    <row r="5379" ht="25.0" customHeight="true">
      <c r="A5379" t="s" s="2">
        <v>13</v>
      </c>
      <c r="B5379" t="s" s="2">
        <f>HYPERLINK("http://ts.21cn.com/tousu/show/id/1368241","滴滴不给修改注册城市找客服客服敷衍了事")</f>
      </c>
      <c r="C5379" t="s" s="2">
        <v>15</v>
      </c>
      <c r="D5379" t="s" s="2">
        <v>16</v>
      </c>
      <c r="E5379" t="s" s="2">
        <v>17</v>
      </c>
      <c r="F5379" t="s" s="2">
        <f>HYPERLINK("http://ts.21cn.com/tousu/show/id/1368241","http://ts.21cn.com/tousu/show/id/1368241")</f>
      </c>
      <c r="G5379" t="s" s="2">
        <v>17</v>
      </c>
      <c r="H5379" t="s" s="2">
        <v>19</v>
      </c>
      <c r="I5379" t="s" s="2">
        <v>20858</v>
      </c>
      <c r="J5379" t="s" s="2">
        <v>20859</v>
      </c>
      <c r="K5379" t="s" s="2">
        <v>22</v>
      </c>
      <c r="L5379" t="s" s="2">
        <v>22</v>
      </c>
      <c r="M5379" t="s" s="2">
        <v>22</v>
      </c>
    </row>
    <row r="5380" ht="25.0" customHeight="true">
      <c r="A5380" t="s" s="2">
        <v>13</v>
      </c>
      <c r="B5380" t="s" s="2">
        <f>HYPERLINK("http://ts.21cn.com/tousu/show/id/1368240","购买的机票由于航空公司原因取消")</f>
      </c>
      <c r="C5380" t="s" s="2">
        <v>15</v>
      </c>
      <c r="D5380" t="s" s="2">
        <v>16</v>
      </c>
      <c r="E5380" t="s" s="2">
        <v>17</v>
      </c>
      <c r="F5380" t="s" s="2">
        <f>HYPERLINK("http://ts.21cn.com/tousu/show/id/1368240","http://ts.21cn.com/tousu/show/id/1368240")</f>
      </c>
      <c r="G5380" t="s" s="2">
        <v>17</v>
      </c>
      <c r="H5380" t="s" s="2">
        <v>19</v>
      </c>
      <c r="I5380" t="s" s="2">
        <v>20862</v>
      </c>
      <c r="J5380" t="s" s="2">
        <v>20863</v>
      </c>
      <c r="K5380" t="s" s="2">
        <v>22</v>
      </c>
      <c r="L5380" t="s" s="2">
        <v>22</v>
      </c>
      <c r="M5380" t="s" s="2">
        <v>22</v>
      </c>
    </row>
    <row r="5381" ht="25.0" customHeight="true">
      <c r="A5381" t="s" s="2">
        <v>13</v>
      </c>
      <c r="B5381" t="s" s="2">
        <f>HYPERLINK("http://ts.21cn.com/tousu/show/id/1368239","互联网电话暴力催收")</f>
      </c>
      <c r="C5381" t="s" s="2">
        <v>15</v>
      </c>
      <c r="D5381" t="s" s="2">
        <v>16</v>
      </c>
      <c r="E5381" t="s" s="2">
        <v>17</v>
      </c>
      <c r="F5381" t="s" s="2">
        <f>HYPERLINK("http://ts.21cn.com/tousu/show/id/1368239","http://ts.21cn.com/tousu/show/id/1368239")</f>
      </c>
      <c r="G5381" t="s" s="2">
        <v>17</v>
      </c>
      <c r="H5381" t="s" s="2">
        <v>19</v>
      </c>
      <c r="I5381" t="s" s="2">
        <v>20866</v>
      </c>
      <c r="J5381" t="s" s="2">
        <v>20867</v>
      </c>
      <c r="K5381" t="s" s="2">
        <v>22</v>
      </c>
      <c r="L5381" t="s" s="2">
        <v>22</v>
      </c>
      <c r="M5381" t="s" s="2">
        <v>22</v>
      </c>
    </row>
    <row r="5382" ht="25.0" customHeight="true">
      <c r="A5382" t="s" s="2">
        <v>13</v>
      </c>
      <c r="B5382" t="s" s="2">
        <f>HYPERLINK("http://ts.21cn.com/tousu/show/id/1368238","玖富万卡高利贷网贷")</f>
      </c>
      <c r="C5382" t="s" s="2">
        <v>15</v>
      </c>
      <c r="D5382" t="s" s="2">
        <v>16</v>
      </c>
      <c r="E5382" t="s" s="2">
        <v>17</v>
      </c>
      <c r="F5382" t="s" s="2">
        <f>HYPERLINK("http://ts.21cn.com/tousu/show/id/1368238","http://ts.21cn.com/tousu/show/id/1368238")</f>
      </c>
      <c r="G5382" t="s" s="2">
        <v>17</v>
      </c>
      <c r="H5382" t="s" s="2">
        <v>19</v>
      </c>
      <c r="I5382" t="s" s="2">
        <v>20870</v>
      </c>
      <c r="J5382" t="s" s="2">
        <v>20871</v>
      </c>
      <c r="K5382" t="s" s="2">
        <v>22</v>
      </c>
      <c r="L5382" t="s" s="2">
        <v>22</v>
      </c>
      <c r="M5382" t="s" s="2">
        <v>22</v>
      </c>
    </row>
    <row r="5383" ht="25.0" customHeight="true">
      <c r="A5383" t="s" s="2">
        <v>13</v>
      </c>
      <c r="B5383" t="s" s="2">
        <f>HYPERLINK("http://ts.21cn.com/tousu/show/id/1368237","马上金融！涉嫌服务欺诈！")</f>
      </c>
      <c r="C5383" t="s" s="2">
        <v>15</v>
      </c>
      <c r="D5383" t="s" s="2">
        <v>16</v>
      </c>
      <c r="E5383" t="s" s="2">
        <v>17</v>
      </c>
      <c r="F5383" t="s" s="2">
        <f>HYPERLINK("http://ts.21cn.com/tousu/show/id/1368237","http://ts.21cn.com/tousu/show/id/1368237")</f>
      </c>
      <c r="G5383" t="s" s="2">
        <v>17</v>
      </c>
      <c r="H5383" t="s" s="2">
        <v>19</v>
      </c>
      <c r="I5383" t="s" s="2">
        <v>20874</v>
      </c>
      <c r="J5383" t="s" s="2">
        <v>20875</v>
      </c>
      <c r="K5383" t="s" s="2">
        <v>22</v>
      </c>
      <c r="L5383" t="s" s="2">
        <v>22</v>
      </c>
      <c r="M5383" t="s" s="2">
        <v>22</v>
      </c>
    </row>
    <row r="5384" ht="25.0" customHeight="true">
      <c r="A5384" t="s" s="2">
        <v>13</v>
      </c>
      <c r="B5384" t="s" s="2">
        <f>HYPERLINK("http://ts.21cn.com/tousu/show/id/1368236","哈罗助力车随意撤停车点收取调度费")</f>
      </c>
      <c r="C5384" t="s" s="2">
        <v>52</v>
      </c>
      <c r="D5384" t="s" s="2">
        <v>16</v>
      </c>
      <c r="E5384" t="s" s="2">
        <v>17</v>
      </c>
      <c r="F5384" t="s" s="2">
        <f>HYPERLINK("http://ts.21cn.com/tousu/show/id/1368236","http://ts.21cn.com/tousu/show/id/1368236")</f>
      </c>
      <c r="G5384" t="s" s="2">
        <v>17</v>
      </c>
      <c r="H5384" t="s" s="2">
        <v>19</v>
      </c>
      <c r="I5384" t="s" s="2">
        <v>20878</v>
      </c>
      <c r="J5384" t="s" s="2">
        <v>20879</v>
      </c>
      <c r="K5384" t="s" s="2">
        <v>22</v>
      </c>
      <c r="L5384" t="s" s="2">
        <v>22</v>
      </c>
      <c r="M5384" t="s" s="2">
        <v>22</v>
      </c>
    </row>
    <row r="5385" ht="25.0" customHeight="true">
      <c r="A5385" t="s" s="2">
        <v>13</v>
      </c>
      <c r="B5385" t="s" s="2">
        <f>HYPERLINK("http://ts.21cn.com/tousu/show/id/1368235","中国移动不作为，互相推诿，不给用户解决问题")</f>
      </c>
      <c r="C5385" t="s" s="2">
        <v>15</v>
      </c>
      <c r="D5385" t="s" s="2">
        <v>16</v>
      </c>
      <c r="E5385" t="s" s="2">
        <v>17</v>
      </c>
      <c r="F5385" t="s" s="2">
        <f>HYPERLINK("http://ts.21cn.com/tousu/show/id/1368235","http://ts.21cn.com/tousu/show/id/1368235")</f>
      </c>
      <c r="G5385" t="s" s="2">
        <v>17</v>
      </c>
      <c r="H5385" t="s" s="2">
        <v>19</v>
      </c>
      <c r="I5385" t="s" s="2">
        <v>20878</v>
      </c>
      <c r="J5385" t="s" s="2">
        <v>20882</v>
      </c>
      <c r="K5385" t="s" s="2">
        <v>22</v>
      </c>
      <c r="L5385" t="s" s="2">
        <v>22</v>
      </c>
      <c r="M5385" t="s" s="2">
        <v>22</v>
      </c>
    </row>
    <row r="5386" ht="25.0" customHeight="true">
      <c r="A5386" t="s" s="2">
        <v>13</v>
      </c>
      <c r="B5386" t="s" s="2">
        <f>HYPERLINK("http://ts.21cn.com/tousu/show/id/1368234","个人投诉")</f>
      </c>
      <c r="C5386" t="s" s="2">
        <v>15</v>
      </c>
      <c r="D5386" t="s" s="2">
        <v>16</v>
      </c>
      <c r="E5386" t="s" s="2">
        <v>17</v>
      </c>
      <c r="F5386" t="s" s="2">
        <f>HYPERLINK("http://ts.21cn.com/tousu/show/id/1368234","http://ts.21cn.com/tousu/show/id/1368234")</f>
      </c>
      <c r="G5386" t="s" s="2">
        <v>17</v>
      </c>
      <c r="H5386" t="s" s="2">
        <v>19</v>
      </c>
      <c r="I5386" t="s" s="2">
        <v>20885</v>
      </c>
      <c r="J5386" t="s" s="2">
        <v>20886</v>
      </c>
      <c r="K5386" t="s" s="2">
        <v>22</v>
      </c>
      <c r="L5386" t="s" s="2">
        <v>22</v>
      </c>
      <c r="M5386" t="s" s="2">
        <v>22</v>
      </c>
    </row>
    <row r="5387" ht="25.0" customHeight="true">
      <c r="A5387" t="s" s="2">
        <v>13</v>
      </c>
      <c r="B5387" t="s" s="2">
        <f>HYPERLINK("http://ts.21cn.com/tousu/show/id/1364190","拼多多恶意冻结店铺资金2.7万多元，要求解冻资金，解除合作。")</f>
      </c>
      <c r="C5387" t="s" s="2">
        <v>15</v>
      </c>
      <c r="D5387" t="s" s="2">
        <v>16</v>
      </c>
      <c r="E5387" t="s" s="2">
        <v>17</v>
      </c>
      <c r="F5387" t="s" s="2">
        <f>HYPERLINK("http://ts.21cn.com/tousu/show/id/1364190","http://ts.21cn.com/tousu/show/id/1364190")</f>
      </c>
      <c r="G5387" t="s" s="2">
        <v>17</v>
      </c>
      <c r="H5387" t="s" s="2">
        <v>19</v>
      </c>
      <c r="I5387" t="s" s="2">
        <v>20889</v>
      </c>
      <c r="J5387" t="s" s="2">
        <v>20890</v>
      </c>
      <c r="K5387" t="s" s="2">
        <v>22</v>
      </c>
      <c r="L5387" t="s" s="2">
        <v>22</v>
      </c>
      <c r="M5387" t="s" s="2">
        <v>22</v>
      </c>
    </row>
    <row r="5388" ht="25.0" customHeight="true">
      <c r="A5388" t="s" s="2">
        <v>13</v>
      </c>
      <c r="B5388" t="s" s="2">
        <f>HYPERLINK("http://ts.21cn.com/tousu/show/id/1368231","豆豆钱为什么多收我钱")</f>
      </c>
      <c r="C5388" t="s" s="2">
        <v>15</v>
      </c>
      <c r="D5388" t="s" s="2">
        <v>16</v>
      </c>
      <c r="E5388" t="s" s="2">
        <v>17</v>
      </c>
      <c r="F5388" t="s" s="2">
        <f>HYPERLINK("http://ts.21cn.com/tousu/show/id/1368231","http://ts.21cn.com/tousu/show/id/1368231")</f>
      </c>
      <c r="G5388" t="s" s="2">
        <v>17</v>
      </c>
      <c r="H5388" t="s" s="2">
        <v>19</v>
      </c>
      <c r="I5388" t="s" s="2">
        <v>20893</v>
      </c>
      <c r="J5388" t="s" s="2">
        <v>20894</v>
      </c>
      <c r="K5388" t="s" s="2">
        <v>22</v>
      </c>
      <c r="L5388" t="s" s="2">
        <v>22</v>
      </c>
      <c r="M5388" t="s" s="2">
        <v>22</v>
      </c>
    </row>
    <row r="5389" ht="25.0" customHeight="true">
      <c r="A5389" t="s" s="2">
        <v>13</v>
      </c>
      <c r="B5389" t="s" s="2">
        <f>HYPERLINK("http://ts.21cn.com/tousu/show/id/1368230","乱扣费")</f>
      </c>
      <c r="C5389" t="s" s="2">
        <v>15</v>
      </c>
      <c r="D5389" t="s" s="2">
        <v>16</v>
      </c>
      <c r="E5389" t="s" s="2">
        <v>17</v>
      </c>
      <c r="F5389" t="s" s="2">
        <f>HYPERLINK("http://ts.21cn.com/tousu/show/id/1368230","http://ts.21cn.com/tousu/show/id/1368230")</f>
      </c>
      <c r="G5389" t="s" s="2">
        <v>17</v>
      </c>
      <c r="H5389" t="s" s="2">
        <v>19</v>
      </c>
      <c r="I5389" t="s" s="2">
        <v>20896</v>
      </c>
      <c r="J5389" t="s" s="2">
        <v>20897</v>
      </c>
      <c r="K5389" t="s" s="2">
        <v>22</v>
      </c>
      <c r="L5389" t="s" s="2">
        <v>22</v>
      </c>
      <c r="M5389" t="s" s="2">
        <v>22</v>
      </c>
    </row>
    <row r="5390" ht="25.0" customHeight="true">
      <c r="A5390" t="s" s="2">
        <v>13</v>
      </c>
      <c r="B5390" t="s" s="2">
        <f>HYPERLINK("http://ts.21cn.com/tousu/show/id/1368228","被豹子贷以风险评估名义恶意扣款99元")</f>
      </c>
      <c r="C5390" t="s" s="2">
        <v>15</v>
      </c>
      <c r="D5390" t="s" s="2">
        <v>16</v>
      </c>
      <c r="E5390" t="s" s="2">
        <v>17</v>
      </c>
      <c r="F5390" t="s" s="2">
        <f>HYPERLINK("http://ts.21cn.com/tousu/show/id/1368228","http://ts.21cn.com/tousu/show/id/1368228")</f>
      </c>
      <c r="G5390" t="s" s="2">
        <v>17</v>
      </c>
      <c r="H5390" t="s" s="2">
        <v>19</v>
      </c>
      <c r="I5390" t="s" s="2">
        <v>20900</v>
      </c>
      <c r="J5390" t="s" s="2">
        <v>20901</v>
      </c>
      <c r="K5390" t="s" s="2">
        <v>22</v>
      </c>
      <c r="L5390" t="s" s="2">
        <v>22</v>
      </c>
      <c r="M5390" t="s" s="2">
        <v>22</v>
      </c>
    </row>
    <row r="5391" ht="25.0" customHeight="true">
      <c r="A5391" t="s" s="2">
        <v>13</v>
      </c>
      <c r="B5391" t="s" s="2">
        <f>HYPERLINK("http://ts.21cn.com/tousu/show/id/1368229","还呗，天天骚扰")</f>
      </c>
      <c r="C5391" t="s" s="2">
        <v>15</v>
      </c>
      <c r="D5391" t="s" s="2">
        <v>16</v>
      </c>
      <c r="E5391" t="s" s="2">
        <v>17</v>
      </c>
      <c r="F5391" t="s" s="2">
        <f>HYPERLINK("http://ts.21cn.com/tousu/show/id/1368229","http://ts.21cn.com/tousu/show/id/1368229")</f>
      </c>
      <c r="G5391" t="s" s="2">
        <v>17</v>
      </c>
      <c r="H5391" t="s" s="2">
        <v>19</v>
      </c>
      <c r="I5391" t="s" s="2">
        <v>20900</v>
      </c>
      <c r="J5391" t="s" s="2">
        <v>20904</v>
      </c>
      <c r="K5391" t="s" s="2">
        <v>22</v>
      </c>
      <c r="L5391" t="s" s="2">
        <v>22</v>
      </c>
      <c r="M5391" t="s" s="2">
        <v>22</v>
      </c>
    </row>
    <row r="5392" ht="25.0" customHeight="true">
      <c r="A5392" t="s" s="2">
        <v>13</v>
      </c>
      <c r="B5392" t="s" s="2">
        <f>HYPERLINK("http://ts.21cn.com/tousu/show/id/1368227","闪银高利贷暴力催收")</f>
      </c>
      <c r="C5392" t="s" s="2">
        <v>15</v>
      </c>
      <c r="D5392" t="s" s="2">
        <v>16</v>
      </c>
      <c r="E5392" t="s" s="2">
        <v>17</v>
      </c>
      <c r="F5392" t="s" s="2">
        <f>HYPERLINK("http://ts.21cn.com/tousu/show/id/1368227","http://ts.21cn.com/tousu/show/id/1368227")</f>
      </c>
      <c r="G5392" t="s" s="2">
        <v>17</v>
      </c>
      <c r="H5392" t="s" s="2">
        <v>19</v>
      </c>
      <c r="I5392" t="s" s="2">
        <v>20907</v>
      </c>
      <c r="J5392" t="s" s="2">
        <v>20908</v>
      </c>
      <c r="K5392" t="s" s="2">
        <v>22</v>
      </c>
      <c r="L5392" t="s" s="2">
        <v>22</v>
      </c>
      <c r="M5392" t="s" s="2">
        <v>22</v>
      </c>
    </row>
    <row r="5393" ht="25.0" customHeight="true">
      <c r="A5393" t="s" s="2">
        <v>13</v>
      </c>
      <c r="B5393" t="s" s="2">
        <f>HYPERLINK("http://ts.21cn.com/tousu/show/id/1368226","银行卡被私自扣费")</f>
      </c>
      <c r="C5393" t="s" s="2">
        <v>15</v>
      </c>
      <c r="D5393" t="s" s="2">
        <v>16</v>
      </c>
      <c r="E5393" t="s" s="2">
        <v>17</v>
      </c>
      <c r="F5393" t="s" s="2">
        <f>HYPERLINK("http://ts.21cn.com/tousu/show/id/1368226","http://ts.21cn.com/tousu/show/id/1368226")</f>
      </c>
      <c r="G5393" t="s" s="2">
        <v>17</v>
      </c>
      <c r="H5393" t="s" s="2">
        <v>19</v>
      </c>
      <c r="I5393" t="s" s="2">
        <v>20911</v>
      </c>
      <c r="J5393" t="s" s="2">
        <v>20912</v>
      </c>
      <c r="K5393" t="s" s="2">
        <v>22</v>
      </c>
      <c r="L5393" t="s" s="2">
        <v>22</v>
      </c>
      <c r="M5393" t="s" s="2">
        <v>22</v>
      </c>
    </row>
    <row r="5394" ht="25.0" customHeight="true">
      <c r="A5394" t="s" s="2">
        <v>13</v>
      </c>
      <c r="B5394" t="s" s="2">
        <f>HYPERLINK("http://ts.21cn.com/tousu/show/id/1368225","投诉光大银行恶意恐吓")</f>
      </c>
      <c r="C5394" t="s" s="2">
        <v>15</v>
      </c>
      <c r="D5394" t="s" s="2">
        <v>16</v>
      </c>
      <c r="E5394" t="s" s="2">
        <v>17</v>
      </c>
      <c r="F5394" t="s" s="2">
        <f>HYPERLINK("http://ts.21cn.com/tousu/show/id/1368225","http://ts.21cn.com/tousu/show/id/1368225")</f>
      </c>
      <c r="G5394" t="s" s="2">
        <v>17</v>
      </c>
      <c r="H5394" t="s" s="2">
        <v>19</v>
      </c>
      <c r="I5394" t="s" s="2">
        <v>20915</v>
      </c>
      <c r="J5394" t="s" s="2">
        <v>20916</v>
      </c>
      <c r="K5394" t="s" s="2">
        <v>22</v>
      </c>
      <c r="L5394" t="s" s="2">
        <v>22</v>
      </c>
      <c r="M5394" t="s" s="2">
        <v>22</v>
      </c>
    </row>
    <row r="5395" ht="25.0" customHeight="true">
      <c r="A5395" t="s" s="2">
        <v>13</v>
      </c>
      <c r="B5395" t="s" s="2">
        <f>HYPERLINK("http://ts.21cn.com/tousu/show/id/1368222","钱站恶意骚扰恐吓家人朋友")</f>
      </c>
      <c r="C5395" t="s" s="2">
        <v>15</v>
      </c>
      <c r="D5395" t="s" s="2">
        <v>16</v>
      </c>
      <c r="E5395" t="s" s="2">
        <v>17</v>
      </c>
      <c r="F5395" t="s" s="2">
        <f>HYPERLINK("http://ts.21cn.com/tousu/show/id/1368222","http://ts.21cn.com/tousu/show/id/1368222")</f>
      </c>
      <c r="G5395" t="s" s="2">
        <v>17</v>
      </c>
      <c r="H5395" t="s" s="2">
        <v>19</v>
      </c>
      <c r="I5395" t="s" s="2">
        <v>20919</v>
      </c>
      <c r="J5395" t="s" s="2">
        <v>20920</v>
      </c>
      <c r="K5395" t="s" s="2">
        <v>22</v>
      </c>
      <c r="L5395" t="s" s="2">
        <v>22</v>
      </c>
      <c r="M5395" t="s" s="2">
        <v>22</v>
      </c>
    </row>
    <row r="5396" ht="25.0" customHeight="true">
      <c r="A5396" t="s" s="2">
        <v>13</v>
      </c>
      <c r="B5396" t="s" s="2">
        <f>HYPERLINK("http://ts.21cn.com/tousu/show/id/1368223","美团打车以各种理由拒开发票")</f>
      </c>
      <c r="C5396" t="s" s="2">
        <v>15</v>
      </c>
      <c r="D5396" t="s" s="2">
        <v>16</v>
      </c>
      <c r="E5396" t="s" s="2">
        <v>17</v>
      </c>
      <c r="F5396" t="s" s="2">
        <f>HYPERLINK("http://ts.21cn.com/tousu/show/id/1368223","http://ts.21cn.com/tousu/show/id/1368223")</f>
      </c>
      <c r="G5396" t="s" s="2">
        <v>17</v>
      </c>
      <c r="H5396" t="s" s="2">
        <v>19</v>
      </c>
      <c r="I5396" t="s" s="2">
        <v>20923</v>
      </c>
      <c r="J5396" t="s" s="2">
        <v>20924</v>
      </c>
      <c r="K5396" t="s" s="2">
        <v>22</v>
      </c>
      <c r="L5396" t="s" s="2">
        <v>22</v>
      </c>
      <c r="M5396" t="s" s="2">
        <v>22</v>
      </c>
    </row>
    <row r="5397" ht="25.0" customHeight="true">
      <c r="A5397" t="s" s="2">
        <v>13</v>
      </c>
      <c r="B5397" t="s" s="2">
        <f>HYPERLINK("http://ts.21cn.com/tousu/show/id/1368221","在本日不知道的情况下恶意扣取本人账户里面钱")</f>
      </c>
      <c r="C5397" t="s" s="2">
        <v>15</v>
      </c>
      <c r="D5397" t="s" s="2">
        <v>16</v>
      </c>
      <c r="E5397" t="s" s="2">
        <v>17</v>
      </c>
      <c r="F5397" t="s" s="2">
        <f>HYPERLINK("http://ts.21cn.com/tousu/show/id/1368221","http://ts.21cn.com/tousu/show/id/1368221")</f>
      </c>
      <c r="G5397" t="s" s="2">
        <v>17</v>
      </c>
      <c r="H5397" t="s" s="2">
        <v>19</v>
      </c>
      <c r="I5397" t="s" s="2">
        <v>20927</v>
      </c>
      <c r="J5397" t="s" s="2">
        <v>20928</v>
      </c>
      <c r="K5397" t="s" s="2">
        <v>22</v>
      </c>
      <c r="L5397" t="s" s="2">
        <v>22</v>
      </c>
      <c r="M5397" t="s" s="2">
        <v>22</v>
      </c>
    </row>
    <row r="5398" ht="25.0" customHeight="true">
      <c r="A5398" t="s" s="2">
        <v>13</v>
      </c>
      <c r="B5398" t="s" s="2">
        <f>HYPERLINK("http://ts.21cn.com/tousu/show/id/1368220","任性付分期虚假宣传")</f>
      </c>
      <c r="C5398" t="s" s="2">
        <v>15</v>
      </c>
      <c r="D5398" t="s" s="2">
        <v>16</v>
      </c>
      <c r="E5398" t="s" s="2">
        <v>17</v>
      </c>
      <c r="F5398" t="s" s="2">
        <f>HYPERLINK("http://ts.21cn.com/tousu/show/id/1368220","http://ts.21cn.com/tousu/show/id/1368220")</f>
      </c>
      <c r="G5398" t="s" s="2">
        <v>17</v>
      </c>
      <c r="H5398" t="s" s="2">
        <v>19</v>
      </c>
      <c r="I5398" t="s" s="2">
        <v>20931</v>
      </c>
      <c r="J5398" t="s" s="2">
        <v>20932</v>
      </c>
      <c r="K5398" t="s" s="2">
        <v>22</v>
      </c>
      <c r="L5398" t="s" s="2">
        <v>22</v>
      </c>
      <c r="M5398" t="s" s="2">
        <v>22</v>
      </c>
    </row>
    <row r="5399" ht="25.0" customHeight="true">
      <c r="A5399" t="s" s="2">
        <v>13</v>
      </c>
      <c r="B5399" t="s" s="2">
        <f>HYPERLINK("http://ts.21cn.com/tousu/show/id/1368168","因身体状况住院不能乘机在飞机起飞前5天申请退票去哪儿网拒绝退款机票费3300元")</f>
      </c>
      <c r="C5399" t="s" s="2">
        <v>15</v>
      </c>
      <c r="D5399" t="s" s="2">
        <v>16</v>
      </c>
      <c r="E5399" t="s" s="2">
        <v>17</v>
      </c>
      <c r="F5399" t="s" s="2">
        <f>HYPERLINK("http://ts.21cn.com/tousu/show/id/1368168","http://ts.21cn.com/tousu/show/id/1368168")</f>
      </c>
      <c r="G5399" t="s" s="2">
        <v>17</v>
      </c>
      <c r="H5399" t="s" s="2">
        <v>19</v>
      </c>
      <c r="I5399" t="s" s="2">
        <v>20935</v>
      </c>
      <c r="J5399" t="s" s="2">
        <v>20936</v>
      </c>
      <c r="K5399" t="s" s="2">
        <v>22</v>
      </c>
      <c r="L5399" t="s" s="2">
        <v>22</v>
      </c>
      <c r="M5399" t="s" s="2">
        <v>22</v>
      </c>
    </row>
    <row r="5400" ht="25.0" customHeight="true">
      <c r="A5400" t="s" s="2">
        <v>13</v>
      </c>
      <c r="B5400" t="s" s="2">
        <f>HYPERLINK("http://ts.21cn.com/tousu/show/id/1368219","丰趣海淘拖欠员工工资，强制执行也没用")</f>
      </c>
      <c r="C5400" t="s" s="2">
        <v>15</v>
      </c>
      <c r="D5400" t="s" s="2">
        <v>16</v>
      </c>
      <c r="E5400" t="s" s="2">
        <v>17</v>
      </c>
      <c r="F5400" t="s" s="2">
        <f>HYPERLINK("http://ts.21cn.com/tousu/show/id/1368219","http://ts.21cn.com/tousu/show/id/1368219")</f>
      </c>
      <c r="G5400" t="s" s="2">
        <v>17</v>
      </c>
      <c r="H5400" t="s" s="2">
        <v>19</v>
      </c>
      <c r="I5400" t="s" s="2">
        <v>20938</v>
      </c>
      <c r="J5400" t="s" s="2">
        <v>20939</v>
      </c>
      <c r="K5400" t="s" s="2">
        <v>22</v>
      </c>
      <c r="L5400" t="s" s="2">
        <v>22</v>
      </c>
      <c r="M5400" t="s" s="2">
        <v>22</v>
      </c>
    </row>
    <row r="5401" ht="25.0" customHeight="true">
      <c r="A5401" t="s" s="2">
        <v>13</v>
      </c>
      <c r="B5401" t="s" s="2">
        <f>HYPERLINK("http://ts.21cn.com/tousu/show/id/1368217","钱置宝无法正常还款造成逾期，逾期费用和利息过高")</f>
      </c>
      <c r="C5401" t="s" s="2">
        <v>52</v>
      </c>
      <c r="D5401" t="s" s="2">
        <v>16</v>
      </c>
      <c r="E5401" t="s" s="2">
        <v>17</v>
      </c>
      <c r="F5401" t="s" s="2">
        <f>HYPERLINK("http://ts.21cn.com/tousu/show/id/1368217","http://ts.21cn.com/tousu/show/id/1368217")</f>
      </c>
      <c r="G5401" t="s" s="2">
        <v>17</v>
      </c>
      <c r="H5401" t="s" s="2">
        <v>19</v>
      </c>
      <c r="I5401" t="s" s="2">
        <v>20942</v>
      </c>
      <c r="J5401" t="s" s="2">
        <v>20943</v>
      </c>
      <c r="K5401" t="s" s="2">
        <v>22</v>
      </c>
      <c r="L5401" t="s" s="2">
        <v>22</v>
      </c>
      <c r="M5401" t="s" s="2">
        <v>22</v>
      </c>
    </row>
    <row r="5402" ht="25.0" customHeight="true">
      <c r="A5402" t="s" s="2">
        <v>13</v>
      </c>
      <c r="B5402" t="s" s="2">
        <f>HYPERLINK("http://ts.21cn.com/tousu/show/id/1368216","投诉闪银恶意骚扰")</f>
      </c>
      <c r="C5402" t="s" s="2">
        <v>15</v>
      </c>
      <c r="D5402" t="s" s="2">
        <v>16</v>
      </c>
      <c r="E5402" t="s" s="2">
        <v>17</v>
      </c>
      <c r="F5402" t="s" s="2">
        <f>HYPERLINK("http://ts.21cn.com/tousu/show/id/1368216","http://ts.21cn.com/tousu/show/id/1368216")</f>
      </c>
      <c r="G5402" t="s" s="2">
        <v>17</v>
      </c>
      <c r="H5402" t="s" s="2">
        <v>19</v>
      </c>
      <c r="I5402" t="s" s="2">
        <v>20946</v>
      </c>
      <c r="J5402" t="s" s="2">
        <v>20947</v>
      </c>
      <c r="K5402" t="s" s="2">
        <v>22</v>
      </c>
      <c r="L5402" t="s" s="2">
        <v>22</v>
      </c>
      <c r="M5402" t="s" s="2">
        <v>22</v>
      </c>
    </row>
    <row r="5403" ht="25.0" customHeight="true">
      <c r="A5403" t="s" s="2">
        <v>13</v>
      </c>
      <c r="B5403" t="s" s="2">
        <f>HYPERLINK("http://ts.21cn.com/tousu/show/id/1368215","万达贷暴力催收，骚扰我的通讯录")</f>
      </c>
      <c r="C5403" t="s" s="2">
        <v>15</v>
      </c>
      <c r="D5403" t="s" s="2">
        <v>16</v>
      </c>
      <c r="E5403" t="s" s="2">
        <v>17</v>
      </c>
      <c r="F5403" t="s" s="2">
        <f>HYPERLINK("http://ts.21cn.com/tousu/show/id/1368215","http://ts.21cn.com/tousu/show/id/1368215")</f>
      </c>
      <c r="G5403" t="s" s="2">
        <v>17</v>
      </c>
      <c r="H5403" t="s" s="2">
        <v>19</v>
      </c>
      <c r="I5403" t="s" s="2">
        <v>20950</v>
      </c>
      <c r="J5403" t="s" s="2">
        <v>20951</v>
      </c>
      <c r="K5403" t="s" s="2">
        <v>22</v>
      </c>
      <c r="L5403" t="s" s="2">
        <v>22</v>
      </c>
      <c r="M5403" t="s" s="2">
        <v>22</v>
      </c>
    </row>
    <row r="5404" ht="25.0" customHeight="true">
      <c r="A5404" t="s" s="2">
        <v>13</v>
      </c>
      <c r="B5404" t="s" s="2">
        <f>HYPERLINK("http://ts.21cn.com/tousu/show/id/1368214","支付宝暴力催收恶意骚扰威胁恐吓")</f>
      </c>
      <c r="C5404" t="s" s="2">
        <v>15</v>
      </c>
      <c r="D5404" t="s" s="2">
        <v>16</v>
      </c>
      <c r="E5404" t="s" s="2">
        <v>17</v>
      </c>
      <c r="F5404" t="s" s="2">
        <f>HYPERLINK("http://ts.21cn.com/tousu/show/id/1368214","http://ts.21cn.com/tousu/show/id/1368214")</f>
      </c>
      <c r="G5404" t="s" s="2">
        <v>17</v>
      </c>
      <c r="H5404" t="s" s="2">
        <v>19</v>
      </c>
      <c r="I5404" t="s" s="2">
        <v>20954</v>
      </c>
      <c r="J5404" t="s" s="2">
        <v>20955</v>
      </c>
      <c r="K5404" t="s" s="2">
        <v>22</v>
      </c>
      <c r="L5404" t="s" s="2">
        <v>22</v>
      </c>
      <c r="M5404" t="s" s="2">
        <v>22</v>
      </c>
    </row>
    <row r="5405" ht="25.0" customHeight="true">
      <c r="A5405" t="s" s="2">
        <v>13</v>
      </c>
      <c r="B5405" t="s" s="2">
        <f>HYPERLINK("http://ts.21cn.com/tousu/show/id/1368212","钱站违约金")</f>
      </c>
      <c r="C5405" t="s" s="2">
        <v>15</v>
      </c>
      <c r="D5405" t="s" s="2">
        <v>16</v>
      </c>
      <c r="E5405" t="s" s="2">
        <v>17</v>
      </c>
      <c r="F5405" t="s" s="2">
        <f>HYPERLINK("http://ts.21cn.com/tousu/show/id/1368212","http://ts.21cn.com/tousu/show/id/1368212")</f>
      </c>
      <c r="G5405" t="s" s="2">
        <v>17</v>
      </c>
      <c r="H5405" t="s" s="2">
        <v>19</v>
      </c>
      <c r="I5405" t="s" s="2">
        <v>20958</v>
      </c>
      <c r="J5405" t="s" s="2">
        <v>20959</v>
      </c>
      <c r="K5405" t="s" s="2">
        <v>22</v>
      </c>
      <c r="L5405" t="s" s="2">
        <v>22</v>
      </c>
      <c r="M5405" t="s" s="2">
        <v>22</v>
      </c>
    </row>
    <row r="5406" ht="25.0" customHeight="true">
      <c r="A5406" t="s" s="2">
        <v>13</v>
      </c>
      <c r="B5406" t="s" s="2">
        <f>HYPERLINK("http://ts.21cn.com/tousu/show/id/1368213","高利贷/恶性催收威胁性恐吓")</f>
      </c>
      <c r="C5406" t="s" s="2">
        <v>15</v>
      </c>
      <c r="D5406" t="s" s="2">
        <v>16</v>
      </c>
      <c r="E5406" t="s" s="2">
        <v>17</v>
      </c>
      <c r="F5406" t="s" s="2">
        <f>HYPERLINK("http://ts.21cn.com/tousu/show/id/1368213","http://ts.21cn.com/tousu/show/id/1368213")</f>
      </c>
      <c r="G5406" t="s" s="2">
        <v>17</v>
      </c>
      <c r="H5406" t="s" s="2">
        <v>19</v>
      </c>
      <c r="I5406" t="s" s="2">
        <v>20962</v>
      </c>
      <c r="J5406" t="s" s="2">
        <v>20963</v>
      </c>
      <c r="K5406" t="s" s="2">
        <v>22</v>
      </c>
      <c r="L5406" t="s" s="2">
        <v>22</v>
      </c>
      <c r="M5406" t="s" s="2">
        <v>22</v>
      </c>
    </row>
    <row r="5407" ht="25.0" customHeight="true">
      <c r="A5407" t="s" s="2">
        <v>13</v>
      </c>
      <c r="B5407" t="s" s="2">
        <f>HYPERLINK("http://ts.21cn.com/tousu/show/id/1368211","饿了么账户无法正常使用应有的优惠权限")</f>
      </c>
      <c r="C5407" t="s" s="2">
        <v>52</v>
      </c>
      <c r="D5407" t="s" s="2">
        <v>16</v>
      </c>
      <c r="E5407" t="s" s="2">
        <v>17</v>
      </c>
      <c r="F5407" t="s" s="2">
        <f>HYPERLINK("http://ts.21cn.com/tousu/show/id/1368211","http://ts.21cn.com/tousu/show/id/1368211")</f>
      </c>
      <c r="G5407" t="s" s="2">
        <v>17</v>
      </c>
      <c r="H5407" t="s" s="2">
        <v>19</v>
      </c>
      <c r="I5407" t="s" s="2">
        <v>20966</v>
      </c>
      <c r="J5407" t="s" s="2">
        <v>20967</v>
      </c>
      <c r="K5407" t="s" s="2">
        <v>22</v>
      </c>
      <c r="L5407" t="s" s="2">
        <v>22</v>
      </c>
      <c r="M5407" t="s" s="2">
        <v>22</v>
      </c>
    </row>
    <row r="5408" ht="25.0" customHeight="true">
      <c r="A5408" t="s" s="2">
        <v>13</v>
      </c>
      <c r="B5408" t="s" s="2">
        <f>HYPERLINK("http://ts.21cn.com/tousu/show/id/1368160","钱站高利贷阴阳合同借2000还3000")</f>
      </c>
      <c r="C5408" t="s" s="2">
        <v>15</v>
      </c>
      <c r="D5408" t="s" s="2">
        <v>16</v>
      </c>
      <c r="E5408" t="s" s="2">
        <v>17</v>
      </c>
      <c r="F5408" t="s" s="2">
        <f>HYPERLINK("http://ts.21cn.com/tousu/show/id/1368160","http://ts.21cn.com/tousu/show/id/1368160")</f>
      </c>
      <c r="G5408" t="s" s="2">
        <v>17</v>
      </c>
      <c r="H5408" t="s" s="2">
        <v>19</v>
      </c>
      <c r="I5408" t="s" s="2">
        <v>20970</v>
      </c>
      <c r="J5408" t="s" s="2">
        <v>20971</v>
      </c>
      <c r="K5408" t="s" s="2">
        <v>22</v>
      </c>
      <c r="L5408" t="s" s="2">
        <v>22</v>
      </c>
      <c r="M5408" t="s" s="2">
        <v>22</v>
      </c>
    </row>
    <row r="5409" ht="25.0" customHeight="true">
      <c r="A5409" t="s" s="2">
        <v>13</v>
      </c>
      <c r="B5409" t="s" s="2">
        <f>HYPERLINK("http://ts.21cn.com/tousu/show/id/1368206","5173买的账号被找回客服态度差")</f>
      </c>
      <c r="C5409" t="s" s="2">
        <v>15</v>
      </c>
      <c r="D5409" t="s" s="2">
        <v>16</v>
      </c>
      <c r="E5409" t="s" s="2">
        <v>17</v>
      </c>
      <c r="F5409" t="s" s="2">
        <f>HYPERLINK("http://ts.21cn.com/tousu/show/id/1368206","http://ts.21cn.com/tousu/show/id/1368206")</f>
      </c>
      <c r="G5409" t="s" s="2">
        <v>17</v>
      </c>
      <c r="H5409" t="s" s="2">
        <v>19</v>
      </c>
      <c r="I5409" t="s" s="2">
        <v>20974</v>
      </c>
      <c r="J5409" t="s" s="2">
        <v>20975</v>
      </c>
      <c r="K5409" t="s" s="2">
        <v>22</v>
      </c>
      <c r="L5409" t="s" s="2">
        <v>22</v>
      </c>
      <c r="M5409" t="s" s="2">
        <v>22</v>
      </c>
    </row>
    <row r="5410" ht="25.0" customHeight="true">
      <c r="A5410" t="s" s="2">
        <v>13</v>
      </c>
      <c r="B5410" t="s" s="2">
        <f>HYPERLINK("http://ts.21cn.com/tousu/show/id/1368203","现金巴士砍头息，暴力催收")</f>
      </c>
      <c r="C5410" t="s" s="2">
        <v>15</v>
      </c>
      <c r="D5410" t="s" s="2">
        <v>16</v>
      </c>
      <c r="E5410" t="s" s="2">
        <v>17</v>
      </c>
      <c r="F5410" t="s" s="2">
        <f>HYPERLINK("http://ts.21cn.com/tousu/show/id/1368203","http://ts.21cn.com/tousu/show/id/1368203")</f>
      </c>
      <c r="G5410" t="s" s="2">
        <v>17</v>
      </c>
      <c r="H5410" t="s" s="2">
        <v>19</v>
      </c>
      <c r="I5410" t="s" s="2">
        <v>20978</v>
      </c>
      <c r="J5410" t="s" s="2">
        <v>20979</v>
      </c>
      <c r="K5410" t="s" s="2">
        <v>22</v>
      </c>
      <c r="L5410" t="s" s="2">
        <v>22</v>
      </c>
      <c r="M5410" t="s" s="2">
        <v>22</v>
      </c>
    </row>
    <row r="5411" ht="25.0" customHeight="true">
      <c r="A5411" t="s" s="2">
        <v>13</v>
      </c>
      <c r="B5411" t="s" s="2">
        <f>HYPERLINK("http://ts.21cn.com/tousu/show/id/1368209","你我贷搔扰联系人")</f>
      </c>
      <c r="C5411" t="s" s="2">
        <v>52</v>
      </c>
      <c r="D5411" t="s" s="2">
        <v>16</v>
      </c>
      <c r="E5411" t="s" s="2">
        <v>17</v>
      </c>
      <c r="F5411" t="s" s="2">
        <f>HYPERLINK("http://ts.21cn.com/tousu/show/id/1368209","http://ts.21cn.com/tousu/show/id/1368209")</f>
      </c>
      <c r="G5411" t="s" s="2">
        <v>17</v>
      </c>
      <c r="H5411" t="s" s="2">
        <v>19</v>
      </c>
      <c r="I5411" t="s" s="2">
        <v>20982</v>
      </c>
      <c r="J5411" t="s" s="2">
        <v>20983</v>
      </c>
      <c r="K5411" t="s" s="2">
        <v>22</v>
      </c>
      <c r="L5411" t="s" s="2">
        <v>22</v>
      </c>
      <c r="M5411" t="s" s="2">
        <v>22</v>
      </c>
    </row>
    <row r="5412" ht="25.0" customHeight="true">
      <c r="A5412" t="s" s="2">
        <v>13</v>
      </c>
      <c r="B5412" t="s" s="2">
        <f>HYPERLINK("http://ts.21cn.com/tousu/show/id/1368208","中国银联广东分公司为高利贷平台提供违规支付渠道")</f>
      </c>
      <c r="C5412" t="s" s="2">
        <v>15</v>
      </c>
      <c r="D5412" t="s" s="2">
        <v>16</v>
      </c>
      <c r="E5412" t="s" s="2">
        <v>17</v>
      </c>
      <c r="F5412" t="s" s="2">
        <f>HYPERLINK("http://ts.21cn.com/tousu/show/id/1368208","http://ts.21cn.com/tousu/show/id/1368208")</f>
      </c>
      <c r="G5412" t="s" s="2">
        <v>17</v>
      </c>
      <c r="H5412" t="s" s="2">
        <v>19</v>
      </c>
      <c r="I5412" t="s" s="2">
        <v>20986</v>
      </c>
      <c r="J5412" t="s" s="2">
        <v>20987</v>
      </c>
      <c r="K5412" t="s" s="2">
        <v>22</v>
      </c>
      <c r="L5412" t="s" s="2">
        <v>22</v>
      </c>
      <c r="M5412" t="s" s="2">
        <v>22</v>
      </c>
    </row>
    <row r="5413" ht="25.0" customHeight="true">
      <c r="A5413" t="s" s="2">
        <v>13</v>
      </c>
      <c r="B5413" t="s" s="2">
        <f>HYPERLINK("http://ts.21cn.com/tousu/show/id/1368202","及贷ppmoney阴阳合同高额利息提前结清不能协商处理解决")</f>
      </c>
      <c r="C5413" t="s" s="2">
        <v>15</v>
      </c>
      <c r="D5413" t="s" s="2">
        <v>16</v>
      </c>
      <c r="E5413" t="s" s="2">
        <v>17</v>
      </c>
      <c r="F5413" t="s" s="2">
        <f>HYPERLINK("http://ts.21cn.com/tousu/show/id/1368202","http://ts.21cn.com/tousu/show/id/1368202")</f>
      </c>
      <c r="G5413" t="s" s="2">
        <v>17</v>
      </c>
      <c r="H5413" t="s" s="2">
        <v>19</v>
      </c>
      <c r="I5413" t="s" s="2">
        <v>20990</v>
      </c>
      <c r="J5413" t="s" s="2">
        <v>20991</v>
      </c>
      <c r="K5413" t="s" s="2">
        <v>22</v>
      </c>
      <c r="L5413" t="s" s="2">
        <v>22</v>
      </c>
      <c r="M5413" t="s" s="2">
        <v>22</v>
      </c>
    </row>
    <row r="5414" ht="25.0" customHeight="true">
      <c r="A5414" t="s" s="2">
        <v>13</v>
      </c>
      <c r="B5414" t="s" s="2">
        <f>HYPERLINK("http://ts.21cn.com/tousu/show/id/1368204","月光侠与爱钱进合伙发放高利贷暴力催收")</f>
      </c>
      <c r="C5414" t="s" s="2">
        <v>15</v>
      </c>
      <c r="D5414" t="s" s="2">
        <v>16</v>
      </c>
      <c r="E5414" t="s" s="2">
        <v>17</v>
      </c>
      <c r="F5414" t="s" s="2">
        <f>HYPERLINK("http://ts.21cn.com/tousu/show/id/1368204","http://ts.21cn.com/tousu/show/id/1368204")</f>
      </c>
      <c r="G5414" t="s" s="2">
        <v>17</v>
      </c>
      <c r="H5414" t="s" s="2">
        <v>19</v>
      </c>
      <c r="I5414" t="s" s="2">
        <v>20994</v>
      </c>
      <c r="J5414" t="s" s="2">
        <v>20995</v>
      </c>
      <c r="K5414" t="s" s="2">
        <v>22</v>
      </c>
      <c r="L5414" t="s" s="2">
        <v>22</v>
      </c>
      <c r="M5414" t="s" s="2">
        <v>22</v>
      </c>
    </row>
    <row r="5415" ht="25.0" customHeight="true">
      <c r="A5415" t="s" s="2">
        <v>13</v>
      </c>
      <c r="B5415" t="s" s="2">
        <f>HYPERLINK("http://ts.21cn.com/tousu/show/id/1368207","未成功使用业务，在本人不知情的情况扣费")</f>
      </c>
      <c r="C5415" t="s" s="2">
        <v>15</v>
      </c>
      <c r="D5415" t="s" s="2">
        <v>16</v>
      </c>
      <c r="E5415" t="s" s="2">
        <v>17</v>
      </c>
      <c r="F5415" t="s" s="2">
        <f>HYPERLINK("http://ts.21cn.com/tousu/show/id/1368207","http://ts.21cn.com/tousu/show/id/1368207")</f>
      </c>
      <c r="G5415" t="s" s="2">
        <v>17</v>
      </c>
      <c r="H5415" t="s" s="2">
        <v>19</v>
      </c>
      <c r="I5415" t="s" s="2">
        <v>20998</v>
      </c>
      <c r="J5415" t="s" s="2">
        <v>20999</v>
      </c>
      <c r="K5415" t="s" s="2">
        <v>22</v>
      </c>
      <c r="L5415" t="s" s="2">
        <v>22</v>
      </c>
      <c r="M5415" t="s" s="2">
        <v>22</v>
      </c>
    </row>
    <row r="5416" ht="25.0" customHeight="true">
      <c r="A5416" t="s" s="2">
        <v>13</v>
      </c>
      <c r="B5416" t="s" s="2">
        <f>HYPERLINK("http://ts.21cn.com/tousu/show/id/1368200","马上金融")</f>
      </c>
      <c r="C5416" t="s" s="2">
        <v>15</v>
      </c>
      <c r="D5416" t="s" s="2">
        <v>16</v>
      </c>
      <c r="E5416" t="s" s="2">
        <v>17</v>
      </c>
      <c r="F5416" t="s" s="2">
        <f>HYPERLINK("http://ts.21cn.com/tousu/show/id/1368200","http://ts.21cn.com/tousu/show/id/1368200")</f>
      </c>
      <c r="G5416" t="s" s="2">
        <v>17</v>
      </c>
      <c r="H5416" t="s" s="2">
        <v>19</v>
      </c>
      <c r="I5416" t="s" s="2">
        <v>21001</v>
      </c>
      <c r="J5416" t="s" s="2">
        <v>21002</v>
      </c>
      <c r="K5416" t="s" s="2">
        <v>22</v>
      </c>
      <c r="L5416" t="s" s="2">
        <v>22</v>
      </c>
      <c r="M5416" t="s" s="2">
        <v>22</v>
      </c>
    </row>
    <row r="5417" ht="25.0" customHeight="true">
      <c r="A5417" t="s" s="2">
        <v>13</v>
      </c>
      <c r="B5417" t="s" s="2">
        <f>HYPERLINK("http://ts.21cn.com/tousu/show/id/1368199","凡普金科高利贷")</f>
      </c>
      <c r="C5417" t="s" s="2">
        <v>15</v>
      </c>
      <c r="D5417" t="s" s="2">
        <v>16</v>
      </c>
      <c r="E5417" t="s" s="2">
        <v>17</v>
      </c>
      <c r="F5417" t="s" s="2">
        <f>HYPERLINK("http://ts.21cn.com/tousu/show/id/1368199","http://ts.21cn.com/tousu/show/id/1368199")</f>
      </c>
      <c r="G5417" t="s" s="2">
        <v>17</v>
      </c>
      <c r="H5417" t="s" s="2">
        <v>19</v>
      </c>
      <c r="I5417" t="s" s="2">
        <v>21004</v>
      </c>
      <c r="J5417" t="s" s="2">
        <v>21005</v>
      </c>
      <c r="K5417" t="s" s="2">
        <v>22</v>
      </c>
      <c r="L5417" t="s" s="2">
        <v>22</v>
      </c>
      <c r="M5417" t="s" s="2">
        <v>22</v>
      </c>
    </row>
    <row r="5418" ht="25.0" customHeight="true">
      <c r="A5418" t="s" s="2">
        <v>13</v>
      </c>
      <c r="B5418" t="s" s="2">
        <f>HYPERLINK("http://ts.21cn.com/tousu/show/id/1368197","交通银行暴力催收，逾期后不断的扣除保险费")</f>
      </c>
      <c r="C5418" t="s" s="2">
        <v>15</v>
      </c>
      <c r="D5418" t="s" s="2">
        <v>16</v>
      </c>
      <c r="E5418" t="s" s="2">
        <v>17</v>
      </c>
      <c r="F5418" t="s" s="2">
        <f>HYPERLINK("http://ts.21cn.com/tousu/show/id/1368197","http://ts.21cn.com/tousu/show/id/1368197")</f>
      </c>
      <c r="G5418" t="s" s="2">
        <v>17</v>
      </c>
      <c r="H5418" t="s" s="2">
        <v>19</v>
      </c>
      <c r="I5418" t="s" s="2">
        <v>21008</v>
      </c>
      <c r="J5418" t="s" s="2">
        <v>21009</v>
      </c>
      <c r="K5418" t="s" s="2">
        <v>22</v>
      </c>
      <c r="L5418" t="s" s="2">
        <v>22</v>
      </c>
      <c r="M5418" t="s" s="2">
        <v>22</v>
      </c>
    </row>
    <row r="5419" ht="25.0" customHeight="true">
      <c r="A5419" t="s" s="2">
        <v>13</v>
      </c>
      <c r="B5419" t="s" s="2">
        <f>HYPERLINK("http://ts.21cn.com/tousu/show/id/1368198","强加意外高额保险")</f>
      </c>
      <c r="C5419" t="s" s="2">
        <v>15</v>
      </c>
      <c r="D5419" t="s" s="2">
        <v>16</v>
      </c>
      <c r="E5419" t="s" s="2">
        <v>17</v>
      </c>
      <c r="F5419" t="s" s="2">
        <f>HYPERLINK("http://ts.21cn.com/tousu/show/id/1368198","http://ts.21cn.com/tousu/show/id/1368198")</f>
      </c>
      <c r="G5419" t="s" s="2">
        <v>17</v>
      </c>
      <c r="H5419" t="s" s="2">
        <v>19</v>
      </c>
      <c r="I5419" t="s" s="2">
        <v>21012</v>
      </c>
      <c r="J5419" t="s" s="2">
        <v>21013</v>
      </c>
      <c r="K5419" t="s" s="2">
        <v>22</v>
      </c>
      <c r="L5419" t="s" s="2">
        <v>22</v>
      </c>
      <c r="M5419" t="s" s="2">
        <v>22</v>
      </c>
    </row>
    <row r="5420" ht="25.0" customHeight="true">
      <c r="A5420" t="s" s="2">
        <v>13</v>
      </c>
      <c r="B5420" t="s" s="2">
        <f>HYPERLINK("http://ts.21cn.com/tousu/show/id/1368196","高利，暴击催收")</f>
      </c>
      <c r="C5420" t="s" s="2">
        <v>15</v>
      </c>
      <c r="D5420" t="s" s="2">
        <v>16</v>
      </c>
      <c r="E5420" t="s" s="2">
        <v>17</v>
      </c>
      <c r="F5420" t="s" s="2">
        <f>HYPERLINK("http://ts.21cn.com/tousu/show/id/1368196","http://ts.21cn.com/tousu/show/id/1368196")</f>
      </c>
      <c r="G5420" t="s" s="2">
        <v>17</v>
      </c>
      <c r="H5420" t="s" s="2">
        <v>19</v>
      </c>
      <c r="I5420" t="s" s="2">
        <v>21016</v>
      </c>
      <c r="J5420" t="s" s="2">
        <v>21017</v>
      </c>
      <c r="K5420" t="s" s="2">
        <v>22</v>
      </c>
      <c r="L5420" t="s" s="2">
        <v>22</v>
      </c>
      <c r="M5420" t="s" s="2">
        <v>22</v>
      </c>
    </row>
    <row r="5421" ht="25.0" customHeight="true">
      <c r="A5421" t="s" s="2">
        <v>13</v>
      </c>
      <c r="B5421" t="s" s="2">
        <f>HYPERLINK("http://ts.21cn.com/tousu/show/id/1368183","天天速贷短信轰炸暴力催收")</f>
      </c>
      <c r="C5421" t="s" s="2">
        <v>15</v>
      </c>
      <c r="D5421" t="s" s="2">
        <v>16</v>
      </c>
      <c r="E5421" t="s" s="2">
        <v>17</v>
      </c>
      <c r="F5421" t="s" s="2">
        <f>HYPERLINK("http://ts.21cn.com/tousu/show/id/1368183","http://ts.21cn.com/tousu/show/id/1368183")</f>
      </c>
      <c r="G5421" t="s" s="2">
        <v>17</v>
      </c>
      <c r="H5421" t="s" s="2">
        <v>19</v>
      </c>
      <c r="I5421" t="s" s="2">
        <v>21020</v>
      </c>
      <c r="J5421" t="s" s="2">
        <v>21021</v>
      </c>
      <c r="K5421" t="s" s="2">
        <v>22</v>
      </c>
      <c r="L5421" t="s" s="2">
        <v>22</v>
      </c>
      <c r="M5421" t="s" s="2">
        <v>22</v>
      </c>
    </row>
    <row r="5422" ht="25.0" customHeight="true">
      <c r="A5422" t="s" s="2">
        <v>13</v>
      </c>
      <c r="B5422" t="s" s="2">
        <f>HYPERLINK("http://ts.21cn.com/tousu/show/id/1368195","投诉捷信金融电话骚扰")</f>
      </c>
      <c r="C5422" t="s" s="2">
        <v>15</v>
      </c>
      <c r="D5422" t="s" s="2">
        <v>16</v>
      </c>
      <c r="E5422" t="s" s="2">
        <v>17</v>
      </c>
      <c r="F5422" t="s" s="2">
        <f>HYPERLINK("http://ts.21cn.com/tousu/show/id/1368195","http://ts.21cn.com/tousu/show/id/1368195")</f>
      </c>
      <c r="G5422" t="s" s="2">
        <v>17</v>
      </c>
      <c r="H5422" t="s" s="2">
        <v>19</v>
      </c>
      <c r="I5422" t="s" s="2">
        <v>21024</v>
      </c>
      <c r="J5422" t="s" s="2">
        <v>21025</v>
      </c>
      <c r="K5422" t="s" s="2">
        <v>22</v>
      </c>
      <c r="L5422" t="s" s="2">
        <v>22</v>
      </c>
      <c r="M5422" t="s" s="2">
        <v>22</v>
      </c>
    </row>
    <row r="5423" ht="25.0" customHeight="true">
      <c r="A5423" t="s" s="2">
        <v>13</v>
      </c>
      <c r="B5423" t="s" s="2">
        <f>HYPERLINK("http://ts.21cn.com/tousu/show/id/1368194","小赢卡贷")</f>
      </c>
      <c r="C5423" t="s" s="2">
        <v>52</v>
      </c>
      <c r="D5423" t="s" s="2">
        <v>16</v>
      </c>
      <c r="E5423" t="s" s="2">
        <v>17</v>
      </c>
      <c r="F5423" t="s" s="2">
        <f>HYPERLINK("http://ts.21cn.com/tousu/show/id/1368194","http://ts.21cn.com/tousu/show/id/1368194")</f>
      </c>
      <c r="G5423" t="s" s="2">
        <v>17</v>
      </c>
      <c r="H5423" t="s" s="2">
        <v>19</v>
      </c>
      <c r="I5423" t="s" s="2">
        <v>21028</v>
      </c>
      <c r="J5423" t="s" s="2">
        <v>21029</v>
      </c>
      <c r="K5423" t="s" s="2">
        <v>22</v>
      </c>
      <c r="L5423" t="s" s="2">
        <v>22</v>
      </c>
      <c r="M5423" t="s" s="2">
        <v>22</v>
      </c>
    </row>
    <row r="5424" ht="25.0" customHeight="true">
      <c r="A5424" t="s" s="2">
        <v>13</v>
      </c>
      <c r="B5424" t="s" s="2">
        <f>HYPERLINK("http://ts.21cn.com/tousu/show/id/1368193","额度冻结")</f>
      </c>
      <c r="C5424" t="s" s="2">
        <v>52</v>
      </c>
      <c r="D5424" t="s" s="2">
        <v>16</v>
      </c>
      <c r="E5424" t="s" s="2">
        <v>17</v>
      </c>
      <c r="F5424" t="s" s="2">
        <f>HYPERLINK("http://ts.21cn.com/tousu/show/id/1368193","http://ts.21cn.com/tousu/show/id/1368193")</f>
      </c>
      <c r="G5424" t="s" s="2">
        <v>17</v>
      </c>
      <c r="H5424" t="s" s="2">
        <v>19</v>
      </c>
      <c r="I5424" t="s" s="2">
        <v>21032</v>
      </c>
      <c r="J5424" t="s" s="2">
        <v>21033</v>
      </c>
      <c r="K5424" t="s" s="2">
        <v>22</v>
      </c>
      <c r="L5424" t="s" s="2">
        <v>22</v>
      </c>
      <c r="M5424" t="s" s="2">
        <v>22</v>
      </c>
    </row>
    <row r="5425" ht="25.0" customHeight="true">
      <c r="A5425" t="s" s="2">
        <v>13</v>
      </c>
      <c r="B5425" t="s" s="2">
        <f>HYPERLINK("http://ts.21cn.com/tousu/show/id/1368192","故意不让还款，收取高额逾期费，套路贷高利息，借了2100还3000多。")</f>
      </c>
      <c r="C5425" t="s" s="2">
        <v>15</v>
      </c>
      <c r="D5425" t="s" s="2">
        <v>16</v>
      </c>
      <c r="E5425" t="s" s="2">
        <v>17</v>
      </c>
      <c r="F5425" t="s" s="2">
        <f>HYPERLINK("http://ts.21cn.com/tousu/show/id/1368192","http://ts.21cn.com/tousu/show/id/1368192")</f>
      </c>
      <c r="G5425" t="s" s="2">
        <v>17</v>
      </c>
      <c r="H5425" t="s" s="2">
        <v>19</v>
      </c>
      <c r="I5425" t="s" s="2">
        <v>21036</v>
      </c>
      <c r="J5425" t="s" s="2">
        <v>21037</v>
      </c>
      <c r="K5425" t="s" s="2">
        <v>22</v>
      </c>
      <c r="L5425" t="s" s="2">
        <v>22</v>
      </c>
      <c r="M5425" t="s" s="2">
        <v>22</v>
      </c>
    </row>
    <row r="5426" ht="25.0" customHeight="true">
      <c r="A5426" t="s" s="2">
        <v>13</v>
      </c>
      <c r="B5426" t="s" s="2">
        <f>HYPERLINK("http://ts.21cn.com/tousu/show/id/1368190","聚福钱包诱导消费，恶意扣款，要求退款")</f>
      </c>
      <c r="C5426" t="s" s="2">
        <v>15</v>
      </c>
      <c r="D5426" t="s" s="2">
        <v>16</v>
      </c>
      <c r="E5426" t="s" s="2">
        <v>17</v>
      </c>
      <c r="F5426" t="s" s="2">
        <f>HYPERLINK("http://ts.21cn.com/tousu/show/id/1368190","http://ts.21cn.com/tousu/show/id/1368190")</f>
      </c>
      <c r="G5426" t="s" s="2">
        <v>17</v>
      </c>
      <c r="H5426" t="s" s="2">
        <v>19</v>
      </c>
      <c r="I5426" t="s" s="2">
        <v>21040</v>
      </c>
      <c r="J5426" t="s" s="2">
        <v>21041</v>
      </c>
      <c r="K5426" t="s" s="2">
        <v>22</v>
      </c>
      <c r="L5426" t="s" s="2">
        <v>22</v>
      </c>
      <c r="M5426" t="s" s="2">
        <v>22</v>
      </c>
    </row>
    <row r="5427" ht="25.0" customHeight="true">
      <c r="A5427" t="s" s="2">
        <v>13</v>
      </c>
      <c r="B5427" t="s" s="2">
        <f>HYPERLINK("http://ts.21cn.com/tousu/show/id/1368189","薪意贷高利贷,暴力催收")</f>
      </c>
      <c r="C5427" t="s" s="2">
        <v>15</v>
      </c>
      <c r="D5427" t="s" s="2">
        <v>16</v>
      </c>
      <c r="E5427" t="s" s="2">
        <v>17</v>
      </c>
      <c r="F5427" t="s" s="2">
        <f>HYPERLINK("http://ts.21cn.com/tousu/show/id/1368189","http://ts.21cn.com/tousu/show/id/1368189")</f>
      </c>
      <c r="G5427" t="s" s="2">
        <v>17</v>
      </c>
      <c r="H5427" t="s" s="2">
        <v>19</v>
      </c>
      <c r="I5427" t="s" s="2">
        <v>21044</v>
      </c>
      <c r="J5427" t="s" s="2">
        <v>21045</v>
      </c>
      <c r="K5427" t="s" s="2">
        <v>22</v>
      </c>
      <c r="L5427" t="s" s="2">
        <v>22</v>
      </c>
      <c r="M5427" t="s" s="2">
        <v>22</v>
      </c>
    </row>
    <row r="5428" ht="25.0" customHeight="true">
      <c r="A5428" t="s" s="2">
        <v>13</v>
      </c>
      <c r="B5428" t="s" s="2">
        <f>HYPERLINK("http://ts.21cn.com/tousu/show/id/1368188","新橙优品半夜催收")</f>
      </c>
      <c r="C5428" t="s" s="2">
        <v>15</v>
      </c>
      <c r="D5428" t="s" s="2">
        <v>16</v>
      </c>
      <c r="E5428" t="s" s="2">
        <v>17</v>
      </c>
      <c r="F5428" t="s" s="2">
        <f>HYPERLINK("http://ts.21cn.com/tousu/show/id/1368188","http://ts.21cn.com/tousu/show/id/1368188")</f>
      </c>
      <c r="G5428" t="s" s="2">
        <v>17</v>
      </c>
      <c r="H5428" t="s" s="2">
        <v>19</v>
      </c>
      <c r="I5428" t="s" s="2">
        <v>21048</v>
      </c>
      <c r="J5428" t="s" s="2">
        <v>21049</v>
      </c>
      <c r="K5428" t="s" s="2">
        <v>22</v>
      </c>
      <c r="L5428" t="s" s="2">
        <v>22</v>
      </c>
      <c r="M5428" t="s" s="2">
        <v>22</v>
      </c>
    </row>
    <row r="5429" ht="25.0" customHeight="true">
      <c r="A5429" t="s" s="2">
        <v>13</v>
      </c>
      <c r="B5429" t="s" s="2">
        <f>HYPERLINK("http://ts.21cn.com/tousu/show/id/1368187","华夏银行信用外包软暴力骚扰")</f>
      </c>
      <c r="C5429" t="s" s="2">
        <v>15</v>
      </c>
      <c r="D5429" t="s" s="2">
        <v>16</v>
      </c>
      <c r="E5429" t="s" s="2">
        <v>17</v>
      </c>
      <c r="F5429" t="s" s="2">
        <f>HYPERLINK("http://ts.21cn.com/tousu/show/id/1368187","http://ts.21cn.com/tousu/show/id/1368187")</f>
      </c>
      <c r="G5429" t="s" s="2">
        <v>17</v>
      </c>
      <c r="H5429" t="s" s="2">
        <v>19</v>
      </c>
      <c r="I5429" t="s" s="2">
        <v>21052</v>
      </c>
      <c r="J5429" t="s" s="2">
        <v>21053</v>
      </c>
      <c r="K5429" t="s" s="2">
        <v>22</v>
      </c>
      <c r="L5429" t="s" s="2">
        <v>22</v>
      </c>
      <c r="M5429" t="s" s="2">
        <v>22</v>
      </c>
    </row>
    <row r="5430" ht="25.0" customHeight="true">
      <c r="A5430" t="s" s="2">
        <v>13</v>
      </c>
      <c r="B5430" t="s" s="2">
        <f>HYPERLINK("http://ts.21cn.com/tousu/show/id/1368186","砍头息，高利贷")</f>
      </c>
      <c r="C5430" t="s" s="2">
        <v>15</v>
      </c>
      <c r="D5430" t="s" s="2">
        <v>16</v>
      </c>
      <c r="E5430" t="s" s="2">
        <v>17</v>
      </c>
      <c r="F5430" t="s" s="2">
        <f>HYPERLINK("http://ts.21cn.com/tousu/show/id/1368186","http://ts.21cn.com/tousu/show/id/1368186")</f>
      </c>
      <c r="G5430" t="s" s="2">
        <v>17</v>
      </c>
      <c r="H5430" t="s" s="2">
        <v>19</v>
      </c>
      <c r="I5430" t="s" s="2">
        <v>21055</v>
      </c>
      <c r="J5430" t="s" s="2">
        <v>21056</v>
      </c>
      <c r="K5430" t="s" s="2">
        <v>22</v>
      </c>
      <c r="L5430" t="s" s="2">
        <v>22</v>
      </c>
      <c r="M5430" t="s" s="2">
        <v>22</v>
      </c>
    </row>
    <row r="5431" ht="25.0" customHeight="true">
      <c r="A5431" t="s" s="2">
        <v>13</v>
      </c>
      <c r="B5431" t="s" s="2">
        <f>HYPERLINK("http://ts.21cn.com/tousu/show/id/1368185","高额利息和软暴力电话骚扰")</f>
      </c>
      <c r="C5431" t="s" s="2">
        <v>15</v>
      </c>
      <c r="D5431" t="s" s="2">
        <v>16</v>
      </c>
      <c r="E5431" t="s" s="2">
        <v>17</v>
      </c>
      <c r="F5431" t="s" s="2">
        <f>HYPERLINK("http://ts.21cn.com/tousu/show/id/1368185","http://ts.21cn.com/tousu/show/id/1368185")</f>
      </c>
      <c r="G5431" t="s" s="2">
        <v>17</v>
      </c>
      <c r="H5431" t="s" s="2">
        <v>19</v>
      </c>
      <c r="I5431" t="s" s="2">
        <v>21059</v>
      </c>
      <c r="J5431" t="s" s="2">
        <v>21060</v>
      </c>
      <c r="K5431" t="s" s="2">
        <v>22</v>
      </c>
      <c r="L5431" t="s" s="2">
        <v>22</v>
      </c>
      <c r="M5431" t="s" s="2">
        <v>22</v>
      </c>
    </row>
    <row r="5432" ht="25.0" customHeight="true">
      <c r="A5432" t="s" s="2">
        <v>13</v>
      </c>
      <c r="B5432" t="s" s="2">
        <f>HYPERLINK("http://ts.21cn.com/tousu/show/id/1368184","爱又米广告骚扰")</f>
      </c>
      <c r="C5432" t="s" s="2">
        <v>15</v>
      </c>
      <c r="D5432" t="s" s="2">
        <v>16</v>
      </c>
      <c r="E5432" t="s" s="2">
        <v>17</v>
      </c>
      <c r="F5432" t="s" s="2">
        <f>HYPERLINK("http://ts.21cn.com/tousu/show/id/1368184","http://ts.21cn.com/tousu/show/id/1368184")</f>
      </c>
      <c r="G5432" t="s" s="2">
        <v>17</v>
      </c>
      <c r="H5432" t="s" s="2">
        <v>19</v>
      </c>
      <c r="I5432" t="s" s="2">
        <v>21063</v>
      </c>
      <c r="J5432" t="s" s="2">
        <v>21064</v>
      </c>
      <c r="K5432" t="s" s="2">
        <v>22</v>
      </c>
      <c r="L5432" t="s" s="2">
        <v>22</v>
      </c>
      <c r="M5432" t="s" s="2">
        <v>22</v>
      </c>
    </row>
    <row r="5433" ht="25.0" customHeight="true">
      <c r="A5433" t="s" s="2">
        <v>13</v>
      </c>
      <c r="B5433" t="s" s="2">
        <f>HYPERLINK("http://ts.21cn.com/tousu/show/id/1368180","收取服务费，咨询费")</f>
      </c>
      <c r="C5433" t="s" s="2">
        <v>52</v>
      </c>
      <c r="D5433" t="s" s="2">
        <v>16</v>
      </c>
      <c r="E5433" t="s" s="2">
        <v>17</v>
      </c>
      <c r="F5433" t="s" s="2">
        <f>HYPERLINK("http://ts.21cn.com/tousu/show/id/1368180","http://ts.21cn.com/tousu/show/id/1368180")</f>
      </c>
      <c r="G5433" t="s" s="2">
        <v>17</v>
      </c>
      <c r="H5433" t="s" s="2">
        <v>19</v>
      </c>
      <c r="I5433" t="s" s="2">
        <v>21067</v>
      </c>
      <c r="J5433" t="s" s="2">
        <v>21068</v>
      </c>
      <c r="K5433" t="s" s="2">
        <v>22</v>
      </c>
      <c r="L5433" t="s" s="2">
        <v>22</v>
      </c>
      <c r="M5433" t="s" s="2">
        <v>22</v>
      </c>
    </row>
    <row r="5434" ht="25.0" customHeight="true">
      <c r="A5434" t="s" s="2">
        <v>13</v>
      </c>
      <c r="B5434" t="s" s="2">
        <f>HYPERLINK("http://ts.21cn.com/tousu/show/id/1368181","闪电借款砍头息")</f>
      </c>
      <c r="C5434" t="s" s="2">
        <v>52</v>
      </c>
      <c r="D5434" t="s" s="2">
        <v>16</v>
      </c>
      <c r="E5434" t="s" s="2">
        <v>17</v>
      </c>
      <c r="F5434" t="s" s="2">
        <f>HYPERLINK("http://ts.21cn.com/tousu/show/id/1368181","http://ts.21cn.com/tousu/show/id/1368181")</f>
      </c>
      <c r="G5434" t="s" s="2">
        <v>17</v>
      </c>
      <c r="H5434" t="s" s="2">
        <v>19</v>
      </c>
      <c r="I5434" t="s" s="2">
        <v>21071</v>
      </c>
      <c r="J5434" t="s" s="2">
        <v>21072</v>
      </c>
      <c r="K5434" t="s" s="2">
        <v>22</v>
      </c>
      <c r="L5434" t="s" s="2">
        <v>22</v>
      </c>
      <c r="M5434" t="s" s="2">
        <v>22</v>
      </c>
    </row>
    <row r="5435" ht="25.0" customHeight="true">
      <c r="A5435" t="s" s="2">
        <v>13</v>
      </c>
      <c r="B5435" t="s" s="2">
        <f>HYPERLINK("http://ts.21cn.com/tousu/show/id/1368179","小花钱包中腾信")</f>
      </c>
      <c r="C5435" t="s" s="2">
        <v>52</v>
      </c>
      <c r="D5435" t="s" s="2">
        <v>16</v>
      </c>
      <c r="E5435" t="s" s="2">
        <v>17</v>
      </c>
      <c r="F5435" t="s" s="2">
        <f>HYPERLINK("http://ts.21cn.com/tousu/show/id/1368179","http://ts.21cn.com/tousu/show/id/1368179")</f>
      </c>
      <c r="G5435" t="s" s="2">
        <v>17</v>
      </c>
      <c r="H5435" t="s" s="2">
        <v>19</v>
      </c>
      <c r="I5435" t="s" s="2">
        <v>21075</v>
      </c>
      <c r="J5435" t="s" s="2">
        <v>21076</v>
      </c>
      <c r="K5435" t="s" s="2">
        <v>22</v>
      </c>
      <c r="L5435" t="s" s="2">
        <v>22</v>
      </c>
      <c r="M5435" t="s" s="2">
        <v>22</v>
      </c>
    </row>
    <row r="5436" ht="25.0" customHeight="true">
      <c r="A5436" t="s" s="2">
        <v>13</v>
      </c>
      <c r="B5436" t="s" s="2">
        <f>HYPERLINK("http://ts.21cn.com/tousu/show/id/1368178","暴力催收，严重骚扰")</f>
      </c>
      <c r="C5436" t="s" s="2">
        <v>15</v>
      </c>
      <c r="D5436" t="s" s="2">
        <v>16</v>
      </c>
      <c r="E5436" t="s" s="2">
        <v>17</v>
      </c>
      <c r="F5436" t="s" s="2">
        <f>HYPERLINK("http://ts.21cn.com/tousu/show/id/1368178","http://ts.21cn.com/tousu/show/id/1368178")</f>
      </c>
      <c r="G5436" t="s" s="2">
        <v>17</v>
      </c>
      <c r="H5436" t="s" s="2">
        <v>19</v>
      </c>
      <c r="I5436" t="s" s="2">
        <v>21079</v>
      </c>
      <c r="J5436" t="s" s="2">
        <v>21080</v>
      </c>
      <c r="K5436" t="s" s="2">
        <v>22</v>
      </c>
      <c r="L5436" t="s" s="2">
        <v>22</v>
      </c>
      <c r="M5436" t="s" s="2">
        <v>22</v>
      </c>
    </row>
    <row r="5437" ht="25.0" customHeight="true">
      <c r="A5437" t="s" s="2">
        <v>13</v>
      </c>
      <c r="B5437" t="s" s="2">
        <f>HYPERLINK("http://ts.21cn.com/tousu/show/id/1368177","丰趣海淘拖欠员工工资，强制执行也没用")</f>
      </c>
      <c r="C5437" t="s" s="2">
        <v>15</v>
      </c>
      <c r="D5437" t="s" s="2">
        <v>16</v>
      </c>
      <c r="E5437" t="s" s="2">
        <v>17</v>
      </c>
      <c r="F5437" t="s" s="2">
        <f>HYPERLINK("http://ts.21cn.com/tousu/show/id/1368177","http://ts.21cn.com/tousu/show/id/1368177")</f>
      </c>
      <c r="G5437" t="s" s="2">
        <v>17</v>
      </c>
      <c r="H5437" t="s" s="2">
        <v>19</v>
      </c>
      <c r="I5437" t="s" s="2">
        <v>21079</v>
      </c>
      <c r="J5437" t="s" s="2">
        <v>21082</v>
      </c>
      <c r="K5437" t="s" s="2">
        <v>22</v>
      </c>
      <c r="L5437" t="s" s="2">
        <v>22</v>
      </c>
      <c r="M5437" t="s" s="2">
        <v>22</v>
      </c>
    </row>
    <row r="5438" ht="25.0" customHeight="true">
      <c r="A5438" t="s" s="2">
        <v>13</v>
      </c>
      <c r="B5438" t="s" s="2">
        <f>HYPERLINK("http://ts.21cn.com/tousu/show/id/1368174","借贷宝催收无休止骚扰我工作生活")</f>
      </c>
      <c r="C5438" t="s" s="2">
        <v>15</v>
      </c>
      <c r="D5438" t="s" s="2">
        <v>16</v>
      </c>
      <c r="E5438" t="s" s="2">
        <v>17</v>
      </c>
      <c r="F5438" t="s" s="2">
        <f>HYPERLINK("http://ts.21cn.com/tousu/show/id/1368174","http://ts.21cn.com/tousu/show/id/1368174")</f>
      </c>
      <c r="G5438" t="s" s="2">
        <v>17</v>
      </c>
      <c r="H5438" t="s" s="2">
        <v>19</v>
      </c>
      <c r="I5438" t="s" s="2">
        <v>21085</v>
      </c>
      <c r="J5438" t="s" s="2">
        <v>21086</v>
      </c>
      <c r="K5438" t="s" s="2">
        <v>22</v>
      </c>
      <c r="L5438" t="s" s="2">
        <v>22</v>
      </c>
      <c r="M5438" t="s" s="2">
        <v>22</v>
      </c>
    </row>
    <row r="5439" ht="25.0" customHeight="true">
      <c r="A5439" t="s" s="2">
        <v>13</v>
      </c>
      <c r="B5439" t="s" s="2">
        <f>HYPERLINK("http://ts.21cn.com/tousu/show/id/1368175","民航办卡用处不符")</f>
      </c>
      <c r="C5439" t="s" s="2">
        <v>15</v>
      </c>
      <c r="D5439" t="s" s="2">
        <v>16</v>
      </c>
      <c r="E5439" t="s" s="2">
        <v>17</v>
      </c>
      <c r="F5439" t="s" s="2">
        <f>HYPERLINK("http://ts.21cn.com/tousu/show/id/1368175","http://ts.21cn.com/tousu/show/id/1368175")</f>
      </c>
      <c r="G5439" t="s" s="2">
        <v>17</v>
      </c>
      <c r="H5439" t="s" s="2">
        <v>19</v>
      </c>
      <c r="I5439" t="s" s="2">
        <v>21089</v>
      </c>
      <c r="J5439" t="s" s="2">
        <v>21090</v>
      </c>
      <c r="K5439" t="s" s="2">
        <v>22</v>
      </c>
      <c r="L5439" t="s" s="2">
        <v>22</v>
      </c>
      <c r="M5439" t="s" s="2">
        <v>22</v>
      </c>
    </row>
    <row r="5440" ht="25.0" customHeight="true">
      <c r="A5440" t="s" s="2">
        <v>13</v>
      </c>
      <c r="B5440" t="s" s="2">
        <f>HYPERLINK("http://ts.21cn.com/tousu/show/id/1368173","招商银行信用卡中心法务部恐吓软暴力催收")</f>
      </c>
      <c r="C5440" t="s" s="2">
        <v>15</v>
      </c>
      <c r="D5440" t="s" s="2">
        <v>16</v>
      </c>
      <c r="E5440" t="s" s="2">
        <v>17</v>
      </c>
      <c r="F5440" t="s" s="2">
        <f>HYPERLINK("http://ts.21cn.com/tousu/show/id/1368173","http://ts.21cn.com/tousu/show/id/1368173")</f>
      </c>
      <c r="G5440" t="s" s="2">
        <v>17</v>
      </c>
      <c r="H5440" t="s" s="2">
        <v>19</v>
      </c>
      <c r="I5440" t="s" s="2">
        <v>21093</v>
      </c>
      <c r="J5440" t="s" s="2">
        <v>21094</v>
      </c>
      <c r="K5440" t="s" s="2">
        <v>22</v>
      </c>
      <c r="L5440" t="s" s="2">
        <v>22</v>
      </c>
      <c r="M5440" t="s" s="2">
        <v>22</v>
      </c>
    </row>
    <row r="5441" ht="25.0" customHeight="true">
      <c r="A5441" t="s" s="2">
        <v>13</v>
      </c>
      <c r="B5441" t="s" s="2">
        <f>HYPERLINK("http://ts.21cn.com/tousu/show/id/1368172","蜂鸟众包不让提现")</f>
      </c>
      <c r="C5441" t="s" s="2">
        <v>15</v>
      </c>
      <c r="D5441" t="s" s="2">
        <v>16</v>
      </c>
      <c r="E5441" t="s" s="2">
        <v>17</v>
      </c>
      <c r="F5441" t="s" s="2">
        <f>HYPERLINK("http://ts.21cn.com/tousu/show/id/1368172","http://ts.21cn.com/tousu/show/id/1368172")</f>
      </c>
      <c r="G5441" t="s" s="2">
        <v>17</v>
      </c>
      <c r="H5441" t="s" s="2">
        <v>19</v>
      </c>
      <c r="I5441" t="s" s="2">
        <v>21097</v>
      </c>
      <c r="J5441" t="s" s="2">
        <v>21098</v>
      </c>
      <c r="K5441" t="s" s="2">
        <v>22</v>
      </c>
      <c r="L5441" t="s" s="2">
        <v>22</v>
      </c>
      <c r="M5441" t="s" s="2">
        <v>22</v>
      </c>
    </row>
    <row r="5442" ht="25.0" customHeight="true">
      <c r="A5442" t="s" s="2">
        <v>13</v>
      </c>
      <c r="B5442" t="s" s="2">
        <f>HYPERLINK("http://ts.21cn.com/tousu/show/id/1368171","欺诈客户购买游戏充值卡")</f>
      </c>
      <c r="C5442" t="s" s="2">
        <v>15</v>
      </c>
      <c r="D5442" t="s" s="2">
        <v>16</v>
      </c>
      <c r="E5442" t="s" s="2">
        <v>17</v>
      </c>
      <c r="F5442" t="s" s="2">
        <f>HYPERLINK("http://ts.21cn.com/tousu/show/id/1368171","http://ts.21cn.com/tousu/show/id/1368171")</f>
      </c>
      <c r="G5442" t="s" s="2">
        <v>17</v>
      </c>
      <c r="H5442" t="s" s="2">
        <v>19</v>
      </c>
      <c r="I5442" t="s" s="2">
        <v>21101</v>
      </c>
      <c r="J5442" t="s" s="2">
        <v>21102</v>
      </c>
      <c r="K5442" t="s" s="2">
        <v>22</v>
      </c>
      <c r="L5442" t="s" s="2">
        <v>22</v>
      </c>
      <c r="M5442" t="s" s="2">
        <v>22</v>
      </c>
    </row>
    <row r="5443" ht="25.0" customHeight="true">
      <c r="A5443" t="s" s="2">
        <v>13</v>
      </c>
      <c r="B5443" t="s" s="2">
        <f>HYPERLINK("http://ts.21cn.com/tousu/show/id/1368170","人人花，未经用户允许，私自扣费")</f>
      </c>
      <c r="C5443" t="s" s="2">
        <v>15</v>
      </c>
      <c r="D5443" t="s" s="2">
        <v>16</v>
      </c>
      <c r="E5443" t="s" s="2">
        <v>17</v>
      </c>
      <c r="F5443" t="s" s="2">
        <f>HYPERLINK("http://ts.21cn.com/tousu/show/id/1368170","http://ts.21cn.com/tousu/show/id/1368170")</f>
      </c>
      <c r="G5443" t="s" s="2">
        <v>17</v>
      </c>
      <c r="H5443" t="s" s="2">
        <v>19</v>
      </c>
      <c r="I5443" t="s" s="2">
        <v>21105</v>
      </c>
      <c r="J5443" t="s" s="2">
        <v>21106</v>
      </c>
      <c r="K5443" t="s" s="2">
        <v>22</v>
      </c>
      <c r="L5443" t="s" s="2">
        <v>22</v>
      </c>
      <c r="M5443" t="s" s="2">
        <v>22</v>
      </c>
    </row>
    <row r="5444" ht="25.0" customHeight="true">
      <c r="A5444" t="s" s="2">
        <v>13</v>
      </c>
      <c r="B5444" t="s" s="2">
        <f>HYPERLINK("http://ts.21cn.com/tousu/show/id/1368169","微粒贷威胁逼我，我不想活了")</f>
      </c>
      <c r="C5444" t="s" s="2">
        <v>15</v>
      </c>
      <c r="D5444" t="s" s="2">
        <v>16</v>
      </c>
      <c r="E5444" t="s" s="2">
        <v>17</v>
      </c>
      <c r="F5444" t="s" s="2">
        <f>HYPERLINK("http://ts.21cn.com/tousu/show/id/1368169","http://ts.21cn.com/tousu/show/id/1368169")</f>
      </c>
      <c r="G5444" t="s" s="2">
        <v>17</v>
      </c>
      <c r="H5444" t="s" s="2">
        <v>19</v>
      </c>
      <c r="I5444" t="s" s="2">
        <v>21109</v>
      </c>
      <c r="J5444" t="s" s="2">
        <v>21110</v>
      </c>
      <c r="K5444" t="s" s="2">
        <v>22</v>
      </c>
      <c r="L5444" t="s" s="2">
        <v>22</v>
      </c>
      <c r="M5444" t="s" s="2">
        <v>22</v>
      </c>
    </row>
    <row r="5445" ht="25.0" customHeight="true">
      <c r="A5445" t="s" s="2">
        <v>13</v>
      </c>
      <c r="B5445" t="s" s="2">
        <f>HYPERLINK("http://ts.21cn.com/tousu/show/id/1368120","钱站利息高")</f>
      </c>
      <c r="C5445" t="s" s="2">
        <v>15</v>
      </c>
      <c r="D5445" t="s" s="2">
        <v>16</v>
      </c>
      <c r="E5445" t="s" s="2">
        <v>17</v>
      </c>
      <c r="F5445" t="s" s="2">
        <f>HYPERLINK("http://ts.21cn.com/tousu/show/id/1368120","http://ts.21cn.com/tousu/show/id/1368120")</f>
      </c>
      <c r="G5445" t="s" s="2">
        <v>17</v>
      </c>
      <c r="H5445" t="s" s="2">
        <v>19</v>
      </c>
      <c r="I5445" t="s" s="2">
        <v>21113</v>
      </c>
      <c r="J5445" t="s" s="2">
        <v>21114</v>
      </c>
      <c r="K5445" t="s" s="2">
        <v>22</v>
      </c>
      <c r="L5445" t="s" s="2">
        <v>22</v>
      </c>
      <c r="M5445" t="s" s="2">
        <v>22</v>
      </c>
    </row>
    <row r="5446" ht="25.0" customHeight="true">
      <c r="A5446" t="s" s="2">
        <v>13</v>
      </c>
      <c r="B5446" t="s" s="2">
        <f>HYPERLINK("http://ts.21cn.com/tousu/show/id/1368129","银盛支付刷卡298元未到账")</f>
      </c>
      <c r="C5446" t="s" s="2">
        <v>15</v>
      </c>
      <c r="D5446" t="s" s="2">
        <v>16</v>
      </c>
      <c r="E5446" t="s" s="2">
        <v>17</v>
      </c>
      <c r="F5446" t="s" s="2">
        <f>HYPERLINK("http://ts.21cn.com/tousu/show/id/1368129","http://ts.21cn.com/tousu/show/id/1368129")</f>
      </c>
      <c r="G5446" t="s" s="2">
        <v>17</v>
      </c>
      <c r="H5446" t="s" s="2">
        <v>19</v>
      </c>
      <c r="I5446" t="s" s="2">
        <v>21113</v>
      </c>
      <c r="J5446" t="s" s="2">
        <v>21117</v>
      </c>
      <c r="K5446" t="s" s="2">
        <v>22</v>
      </c>
      <c r="L5446" t="s" s="2">
        <v>22</v>
      </c>
      <c r="M5446" t="s" s="2">
        <v>22</v>
      </c>
    </row>
    <row r="5447" ht="25.0" customHeight="true">
      <c r="A5447" t="s" s="2">
        <v>13</v>
      </c>
      <c r="B5447" t="s" s="2">
        <f>HYPERLINK("http://ts.21cn.com/tousu/show/id/1368167","714高利贷，强行放款。")</f>
      </c>
      <c r="C5447" t="s" s="2">
        <v>15</v>
      </c>
      <c r="D5447" t="s" s="2">
        <v>16</v>
      </c>
      <c r="E5447" t="s" s="2">
        <v>17</v>
      </c>
      <c r="F5447" t="s" s="2">
        <f>HYPERLINK("http://ts.21cn.com/tousu/show/id/1368167","http://ts.21cn.com/tousu/show/id/1368167")</f>
      </c>
      <c r="G5447" t="s" s="2">
        <v>17</v>
      </c>
      <c r="H5447" t="s" s="2">
        <v>19</v>
      </c>
      <c r="I5447" t="s" s="2">
        <v>21120</v>
      </c>
      <c r="J5447" t="s" s="2">
        <v>21121</v>
      </c>
      <c r="K5447" t="s" s="2">
        <v>22</v>
      </c>
      <c r="L5447" t="s" s="2">
        <v>22</v>
      </c>
      <c r="M5447" t="s" s="2">
        <v>22</v>
      </c>
    </row>
    <row r="5448" ht="25.0" customHeight="true">
      <c r="A5448" t="s" s="2">
        <v>13</v>
      </c>
      <c r="B5448" t="s" s="2">
        <f>HYPERLINK("http://ts.21cn.com/tousu/show/id/1368166","盗取通讯录，贩卖个人信息，暴力催收")</f>
      </c>
      <c r="C5448" t="s" s="2">
        <v>15</v>
      </c>
      <c r="D5448" t="s" s="2">
        <v>16</v>
      </c>
      <c r="E5448" t="s" s="2">
        <v>17</v>
      </c>
      <c r="F5448" t="s" s="2">
        <f>HYPERLINK("http://ts.21cn.com/tousu/show/id/1368166","http://ts.21cn.com/tousu/show/id/1368166")</f>
      </c>
      <c r="G5448" t="s" s="2">
        <v>17</v>
      </c>
      <c r="H5448" t="s" s="2">
        <v>19</v>
      </c>
      <c r="I5448" t="s" s="2">
        <v>21124</v>
      </c>
      <c r="J5448" t="s" s="2">
        <v>21125</v>
      </c>
      <c r="K5448" t="s" s="2">
        <v>22</v>
      </c>
      <c r="L5448" t="s" s="2">
        <v>22</v>
      </c>
      <c r="M5448" t="s" s="2">
        <v>22</v>
      </c>
    </row>
    <row r="5449" ht="25.0" customHeight="true">
      <c r="A5449" t="s" s="2">
        <v>13</v>
      </c>
      <c r="B5449" t="s" s="2">
        <f>HYPERLINK("http://ts.21cn.com/tousu/show/id/1368165","你我贷高利息逾期几天就骂人")</f>
      </c>
      <c r="C5449" t="s" s="2">
        <v>15</v>
      </c>
      <c r="D5449" t="s" s="2">
        <v>16</v>
      </c>
      <c r="E5449" t="s" s="2">
        <v>17</v>
      </c>
      <c r="F5449" t="s" s="2">
        <f>HYPERLINK("http://ts.21cn.com/tousu/show/id/1368165","http://ts.21cn.com/tousu/show/id/1368165")</f>
      </c>
      <c r="G5449" t="s" s="2">
        <v>17</v>
      </c>
      <c r="H5449" t="s" s="2">
        <v>19</v>
      </c>
      <c r="I5449" t="s" s="2">
        <v>21128</v>
      </c>
      <c r="J5449" t="s" s="2">
        <v>21129</v>
      </c>
      <c r="K5449" t="s" s="2">
        <v>22</v>
      </c>
      <c r="L5449" t="s" s="2">
        <v>22</v>
      </c>
      <c r="M5449" t="s" s="2">
        <v>22</v>
      </c>
    </row>
    <row r="5450" ht="25.0" customHeight="true">
      <c r="A5450" t="s" s="2">
        <v>13</v>
      </c>
      <c r="B5450" t="s" s="2">
        <f>HYPERLINK("http://ts.21cn.com/tousu/show/id/1368164","小赢卡贷暴力催收，恐吓，威胁")</f>
      </c>
      <c r="C5450" t="s" s="2">
        <v>15</v>
      </c>
      <c r="D5450" t="s" s="2">
        <v>16</v>
      </c>
      <c r="E5450" t="s" s="2">
        <v>17</v>
      </c>
      <c r="F5450" t="s" s="2">
        <f>HYPERLINK("http://ts.21cn.com/tousu/show/id/1368164","http://ts.21cn.com/tousu/show/id/1368164")</f>
      </c>
      <c r="G5450" t="s" s="2">
        <v>17</v>
      </c>
      <c r="H5450" t="s" s="2">
        <v>19</v>
      </c>
      <c r="I5450" t="s" s="2">
        <v>21132</v>
      </c>
      <c r="J5450" t="s" s="2">
        <v>21133</v>
      </c>
      <c r="K5450" t="s" s="2">
        <v>22</v>
      </c>
      <c r="L5450" t="s" s="2">
        <v>22</v>
      </c>
      <c r="M5450" t="s" s="2">
        <v>22</v>
      </c>
    </row>
    <row r="5451" ht="25.0" customHeight="true">
      <c r="A5451" t="s" s="2">
        <v>13</v>
      </c>
      <c r="B5451" t="s" s="2">
        <f>HYPERLINK("http://ts.21cn.com/tousu/show/id/1368163","违法套路贷款威胁本人还款")</f>
      </c>
      <c r="C5451" t="s" s="2">
        <v>15</v>
      </c>
      <c r="D5451" t="s" s="2">
        <v>16</v>
      </c>
      <c r="E5451" t="s" s="2">
        <v>17</v>
      </c>
      <c r="F5451" t="s" s="2">
        <f>HYPERLINK("http://ts.21cn.com/tousu/show/id/1368163","http://ts.21cn.com/tousu/show/id/1368163")</f>
      </c>
      <c r="G5451" t="s" s="2">
        <v>17</v>
      </c>
      <c r="H5451" t="s" s="2">
        <v>19</v>
      </c>
      <c r="I5451" t="s" s="2">
        <v>21136</v>
      </c>
      <c r="J5451" t="s" s="2">
        <v>21137</v>
      </c>
      <c r="K5451" t="s" s="2">
        <v>22</v>
      </c>
      <c r="L5451" t="s" s="2">
        <v>22</v>
      </c>
      <c r="M5451" t="s" s="2">
        <v>22</v>
      </c>
    </row>
    <row r="5452" ht="25.0" customHeight="true">
      <c r="A5452" t="s" s="2">
        <v>13</v>
      </c>
      <c r="B5452" t="s" s="2">
        <f>HYPERLINK("http://ts.21cn.com/tousu/show/id/1368162","钱站吃人不吐骨头")</f>
      </c>
      <c r="C5452" t="s" s="2">
        <v>15</v>
      </c>
      <c r="D5452" t="s" s="2">
        <v>16</v>
      </c>
      <c r="E5452" t="s" s="2">
        <v>17</v>
      </c>
      <c r="F5452" t="s" s="2">
        <f>HYPERLINK("http://ts.21cn.com/tousu/show/id/1368162","http://ts.21cn.com/tousu/show/id/1368162")</f>
      </c>
      <c r="G5452" t="s" s="2">
        <v>17</v>
      </c>
      <c r="H5452" t="s" s="2">
        <v>19</v>
      </c>
      <c r="I5452" t="s" s="2">
        <v>21140</v>
      </c>
      <c r="J5452" t="s" s="2">
        <v>21141</v>
      </c>
      <c r="K5452" t="s" s="2">
        <v>22</v>
      </c>
      <c r="L5452" t="s" s="2">
        <v>22</v>
      </c>
      <c r="M5452" t="s" s="2">
        <v>22</v>
      </c>
    </row>
    <row r="5453" ht="25.0" customHeight="true">
      <c r="A5453" t="s" s="2">
        <v>13</v>
      </c>
      <c r="B5453" t="s" s="2">
        <f>HYPERLINK("http://ts.21cn.com/tousu/show/id/1368161","友信虚假合同10万合同到手7万，已还10万，还要还多3万")</f>
      </c>
      <c r="C5453" t="s" s="2">
        <v>15</v>
      </c>
      <c r="D5453" t="s" s="2">
        <v>16</v>
      </c>
      <c r="E5453" t="s" s="2">
        <v>17</v>
      </c>
      <c r="F5453" t="s" s="2">
        <f>HYPERLINK("http://ts.21cn.com/tousu/show/id/1368161","http://ts.21cn.com/tousu/show/id/1368161")</f>
      </c>
      <c r="G5453" t="s" s="2">
        <v>17</v>
      </c>
      <c r="H5453" t="s" s="2">
        <v>19</v>
      </c>
      <c r="I5453" t="s" s="2">
        <v>21140</v>
      </c>
      <c r="J5453" t="s" s="2">
        <v>21144</v>
      </c>
      <c r="K5453" t="s" s="2">
        <v>22</v>
      </c>
      <c r="L5453" t="s" s="2">
        <v>22</v>
      </c>
      <c r="M5453" t="s" s="2">
        <v>22</v>
      </c>
    </row>
    <row r="5454" ht="25.0" customHeight="true">
      <c r="A5454" t="s" s="2">
        <v>13</v>
      </c>
      <c r="B5454" t="s" s="2">
        <f>HYPERLINK("http://ts.21cn.com/tousu/show/id/1368159","拍拍贷高利贷软暴力催收")</f>
      </c>
      <c r="C5454" t="s" s="2">
        <v>15</v>
      </c>
      <c r="D5454" t="s" s="2">
        <v>16</v>
      </c>
      <c r="E5454" t="s" s="2">
        <v>17</v>
      </c>
      <c r="F5454" t="s" s="2">
        <f>HYPERLINK("http://ts.21cn.com/tousu/show/id/1368159","http://ts.21cn.com/tousu/show/id/1368159")</f>
      </c>
      <c r="G5454" t="s" s="2">
        <v>17</v>
      </c>
      <c r="H5454" t="s" s="2">
        <v>19</v>
      </c>
      <c r="I5454" t="s" s="2">
        <v>21147</v>
      </c>
      <c r="J5454" t="s" s="2">
        <v>21148</v>
      </c>
      <c r="K5454" t="s" s="2">
        <v>22</v>
      </c>
      <c r="L5454" t="s" s="2">
        <v>22</v>
      </c>
      <c r="M5454" t="s" s="2">
        <v>22</v>
      </c>
    </row>
    <row r="5455" ht="25.0" customHeight="true">
      <c r="A5455" t="s" s="2">
        <v>13</v>
      </c>
      <c r="B5455" t="s" s="2">
        <f>HYPERLINK("http://ts.21cn.com/tousu/show/id/1368158","投诉滴滴快车司机绕路装傻，走的路线拥堵")</f>
      </c>
      <c r="C5455" t="s" s="2">
        <v>15</v>
      </c>
      <c r="D5455" t="s" s="2">
        <v>16</v>
      </c>
      <c r="E5455" t="s" s="2">
        <v>17</v>
      </c>
      <c r="F5455" t="s" s="2">
        <f>HYPERLINK("http://ts.21cn.com/tousu/show/id/1368158","http://ts.21cn.com/tousu/show/id/1368158")</f>
      </c>
      <c r="G5455" t="s" s="2">
        <v>17</v>
      </c>
      <c r="H5455" t="s" s="2">
        <v>19</v>
      </c>
      <c r="I5455" t="s" s="2">
        <v>21151</v>
      </c>
      <c r="J5455" t="s" s="2">
        <v>21152</v>
      </c>
      <c r="K5455" t="s" s="2">
        <v>22</v>
      </c>
      <c r="L5455" t="s" s="2">
        <v>22</v>
      </c>
      <c r="M5455" t="s" s="2">
        <v>22</v>
      </c>
    </row>
    <row r="5456" ht="25.0" customHeight="true">
      <c r="A5456" t="s" s="2">
        <v>13</v>
      </c>
      <c r="B5456" t="s" s="2">
        <f>HYPERLINK("http://ts.21cn.com/tousu/show/id/1368157","豹子贷退款")</f>
      </c>
      <c r="C5456" t="s" s="2">
        <v>52</v>
      </c>
      <c r="D5456" t="s" s="2">
        <v>16</v>
      </c>
      <c r="E5456" t="s" s="2">
        <v>17</v>
      </c>
      <c r="F5456" t="s" s="2">
        <f>HYPERLINK("http://ts.21cn.com/tousu/show/id/1368157","http://ts.21cn.com/tousu/show/id/1368157")</f>
      </c>
      <c r="G5456" t="s" s="2">
        <v>17</v>
      </c>
      <c r="H5456" t="s" s="2">
        <v>19</v>
      </c>
      <c r="I5456" t="s" s="2">
        <v>21155</v>
      </c>
      <c r="J5456" t="s" s="2">
        <v>21156</v>
      </c>
      <c r="K5456" t="s" s="2">
        <v>22</v>
      </c>
      <c r="L5456" t="s" s="2">
        <v>22</v>
      </c>
      <c r="M5456" t="s" s="2">
        <v>22</v>
      </c>
    </row>
    <row r="5457" ht="25.0" customHeight="true">
      <c r="A5457" t="s" s="2">
        <v>13</v>
      </c>
      <c r="B5457" t="s" s="2">
        <f>HYPERLINK("http://ts.21cn.com/tousu/show/id/1368143","京东白条暴力催收，骚扰通讯录")</f>
      </c>
      <c r="C5457" t="s" s="2">
        <v>15</v>
      </c>
      <c r="D5457" t="s" s="2">
        <v>16</v>
      </c>
      <c r="E5457" t="s" s="2">
        <v>17</v>
      </c>
      <c r="F5457" t="s" s="2">
        <f>HYPERLINK("http://ts.21cn.com/tousu/show/id/1368143","http://ts.21cn.com/tousu/show/id/1368143")</f>
      </c>
      <c r="G5457" t="s" s="2">
        <v>17</v>
      </c>
      <c r="H5457" t="s" s="2">
        <v>19</v>
      </c>
      <c r="I5457" t="s" s="2">
        <v>21159</v>
      </c>
      <c r="J5457" t="s" s="2">
        <v>21160</v>
      </c>
      <c r="K5457" t="s" s="2">
        <v>22</v>
      </c>
      <c r="L5457" t="s" s="2">
        <v>22</v>
      </c>
      <c r="M5457" t="s" s="2">
        <v>22</v>
      </c>
    </row>
    <row r="5458" ht="25.0" customHeight="true">
      <c r="A5458" t="s" s="2">
        <v>13</v>
      </c>
      <c r="B5458" t="s" s="2">
        <f>HYPERLINK("http://ts.21cn.com/tousu/show/id/1363612","虚假广告没有流水哪来的收入")</f>
      </c>
      <c r="C5458" t="s" s="2">
        <v>15</v>
      </c>
      <c r="D5458" t="s" s="2">
        <v>16</v>
      </c>
      <c r="E5458" t="s" s="2">
        <v>17</v>
      </c>
      <c r="F5458" t="s" s="2">
        <f>HYPERLINK("http://ts.21cn.com/tousu/show/id/1363612","http://ts.21cn.com/tousu/show/id/1363612")</f>
      </c>
      <c r="G5458" t="s" s="2">
        <v>17</v>
      </c>
      <c r="H5458" t="s" s="2">
        <v>19</v>
      </c>
      <c r="I5458" t="s" s="2">
        <v>21163</v>
      </c>
      <c r="J5458" t="s" s="2">
        <v>21164</v>
      </c>
      <c r="K5458" t="s" s="2">
        <v>22</v>
      </c>
      <c r="L5458" t="s" s="2">
        <v>22</v>
      </c>
      <c r="M5458" t="s" s="2">
        <v>22</v>
      </c>
    </row>
    <row r="5459" ht="25.0" customHeight="true">
      <c r="A5459" t="s" s="2">
        <v>13</v>
      </c>
      <c r="B5459" t="s" s="2">
        <f>HYPERLINK("http://ts.21cn.com/tousu/show/id/1368156","卖家发送假的虚假链接，实际付款给了京东平台的商户，现要求京东处理退款赔偿")</f>
      </c>
      <c r="C5459" t="s" s="2">
        <v>15</v>
      </c>
      <c r="D5459" t="s" s="2">
        <v>16</v>
      </c>
      <c r="E5459" t="s" s="2">
        <v>17</v>
      </c>
      <c r="F5459" t="s" s="2">
        <f>HYPERLINK("http://ts.21cn.com/tousu/show/id/1368156","http://ts.21cn.com/tousu/show/id/1368156")</f>
      </c>
      <c r="G5459" t="s" s="2">
        <v>17</v>
      </c>
      <c r="H5459" t="s" s="2">
        <v>19</v>
      </c>
      <c r="I5459" t="s" s="2">
        <v>21167</v>
      </c>
      <c r="J5459" t="s" s="2">
        <v>21168</v>
      </c>
      <c r="K5459" t="s" s="2">
        <v>22</v>
      </c>
      <c r="L5459" t="s" s="2">
        <v>22</v>
      </c>
      <c r="M5459" t="s" s="2">
        <v>22</v>
      </c>
    </row>
    <row r="5460" ht="25.0" customHeight="true">
      <c r="A5460" t="s" s="2">
        <v>13</v>
      </c>
      <c r="B5460" t="s" s="2">
        <f>HYPERLINK("http://ts.21cn.com/tousu/show/id/1368155","我自己的淘宝会员名为什么不能改")</f>
      </c>
      <c r="C5460" t="s" s="2">
        <v>15</v>
      </c>
      <c r="D5460" t="s" s="2">
        <v>16</v>
      </c>
      <c r="E5460" t="s" s="2">
        <v>17</v>
      </c>
      <c r="F5460" t="s" s="2">
        <f>HYPERLINK("http://ts.21cn.com/tousu/show/id/1368155","http://ts.21cn.com/tousu/show/id/1368155")</f>
      </c>
      <c r="G5460" t="s" s="2">
        <v>17</v>
      </c>
      <c r="H5460" t="s" s="2">
        <v>19</v>
      </c>
      <c r="I5460" t="s" s="2">
        <v>21171</v>
      </c>
      <c r="J5460" t="s" s="2">
        <v>21172</v>
      </c>
      <c r="K5460" t="s" s="2">
        <v>22</v>
      </c>
      <c r="L5460" t="s" s="2">
        <v>22</v>
      </c>
      <c r="M5460" t="s" s="2">
        <v>22</v>
      </c>
    </row>
    <row r="5461" ht="25.0" customHeight="true">
      <c r="A5461" t="s" s="2">
        <v>13</v>
      </c>
      <c r="B5461" t="s" s="2">
        <f>HYPERLINK("http://ts.21cn.com/tousu/show/id/1368153","短信威胁")</f>
      </c>
      <c r="C5461" t="s" s="2">
        <v>52</v>
      </c>
      <c r="D5461" t="s" s="2">
        <v>16</v>
      </c>
      <c r="E5461" t="s" s="2">
        <v>17</v>
      </c>
      <c r="F5461" t="s" s="2">
        <f>HYPERLINK("http://ts.21cn.com/tousu/show/id/1368153","http://ts.21cn.com/tousu/show/id/1368153")</f>
      </c>
      <c r="G5461" t="s" s="2">
        <v>17</v>
      </c>
      <c r="H5461" t="s" s="2">
        <v>19</v>
      </c>
      <c r="I5461" t="s" s="2">
        <v>21174</v>
      </c>
      <c r="J5461" t="s" s="2">
        <v>21175</v>
      </c>
      <c r="K5461" t="s" s="2">
        <v>22</v>
      </c>
      <c r="L5461" t="s" s="2">
        <v>22</v>
      </c>
      <c r="M5461" t="s" s="2">
        <v>22</v>
      </c>
    </row>
    <row r="5462" ht="25.0" customHeight="true">
      <c r="A5462" t="s" s="2">
        <v>13</v>
      </c>
      <c r="B5462" t="s" s="2">
        <f>HYPERLINK("http://ts.21cn.com/tousu/show/id/1368154","创客工具箱为何乱标注我的淘宝帐号被降权")</f>
      </c>
      <c r="C5462" t="s" s="2">
        <v>15</v>
      </c>
      <c r="D5462" t="s" s="2">
        <v>16</v>
      </c>
      <c r="E5462" t="s" s="2">
        <v>17</v>
      </c>
      <c r="F5462" t="s" s="2">
        <f>HYPERLINK("http://ts.21cn.com/tousu/show/id/1368154","http://ts.21cn.com/tousu/show/id/1368154")</f>
      </c>
      <c r="G5462" t="s" s="2">
        <v>17</v>
      </c>
      <c r="H5462" t="s" s="2">
        <v>19</v>
      </c>
      <c r="I5462" t="s" s="2">
        <v>21178</v>
      </c>
      <c r="J5462" t="s" s="2">
        <v>21179</v>
      </c>
      <c r="K5462" t="s" s="2">
        <v>22</v>
      </c>
      <c r="L5462" t="s" s="2">
        <v>22</v>
      </c>
      <c r="M5462" t="s" s="2">
        <v>22</v>
      </c>
    </row>
    <row r="5463" ht="25.0" customHeight="true">
      <c r="A5463" t="s" s="2">
        <v>13</v>
      </c>
      <c r="B5463" t="s" s="2">
        <f>HYPERLINK("http://ts.21cn.com/tousu/show/id/1368150","希望闪电处理我的问题")</f>
      </c>
      <c r="C5463" t="s" s="2">
        <v>52</v>
      </c>
      <c r="D5463" t="s" s="2">
        <v>16</v>
      </c>
      <c r="E5463" t="s" s="2">
        <v>17</v>
      </c>
      <c r="F5463" t="s" s="2">
        <f>HYPERLINK("http://ts.21cn.com/tousu/show/id/1368150","http://ts.21cn.com/tousu/show/id/1368150")</f>
      </c>
      <c r="G5463" t="s" s="2">
        <v>17</v>
      </c>
      <c r="H5463" t="s" s="2">
        <v>19</v>
      </c>
      <c r="I5463" t="s" s="2">
        <v>21182</v>
      </c>
      <c r="J5463" t="s" s="2">
        <v>21183</v>
      </c>
      <c r="K5463" t="s" s="2">
        <v>22</v>
      </c>
      <c r="L5463" t="s" s="2">
        <v>22</v>
      </c>
      <c r="M5463" t="s" s="2">
        <v>22</v>
      </c>
    </row>
    <row r="5464" ht="25.0" customHeight="true">
      <c r="A5464" t="s" s="2">
        <v>13</v>
      </c>
      <c r="B5464" t="s" s="2">
        <f>HYPERLINK("http://ts.21cn.com/tousu/show/id/1368152","蛋壳公寓不办理退房手续，电话打过去一直关机")</f>
      </c>
      <c r="C5464" t="s" s="2">
        <v>15</v>
      </c>
      <c r="D5464" t="s" s="2">
        <v>16</v>
      </c>
      <c r="E5464" t="s" s="2">
        <v>17</v>
      </c>
      <c r="F5464" t="s" s="2">
        <f>HYPERLINK("http://ts.21cn.com/tousu/show/id/1368152","http://ts.21cn.com/tousu/show/id/1368152")</f>
      </c>
      <c r="G5464" t="s" s="2">
        <v>17</v>
      </c>
      <c r="H5464" t="s" s="2">
        <v>19</v>
      </c>
      <c r="I5464" t="s" s="2">
        <v>21186</v>
      </c>
      <c r="J5464" t="s" s="2">
        <v>21187</v>
      </c>
      <c r="K5464" t="s" s="2">
        <v>22</v>
      </c>
      <c r="L5464" t="s" s="2">
        <v>22</v>
      </c>
      <c r="M5464" t="s" s="2">
        <v>22</v>
      </c>
    </row>
    <row r="5465" ht="25.0" customHeight="true">
      <c r="A5465" t="s" s="2">
        <v>13</v>
      </c>
      <c r="B5465" t="s" s="2">
        <f>HYPERLINK("http://ts.21cn.com/tousu/show/id/1368151","百事普惠恶意扣款第二次")</f>
      </c>
      <c r="C5465" t="s" s="2">
        <v>15</v>
      </c>
      <c r="D5465" t="s" s="2">
        <v>16</v>
      </c>
      <c r="E5465" t="s" s="2">
        <v>17</v>
      </c>
      <c r="F5465" t="s" s="2">
        <f>HYPERLINK("http://ts.21cn.com/tousu/show/id/1368151","http://ts.21cn.com/tousu/show/id/1368151")</f>
      </c>
      <c r="G5465" t="s" s="2">
        <v>17</v>
      </c>
      <c r="H5465" t="s" s="2">
        <v>19</v>
      </c>
      <c r="I5465" t="s" s="2">
        <v>21190</v>
      </c>
      <c r="J5465" t="s" s="2">
        <v>21191</v>
      </c>
      <c r="K5465" t="s" s="2">
        <v>22</v>
      </c>
      <c r="L5465" t="s" s="2">
        <v>22</v>
      </c>
      <c r="M5465" t="s" s="2">
        <v>22</v>
      </c>
    </row>
    <row r="5466" ht="25.0" customHeight="true">
      <c r="A5466" t="s" s="2">
        <v>13</v>
      </c>
      <c r="B5466" t="s" s="2">
        <f>HYPERLINK("http://ts.21cn.com/tousu/show/id/1368148","淘手游下单不发货，客服电话打不通")</f>
      </c>
      <c r="C5466" t="s" s="2">
        <v>15</v>
      </c>
      <c r="D5466" t="s" s="2">
        <v>16</v>
      </c>
      <c r="E5466" t="s" s="2">
        <v>17</v>
      </c>
      <c r="F5466" t="s" s="2">
        <f>HYPERLINK("http://ts.21cn.com/tousu/show/id/1368148","http://ts.21cn.com/tousu/show/id/1368148")</f>
      </c>
      <c r="G5466" t="s" s="2">
        <v>17</v>
      </c>
      <c r="H5466" t="s" s="2">
        <v>19</v>
      </c>
      <c r="I5466" t="s" s="2">
        <v>21194</v>
      </c>
      <c r="J5466" t="s" s="2">
        <v>21195</v>
      </c>
      <c r="K5466" t="s" s="2">
        <v>22</v>
      </c>
      <c r="L5466" t="s" s="2">
        <v>22</v>
      </c>
      <c r="M5466" t="s" s="2">
        <v>22</v>
      </c>
    </row>
    <row r="5467" ht="25.0" customHeight="true">
      <c r="A5467" t="s" s="2">
        <v>13</v>
      </c>
      <c r="B5467" t="s" s="2">
        <f>HYPERLINK("http://ts.21cn.com/tousu/show/id/1368147","车置宝强制车商付款，车主违约后车置宝不退款")</f>
      </c>
      <c r="C5467" t="s" s="2">
        <v>15</v>
      </c>
      <c r="D5467" t="s" s="2">
        <v>16</v>
      </c>
      <c r="E5467" t="s" s="2">
        <v>17</v>
      </c>
      <c r="F5467" t="s" s="2">
        <f>HYPERLINK("http://ts.21cn.com/tousu/show/id/1368147","http://ts.21cn.com/tousu/show/id/1368147")</f>
      </c>
      <c r="G5467" t="s" s="2">
        <v>17</v>
      </c>
      <c r="H5467" t="s" s="2">
        <v>19</v>
      </c>
      <c r="I5467" t="s" s="2">
        <v>21198</v>
      </c>
      <c r="J5467" t="s" s="2">
        <v>21199</v>
      </c>
      <c r="K5467" t="s" s="2">
        <v>22</v>
      </c>
      <c r="L5467" t="s" s="2">
        <v>22</v>
      </c>
      <c r="M5467" t="s" s="2">
        <v>22</v>
      </c>
    </row>
    <row r="5468" ht="25.0" customHeight="true">
      <c r="A5468" t="s" s="2">
        <v>13</v>
      </c>
      <c r="B5468" t="s" s="2">
        <f>HYPERLINK("http://ts.21cn.com/tousu/show/id/1368146","阿里通电话交费后不能打电话，欺诈")</f>
      </c>
      <c r="C5468" t="s" s="2">
        <v>15</v>
      </c>
      <c r="D5468" t="s" s="2">
        <v>16</v>
      </c>
      <c r="E5468" t="s" s="2">
        <v>17</v>
      </c>
      <c r="F5468" t="s" s="2">
        <f>HYPERLINK("http://ts.21cn.com/tousu/show/id/1368146","http://ts.21cn.com/tousu/show/id/1368146")</f>
      </c>
      <c r="G5468" t="s" s="2">
        <v>17</v>
      </c>
      <c r="H5468" t="s" s="2">
        <v>19</v>
      </c>
      <c r="I5468" t="s" s="2">
        <v>21202</v>
      </c>
      <c r="J5468" t="s" s="2">
        <v>21203</v>
      </c>
      <c r="K5468" t="s" s="2">
        <v>22</v>
      </c>
      <c r="L5468" t="s" s="2">
        <v>22</v>
      </c>
      <c r="M5468" t="s" s="2">
        <v>22</v>
      </c>
    </row>
    <row r="5469" ht="25.0" customHeight="true">
      <c r="A5469" t="s" s="2">
        <v>13</v>
      </c>
      <c r="B5469" t="s" s="2">
        <f>HYPERLINK("http://ts.21cn.com/tousu/show/id/1368145","马上金融暴力催收非法催收")</f>
      </c>
      <c r="C5469" t="s" s="2">
        <v>15</v>
      </c>
      <c r="D5469" t="s" s="2">
        <v>16</v>
      </c>
      <c r="E5469" t="s" s="2">
        <v>17</v>
      </c>
      <c r="F5469" t="s" s="2">
        <f>HYPERLINK("http://ts.21cn.com/tousu/show/id/1368145","http://ts.21cn.com/tousu/show/id/1368145")</f>
      </c>
      <c r="G5469" t="s" s="2">
        <v>17</v>
      </c>
      <c r="H5469" t="s" s="2">
        <v>19</v>
      </c>
      <c r="I5469" t="s" s="2">
        <v>21206</v>
      </c>
      <c r="J5469" t="s" s="2">
        <v>21207</v>
      </c>
      <c r="K5469" t="s" s="2">
        <v>22</v>
      </c>
      <c r="L5469" t="s" s="2">
        <v>22</v>
      </c>
      <c r="M5469" t="s" s="2">
        <v>22</v>
      </c>
    </row>
    <row r="5470" ht="25.0" customHeight="true">
      <c r="A5470" t="s" s="2">
        <v>13</v>
      </c>
      <c r="B5470" t="s" s="2">
        <f>HYPERLINK("http://ts.21cn.com/tousu/show/id/1368142","融360")</f>
      </c>
      <c r="C5470" t="s" s="2">
        <v>15</v>
      </c>
      <c r="D5470" t="s" s="2">
        <v>16</v>
      </c>
      <c r="E5470" t="s" s="2">
        <v>17</v>
      </c>
      <c r="F5470" t="s" s="2">
        <f>HYPERLINK("http://ts.21cn.com/tousu/show/id/1368142","http://ts.21cn.com/tousu/show/id/1368142")</f>
      </c>
      <c r="G5470" t="s" s="2">
        <v>17</v>
      </c>
      <c r="H5470" t="s" s="2">
        <v>19</v>
      </c>
      <c r="I5470" t="s" s="2">
        <v>21210</v>
      </c>
      <c r="J5470" t="s" s="2">
        <v>21211</v>
      </c>
      <c r="K5470" t="s" s="2">
        <v>22</v>
      </c>
      <c r="L5470" t="s" s="2">
        <v>22</v>
      </c>
      <c r="M5470" t="s" s="2">
        <v>22</v>
      </c>
    </row>
    <row r="5471" ht="25.0" customHeight="true">
      <c r="A5471" t="s" s="2">
        <v>13</v>
      </c>
      <c r="B5471" t="s" s="2">
        <f>HYPERLINK("http://ts.21cn.com/tousu/show/id/1368141","高利贷.短信威胁")</f>
      </c>
      <c r="C5471" t="s" s="2">
        <v>15</v>
      </c>
      <c r="D5471" t="s" s="2">
        <v>16</v>
      </c>
      <c r="E5471" t="s" s="2">
        <v>17</v>
      </c>
      <c r="F5471" t="s" s="2">
        <f>HYPERLINK("http://ts.21cn.com/tousu/show/id/1368141","http://ts.21cn.com/tousu/show/id/1368141")</f>
      </c>
      <c r="G5471" t="s" s="2">
        <v>17</v>
      </c>
      <c r="H5471" t="s" s="2">
        <v>19</v>
      </c>
      <c r="I5471" t="s" s="2">
        <v>21214</v>
      </c>
      <c r="J5471" t="s" s="2">
        <v>21215</v>
      </c>
      <c r="K5471" t="s" s="2">
        <v>22</v>
      </c>
      <c r="L5471" t="s" s="2">
        <v>22</v>
      </c>
      <c r="M5471" t="s" s="2">
        <v>22</v>
      </c>
    </row>
    <row r="5472" ht="25.0" customHeight="true">
      <c r="A5472" t="s" s="2">
        <v>13</v>
      </c>
      <c r="B5472" t="s" s="2">
        <f>HYPERLINK("http://ts.21cn.com/tousu/show/id/1368140","招联金融暴力催收，频繁骚扰联系人")</f>
      </c>
      <c r="C5472" t="s" s="2">
        <v>15</v>
      </c>
      <c r="D5472" t="s" s="2">
        <v>16</v>
      </c>
      <c r="E5472" t="s" s="2">
        <v>17</v>
      </c>
      <c r="F5472" t="s" s="2">
        <f>HYPERLINK("http://ts.21cn.com/tousu/show/id/1368140","http://ts.21cn.com/tousu/show/id/1368140")</f>
      </c>
      <c r="G5472" t="s" s="2">
        <v>17</v>
      </c>
      <c r="H5472" t="s" s="2">
        <v>19</v>
      </c>
      <c r="I5472" t="s" s="2">
        <v>21218</v>
      </c>
      <c r="J5472" t="s" s="2">
        <v>21219</v>
      </c>
      <c r="K5472" t="s" s="2">
        <v>22</v>
      </c>
      <c r="L5472" t="s" s="2">
        <v>22</v>
      </c>
      <c r="M5472" t="s" s="2">
        <v>22</v>
      </c>
    </row>
    <row r="5473" ht="25.0" customHeight="true">
      <c r="A5473" t="s" s="2">
        <v>13</v>
      </c>
      <c r="B5473" t="s" s="2">
        <f>HYPERLINK("http://ts.21cn.com/tousu/show/id/1368139","我来贷恶意催收骚扰")</f>
      </c>
      <c r="C5473" t="s" s="2">
        <v>15</v>
      </c>
      <c r="D5473" t="s" s="2">
        <v>16</v>
      </c>
      <c r="E5473" t="s" s="2">
        <v>17</v>
      </c>
      <c r="F5473" t="s" s="2">
        <f>HYPERLINK("http://ts.21cn.com/tousu/show/id/1368139","http://ts.21cn.com/tousu/show/id/1368139")</f>
      </c>
      <c r="G5473" t="s" s="2">
        <v>17</v>
      </c>
      <c r="H5473" t="s" s="2">
        <v>19</v>
      </c>
      <c r="I5473" t="s" s="2">
        <v>21222</v>
      </c>
      <c r="J5473" t="s" s="2">
        <v>21223</v>
      </c>
      <c r="K5473" t="s" s="2">
        <v>22</v>
      </c>
      <c r="L5473" t="s" s="2">
        <v>22</v>
      </c>
      <c r="M5473" t="s" s="2">
        <v>22</v>
      </c>
    </row>
    <row r="5474" ht="25.0" customHeight="true">
      <c r="A5474" t="s" s="2">
        <v>13</v>
      </c>
      <c r="B5474" t="s" s="2">
        <f>HYPERLINK("http://ts.21cn.com/tousu/show/id/1368138","美团生活费恐吓威胁，在未与借款人沟通的情况下向借款人通讯录联系人做出骚扰恐吓")</f>
      </c>
      <c r="C5474" t="s" s="2">
        <v>15</v>
      </c>
      <c r="D5474" t="s" s="2">
        <v>16</v>
      </c>
      <c r="E5474" t="s" s="2">
        <v>17</v>
      </c>
      <c r="F5474" t="s" s="2">
        <f>HYPERLINK("http://ts.21cn.com/tousu/show/id/1368138","http://ts.21cn.com/tousu/show/id/1368138")</f>
      </c>
      <c r="G5474" t="s" s="2">
        <v>17</v>
      </c>
      <c r="H5474" t="s" s="2">
        <v>19</v>
      </c>
      <c r="I5474" t="s" s="2">
        <v>21226</v>
      </c>
      <c r="J5474" t="s" s="2">
        <v>21227</v>
      </c>
      <c r="K5474" t="s" s="2">
        <v>22</v>
      </c>
      <c r="L5474" t="s" s="2">
        <v>22</v>
      </c>
      <c r="M5474" t="s" s="2">
        <v>22</v>
      </c>
    </row>
    <row r="5475" ht="25.0" customHeight="true">
      <c r="A5475" t="s" s="2">
        <v>13</v>
      </c>
      <c r="B5475" t="s" s="2">
        <f>HYPERLINK("http://ts.21cn.com/tousu/show/id/1368137","丰趣海淘拖欠员工工资，强制执行也没用")</f>
      </c>
      <c r="C5475" t="s" s="2">
        <v>15</v>
      </c>
      <c r="D5475" t="s" s="2">
        <v>16</v>
      </c>
      <c r="E5475" t="s" s="2">
        <v>17</v>
      </c>
      <c r="F5475" t="s" s="2">
        <f>HYPERLINK("http://ts.21cn.com/tousu/show/id/1368137","http://ts.21cn.com/tousu/show/id/1368137")</f>
      </c>
      <c r="G5475" t="s" s="2">
        <v>17</v>
      </c>
      <c r="H5475" t="s" s="2">
        <v>19</v>
      </c>
      <c r="I5475" t="s" s="2">
        <v>21229</v>
      </c>
      <c r="J5475" t="s" s="2">
        <v>21230</v>
      </c>
      <c r="K5475" t="s" s="2">
        <v>22</v>
      </c>
      <c r="L5475" t="s" s="2">
        <v>22</v>
      </c>
      <c r="M5475" t="s" s="2">
        <v>22</v>
      </c>
    </row>
    <row r="5476" ht="25.0" customHeight="true">
      <c r="A5476" t="s" s="2">
        <v>13</v>
      </c>
      <c r="B5476" t="s" s="2">
        <f>HYPERLINK("http://ts.21cn.com/tousu/show/id/1368136","兴业银行随意发短信骚扰家人")</f>
      </c>
      <c r="C5476" t="s" s="2">
        <v>15</v>
      </c>
      <c r="D5476" t="s" s="2">
        <v>16</v>
      </c>
      <c r="E5476" t="s" s="2">
        <v>17</v>
      </c>
      <c r="F5476" t="s" s="2">
        <f>HYPERLINK("http://ts.21cn.com/tousu/show/id/1368136","http://ts.21cn.com/tousu/show/id/1368136")</f>
      </c>
      <c r="G5476" t="s" s="2">
        <v>17</v>
      </c>
      <c r="H5476" t="s" s="2">
        <v>19</v>
      </c>
      <c r="I5476" t="s" s="2">
        <v>21233</v>
      </c>
      <c r="J5476" t="s" s="2">
        <v>21234</v>
      </c>
      <c r="K5476" t="s" s="2">
        <v>22</v>
      </c>
      <c r="L5476" t="s" s="2">
        <v>22</v>
      </c>
      <c r="M5476" t="s" s="2">
        <v>22</v>
      </c>
    </row>
    <row r="5477" ht="25.0" customHeight="true">
      <c r="A5477" t="s" s="2">
        <v>13</v>
      </c>
      <c r="B5477" t="s" s="2">
        <f>HYPERLINK("http://ts.21cn.com/tousu/show/id/1368135","新橙优品催收欺诈")</f>
      </c>
      <c r="C5477" t="s" s="2">
        <v>15</v>
      </c>
      <c r="D5477" t="s" s="2">
        <v>16</v>
      </c>
      <c r="E5477" t="s" s="2">
        <v>17</v>
      </c>
      <c r="F5477" t="s" s="2">
        <f>HYPERLINK("http://ts.21cn.com/tousu/show/id/1368135","http://ts.21cn.com/tousu/show/id/1368135")</f>
      </c>
      <c r="G5477" t="s" s="2">
        <v>17</v>
      </c>
      <c r="H5477" t="s" s="2">
        <v>19</v>
      </c>
      <c r="I5477" t="s" s="2">
        <v>21237</v>
      </c>
      <c r="J5477" t="s" s="2">
        <v>21238</v>
      </c>
      <c r="K5477" t="s" s="2">
        <v>22</v>
      </c>
      <c r="L5477" t="s" s="2">
        <v>22</v>
      </c>
      <c r="M5477" t="s" s="2">
        <v>22</v>
      </c>
    </row>
    <row r="5478" ht="25.0" customHeight="true">
      <c r="A5478" t="s" s="2">
        <v>13</v>
      </c>
      <c r="B5478" t="s" s="2">
        <f>HYPERLINK("http://ts.21cn.com/tousu/show/id/1368133","贷上钱旗下指上旅行高利贷")</f>
      </c>
      <c r="C5478" t="s" s="2">
        <v>15</v>
      </c>
      <c r="D5478" t="s" s="2">
        <v>16</v>
      </c>
      <c r="E5478" t="s" s="2">
        <v>17</v>
      </c>
      <c r="F5478" t="s" s="2">
        <f>HYPERLINK("http://ts.21cn.com/tousu/show/id/1368133","http://ts.21cn.com/tousu/show/id/1368133")</f>
      </c>
      <c r="G5478" t="s" s="2">
        <v>17</v>
      </c>
      <c r="H5478" t="s" s="2">
        <v>19</v>
      </c>
      <c r="I5478" t="s" s="2">
        <v>21241</v>
      </c>
      <c r="J5478" t="s" s="2">
        <v>21242</v>
      </c>
      <c r="K5478" t="s" s="2">
        <v>22</v>
      </c>
      <c r="L5478" t="s" s="2">
        <v>22</v>
      </c>
      <c r="M5478" t="s" s="2">
        <v>22</v>
      </c>
    </row>
    <row r="5479" ht="25.0" customHeight="true">
      <c r="A5479" t="s" s="2">
        <v>13</v>
      </c>
      <c r="B5479" t="s" s="2">
        <f>HYPERLINK("http://ts.21cn.com/tousu/show/id/1368134","百度贴吧")</f>
      </c>
      <c r="C5479" t="s" s="2">
        <v>52</v>
      </c>
      <c r="D5479" t="s" s="2">
        <v>16</v>
      </c>
      <c r="E5479" t="s" s="2">
        <v>17</v>
      </c>
      <c r="F5479" t="s" s="2">
        <f>HYPERLINK("http://ts.21cn.com/tousu/show/id/1368134","http://ts.21cn.com/tousu/show/id/1368134")</f>
      </c>
      <c r="G5479" t="s" s="2">
        <v>17</v>
      </c>
      <c r="H5479" t="s" s="2">
        <v>19</v>
      </c>
      <c r="I5479" t="s" s="2">
        <v>21245</v>
      </c>
      <c r="J5479" t="s" s="2">
        <v>21246</v>
      </c>
      <c r="K5479" t="s" s="2">
        <v>22</v>
      </c>
      <c r="L5479" t="s" s="2">
        <v>22</v>
      </c>
      <c r="M5479" t="s" s="2">
        <v>22</v>
      </c>
    </row>
    <row r="5480" ht="25.0" customHeight="true">
      <c r="A5480" t="s" s="2">
        <v>13</v>
      </c>
      <c r="B5480" t="s" s="2">
        <f>HYPERLINK("http://ts.21cn.com/tousu/show/id/1368132","360提前还款")</f>
      </c>
      <c r="C5480" t="s" s="2">
        <v>15</v>
      </c>
      <c r="D5480" t="s" s="2">
        <v>16</v>
      </c>
      <c r="E5480" t="s" s="2">
        <v>17</v>
      </c>
      <c r="F5480" t="s" s="2">
        <f>HYPERLINK("http://ts.21cn.com/tousu/show/id/1368132","http://ts.21cn.com/tousu/show/id/1368132")</f>
      </c>
      <c r="G5480" t="s" s="2">
        <v>17</v>
      </c>
      <c r="H5480" t="s" s="2">
        <v>19</v>
      </c>
      <c r="I5480" t="s" s="2">
        <v>21249</v>
      </c>
      <c r="J5480" t="s" s="2">
        <v>21250</v>
      </c>
      <c r="K5480" t="s" s="2">
        <v>22</v>
      </c>
      <c r="L5480" t="s" s="2">
        <v>22</v>
      </c>
      <c r="M5480" t="s" s="2">
        <v>22</v>
      </c>
    </row>
    <row r="5481" ht="25.0" customHeight="true">
      <c r="A5481" t="s" s="2">
        <v>13</v>
      </c>
      <c r="B5481" t="s" s="2">
        <f>HYPERLINK("http://ts.21cn.com/tousu/show/id/1368131","玖富万卡APP高利息")</f>
      </c>
      <c r="C5481" t="s" s="2">
        <v>15</v>
      </c>
      <c r="D5481" t="s" s="2">
        <v>16</v>
      </c>
      <c r="E5481" t="s" s="2">
        <v>17</v>
      </c>
      <c r="F5481" t="s" s="2">
        <f>HYPERLINK("http://ts.21cn.com/tousu/show/id/1368131","http://ts.21cn.com/tousu/show/id/1368131")</f>
      </c>
      <c r="G5481" t="s" s="2">
        <v>17</v>
      </c>
      <c r="H5481" t="s" s="2">
        <v>19</v>
      </c>
      <c r="I5481" t="s" s="2">
        <v>21253</v>
      </c>
      <c r="J5481" t="s" s="2">
        <v>21254</v>
      </c>
      <c r="K5481" t="s" s="2">
        <v>22</v>
      </c>
      <c r="L5481" t="s" s="2">
        <v>22</v>
      </c>
      <c r="M5481" t="s" s="2">
        <v>22</v>
      </c>
    </row>
    <row r="5482" ht="25.0" customHeight="true">
      <c r="A5482" t="s" s="2">
        <v>13</v>
      </c>
      <c r="B5482" t="s" s="2">
        <f>HYPERLINK("http://ts.21cn.com/tousu/show/id/1368127","微众银行暴利催收，恐吓")</f>
      </c>
      <c r="C5482" t="s" s="2">
        <v>15</v>
      </c>
      <c r="D5482" t="s" s="2">
        <v>16</v>
      </c>
      <c r="E5482" t="s" s="2">
        <v>17</v>
      </c>
      <c r="F5482" t="s" s="2">
        <f>HYPERLINK("http://ts.21cn.com/tousu/show/id/1368127","http://ts.21cn.com/tousu/show/id/1368127")</f>
      </c>
      <c r="G5482" t="s" s="2">
        <v>17</v>
      </c>
      <c r="H5482" t="s" s="2">
        <v>19</v>
      </c>
      <c r="I5482" t="s" s="2">
        <v>21257</v>
      </c>
      <c r="J5482" t="s" s="2">
        <v>21258</v>
      </c>
      <c r="K5482" t="s" s="2">
        <v>22</v>
      </c>
      <c r="L5482" t="s" s="2">
        <v>22</v>
      </c>
      <c r="M5482" t="s" s="2">
        <v>22</v>
      </c>
    </row>
    <row r="5483" ht="25.0" customHeight="true">
      <c r="A5483" t="s" s="2">
        <v>13</v>
      </c>
      <c r="B5483" t="s" s="2">
        <f>HYPERLINK("http://ts.21cn.com/tousu/show/id/1368126","现金巴士高利贷")</f>
      </c>
      <c r="C5483" t="s" s="2">
        <v>15</v>
      </c>
      <c r="D5483" t="s" s="2">
        <v>16</v>
      </c>
      <c r="E5483" t="s" s="2">
        <v>17</v>
      </c>
      <c r="F5483" t="s" s="2">
        <f>HYPERLINK("http://ts.21cn.com/tousu/show/id/1368126","http://ts.21cn.com/tousu/show/id/1368126")</f>
      </c>
      <c r="G5483" t="s" s="2">
        <v>17</v>
      </c>
      <c r="H5483" t="s" s="2">
        <v>19</v>
      </c>
      <c r="I5483" t="s" s="2">
        <v>21260</v>
      </c>
      <c r="J5483" t="s" s="2">
        <v>21261</v>
      </c>
      <c r="K5483" t="s" s="2">
        <v>22</v>
      </c>
      <c r="L5483" t="s" s="2">
        <v>22</v>
      </c>
      <c r="M5483" t="s" s="2">
        <v>22</v>
      </c>
    </row>
    <row r="5484" ht="25.0" customHeight="true">
      <c r="A5484" t="s" s="2">
        <v>13</v>
      </c>
      <c r="B5484" t="s" s="2">
        <f>HYPERLINK("http://ts.21cn.com/tousu/show/id/1368124","误操作向酷我聚星直播充值1000元要求退还")</f>
      </c>
      <c r="C5484" t="s" s="2">
        <v>15</v>
      </c>
      <c r="D5484" t="s" s="2">
        <v>16</v>
      </c>
      <c r="E5484" t="s" s="2">
        <v>17</v>
      </c>
      <c r="F5484" t="s" s="2">
        <f>HYPERLINK("http://ts.21cn.com/tousu/show/id/1368124","http://ts.21cn.com/tousu/show/id/1368124")</f>
      </c>
      <c r="G5484" t="s" s="2">
        <v>17</v>
      </c>
      <c r="H5484" t="s" s="2">
        <v>19</v>
      </c>
      <c r="I5484" t="s" s="2">
        <v>21264</v>
      </c>
      <c r="J5484" t="s" s="2">
        <v>21265</v>
      </c>
      <c r="K5484" t="s" s="2">
        <v>22</v>
      </c>
      <c r="L5484" t="s" s="2">
        <v>22</v>
      </c>
      <c r="M5484" t="s" s="2">
        <v>22</v>
      </c>
    </row>
    <row r="5485" ht="25.0" customHeight="true">
      <c r="A5485" t="s" s="2">
        <v>13</v>
      </c>
      <c r="B5485" t="s" s="2">
        <f>HYPERLINK("http://ts.21cn.com/tousu/show/id/1368123","拍拍贷暴力催收高额利息")</f>
      </c>
      <c r="C5485" t="s" s="2">
        <v>15</v>
      </c>
      <c r="D5485" t="s" s="2">
        <v>16</v>
      </c>
      <c r="E5485" t="s" s="2">
        <v>17</v>
      </c>
      <c r="F5485" t="s" s="2">
        <f>HYPERLINK("http://ts.21cn.com/tousu/show/id/1368123","http://ts.21cn.com/tousu/show/id/1368123")</f>
      </c>
      <c r="G5485" t="s" s="2">
        <v>17</v>
      </c>
      <c r="H5485" t="s" s="2">
        <v>19</v>
      </c>
      <c r="I5485" t="s" s="2">
        <v>21268</v>
      </c>
      <c r="J5485" t="s" s="2">
        <v>21269</v>
      </c>
      <c r="K5485" t="s" s="2">
        <v>22</v>
      </c>
      <c r="L5485" t="s" s="2">
        <v>22</v>
      </c>
      <c r="M5485" t="s" s="2">
        <v>22</v>
      </c>
    </row>
    <row r="5486" ht="25.0" customHeight="true">
      <c r="A5486" t="s" s="2">
        <v>13</v>
      </c>
      <c r="B5486" t="s" s="2">
        <f>HYPERLINK("http://ts.21cn.com/tousu/show/id/1368125","招商银行第三方暴力催收恐吓")</f>
      </c>
      <c r="C5486" t="s" s="2">
        <v>15</v>
      </c>
      <c r="D5486" t="s" s="2">
        <v>16</v>
      </c>
      <c r="E5486" t="s" s="2">
        <v>17</v>
      </c>
      <c r="F5486" t="s" s="2">
        <f>HYPERLINK("http://ts.21cn.com/tousu/show/id/1368125","http://ts.21cn.com/tousu/show/id/1368125")</f>
      </c>
      <c r="G5486" t="s" s="2">
        <v>17</v>
      </c>
      <c r="H5486" t="s" s="2">
        <v>19</v>
      </c>
      <c r="I5486" t="s" s="2">
        <v>21272</v>
      </c>
      <c r="J5486" t="s" s="2">
        <v>21273</v>
      </c>
      <c r="K5486" t="s" s="2">
        <v>22</v>
      </c>
      <c r="L5486" t="s" s="2">
        <v>22</v>
      </c>
      <c r="M5486" t="s" s="2">
        <v>22</v>
      </c>
    </row>
    <row r="5487" ht="25.0" customHeight="true">
      <c r="A5487" t="s" s="2">
        <v>13</v>
      </c>
      <c r="B5487" t="s" s="2">
        <f>HYPERLINK("http://ts.21cn.com/tousu/show/id/1368122","态度恶劣恐吓")</f>
      </c>
      <c r="C5487" t="s" s="2">
        <v>15</v>
      </c>
      <c r="D5487" t="s" s="2">
        <v>16</v>
      </c>
      <c r="E5487" t="s" s="2">
        <v>17</v>
      </c>
      <c r="F5487" t="s" s="2">
        <f>HYPERLINK("http://ts.21cn.com/tousu/show/id/1368122","http://ts.21cn.com/tousu/show/id/1368122")</f>
      </c>
      <c r="G5487" t="s" s="2">
        <v>17</v>
      </c>
      <c r="H5487" t="s" s="2">
        <v>19</v>
      </c>
      <c r="I5487" t="s" s="2">
        <v>21276</v>
      </c>
      <c r="J5487" t="s" s="2">
        <v>21277</v>
      </c>
      <c r="K5487" t="s" s="2">
        <v>22</v>
      </c>
      <c r="L5487" t="s" s="2">
        <v>22</v>
      </c>
      <c r="M5487" t="s" s="2">
        <v>22</v>
      </c>
    </row>
    <row r="5488" ht="25.0" customHeight="true">
      <c r="A5488" t="s" s="2">
        <v>13</v>
      </c>
      <c r="B5488" t="s" s="2">
        <f>HYPERLINK("http://ts.21cn.com/tousu/show/id/1368121","无良的弟滴滴客服，这是要把我的服务分降到0、才甘心吗？")</f>
      </c>
      <c r="C5488" t="s" s="2">
        <v>15</v>
      </c>
      <c r="D5488" t="s" s="2">
        <v>16</v>
      </c>
      <c r="E5488" t="s" s="2">
        <v>17</v>
      </c>
      <c r="F5488" t="s" s="2">
        <f>HYPERLINK("http://ts.21cn.com/tousu/show/id/1368121","http://ts.21cn.com/tousu/show/id/1368121")</f>
      </c>
      <c r="G5488" t="s" s="2">
        <v>17</v>
      </c>
      <c r="H5488" t="s" s="2">
        <v>19</v>
      </c>
      <c r="I5488" t="s" s="2">
        <v>21280</v>
      </c>
      <c r="J5488" t="s" s="2">
        <v>21281</v>
      </c>
      <c r="K5488" t="s" s="2">
        <v>22</v>
      </c>
      <c r="L5488" t="s" s="2">
        <v>22</v>
      </c>
      <c r="M5488" t="s" s="2">
        <v>22</v>
      </c>
    </row>
    <row r="5489" ht="25.0" customHeight="true">
      <c r="A5489" t="s" s="2">
        <v>13</v>
      </c>
      <c r="B5489" t="s" s="2">
        <f>HYPERLINK("http://ts.21cn.com/tousu/show/id/1368119","暴力催收，骚扰家人")</f>
      </c>
      <c r="C5489" t="s" s="2">
        <v>15</v>
      </c>
      <c r="D5489" t="s" s="2">
        <v>16</v>
      </c>
      <c r="E5489" t="s" s="2">
        <v>17</v>
      </c>
      <c r="F5489" t="s" s="2">
        <f>HYPERLINK("http://ts.21cn.com/tousu/show/id/1368119","http://ts.21cn.com/tousu/show/id/1368119")</f>
      </c>
      <c r="G5489" t="s" s="2">
        <v>17</v>
      </c>
      <c r="H5489" t="s" s="2">
        <v>19</v>
      </c>
      <c r="I5489" t="s" s="2">
        <v>21284</v>
      </c>
      <c r="J5489" t="s" s="2">
        <v>21285</v>
      </c>
      <c r="K5489" t="s" s="2">
        <v>22</v>
      </c>
      <c r="L5489" t="s" s="2">
        <v>22</v>
      </c>
      <c r="M5489" t="s" s="2">
        <v>22</v>
      </c>
    </row>
    <row r="5490" ht="25.0" customHeight="true">
      <c r="A5490" t="s" s="2">
        <v>13</v>
      </c>
      <c r="B5490" t="s" s="2">
        <f>HYPERLINK("http://ts.21cn.com/tousu/show/id/1368118","闪掌柜原闪管家高息砍头需官方回复并拟定合理息费停止暴力催收")</f>
      </c>
      <c r="C5490" t="s" s="2">
        <v>15</v>
      </c>
      <c r="D5490" t="s" s="2">
        <v>16</v>
      </c>
      <c r="E5490" t="s" s="2">
        <v>17</v>
      </c>
      <c r="F5490" t="s" s="2">
        <f>HYPERLINK("http://ts.21cn.com/tousu/show/id/1368118","http://ts.21cn.com/tousu/show/id/1368118")</f>
      </c>
      <c r="G5490" t="s" s="2">
        <v>17</v>
      </c>
      <c r="H5490" t="s" s="2">
        <v>19</v>
      </c>
      <c r="I5490" t="s" s="2">
        <v>21288</v>
      </c>
      <c r="J5490" t="s" s="2">
        <v>21289</v>
      </c>
      <c r="K5490" t="s" s="2">
        <v>22</v>
      </c>
      <c r="L5490" t="s" s="2">
        <v>22</v>
      </c>
      <c r="M5490" t="s" s="2">
        <v>22</v>
      </c>
    </row>
    <row r="5491" ht="25.0" customHeight="true">
      <c r="A5491" t="s" s="2">
        <v>13</v>
      </c>
      <c r="B5491" t="s" s="2">
        <f>HYPERLINK("http://ts.21cn.com/tousu/show/id/1368117","小鹿情感忽悠消费者，退款问题要求退全款")</f>
      </c>
      <c r="C5491" t="s" s="2">
        <v>15</v>
      </c>
      <c r="D5491" t="s" s="2">
        <v>16</v>
      </c>
      <c r="E5491" t="s" s="2">
        <v>17</v>
      </c>
      <c r="F5491" t="s" s="2">
        <f>HYPERLINK("http://ts.21cn.com/tousu/show/id/1368117","http://ts.21cn.com/tousu/show/id/1368117")</f>
      </c>
      <c r="G5491" t="s" s="2">
        <v>17</v>
      </c>
      <c r="H5491" t="s" s="2">
        <v>19</v>
      </c>
      <c r="I5491" t="s" s="2">
        <v>21291</v>
      </c>
      <c r="J5491" t="s" s="2">
        <v>21292</v>
      </c>
      <c r="K5491" t="s" s="2">
        <v>22</v>
      </c>
      <c r="L5491" t="s" s="2">
        <v>22</v>
      </c>
      <c r="M5491" t="s" s="2">
        <v>22</v>
      </c>
    </row>
    <row r="5492" ht="25.0" customHeight="true">
      <c r="A5492" t="s" s="2">
        <v>13</v>
      </c>
      <c r="B5492" t="s" s="2">
        <f>HYPERLINK("http://ts.21cn.com/tousu/show/id/1368116","借款商户以购买商品为由收取了我除利息外的一笔扣款，我都没收到商品要求提供凭证又说没有相关的凭证，不给予处理。")</f>
      </c>
      <c r="C5492" t="s" s="2">
        <v>15</v>
      </c>
      <c r="D5492" t="s" s="2">
        <v>16</v>
      </c>
      <c r="E5492" t="s" s="2">
        <v>17</v>
      </c>
      <c r="F5492" t="s" s="2">
        <f>HYPERLINK("http://ts.21cn.com/tousu/show/id/1368116","http://ts.21cn.com/tousu/show/id/1368116")</f>
      </c>
      <c r="G5492" t="s" s="2">
        <v>17</v>
      </c>
      <c r="H5492" t="s" s="2">
        <v>19</v>
      </c>
      <c r="I5492" t="s" s="2">
        <v>21291</v>
      </c>
      <c r="J5492" t="s" s="2">
        <v>21295</v>
      </c>
      <c r="K5492" t="s" s="2">
        <v>22</v>
      </c>
      <c r="L5492" t="s" s="2">
        <v>22</v>
      </c>
      <c r="M5492" t="s" s="2">
        <v>22</v>
      </c>
    </row>
    <row r="5493" ht="25.0" customHeight="true">
      <c r="A5493" t="s" s="2">
        <v>13</v>
      </c>
      <c r="B5493" t="s" s="2">
        <f>HYPERLINK("http://ts.21cn.com/tousu/show/id/1368115","闪银奇艺高利贷")</f>
      </c>
      <c r="C5493" t="s" s="2">
        <v>15</v>
      </c>
      <c r="D5493" t="s" s="2">
        <v>16</v>
      </c>
      <c r="E5493" t="s" s="2">
        <v>17</v>
      </c>
      <c r="F5493" t="s" s="2">
        <f>HYPERLINK("http://ts.21cn.com/tousu/show/id/1368115","http://ts.21cn.com/tousu/show/id/1368115")</f>
      </c>
      <c r="G5493" t="s" s="2">
        <v>17</v>
      </c>
      <c r="H5493" t="s" s="2">
        <v>19</v>
      </c>
      <c r="I5493" t="s" s="2">
        <v>21298</v>
      </c>
      <c r="J5493" t="s" s="2">
        <v>21299</v>
      </c>
      <c r="K5493" t="s" s="2">
        <v>22</v>
      </c>
      <c r="L5493" t="s" s="2">
        <v>22</v>
      </c>
      <c r="M5493" t="s" s="2">
        <v>22</v>
      </c>
    </row>
    <row r="5494" ht="25.0" customHeight="true">
      <c r="A5494" t="s" s="2">
        <v>13</v>
      </c>
      <c r="B5494" t="s" s="2">
        <f>HYPERLINK("http://ts.21cn.com/tousu/show/id/1368114","威胁恐吓")</f>
      </c>
      <c r="C5494" t="s" s="2">
        <v>15</v>
      </c>
      <c r="D5494" t="s" s="2">
        <v>16</v>
      </c>
      <c r="E5494" t="s" s="2">
        <v>17</v>
      </c>
      <c r="F5494" t="s" s="2">
        <f>HYPERLINK("http://ts.21cn.com/tousu/show/id/1368114","http://ts.21cn.com/tousu/show/id/1368114")</f>
      </c>
      <c r="G5494" t="s" s="2">
        <v>17</v>
      </c>
      <c r="H5494" t="s" s="2">
        <v>19</v>
      </c>
      <c r="I5494" t="s" s="2">
        <v>21301</v>
      </c>
      <c r="J5494" t="s" s="2">
        <v>21302</v>
      </c>
      <c r="K5494" t="s" s="2">
        <v>22</v>
      </c>
      <c r="L5494" t="s" s="2">
        <v>22</v>
      </c>
      <c r="M5494" t="s" s="2">
        <v>22</v>
      </c>
    </row>
    <row r="5495" ht="25.0" customHeight="true">
      <c r="A5495" t="s" s="2">
        <v>13</v>
      </c>
      <c r="B5495" t="s" s="2">
        <f>HYPERLINK("http://ts.21cn.com/tousu/show/id/1368113","小鹿情感忽悠消费者，退款问题要求退全款")</f>
      </c>
      <c r="C5495" t="s" s="2">
        <v>15</v>
      </c>
      <c r="D5495" t="s" s="2">
        <v>16</v>
      </c>
      <c r="E5495" t="s" s="2">
        <v>17</v>
      </c>
      <c r="F5495" t="s" s="2">
        <f>HYPERLINK("http://ts.21cn.com/tousu/show/id/1368113","http://ts.21cn.com/tousu/show/id/1368113")</f>
      </c>
      <c r="G5495" t="s" s="2">
        <v>17</v>
      </c>
      <c r="H5495" t="s" s="2">
        <v>19</v>
      </c>
      <c r="I5495" t="s" s="2">
        <v>21304</v>
      </c>
      <c r="J5495" t="s" s="2">
        <v>21305</v>
      </c>
      <c r="K5495" t="s" s="2">
        <v>22</v>
      </c>
      <c r="L5495" t="s" s="2">
        <v>22</v>
      </c>
      <c r="M5495" t="s" s="2">
        <v>22</v>
      </c>
    </row>
    <row r="5496" ht="25.0" customHeight="true">
      <c r="A5496" t="s" s="2">
        <v>13</v>
      </c>
      <c r="B5496" t="s" s="2">
        <f>HYPERLINK("http://ts.21cn.com/tousu/show/id/1368112","投诉及贷平台砍头利息")</f>
      </c>
      <c r="C5496" t="s" s="2">
        <v>15</v>
      </c>
      <c r="D5496" t="s" s="2">
        <v>16</v>
      </c>
      <c r="E5496" t="s" s="2">
        <v>17</v>
      </c>
      <c r="F5496" t="s" s="2">
        <f>HYPERLINK("http://ts.21cn.com/tousu/show/id/1368112","http://ts.21cn.com/tousu/show/id/1368112")</f>
      </c>
      <c r="G5496" t="s" s="2">
        <v>17</v>
      </c>
      <c r="H5496" t="s" s="2">
        <v>19</v>
      </c>
      <c r="I5496" t="s" s="2">
        <v>21308</v>
      </c>
      <c r="J5496" t="s" s="2">
        <v>21309</v>
      </c>
      <c r="K5496" t="s" s="2">
        <v>22</v>
      </c>
      <c r="L5496" t="s" s="2">
        <v>22</v>
      </c>
      <c r="M5496" t="s" s="2">
        <v>22</v>
      </c>
    </row>
    <row r="5497" ht="25.0" customHeight="true">
      <c r="A5497" t="s" s="2">
        <v>13</v>
      </c>
      <c r="B5497" t="s" s="2">
        <f>HYPERLINK("http://ts.21cn.com/tousu/show/id/1368111","借贷宝借条平台利率高于百分之24催收人员还在骚扰我与家人")</f>
      </c>
      <c r="C5497" t="s" s="2">
        <v>15</v>
      </c>
      <c r="D5497" t="s" s="2">
        <v>16</v>
      </c>
      <c r="E5497" t="s" s="2">
        <v>17</v>
      </c>
      <c r="F5497" t="s" s="2">
        <f>HYPERLINK("http://ts.21cn.com/tousu/show/id/1368111","http://ts.21cn.com/tousu/show/id/1368111")</f>
      </c>
      <c r="G5497" t="s" s="2">
        <v>17</v>
      </c>
      <c r="H5497" t="s" s="2">
        <v>19</v>
      </c>
      <c r="I5497" t="s" s="2">
        <v>21312</v>
      </c>
      <c r="J5497" t="s" s="2">
        <v>21313</v>
      </c>
      <c r="K5497" t="s" s="2">
        <v>22</v>
      </c>
      <c r="L5497" t="s" s="2">
        <v>22</v>
      </c>
      <c r="M5497" t="s" s="2">
        <v>22</v>
      </c>
    </row>
    <row r="5498" ht="25.0" customHeight="true">
      <c r="A5498" t="s" s="2">
        <v>13</v>
      </c>
      <c r="B5498" t="s" s="2">
        <f>HYPERLINK("http://ts.21cn.com/tousu/show/id/1368082","新橙优品套路贷砍头息轰炸通讯录联系人")</f>
      </c>
      <c r="C5498" t="s" s="2">
        <v>15</v>
      </c>
      <c r="D5498" t="s" s="2">
        <v>16</v>
      </c>
      <c r="E5498" t="s" s="2">
        <v>17</v>
      </c>
      <c r="F5498" t="s" s="2">
        <f>HYPERLINK("http://ts.21cn.com/tousu/show/id/1368082","http://ts.21cn.com/tousu/show/id/1368082")</f>
      </c>
      <c r="G5498" t="s" s="2">
        <v>17</v>
      </c>
      <c r="H5498" t="s" s="2">
        <v>19</v>
      </c>
      <c r="I5498" t="s" s="2">
        <v>21316</v>
      </c>
      <c r="J5498" t="s" s="2">
        <v>21317</v>
      </c>
      <c r="K5498" t="s" s="2">
        <v>22</v>
      </c>
      <c r="L5498" t="s" s="2">
        <v>22</v>
      </c>
      <c r="M5498" t="s" s="2">
        <v>22</v>
      </c>
    </row>
    <row r="5499" ht="25.0" customHeight="true">
      <c r="A5499" t="s" s="2">
        <v>13</v>
      </c>
      <c r="B5499" t="s" s="2">
        <f>HYPERLINK("http://ts.21cn.com/tousu/show/id/1368108","钱包易贷恶意p图暴力催收")</f>
      </c>
      <c r="C5499" t="s" s="2">
        <v>15</v>
      </c>
      <c r="D5499" t="s" s="2">
        <v>16</v>
      </c>
      <c r="E5499" t="s" s="2">
        <v>17</v>
      </c>
      <c r="F5499" t="s" s="2">
        <f>HYPERLINK("http://ts.21cn.com/tousu/show/id/1368108","http://ts.21cn.com/tousu/show/id/1368108")</f>
      </c>
      <c r="G5499" t="s" s="2">
        <v>17</v>
      </c>
      <c r="H5499" t="s" s="2">
        <v>19</v>
      </c>
      <c r="I5499" t="s" s="2">
        <v>21320</v>
      </c>
      <c r="J5499" t="s" s="2">
        <v>21321</v>
      </c>
      <c r="K5499" t="s" s="2">
        <v>22</v>
      </c>
      <c r="L5499" t="s" s="2">
        <v>22</v>
      </c>
      <c r="M5499" t="s" s="2">
        <v>22</v>
      </c>
    </row>
    <row r="5500" ht="25.0" customHeight="true">
      <c r="A5500" t="s" s="2">
        <v>13</v>
      </c>
      <c r="B5500" t="s" s="2">
        <f>HYPERLINK("http://ts.21cn.com/tousu/show/id/1368107","高利贷砍头息")</f>
      </c>
      <c r="C5500" t="s" s="2">
        <v>15</v>
      </c>
      <c r="D5500" t="s" s="2">
        <v>16</v>
      </c>
      <c r="E5500" t="s" s="2">
        <v>17</v>
      </c>
      <c r="F5500" t="s" s="2">
        <f>HYPERLINK("http://ts.21cn.com/tousu/show/id/1368107","http://ts.21cn.com/tousu/show/id/1368107")</f>
      </c>
      <c r="G5500" t="s" s="2">
        <v>17</v>
      </c>
      <c r="H5500" t="s" s="2">
        <v>19</v>
      </c>
      <c r="I5500" t="s" s="2">
        <v>21323</v>
      </c>
      <c r="J5500" t="s" s="2">
        <v>21324</v>
      </c>
      <c r="K5500" t="s" s="2">
        <v>22</v>
      </c>
      <c r="L5500" t="s" s="2">
        <v>22</v>
      </c>
      <c r="M5500" t="s" s="2">
        <v>22</v>
      </c>
    </row>
    <row r="5501" ht="25.0" customHeight="true">
      <c r="A5501" t="s" s="2">
        <v>13</v>
      </c>
      <c r="B5501" t="s" s="2">
        <f>HYPERLINK("http://ts.21cn.com/tousu/show/id/1368106","投诉中汇支付刷卡不到账")</f>
      </c>
      <c r="C5501" t="s" s="2">
        <v>15</v>
      </c>
      <c r="D5501" t="s" s="2">
        <v>16</v>
      </c>
      <c r="E5501" t="s" s="2">
        <v>17</v>
      </c>
      <c r="F5501" t="s" s="2">
        <f>HYPERLINK("http://ts.21cn.com/tousu/show/id/1368106","http://ts.21cn.com/tousu/show/id/1368106")</f>
      </c>
      <c r="G5501" t="s" s="2">
        <v>17</v>
      </c>
      <c r="H5501" t="s" s="2">
        <v>19</v>
      </c>
      <c r="I5501" t="s" s="2">
        <v>21323</v>
      </c>
      <c r="J5501" t="s" s="2">
        <v>21327</v>
      </c>
      <c r="K5501" t="s" s="2">
        <v>22</v>
      </c>
      <c r="L5501" t="s" s="2">
        <v>22</v>
      </c>
      <c r="M5501" t="s" s="2">
        <v>22</v>
      </c>
    </row>
    <row r="5502" ht="25.0" customHeight="true">
      <c r="A5502" t="s" s="2">
        <v>13</v>
      </c>
      <c r="B5502" t="s" s="2">
        <f>HYPERLINK("http://ts.21cn.com/tousu/show/id/1368105","兴业信用卡被止付")</f>
      </c>
      <c r="C5502" t="s" s="2">
        <v>52</v>
      </c>
      <c r="D5502" t="s" s="2">
        <v>16</v>
      </c>
      <c r="E5502" t="s" s="2">
        <v>17</v>
      </c>
      <c r="F5502" t="s" s="2">
        <f>HYPERLINK("http://ts.21cn.com/tousu/show/id/1368105","http://ts.21cn.com/tousu/show/id/1368105")</f>
      </c>
      <c r="G5502" t="s" s="2">
        <v>17</v>
      </c>
      <c r="H5502" t="s" s="2">
        <v>19</v>
      </c>
      <c r="I5502" t="s" s="2">
        <v>21330</v>
      </c>
      <c r="J5502" t="s" s="2">
        <v>21331</v>
      </c>
      <c r="K5502" t="s" s="2">
        <v>22</v>
      </c>
      <c r="L5502" t="s" s="2">
        <v>22</v>
      </c>
      <c r="M5502" t="s" s="2">
        <v>22</v>
      </c>
    </row>
    <row r="5503" ht="25.0" customHeight="true">
      <c r="A5503" t="s" s="2">
        <v>13</v>
      </c>
      <c r="B5503" t="s" s="2">
        <f>HYPERLINK("http://ts.21cn.com/tousu/show/id/1368058","中国邮政快递包裹未收到货显示已签收")</f>
      </c>
      <c r="C5503" t="s" s="2">
        <v>15</v>
      </c>
      <c r="D5503" t="s" s="2">
        <v>16</v>
      </c>
      <c r="E5503" t="s" s="2">
        <v>17</v>
      </c>
      <c r="F5503" t="s" s="2">
        <f>HYPERLINK("http://ts.21cn.com/tousu/show/id/1368058","http://ts.21cn.com/tousu/show/id/1368058")</f>
      </c>
      <c r="G5503" t="s" s="2">
        <v>17</v>
      </c>
      <c r="H5503" t="s" s="2">
        <v>19</v>
      </c>
      <c r="I5503" t="s" s="2">
        <v>21334</v>
      </c>
      <c r="J5503" t="s" s="2">
        <v>21335</v>
      </c>
      <c r="K5503" t="s" s="2">
        <v>22</v>
      </c>
      <c r="L5503" t="s" s="2">
        <v>22</v>
      </c>
      <c r="M5503" t="s" s="2">
        <v>22</v>
      </c>
    </row>
    <row r="5504" ht="25.0" customHeight="true">
      <c r="A5504" t="s" s="2">
        <v>13</v>
      </c>
      <c r="B5504" t="s" s="2">
        <f>HYPERLINK("http://ts.21cn.com/tousu/show/id/1368103","恶意骚扰")</f>
      </c>
      <c r="C5504" t="s" s="2">
        <v>15</v>
      </c>
      <c r="D5504" t="s" s="2">
        <v>16</v>
      </c>
      <c r="E5504" t="s" s="2">
        <v>17</v>
      </c>
      <c r="F5504" t="s" s="2">
        <f>HYPERLINK("http://ts.21cn.com/tousu/show/id/1368103","http://ts.21cn.com/tousu/show/id/1368103")</f>
      </c>
      <c r="G5504" t="s" s="2">
        <v>17</v>
      </c>
      <c r="H5504" t="s" s="2">
        <v>19</v>
      </c>
      <c r="I5504" t="s" s="2">
        <v>21337</v>
      </c>
      <c r="J5504" t="s" s="2">
        <v>21338</v>
      </c>
      <c r="K5504" t="s" s="2">
        <v>22</v>
      </c>
      <c r="L5504" t="s" s="2">
        <v>22</v>
      </c>
      <c r="M5504" t="s" s="2">
        <v>22</v>
      </c>
    </row>
    <row r="5505" ht="25.0" customHeight="true">
      <c r="A5505" t="s" s="2">
        <v>13</v>
      </c>
      <c r="B5505" t="s" s="2">
        <f>HYPERLINK("http://ts.21cn.com/tousu/show/id/1368104","京东金融校园贷威胁教师安全")</f>
      </c>
      <c r="C5505" t="s" s="2">
        <v>15</v>
      </c>
      <c r="D5505" t="s" s="2">
        <v>16</v>
      </c>
      <c r="E5505" t="s" s="2">
        <v>17</v>
      </c>
      <c r="F5505" t="s" s="2">
        <f>HYPERLINK("http://ts.21cn.com/tousu/show/id/1368104","http://ts.21cn.com/tousu/show/id/1368104")</f>
      </c>
      <c r="G5505" t="s" s="2">
        <v>17</v>
      </c>
      <c r="H5505" t="s" s="2">
        <v>19</v>
      </c>
      <c r="I5505" t="s" s="2">
        <v>21341</v>
      </c>
      <c r="J5505" t="s" s="2">
        <v>21342</v>
      </c>
      <c r="K5505" t="s" s="2">
        <v>22</v>
      </c>
      <c r="L5505" t="s" s="2">
        <v>22</v>
      </c>
      <c r="M5505" t="s" s="2">
        <v>22</v>
      </c>
    </row>
    <row r="5506" ht="25.0" customHeight="true">
      <c r="A5506" t="s" s="2">
        <v>13</v>
      </c>
      <c r="B5506" t="s" s="2">
        <f>HYPERLINK("http://ts.21cn.com/tousu/show/id/1368102","微贷恐吓骚扰")</f>
      </c>
      <c r="C5506" t="s" s="2">
        <v>15</v>
      </c>
      <c r="D5506" t="s" s="2">
        <v>16</v>
      </c>
      <c r="E5506" t="s" s="2">
        <v>17</v>
      </c>
      <c r="F5506" t="s" s="2">
        <f>HYPERLINK("http://ts.21cn.com/tousu/show/id/1368102","http://ts.21cn.com/tousu/show/id/1368102")</f>
      </c>
      <c r="G5506" t="s" s="2">
        <v>17</v>
      </c>
      <c r="H5506" t="s" s="2">
        <v>19</v>
      </c>
      <c r="I5506" t="s" s="2">
        <v>21345</v>
      </c>
      <c r="J5506" t="s" s="2">
        <v>21346</v>
      </c>
      <c r="K5506" t="s" s="2">
        <v>22</v>
      </c>
      <c r="L5506" t="s" s="2">
        <v>22</v>
      </c>
      <c r="M5506" t="s" s="2">
        <v>22</v>
      </c>
    </row>
    <row r="5507" ht="25.0" customHeight="true">
      <c r="A5507" t="s" s="2">
        <v>13</v>
      </c>
      <c r="B5507" t="s" s="2">
        <f>HYPERLINK("http://ts.21cn.com/tousu/show/id/1368101","360借条恶意向通讯录所有人发律师函")</f>
      </c>
      <c r="C5507" t="s" s="2">
        <v>15</v>
      </c>
      <c r="D5507" t="s" s="2">
        <v>16</v>
      </c>
      <c r="E5507" t="s" s="2">
        <v>17</v>
      </c>
      <c r="F5507" t="s" s="2">
        <f>HYPERLINK("http://ts.21cn.com/tousu/show/id/1368101","http://ts.21cn.com/tousu/show/id/1368101")</f>
      </c>
      <c r="G5507" t="s" s="2">
        <v>17</v>
      </c>
      <c r="H5507" t="s" s="2">
        <v>19</v>
      </c>
      <c r="I5507" t="s" s="2">
        <v>21349</v>
      </c>
      <c r="J5507" t="s" s="2">
        <v>21350</v>
      </c>
      <c r="K5507" t="s" s="2">
        <v>22</v>
      </c>
      <c r="L5507" t="s" s="2">
        <v>22</v>
      </c>
      <c r="M5507" t="s" s="2">
        <v>22</v>
      </c>
    </row>
    <row r="5508" ht="25.0" customHeight="true">
      <c r="A5508" t="s" s="2">
        <v>13</v>
      </c>
      <c r="B5508" t="s" s="2">
        <f>HYPERLINK("http://ts.21cn.com/tousu/show/id/1368100","佰联钱包砍头息高利贷骚扰家人")</f>
      </c>
      <c r="C5508" t="s" s="2">
        <v>15</v>
      </c>
      <c r="D5508" t="s" s="2">
        <v>16</v>
      </c>
      <c r="E5508" t="s" s="2">
        <v>17</v>
      </c>
      <c r="F5508" t="s" s="2">
        <f>HYPERLINK("http://ts.21cn.com/tousu/show/id/1368100","http://ts.21cn.com/tousu/show/id/1368100")</f>
      </c>
      <c r="G5508" t="s" s="2">
        <v>17</v>
      </c>
      <c r="H5508" t="s" s="2">
        <v>19</v>
      </c>
      <c r="I5508" t="s" s="2">
        <v>21353</v>
      </c>
      <c r="J5508" t="s" s="2">
        <v>21354</v>
      </c>
      <c r="K5508" t="s" s="2">
        <v>22</v>
      </c>
      <c r="L5508" t="s" s="2">
        <v>22</v>
      </c>
      <c r="M5508" t="s" s="2">
        <v>22</v>
      </c>
    </row>
    <row r="5509" ht="25.0" customHeight="true">
      <c r="A5509" t="s" s="2">
        <v>13</v>
      </c>
      <c r="B5509" t="s" s="2">
        <f>HYPERLINK("http://ts.21cn.com/tousu/show/id/1368099","语言攻击，侮辱")</f>
      </c>
      <c r="C5509" t="s" s="2">
        <v>15</v>
      </c>
      <c r="D5509" t="s" s="2">
        <v>16</v>
      </c>
      <c r="E5509" t="s" s="2">
        <v>17</v>
      </c>
      <c r="F5509" t="s" s="2">
        <f>HYPERLINK("http://ts.21cn.com/tousu/show/id/1368099","http://ts.21cn.com/tousu/show/id/1368099")</f>
      </c>
      <c r="G5509" t="s" s="2">
        <v>17</v>
      </c>
      <c r="H5509" t="s" s="2">
        <v>19</v>
      </c>
      <c r="I5509" t="s" s="2">
        <v>21357</v>
      </c>
      <c r="J5509" t="s" s="2">
        <v>21358</v>
      </c>
      <c r="K5509" t="s" s="2">
        <v>22</v>
      </c>
      <c r="L5509" t="s" s="2">
        <v>22</v>
      </c>
      <c r="M5509" t="s" s="2">
        <v>22</v>
      </c>
    </row>
    <row r="5510" ht="25.0" customHeight="true">
      <c r="A5510" t="s" s="2">
        <v>13</v>
      </c>
      <c r="B5510" t="s" s="2">
        <f>HYPERLINK("http://ts.21cn.com/tousu/show/id/1368098","骚扰鼓动借钱")</f>
      </c>
      <c r="C5510" t="s" s="2">
        <v>15</v>
      </c>
      <c r="D5510" t="s" s="2">
        <v>16</v>
      </c>
      <c r="E5510" t="s" s="2">
        <v>17</v>
      </c>
      <c r="F5510" t="s" s="2">
        <f>HYPERLINK("http://ts.21cn.com/tousu/show/id/1368098","http://ts.21cn.com/tousu/show/id/1368098")</f>
      </c>
      <c r="G5510" t="s" s="2">
        <v>17</v>
      </c>
      <c r="H5510" t="s" s="2">
        <v>19</v>
      </c>
      <c r="I5510" t="s" s="2">
        <v>21361</v>
      </c>
      <c r="J5510" t="s" s="2">
        <v>21362</v>
      </c>
      <c r="K5510" t="s" s="2">
        <v>22</v>
      </c>
      <c r="L5510" t="s" s="2">
        <v>22</v>
      </c>
      <c r="M5510" t="s" s="2">
        <v>22</v>
      </c>
    </row>
    <row r="5511" ht="25.0" customHeight="true">
      <c r="A5511" t="s" s="2">
        <v>13</v>
      </c>
      <c r="B5511" t="s" s="2">
        <f>HYPERLINK("http://ts.21cn.com/tousu/show/id/1368097","好分期高利贷，恐吓，骚扰，暴力催收，完全就是一个黑网贷")</f>
      </c>
      <c r="C5511" t="s" s="2">
        <v>15</v>
      </c>
      <c r="D5511" t="s" s="2">
        <v>16</v>
      </c>
      <c r="E5511" t="s" s="2">
        <v>17</v>
      </c>
      <c r="F5511" t="s" s="2">
        <f>HYPERLINK("http://ts.21cn.com/tousu/show/id/1368097","http://ts.21cn.com/tousu/show/id/1368097")</f>
      </c>
      <c r="G5511" t="s" s="2">
        <v>17</v>
      </c>
      <c r="H5511" t="s" s="2">
        <v>19</v>
      </c>
      <c r="I5511" t="s" s="2">
        <v>21365</v>
      </c>
      <c r="J5511" t="s" s="2">
        <v>21366</v>
      </c>
      <c r="K5511" t="s" s="2">
        <v>22</v>
      </c>
      <c r="L5511" t="s" s="2">
        <v>22</v>
      </c>
      <c r="M5511" t="s" s="2">
        <v>22</v>
      </c>
    </row>
    <row r="5512" ht="25.0" customHeight="true">
      <c r="A5512" t="s" s="2">
        <v>13</v>
      </c>
      <c r="B5512" t="s" s="2">
        <f>HYPERLINK("http://ts.21cn.com/tousu/show/id/1368096","闪银新人通道语言攻击")</f>
      </c>
      <c r="C5512" t="s" s="2">
        <v>15</v>
      </c>
      <c r="D5512" t="s" s="2">
        <v>16</v>
      </c>
      <c r="E5512" t="s" s="2">
        <v>17</v>
      </c>
      <c r="F5512" t="s" s="2">
        <f>HYPERLINK("http://ts.21cn.com/tousu/show/id/1368096","http://ts.21cn.com/tousu/show/id/1368096")</f>
      </c>
      <c r="G5512" t="s" s="2">
        <v>17</v>
      </c>
      <c r="H5512" t="s" s="2">
        <v>19</v>
      </c>
      <c r="I5512" t="s" s="2">
        <v>21369</v>
      </c>
      <c r="J5512" t="s" s="2">
        <v>21370</v>
      </c>
      <c r="K5512" t="s" s="2">
        <v>22</v>
      </c>
      <c r="L5512" t="s" s="2">
        <v>22</v>
      </c>
      <c r="M5512" t="s" s="2">
        <v>22</v>
      </c>
    </row>
    <row r="5513" ht="25.0" customHeight="true">
      <c r="A5513" t="s" s="2">
        <v>13</v>
      </c>
      <c r="B5513" t="s" s="2">
        <f>HYPERLINK("http://ts.21cn.com/tousu/show/id/1368094","玖富万卡已经达成还款协议，但次次推脱不作为")</f>
      </c>
      <c r="C5513" t="s" s="2">
        <v>15</v>
      </c>
      <c r="D5513" t="s" s="2">
        <v>16</v>
      </c>
      <c r="E5513" t="s" s="2">
        <v>17</v>
      </c>
      <c r="F5513" t="s" s="2">
        <f>HYPERLINK("http://ts.21cn.com/tousu/show/id/1368094","http://ts.21cn.com/tousu/show/id/1368094")</f>
      </c>
      <c r="G5513" t="s" s="2">
        <v>17</v>
      </c>
      <c r="H5513" t="s" s="2">
        <v>19</v>
      </c>
      <c r="I5513" t="s" s="2">
        <v>21373</v>
      </c>
      <c r="J5513" t="s" s="2">
        <v>21374</v>
      </c>
      <c r="K5513" t="s" s="2">
        <v>22</v>
      </c>
      <c r="L5513" t="s" s="2">
        <v>22</v>
      </c>
      <c r="M5513" t="s" s="2">
        <v>22</v>
      </c>
    </row>
    <row r="5514" ht="25.0" customHeight="true">
      <c r="A5514" t="s" s="2">
        <v>13</v>
      </c>
      <c r="B5514" t="s" s="2">
        <f>HYPERLINK("http://ts.21cn.com/tousu/show/id/1368093","医美纠纷")</f>
      </c>
      <c r="C5514" t="s" s="2">
        <v>15</v>
      </c>
      <c r="D5514" t="s" s="2">
        <v>16</v>
      </c>
      <c r="E5514" t="s" s="2">
        <v>17</v>
      </c>
      <c r="F5514" t="s" s="2">
        <f>HYPERLINK("http://ts.21cn.com/tousu/show/id/1368093","http://ts.21cn.com/tousu/show/id/1368093")</f>
      </c>
      <c r="G5514" t="s" s="2">
        <v>17</v>
      </c>
      <c r="H5514" t="s" s="2">
        <v>19</v>
      </c>
      <c r="I5514" t="s" s="2">
        <v>21377</v>
      </c>
      <c r="J5514" t="s" s="2">
        <v>21378</v>
      </c>
      <c r="K5514" t="s" s="2">
        <v>22</v>
      </c>
      <c r="L5514" t="s" s="2">
        <v>22</v>
      </c>
      <c r="M5514" t="s" s="2">
        <v>22</v>
      </c>
    </row>
    <row r="5515" ht="25.0" customHeight="true">
      <c r="A5515" t="s" s="2">
        <v>13</v>
      </c>
      <c r="B5515" t="s" s="2">
        <f>HYPERLINK("http://ts.21cn.com/tousu/show/id/1368091","贷款公司联合保险公司不给退保")</f>
      </c>
      <c r="C5515" t="s" s="2">
        <v>15</v>
      </c>
      <c r="D5515" t="s" s="2">
        <v>16</v>
      </c>
      <c r="E5515" t="s" s="2">
        <v>17</v>
      </c>
      <c r="F5515" t="s" s="2">
        <f>HYPERLINK("http://ts.21cn.com/tousu/show/id/1368091","http://ts.21cn.com/tousu/show/id/1368091")</f>
      </c>
      <c r="G5515" t="s" s="2">
        <v>17</v>
      </c>
      <c r="H5515" t="s" s="2">
        <v>19</v>
      </c>
      <c r="I5515" t="s" s="2">
        <v>21381</v>
      </c>
      <c r="J5515" t="s" s="2">
        <v>21382</v>
      </c>
      <c r="K5515" t="s" s="2">
        <v>22</v>
      </c>
      <c r="L5515" t="s" s="2">
        <v>22</v>
      </c>
      <c r="M5515" t="s" s="2">
        <v>22</v>
      </c>
    </row>
    <row r="5516" ht="25.0" customHeight="true">
      <c r="A5516" t="s" s="2">
        <v>13</v>
      </c>
      <c r="B5516" t="s" s="2">
        <f>HYPERLINK("http://ts.21cn.com/tousu/show/id/1368090","钱站APP砍头息,电话骚扰威胁恐吓")</f>
      </c>
      <c r="C5516" t="s" s="2">
        <v>15</v>
      </c>
      <c r="D5516" t="s" s="2">
        <v>16</v>
      </c>
      <c r="E5516" t="s" s="2">
        <v>17</v>
      </c>
      <c r="F5516" t="s" s="2">
        <f>HYPERLINK("http://ts.21cn.com/tousu/show/id/1368090","http://ts.21cn.com/tousu/show/id/1368090")</f>
      </c>
      <c r="G5516" t="s" s="2">
        <v>17</v>
      </c>
      <c r="H5516" t="s" s="2">
        <v>19</v>
      </c>
      <c r="I5516" t="s" s="2">
        <v>21385</v>
      </c>
      <c r="J5516" t="s" s="2">
        <v>21386</v>
      </c>
      <c r="K5516" t="s" s="2">
        <v>22</v>
      </c>
      <c r="L5516" t="s" s="2">
        <v>22</v>
      </c>
      <c r="M5516" t="s" s="2">
        <v>22</v>
      </c>
    </row>
    <row r="5517" ht="25.0" customHeight="true">
      <c r="A5517" t="s" s="2">
        <v>13</v>
      </c>
      <c r="B5517" t="s" s="2">
        <f>HYPERLINK("http://ts.21cn.com/tousu/show/id/1368092","即有分期工作人员对我造成骚扰")</f>
      </c>
      <c r="C5517" t="s" s="2">
        <v>15</v>
      </c>
      <c r="D5517" t="s" s="2">
        <v>16</v>
      </c>
      <c r="E5517" t="s" s="2">
        <v>17</v>
      </c>
      <c r="F5517" t="s" s="2">
        <f>HYPERLINK("http://ts.21cn.com/tousu/show/id/1368092","http://ts.21cn.com/tousu/show/id/1368092")</f>
      </c>
      <c r="G5517" t="s" s="2">
        <v>17</v>
      </c>
      <c r="H5517" t="s" s="2">
        <v>19</v>
      </c>
      <c r="I5517" t="s" s="2">
        <v>21389</v>
      </c>
      <c r="J5517" t="s" s="2">
        <v>21390</v>
      </c>
      <c r="K5517" t="s" s="2">
        <v>22</v>
      </c>
      <c r="L5517" t="s" s="2">
        <v>22</v>
      </c>
      <c r="M5517" t="s" s="2">
        <v>22</v>
      </c>
    </row>
    <row r="5518" ht="25.0" customHeight="true">
      <c r="A5518" t="s" s="2">
        <v>13</v>
      </c>
      <c r="B5518" t="s" s="2">
        <f>HYPERLINK("http://ts.21cn.com/tousu/show/id/1368088","月光侠分期借款合同和实际借款不一样")</f>
      </c>
      <c r="C5518" t="s" s="2">
        <v>52</v>
      </c>
      <c r="D5518" t="s" s="2">
        <v>16</v>
      </c>
      <c r="E5518" t="s" s="2">
        <v>17</v>
      </c>
      <c r="F5518" t="s" s="2">
        <f>HYPERLINK("http://ts.21cn.com/tousu/show/id/1368088","http://ts.21cn.com/tousu/show/id/1368088")</f>
      </c>
      <c r="G5518" t="s" s="2">
        <v>17</v>
      </c>
      <c r="H5518" t="s" s="2">
        <v>19</v>
      </c>
      <c r="I5518" t="s" s="2">
        <v>21393</v>
      </c>
      <c r="J5518" t="s" s="2">
        <v>21394</v>
      </c>
      <c r="K5518" t="s" s="2">
        <v>22</v>
      </c>
      <c r="L5518" t="s" s="2">
        <v>22</v>
      </c>
      <c r="M5518" t="s" s="2">
        <v>22</v>
      </c>
    </row>
    <row r="5519" ht="25.0" customHeight="true">
      <c r="A5519" t="s" s="2">
        <v>13</v>
      </c>
      <c r="B5519" t="s" s="2">
        <f>HYPERLINK("http://ts.21cn.com/tousu/show/id/1368089","聚福钱包未经许可私自扣款")</f>
      </c>
      <c r="C5519" t="s" s="2">
        <v>15</v>
      </c>
      <c r="D5519" t="s" s="2">
        <v>16</v>
      </c>
      <c r="E5519" t="s" s="2">
        <v>17</v>
      </c>
      <c r="F5519" t="s" s="2">
        <f>HYPERLINK("http://ts.21cn.com/tousu/show/id/1368089","http://ts.21cn.com/tousu/show/id/1368089")</f>
      </c>
      <c r="G5519" t="s" s="2">
        <v>17</v>
      </c>
      <c r="H5519" t="s" s="2">
        <v>19</v>
      </c>
      <c r="I5519" t="s" s="2">
        <v>21393</v>
      </c>
      <c r="J5519" t="s" s="2">
        <v>21396</v>
      </c>
      <c r="K5519" t="s" s="2">
        <v>22</v>
      </c>
      <c r="L5519" t="s" s="2">
        <v>22</v>
      </c>
      <c r="M5519" t="s" s="2">
        <v>22</v>
      </c>
    </row>
    <row r="5520" ht="25.0" customHeight="true">
      <c r="A5520" t="s" s="2">
        <v>13</v>
      </c>
      <c r="B5520" t="s" s="2">
        <f>HYPERLINK("http://ts.21cn.com/tousu/show/id/1368087","今日头条鲁班电商不退押金")</f>
      </c>
      <c r="C5520" t="s" s="2">
        <v>15</v>
      </c>
      <c r="D5520" t="s" s="2">
        <v>16</v>
      </c>
      <c r="E5520" t="s" s="2">
        <v>17</v>
      </c>
      <c r="F5520" t="s" s="2">
        <f>HYPERLINK("http://ts.21cn.com/tousu/show/id/1368087","http://ts.21cn.com/tousu/show/id/1368087")</f>
      </c>
      <c r="G5520" t="s" s="2">
        <v>17</v>
      </c>
      <c r="H5520" t="s" s="2">
        <v>19</v>
      </c>
      <c r="I5520" t="s" s="2">
        <v>21399</v>
      </c>
      <c r="J5520" t="s" s="2">
        <v>21400</v>
      </c>
      <c r="K5520" t="s" s="2">
        <v>22</v>
      </c>
      <c r="L5520" t="s" s="2">
        <v>22</v>
      </c>
      <c r="M5520" t="s" s="2">
        <v>22</v>
      </c>
    </row>
    <row r="5521" ht="25.0" customHeight="true">
      <c r="A5521" t="s" s="2">
        <v>13</v>
      </c>
      <c r="B5521" t="s" s="2">
        <f>HYPERLINK("http://ts.21cn.com/tousu/show/id/1368086","苏宁任性付暴力催收")</f>
      </c>
      <c r="C5521" t="s" s="2">
        <v>15</v>
      </c>
      <c r="D5521" t="s" s="2">
        <v>16</v>
      </c>
      <c r="E5521" t="s" s="2">
        <v>17</v>
      </c>
      <c r="F5521" t="s" s="2">
        <f>HYPERLINK("http://ts.21cn.com/tousu/show/id/1368086","http://ts.21cn.com/tousu/show/id/1368086")</f>
      </c>
      <c r="G5521" t="s" s="2">
        <v>17</v>
      </c>
      <c r="H5521" t="s" s="2">
        <v>19</v>
      </c>
      <c r="I5521" t="s" s="2">
        <v>21402</v>
      </c>
      <c r="J5521" t="s" s="2">
        <v>21403</v>
      </c>
      <c r="K5521" t="s" s="2">
        <v>22</v>
      </c>
      <c r="L5521" t="s" s="2">
        <v>22</v>
      </c>
      <c r="M5521" t="s" s="2">
        <v>22</v>
      </c>
    </row>
    <row r="5522" ht="25.0" customHeight="true">
      <c r="A5522" t="s" s="2">
        <v>13</v>
      </c>
      <c r="B5522" t="s" s="2">
        <f>HYPERLINK("http://ts.21cn.com/tousu/show/id/1368085","京东金融倒流平台活力花威胁爆通讯录")</f>
      </c>
      <c r="C5522" t="s" s="2">
        <v>15</v>
      </c>
      <c r="D5522" t="s" s="2">
        <v>16</v>
      </c>
      <c r="E5522" t="s" s="2">
        <v>17</v>
      </c>
      <c r="F5522" t="s" s="2">
        <f>HYPERLINK("http://ts.21cn.com/tousu/show/id/1368085","http://ts.21cn.com/tousu/show/id/1368085")</f>
      </c>
      <c r="G5522" t="s" s="2">
        <v>17</v>
      </c>
      <c r="H5522" t="s" s="2">
        <v>19</v>
      </c>
      <c r="I5522" t="s" s="2">
        <v>21406</v>
      </c>
      <c r="J5522" t="s" s="2">
        <v>21407</v>
      </c>
      <c r="K5522" t="s" s="2">
        <v>22</v>
      </c>
      <c r="L5522" t="s" s="2">
        <v>22</v>
      </c>
      <c r="M5522" t="s" s="2">
        <v>22</v>
      </c>
    </row>
    <row r="5523" ht="25.0" customHeight="true">
      <c r="A5523" t="s" s="2">
        <v>13</v>
      </c>
      <c r="B5523" t="s" s="2">
        <f>HYPERLINK("http://ts.21cn.com/tousu/show/id/1368084","哆咪黑卡诱导他人借款激活申请后自动免密扣款199元")</f>
      </c>
      <c r="C5523" t="s" s="2">
        <v>15</v>
      </c>
      <c r="D5523" t="s" s="2">
        <v>16</v>
      </c>
      <c r="E5523" t="s" s="2">
        <v>17</v>
      </c>
      <c r="F5523" t="s" s="2">
        <f>HYPERLINK("http://ts.21cn.com/tousu/show/id/1368084","http://ts.21cn.com/tousu/show/id/1368084")</f>
      </c>
      <c r="G5523" t="s" s="2">
        <v>17</v>
      </c>
      <c r="H5523" t="s" s="2">
        <v>19</v>
      </c>
      <c r="I5523" t="s" s="2">
        <v>21410</v>
      </c>
      <c r="J5523" t="s" s="2">
        <v>21411</v>
      </c>
      <c r="K5523" t="s" s="2">
        <v>22</v>
      </c>
      <c r="L5523" t="s" s="2">
        <v>22</v>
      </c>
      <c r="M5523" t="s" s="2">
        <v>22</v>
      </c>
    </row>
    <row r="5524" ht="25.0" customHeight="true">
      <c r="A5524" t="s" s="2">
        <v>13</v>
      </c>
      <c r="B5524" t="s" s="2">
        <f>HYPERLINK("http://ts.21cn.com/tousu/show/id/1368081","高利贷变相收费")</f>
      </c>
      <c r="C5524" t="s" s="2">
        <v>15</v>
      </c>
      <c r="D5524" t="s" s="2">
        <v>16</v>
      </c>
      <c r="E5524" t="s" s="2">
        <v>17</v>
      </c>
      <c r="F5524" t="s" s="2">
        <f>HYPERLINK("http://ts.21cn.com/tousu/show/id/1368081","http://ts.21cn.com/tousu/show/id/1368081")</f>
      </c>
      <c r="G5524" t="s" s="2">
        <v>17</v>
      </c>
      <c r="H5524" t="s" s="2">
        <v>19</v>
      </c>
      <c r="I5524" t="s" s="2">
        <v>21414</v>
      </c>
      <c r="J5524" t="s" s="2">
        <v>21415</v>
      </c>
      <c r="K5524" t="s" s="2">
        <v>22</v>
      </c>
      <c r="L5524" t="s" s="2">
        <v>22</v>
      </c>
      <c r="M5524" t="s" s="2">
        <v>22</v>
      </c>
    </row>
    <row r="5525" ht="25.0" customHeight="true">
      <c r="A5525" t="s" s="2">
        <v>13</v>
      </c>
      <c r="B5525" t="s" s="2">
        <f>HYPERLINK("http://ts.21cn.com/tousu/show/id/1368080","助力钱包骚扰我")</f>
      </c>
      <c r="C5525" t="s" s="2">
        <v>52</v>
      </c>
      <c r="D5525" t="s" s="2">
        <v>16</v>
      </c>
      <c r="E5525" t="s" s="2">
        <v>17</v>
      </c>
      <c r="F5525" t="s" s="2">
        <f>HYPERLINK("http://ts.21cn.com/tousu/show/id/1368080","http://ts.21cn.com/tousu/show/id/1368080")</f>
      </c>
      <c r="G5525" t="s" s="2">
        <v>17</v>
      </c>
      <c r="H5525" t="s" s="2">
        <v>19</v>
      </c>
      <c r="I5525" t="s" s="2">
        <v>21418</v>
      </c>
      <c r="J5525" t="s" s="2">
        <v>21419</v>
      </c>
      <c r="K5525" t="s" s="2">
        <v>22</v>
      </c>
      <c r="L5525" t="s" s="2">
        <v>22</v>
      </c>
      <c r="M5525" t="s" s="2">
        <v>22</v>
      </c>
    </row>
    <row r="5526" ht="25.0" customHeight="true">
      <c r="A5526" t="s" s="2">
        <v>13</v>
      </c>
      <c r="B5526" t="s" s="2">
        <f>HYPERLINK("http://ts.21cn.com/tousu/show/id/1368079","投诉中信银行，欠款协议已还完。后期又说没还完")</f>
      </c>
      <c r="C5526" t="s" s="2">
        <v>15</v>
      </c>
      <c r="D5526" t="s" s="2">
        <v>16</v>
      </c>
      <c r="E5526" t="s" s="2">
        <v>17</v>
      </c>
      <c r="F5526" t="s" s="2">
        <f>HYPERLINK("http://ts.21cn.com/tousu/show/id/1368079","http://ts.21cn.com/tousu/show/id/1368079")</f>
      </c>
      <c r="G5526" t="s" s="2">
        <v>17</v>
      </c>
      <c r="H5526" t="s" s="2">
        <v>19</v>
      </c>
      <c r="I5526" t="s" s="2">
        <v>21422</v>
      </c>
      <c r="J5526" t="s" s="2">
        <v>21423</v>
      </c>
      <c r="K5526" t="s" s="2">
        <v>22</v>
      </c>
      <c r="L5526" t="s" s="2">
        <v>22</v>
      </c>
      <c r="M5526" t="s" s="2">
        <v>22</v>
      </c>
    </row>
    <row r="5527" ht="25.0" customHeight="true">
      <c r="A5527" t="s" s="2">
        <v>13</v>
      </c>
      <c r="B5527" t="s" s="2">
        <f>HYPERLINK("http://ts.21cn.com/tousu/show/id/1368078","平安信用卡协商还款时间")</f>
      </c>
      <c r="C5527" t="s" s="2">
        <v>52</v>
      </c>
      <c r="D5527" t="s" s="2">
        <v>16</v>
      </c>
      <c r="E5527" t="s" s="2">
        <v>17</v>
      </c>
      <c r="F5527" t="s" s="2">
        <f>HYPERLINK("http://ts.21cn.com/tousu/show/id/1368078","http://ts.21cn.com/tousu/show/id/1368078")</f>
      </c>
      <c r="G5527" t="s" s="2">
        <v>17</v>
      </c>
      <c r="H5527" t="s" s="2">
        <v>19</v>
      </c>
      <c r="I5527" t="s" s="2">
        <v>21426</v>
      </c>
      <c r="J5527" t="s" s="2">
        <v>21427</v>
      </c>
      <c r="K5527" t="s" s="2">
        <v>22</v>
      </c>
      <c r="L5527" t="s" s="2">
        <v>22</v>
      </c>
      <c r="M5527" t="s" s="2">
        <v>22</v>
      </c>
    </row>
    <row r="5528" ht="25.0" customHeight="true">
      <c r="A5528" t="s" s="2">
        <v>13</v>
      </c>
      <c r="B5528" t="s" s="2">
        <f>HYPERLINK("http://ts.21cn.com/tousu/show/id/1368076","丰趣海淘拖欠员工工资，强制执行也没用")</f>
      </c>
      <c r="C5528" t="s" s="2">
        <v>15</v>
      </c>
      <c r="D5528" t="s" s="2">
        <v>16</v>
      </c>
      <c r="E5528" t="s" s="2">
        <v>17</v>
      </c>
      <c r="F5528" t="s" s="2">
        <f>HYPERLINK("http://ts.21cn.com/tousu/show/id/1368076","http://ts.21cn.com/tousu/show/id/1368076")</f>
      </c>
      <c r="G5528" t="s" s="2">
        <v>17</v>
      </c>
      <c r="H5528" t="s" s="2">
        <v>19</v>
      </c>
      <c r="I5528" t="s" s="2">
        <v>21429</v>
      </c>
      <c r="J5528" t="s" s="2">
        <v>21430</v>
      </c>
      <c r="K5528" t="s" s="2">
        <v>22</v>
      </c>
      <c r="L5528" t="s" s="2">
        <v>22</v>
      </c>
      <c r="M5528" t="s" s="2">
        <v>22</v>
      </c>
    </row>
    <row r="5529" ht="25.0" customHeight="true">
      <c r="A5529" t="s" s="2">
        <v>13</v>
      </c>
      <c r="B5529" t="s" s="2">
        <f>HYPERLINK("http://ts.21cn.com/tousu/show/id/1368077","聚富分期恶意扣费298.5不给退")</f>
      </c>
      <c r="C5529" t="s" s="2">
        <v>15</v>
      </c>
      <c r="D5529" t="s" s="2">
        <v>16</v>
      </c>
      <c r="E5529" t="s" s="2">
        <v>17</v>
      </c>
      <c r="F5529" t="s" s="2">
        <f>HYPERLINK("http://ts.21cn.com/tousu/show/id/1368077","http://ts.21cn.com/tousu/show/id/1368077")</f>
      </c>
      <c r="G5529" t="s" s="2">
        <v>17</v>
      </c>
      <c r="H5529" t="s" s="2">
        <v>19</v>
      </c>
      <c r="I5529" t="s" s="2">
        <v>21429</v>
      </c>
      <c r="J5529" t="s" s="2">
        <v>21433</v>
      </c>
      <c r="K5529" t="s" s="2">
        <v>22</v>
      </c>
      <c r="L5529" t="s" s="2">
        <v>22</v>
      </c>
      <c r="M5529" t="s" s="2">
        <v>22</v>
      </c>
    </row>
    <row r="5530" ht="25.0" customHeight="true">
      <c r="A5530" t="s" s="2">
        <v>13</v>
      </c>
      <c r="B5530" t="s" s="2">
        <f>HYPERLINK("http://ts.21cn.com/tousu/show/id/1368043","丰趣海淘拖欠员工工资，强制执行也没用")</f>
      </c>
      <c r="C5530" t="s" s="2">
        <v>15</v>
      </c>
      <c r="D5530" t="s" s="2">
        <v>16</v>
      </c>
      <c r="E5530" t="s" s="2">
        <v>17</v>
      </c>
      <c r="F5530" t="s" s="2">
        <f>HYPERLINK("http://ts.21cn.com/tousu/show/id/1368043","http://ts.21cn.com/tousu/show/id/1368043")</f>
      </c>
      <c r="G5530" t="s" s="2">
        <v>17</v>
      </c>
      <c r="H5530" t="s" s="2">
        <v>19</v>
      </c>
      <c r="I5530" t="s" s="2">
        <v>21435</v>
      </c>
      <c r="J5530" t="s" s="2">
        <v>21436</v>
      </c>
      <c r="K5530" t="s" s="2">
        <v>22</v>
      </c>
      <c r="L5530" t="s" s="2">
        <v>22</v>
      </c>
      <c r="M5530" t="s" s="2">
        <v>22</v>
      </c>
    </row>
    <row r="5531" ht="25.0" customHeight="true">
      <c r="A5531" t="s" s="2">
        <v>13</v>
      </c>
      <c r="B5531" t="s" s="2">
        <f>HYPERLINK("http://ts.21cn.com/tousu/show/id/1368075","有用分期没有解决问题让我结案，第二天联系他们说方案失效")</f>
      </c>
      <c r="C5531" t="s" s="2">
        <v>15</v>
      </c>
      <c r="D5531" t="s" s="2">
        <v>16</v>
      </c>
      <c r="E5531" t="s" s="2">
        <v>17</v>
      </c>
      <c r="F5531" t="s" s="2">
        <f>HYPERLINK("http://ts.21cn.com/tousu/show/id/1368075","http://ts.21cn.com/tousu/show/id/1368075")</f>
      </c>
      <c r="G5531" t="s" s="2">
        <v>17</v>
      </c>
      <c r="H5531" t="s" s="2">
        <v>19</v>
      </c>
      <c r="I5531" t="s" s="2">
        <v>21439</v>
      </c>
      <c r="J5531" t="s" s="2">
        <v>21440</v>
      </c>
      <c r="K5531" t="s" s="2">
        <v>22</v>
      </c>
      <c r="L5531" t="s" s="2">
        <v>22</v>
      </c>
      <c r="M5531" t="s" s="2">
        <v>22</v>
      </c>
    </row>
    <row r="5532" ht="25.0" customHeight="true">
      <c r="A5532" t="s" s="2">
        <v>13</v>
      </c>
      <c r="B5532" t="s" s="2">
        <f>HYPERLINK("http://ts.21cn.com/tousu/show/id/1368074","掌众金融闪电借款")</f>
      </c>
      <c r="C5532" t="s" s="2">
        <v>15</v>
      </c>
      <c r="D5532" t="s" s="2">
        <v>16</v>
      </c>
      <c r="E5532" t="s" s="2">
        <v>17</v>
      </c>
      <c r="F5532" t="s" s="2">
        <f>HYPERLINK("http://ts.21cn.com/tousu/show/id/1368074","http://ts.21cn.com/tousu/show/id/1368074")</f>
      </c>
      <c r="G5532" t="s" s="2">
        <v>17</v>
      </c>
      <c r="H5532" t="s" s="2">
        <v>19</v>
      </c>
      <c r="I5532" t="s" s="2">
        <v>21443</v>
      </c>
      <c r="J5532" t="s" s="2">
        <v>21444</v>
      </c>
      <c r="K5532" t="s" s="2">
        <v>22</v>
      </c>
      <c r="L5532" t="s" s="2">
        <v>22</v>
      </c>
      <c r="M5532" t="s" s="2">
        <v>22</v>
      </c>
    </row>
    <row r="5533" ht="25.0" customHeight="true">
      <c r="A5533" t="s" s="2">
        <v>13</v>
      </c>
      <c r="B5533" t="s" s="2">
        <f>HYPERLINK("http://ts.21cn.com/tousu/show/id/1368073","高利贷砍头息电话骚扰威胁")</f>
      </c>
      <c r="C5533" t="s" s="2">
        <v>15</v>
      </c>
      <c r="D5533" t="s" s="2">
        <v>16</v>
      </c>
      <c r="E5533" t="s" s="2">
        <v>17</v>
      </c>
      <c r="F5533" t="s" s="2">
        <f>HYPERLINK("http://ts.21cn.com/tousu/show/id/1368073","http://ts.21cn.com/tousu/show/id/1368073")</f>
      </c>
      <c r="G5533" t="s" s="2">
        <v>17</v>
      </c>
      <c r="H5533" t="s" s="2">
        <v>19</v>
      </c>
      <c r="I5533" t="s" s="2">
        <v>21447</v>
      </c>
      <c r="J5533" t="s" s="2">
        <v>21448</v>
      </c>
      <c r="K5533" t="s" s="2">
        <v>22</v>
      </c>
      <c r="L5533" t="s" s="2">
        <v>22</v>
      </c>
      <c r="M5533" t="s" s="2">
        <v>22</v>
      </c>
    </row>
    <row r="5534" ht="25.0" customHeight="true">
      <c r="A5534" t="s" s="2">
        <v>13</v>
      </c>
      <c r="B5534" t="s" s="2">
        <f>HYPERLINK("http://ts.21cn.com/tousu/show/id/1368071","阳光信用保证保险股份有限公司")</f>
      </c>
      <c r="C5534" t="s" s="2">
        <v>15</v>
      </c>
      <c r="D5534" t="s" s="2">
        <v>16</v>
      </c>
      <c r="E5534" t="s" s="2">
        <v>17</v>
      </c>
      <c r="F5534" t="s" s="2">
        <f>HYPERLINK("http://ts.21cn.com/tousu/show/id/1368071","http://ts.21cn.com/tousu/show/id/1368071")</f>
      </c>
      <c r="G5534" t="s" s="2">
        <v>17</v>
      </c>
      <c r="H5534" t="s" s="2">
        <v>19</v>
      </c>
      <c r="I5534" t="s" s="2">
        <v>21451</v>
      </c>
      <c r="J5534" t="s" s="2">
        <v>21452</v>
      </c>
      <c r="K5534" t="s" s="2">
        <v>22</v>
      </c>
      <c r="L5534" t="s" s="2">
        <v>22</v>
      </c>
      <c r="M5534" t="s" s="2">
        <v>22</v>
      </c>
    </row>
    <row r="5535" ht="25.0" customHeight="true">
      <c r="A5535" t="s" s="2">
        <v>13</v>
      </c>
      <c r="B5535" t="s" s="2">
        <f>HYPERLINK("http://ts.21cn.com/tousu/show/id/1368072","恶意设置账户注销条件，拒绝客户注销请求")</f>
      </c>
      <c r="C5535" t="s" s="2">
        <v>15</v>
      </c>
      <c r="D5535" t="s" s="2">
        <v>16</v>
      </c>
      <c r="E5535" t="s" s="2">
        <v>17</v>
      </c>
      <c r="F5535" t="s" s="2">
        <f>HYPERLINK("http://ts.21cn.com/tousu/show/id/1368072","http://ts.21cn.com/tousu/show/id/1368072")</f>
      </c>
      <c r="G5535" t="s" s="2">
        <v>17</v>
      </c>
      <c r="H5535" t="s" s="2">
        <v>19</v>
      </c>
      <c r="I5535" t="s" s="2">
        <v>21455</v>
      </c>
      <c r="J5535" t="s" s="2">
        <v>21456</v>
      </c>
      <c r="K5535" t="s" s="2">
        <v>22</v>
      </c>
      <c r="L5535" t="s" s="2">
        <v>22</v>
      </c>
      <c r="M5535" t="s" s="2">
        <v>22</v>
      </c>
    </row>
    <row r="5536" ht="25.0" customHeight="true">
      <c r="A5536" t="s" s="2">
        <v>13</v>
      </c>
      <c r="B5536" t="s" s="2">
        <f>HYPERLINK("http://ts.21cn.com/tousu/show/id/1368070","未按要求放款，存在违规行为")</f>
      </c>
      <c r="C5536" t="s" s="2">
        <v>15</v>
      </c>
      <c r="D5536" t="s" s="2">
        <v>16</v>
      </c>
      <c r="E5536" t="s" s="2">
        <v>17</v>
      </c>
      <c r="F5536" t="s" s="2">
        <f>HYPERLINK("http://ts.21cn.com/tousu/show/id/1368070","http://ts.21cn.com/tousu/show/id/1368070")</f>
      </c>
      <c r="G5536" t="s" s="2">
        <v>17</v>
      </c>
      <c r="H5536" t="s" s="2">
        <v>19</v>
      </c>
      <c r="I5536" t="s" s="2">
        <v>21459</v>
      </c>
      <c r="J5536" t="s" s="2">
        <v>21460</v>
      </c>
      <c r="K5536" t="s" s="2">
        <v>22</v>
      </c>
      <c r="L5536" t="s" s="2">
        <v>22</v>
      </c>
      <c r="M5536" t="s" s="2">
        <v>22</v>
      </c>
    </row>
    <row r="5537" ht="25.0" customHeight="true">
      <c r="A5537" t="s" s="2">
        <v>13</v>
      </c>
      <c r="B5537" t="s" s="2">
        <f>HYPERLINK("http://ts.21cn.com/tousu/show/id/1368069","闪银奇异哼哼瞬瞬催收")</f>
      </c>
      <c r="C5537" t="s" s="2">
        <v>15</v>
      </c>
      <c r="D5537" t="s" s="2">
        <v>16</v>
      </c>
      <c r="E5537" t="s" s="2">
        <v>17</v>
      </c>
      <c r="F5537" t="s" s="2">
        <f>HYPERLINK("http://ts.21cn.com/tousu/show/id/1368069","http://ts.21cn.com/tousu/show/id/1368069")</f>
      </c>
      <c r="G5537" t="s" s="2">
        <v>17</v>
      </c>
      <c r="H5537" t="s" s="2">
        <v>19</v>
      </c>
      <c r="I5537" t="s" s="2">
        <v>21463</v>
      </c>
      <c r="J5537" t="s" s="2">
        <v>21464</v>
      </c>
      <c r="K5537" t="s" s="2">
        <v>22</v>
      </c>
      <c r="L5537" t="s" s="2">
        <v>22</v>
      </c>
      <c r="M5537" t="s" s="2">
        <v>22</v>
      </c>
    </row>
    <row r="5538" ht="25.0" customHeight="true">
      <c r="A5538" t="s" s="2">
        <v>13</v>
      </c>
      <c r="B5538" t="s" s="2">
        <f>HYPERLINK("http://ts.21cn.com/tousu/show/id/1368067","小象优品暴力催收高利贷")</f>
      </c>
      <c r="C5538" t="s" s="2">
        <v>15</v>
      </c>
      <c r="D5538" t="s" s="2">
        <v>16</v>
      </c>
      <c r="E5538" t="s" s="2">
        <v>17</v>
      </c>
      <c r="F5538" t="s" s="2">
        <f>HYPERLINK("http://ts.21cn.com/tousu/show/id/1368067","http://ts.21cn.com/tousu/show/id/1368067")</f>
      </c>
      <c r="G5538" t="s" s="2">
        <v>17</v>
      </c>
      <c r="H5538" t="s" s="2">
        <v>19</v>
      </c>
      <c r="I5538" t="s" s="2">
        <v>21467</v>
      </c>
      <c r="J5538" t="s" s="2">
        <v>21468</v>
      </c>
      <c r="K5538" t="s" s="2">
        <v>22</v>
      </c>
      <c r="L5538" t="s" s="2">
        <v>22</v>
      </c>
      <c r="M5538" t="s" s="2">
        <v>22</v>
      </c>
    </row>
    <row r="5539" ht="25.0" customHeight="true">
      <c r="A5539" t="s" s="2">
        <v>13</v>
      </c>
      <c r="B5539" t="s" s="2">
        <f>HYPERLINK("http://ts.21cn.com/tousu/show/id/1368066","邮政储蓄中邮消费不合理催收")</f>
      </c>
      <c r="C5539" t="s" s="2">
        <v>15</v>
      </c>
      <c r="D5539" t="s" s="2">
        <v>16</v>
      </c>
      <c r="E5539" t="s" s="2">
        <v>17</v>
      </c>
      <c r="F5539" t="s" s="2">
        <f>HYPERLINK("http://ts.21cn.com/tousu/show/id/1368066","http://ts.21cn.com/tousu/show/id/1368066")</f>
      </c>
      <c r="G5539" t="s" s="2">
        <v>17</v>
      </c>
      <c r="H5539" t="s" s="2">
        <v>19</v>
      </c>
      <c r="I5539" t="s" s="2">
        <v>21471</v>
      </c>
      <c r="J5539" t="s" s="2">
        <v>21472</v>
      </c>
      <c r="K5539" t="s" s="2">
        <v>22</v>
      </c>
      <c r="L5539" t="s" s="2">
        <v>22</v>
      </c>
      <c r="M5539" t="s" s="2">
        <v>22</v>
      </c>
    </row>
    <row r="5540" ht="25.0" customHeight="true">
      <c r="A5540" t="s" s="2">
        <v>13</v>
      </c>
      <c r="B5540" t="s" s="2">
        <f>HYPERLINK("http://ts.21cn.com/tousu/show/id/1368065","信用花取消订单")</f>
      </c>
      <c r="C5540" t="s" s="2">
        <v>15</v>
      </c>
      <c r="D5540" t="s" s="2">
        <v>16</v>
      </c>
      <c r="E5540" t="s" s="2">
        <v>17</v>
      </c>
      <c r="F5540" t="s" s="2">
        <f>HYPERLINK("http://ts.21cn.com/tousu/show/id/1368065","http://ts.21cn.com/tousu/show/id/1368065")</f>
      </c>
      <c r="G5540" t="s" s="2">
        <v>17</v>
      </c>
      <c r="H5540" t="s" s="2">
        <v>19</v>
      </c>
      <c r="I5540" t="s" s="2">
        <v>21475</v>
      </c>
      <c r="J5540" t="s" s="2">
        <v>21476</v>
      </c>
      <c r="K5540" t="s" s="2">
        <v>22</v>
      </c>
      <c r="L5540" t="s" s="2">
        <v>22</v>
      </c>
      <c r="M5540" t="s" s="2">
        <v>22</v>
      </c>
    </row>
    <row r="5541" ht="25.0" customHeight="true">
      <c r="A5541" t="s" s="2">
        <v>13</v>
      </c>
      <c r="B5541" t="s" s="2">
        <f>HYPERLINK("http://ts.21cn.com/tousu/show/id/1368064","闪电快贷催收态度恶劣，威胁恐吓。")</f>
      </c>
      <c r="C5541" t="s" s="2">
        <v>15</v>
      </c>
      <c r="D5541" t="s" s="2">
        <v>16</v>
      </c>
      <c r="E5541" t="s" s="2">
        <v>17</v>
      </c>
      <c r="F5541" t="s" s="2">
        <f>HYPERLINK("http://ts.21cn.com/tousu/show/id/1368064","http://ts.21cn.com/tousu/show/id/1368064")</f>
      </c>
      <c r="G5541" t="s" s="2">
        <v>17</v>
      </c>
      <c r="H5541" t="s" s="2">
        <v>19</v>
      </c>
      <c r="I5541" t="s" s="2">
        <v>21479</v>
      </c>
      <c r="J5541" t="s" s="2">
        <v>21480</v>
      </c>
      <c r="K5541" t="s" s="2">
        <v>22</v>
      </c>
      <c r="L5541" t="s" s="2">
        <v>22</v>
      </c>
      <c r="M5541" t="s" s="2">
        <v>22</v>
      </c>
    </row>
    <row r="5542" ht="25.0" customHeight="true">
      <c r="A5542" t="s" s="2">
        <v>13</v>
      </c>
      <c r="B5542" t="s" s="2">
        <f>HYPERLINK("http://ts.21cn.com/tousu/show/id/1368062","韦博国际英语关门停业，没有给予任何的解决办法，退款也没有明确的时间。")</f>
      </c>
      <c r="C5542" t="s" s="2">
        <v>15</v>
      </c>
      <c r="D5542" t="s" s="2">
        <v>16</v>
      </c>
      <c r="E5542" t="s" s="2">
        <v>17</v>
      </c>
      <c r="F5542" t="s" s="2">
        <f>HYPERLINK("http://ts.21cn.com/tousu/show/id/1368062","http://ts.21cn.com/tousu/show/id/1368062")</f>
      </c>
      <c r="G5542" t="s" s="2">
        <v>17</v>
      </c>
      <c r="H5542" t="s" s="2">
        <v>19</v>
      </c>
      <c r="I5542" t="s" s="2">
        <v>21483</v>
      </c>
      <c r="J5542" t="s" s="2">
        <v>21484</v>
      </c>
      <c r="K5542" t="s" s="2">
        <v>22</v>
      </c>
      <c r="L5542" t="s" s="2">
        <v>22</v>
      </c>
      <c r="M5542" t="s" s="2">
        <v>22</v>
      </c>
    </row>
    <row r="5543" ht="25.0" customHeight="true">
      <c r="A5543" t="s" s="2">
        <v>13</v>
      </c>
      <c r="B5543" t="s" s="2">
        <f>HYPERLINK("http://ts.21cn.com/tousu/show/id/1368061","现金巴士收取高额砍头息")</f>
      </c>
      <c r="C5543" t="s" s="2">
        <v>52</v>
      </c>
      <c r="D5543" t="s" s="2">
        <v>16</v>
      </c>
      <c r="E5543" t="s" s="2">
        <v>17</v>
      </c>
      <c r="F5543" t="s" s="2">
        <f>HYPERLINK("http://ts.21cn.com/tousu/show/id/1368061","http://ts.21cn.com/tousu/show/id/1368061")</f>
      </c>
      <c r="G5543" t="s" s="2">
        <v>17</v>
      </c>
      <c r="H5543" t="s" s="2">
        <v>19</v>
      </c>
      <c r="I5543" t="s" s="2">
        <v>21483</v>
      </c>
      <c r="J5543" t="s" s="2">
        <v>21487</v>
      </c>
      <c r="K5543" t="s" s="2">
        <v>22</v>
      </c>
      <c r="L5543" t="s" s="2">
        <v>22</v>
      </c>
      <c r="M5543" t="s" s="2">
        <v>22</v>
      </c>
    </row>
    <row r="5544" ht="25.0" customHeight="true">
      <c r="A5544" t="s" s="2">
        <v>13</v>
      </c>
      <c r="B5544" t="s" s="2">
        <f>HYPERLINK("http://ts.21cn.com/tousu/show/id/1368060","退款")</f>
      </c>
      <c r="C5544" t="s" s="2">
        <v>15</v>
      </c>
      <c r="D5544" t="s" s="2">
        <v>16</v>
      </c>
      <c r="E5544" t="s" s="2">
        <v>17</v>
      </c>
      <c r="F5544" t="s" s="2">
        <f>HYPERLINK("http://ts.21cn.com/tousu/show/id/1368060","http://ts.21cn.com/tousu/show/id/1368060")</f>
      </c>
      <c r="G5544" t="s" s="2">
        <v>17</v>
      </c>
      <c r="H5544" t="s" s="2">
        <v>19</v>
      </c>
      <c r="I5544" t="s" s="2">
        <v>21489</v>
      </c>
      <c r="J5544" t="s" s="2">
        <v>21490</v>
      </c>
      <c r="K5544" t="s" s="2">
        <v>22</v>
      </c>
      <c r="L5544" t="s" s="2">
        <v>22</v>
      </c>
      <c r="M5544" t="s" s="2">
        <v>22</v>
      </c>
    </row>
    <row r="5545" ht="25.0" customHeight="true">
      <c r="A5545" t="s" s="2">
        <v>13</v>
      </c>
      <c r="B5545" t="s" s="2">
        <f>HYPERLINK("http://ts.21cn.com/tousu/show/id/1368059","高炮暴力催收逼死人")</f>
      </c>
      <c r="C5545" t="s" s="2">
        <v>15</v>
      </c>
      <c r="D5545" t="s" s="2">
        <v>16</v>
      </c>
      <c r="E5545" t="s" s="2">
        <v>17</v>
      </c>
      <c r="F5545" t="s" s="2">
        <f>HYPERLINK("http://ts.21cn.com/tousu/show/id/1368059","http://ts.21cn.com/tousu/show/id/1368059")</f>
      </c>
      <c r="G5545" t="s" s="2">
        <v>17</v>
      </c>
      <c r="H5545" t="s" s="2">
        <v>19</v>
      </c>
      <c r="I5545" t="s" s="2">
        <v>21489</v>
      </c>
      <c r="J5545" t="s" s="2">
        <v>21493</v>
      </c>
      <c r="K5545" t="s" s="2">
        <v>22</v>
      </c>
      <c r="L5545" t="s" s="2">
        <v>22</v>
      </c>
      <c r="M5545" t="s" s="2">
        <v>22</v>
      </c>
    </row>
    <row r="5546" ht="25.0" customHeight="true">
      <c r="A5546" t="s" s="2">
        <v>13</v>
      </c>
      <c r="B5546" t="s" s="2">
        <f>HYPERLINK("http://ts.21cn.com/tousu/show/id/1368056","白条分期私自扣我银行卡里199元钱，说是会员费")</f>
      </c>
      <c r="C5546" t="s" s="2">
        <v>15</v>
      </c>
      <c r="D5546" t="s" s="2">
        <v>16</v>
      </c>
      <c r="E5546" t="s" s="2">
        <v>17</v>
      </c>
      <c r="F5546" t="s" s="2">
        <f>HYPERLINK("http://ts.21cn.com/tousu/show/id/1368056","http://ts.21cn.com/tousu/show/id/1368056")</f>
      </c>
      <c r="G5546" t="s" s="2">
        <v>17</v>
      </c>
      <c r="H5546" t="s" s="2">
        <v>19</v>
      </c>
      <c r="I5546" t="s" s="2">
        <v>21495</v>
      </c>
      <c r="J5546" t="s" s="2">
        <v>21496</v>
      </c>
      <c r="K5546" t="s" s="2">
        <v>22</v>
      </c>
      <c r="L5546" t="s" s="2">
        <v>22</v>
      </c>
      <c r="M5546" t="s" s="2">
        <v>22</v>
      </c>
    </row>
    <row r="5547" ht="25.0" customHeight="true">
      <c r="A5547" t="s" s="2">
        <v>13</v>
      </c>
      <c r="B5547" t="s" s="2">
        <f>HYPERLINK("http://ts.21cn.com/tousu/show/id/1368050","瑞通宝刷卡钱没到账沟通人员态度恶劣")</f>
      </c>
      <c r="C5547" t="s" s="2">
        <v>15</v>
      </c>
      <c r="D5547" t="s" s="2">
        <v>16</v>
      </c>
      <c r="E5547" t="s" s="2">
        <v>17</v>
      </c>
      <c r="F5547" t="s" s="2">
        <f>HYPERLINK("http://ts.21cn.com/tousu/show/id/1368050","http://ts.21cn.com/tousu/show/id/1368050")</f>
      </c>
      <c r="G5547" t="s" s="2">
        <v>17</v>
      </c>
      <c r="H5547" t="s" s="2">
        <v>19</v>
      </c>
      <c r="I5547" t="s" s="2">
        <v>21499</v>
      </c>
      <c r="J5547" t="s" s="2">
        <v>21500</v>
      </c>
      <c r="K5547" t="s" s="2">
        <v>22</v>
      </c>
      <c r="L5547" t="s" s="2">
        <v>22</v>
      </c>
      <c r="M5547" t="s" s="2">
        <v>22</v>
      </c>
    </row>
    <row r="5548" ht="25.0" customHeight="true">
      <c r="A5548" t="s" s="2">
        <v>13</v>
      </c>
      <c r="B5548" t="s" s="2">
        <f>HYPERLINK("http://ts.21cn.com/tousu/show/id/1368055","闪银新人通道催收人员打电话威胁")</f>
      </c>
      <c r="C5548" t="s" s="2">
        <v>15</v>
      </c>
      <c r="D5548" t="s" s="2">
        <v>16</v>
      </c>
      <c r="E5548" t="s" s="2">
        <v>17</v>
      </c>
      <c r="F5548" t="s" s="2">
        <f>HYPERLINK("http://ts.21cn.com/tousu/show/id/1368055","http://ts.21cn.com/tousu/show/id/1368055")</f>
      </c>
      <c r="G5548" t="s" s="2">
        <v>17</v>
      </c>
      <c r="H5548" t="s" s="2">
        <v>19</v>
      </c>
      <c r="I5548" t="s" s="2">
        <v>21503</v>
      </c>
      <c r="J5548" t="s" s="2">
        <v>21504</v>
      </c>
      <c r="K5548" t="s" s="2">
        <v>22</v>
      </c>
      <c r="L5548" t="s" s="2">
        <v>22</v>
      </c>
      <c r="M5548" t="s" s="2">
        <v>22</v>
      </c>
    </row>
    <row r="5549" ht="25.0" customHeight="true">
      <c r="A5549" t="s" s="2">
        <v>13</v>
      </c>
      <c r="B5549" t="s" s="2">
        <f>HYPERLINK("http://ts.21cn.com/tousu/show/id/1367986","恒企诱导消费，霸王条款，不许退费")</f>
      </c>
      <c r="C5549" t="s" s="2">
        <v>15</v>
      </c>
      <c r="D5549" t="s" s="2">
        <v>16</v>
      </c>
      <c r="E5549" t="s" s="2">
        <v>17</v>
      </c>
      <c r="F5549" t="s" s="2">
        <f>HYPERLINK("http://ts.21cn.com/tousu/show/id/1367986","http://ts.21cn.com/tousu/show/id/1367986")</f>
      </c>
      <c r="G5549" t="s" s="2">
        <v>17</v>
      </c>
      <c r="H5549" t="s" s="2">
        <v>19</v>
      </c>
      <c r="I5549" t="s" s="2">
        <v>21507</v>
      </c>
      <c r="J5549" t="s" s="2">
        <v>21508</v>
      </c>
      <c r="K5549" t="s" s="2">
        <v>22</v>
      </c>
      <c r="L5549" t="s" s="2">
        <v>22</v>
      </c>
      <c r="M5549" t="s" s="2">
        <v>22</v>
      </c>
    </row>
    <row r="5550" ht="25.0" customHeight="true">
      <c r="A5550" t="s" s="2">
        <v>13</v>
      </c>
      <c r="B5550" t="s" s="2">
        <f>HYPERLINK("http://ts.21cn.com/tousu/show/id/1367808","豹子贷无故扣钱不需要还要扣")</f>
      </c>
      <c r="C5550" t="s" s="2">
        <v>15</v>
      </c>
      <c r="D5550" t="s" s="2">
        <v>16</v>
      </c>
      <c r="E5550" t="s" s="2">
        <v>17</v>
      </c>
      <c r="F5550" t="s" s="2">
        <f>HYPERLINK("http://ts.21cn.com/tousu/show/id/1367808","http://ts.21cn.com/tousu/show/id/1367808")</f>
      </c>
      <c r="G5550" t="s" s="2">
        <v>17</v>
      </c>
      <c r="H5550" t="s" s="2">
        <v>19</v>
      </c>
      <c r="I5550" t="s" s="2">
        <v>21510</v>
      </c>
      <c r="J5550" t="s" s="2">
        <v>21511</v>
      </c>
      <c r="K5550" t="s" s="2">
        <v>22</v>
      </c>
      <c r="L5550" t="s" s="2">
        <v>22</v>
      </c>
      <c r="M5550" t="s" s="2">
        <v>22</v>
      </c>
    </row>
    <row r="5551" ht="25.0" customHeight="true">
      <c r="A5551" t="s" s="2">
        <v>13</v>
      </c>
      <c r="B5551" t="s" s="2">
        <f>HYPERLINK("http://ts.21cn.com/tousu/show/id/1368052","唯品会给发错货不给尽快办理退货反而怪客户账号存在安全隐患")</f>
      </c>
      <c r="C5551" t="s" s="2">
        <v>15</v>
      </c>
      <c r="D5551" t="s" s="2">
        <v>16</v>
      </c>
      <c r="E5551" t="s" s="2">
        <v>17</v>
      </c>
      <c r="F5551" t="s" s="2">
        <f>HYPERLINK("http://ts.21cn.com/tousu/show/id/1368052","http://ts.21cn.com/tousu/show/id/1368052")</f>
      </c>
      <c r="G5551" t="s" s="2">
        <v>17</v>
      </c>
      <c r="H5551" t="s" s="2">
        <v>19</v>
      </c>
      <c r="I5551" t="s" s="2">
        <v>21514</v>
      </c>
      <c r="J5551" t="s" s="2">
        <v>21515</v>
      </c>
      <c r="K5551" t="s" s="2">
        <v>22</v>
      </c>
      <c r="L5551" t="s" s="2">
        <v>22</v>
      </c>
      <c r="M5551" t="s" s="2">
        <v>22</v>
      </c>
    </row>
    <row r="5552" ht="25.0" customHeight="true">
      <c r="A5552" t="s" s="2">
        <v>13</v>
      </c>
      <c r="B5552" t="s" s="2">
        <f>HYPERLINK("http://ts.21cn.com/tousu/show/id/1368051","万达普惠催收爆通讯录恶意恐吓")</f>
      </c>
      <c r="C5552" t="s" s="2">
        <v>15</v>
      </c>
      <c r="D5552" t="s" s="2">
        <v>16</v>
      </c>
      <c r="E5552" t="s" s="2">
        <v>17</v>
      </c>
      <c r="F5552" t="s" s="2">
        <f>HYPERLINK("http://ts.21cn.com/tousu/show/id/1368051","http://ts.21cn.com/tousu/show/id/1368051")</f>
      </c>
      <c r="G5552" t="s" s="2">
        <v>17</v>
      </c>
      <c r="H5552" t="s" s="2">
        <v>19</v>
      </c>
      <c r="I5552" t="s" s="2">
        <v>21518</v>
      </c>
      <c r="J5552" t="s" s="2">
        <v>21519</v>
      </c>
      <c r="K5552" t="s" s="2">
        <v>22</v>
      </c>
      <c r="L5552" t="s" s="2">
        <v>22</v>
      </c>
      <c r="M5552" t="s" s="2">
        <v>22</v>
      </c>
    </row>
    <row r="5553" ht="25.0" customHeight="true">
      <c r="A5553" t="s" s="2">
        <v>13</v>
      </c>
      <c r="B5553" t="s" s="2">
        <f>HYPERLINK("http://ts.21cn.com/tousu/show/id/1368048","中信银行信用卡协商分期")</f>
      </c>
      <c r="C5553" t="s" s="2">
        <v>15</v>
      </c>
      <c r="D5553" t="s" s="2">
        <v>16</v>
      </c>
      <c r="E5553" t="s" s="2">
        <v>17</v>
      </c>
      <c r="F5553" t="s" s="2">
        <f>HYPERLINK("http://ts.21cn.com/tousu/show/id/1368048","http://ts.21cn.com/tousu/show/id/1368048")</f>
      </c>
      <c r="G5553" t="s" s="2">
        <v>17</v>
      </c>
      <c r="H5553" t="s" s="2">
        <v>19</v>
      </c>
      <c r="I5553" t="s" s="2">
        <v>21522</v>
      </c>
      <c r="J5553" t="s" s="2">
        <v>21523</v>
      </c>
      <c r="K5553" t="s" s="2">
        <v>22</v>
      </c>
      <c r="L5553" t="s" s="2">
        <v>22</v>
      </c>
      <c r="M5553" t="s" s="2">
        <v>22</v>
      </c>
    </row>
    <row r="5554" ht="25.0" customHeight="true">
      <c r="A5554" t="s" s="2">
        <v>13</v>
      </c>
      <c r="B5554" t="s" s="2">
        <f>HYPERLINK("http://ts.21cn.com/tousu/show/id/1368046","小当家账单到期无法进入还款")</f>
      </c>
      <c r="C5554" t="s" s="2">
        <v>15</v>
      </c>
      <c r="D5554" t="s" s="2">
        <v>16</v>
      </c>
      <c r="E5554" t="s" s="2">
        <v>17</v>
      </c>
      <c r="F5554" t="s" s="2">
        <f>HYPERLINK("http://ts.21cn.com/tousu/show/id/1368046","http://ts.21cn.com/tousu/show/id/1368046")</f>
      </c>
      <c r="G5554" t="s" s="2">
        <v>17</v>
      </c>
      <c r="H5554" t="s" s="2">
        <v>19</v>
      </c>
      <c r="I5554" t="s" s="2">
        <v>21526</v>
      </c>
      <c r="J5554" t="s" s="2">
        <v>21527</v>
      </c>
      <c r="K5554" t="s" s="2">
        <v>22</v>
      </c>
      <c r="L5554" t="s" s="2">
        <v>22</v>
      </c>
      <c r="M5554" t="s" s="2">
        <v>22</v>
      </c>
    </row>
    <row r="5555" ht="25.0" customHeight="true">
      <c r="A5555" t="s" s="2">
        <v>13</v>
      </c>
      <c r="B5555" t="s" s="2">
        <f>HYPERLINK("http://ts.21cn.com/tousu/show/id/1368049","中国农业银行信用卡中心催收")</f>
      </c>
      <c r="C5555" t="s" s="2">
        <v>15</v>
      </c>
      <c r="D5555" t="s" s="2">
        <v>16</v>
      </c>
      <c r="E5555" t="s" s="2">
        <v>17</v>
      </c>
      <c r="F5555" t="s" s="2">
        <f>HYPERLINK("http://ts.21cn.com/tousu/show/id/1368049","http://ts.21cn.com/tousu/show/id/1368049")</f>
      </c>
      <c r="G5555" t="s" s="2">
        <v>17</v>
      </c>
      <c r="H5555" t="s" s="2">
        <v>19</v>
      </c>
      <c r="I5555" t="s" s="2">
        <v>21530</v>
      </c>
      <c r="J5555" t="s" s="2">
        <v>21531</v>
      </c>
      <c r="K5555" t="s" s="2">
        <v>22</v>
      </c>
      <c r="L5555" t="s" s="2">
        <v>22</v>
      </c>
      <c r="M5555" t="s" s="2">
        <v>22</v>
      </c>
    </row>
    <row r="5556" ht="25.0" customHeight="true">
      <c r="A5556" t="s" s="2">
        <v>13</v>
      </c>
      <c r="B5556" t="s" s="2">
        <f>HYPERLINK("http://ts.21cn.com/tousu/show/id/1368047","分期乐外包催收公司违法获取通讯录")</f>
      </c>
      <c r="C5556" t="s" s="2">
        <v>52</v>
      </c>
      <c r="D5556" t="s" s="2">
        <v>16</v>
      </c>
      <c r="E5556" t="s" s="2">
        <v>17</v>
      </c>
      <c r="F5556" t="s" s="2">
        <f>HYPERLINK("http://ts.21cn.com/tousu/show/id/1368047","http://ts.21cn.com/tousu/show/id/1368047")</f>
      </c>
      <c r="G5556" t="s" s="2">
        <v>17</v>
      </c>
      <c r="H5556" t="s" s="2">
        <v>19</v>
      </c>
      <c r="I5556" t="s" s="2">
        <v>21534</v>
      </c>
      <c r="J5556" t="s" s="2">
        <v>21535</v>
      </c>
      <c r="K5556" t="s" s="2">
        <v>22</v>
      </c>
      <c r="L5556" t="s" s="2">
        <v>22</v>
      </c>
      <c r="M5556" t="s" s="2">
        <v>22</v>
      </c>
    </row>
    <row r="5557" ht="25.0" customHeight="true">
      <c r="A5557" t="s" s="2">
        <v>13</v>
      </c>
      <c r="B5557" t="s" s="2">
        <f>HYPERLINK("http://ts.21cn.com/tousu/show/id/1368044","限制用户提前结清欠款")</f>
      </c>
      <c r="C5557" t="s" s="2">
        <v>15</v>
      </c>
      <c r="D5557" t="s" s="2">
        <v>16</v>
      </c>
      <c r="E5557" t="s" s="2">
        <v>17</v>
      </c>
      <c r="F5557" t="s" s="2">
        <f>HYPERLINK("http://ts.21cn.com/tousu/show/id/1368044","http://ts.21cn.com/tousu/show/id/1368044")</f>
      </c>
      <c r="G5557" t="s" s="2">
        <v>17</v>
      </c>
      <c r="H5557" t="s" s="2">
        <v>19</v>
      </c>
      <c r="I5557" t="s" s="2">
        <v>21538</v>
      </c>
      <c r="J5557" t="s" s="2">
        <v>21539</v>
      </c>
      <c r="K5557" t="s" s="2">
        <v>22</v>
      </c>
      <c r="L5557" t="s" s="2">
        <v>22</v>
      </c>
      <c r="M5557" t="s" s="2">
        <v>22</v>
      </c>
    </row>
    <row r="5558" ht="25.0" customHeight="true">
      <c r="A5558" t="s" s="2">
        <v>13</v>
      </c>
      <c r="B5558" t="s" s="2">
        <f>HYPERLINK("http://ts.21cn.com/tousu/show/id/1368045","利息过高提前结清不给减免")</f>
      </c>
      <c r="C5558" t="s" s="2">
        <v>15</v>
      </c>
      <c r="D5558" t="s" s="2">
        <v>16</v>
      </c>
      <c r="E5558" t="s" s="2">
        <v>17</v>
      </c>
      <c r="F5558" t="s" s="2">
        <f>HYPERLINK("http://ts.21cn.com/tousu/show/id/1368045","http://ts.21cn.com/tousu/show/id/1368045")</f>
      </c>
      <c r="G5558" t="s" s="2">
        <v>17</v>
      </c>
      <c r="H5558" t="s" s="2">
        <v>19</v>
      </c>
      <c r="I5558" t="s" s="2">
        <v>21542</v>
      </c>
      <c r="J5558" t="s" s="2">
        <v>21543</v>
      </c>
      <c r="K5558" t="s" s="2">
        <v>22</v>
      </c>
      <c r="L5558" t="s" s="2">
        <v>22</v>
      </c>
      <c r="M5558" t="s" s="2">
        <v>22</v>
      </c>
    </row>
    <row r="5559" ht="25.0" customHeight="true">
      <c r="A5559" t="s" s="2">
        <v>13</v>
      </c>
      <c r="B5559" t="s" s="2">
        <f>HYPERLINK("http://ts.21cn.com/tousu/show/id/1368042","纳什空间北京公司拖欠业主房租")</f>
      </c>
      <c r="C5559" t="s" s="2">
        <v>15</v>
      </c>
      <c r="D5559" t="s" s="2">
        <v>16</v>
      </c>
      <c r="E5559" t="s" s="2">
        <v>17</v>
      </c>
      <c r="F5559" t="s" s="2">
        <f>HYPERLINK("http://ts.21cn.com/tousu/show/id/1368042","http://ts.21cn.com/tousu/show/id/1368042")</f>
      </c>
      <c r="G5559" t="s" s="2">
        <v>17</v>
      </c>
      <c r="H5559" t="s" s="2">
        <v>19</v>
      </c>
      <c r="I5559" t="s" s="2">
        <v>21546</v>
      </c>
      <c r="J5559" t="s" s="2">
        <v>21547</v>
      </c>
      <c r="K5559" t="s" s="2">
        <v>22</v>
      </c>
      <c r="L5559" t="s" s="2">
        <v>22</v>
      </c>
      <c r="M5559" t="s" s="2">
        <v>22</v>
      </c>
    </row>
    <row r="5560" ht="25.0" customHeight="true">
      <c r="A5560" t="s" s="2">
        <v>13</v>
      </c>
      <c r="B5560" t="s" s="2">
        <f>HYPERLINK("http://ts.21cn.com/tousu/show/id/1368041","你我贷ap p没逾期就给家人打电话")</f>
      </c>
      <c r="C5560" t="s" s="2">
        <v>15</v>
      </c>
      <c r="D5560" t="s" s="2">
        <v>16</v>
      </c>
      <c r="E5560" t="s" s="2">
        <v>17</v>
      </c>
      <c r="F5560" t="s" s="2">
        <f>HYPERLINK("http://ts.21cn.com/tousu/show/id/1368041","http://ts.21cn.com/tousu/show/id/1368041")</f>
      </c>
      <c r="G5560" t="s" s="2">
        <v>17</v>
      </c>
      <c r="H5560" t="s" s="2">
        <v>19</v>
      </c>
      <c r="I5560" t="s" s="2">
        <v>21550</v>
      </c>
      <c r="J5560" t="s" s="2">
        <v>21551</v>
      </c>
      <c r="K5560" t="s" s="2">
        <v>22</v>
      </c>
      <c r="L5560" t="s" s="2">
        <v>22</v>
      </c>
      <c r="M5560" t="s" s="2">
        <v>22</v>
      </c>
    </row>
    <row r="5561" ht="25.0" customHeight="true">
      <c r="A5561" t="s" s="2">
        <v>13</v>
      </c>
      <c r="B5561" t="s" s="2">
        <f>HYPERLINK("http://ts.21cn.com/tousu/show/id/1368040","洋钱罐不合理催收")</f>
      </c>
      <c r="C5561" t="s" s="2">
        <v>15</v>
      </c>
      <c r="D5561" t="s" s="2">
        <v>16</v>
      </c>
      <c r="E5561" t="s" s="2">
        <v>17</v>
      </c>
      <c r="F5561" t="s" s="2">
        <f>HYPERLINK("http://ts.21cn.com/tousu/show/id/1368040","http://ts.21cn.com/tousu/show/id/1368040")</f>
      </c>
      <c r="G5561" t="s" s="2">
        <v>17</v>
      </c>
      <c r="H5561" t="s" s="2">
        <v>19</v>
      </c>
      <c r="I5561" t="s" s="2">
        <v>21554</v>
      </c>
      <c r="J5561" t="s" s="2">
        <v>21555</v>
      </c>
      <c r="K5561" t="s" s="2">
        <v>22</v>
      </c>
      <c r="L5561" t="s" s="2">
        <v>22</v>
      </c>
      <c r="M5561" t="s" s="2">
        <v>22</v>
      </c>
    </row>
    <row r="5562" ht="25.0" customHeight="true">
      <c r="A5562" t="s" s="2">
        <v>13</v>
      </c>
      <c r="B5562" t="s" s="2">
        <f>HYPERLINK("http://ts.21cn.com/tousu/show/id/1368039","韦博英语倒闭，没课上，还要继续还款")</f>
      </c>
      <c r="C5562" t="s" s="2">
        <v>15</v>
      </c>
      <c r="D5562" t="s" s="2">
        <v>16</v>
      </c>
      <c r="E5562" t="s" s="2">
        <v>17</v>
      </c>
      <c r="F5562" t="s" s="2">
        <f>HYPERLINK("http://ts.21cn.com/tousu/show/id/1368039","http://ts.21cn.com/tousu/show/id/1368039")</f>
      </c>
      <c r="G5562" t="s" s="2">
        <v>17</v>
      </c>
      <c r="H5562" t="s" s="2">
        <v>19</v>
      </c>
      <c r="I5562" t="s" s="2">
        <v>21558</v>
      </c>
      <c r="J5562" t="s" s="2">
        <v>21559</v>
      </c>
      <c r="K5562" t="s" s="2">
        <v>22</v>
      </c>
      <c r="L5562" t="s" s="2">
        <v>22</v>
      </c>
      <c r="M5562" t="s" s="2">
        <v>22</v>
      </c>
    </row>
    <row r="5563" ht="25.0" customHeight="true">
      <c r="A5563" t="s" s="2">
        <v>13</v>
      </c>
      <c r="B5563" t="s" s="2">
        <f>HYPERLINK("http://ts.21cn.com/tousu/show/id/1368038","要通知我的家人朋友我欠款的事情")</f>
      </c>
      <c r="C5563" t="s" s="2">
        <v>15</v>
      </c>
      <c r="D5563" t="s" s="2">
        <v>16</v>
      </c>
      <c r="E5563" t="s" s="2">
        <v>17</v>
      </c>
      <c r="F5563" t="s" s="2">
        <f>HYPERLINK("http://ts.21cn.com/tousu/show/id/1368038","http://ts.21cn.com/tousu/show/id/1368038")</f>
      </c>
      <c r="G5563" t="s" s="2">
        <v>17</v>
      </c>
      <c r="H5563" t="s" s="2">
        <v>19</v>
      </c>
      <c r="I5563" t="s" s="2">
        <v>21562</v>
      </c>
      <c r="J5563" t="s" s="2">
        <v>21563</v>
      </c>
      <c r="K5563" t="s" s="2">
        <v>22</v>
      </c>
      <c r="L5563" t="s" s="2">
        <v>22</v>
      </c>
      <c r="M5563" t="s" s="2">
        <v>22</v>
      </c>
    </row>
    <row r="5564" ht="25.0" customHeight="true">
      <c r="A5564" t="s" s="2">
        <v>13</v>
      </c>
      <c r="B5564" t="s" s="2">
        <f>HYPERLINK("http://ts.21cn.com/tousu/show/id/1368037","投诉钱站")</f>
      </c>
      <c r="C5564" t="s" s="2">
        <v>15</v>
      </c>
      <c r="D5564" t="s" s="2">
        <v>16</v>
      </c>
      <c r="E5564" t="s" s="2">
        <v>17</v>
      </c>
      <c r="F5564" t="s" s="2">
        <f>HYPERLINK("http://ts.21cn.com/tousu/show/id/1368037","http://ts.21cn.com/tousu/show/id/1368037")</f>
      </c>
      <c r="G5564" t="s" s="2">
        <v>17</v>
      </c>
      <c r="H5564" t="s" s="2">
        <v>19</v>
      </c>
      <c r="I5564" t="s" s="2">
        <v>21566</v>
      </c>
      <c r="J5564" t="s" s="2">
        <v>21567</v>
      </c>
      <c r="K5564" t="s" s="2">
        <v>22</v>
      </c>
      <c r="L5564" t="s" s="2">
        <v>22</v>
      </c>
      <c r="M5564" t="s" s="2">
        <v>22</v>
      </c>
    </row>
    <row r="5565" ht="25.0" customHeight="true">
      <c r="A5565" t="s" s="2">
        <v>13</v>
      </c>
      <c r="B5565" t="s" s="2">
        <f>HYPERLINK("http://ts.21cn.com/tousu/show/id/1368036","微粒贷太度恶劣")</f>
      </c>
      <c r="C5565" t="s" s="2">
        <v>15</v>
      </c>
      <c r="D5565" t="s" s="2">
        <v>16</v>
      </c>
      <c r="E5565" t="s" s="2">
        <v>17</v>
      </c>
      <c r="F5565" t="s" s="2">
        <f>HYPERLINK("http://ts.21cn.com/tousu/show/id/1368036","http://ts.21cn.com/tousu/show/id/1368036")</f>
      </c>
      <c r="G5565" t="s" s="2">
        <v>17</v>
      </c>
      <c r="H5565" t="s" s="2">
        <v>19</v>
      </c>
      <c r="I5565" t="s" s="2">
        <v>21570</v>
      </c>
      <c r="J5565" t="s" s="2">
        <v>21571</v>
      </c>
      <c r="K5565" t="s" s="2">
        <v>22</v>
      </c>
      <c r="L5565" t="s" s="2">
        <v>22</v>
      </c>
      <c r="M5565" t="s" s="2">
        <v>22</v>
      </c>
    </row>
    <row r="5566" ht="25.0" customHeight="true">
      <c r="A5566" t="s" s="2">
        <v>13</v>
      </c>
      <c r="B5566" t="s" s="2">
        <f>HYPERLINK("http://ts.21cn.com/tousu/show/id/1368035","出行唯选虚假宣传")</f>
      </c>
      <c r="C5566" t="s" s="2">
        <v>15</v>
      </c>
      <c r="D5566" t="s" s="2">
        <v>16</v>
      </c>
      <c r="E5566" t="s" s="2">
        <v>17</v>
      </c>
      <c r="F5566" t="s" s="2">
        <f>HYPERLINK("http://ts.21cn.com/tousu/show/id/1368035","http://ts.21cn.com/tousu/show/id/1368035")</f>
      </c>
      <c r="G5566" t="s" s="2">
        <v>17</v>
      </c>
      <c r="H5566" t="s" s="2">
        <v>19</v>
      </c>
      <c r="I5566" t="s" s="2">
        <v>21574</v>
      </c>
      <c r="J5566" t="s" s="2">
        <v>21575</v>
      </c>
      <c r="K5566" t="s" s="2">
        <v>22</v>
      </c>
      <c r="L5566" t="s" s="2">
        <v>22</v>
      </c>
      <c r="M5566" t="s" s="2">
        <v>22</v>
      </c>
    </row>
    <row r="5567" ht="25.0" customHeight="true">
      <c r="A5567" t="s" s="2">
        <v>13</v>
      </c>
      <c r="B5567" t="s" s="2">
        <f>HYPERLINK("http://ts.21cn.com/tousu/show/id/1368034","投诉大米花花平台放高利贷")</f>
      </c>
      <c r="C5567" t="s" s="2">
        <v>15</v>
      </c>
      <c r="D5567" t="s" s="2">
        <v>16</v>
      </c>
      <c r="E5567" t="s" s="2">
        <v>17</v>
      </c>
      <c r="F5567" t="s" s="2">
        <f>HYPERLINK("http://ts.21cn.com/tousu/show/id/1368034","http://ts.21cn.com/tousu/show/id/1368034")</f>
      </c>
      <c r="G5567" t="s" s="2">
        <v>17</v>
      </c>
      <c r="H5567" t="s" s="2">
        <v>19</v>
      </c>
      <c r="I5567" t="s" s="2">
        <v>21578</v>
      </c>
      <c r="J5567" t="s" s="2">
        <v>21579</v>
      </c>
      <c r="K5567" t="s" s="2">
        <v>22</v>
      </c>
      <c r="L5567" t="s" s="2">
        <v>22</v>
      </c>
      <c r="M5567" t="s" s="2">
        <v>22</v>
      </c>
    </row>
    <row r="5568" ht="25.0" customHeight="true">
      <c r="A5568" t="s" s="2">
        <v>13</v>
      </c>
      <c r="B5568" t="s" s="2">
        <f>HYPERLINK("http://ts.21cn.com/tousu/show/id/1368033","砍头息，服务费")</f>
      </c>
      <c r="C5568" t="s" s="2">
        <v>52</v>
      </c>
      <c r="D5568" t="s" s="2">
        <v>16</v>
      </c>
      <c r="E5568" t="s" s="2">
        <v>17</v>
      </c>
      <c r="F5568" t="s" s="2">
        <f>HYPERLINK("http://ts.21cn.com/tousu/show/id/1368033","http://ts.21cn.com/tousu/show/id/1368033")</f>
      </c>
      <c r="G5568" t="s" s="2">
        <v>17</v>
      </c>
      <c r="H5568" t="s" s="2">
        <v>19</v>
      </c>
      <c r="I5568" t="s" s="2">
        <v>21582</v>
      </c>
      <c r="J5568" t="s" s="2">
        <v>21583</v>
      </c>
      <c r="K5568" t="s" s="2">
        <v>22</v>
      </c>
      <c r="L5568" t="s" s="2">
        <v>22</v>
      </c>
      <c r="M5568" t="s" s="2">
        <v>22</v>
      </c>
    </row>
    <row r="5569" ht="25.0" customHeight="true">
      <c r="A5569" t="s" s="2">
        <v>13</v>
      </c>
      <c r="B5569" t="s" s="2">
        <f>HYPERLINK("http://ts.21cn.com/tousu/show/id/1368032","今天快贷让我先打款，要求退款")</f>
      </c>
      <c r="C5569" t="s" s="2">
        <v>15</v>
      </c>
      <c r="D5569" t="s" s="2">
        <v>16</v>
      </c>
      <c r="E5569" t="s" s="2">
        <v>17</v>
      </c>
      <c r="F5569" t="s" s="2">
        <f>HYPERLINK("http://ts.21cn.com/tousu/show/id/1368032","http://ts.21cn.com/tousu/show/id/1368032")</f>
      </c>
      <c r="G5569" t="s" s="2">
        <v>17</v>
      </c>
      <c r="H5569" t="s" s="2">
        <v>19</v>
      </c>
      <c r="I5569" t="s" s="2">
        <v>21586</v>
      </c>
      <c r="J5569" t="s" s="2">
        <v>21587</v>
      </c>
      <c r="K5569" t="s" s="2">
        <v>22</v>
      </c>
      <c r="L5569" t="s" s="2">
        <v>22</v>
      </c>
      <c r="M5569" t="s" s="2">
        <v>22</v>
      </c>
    </row>
    <row r="5570" ht="25.0" customHeight="true">
      <c r="A5570" t="s" s="2">
        <v>13</v>
      </c>
      <c r="B5570" t="s" s="2">
        <f>HYPERLINK("http://ts.21cn.com/tousu/show/id/1368031","人人花乱扣费")</f>
      </c>
      <c r="C5570" t="s" s="2">
        <v>15</v>
      </c>
      <c r="D5570" t="s" s="2">
        <v>16</v>
      </c>
      <c r="E5570" t="s" s="2">
        <v>17</v>
      </c>
      <c r="F5570" t="s" s="2">
        <f>HYPERLINK("http://ts.21cn.com/tousu/show/id/1368031","http://ts.21cn.com/tousu/show/id/1368031")</f>
      </c>
      <c r="G5570" t="s" s="2">
        <v>17</v>
      </c>
      <c r="H5570" t="s" s="2">
        <v>19</v>
      </c>
      <c r="I5570" t="s" s="2">
        <v>21589</v>
      </c>
      <c r="J5570" t="s" s="2">
        <v>21590</v>
      </c>
      <c r="K5570" t="s" s="2">
        <v>22</v>
      </c>
      <c r="L5570" t="s" s="2">
        <v>22</v>
      </c>
      <c r="M5570" t="s" s="2">
        <v>22</v>
      </c>
    </row>
    <row r="5571" ht="25.0" customHeight="true">
      <c r="A5571" t="s" s="2">
        <v>13</v>
      </c>
      <c r="B5571" t="s" s="2">
        <f>HYPERLINK("http://ts.21cn.com/tousu/show/id/1368029","我来数科技上门催收")</f>
      </c>
      <c r="C5571" t="s" s="2">
        <v>52</v>
      </c>
      <c r="D5571" t="s" s="2">
        <v>16</v>
      </c>
      <c r="E5571" t="s" s="2">
        <v>17</v>
      </c>
      <c r="F5571" t="s" s="2">
        <f>HYPERLINK("http://ts.21cn.com/tousu/show/id/1368029","http://ts.21cn.com/tousu/show/id/1368029")</f>
      </c>
      <c r="G5571" t="s" s="2">
        <v>17</v>
      </c>
      <c r="H5571" t="s" s="2">
        <v>19</v>
      </c>
      <c r="I5571" t="s" s="2">
        <v>21593</v>
      </c>
      <c r="J5571" t="s" s="2">
        <v>21594</v>
      </c>
      <c r="K5571" t="s" s="2">
        <v>22</v>
      </c>
      <c r="L5571" t="s" s="2">
        <v>22</v>
      </c>
      <c r="M5571" t="s" s="2">
        <v>22</v>
      </c>
    </row>
    <row r="5572" ht="25.0" customHeight="true">
      <c r="A5572" t="s" s="2">
        <v>13</v>
      </c>
      <c r="B5572" t="s" s="2">
        <f>HYPERLINK("http://ts.21cn.com/tousu/show/id/1368028","来花花砍头息")</f>
      </c>
      <c r="C5572" t="s" s="2">
        <v>15</v>
      </c>
      <c r="D5572" t="s" s="2">
        <v>16</v>
      </c>
      <c r="E5572" t="s" s="2">
        <v>17</v>
      </c>
      <c r="F5572" t="s" s="2">
        <f>HYPERLINK("http://ts.21cn.com/tousu/show/id/1368028","http://ts.21cn.com/tousu/show/id/1368028")</f>
      </c>
      <c r="G5572" t="s" s="2">
        <v>17</v>
      </c>
      <c r="H5572" t="s" s="2">
        <v>19</v>
      </c>
      <c r="I5572" t="s" s="2">
        <v>21597</v>
      </c>
      <c r="J5572" t="s" s="2">
        <v>21598</v>
      </c>
      <c r="K5572" t="s" s="2">
        <v>22</v>
      </c>
      <c r="L5572" t="s" s="2">
        <v>22</v>
      </c>
      <c r="M5572" t="s" s="2">
        <v>22</v>
      </c>
    </row>
    <row r="5573" ht="25.0" customHeight="true">
      <c r="A5573" t="s" s="2">
        <v>13</v>
      </c>
      <c r="B5573" t="s" s="2">
        <f>HYPERLINK("http://ts.21cn.com/tousu/show/id/1368027","丰趣海淘拖欠员工工资，强制执行也没用")</f>
      </c>
      <c r="C5573" t="s" s="2">
        <v>15</v>
      </c>
      <c r="D5573" t="s" s="2">
        <v>16</v>
      </c>
      <c r="E5573" t="s" s="2">
        <v>17</v>
      </c>
      <c r="F5573" t="s" s="2">
        <f>HYPERLINK("http://ts.21cn.com/tousu/show/id/1368027","http://ts.21cn.com/tousu/show/id/1368027")</f>
      </c>
      <c r="G5573" t="s" s="2">
        <v>17</v>
      </c>
      <c r="H5573" t="s" s="2">
        <v>19</v>
      </c>
      <c r="I5573" t="s" s="2">
        <v>21600</v>
      </c>
      <c r="J5573" t="s" s="2">
        <v>21601</v>
      </c>
      <c r="K5573" t="s" s="2">
        <v>22</v>
      </c>
      <c r="L5573" t="s" s="2">
        <v>22</v>
      </c>
      <c r="M5573" t="s" s="2">
        <v>22</v>
      </c>
    </row>
    <row r="5574" ht="25.0" customHeight="true">
      <c r="A5574" t="s" s="2">
        <v>13</v>
      </c>
      <c r="B5574" t="s" s="2">
        <f>HYPERLINK("http://ts.21cn.com/tousu/show/id/1368025","逗逗钱")</f>
      </c>
      <c r="C5574" t="s" s="2">
        <v>52</v>
      </c>
      <c r="D5574" t="s" s="2">
        <v>16</v>
      </c>
      <c r="E5574" t="s" s="2">
        <v>17</v>
      </c>
      <c r="F5574" t="s" s="2">
        <f>HYPERLINK("http://ts.21cn.com/tousu/show/id/1368025","http://ts.21cn.com/tousu/show/id/1368025")</f>
      </c>
      <c r="G5574" t="s" s="2">
        <v>17</v>
      </c>
      <c r="H5574" t="s" s="2">
        <v>19</v>
      </c>
      <c r="I5574" t="s" s="2">
        <v>21604</v>
      </c>
      <c r="J5574" t="s" s="2">
        <v>21605</v>
      </c>
      <c r="K5574" t="s" s="2">
        <v>22</v>
      </c>
      <c r="L5574" t="s" s="2">
        <v>22</v>
      </c>
      <c r="M5574" t="s" s="2">
        <v>22</v>
      </c>
    </row>
    <row r="5575" ht="25.0" customHeight="true">
      <c r="A5575" t="s" s="2">
        <v>13</v>
      </c>
      <c r="B5575" t="s" s="2">
        <f>HYPERLINK("http://ts.21cn.com/tousu/show/id/1368023","立借不给退款高利息6500三个月还9000")</f>
      </c>
      <c r="C5575" t="s" s="2">
        <v>15</v>
      </c>
      <c r="D5575" t="s" s="2">
        <v>16</v>
      </c>
      <c r="E5575" t="s" s="2">
        <v>17</v>
      </c>
      <c r="F5575" t="s" s="2">
        <f>HYPERLINK("http://ts.21cn.com/tousu/show/id/1368023","http://ts.21cn.com/tousu/show/id/1368023")</f>
      </c>
      <c r="G5575" t="s" s="2">
        <v>17</v>
      </c>
      <c r="H5575" t="s" s="2">
        <v>19</v>
      </c>
      <c r="I5575" t="s" s="2">
        <v>21608</v>
      </c>
      <c r="J5575" t="s" s="2">
        <v>21609</v>
      </c>
      <c r="K5575" t="s" s="2">
        <v>22</v>
      </c>
      <c r="L5575" t="s" s="2">
        <v>22</v>
      </c>
      <c r="M5575" t="s" s="2">
        <v>22</v>
      </c>
    </row>
    <row r="5576" ht="25.0" customHeight="true">
      <c r="A5576" t="s" s="2">
        <v>13</v>
      </c>
      <c r="B5576" t="s" s="2">
        <f>HYPERLINK("http://ts.21cn.com/tousu/show/id/1368021","韦博英语培训机构倒闭，机构法人跑路，学员被忽悠贷款，先无法上课，到依然还需要每月还贷")</f>
      </c>
      <c r="C5576" t="s" s="2">
        <v>15</v>
      </c>
      <c r="D5576" t="s" s="2">
        <v>16</v>
      </c>
      <c r="E5576" t="s" s="2">
        <v>17</v>
      </c>
      <c r="F5576" t="s" s="2">
        <f>HYPERLINK("http://ts.21cn.com/tousu/show/id/1368021","http://ts.21cn.com/tousu/show/id/1368021")</f>
      </c>
      <c r="G5576" t="s" s="2">
        <v>17</v>
      </c>
      <c r="H5576" t="s" s="2">
        <v>19</v>
      </c>
      <c r="I5576" t="s" s="2">
        <v>21612</v>
      </c>
      <c r="J5576" t="s" s="2">
        <v>21613</v>
      </c>
      <c r="K5576" t="s" s="2">
        <v>22</v>
      </c>
      <c r="L5576" t="s" s="2">
        <v>22</v>
      </c>
      <c r="M5576" t="s" s="2">
        <v>22</v>
      </c>
    </row>
    <row r="5577" ht="25.0" customHeight="true">
      <c r="A5577" t="s" s="2">
        <v>13</v>
      </c>
      <c r="B5577" t="s" s="2">
        <f>HYPERLINK("http://ts.21cn.com/tousu/show/id/1368020","闪电借款恶意性骚扰")</f>
      </c>
      <c r="C5577" t="s" s="2">
        <v>15</v>
      </c>
      <c r="D5577" t="s" s="2">
        <v>16</v>
      </c>
      <c r="E5577" t="s" s="2">
        <v>17</v>
      </c>
      <c r="F5577" t="s" s="2">
        <f>HYPERLINK("http://ts.21cn.com/tousu/show/id/1368020","http://ts.21cn.com/tousu/show/id/1368020")</f>
      </c>
      <c r="G5577" t="s" s="2">
        <v>17</v>
      </c>
      <c r="H5577" t="s" s="2">
        <v>19</v>
      </c>
      <c r="I5577" t="s" s="2">
        <v>21615</v>
      </c>
      <c r="J5577" t="s" s="2">
        <v>21616</v>
      </c>
      <c r="K5577" t="s" s="2">
        <v>22</v>
      </c>
      <c r="L5577" t="s" s="2">
        <v>22</v>
      </c>
      <c r="M5577" t="s" s="2">
        <v>22</v>
      </c>
    </row>
    <row r="5578" ht="25.0" customHeight="true">
      <c r="A5578" t="s" s="2">
        <v>13</v>
      </c>
      <c r="B5578" t="s" s="2">
        <f>HYPERLINK("http://ts.21cn.com/tousu/show/id/1362370","爱白条违反国家法律，放高利贷，危害社会")</f>
      </c>
      <c r="C5578" t="s" s="2">
        <v>15</v>
      </c>
      <c r="D5578" t="s" s="2">
        <v>16</v>
      </c>
      <c r="E5578" t="s" s="2">
        <v>17</v>
      </c>
      <c r="F5578" t="s" s="2">
        <f>HYPERLINK("http://ts.21cn.com/tousu/show/id/1362370","http://ts.21cn.com/tousu/show/id/1362370")</f>
      </c>
      <c r="G5578" t="s" s="2">
        <v>17</v>
      </c>
      <c r="H5578" t="s" s="2">
        <v>19</v>
      </c>
      <c r="I5578" t="s" s="2">
        <v>21619</v>
      </c>
      <c r="J5578" t="s" s="2">
        <v>21620</v>
      </c>
      <c r="K5578" t="s" s="2">
        <v>22</v>
      </c>
      <c r="L5578" t="s" s="2">
        <v>22</v>
      </c>
      <c r="M5578" t="s" s="2">
        <v>22</v>
      </c>
    </row>
    <row r="5579" ht="25.0" customHeight="true">
      <c r="A5579" t="s" s="2">
        <v>13</v>
      </c>
      <c r="B5579" t="s" s="2">
        <f>HYPERLINK("http://ts.21cn.com/tousu/show/id/1368022","电话骚扰影响工作和生活")</f>
      </c>
      <c r="C5579" t="s" s="2">
        <v>15</v>
      </c>
      <c r="D5579" t="s" s="2">
        <v>16</v>
      </c>
      <c r="E5579" t="s" s="2">
        <v>17</v>
      </c>
      <c r="F5579" t="s" s="2">
        <f>HYPERLINK("http://ts.21cn.com/tousu/show/id/1368022","http://ts.21cn.com/tousu/show/id/1368022")</f>
      </c>
      <c r="G5579" t="s" s="2">
        <v>17</v>
      </c>
      <c r="H5579" t="s" s="2">
        <v>19</v>
      </c>
      <c r="I5579" t="s" s="2">
        <v>21619</v>
      </c>
      <c r="J5579" t="s" s="2">
        <v>21623</v>
      </c>
      <c r="K5579" t="s" s="2">
        <v>22</v>
      </c>
      <c r="L5579" t="s" s="2">
        <v>22</v>
      </c>
      <c r="M5579" t="s" s="2">
        <v>22</v>
      </c>
    </row>
    <row r="5580" ht="25.0" customHeight="true">
      <c r="A5580" t="s" s="2">
        <v>13</v>
      </c>
      <c r="B5580" t="s" s="2">
        <f>HYPERLINK("http://ts.21cn.com/tousu/show/id/1368019","要求退还罚息跟违约金")</f>
      </c>
      <c r="C5580" t="s" s="2">
        <v>15</v>
      </c>
      <c r="D5580" t="s" s="2">
        <v>16</v>
      </c>
      <c r="E5580" t="s" s="2">
        <v>17</v>
      </c>
      <c r="F5580" t="s" s="2">
        <f>HYPERLINK("http://ts.21cn.com/tousu/show/id/1368019","http://ts.21cn.com/tousu/show/id/1368019")</f>
      </c>
      <c r="G5580" t="s" s="2">
        <v>17</v>
      </c>
      <c r="H5580" t="s" s="2">
        <v>19</v>
      </c>
      <c r="I5580" t="s" s="2">
        <v>21626</v>
      </c>
      <c r="J5580" t="s" s="2">
        <v>21627</v>
      </c>
      <c r="K5580" t="s" s="2">
        <v>22</v>
      </c>
      <c r="L5580" t="s" s="2">
        <v>22</v>
      </c>
      <c r="M5580" t="s" s="2">
        <v>22</v>
      </c>
    </row>
    <row r="5581" ht="25.0" customHeight="true">
      <c r="A5581" t="s" s="2">
        <v>13</v>
      </c>
      <c r="B5581" t="s" s="2">
        <f>HYPERLINK("http://ts.21cn.com/tousu/show/id/1368018","汇潮支付为易秒分期支付渠道，现易秒分期无法打开登陆")</f>
      </c>
      <c r="C5581" t="s" s="2">
        <v>15</v>
      </c>
      <c r="D5581" t="s" s="2">
        <v>16</v>
      </c>
      <c r="E5581" t="s" s="2">
        <v>17</v>
      </c>
      <c r="F5581" t="s" s="2">
        <f>HYPERLINK("http://ts.21cn.com/tousu/show/id/1368018","http://ts.21cn.com/tousu/show/id/1368018")</f>
      </c>
      <c r="G5581" t="s" s="2">
        <v>17</v>
      </c>
      <c r="H5581" t="s" s="2">
        <v>19</v>
      </c>
      <c r="I5581" t="s" s="2">
        <v>21630</v>
      </c>
      <c r="J5581" t="s" s="2">
        <v>21631</v>
      </c>
      <c r="K5581" t="s" s="2">
        <v>22</v>
      </c>
      <c r="L5581" t="s" s="2">
        <v>22</v>
      </c>
      <c r="M5581" t="s" s="2">
        <v>22</v>
      </c>
    </row>
    <row r="5582" ht="25.0" customHeight="true">
      <c r="A5582" t="s" s="2">
        <v>13</v>
      </c>
      <c r="B5582" t="s" s="2">
        <f>HYPERLINK("http://ts.21cn.com/tousu/show/id/1368017","点融魔借乱收利息乱放款")</f>
      </c>
      <c r="C5582" t="s" s="2">
        <v>15</v>
      </c>
      <c r="D5582" t="s" s="2">
        <v>16</v>
      </c>
      <c r="E5582" t="s" s="2">
        <v>17</v>
      </c>
      <c r="F5582" t="s" s="2">
        <f>HYPERLINK("http://ts.21cn.com/tousu/show/id/1368017","http://ts.21cn.com/tousu/show/id/1368017")</f>
      </c>
      <c r="G5582" t="s" s="2">
        <v>17</v>
      </c>
      <c r="H5582" t="s" s="2">
        <v>19</v>
      </c>
      <c r="I5582" t="s" s="2">
        <v>21634</v>
      </c>
      <c r="J5582" t="s" s="2">
        <v>21635</v>
      </c>
      <c r="K5582" t="s" s="2">
        <v>22</v>
      </c>
      <c r="L5582" t="s" s="2">
        <v>22</v>
      </c>
      <c r="M5582" t="s" s="2">
        <v>22</v>
      </c>
    </row>
    <row r="5583" ht="25.0" customHeight="true">
      <c r="A5583" t="s" s="2">
        <v>13</v>
      </c>
      <c r="B5583" t="s" s="2">
        <f>HYPERLINK("http://ts.21cn.com/tousu/show/id/1368016","用钱宝频繁骚扰本人")</f>
      </c>
      <c r="C5583" t="s" s="2">
        <v>15</v>
      </c>
      <c r="D5583" t="s" s="2">
        <v>16</v>
      </c>
      <c r="E5583" t="s" s="2">
        <v>17</v>
      </c>
      <c r="F5583" t="s" s="2">
        <f>HYPERLINK("http://ts.21cn.com/tousu/show/id/1368016","http://ts.21cn.com/tousu/show/id/1368016")</f>
      </c>
      <c r="G5583" t="s" s="2">
        <v>17</v>
      </c>
      <c r="H5583" t="s" s="2">
        <v>19</v>
      </c>
      <c r="I5583" t="s" s="2">
        <v>21638</v>
      </c>
      <c r="J5583" t="s" s="2">
        <v>21639</v>
      </c>
      <c r="K5583" t="s" s="2">
        <v>22</v>
      </c>
      <c r="L5583" t="s" s="2">
        <v>22</v>
      </c>
      <c r="M5583" t="s" s="2">
        <v>22</v>
      </c>
    </row>
    <row r="5584" ht="25.0" customHeight="true">
      <c r="A5584" t="s" s="2">
        <v>13</v>
      </c>
      <c r="B5584" t="s" s="2">
        <f>HYPERLINK("http://ts.21cn.com/tousu/show/id/1368015","捷信公司放我一条生路")</f>
      </c>
      <c r="C5584" t="s" s="2">
        <v>15</v>
      </c>
      <c r="D5584" t="s" s="2">
        <v>16</v>
      </c>
      <c r="E5584" t="s" s="2">
        <v>17</v>
      </c>
      <c r="F5584" t="s" s="2">
        <f>HYPERLINK("http://ts.21cn.com/tousu/show/id/1368015","http://ts.21cn.com/tousu/show/id/1368015")</f>
      </c>
      <c r="G5584" t="s" s="2">
        <v>17</v>
      </c>
      <c r="H5584" t="s" s="2">
        <v>19</v>
      </c>
      <c r="I5584" t="s" s="2">
        <v>21642</v>
      </c>
      <c r="J5584" t="s" s="2">
        <v>21643</v>
      </c>
      <c r="K5584" t="s" s="2">
        <v>22</v>
      </c>
      <c r="L5584" t="s" s="2">
        <v>22</v>
      </c>
      <c r="M5584" t="s" s="2">
        <v>22</v>
      </c>
    </row>
    <row r="5585" ht="25.0" customHeight="true">
      <c r="A5585" t="s" s="2">
        <v>13</v>
      </c>
      <c r="B5585" t="s" s="2">
        <f>HYPERLINK("http://ts.21cn.com/tousu/show/id/1368014","零钱提现")</f>
      </c>
      <c r="C5585" t="s" s="2">
        <v>15</v>
      </c>
      <c r="D5585" t="s" s="2">
        <v>16</v>
      </c>
      <c r="E5585" t="s" s="2">
        <v>17</v>
      </c>
      <c r="F5585" t="s" s="2">
        <f>HYPERLINK("http://ts.21cn.com/tousu/show/id/1368014","http://ts.21cn.com/tousu/show/id/1368014")</f>
      </c>
      <c r="G5585" t="s" s="2">
        <v>17</v>
      </c>
      <c r="H5585" t="s" s="2">
        <v>19</v>
      </c>
      <c r="I5585" t="s" s="2">
        <v>21646</v>
      </c>
      <c r="J5585" t="s" s="2">
        <v>21647</v>
      </c>
      <c r="K5585" t="s" s="2">
        <v>22</v>
      </c>
      <c r="L5585" t="s" s="2">
        <v>22</v>
      </c>
      <c r="M5585" t="s" s="2">
        <v>22</v>
      </c>
    </row>
    <row r="5586" ht="25.0" customHeight="true">
      <c r="A5586" t="s" s="2">
        <v>13</v>
      </c>
      <c r="B5586" t="s" s="2">
        <f>HYPERLINK("http://ts.21cn.com/tousu/show/id/1368012","韦博国际英语老板高卫宇跑路")</f>
      </c>
      <c r="C5586" t="s" s="2">
        <v>15</v>
      </c>
      <c r="D5586" t="s" s="2">
        <v>16</v>
      </c>
      <c r="E5586" t="s" s="2">
        <v>17</v>
      </c>
      <c r="F5586" t="s" s="2">
        <f>HYPERLINK("http://ts.21cn.com/tousu/show/id/1368012","http://ts.21cn.com/tousu/show/id/1368012")</f>
      </c>
      <c r="G5586" t="s" s="2">
        <v>17</v>
      </c>
      <c r="H5586" t="s" s="2">
        <v>19</v>
      </c>
      <c r="I5586" t="s" s="2">
        <v>21650</v>
      </c>
      <c r="J5586" t="s" s="2">
        <v>21651</v>
      </c>
      <c r="K5586" t="s" s="2">
        <v>22</v>
      </c>
      <c r="L5586" t="s" s="2">
        <v>22</v>
      </c>
      <c r="M5586" t="s" s="2">
        <v>22</v>
      </c>
    </row>
    <row r="5587" ht="25.0" customHeight="true">
      <c r="A5587" t="s" s="2">
        <v>13</v>
      </c>
      <c r="B5587" t="s" s="2">
        <f>HYPERLINK("http://ts.21cn.com/tousu/show/id/1367971","西部明珠vip故意隐瞒，误导消费者，")</f>
      </c>
      <c r="C5587" t="s" s="2">
        <v>15</v>
      </c>
      <c r="D5587" t="s" s="2">
        <v>16</v>
      </c>
      <c r="E5587" t="s" s="2">
        <v>17</v>
      </c>
      <c r="F5587" t="s" s="2">
        <f>HYPERLINK("http://ts.21cn.com/tousu/show/id/1367971","http://ts.21cn.com/tousu/show/id/1367971")</f>
      </c>
      <c r="G5587" t="s" s="2">
        <v>17</v>
      </c>
      <c r="H5587" t="s" s="2">
        <v>19</v>
      </c>
      <c r="I5587" t="s" s="2">
        <v>21654</v>
      </c>
      <c r="J5587" t="s" s="2">
        <v>21655</v>
      </c>
      <c r="K5587" t="s" s="2">
        <v>22</v>
      </c>
      <c r="L5587" t="s" s="2">
        <v>22</v>
      </c>
      <c r="M5587" t="s" s="2">
        <v>22</v>
      </c>
    </row>
    <row r="5588" ht="25.0" customHeight="true">
      <c r="A5588" t="s" s="2">
        <v>13</v>
      </c>
      <c r="B5588" t="s" s="2">
        <f>HYPERLINK("http://ts.21cn.com/tousu/show/id/1368013","现金巴士砍头息，暴力催收")</f>
      </c>
      <c r="C5588" t="s" s="2">
        <v>15</v>
      </c>
      <c r="D5588" t="s" s="2">
        <v>16</v>
      </c>
      <c r="E5588" t="s" s="2">
        <v>17</v>
      </c>
      <c r="F5588" t="s" s="2">
        <f>HYPERLINK("http://ts.21cn.com/tousu/show/id/1368013","http://ts.21cn.com/tousu/show/id/1368013")</f>
      </c>
      <c r="G5588" t="s" s="2">
        <v>17</v>
      </c>
      <c r="H5588" t="s" s="2">
        <v>19</v>
      </c>
      <c r="I5588" t="s" s="2">
        <v>21657</v>
      </c>
      <c r="J5588" t="s" s="2">
        <v>21658</v>
      </c>
      <c r="K5588" t="s" s="2">
        <v>22</v>
      </c>
      <c r="L5588" t="s" s="2">
        <v>22</v>
      </c>
      <c r="M5588" t="s" s="2">
        <v>22</v>
      </c>
    </row>
    <row r="5589" ht="25.0" customHeight="true">
      <c r="A5589" t="s" s="2">
        <v>13</v>
      </c>
      <c r="B5589" t="s" s="2">
        <f>HYPERLINK("http://ts.21cn.com/tousu/show/id/1368011","有用分期黑卡，利息高")</f>
      </c>
      <c r="C5589" t="s" s="2">
        <v>15</v>
      </c>
      <c r="D5589" t="s" s="2">
        <v>16</v>
      </c>
      <c r="E5589" t="s" s="2">
        <v>17</v>
      </c>
      <c r="F5589" t="s" s="2">
        <f>HYPERLINK("http://ts.21cn.com/tousu/show/id/1368011","http://ts.21cn.com/tousu/show/id/1368011")</f>
      </c>
      <c r="G5589" t="s" s="2">
        <v>17</v>
      </c>
      <c r="H5589" t="s" s="2">
        <v>19</v>
      </c>
      <c r="I5589" t="s" s="2">
        <v>21661</v>
      </c>
      <c r="J5589" t="s" s="2">
        <v>21662</v>
      </c>
      <c r="K5589" t="s" s="2">
        <v>22</v>
      </c>
      <c r="L5589" t="s" s="2">
        <v>22</v>
      </c>
      <c r="M5589" t="s" s="2">
        <v>22</v>
      </c>
    </row>
    <row r="5590" ht="25.0" customHeight="true">
      <c r="A5590" t="s" s="2">
        <v>13</v>
      </c>
      <c r="B5590" t="s" s="2">
        <f>HYPERLINK("http://ts.21cn.com/tousu/show/id/1368007","拖欠工资并且没有及时解决")</f>
      </c>
      <c r="C5590" t="s" s="2">
        <v>15</v>
      </c>
      <c r="D5590" t="s" s="2">
        <v>16</v>
      </c>
      <c r="E5590" t="s" s="2">
        <v>17</v>
      </c>
      <c r="F5590" t="s" s="2">
        <f>HYPERLINK("http://ts.21cn.com/tousu/show/id/1368007","http://ts.21cn.com/tousu/show/id/1368007")</f>
      </c>
      <c r="G5590" t="s" s="2">
        <v>17</v>
      </c>
      <c r="H5590" t="s" s="2">
        <v>19</v>
      </c>
      <c r="I5590" t="s" s="2">
        <v>21665</v>
      </c>
      <c r="J5590" t="s" s="2">
        <v>21666</v>
      </c>
      <c r="K5590" t="s" s="2">
        <v>22</v>
      </c>
      <c r="L5590" t="s" s="2">
        <v>22</v>
      </c>
      <c r="M5590" t="s" s="2">
        <v>22</v>
      </c>
    </row>
    <row r="5591" ht="25.0" customHeight="true">
      <c r="A5591" t="s" s="2">
        <v>13</v>
      </c>
      <c r="B5591" t="s" s="2">
        <f>HYPERLINK("http://ts.21cn.com/tousu/show/id/1368009","省呗暴力催收骚扰")</f>
      </c>
      <c r="C5591" t="s" s="2">
        <v>15</v>
      </c>
      <c r="D5591" t="s" s="2">
        <v>16</v>
      </c>
      <c r="E5591" t="s" s="2">
        <v>17</v>
      </c>
      <c r="F5591" t="s" s="2">
        <f>HYPERLINK("http://ts.21cn.com/tousu/show/id/1368009","http://ts.21cn.com/tousu/show/id/1368009")</f>
      </c>
      <c r="G5591" t="s" s="2">
        <v>17</v>
      </c>
      <c r="H5591" t="s" s="2">
        <v>19</v>
      </c>
      <c r="I5591" t="s" s="2">
        <v>21669</v>
      </c>
      <c r="J5591" t="s" s="2">
        <v>21670</v>
      </c>
      <c r="K5591" t="s" s="2">
        <v>22</v>
      </c>
      <c r="L5591" t="s" s="2">
        <v>22</v>
      </c>
      <c r="M5591" t="s" s="2">
        <v>22</v>
      </c>
    </row>
    <row r="5592" ht="25.0" customHeight="true">
      <c r="A5592" t="s" s="2">
        <v>13</v>
      </c>
      <c r="B5592" t="s" s="2">
        <f>HYPERLINK("http://ts.21cn.com/tousu/show/id/1368008","快闪卡贷高利息罚金")</f>
      </c>
      <c r="C5592" t="s" s="2">
        <v>15</v>
      </c>
      <c r="D5592" t="s" s="2">
        <v>16</v>
      </c>
      <c r="E5592" t="s" s="2">
        <v>17</v>
      </c>
      <c r="F5592" t="s" s="2">
        <f>HYPERLINK("http://ts.21cn.com/tousu/show/id/1368008","http://ts.21cn.com/tousu/show/id/1368008")</f>
      </c>
      <c r="G5592" t="s" s="2">
        <v>17</v>
      </c>
      <c r="H5592" t="s" s="2">
        <v>19</v>
      </c>
      <c r="I5592" t="s" s="2">
        <v>21673</v>
      </c>
      <c r="J5592" t="s" s="2">
        <v>21674</v>
      </c>
      <c r="K5592" t="s" s="2">
        <v>22</v>
      </c>
      <c r="L5592" t="s" s="2">
        <v>22</v>
      </c>
      <c r="M5592" t="s" s="2">
        <v>22</v>
      </c>
    </row>
    <row r="5593" ht="25.0" customHeight="true">
      <c r="A5593" t="s" s="2">
        <v>13</v>
      </c>
      <c r="B5593" t="s" s="2">
        <f>HYPERLINK("http://ts.21cn.com/tousu/show/id/1368006","停止催收及骚扰")</f>
      </c>
      <c r="C5593" t="s" s="2">
        <v>15</v>
      </c>
      <c r="D5593" t="s" s="2">
        <v>16</v>
      </c>
      <c r="E5593" t="s" s="2">
        <v>17</v>
      </c>
      <c r="F5593" t="s" s="2">
        <f>HYPERLINK("http://ts.21cn.com/tousu/show/id/1368006","http://ts.21cn.com/tousu/show/id/1368006")</f>
      </c>
      <c r="G5593" t="s" s="2">
        <v>17</v>
      </c>
      <c r="H5593" t="s" s="2">
        <v>19</v>
      </c>
      <c r="I5593" t="s" s="2">
        <v>21677</v>
      </c>
      <c r="J5593" t="s" s="2">
        <v>21678</v>
      </c>
      <c r="K5593" t="s" s="2">
        <v>22</v>
      </c>
      <c r="L5593" t="s" s="2">
        <v>22</v>
      </c>
      <c r="M5593" t="s" s="2">
        <v>22</v>
      </c>
    </row>
    <row r="5594" ht="25.0" customHeight="true">
      <c r="A5594" t="s" s="2">
        <v>13</v>
      </c>
      <c r="B5594" t="s" s="2">
        <f>HYPERLINK("http://ts.21cn.com/tousu/show/id/1368005","比特矿场崩盘跑路")</f>
      </c>
      <c r="C5594" t="s" s="2">
        <v>15</v>
      </c>
      <c r="D5594" t="s" s="2">
        <v>16</v>
      </c>
      <c r="E5594" t="s" s="2">
        <v>17</v>
      </c>
      <c r="F5594" t="s" s="2">
        <f>HYPERLINK("http://ts.21cn.com/tousu/show/id/1368005","http://ts.21cn.com/tousu/show/id/1368005")</f>
      </c>
      <c r="G5594" t="s" s="2">
        <v>17</v>
      </c>
      <c r="H5594" t="s" s="2">
        <v>19</v>
      </c>
      <c r="I5594" t="s" s="2">
        <v>21681</v>
      </c>
      <c r="J5594" t="s" s="2">
        <v>21682</v>
      </c>
      <c r="K5594" t="s" s="2">
        <v>22</v>
      </c>
      <c r="L5594" t="s" s="2">
        <v>22</v>
      </c>
      <c r="M5594" t="s" s="2">
        <v>22</v>
      </c>
    </row>
    <row r="5595" ht="25.0" customHeight="true">
      <c r="A5595" t="s" s="2">
        <v>13</v>
      </c>
      <c r="B5595" t="s" s="2">
        <f>HYPERLINK("http://ts.21cn.com/tousu/show/id/1368004","聚富分期诱导消费，无故扣款！要求退款！")</f>
      </c>
      <c r="C5595" t="s" s="2">
        <v>15</v>
      </c>
      <c r="D5595" t="s" s="2">
        <v>16</v>
      </c>
      <c r="E5595" t="s" s="2">
        <v>17</v>
      </c>
      <c r="F5595" t="s" s="2">
        <f>HYPERLINK("http://ts.21cn.com/tousu/show/id/1368004","http://ts.21cn.com/tousu/show/id/1368004")</f>
      </c>
      <c r="G5595" t="s" s="2">
        <v>17</v>
      </c>
      <c r="H5595" t="s" s="2">
        <v>19</v>
      </c>
      <c r="I5595" t="s" s="2">
        <v>21685</v>
      </c>
      <c r="J5595" t="s" s="2">
        <v>21686</v>
      </c>
      <c r="K5595" t="s" s="2">
        <v>22</v>
      </c>
      <c r="L5595" t="s" s="2">
        <v>22</v>
      </c>
      <c r="M5595" t="s" s="2">
        <v>22</v>
      </c>
    </row>
    <row r="5596" ht="25.0" customHeight="true">
      <c r="A5596" t="s" s="2">
        <v>13</v>
      </c>
      <c r="B5596" t="s" s="2">
        <f>HYPERLINK("http://ts.21cn.com/tousu/show/id/1368003","点融网app投资项目到期无法退出")</f>
      </c>
      <c r="C5596" t="s" s="2">
        <v>52</v>
      </c>
      <c r="D5596" t="s" s="2">
        <v>16</v>
      </c>
      <c r="E5596" t="s" s="2">
        <v>17</v>
      </c>
      <c r="F5596" t="s" s="2">
        <f>HYPERLINK("http://ts.21cn.com/tousu/show/id/1368003","http://ts.21cn.com/tousu/show/id/1368003")</f>
      </c>
      <c r="G5596" t="s" s="2">
        <v>17</v>
      </c>
      <c r="H5596" t="s" s="2">
        <v>19</v>
      </c>
      <c r="I5596" t="s" s="2">
        <v>21689</v>
      </c>
      <c r="J5596" t="s" s="2">
        <v>21690</v>
      </c>
      <c r="K5596" t="s" s="2">
        <v>22</v>
      </c>
      <c r="L5596" t="s" s="2">
        <v>22</v>
      </c>
      <c r="M5596" t="s" s="2">
        <v>22</v>
      </c>
    </row>
    <row r="5597" ht="25.0" customHeight="true">
      <c r="A5597" t="s" s="2">
        <v>13</v>
      </c>
      <c r="B5597" t="s" s="2">
        <f>HYPERLINK("http://ts.21cn.com/tousu/show/id/1368002","投诉借了呗骚扰")</f>
      </c>
      <c r="C5597" t="s" s="2">
        <v>15</v>
      </c>
      <c r="D5597" t="s" s="2">
        <v>16</v>
      </c>
      <c r="E5597" t="s" s="2">
        <v>17</v>
      </c>
      <c r="F5597" t="s" s="2">
        <f>HYPERLINK("http://ts.21cn.com/tousu/show/id/1368002","http://ts.21cn.com/tousu/show/id/1368002")</f>
      </c>
      <c r="G5597" t="s" s="2">
        <v>17</v>
      </c>
      <c r="H5597" t="s" s="2">
        <v>19</v>
      </c>
      <c r="I5597" t="s" s="2">
        <v>21693</v>
      </c>
      <c r="J5597" t="s" s="2">
        <v>21694</v>
      </c>
      <c r="K5597" t="s" s="2">
        <v>22</v>
      </c>
      <c r="L5597" t="s" s="2">
        <v>22</v>
      </c>
      <c r="M5597" t="s" s="2">
        <v>22</v>
      </c>
    </row>
    <row r="5598" ht="25.0" customHeight="true">
      <c r="A5598" t="s" s="2">
        <v>13</v>
      </c>
      <c r="B5598" t="s" s="2">
        <f>HYPERLINK("http://ts.21cn.com/tousu/show/id/1368001","高利贷，高额罚息")</f>
      </c>
      <c r="C5598" t="s" s="2">
        <v>15</v>
      </c>
      <c r="D5598" t="s" s="2">
        <v>16</v>
      </c>
      <c r="E5598" t="s" s="2">
        <v>17</v>
      </c>
      <c r="F5598" t="s" s="2">
        <f>HYPERLINK("http://ts.21cn.com/tousu/show/id/1368001","http://ts.21cn.com/tousu/show/id/1368001")</f>
      </c>
      <c r="G5598" t="s" s="2">
        <v>17</v>
      </c>
      <c r="H5598" t="s" s="2">
        <v>19</v>
      </c>
      <c r="I5598" t="s" s="2">
        <v>21697</v>
      </c>
      <c r="J5598" t="s" s="2">
        <v>21698</v>
      </c>
      <c r="K5598" t="s" s="2">
        <v>22</v>
      </c>
      <c r="L5598" t="s" s="2">
        <v>22</v>
      </c>
      <c r="M5598" t="s" s="2">
        <v>22</v>
      </c>
    </row>
    <row r="5599" ht="25.0" customHeight="true">
      <c r="A5599" t="s" s="2">
        <v>13</v>
      </c>
      <c r="B5599" t="s" s="2">
        <f>HYPERLINK("http://ts.21cn.com/tousu/show/id/1367999","人人花胡乱扣取相关费用")</f>
      </c>
      <c r="C5599" t="s" s="2">
        <v>15</v>
      </c>
      <c r="D5599" t="s" s="2">
        <v>16</v>
      </c>
      <c r="E5599" t="s" s="2">
        <v>17</v>
      </c>
      <c r="F5599" t="s" s="2">
        <f>HYPERLINK("http://ts.21cn.com/tousu/show/id/1367999","http://ts.21cn.com/tousu/show/id/1367999")</f>
      </c>
      <c r="G5599" t="s" s="2">
        <v>17</v>
      </c>
      <c r="H5599" t="s" s="2">
        <v>19</v>
      </c>
      <c r="I5599" t="s" s="2">
        <v>21701</v>
      </c>
      <c r="J5599" t="s" s="2">
        <v>21702</v>
      </c>
      <c r="K5599" t="s" s="2">
        <v>22</v>
      </c>
      <c r="L5599" t="s" s="2">
        <v>22</v>
      </c>
      <c r="M5599" t="s" s="2">
        <v>22</v>
      </c>
    </row>
    <row r="5600" ht="25.0" customHeight="true">
      <c r="A5600" t="s" s="2">
        <v>13</v>
      </c>
      <c r="B5600" t="s" s="2">
        <f>HYPERLINK("http://ts.21cn.com/tousu/show/id/1367967","套路贷套路前期费")</f>
      </c>
      <c r="C5600" t="s" s="2">
        <v>15</v>
      </c>
      <c r="D5600" t="s" s="2">
        <v>16</v>
      </c>
      <c r="E5600" t="s" s="2">
        <v>17</v>
      </c>
      <c r="F5600" t="s" s="2">
        <f>HYPERLINK("http://ts.21cn.com/tousu/show/id/1367967","http://ts.21cn.com/tousu/show/id/1367967")</f>
      </c>
      <c r="G5600" t="s" s="2">
        <v>17</v>
      </c>
      <c r="H5600" t="s" s="2">
        <v>19</v>
      </c>
      <c r="I5600" t="s" s="2">
        <v>21705</v>
      </c>
      <c r="J5600" t="s" s="2">
        <v>21706</v>
      </c>
      <c r="K5600" t="s" s="2">
        <v>22</v>
      </c>
      <c r="L5600" t="s" s="2">
        <v>22</v>
      </c>
      <c r="M5600" t="s" s="2">
        <v>22</v>
      </c>
    </row>
    <row r="5601" ht="25.0" customHeight="true">
      <c r="A5601" t="s" s="2">
        <v>13</v>
      </c>
      <c r="B5601" t="s" s="2">
        <f>HYPERLINK("http://ts.21cn.com/tousu/show/id/1367998","希望不要在打骚扰电话")</f>
      </c>
      <c r="C5601" t="s" s="2">
        <v>15</v>
      </c>
      <c r="D5601" t="s" s="2">
        <v>16</v>
      </c>
      <c r="E5601" t="s" s="2">
        <v>17</v>
      </c>
      <c r="F5601" t="s" s="2">
        <f>HYPERLINK("http://ts.21cn.com/tousu/show/id/1367998","http://ts.21cn.com/tousu/show/id/1367998")</f>
      </c>
      <c r="G5601" t="s" s="2">
        <v>17</v>
      </c>
      <c r="H5601" t="s" s="2">
        <v>19</v>
      </c>
      <c r="I5601" t="s" s="2">
        <v>21709</v>
      </c>
      <c r="J5601" t="s" s="2">
        <v>21710</v>
      </c>
      <c r="K5601" t="s" s="2">
        <v>22</v>
      </c>
      <c r="L5601" t="s" s="2">
        <v>22</v>
      </c>
      <c r="M5601" t="s" s="2">
        <v>22</v>
      </c>
    </row>
    <row r="5602" ht="25.0" customHeight="true">
      <c r="A5602" t="s" s="2">
        <v>13</v>
      </c>
      <c r="B5602" t="s" s="2">
        <f>HYPERLINK("http://ts.21cn.com/tousu/show/id/1367997","多收费用")</f>
      </c>
      <c r="C5602" t="s" s="2">
        <v>15</v>
      </c>
      <c r="D5602" t="s" s="2">
        <v>16</v>
      </c>
      <c r="E5602" t="s" s="2">
        <v>17</v>
      </c>
      <c r="F5602" t="s" s="2">
        <f>HYPERLINK("http://ts.21cn.com/tousu/show/id/1367997","http://ts.21cn.com/tousu/show/id/1367997")</f>
      </c>
      <c r="G5602" t="s" s="2">
        <v>17</v>
      </c>
      <c r="H5602" t="s" s="2">
        <v>19</v>
      </c>
      <c r="I5602" t="s" s="2">
        <v>21713</v>
      </c>
      <c r="J5602" t="s" s="2">
        <v>21714</v>
      </c>
      <c r="K5602" t="s" s="2">
        <v>22</v>
      </c>
      <c r="L5602" t="s" s="2">
        <v>22</v>
      </c>
      <c r="M5602" t="s" s="2">
        <v>22</v>
      </c>
    </row>
    <row r="5603" ht="25.0" customHeight="true">
      <c r="A5603" t="s" s="2">
        <v>13</v>
      </c>
      <c r="B5603" t="s" s="2">
        <f>HYPERLINK("http://ts.21cn.com/tousu/show/id/1367996","平安普惠骚扰电话")</f>
      </c>
      <c r="C5603" t="s" s="2">
        <v>15</v>
      </c>
      <c r="D5603" t="s" s="2">
        <v>16</v>
      </c>
      <c r="E5603" t="s" s="2">
        <v>17</v>
      </c>
      <c r="F5603" t="s" s="2">
        <f>HYPERLINK("http://ts.21cn.com/tousu/show/id/1367996","http://ts.21cn.com/tousu/show/id/1367996")</f>
      </c>
      <c r="G5603" t="s" s="2">
        <v>17</v>
      </c>
      <c r="H5603" t="s" s="2">
        <v>19</v>
      </c>
      <c r="I5603" t="s" s="2">
        <v>21713</v>
      </c>
      <c r="J5603" t="s" s="2">
        <v>21717</v>
      </c>
      <c r="K5603" t="s" s="2">
        <v>22</v>
      </c>
      <c r="L5603" t="s" s="2">
        <v>22</v>
      </c>
      <c r="M5603" t="s" s="2">
        <v>22</v>
      </c>
    </row>
    <row r="5604" ht="25.0" customHeight="true">
      <c r="A5604" t="s" s="2">
        <v>13</v>
      </c>
      <c r="B5604" t="s" s="2">
        <f>HYPERLINK("http://ts.21cn.com/tousu/show/id/1367995","招联金融不冻结账户韦博学员陷入培训贷")</f>
      </c>
      <c r="C5604" t="s" s="2">
        <v>15</v>
      </c>
      <c r="D5604" t="s" s="2">
        <v>16</v>
      </c>
      <c r="E5604" t="s" s="2">
        <v>17</v>
      </c>
      <c r="F5604" t="s" s="2">
        <f>HYPERLINK("http://ts.21cn.com/tousu/show/id/1367995","http://ts.21cn.com/tousu/show/id/1367995")</f>
      </c>
      <c r="G5604" t="s" s="2">
        <v>17</v>
      </c>
      <c r="H5604" t="s" s="2">
        <v>19</v>
      </c>
      <c r="I5604" t="s" s="2">
        <v>21720</v>
      </c>
      <c r="J5604" t="s" s="2">
        <v>21721</v>
      </c>
      <c r="K5604" t="s" s="2">
        <v>22</v>
      </c>
      <c r="L5604" t="s" s="2">
        <v>22</v>
      </c>
      <c r="M5604" t="s" s="2">
        <v>22</v>
      </c>
    </row>
    <row r="5605" ht="25.0" customHeight="true">
      <c r="A5605" t="s" s="2">
        <v>13</v>
      </c>
      <c r="B5605" t="s" s="2">
        <f>HYPERLINK("http://ts.21cn.com/tousu/show/id/1367992","来米伽砍头息")</f>
      </c>
      <c r="C5605" t="s" s="2">
        <v>15</v>
      </c>
      <c r="D5605" t="s" s="2">
        <v>16</v>
      </c>
      <c r="E5605" t="s" s="2">
        <v>17</v>
      </c>
      <c r="F5605" t="s" s="2">
        <f>HYPERLINK("http://ts.21cn.com/tousu/show/id/1367992","http://ts.21cn.com/tousu/show/id/1367992")</f>
      </c>
      <c r="G5605" t="s" s="2">
        <v>17</v>
      </c>
      <c r="H5605" t="s" s="2">
        <v>19</v>
      </c>
      <c r="I5605" t="s" s="2">
        <v>21724</v>
      </c>
      <c r="J5605" t="s" s="2">
        <v>21725</v>
      </c>
      <c r="K5605" t="s" s="2">
        <v>22</v>
      </c>
      <c r="L5605" t="s" s="2">
        <v>22</v>
      </c>
      <c r="M5605" t="s" s="2">
        <v>22</v>
      </c>
    </row>
    <row r="5606" ht="25.0" customHeight="true">
      <c r="A5606" t="s" s="2">
        <v>13</v>
      </c>
      <c r="B5606" t="s" s="2">
        <f>HYPERLINK("http://ts.21cn.com/tousu/show/id/1367993","浪里白条高利贷")</f>
      </c>
      <c r="C5606" t="s" s="2">
        <v>15</v>
      </c>
      <c r="D5606" t="s" s="2">
        <v>16</v>
      </c>
      <c r="E5606" t="s" s="2">
        <v>17</v>
      </c>
      <c r="F5606" t="s" s="2">
        <f>HYPERLINK("http://ts.21cn.com/tousu/show/id/1367993","http://ts.21cn.com/tousu/show/id/1367993")</f>
      </c>
      <c r="G5606" t="s" s="2">
        <v>17</v>
      </c>
      <c r="H5606" t="s" s="2">
        <v>19</v>
      </c>
      <c r="I5606" t="s" s="2">
        <v>21728</v>
      </c>
      <c r="J5606" t="s" s="2">
        <v>21729</v>
      </c>
      <c r="K5606" t="s" s="2">
        <v>22</v>
      </c>
      <c r="L5606" t="s" s="2">
        <v>22</v>
      </c>
      <c r="M5606" t="s" s="2">
        <v>22</v>
      </c>
    </row>
    <row r="5607" ht="25.0" customHeight="true">
      <c r="A5607" t="s" s="2">
        <v>13</v>
      </c>
      <c r="B5607" t="s" s="2">
        <f>HYPERLINK("http://ts.21cn.com/tousu/show/id/1367991","网商贷爆通讯录")</f>
      </c>
      <c r="C5607" t="s" s="2">
        <v>15</v>
      </c>
      <c r="D5607" t="s" s="2">
        <v>16</v>
      </c>
      <c r="E5607" t="s" s="2">
        <v>17</v>
      </c>
      <c r="F5607" t="s" s="2">
        <f>HYPERLINK("http://ts.21cn.com/tousu/show/id/1367991","http://ts.21cn.com/tousu/show/id/1367991")</f>
      </c>
      <c r="G5607" t="s" s="2">
        <v>17</v>
      </c>
      <c r="H5607" t="s" s="2">
        <v>19</v>
      </c>
      <c r="I5607" t="s" s="2">
        <v>21732</v>
      </c>
      <c r="J5607" t="s" s="2">
        <v>21733</v>
      </c>
      <c r="K5607" t="s" s="2">
        <v>22</v>
      </c>
      <c r="L5607" t="s" s="2">
        <v>22</v>
      </c>
      <c r="M5607" t="s" s="2">
        <v>22</v>
      </c>
    </row>
    <row r="5608" ht="25.0" customHeight="true">
      <c r="A5608" t="s" s="2">
        <v>13</v>
      </c>
      <c r="B5608" t="s" s="2">
        <f>HYPERLINK("http://ts.21cn.com/tousu/show/id/1367990","贷上钱收取高额利息，暴力催收，恶意骚扰")</f>
      </c>
      <c r="C5608" t="s" s="2">
        <v>15</v>
      </c>
      <c r="D5608" t="s" s="2">
        <v>16</v>
      </c>
      <c r="E5608" t="s" s="2">
        <v>17</v>
      </c>
      <c r="F5608" t="s" s="2">
        <f>HYPERLINK("http://ts.21cn.com/tousu/show/id/1367990","http://ts.21cn.com/tousu/show/id/1367990")</f>
      </c>
      <c r="G5608" t="s" s="2">
        <v>17</v>
      </c>
      <c r="H5608" t="s" s="2">
        <v>19</v>
      </c>
      <c r="I5608" t="s" s="2">
        <v>21736</v>
      </c>
      <c r="J5608" t="s" s="2">
        <v>21737</v>
      </c>
      <c r="K5608" t="s" s="2">
        <v>22</v>
      </c>
      <c r="L5608" t="s" s="2">
        <v>22</v>
      </c>
      <c r="M5608" t="s" s="2">
        <v>22</v>
      </c>
    </row>
    <row r="5609" ht="25.0" customHeight="true">
      <c r="A5609" t="s" s="2">
        <v>13</v>
      </c>
      <c r="B5609" t="s" s="2">
        <f>HYPERLINK("http://ts.21cn.com/tousu/show/id/1367988","闪银科技至尊借款暴力催收，威胁借款人")</f>
      </c>
      <c r="C5609" t="s" s="2">
        <v>15</v>
      </c>
      <c r="D5609" t="s" s="2">
        <v>16</v>
      </c>
      <c r="E5609" t="s" s="2">
        <v>17</v>
      </c>
      <c r="F5609" t="s" s="2">
        <f>HYPERLINK("http://ts.21cn.com/tousu/show/id/1367988","http://ts.21cn.com/tousu/show/id/1367988")</f>
      </c>
      <c r="G5609" t="s" s="2">
        <v>17</v>
      </c>
      <c r="H5609" t="s" s="2">
        <v>19</v>
      </c>
      <c r="I5609" t="s" s="2">
        <v>21740</v>
      </c>
      <c r="J5609" t="s" s="2">
        <v>21741</v>
      </c>
      <c r="K5609" t="s" s="2">
        <v>22</v>
      </c>
      <c r="L5609" t="s" s="2">
        <v>22</v>
      </c>
      <c r="M5609" t="s" s="2">
        <v>22</v>
      </c>
    </row>
    <row r="5610" ht="25.0" customHeight="true">
      <c r="A5610" t="s" s="2">
        <v>13</v>
      </c>
      <c r="B5610" t="s" s="2">
        <f>HYPERLINK("http://ts.21cn.com/tousu/show/id/1367989","卡牛信用卡管家砍头息")</f>
      </c>
      <c r="C5610" t="s" s="2">
        <v>15</v>
      </c>
      <c r="D5610" t="s" s="2">
        <v>16</v>
      </c>
      <c r="E5610" t="s" s="2">
        <v>17</v>
      </c>
      <c r="F5610" t="s" s="2">
        <f>HYPERLINK("http://ts.21cn.com/tousu/show/id/1367989","http://ts.21cn.com/tousu/show/id/1367989")</f>
      </c>
      <c r="G5610" t="s" s="2">
        <v>17</v>
      </c>
      <c r="H5610" t="s" s="2">
        <v>19</v>
      </c>
      <c r="I5610" t="s" s="2">
        <v>21740</v>
      </c>
      <c r="J5610" t="s" s="2">
        <v>21744</v>
      </c>
      <c r="K5610" t="s" s="2">
        <v>22</v>
      </c>
      <c r="L5610" t="s" s="2">
        <v>22</v>
      </c>
      <c r="M5610" t="s" s="2">
        <v>22</v>
      </c>
    </row>
    <row r="5611" ht="25.0" customHeight="true">
      <c r="A5611" t="s" s="2">
        <v>13</v>
      </c>
      <c r="B5611" t="s" s="2">
        <f>HYPERLINK("http://ts.21cn.com/tousu/show/id/1367987","真黑心")</f>
      </c>
      <c r="C5611" t="s" s="2">
        <v>15</v>
      </c>
      <c r="D5611" t="s" s="2">
        <v>16</v>
      </c>
      <c r="E5611" t="s" s="2">
        <v>17</v>
      </c>
      <c r="F5611" t="s" s="2">
        <f>HYPERLINK("http://ts.21cn.com/tousu/show/id/1367987","http://ts.21cn.com/tousu/show/id/1367987")</f>
      </c>
      <c r="G5611" t="s" s="2">
        <v>17</v>
      </c>
      <c r="H5611" t="s" s="2">
        <v>19</v>
      </c>
      <c r="I5611" t="s" s="2">
        <v>21747</v>
      </c>
      <c r="J5611" t="s" s="2">
        <v>21748</v>
      </c>
      <c r="K5611" t="s" s="2">
        <v>22</v>
      </c>
      <c r="L5611" t="s" s="2">
        <v>22</v>
      </c>
      <c r="M5611" t="s" s="2">
        <v>22</v>
      </c>
    </row>
    <row r="5612" ht="25.0" customHeight="true">
      <c r="A5612" t="s" s="2">
        <v>13</v>
      </c>
      <c r="B5612" t="s" s="2">
        <f>HYPERLINK("http://ts.21cn.com/tousu/show/id/1367985","海尔金融，乱报征信")</f>
      </c>
      <c r="C5612" t="s" s="2">
        <v>15</v>
      </c>
      <c r="D5612" t="s" s="2">
        <v>16</v>
      </c>
      <c r="E5612" t="s" s="2">
        <v>17</v>
      </c>
      <c r="F5612" t="s" s="2">
        <f>HYPERLINK("http://ts.21cn.com/tousu/show/id/1367985","http://ts.21cn.com/tousu/show/id/1367985")</f>
      </c>
      <c r="G5612" t="s" s="2">
        <v>17</v>
      </c>
      <c r="H5612" t="s" s="2">
        <v>19</v>
      </c>
      <c r="I5612" t="s" s="2">
        <v>21751</v>
      </c>
      <c r="J5612" t="s" s="2">
        <v>21752</v>
      </c>
      <c r="K5612" t="s" s="2">
        <v>22</v>
      </c>
      <c r="L5612" t="s" s="2">
        <v>22</v>
      </c>
      <c r="M5612" t="s" s="2">
        <v>22</v>
      </c>
    </row>
    <row r="5613" ht="25.0" customHeight="true">
      <c r="A5613" t="s" s="2">
        <v>13</v>
      </c>
      <c r="B5613" t="s" s="2">
        <f>HYPERLINK("http://ts.21cn.com/tousu/show/id/1367984","714高炮")</f>
      </c>
      <c r="C5613" t="s" s="2">
        <v>52</v>
      </c>
      <c r="D5613" t="s" s="2">
        <v>16</v>
      </c>
      <c r="E5613" t="s" s="2">
        <v>17</v>
      </c>
      <c r="F5613" t="s" s="2">
        <f>HYPERLINK("http://ts.21cn.com/tousu/show/id/1367984","http://ts.21cn.com/tousu/show/id/1367984")</f>
      </c>
      <c r="G5613" t="s" s="2">
        <v>17</v>
      </c>
      <c r="H5613" t="s" s="2">
        <v>19</v>
      </c>
      <c r="I5613" t="s" s="2">
        <v>21754</v>
      </c>
      <c r="J5613" t="s" s="2">
        <v>21755</v>
      </c>
      <c r="K5613" t="s" s="2">
        <v>22</v>
      </c>
      <c r="L5613" t="s" s="2">
        <v>22</v>
      </c>
      <c r="M5613" t="s" s="2">
        <v>22</v>
      </c>
    </row>
    <row r="5614" ht="25.0" customHeight="true">
      <c r="A5614" t="s" s="2">
        <v>13</v>
      </c>
      <c r="B5614" t="s" s="2">
        <f>HYPERLINK("http://ts.21cn.com/tousu/show/id/1367983","情人花贷款私自扣款")</f>
      </c>
      <c r="C5614" t="s" s="2">
        <v>15</v>
      </c>
      <c r="D5614" t="s" s="2">
        <v>16</v>
      </c>
      <c r="E5614" t="s" s="2">
        <v>17</v>
      </c>
      <c r="F5614" t="s" s="2">
        <f>HYPERLINK("http://ts.21cn.com/tousu/show/id/1367983","http://ts.21cn.com/tousu/show/id/1367983")</f>
      </c>
      <c r="G5614" t="s" s="2">
        <v>17</v>
      </c>
      <c r="H5614" t="s" s="2">
        <v>19</v>
      </c>
      <c r="I5614" t="s" s="2">
        <v>21758</v>
      </c>
      <c r="J5614" t="s" s="2">
        <v>21759</v>
      </c>
      <c r="K5614" t="s" s="2">
        <v>22</v>
      </c>
      <c r="L5614" t="s" s="2">
        <v>22</v>
      </c>
      <c r="M5614" t="s" s="2">
        <v>22</v>
      </c>
    </row>
    <row r="5615" ht="25.0" customHeight="true">
      <c r="A5615" t="s" s="2">
        <v>13</v>
      </c>
      <c r="B5615" t="s" s="2">
        <f>HYPERLINK("http://ts.21cn.com/tousu/show/id/1367982","在门客生活微信公众号上购买的一年配送花卉，可是只送了几周就不配送了")</f>
      </c>
      <c r="C5615" t="s" s="2">
        <v>52</v>
      </c>
      <c r="D5615" t="s" s="2">
        <v>16</v>
      </c>
      <c r="E5615" t="s" s="2">
        <v>17</v>
      </c>
      <c r="F5615" t="s" s="2">
        <f>HYPERLINK("http://ts.21cn.com/tousu/show/id/1367982","http://ts.21cn.com/tousu/show/id/1367982")</f>
      </c>
      <c r="G5615" t="s" s="2">
        <v>17</v>
      </c>
      <c r="H5615" t="s" s="2">
        <v>19</v>
      </c>
      <c r="I5615" t="s" s="2">
        <v>21762</v>
      </c>
      <c r="J5615" t="s" s="2">
        <v>21763</v>
      </c>
      <c r="K5615" t="s" s="2">
        <v>22</v>
      </c>
      <c r="L5615" t="s" s="2">
        <v>22</v>
      </c>
      <c r="M5615" t="s" s="2">
        <v>22</v>
      </c>
    </row>
    <row r="5616" ht="25.0" customHeight="true">
      <c r="A5616" t="s" s="2">
        <v>13</v>
      </c>
      <c r="B5616" t="s" s="2">
        <f>HYPERLINK("http://ts.21cn.com/tousu/show/id/1367981","闪掌柜协商还款")</f>
      </c>
      <c r="C5616" t="s" s="2">
        <v>15</v>
      </c>
      <c r="D5616" t="s" s="2">
        <v>16</v>
      </c>
      <c r="E5616" t="s" s="2">
        <v>17</v>
      </c>
      <c r="F5616" t="s" s="2">
        <f>HYPERLINK("http://ts.21cn.com/tousu/show/id/1367981","http://ts.21cn.com/tousu/show/id/1367981")</f>
      </c>
      <c r="G5616" t="s" s="2">
        <v>17</v>
      </c>
      <c r="H5616" t="s" s="2">
        <v>19</v>
      </c>
      <c r="I5616" t="s" s="2">
        <v>21766</v>
      </c>
      <c r="J5616" t="s" s="2">
        <v>21289</v>
      </c>
      <c r="K5616" t="s" s="2">
        <v>22</v>
      </c>
      <c r="L5616" t="s" s="2">
        <v>22</v>
      </c>
      <c r="M5616" t="s" s="2">
        <v>22</v>
      </c>
    </row>
    <row r="5617" ht="25.0" customHeight="true">
      <c r="A5617" t="s" s="2">
        <v>13</v>
      </c>
      <c r="B5617" t="s" s="2">
        <f>HYPERLINK("http://ts.21cn.com/tousu/show/id/1367980","强制收取额外费用")</f>
      </c>
      <c r="C5617" t="s" s="2">
        <v>15</v>
      </c>
      <c r="D5617" t="s" s="2">
        <v>16</v>
      </c>
      <c r="E5617" t="s" s="2">
        <v>17</v>
      </c>
      <c r="F5617" t="s" s="2">
        <f>HYPERLINK("http://ts.21cn.com/tousu/show/id/1367980","http://ts.21cn.com/tousu/show/id/1367980")</f>
      </c>
      <c r="G5617" t="s" s="2">
        <v>17</v>
      </c>
      <c r="H5617" t="s" s="2">
        <v>19</v>
      </c>
      <c r="I5617" t="s" s="2">
        <v>21769</v>
      </c>
      <c r="J5617" t="s" s="2">
        <v>21770</v>
      </c>
      <c r="K5617" t="s" s="2">
        <v>22</v>
      </c>
      <c r="L5617" t="s" s="2">
        <v>22</v>
      </c>
      <c r="M5617" t="s" s="2">
        <v>22</v>
      </c>
    </row>
    <row r="5618" ht="25.0" customHeight="true">
      <c r="A5618" t="s" s="2">
        <v>13</v>
      </c>
      <c r="B5618" t="s" s="2">
        <f>HYPERLINK("http://ts.21cn.com/tousu/show/id/1367979","交通银行客服人员态度语气十分恶劣")</f>
      </c>
      <c r="C5618" t="s" s="2">
        <v>15</v>
      </c>
      <c r="D5618" t="s" s="2">
        <v>16</v>
      </c>
      <c r="E5618" t="s" s="2">
        <v>17</v>
      </c>
      <c r="F5618" t="s" s="2">
        <f>HYPERLINK("http://ts.21cn.com/tousu/show/id/1367979","http://ts.21cn.com/tousu/show/id/1367979")</f>
      </c>
      <c r="G5618" t="s" s="2">
        <v>17</v>
      </c>
      <c r="H5618" t="s" s="2">
        <v>19</v>
      </c>
      <c r="I5618" t="s" s="2">
        <v>21773</v>
      </c>
      <c r="J5618" t="s" s="2">
        <v>21774</v>
      </c>
      <c r="K5618" t="s" s="2">
        <v>22</v>
      </c>
      <c r="L5618" t="s" s="2">
        <v>22</v>
      </c>
      <c r="M5618" t="s" s="2">
        <v>22</v>
      </c>
    </row>
    <row r="5619" ht="25.0" customHeight="true">
      <c r="A5619" t="s" s="2">
        <v>13</v>
      </c>
      <c r="B5619" t="s" s="2">
        <f>HYPERLINK("http://ts.21cn.com/tousu/show/id/1367961","虚假广告，忽悠消费者")</f>
      </c>
      <c r="C5619" t="s" s="2">
        <v>15</v>
      </c>
      <c r="D5619" t="s" s="2">
        <v>16</v>
      </c>
      <c r="E5619" t="s" s="2">
        <v>17</v>
      </c>
      <c r="F5619" t="s" s="2">
        <f>HYPERLINK("http://ts.21cn.com/tousu/show/id/1367961","http://ts.21cn.com/tousu/show/id/1367961")</f>
      </c>
      <c r="G5619" t="s" s="2">
        <v>17</v>
      </c>
      <c r="H5619" t="s" s="2">
        <v>19</v>
      </c>
      <c r="I5619" t="s" s="2">
        <v>21777</v>
      </c>
      <c r="J5619" t="s" s="2">
        <v>21778</v>
      </c>
      <c r="K5619" t="s" s="2">
        <v>22</v>
      </c>
      <c r="L5619" t="s" s="2">
        <v>22</v>
      </c>
      <c r="M5619" t="s" s="2">
        <v>22</v>
      </c>
    </row>
    <row r="5620" ht="25.0" customHeight="true">
      <c r="A5620" t="s" s="2">
        <v>13</v>
      </c>
      <c r="B5620" t="s" s="2">
        <f>HYPERLINK("http://ts.21cn.com/tousu/show/id/1367978","我来贷暴力催收")</f>
      </c>
      <c r="C5620" t="s" s="2">
        <v>15</v>
      </c>
      <c r="D5620" t="s" s="2">
        <v>16</v>
      </c>
      <c r="E5620" t="s" s="2">
        <v>17</v>
      </c>
      <c r="F5620" t="s" s="2">
        <f>HYPERLINK("http://ts.21cn.com/tousu/show/id/1367978","http://ts.21cn.com/tousu/show/id/1367978")</f>
      </c>
      <c r="G5620" t="s" s="2">
        <v>17</v>
      </c>
      <c r="H5620" t="s" s="2">
        <v>19</v>
      </c>
      <c r="I5620" t="s" s="2">
        <v>21780</v>
      </c>
      <c r="J5620" t="s" s="2">
        <v>21781</v>
      </c>
      <c r="K5620" t="s" s="2">
        <v>22</v>
      </c>
      <c r="L5620" t="s" s="2">
        <v>22</v>
      </c>
      <c r="M5620" t="s" s="2">
        <v>22</v>
      </c>
    </row>
    <row r="5621" ht="25.0" customHeight="true">
      <c r="A5621" t="s" s="2">
        <v>13</v>
      </c>
      <c r="B5621" t="s" s="2">
        <f>HYPERLINK("http://ts.21cn.com/tousu/show/id/1367976","芜湖韦博英语单方停课")</f>
      </c>
      <c r="C5621" t="s" s="2">
        <v>15</v>
      </c>
      <c r="D5621" t="s" s="2">
        <v>16</v>
      </c>
      <c r="E5621" t="s" s="2">
        <v>17</v>
      </c>
      <c r="F5621" t="s" s="2">
        <f>HYPERLINK("http://ts.21cn.com/tousu/show/id/1367976","http://ts.21cn.com/tousu/show/id/1367976")</f>
      </c>
      <c r="G5621" t="s" s="2">
        <v>17</v>
      </c>
      <c r="H5621" t="s" s="2">
        <v>19</v>
      </c>
      <c r="I5621" t="s" s="2">
        <v>21784</v>
      </c>
      <c r="J5621" t="s" s="2">
        <v>21785</v>
      </c>
      <c r="K5621" t="s" s="2">
        <v>22</v>
      </c>
      <c r="L5621" t="s" s="2">
        <v>22</v>
      </c>
      <c r="M5621" t="s" s="2">
        <v>22</v>
      </c>
    </row>
    <row r="5622" ht="25.0" customHeight="true">
      <c r="A5622" t="s" s="2">
        <v>13</v>
      </c>
      <c r="B5622" t="s" s="2">
        <f>HYPERLINK("http://ts.21cn.com/tousu/show/id/1367899","OYO酒店无法入住，还不给退款")</f>
      </c>
      <c r="C5622" t="s" s="2">
        <v>15</v>
      </c>
      <c r="D5622" t="s" s="2">
        <v>16</v>
      </c>
      <c r="E5622" t="s" s="2">
        <v>17</v>
      </c>
      <c r="F5622" t="s" s="2">
        <f>HYPERLINK("http://ts.21cn.com/tousu/show/id/1367899","http://ts.21cn.com/tousu/show/id/1367899")</f>
      </c>
      <c r="G5622" t="s" s="2">
        <v>17</v>
      </c>
      <c r="H5622" t="s" s="2">
        <v>19</v>
      </c>
      <c r="I5622" t="s" s="2">
        <v>21788</v>
      </c>
      <c r="J5622" t="s" s="2">
        <v>21789</v>
      </c>
      <c r="K5622" t="s" s="2">
        <v>22</v>
      </c>
      <c r="L5622" t="s" s="2">
        <v>22</v>
      </c>
      <c r="M5622" t="s" s="2">
        <v>22</v>
      </c>
    </row>
    <row r="5623" ht="25.0" customHeight="true">
      <c r="A5623" t="s" s="2">
        <v>13</v>
      </c>
      <c r="B5623" t="s" s="2">
        <f>HYPERLINK("http://ts.21cn.com/tousu/show/id/1367975","拼多多违规处理介入的买卖交易纠纷")</f>
      </c>
      <c r="C5623" t="s" s="2">
        <v>15</v>
      </c>
      <c r="D5623" t="s" s="2">
        <v>16</v>
      </c>
      <c r="E5623" t="s" s="2">
        <v>17</v>
      </c>
      <c r="F5623" t="s" s="2">
        <f>HYPERLINK("http://ts.21cn.com/tousu/show/id/1367975","http://ts.21cn.com/tousu/show/id/1367975")</f>
      </c>
      <c r="G5623" t="s" s="2">
        <v>17</v>
      </c>
      <c r="H5623" t="s" s="2">
        <v>19</v>
      </c>
      <c r="I5623" t="s" s="2">
        <v>21792</v>
      </c>
      <c r="J5623" t="s" s="2">
        <v>21793</v>
      </c>
      <c r="K5623" t="s" s="2">
        <v>22</v>
      </c>
      <c r="L5623" t="s" s="2">
        <v>22</v>
      </c>
      <c r="M5623" t="s" s="2">
        <v>22</v>
      </c>
    </row>
    <row r="5624" ht="25.0" customHeight="true">
      <c r="A5624" t="s" s="2">
        <v>13</v>
      </c>
      <c r="B5624" t="s" s="2">
        <f>HYPERLINK("http://ts.21cn.com/tousu/show/id/1367973","小树时代还款不处理账单")</f>
      </c>
      <c r="C5624" t="s" s="2">
        <v>15</v>
      </c>
      <c r="D5624" t="s" s="2">
        <v>16</v>
      </c>
      <c r="E5624" t="s" s="2">
        <v>17</v>
      </c>
      <c r="F5624" t="s" s="2">
        <f>HYPERLINK("http://ts.21cn.com/tousu/show/id/1367973","http://ts.21cn.com/tousu/show/id/1367973")</f>
      </c>
      <c r="G5624" t="s" s="2">
        <v>17</v>
      </c>
      <c r="H5624" t="s" s="2">
        <v>19</v>
      </c>
      <c r="I5624" t="s" s="2">
        <v>21796</v>
      </c>
      <c r="J5624" t="s" s="2">
        <v>21797</v>
      </c>
      <c r="K5624" t="s" s="2">
        <v>22</v>
      </c>
      <c r="L5624" t="s" s="2">
        <v>22</v>
      </c>
      <c r="M5624" t="s" s="2">
        <v>22</v>
      </c>
    </row>
    <row r="5625" ht="25.0" customHeight="true">
      <c r="A5625" t="s" s="2">
        <v>13</v>
      </c>
      <c r="B5625" t="s" s="2">
        <f>HYPERLINK("http://ts.21cn.com/tousu/show/id/1367974","高利贷，暴力催收")</f>
      </c>
      <c r="C5625" t="s" s="2">
        <v>15</v>
      </c>
      <c r="D5625" t="s" s="2">
        <v>16</v>
      </c>
      <c r="E5625" t="s" s="2">
        <v>17</v>
      </c>
      <c r="F5625" t="s" s="2">
        <f>HYPERLINK("http://ts.21cn.com/tousu/show/id/1367974","http://ts.21cn.com/tousu/show/id/1367974")</f>
      </c>
      <c r="G5625" t="s" s="2">
        <v>17</v>
      </c>
      <c r="H5625" t="s" s="2">
        <v>19</v>
      </c>
      <c r="I5625" t="s" s="2">
        <v>21799</v>
      </c>
      <c r="J5625" t="s" s="2">
        <v>21800</v>
      </c>
      <c r="K5625" t="s" s="2">
        <v>22</v>
      </c>
      <c r="L5625" t="s" s="2">
        <v>22</v>
      </c>
      <c r="M5625" t="s" s="2">
        <v>22</v>
      </c>
    </row>
    <row r="5626" ht="25.0" customHeight="true">
      <c r="A5626" t="s" s="2">
        <v>13</v>
      </c>
      <c r="B5626" t="s" s="2">
        <f>HYPERLINK("http://ts.21cn.com/tousu/show/id/1367972","今天致电捷信客服，告知我欠款还有3万7千多，还了减免后35%的额20012元，为什么现在还要我还3万多。要看到合同结清！")</f>
      </c>
      <c r="C5626" t="s" s="2">
        <v>52</v>
      </c>
      <c r="D5626" t="s" s="2">
        <v>16</v>
      </c>
      <c r="E5626" t="s" s="2">
        <v>17</v>
      </c>
      <c r="F5626" t="s" s="2">
        <f>HYPERLINK("http://ts.21cn.com/tousu/show/id/1367972","http://ts.21cn.com/tousu/show/id/1367972")</f>
      </c>
      <c r="G5626" t="s" s="2">
        <v>17</v>
      </c>
      <c r="H5626" t="s" s="2">
        <v>19</v>
      </c>
      <c r="I5626" t="s" s="2">
        <v>21803</v>
      </c>
      <c r="J5626" t="s" s="2">
        <v>21804</v>
      </c>
      <c r="K5626" t="s" s="2">
        <v>22</v>
      </c>
      <c r="L5626" t="s" s="2">
        <v>22</v>
      </c>
      <c r="M5626" t="s" s="2">
        <v>22</v>
      </c>
    </row>
    <row r="5627" ht="25.0" customHeight="true">
      <c r="A5627" t="s" s="2">
        <v>13</v>
      </c>
      <c r="B5627" t="s" s="2">
        <f>HYPERLINK("http://ts.21cn.com/tousu/show/id/1367970","微拍堂不退保证金")</f>
      </c>
      <c r="C5627" t="s" s="2">
        <v>15</v>
      </c>
      <c r="D5627" t="s" s="2">
        <v>16</v>
      </c>
      <c r="E5627" t="s" s="2">
        <v>17</v>
      </c>
      <c r="F5627" t="s" s="2">
        <f>HYPERLINK("http://ts.21cn.com/tousu/show/id/1367970","http://ts.21cn.com/tousu/show/id/1367970")</f>
      </c>
      <c r="G5627" t="s" s="2">
        <v>17</v>
      </c>
      <c r="H5627" t="s" s="2">
        <v>19</v>
      </c>
      <c r="I5627" t="s" s="2">
        <v>21807</v>
      </c>
      <c r="J5627" t="s" s="2">
        <v>21808</v>
      </c>
      <c r="K5627" t="s" s="2">
        <v>22</v>
      </c>
      <c r="L5627" t="s" s="2">
        <v>22</v>
      </c>
      <c r="M5627" t="s" s="2">
        <v>22</v>
      </c>
    </row>
    <row r="5628" ht="25.0" customHeight="true">
      <c r="A5628" t="s" s="2">
        <v>13</v>
      </c>
      <c r="B5628" t="s" s="2">
        <f>HYPERLINK("http://ts.21cn.com/tousu/show/id/1367958","滴滴出行对快车司机不公平")</f>
      </c>
      <c r="C5628" t="s" s="2">
        <v>15</v>
      </c>
      <c r="D5628" t="s" s="2">
        <v>16</v>
      </c>
      <c r="E5628" t="s" s="2">
        <v>17</v>
      </c>
      <c r="F5628" t="s" s="2">
        <f>HYPERLINK("http://ts.21cn.com/tousu/show/id/1367958","http://ts.21cn.com/tousu/show/id/1367958")</f>
      </c>
      <c r="G5628" t="s" s="2">
        <v>17</v>
      </c>
      <c r="H5628" t="s" s="2">
        <v>19</v>
      </c>
      <c r="I5628" t="s" s="2">
        <v>21811</v>
      </c>
      <c r="J5628" t="s" s="2">
        <v>21812</v>
      </c>
      <c r="K5628" t="s" s="2">
        <v>22</v>
      </c>
      <c r="L5628" t="s" s="2">
        <v>22</v>
      </c>
      <c r="M5628" t="s" s="2">
        <v>22</v>
      </c>
    </row>
    <row r="5629" ht="25.0" customHeight="true">
      <c r="A5629" t="s" s="2">
        <v>13</v>
      </c>
      <c r="B5629" t="s" s="2">
        <f>HYPERLINK("http://ts.21cn.com/tousu/show/id/1367969","闪银至尊逾期威胁爆通讯录")</f>
      </c>
      <c r="C5629" t="s" s="2">
        <v>15</v>
      </c>
      <c r="D5629" t="s" s="2">
        <v>16</v>
      </c>
      <c r="E5629" t="s" s="2">
        <v>17</v>
      </c>
      <c r="F5629" t="s" s="2">
        <f>HYPERLINK("http://ts.21cn.com/tousu/show/id/1367969","http://ts.21cn.com/tousu/show/id/1367969")</f>
      </c>
      <c r="G5629" t="s" s="2">
        <v>17</v>
      </c>
      <c r="H5629" t="s" s="2">
        <v>19</v>
      </c>
      <c r="I5629" t="s" s="2">
        <v>21815</v>
      </c>
      <c r="J5629" t="s" s="2">
        <v>21816</v>
      </c>
      <c r="K5629" t="s" s="2">
        <v>22</v>
      </c>
      <c r="L5629" t="s" s="2">
        <v>22</v>
      </c>
      <c r="M5629" t="s" s="2">
        <v>22</v>
      </c>
    </row>
    <row r="5630" ht="25.0" customHeight="true">
      <c r="A5630" t="s" s="2">
        <v>13</v>
      </c>
      <c r="B5630" t="s" s="2">
        <f>HYPERLINK("http://ts.21cn.com/tousu/show/id/1367966","北京捷越联合阴阳合同高利贷")</f>
      </c>
      <c r="C5630" t="s" s="2">
        <v>15</v>
      </c>
      <c r="D5630" t="s" s="2">
        <v>16</v>
      </c>
      <c r="E5630" t="s" s="2">
        <v>17</v>
      </c>
      <c r="F5630" t="s" s="2">
        <f>HYPERLINK("http://ts.21cn.com/tousu/show/id/1367966","http://ts.21cn.com/tousu/show/id/1367966")</f>
      </c>
      <c r="G5630" t="s" s="2">
        <v>17</v>
      </c>
      <c r="H5630" t="s" s="2">
        <v>19</v>
      </c>
      <c r="I5630" t="s" s="2">
        <v>21819</v>
      </c>
      <c r="J5630" t="s" s="2">
        <v>21820</v>
      </c>
      <c r="K5630" t="s" s="2">
        <v>22</v>
      </c>
      <c r="L5630" t="s" s="2">
        <v>22</v>
      </c>
      <c r="M5630" t="s" s="2">
        <v>22</v>
      </c>
    </row>
    <row r="5631" ht="25.0" customHeight="true">
      <c r="A5631" t="s" s="2">
        <v>13</v>
      </c>
      <c r="B5631" t="s" s="2">
        <f>HYPERLINK("http://ts.21cn.com/tousu/show/id/1367965","拼多多客服")</f>
      </c>
      <c r="C5631" t="s" s="2">
        <v>15</v>
      </c>
      <c r="D5631" t="s" s="2">
        <v>16</v>
      </c>
      <c r="E5631" t="s" s="2">
        <v>17</v>
      </c>
      <c r="F5631" t="s" s="2">
        <f>HYPERLINK("http://ts.21cn.com/tousu/show/id/1367965","http://ts.21cn.com/tousu/show/id/1367965")</f>
      </c>
      <c r="G5631" t="s" s="2">
        <v>17</v>
      </c>
      <c r="H5631" t="s" s="2">
        <v>19</v>
      </c>
      <c r="I5631" t="s" s="2">
        <v>21823</v>
      </c>
      <c r="J5631" t="s" s="2">
        <v>21824</v>
      </c>
      <c r="K5631" t="s" s="2">
        <v>22</v>
      </c>
      <c r="L5631" t="s" s="2">
        <v>22</v>
      </c>
      <c r="M5631" t="s" s="2">
        <v>22</v>
      </c>
    </row>
    <row r="5632" ht="25.0" customHeight="true">
      <c r="A5632" t="s" s="2">
        <v>13</v>
      </c>
      <c r="B5632" t="s" s="2">
        <f>HYPERLINK("http://ts.21cn.com/tousu/show/id/1367964","于斯钢琴陪练退费")</f>
      </c>
      <c r="C5632" t="s" s="2">
        <v>15</v>
      </c>
      <c r="D5632" t="s" s="2">
        <v>16</v>
      </c>
      <c r="E5632" t="s" s="2">
        <v>17</v>
      </c>
      <c r="F5632" t="s" s="2">
        <f>HYPERLINK("http://ts.21cn.com/tousu/show/id/1367964","http://ts.21cn.com/tousu/show/id/1367964")</f>
      </c>
      <c r="G5632" t="s" s="2">
        <v>17</v>
      </c>
      <c r="H5632" t="s" s="2">
        <v>19</v>
      </c>
      <c r="I5632" t="s" s="2">
        <v>21827</v>
      </c>
      <c r="J5632" t="s" s="2">
        <v>21828</v>
      </c>
      <c r="K5632" t="s" s="2">
        <v>22</v>
      </c>
      <c r="L5632" t="s" s="2">
        <v>22</v>
      </c>
      <c r="M5632" t="s" s="2">
        <v>22</v>
      </c>
    </row>
    <row r="5633" ht="25.0" customHeight="true">
      <c r="A5633" t="s" s="2">
        <v>13</v>
      </c>
      <c r="B5633" t="s" s="2">
        <f>HYPERLINK("http://ts.21cn.com/tousu/show/id/1367963","高利贷")</f>
      </c>
      <c r="C5633" t="s" s="2">
        <v>15</v>
      </c>
      <c r="D5633" t="s" s="2">
        <v>16</v>
      </c>
      <c r="E5633" t="s" s="2">
        <v>17</v>
      </c>
      <c r="F5633" t="s" s="2">
        <f>HYPERLINK("http://ts.21cn.com/tousu/show/id/1367963","http://ts.21cn.com/tousu/show/id/1367963")</f>
      </c>
      <c r="G5633" t="s" s="2">
        <v>17</v>
      </c>
      <c r="H5633" t="s" s="2">
        <v>19</v>
      </c>
      <c r="I5633" t="s" s="2">
        <v>21830</v>
      </c>
      <c r="J5633" t="s" s="2">
        <v>21831</v>
      </c>
      <c r="K5633" t="s" s="2">
        <v>22</v>
      </c>
      <c r="L5633" t="s" s="2">
        <v>22</v>
      </c>
      <c r="M5633" t="s" s="2">
        <v>22</v>
      </c>
    </row>
    <row r="5634" ht="25.0" customHeight="true">
      <c r="A5634" t="s" s="2">
        <v>13</v>
      </c>
      <c r="B5634" t="s" s="2">
        <f>HYPERLINK("http://ts.21cn.com/tousu/show/id/1367962","诱导办卡")</f>
      </c>
      <c r="C5634" t="s" s="2">
        <v>15</v>
      </c>
      <c r="D5634" t="s" s="2">
        <v>16</v>
      </c>
      <c r="E5634" t="s" s="2">
        <v>17</v>
      </c>
      <c r="F5634" t="s" s="2">
        <f>HYPERLINK("http://ts.21cn.com/tousu/show/id/1367962","http://ts.21cn.com/tousu/show/id/1367962")</f>
      </c>
      <c r="G5634" t="s" s="2">
        <v>17</v>
      </c>
      <c r="H5634" t="s" s="2">
        <v>19</v>
      </c>
      <c r="I5634" t="s" s="2">
        <v>21834</v>
      </c>
      <c r="J5634" t="s" s="2">
        <v>21835</v>
      </c>
      <c r="K5634" t="s" s="2">
        <v>22</v>
      </c>
      <c r="L5634" t="s" s="2">
        <v>22</v>
      </c>
      <c r="M5634" t="s" s="2">
        <v>22</v>
      </c>
    </row>
    <row r="5635" ht="25.0" customHeight="true">
      <c r="A5635" t="s" s="2">
        <v>13</v>
      </c>
      <c r="B5635" t="s" s="2">
        <f>HYPERLINK("http://ts.21cn.com/tousu/show/id/1367960","闪银哼哼还款")</f>
      </c>
      <c r="C5635" t="s" s="2">
        <v>15</v>
      </c>
      <c r="D5635" t="s" s="2">
        <v>16</v>
      </c>
      <c r="E5635" t="s" s="2">
        <v>17</v>
      </c>
      <c r="F5635" t="s" s="2">
        <f>HYPERLINK("http://ts.21cn.com/tousu/show/id/1367960","http://ts.21cn.com/tousu/show/id/1367960")</f>
      </c>
      <c r="G5635" t="s" s="2">
        <v>17</v>
      </c>
      <c r="H5635" t="s" s="2">
        <v>19</v>
      </c>
      <c r="I5635" t="s" s="2">
        <v>21838</v>
      </c>
      <c r="J5635" t="s" s="2">
        <v>21839</v>
      </c>
      <c r="K5635" t="s" s="2">
        <v>22</v>
      </c>
      <c r="L5635" t="s" s="2">
        <v>22</v>
      </c>
      <c r="M5635" t="s" s="2">
        <v>22</v>
      </c>
    </row>
    <row r="5636" ht="25.0" customHeight="true">
      <c r="A5636" t="s" s="2">
        <v>13</v>
      </c>
      <c r="B5636" t="s" s="2">
        <f>HYPERLINK("http://ts.21cn.com/tousu/show/id/1367959","侮辱催收")</f>
      </c>
      <c r="C5636" t="s" s="2">
        <v>15</v>
      </c>
      <c r="D5636" t="s" s="2">
        <v>16</v>
      </c>
      <c r="E5636" t="s" s="2">
        <v>17</v>
      </c>
      <c r="F5636" t="s" s="2">
        <f>HYPERLINK("http://ts.21cn.com/tousu/show/id/1367959","http://ts.21cn.com/tousu/show/id/1367959")</f>
      </c>
      <c r="G5636" t="s" s="2">
        <v>17</v>
      </c>
      <c r="H5636" t="s" s="2">
        <v>19</v>
      </c>
      <c r="I5636" t="s" s="2">
        <v>21841</v>
      </c>
      <c r="J5636" t="s" s="2">
        <v>21842</v>
      </c>
      <c r="K5636" t="s" s="2">
        <v>22</v>
      </c>
      <c r="L5636" t="s" s="2">
        <v>22</v>
      </c>
      <c r="M5636" t="s" s="2">
        <v>22</v>
      </c>
    </row>
    <row r="5637" ht="25.0" customHeight="true">
      <c r="A5637" t="s" s="2">
        <v>13</v>
      </c>
      <c r="B5637" t="s" s="2">
        <f>HYPERLINK("http://ts.21cn.com/tousu/show/id/1367957","百世汇通快递不负责任发错地址不处理")</f>
      </c>
      <c r="C5637" t="s" s="2">
        <v>15</v>
      </c>
      <c r="D5637" t="s" s="2">
        <v>16</v>
      </c>
      <c r="E5637" t="s" s="2">
        <v>17</v>
      </c>
      <c r="F5637" t="s" s="2">
        <f>HYPERLINK("http://ts.21cn.com/tousu/show/id/1367957","http://ts.21cn.com/tousu/show/id/1367957")</f>
      </c>
      <c r="G5637" t="s" s="2">
        <v>17</v>
      </c>
      <c r="H5637" t="s" s="2">
        <v>19</v>
      </c>
      <c r="I5637" t="s" s="2">
        <v>21845</v>
      </c>
      <c r="J5637" t="s" s="2">
        <v>21846</v>
      </c>
      <c r="K5637" t="s" s="2">
        <v>22</v>
      </c>
      <c r="L5637" t="s" s="2">
        <v>22</v>
      </c>
      <c r="M5637" t="s" s="2">
        <v>22</v>
      </c>
    </row>
    <row r="5638" ht="25.0" customHeight="true">
      <c r="A5638" t="s" s="2">
        <v>13</v>
      </c>
      <c r="B5638" t="s" s="2">
        <f>HYPERLINK("http://ts.21cn.com/tousu/show/id/1367956","点点通app打不开，客服无法接通，还不了款")</f>
      </c>
      <c r="C5638" t="s" s="2">
        <v>15</v>
      </c>
      <c r="D5638" t="s" s="2">
        <v>16</v>
      </c>
      <c r="E5638" t="s" s="2">
        <v>17</v>
      </c>
      <c r="F5638" t="s" s="2">
        <f>HYPERLINK("http://ts.21cn.com/tousu/show/id/1367956","http://ts.21cn.com/tousu/show/id/1367956")</f>
      </c>
      <c r="G5638" t="s" s="2">
        <v>17</v>
      </c>
      <c r="H5638" t="s" s="2">
        <v>19</v>
      </c>
      <c r="I5638" t="s" s="2">
        <v>21849</v>
      </c>
      <c r="J5638" t="s" s="2">
        <v>21850</v>
      </c>
      <c r="K5638" t="s" s="2">
        <v>22</v>
      </c>
      <c r="L5638" t="s" s="2">
        <v>22</v>
      </c>
      <c r="M5638" t="s" s="2">
        <v>22</v>
      </c>
    </row>
    <row r="5639" ht="25.0" customHeight="true">
      <c r="A5639" t="s" s="2">
        <v>13</v>
      </c>
      <c r="B5639" t="s" s="2">
        <f>HYPERLINK("http://ts.21cn.com/tousu/show/id/1367954","云闪付为违法赌博网站提供支付通道")</f>
      </c>
      <c r="C5639" t="s" s="2">
        <v>15</v>
      </c>
      <c r="D5639" t="s" s="2">
        <v>16</v>
      </c>
      <c r="E5639" t="s" s="2">
        <v>17</v>
      </c>
      <c r="F5639" t="s" s="2">
        <f>HYPERLINK("http://ts.21cn.com/tousu/show/id/1367954","http://ts.21cn.com/tousu/show/id/1367954")</f>
      </c>
      <c r="G5639" t="s" s="2">
        <v>17</v>
      </c>
      <c r="H5639" t="s" s="2">
        <v>19</v>
      </c>
      <c r="I5639" t="s" s="2">
        <v>21852</v>
      </c>
      <c r="J5639" t="s" s="2">
        <v>21853</v>
      </c>
      <c r="K5639" t="s" s="2">
        <v>22</v>
      </c>
      <c r="L5639" t="s" s="2">
        <v>22</v>
      </c>
      <c r="M5639" t="s" s="2">
        <v>22</v>
      </c>
    </row>
    <row r="5640" ht="25.0" customHeight="true">
      <c r="A5640" t="s" s="2">
        <v>13</v>
      </c>
      <c r="B5640" t="s" s="2">
        <f>HYPERLINK("http://ts.21cn.com/tousu/show/id/1367955","浦发银行信用卡利息一天高达九百多！")</f>
      </c>
      <c r="C5640" t="s" s="2">
        <v>15</v>
      </c>
      <c r="D5640" t="s" s="2">
        <v>16</v>
      </c>
      <c r="E5640" t="s" s="2">
        <v>17</v>
      </c>
      <c r="F5640" t="s" s="2">
        <f>HYPERLINK("http://ts.21cn.com/tousu/show/id/1367955","http://ts.21cn.com/tousu/show/id/1367955")</f>
      </c>
      <c r="G5640" t="s" s="2">
        <v>17</v>
      </c>
      <c r="H5640" t="s" s="2">
        <v>19</v>
      </c>
      <c r="I5640" t="s" s="2">
        <v>21856</v>
      </c>
      <c r="J5640" t="s" s="2">
        <v>21857</v>
      </c>
      <c r="K5640" t="s" s="2">
        <v>22</v>
      </c>
      <c r="L5640" t="s" s="2">
        <v>22</v>
      </c>
      <c r="M5640" t="s" s="2">
        <v>22</v>
      </c>
    </row>
    <row r="5641" ht="25.0" customHeight="true">
      <c r="A5641" t="s" s="2">
        <v>13</v>
      </c>
      <c r="B5641" t="s" s="2">
        <f>HYPERLINK("http://ts.21cn.com/tousu/show/id/1367953","证大未经同意扣款")</f>
      </c>
      <c r="C5641" t="s" s="2">
        <v>15</v>
      </c>
      <c r="D5641" t="s" s="2">
        <v>16</v>
      </c>
      <c r="E5641" t="s" s="2">
        <v>17</v>
      </c>
      <c r="F5641" t="s" s="2">
        <f>HYPERLINK("http://ts.21cn.com/tousu/show/id/1367953","http://ts.21cn.com/tousu/show/id/1367953")</f>
      </c>
      <c r="G5641" t="s" s="2">
        <v>17</v>
      </c>
      <c r="H5641" t="s" s="2">
        <v>19</v>
      </c>
      <c r="I5641" t="s" s="2">
        <v>21860</v>
      </c>
      <c r="J5641" t="s" s="2">
        <v>21861</v>
      </c>
      <c r="K5641" t="s" s="2">
        <v>22</v>
      </c>
      <c r="L5641" t="s" s="2">
        <v>22</v>
      </c>
      <c r="M5641" t="s" s="2">
        <v>22</v>
      </c>
    </row>
    <row r="5642" ht="25.0" customHeight="true">
      <c r="A5642" t="s" s="2">
        <v>13</v>
      </c>
      <c r="B5642" t="s" s="2">
        <f>HYPERLINK("http://ts.21cn.com/tousu/show/id/1367952","套路贷款，以各种服务费名义收取高利息，")</f>
      </c>
      <c r="C5642" t="s" s="2">
        <v>15</v>
      </c>
      <c r="D5642" t="s" s="2">
        <v>16</v>
      </c>
      <c r="E5642" t="s" s="2">
        <v>17</v>
      </c>
      <c r="F5642" t="s" s="2">
        <f>HYPERLINK("http://ts.21cn.com/tousu/show/id/1367952","http://ts.21cn.com/tousu/show/id/1367952")</f>
      </c>
      <c r="G5642" t="s" s="2">
        <v>17</v>
      </c>
      <c r="H5642" t="s" s="2">
        <v>19</v>
      </c>
      <c r="I5642" t="s" s="2">
        <v>21864</v>
      </c>
      <c r="J5642" t="s" s="2">
        <v>21865</v>
      </c>
      <c r="K5642" t="s" s="2">
        <v>22</v>
      </c>
      <c r="L5642" t="s" s="2">
        <v>22</v>
      </c>
      <c r="M5642" t="s" s="2">
        <v>22</v>
      </c>
    </row>
    <row r="5643" ht="25.0" customHeight="true">
      <c r="A5643" t="s" s="2">
        <v>13</v>
      </c>
      <c r="B5643" t="s" s="2">
        <f>HYPERLINK("http://ts.21cn.com/tousu/show/id/1367951","威胁恐吓态度恶劣黑社会")</f>
      </c>
      <c r="C5643" t="s" s="2">
        <v>15</v>
      </c>
      <c r="D5643" t="s" s="2">
        <v>16</v>
      </c>
      <c r="E5643" t="s" s="2">
        <v>17</v>
      </c>
      <c r="F5643" t="s" s="2">
        <f>HYPERLINK("http://ts.21cn.com/tousu/show/id/1367951","http://ts.21cn.com/tousu/show/id/1367951")</f>
      </c>
      <c r="G5643" t="s" s="2">
        <v>17</v>
      </c>
      <c r="H5643" t="s" s="2">
        <v>19</v>
      </c>
      <c r="I5643" t="s" s="2">
        <v>21868</v>
      </c>
      <c r="J5643" t="s" s="2">
        <v>21869</v>
      </c>
      <c r="K5643" t="s" s="2">
        <v>22</v>
      </c>
      <c r="L5643" t="s" s="2">
        <v>22</v>
      </c>
      <c r="M5643" t="s" s="2">
        <v>22</v>
      </c>
    </row>
    <row r="5644" ht="25.0" customHeight="true">
      <c r="A5644" t="s" s="2">
        <v>13</v>
      </c>
      <c r="B5644" t="s" s="2">
        <f>HYPERLINK("http://ts.21cn.com/tousu/show/id/1367950","月月有钱")</f>
      </c>
      <c r="C5644" t="s" s="2">
        <v>15</v>
      </c>
      <c r="D5644" t="s" s="2">
        <v>16</v>
      </c>
      <c r="E5644" t="s" s="2">
        <v>17</v>
      </c>
      <c r="F5644" t="s" s="2">
        <f>HYPERLINK("http://ts.21cn.com/tousu/show/id/1367950","http://ts.21cn.com/tousu/show/id/1367950")</f>
      </c>
      <c r="G5644" t="s" s="2">
        <v>17</v>
      </c>
      <c r="H5644" t="s" s="2">
        <v>19</v>
      </c>
      <c r="I5644" t="s" s="2">
        <v>21872</v>
      </c>
      <c r="J5644" t="s" s="2">
        <v>21873</v>
      </c>
      <c r="K5644" t="s" s="2">
        <v>22</v>
      </c>
      <c r="L5644" t="s" s="2">
        <v>22</v>
      </c>
      <c r="M5644" t="s" s="2">
        <v>22</v>
      </c>
    </row>
    <row r="5645" ht="25.0" customHeight="true">
      <c r="A5645" t="s" s="2">
        <v>13</v>
      </c>
      <c r="B5645" t="s" s="2">
        <f>HYPERLINK("http://ts.21cn.com/tousu/show/id/1367949","京东金融不当催收")</f>
      </c>
      <c r="C5645" t="s" s="2">
        <v>15</v>
      </c>
      <c r="D5645" t="s" s="2">
        <v>16</v>
      </c>
      <c r="E5645" t="s" s="2">
        <v>17</v>
      </c>
      <c r="F5645" t="s" s="2">
        <f>HYPERLINK("http://ts.21cn.com/tousu/show/id/1367949","http://ts.21cn.com/tousu/show/id/1367949")</f>
      </c>
      <c r="G5645" t="s" s="2">
        <v>17</v>
      </c>
      <c r="H5645" t="s" s="2">
        <v>19</v>
      </c>
      <c r="I5645" t="s" s="2">
        <v>21876</v>
      </c>
      <c r="J5645" t="s" s="2">
        <v>21877</v>
      </c>
      <c r="K5645" t="s" s="2">
        <v>22</v>
      </c>
      <c r="L5645" t="s" s="2">
        <v>22</v>
      </c>
      <c r="M5645" t="s" s="2">
        <v>22</v>
      </c>
    </row>
    <row r="5646" ht="25.0" customHeight="true">
      <c r="A5646" t="s" s="2">
        <v>13</v>
      </c>
      <c r="B5646" t="s" s="2">
        <f>HYPERLINK("http://ts.21cn.com/tousu/show/id/1367948","韦博英语跑路欠下巨款")</f>
      </c>
      <c r="C5646" t="s" s="2">
        <v>15</v>
      </c>
      <c r="D5646" t="s" s="2">
        <v>16</v>
      </c>
      <c r="E5646" t="s" s="2">
        <v>17</v>
      </c>
      <c r="F5646" t="s" s="2">
        <f>HYPERLINK("http://ts.21cn.com/tousu/show/id/1367948","http://ts.21cn.com/tousu/show/id/1367948")</f>
      </c>
      <c r="G5646" t="s" s="2">
        <v>17</v>
      </c>
      <c r="H5646" t="s" s="2">
        <v>19</v>
      </c>
      <c r="I5646" t="s" s="2">
        <v>21880</v>
      </c>
      <c r="J5646" t="s" s="2">
        <v>21881</v>
      </c>
      <c r="K5646" t="s" s="2">
        <v>22</v>
      </c>
      <c r="L5646" t="s" s="2">
        <v>22</v>
      </c>
      <c r="M5646" t="s" s="2">
        <v>22</v>
      </c>
    </row>
    <row r="5647" ht="25.0" customHeight="true">
      <c r="A5647" t="s" s="2">
        <v>13</v>
      </c>
      <c r="B5647" t="s" s="2">
        <f>HYPERLINK("http://ts.21cn.com/tousu/show/id/1367947","捷信电话骚扰")</f>
      </c>
      <c r="C5647" t="s" s="2">
        <v>15</v>
      </c>
      <c r="D5647" t="s" s="2">
        <v>16</v>
      </c>
      <c r="E5647" t="s" s="2">
        <v>17</v>
      </c>
      <c r="F5647" t="s" s="2">
        <f>HYPERLINK("http://ts.21cn.com/tousu/show/id/1367947","http://ts.21cn.com/tousu/show/id/1367947")</f>
      </c>
      <c r="G5647" t="s" s="2">
        <v>17</v>
      </c>
      <c r="H5647" t="s" s="2">
        <v>19</v>
      </c>
      <c r="I5647" t="s" s="2">
        <v>21884</v>
      </c>
      <c r="J5647" t="s" s="2">
        <v>21885</v>
      </c>
      <c r="K5647" t="s" s="2">
        <v>22</v>
      </c>
      <c r="L5647" t="s" s="2">
        <v>22</v>
      </c>
      <c r="M5647" t="s" s="2">
        <v>22</v>
      </c>
    </row>
    <row r="5648" ht="25.0" customHeight="true">
      <c r="A5648" t="s" s="2">
        <v>13</v>
      </c>
      <c r="B5648" t="s" s="2">
        <f>HYPERLINK("http://ts.21cn.com/tousu/show/id/1367946","无故扣款")</f>
      </c>
      <c r="C5648" t="s" s="2">
        <v>15</v>
      </c>
      <c r="D5648" t="s" s="2">
        <v>16</v>
      </c>
      <c r="E5648" t="s" s="2">
        <v>17</v>
      </c>
      <c r="F5648" t="s" s="2">
        <f>HYPERLINK("http://ts.21cn.com/tousu/show/id/1367946","http://ts.21cn.com/tousu/show/id/1367946")</f>
      </c>
      <c r="G5648" t="s" s="2">
        <v>17</v>
      </c>
      <c r="H5648" t="s" s="2">
        <v>19</v>
      </c>
      <c r="I5648" t="s" s="2">
        <v>21887</v>
      </c>
      <c r="J5648" t="s" s="2">
        <v>21888</v>
      </c>
      <c r="K5648" t="s" s="2">
        <v>22</v>
      </c>
      <c r="L5648" t="s" s="2">
        <v>22</v>
      </c>
      <c r="M5648" t="s" s="2">
        <v>22</v>
      </c>
    </row>
    <row r="5649" ht="25.0" customHeight="true">
      <c r="A5649" t="s" s="2">
        <v>13</v>
      </c>
      <c r="B5649" t="s" s="2">
        <f>HYPERLINK("http://ts.21cn.com/tousu/show/id/1367944","浦发银行第三方上门催收")</f>
      </c>
      <c r="C5649" t="s" s="2">
        <v>15</v>
      </c>
      <c r="D5649" t="s" s="2">
        <v>16</v>
      </c>
      <c r="E5649" t="s" s="2">
        <v>17</v>
      </c>
      <c r="F5649" t="s" s="2">
        <f>HYPERLINK("http://ts.21cn.com/tousu/show/id/1367944","http://ts.21cn.com/tousu/show/id/1367944")</f>
      </c>
      <c r="G5649" t="s" s="2">
        <v>17</v>
      </c>
      <c r="H5649" t="s" s="2">
        <v>19</v>
      </c>
      <c r="I5649" t="s" s="2">
        <v>21891</v>
      </c>
      <c r="J5649" t="s" s="2">
        <v>21892</v>
      </c>
      <c r="K5649" t="s" s="2">
        <v>22</v>
      </c>
      <c r="L5649" t="s" s="2">
        <v>22</v>
      </c>
      <c r="M5649" t="s" s="2">
        <v>22</v>
      </c>
    </row>
    <row r="5650" ht="25.0" customHeight="true">
      <c r="A5650" t="s" s="2">
        <v>13</v>
      </c>
      <c r="B5650" t="s" s="2">
        <f>HYPERLINK("http://ts.21cn.com/tousu/show/id/1367943","苹果分期app高利贷，汇潮支付违规为其提供支付通道")</f>
      </c>
      <c r="C5650" t="s" s="2">
        <v>15</v>
      </c>
      <c r="D5650" t="s" s="2">
        <v>16</v>
      </c>
      <c r="E5650" t="s" s="2">
        <v>17</v>
      </c>
      <c r="F5650" t="s" s="2">
        <f>HYPERLINK("http://ts.21cn.com/tousu/show/id/1367943","http://ts.21cn.com/tousu/show/id/1367943")</f>
      </c>
      <c r="G5650" t="s" s="2">
        <v>17</v>
      </c>
      <c r="H5650" t="s" s="2">
        <v>19</v>
      </c>
      <c r="I5650" t="s" s="2">
        <v>21895</v>
      </c>
      <c r="J5650" t="s" s="2">
        <v>21896</v>
      </c>
      <c r="K5650" t="s" s="2">
        <v>22</v>
      </c>
      <c r="L5650" t="s" s="2">
        <v>22</v>
      </c>
      <c r="M5650" t="s" s="2">
        <v>22</v>
      </c>
    </row>
    <row r="5651" ht="25.0" customHeight="true">
      <c r="A5651" t="s" s="2">
        <v>13</v>
      </c>
      <c r="B5651" t="s" s="2">
        <f>HYPERLINK("http://ts.21cn.com/tousu/show/id/1367942","360借条欠款已还清，请解绑我银行卡")</f>
      </c>
      <c r="C5651" t="s" s="2">
        <v>52</v>
      </c>
      <c r="D5651" t="s" s="2">
        <v>16</v>
      </c>
      <c r="E5651" t="s" s="2">
        <v>17</v>
      </c>
      <c r="F5651" t="s" s="2">
        <f>HYPERLINK("http://ts.21cn.com/tousu/show/id/1367942","http://ts.21cn.com/tousu/show/id/1367942")</f>
      </c>
      <c r="G5651" t="s" s="2">
        <v>17</v>
      </c>
      <c r="H5651" t="s" s="2">
        <v>19</v>
      </c>
      <c r="I5651" t="s" s="2">
        <v>21899</v>
      </c>
      <c r="J5651" t="s" s="2">
        <v>21900</v>
      </c>
      <c r="K5651" t="s" s="2">
        <v>22</v>
      </c>
      <c r="L5651" t="s" s="2">
        <v>22</v>
      </c>
      <c r="M5651" t="s" s="2">
        <v>22</v>
      </c>
    </row>
    <row r="5652" ht="25.0" customHeight="true">
      <c r="A5652" t="s" s="2">
        <v>13</v>
      </c>
      <c r="B5652" t="s" s="2">
        <f>HYPERLINK("http://ts.21cn.com/tousu/show/id/1367939","POS刷卡好几天不到帐")</f>
      </c>
      <c r="C5652" t="s" s="2">
        <v>15</v>
      </c>
      <c r="D5652" t="s" s="2">
        <v>16</v>
      </c>
      <c r="E5652" t="s" s="2">
        <v>17</v>
      </c>
      <c r="F5652" t="s" s="2">
        <f>HYPERLINK("http://ts.21cn.com/tousu/show/id/1367939","http://ts.21cn.com/tousu/show/id/1367939")</f>
      </c>
      <c r="G5652" t="s" s="2">
        <v>17</v>
      </c>
      <c r="H5652" t="s" s="2">
        <v>19</v>
      </c>
      <c r="I5652" t="s" s="2">
        <v>21903</v>
      </c>
      <c r="J5652" t="s" s="2">
        <v>21904</v>
      </c>
      <c r="K5652" t="s" s="2">
        <v>22</v>
      </c>
      <c r="L5652" t="s" s="2">
        <v>22</v>
      </c>
      <c r="M5652" t="s" s="2">
        <v>22</v>
      </c>
    </row>
    <row r="5653" ht="25.0" customHeight="true">
      <c r="A5653" t="s" s="2">
        <v>13</v>
      </c>
      <c r="B5653" t="s" s="2">
        <f>HYPERLINK("http://ts.21cn.com/tousu/show/id/1367938","714超高利贷")</f>
      </c>
      <c r="C5653" t="s" s="2">
        <v>15</v>
      </c>
      <c r="D5653" t="s" s="2">
        <v>16</v>
      </c>
      <c r="E5653" t="s" s="2">
        <v>17</v>
      </c>
      <c r="F5653" t="s" s="2">
        <f>HYPERLINK("http://ts.21cn.com/tousu/show/id/1367938","http://ts.21cn.com/tousu/show/id/1367938")</f>
      </c>
      <c r="G5653" t="s" s="2">
        <v>17</v>
      </c>
      <c r="H5653" t="s" s="2">
        <v>19</v>
      </c>
      <c r="I5653" t="s" s="2">
        <v>21907</v>
      </c>
      <c r="J5653" t="s" s="2">
        <v>21908</v>
      </c>
      <c r="K5653" t="s" s="2">
        <v>22</v>
      </c>
      <c r="L5653" t="s" s="2">
        <v>22</v>
      </c>
      <c r="M5653" t="s" s="2">
        <v>22</v>
      </c>
    </row>
    <row r="5654" ht="25.0" customHeight="true">
      <c r="A5654" t="s" s="2">
        <v>13</v>
      </c>
      <c r="B5654" t="s" s="2">
        <f>HYPERLINK("http://ts.21cn.com/tousu/show/id/1367935","薪意贷高利贷，暴力催收")</f>
      </c>
      <c r="C5654" t="s" s="2">
        <v>15</v>
      </c>
      <c r="D5654" t="s" s="2">
        <v>16</v>
      </c>
      <c r="E5654" t="s" s="2">
        <v>17</v>
      </c>
      <c r="F5654" t="s" s="2">
        <f>HYPERLINK("http://ts.21cn.com/tousu/show/id/1367935","http://ts.21cn.com/tousu/show/id/1367935")</f>
      </c>
      <c r="G5654" t="s" s="2">
        <v>17</v>
      </c>
      <c r="H5654" t="s" s="2">
        <v>19</v>
      </c>
      <c r="I5654" t="s" s="2">
        <v>21911</v>
      </c>
      <c r="J5654" t="s" s="2">
        <v>21912</v>
      </c>
      <c r="K5654" t="s" s="2">
        <v>22</v>
      </c>
      <c r="L5654" t="s" s="2">
        <v>22</v>
      </c>
      <c r="M5654" t="s" s="2">
        <v>22</v>
      </c>
    </row>
    <row r="5655" ht="25.0" customHeight="true">
      <c r="A5655" t="s" s="2">
        <v>13</v>
      </c>
      <c r="B5655" t="s" s="2">
        <f>HYPERLINK("http://ts.21cn.com/tousu/show/id/1367937","不知情扣取银行卡费用")</f>
      </c>
      <c r="C5655" t="s" s="2">
        <v>15</v>
      </c>
      <c r="D5655" t="s" s="2">
        <v>16</v>
      </c>
      <c r="E5655" t="s" s="2">
        <v>17</v>
      </c>
      <c r="F5655" t="s" s="2">
        <f>HYPERLINK("http://ts.21cn.com/tousu/show/id/1367937","http://ts.21cn.com/tousu/show/id/1367937")</f>
      </c>
      <c r="G5655" t="s" s="2">
        <v>17</v>
      </c>
      <c r="H5655" t="s" s="2">
        <v>19</v>
      </c>
      <c r="I5655" t="s" s="2">
        <v>21915</v>
      </c>
      <c r="J5655" t="s" s="2">
        <v>21916</v>
      </c>
      <c r="K5655" t="s" s="2">
        <v>22</v>
      </c>
      <c r="L5655" t="s" s="2">
        <v>22</v>
      </c>
      <c r="M5655" t="s" s="2">
        <v>22</v>
      </c>
    </row>
    <row r="5656" ht="25.0" customHeight="true">
      <c r="A5656" t="s" s="2">
        <v>13</v>
      </c>
      <c r="B5656" t="s" s="2">
        <f>HYPERLINK("http://ts.21cn.com/tousu/show/id/1367934","看新闻不小心点了处处广告结果被扣198")</f>
      </c>
      <c r="C5656" t="s" s="2">
        <v>52</v>
      </c>
      <c r="D5656" t="s" s="2">
        <v>16</v>
      </c>
      <c r="E5656" t="s" s="2">
        <v>17</v>
      </c>
      <c r="F5656" t="s" s="2">
        <f>HYPERLINK("http://ts.21cn.com/tousu/show/id/1367934","http://ts.21cn.com/tousu/show/id/1367934")</f>
      </c>
      <c r="G5656" t="s" s="2">
        <v>17</v>
      </c>
      <c r="H5656" t="s" s="2">
        <v>19</v>
      </c>
      <c r="I5656" t="s" s="2">
        <v>21919</v>
      </c>
      <c r="J5656" t="s" s="2">
        <v>21920</v>
      </c>
      <c r="K5656" t="s" s="2">
        <v>22</v>
      </c>
      <c r="L5656" t="s" s="2">
        <v>22</v>
      </c>
      <c r="M5656" t="s" s="2">
        <v>22</v>
      </c>
    </row>
    <row r="5657" ht="25.0" customHeight="true">
      <c r="A5657" t="s" s="2">
        <v>13</v>
      </c>
      <c r="B5657" t="s" s="2">
        <f>HYPERLINK("http://ts.21cn.com/tousu/show/id/1367933","淘手游APP提现，手机收不到验证码。")</f>
      </c>
      <c r="C5657" t="s" s="2">
        <v>15</v>
      </c>
      <c r="D5657" t="s" s="2">
        <v>16</v>
      </c>
      <c r="E5657" t="s" s="2">
        <v>17</v>
      </c>
      <c r="F5657" t="s" s="2">
        <f>HYPERLINK("http://ts.21cn.com/tousu/show/id/1367933","http://ts.21cn.com/tousu/show/id/1367933")</f>
      </c>
      <c r="G5657" t="s" s="2">
        <v>17</v>
      </c>
      <c r="H5657" t="s" s="2">
        <v>19</v>
      </c>
      <c r="I5657" t="s" s="2">
        <v>21923</v>
      </c>
      <c r="J5657" t="s" s="2">
        <v>21924</v>
      </c>
      <c r="K5657" t="s" s="2">
        <v>22</v>
      </c>
      <c r="L5657" t="s" s="2">
        <v>22</v>
      </c>
      <c r="M5657" t="s" s="2">
        <v>22</v>
      </c>
    </row>
    <row r="5658" ht="25.0" customHeight="true">
      <c r="A5658" t="s" s="2">
        <v>13</v>
      </c>
      <c r="B5658" t="s" s="2">
        <f>HYPERLINK("http://ts.21cn.com/tousu/show/id/1367931","折疯了海淘app以假充真售卖，且不退货")</f>
      </c>
      <c r="C5658" t="s" s="2">
        <v>15</v>
      </c>
      <c r="D5658" t="s" s="2">
        <v>16</v>
      </c>
      <c r="E5658" t="s" s="2">
        <v>17</v>
      </c>
      <c r="F5658" t="s" s="2">
        <f>HYPERLINK("http://ts.21cn.com/tousu/show/id/1367931","http://ts.21cn.com/tousu/show/id/1367931")</f>
      </c>
      <c r="G5658" t="s" s="2">
        <v>17</v>
      </c>
      <c r="H5658" t="s" s="2">
        <v>19</v>
      </c>
      <c r="I5658" t="s" s="2">
        <v>21927</v>
      </c>
      <c r="J5658" t="s" s="2">
        <v>21928</v>
      </c>
      <c r="K5658" t="s" s="2">
        <v>22</v>
      </c>
      <c r="L5658" t="s" s="2">
        <v>22</v>
      </c>
      <c r="M5658" t="s" s="2">
        <v>22</v>
      </c>
    </row>
    <row r="5659" ht="25.0" customHeight="true">
      <c r="A5659" t="s" s="2">
        <v>13</v>
      </c>
      <c r="B5659" t="s" s="2">
        <f>HYPERLINK("http://ts.21cn.com/tousu/show/id/1367932","一次性结清费用")</f>
      </c>
      <c r="C5659" t="s" s="2">
        <v>52</v>
      </c>
      <c r="D5659" t="s" s="2">
        <v>16</v>
      </c>
      <c r="E5659" t="s" s="2">
        <v>17</v>
      </c>
      <c r="F5659" t="s" s="2">
        <f>HYPERLINK("http://ts.21cn.com/tousu/show/id/1367932","http://ts.21cn.com/tousu/show/id/1367932")</f>
      </c>
      <c r="G5659" t="s" s="2">
        <v>17</v>
      </c>
      <c r="H5659" t="s" s="2">
        <v>19</v>
      </c>
      <c r="I5659" t="s" s="2">
        <v>21931</v>
      </c>
      <c r="J5659" t="s" s="2">
        <v>21932</v>
      </c>
      <c r="K5659" t="s" s="2">
        <v>22</v>
      </c>
      <c r="L5659" t="s" s="2">
        <v>22</v>
      </c>
      <c r="M5659" t="s" s="2">
        <v>22</v>
      </c>
    </row>
    <row r="5660" ht="25.0" customHeight="true">
      <c r="A5660" t="s" s="2">
        <v>13</v>
      </c>
      <c r="B5660" t="s" s="2">
        <f>HYPERLINK("http://ts.21cn.com/tousu/show/id/1367930","玖富万卡擅自改写合同，变相收取费用，高利贷")</f>
      </c>
      <c r="C5660" t="s" s="2">
        <v>15</v>
      </c>
      <c r="D5660" t="s" s="2">
        <v>16</v>
      </c>
      <c r="E5660" t="s" s="2">
        <v>17</v>
      </c>
      <c r="F5660" t="s" s="2">
        <f>HYPERLINK("http://ts.21cn.com/tousu/show/id/1367930","http://ts.21cn.com/tousu/show/id/1367930")</f>
      </c>
      <c r="G5660" t="s" s="2">
        <v>17</v>
      </c>
      <c r="H5660" t="s" s="2">
        <v>19</v>
      </c>
      <c r="I5660" t="s" s="2">
        <v>21934</v>
      </c>
      <c r="J5660" t="s" s="2">
        <v>21935</v>
      </c>
      <c r="K5660" t="s" s="2">
        <v>22</v>
      </c>
      <c r="L5660" t="s" s="2">
        <v>22</v>
      </c>
      <c r="M5660" t="s" s="2">
        <v>22</v>
      </c>
    </row>
    <row r="5661" ht="25.0" customHeight="true">
      <c r="A5661" t="s" s="2">
        <v>13</v>
      </c>
      <c r="B5661" t="s" s="2">
        <f>HYPERLINK("http://ts.21cn.com/tousu/show/id/1367929","京东白条暴力催收")</f>
      </c>
      <c r="C5661" t="s" s="2">
        <v>15</v>
      </c>
      <c r="D5661" t="s" s="2">
        <v>16</v>
      </c>
      <c r="E5661" t="s" s="2">
        <v>17</v>
      </c>
      <c r="F5661" t="s" s="2">
        <f>HYPERLINK("http://ts.21cn.com/tousu/show/id/1367929","http://ts.21cn.com/tousu/show/id/1367929")</f>
      </c>
      <c r="G5661" t="s" s="2">
        <v>17</v>
      </c>
      <c r="H5661" t="s" s="2">
        <v>19</v>
      </c>
      <c r="I5661" t="s" s="2">
        <v>21937</v>
      </c>
      <c r="J5661" t="s" s="2">
        <v>21938</v>
      </c>
      <c r="K5661" t="s" s="2">
        <v>22</v>
      </c>
      <c r="L5661" t="s" s="2">
        <v>22</v>
      </c>
      <c r="M5661" t="s" s="2">
        <v>22</v>
      </c>
    </row>
    <row r="5662" ht="25.0" customHeight="true">
      <c r="A5662" t="s" s="2">
        <v>13</v>
      </c>
      <c r="B5662" t="s" s="2">
        <f>HYPERLINK("http://ts.21cn.com/tousu/show/id/1367927","汇潮支付，华农钱庄支付砍头息")</f>
      </c>
      <c r="C5662" t="s" s="2">
        <v>15</v>
      </c>
      <c r="D5662" t="s" s="2">
        <v>16</v>
      </c>
      <c r="E5662" t="s" s="2">
        <v>17</v>
      </c>
      <c r="F5662" t="s" s="2">
        <f>HYPERLINK("http://ts.21cn.com/tousu/show/id/1367927","http://ts.21cn.com/tousu/show/id/1367927")</f>
      </c>
      <c r="G5662" t="s" s="2">
        <v>17</v>
      </c>
      <c r="H5662" t="s" s="2">
        <v>19</v>
      </c>
      <c r="I5662" t="s" s="2">
        <v>21941</v>
      </c>
      <c r="J5662" t="s" s="2">
        <v>21942</v>
      </c>
      <c r="K5662" t="s" s="2">
        <v>22</v>
      </c>
      <c r="L5662" t="s" s="2">
        <v>22</v>
      </c>
      <c r="M5662" t="s" s="2">
        <v>22</v>
      </c>
    </row>
    <row r="5663" ht="25.0" customHeight="true">
      <c r="A5663" t="s" s="2">
        <v>13</v>
      </c>
      <c r="B5663" t="s" s="2">
        <f>HYPERLINK("http://ts.21cn.com/tousu/show/id/1367928","拼多多恶意扣款，进一个网站没了142块钱不处理")</f>
      </c>
      <c r="C5663" t="s" s="2">
        <v>15</v>
      </c>
      <c r="D5663" t="s" s="2">
        <v>16</v>
      </c>
      <c r="E5663" t="s" s="2">
        <v>17</v>
      </c>
      <c r="F5663" t="s" s="2">
        <f>HYPERLINK("http://ts.21cn.com/tousu/show/id/1367928","http://ts.21cn.com/tousu/show/id/1367928")</f>
      </c>
      <c r="G5663" t="s" s="2">
        <v>17</v>
      </c>
      <c r="H5663" t="s" s="2">
        <v>19</v>
      </c>
      <c r="I5663" t="s" s="2">
        <v>21945</v>
      </c>
      <c r="J5663" t="s" s="2">
        <v>21946</v>
      </c>
      <c r="K5663" t="s" s="2">
        <v>22</v>
      </c>
      <c r="L5663" t="s" s="2">
        <v>22</v>
      </c>
      <c r="M5663" t="s" s="2">
        <v>22</v>
      </c>
    </row>
    <row r="5664" ht="25.0" customHeight="true">
      <c r="A5664" t="s" s="2">
        <v>13</v>
      </c>
      <c r="B5664" t="s" s="2">
        <f>HYPERLINK("http://ts.21cn.com/tousu/show/id/1367926","宜人贷收取砍头息")</f>
      </c>
      <c r="C5664" t="s" s="2">
        <v>15</v>
      </c>
      <c r="D5664" t="s" s="2">
        <v>16</v>
      </c>
      <c r="E5664" t="s" s="2">
        <v>17</v>
      </c>
      <c r="F5664" t="s" s="2">
        <f>HYPERLINK("http://ts.21cn.com/tousu/show/id/1367926","http://ts.21cn.com/tousu/show/id/1367926")</f>
      </c>
      <c r="G5664" t="s" s="2">
        <v>17</v>
      </c>
      <c r="H5664" t="s" s="2">
        <v>19</v>
      </c>
      <c r="I5664" t="s" s="2">
        <v>21949</v>
      </c>
      <c r="J5664" t="s" s="2">
        <v>21950</v>
      </c>
      <c r="K5664" t="s" s="2">
        <v>22</v>
      </c>
      <c r="L5664" t="s" s="2">
        <v>22</v>
      </c>
      <c r="M5664" t="s" s="2">
        <v>22</v>
      </c>
    </row>
    <row r="5665" ht="25.0" customHeight="true">
      <c r="A5665" t="s" s="2">
        <v>13</v>
      </c>
      <c r="B5665" t="s" s="2">
        <f>HYPERLINK("http://ts.21cn.com/tousu/show/id/1367924","在魔筷星选上买护肤品使用后过敏联系商家不给处理，商家骂人")</f>
      </c>
      <c r="C5665" t="s" s="2">
        <v>15</v>
      </c>
      <c r="D5665" t="s" s="2">
        <v>16</v>
      </c>
      <c r="E5665" t="s" s="2">
        <v>17</v>
      </c>
      <c r="F5665" t="s" s="2">
        <f>HYPERLINK("http://ts.21cn.com/tousu/show/id/1367924","http://ts.21cn.com/tousu/show/id/1367924")</f>
      </c>
      <c r="G5665" t="s" s="2">
        <v>17</v>
      </c>
      <c r="H5665" t="s" s="2">
        <v>19</v>
      </c>
      <c r="I5665" t="s" s="2">
        <v>21953</v>
      </c>
      <c r="J5665" t="s" s="2">
        <v>21954</v>
      </c>
      <c r="K5665" t="s" s="2">
        <v>22</v>
      </c>
      <c r="L5665" t="s" s="2">
        <v>22</v>
      </c>
      <c r="M5665" t="s" s="2">
        <v>22</v>
      </c>
    </row>
    <row r="5666" ht="25.0" customHeight="true">
      <c r="A5666" t="s" s="2">
        <v>13</v>
      </c>
      <c r="B5666" t="s" s="2">
        <f>HYPERLINK("http://ts.21cn.com/tousu/show/id/1367923","微应急高利贷放款，汇潮支付协助放款，违规提供支付通道")</f>
      </c>
      <c r="C5666" t="s" s="2">
        <v>15</v>
      </c>
      <c r="D5666" t="s" s="2">
        <v>16</v>
      </c>
      <c r="E5666" t="s" s="2">
        <v>17</v>
      </c>
      <c r="F5666" t="s" s="2">
        <f>HYPERLINK("http://ts.21cn.com/tousu/show/id/1367923","http://ts.21cn.com/tousu/show/id/1367923")</f>
      </c>
      <c r="G5666" t="s" s="2">
        <v>17</v>
      </c>
      <c r="H5666" t="s" s="2">
        <v>19</v>
      </c>
      <c r="I5666" t="s" s="2">
        <v>21957</v>
      </c>
      <c r="J5666" t="s" s="2">
        <v>21958</v>
      </c>
      <c r="K5666" t="s" s="2">
        <v>22</v>
      </c>
      <c r="L5666" t="s" s="2">
        <v>22</v>
      </c>
      <c r="M5666" t="s" s="2">
        <v>22</v>
      </c>
    </row>
    <row r="5667" ht="25.0" customHeight="true">
      <c r="A5667" t="s" s="2">
        <v>13</v>
      </c>
      <c r="B5667" t="s" s="2">
        <f>HYPERLINK("http://ts.21cn.com/tousu/show/id/1367921","国美违规提供虚假商户购买人口")</f>
      </c>
      <c r="C5667" t="s" s="2">
        <v>15</v>
      </c>
      <c r="D5667" t="s" s="2">
        <v>16</v>
      </c>
      <c r="E5667" t="s" s="2">
        <v>17</v>
      </c>
      <c r="F5667" t="s" s="2">
        <f>HYPERLINK("http://ts.21cn.com/tousu/show/id/1367921","http://ts.21cn.com/tousu/show/id/1367921")</f>
      </c>
      <c r="G5667" t="s" s="2">
        <v>17</v>
      </c>
      <c r="H5667" t="s" s="2">
        <v>19</v>
      </c>
      <c r="I5667" t="s" s="2">
        <v>21961</v>
      </c>
      <c r="J5667" t="s" s="2">
        <v>21962</v>
      </c>
      <c r="K5667" t="s" s="2">
        <v>22</v>
      </c>
      <c r="L5667" t="s" s="2">
        <v>22</v>
      </c>
      <c r="M5667" t="s" s="2">
        <v>22</v>
      </c>
    </row>
    <row r="5668" ht="25.0" customHeight="true">
      <c r="A5668" t="s" s="2">
        <v>13</v>
      </c>
      <c r="B5668" t="s" s="2">
        <f>HYPERLINK("http://ts.21cn.com/tousu/show/id/1367920","虚假广告宣传")</f>
      </c>
      <c r="C5668" t="s" s="2">
        <v>15</v>
      </c>
      <c r="D5668" t="s" s="2">
        <v>16</v>
      </c>
      <c r="E5668" t="s" s="2">
        <v>17</v>
      </c>
      <c r="F5668" t="s" s="2">
        <f>HYPERLINK("http://ts.21cn.com/tousu/show/id/1367920","http://ts.21cn.com/tousu/show/id/1367920")</f>
      </c>
      <c r="G5668" t="s" s="2">
        <v>17</v>
      </c>
      <c r="H5668" t="s" s="2">
        <v>19</v>
      </c>
      <c r="I5668" t="s" s="2">
        <v>21965</v>
      </c>
      <c r="J5668" t="s" s="2">
        <v>21966</v>
      </c>
      <c r="K5668" t="s" s="2">
        <v>22</v>
      </c>
      <c r="L5668" t="s" s="2">
        <v>22</v>
      </c>
      <c r="M5668" t="s" s="2">
        <v>22</v>
      </c>
    </row>
    <row r="5669" ht="25.0" customHeight="true">
      <c r="A5669" t="s" s="2">
        <v>13</v>
      </c>
      <c r="B5669" t="s" s="2">
        <f>HYPERLINK("http://ts.21cn.com/tousu/show/id/1367916","平安付科技服务有限公司无故扣款5000元")</f>
      </c>
      <c r="C5669" t="s" s="2">
        <v>52</v>
      </c>
      <c r="D5669" t="s" s="2">
        <v>16</v>
      </c>
      <c r="E5669" t="s" s="2">
        <v>17</v>
      </c>
      <c r="F5669" t="s" s="2">
        <f>HYPERLINK("http://ts.21cn.com/tousu/show/id/1367916","http://ts.21cn.com/tousu/show/id/1367916")</f>
      </c>
      <c r="G5669" t="s" s="2">
        <v>17</v>
      </c>
      <c r="H5669" t="s" s="2">
        <v>19</v>
      </c>
      <c r="I5669" t="s" s="2">
        <v>21969</v>
      </c>
      <c r="J5669" t="s" s="2">
        <v>21970</v>
      </c>
      <c r="K5669" t="s" s="2">
        <v>22</v>
      </c>
      <c r="L5669" t="s" s="2">
        <v>22</v>
      </c>
      <c r="M5669" t="s" s="2">
        <v>22</v>
      </c>
    </row>
    <row r="5670" ht="25.0" customHeight="true">
      <c r="A5670" t="s" s="2">
        <v>13</v>
      </c>
      <c r="B5670" t="s" s="2">
        <f>HYPERLINK("http://ts.21cn.com/tousu/show/id/1367917","街电充电宝丢失又找回还扣除99元")</f>
      </c>
      <c r="C5670" t="s" s="2">
        <v>15</v>
      </c>
      <c r="D5670" t="s" s="2">
        <v>16</v>
      </c>
      <c r="E5670" t="s" s="2">
        <v>17</v>
      </c>
      <c r="F5670" t="s" s="2">
        <f>HYPERLINK("http://ts.21cn.com/tousu/show/id/1367917","http://ts.21cn.com/tousu/show/id/1367917")</f>
      </c>
      <c r="G5670" t="s" s="2">
        <v>17</v>
      </c>
      <c r="H5670" t="s" s="2">
        <v>19</v>
      </c>
      <c r="I5670" t="s" s="2">
        <v>21973</v>
      </c>
      <c r="J5670" t="s" s="2">
        <v>21974</v>
      </c>
      <c r="K5670" t="s" s="2">
        <v>22</v>
      </c>
      <c r="L5670" t="s" s="2">
        <v>22</v>
      </c>
      <c r="M5670" t="s" s="2">
        <v>22</v>
      </c>
    </row>
    <row r="5671" ht="25.0" customHeight="true">
      <c r="A5671" t="s" s="2">
        <v>13</v>
      </c>
      <c r="B5671" t="s" s="2">
        <f>HYPERLINK("http://ts.21cn.com/tousu/show/id/1367919","投诉闪银")</f>
      </c>
      <c r="C5671" t="s" s="2">
        <v>15</v>
      </c>
      <c r="D5671" t="s" s="2">
        <v>16</v>
      </c>
      <c r="E5671" t="s" s="2">
        <v>17</v>
      </c>
      <c r="F5671" t="s" s="2">
        <f>HYPERLINK("http://ts.21cn.com/tousu/show/id/1367919","http://ts.21cn.com/tousu/show/id/1367919")</f>
      </c>
      <c r="G5671" t="s" s="2">
        <v>17</v>
      </c>
      <c r="H5671" t="s" s="2">
        <v>19</v>
      </c>
      <c r="I5671" t="s" s="2">
        <v>21973</v>
      </c>
      <c r="J5671" t="s" s="2">
        <v>21977</v>
      </c>
      <c r="K5671" t="s" s="2">
        <v>22</v>
      </c>
      <c r="L5671" t="s" s="2">
        <v>22</v>
      </c>
      <c r="M5671" t="s" s="2">
        <v>22</v>
      </c>
    </row>
    <row r="5672" ht="25.0" customHeight="true">
      <c r="A5672" t="s" s="2">
        <v>13</v>
      </c>
      <c r="B5672" t="s" s="2">
        <f>HYPERLINK("http://ts.21cn.com/tousu/show/id/1367918","小花钱包威胁恐吓泄漏他人信息")</f>
      </c>
      <c r="C5672" t="s" s="2">
        <v>15</v>
      </c>
      <c r="D5672" t="s" s="2">
        <v>16</v>
      </c>
      <c r="E5672" t="s" s="2">
        <v>17</v>
      </c>
      <c r="F5672" t="s" s="2">
        <f>HYPERLINK("http://ts.21cn.com/tousu/show/id/1367918","http://ts.21cn.com/tousu/show/id/1367918")</f>
      </c>
      <c r="G5672" t="s" s="2">
        <v>17</v>
      </c>
      <c r="H5672" t="s" s="2">
        <v>19</v>
      </c>
      <c r="I5672" t="s" s="2">
        <v>21973</v>
      </c>
      <c r="J5672" t="s" s="2">
        <v>21980</v>
      </c>
      <c r="K5672" t="s" s="2">
        <v>22</v>
      </c>
      <c r="L5672" t="s" s="2">
        <v>22</v>
      </c>
      <c r="M5672" t="s" s="2">
        <v>22</v>
      </c>
    </row>
    <row r="5673" ht="25.0" customHeight="true">
      <c r="A5673" t="s" s="2">
        <v>13</v>
      </c>
      <c r="B5673" t="s" s="2">
        <f>HYPERLINK("http://ts.21cn.com/tousu/show/id/1367912","诸葛借米高利贷，汇潮支付协助放款")</f>
      </c>
      <c r="C5673" t="s" s="2">
        <v>15</v>
      </c>
      <c r="D5673" t="s" s="2">
        <v>16</v>
      </c>
      <c r="E5673" t="s" s="2">
        <v>17</v>
      </c>
      <c r="F5673" t="s" s="2">
        <f>HYPERLINK("http://ts.21cn.com/tousu/show/id/1367912","http://ts.21cn.com/tousu/show/id/1367912")</f>
      </c>
      <c r="G5673" t="s" s="2">
        <v>17</v>
      </c>
      <c r="H5673" t="s" s="2">
        <v>19</v>
      </c>
      <c r="I5673" t="s" s="2">
        <v>21983</v>
      </c>
      <c r="J5673" t="s" s="2">
        <v>21984</v>
      </c>
      <c r="K5673" t="s" s="2">
        <v>22</v>
      </c>
      <c r="L5673" t="s" s="2">
        <v>22</v>
      </c>
      <c r="M5673" t="s" s="2">
        <v>22</v>
      </c>
    </row>
    <row r="5674" ht="25.0" customHeight="true">
      <c r="A5674" t="s" s="2">
        <v>13</v>
      </c>
      <c r="B5674" t="s" s="2">
        <f>HYPERLINK("http://ts.21cn.com/tousu/show/id/1367911","人品贷非法联系本人联系人，涉嫌套用个人隐私")</f>
      </c>
      <c r="C5674" t="s" s="2">
        <v>15</v>
      </c>
      <c r="D5674" t="s" s="2">
        <v>16</v>
      </c>
      <c r="E5674" t="s" s="2">
        <v>17</v>
      </c>
      <c r="F5674" t="s" s="2">
        <f>HYPERLINK("http://ts.21cn.com/tousu/show/id/1367911","http://ts.21cn.com/tousu/show/id/1367911")</f>
      </c>
      <c r="G5674" t="s" s="2">
        <v>17</v>
      </c>
      <c r="H5674" t="s" s="2">
        <v>19</v>
      </c>
      <c r="I5674" t="s" s="2">
        <v>21987</v>
      </c>
      <c r="J5674" t="s" s="2">
        <v>21988</v>
      </c>
      <c r="K5674" t="s" s="2">
        <v>22</v>
      </c>
      <c r="L5674" t="s" s="2">
        <v>22</v>
      </c>
      <c r="M5674" t="s" s="2">
        <v>22</v>
      </c>
    </row>
    <row r="5675" ht="25.0" customHeight="true">
      <c r="A5675" t="s" s="2">
        <v>13</v>
      </c>
      <c r="B5675" t="s" s="2">
        <f>HYPERLINK("http://ts.21cn.com/tousu/show/id/1367910","月光侠分期高利贷砍头息")</f>
      </c>
      <c r="C5675" t="s" s="2">
        <v>15</v>
      </c>
      <c r="D5675" t="s" s="2">
        <v>16</v>
      </c>
      <c r="E5675" t="s" s="2">
        <v>17</v>
      </c>
      <c r="F5675" t="s" s="2">
        <f>HYPERLINK("http://ts.21cn.com/tousu/show/id/1367910","http://ts.21cn.com/tousu/show/id/1367910")</f>
      </c>
      <c r="G5675" t="s" s="2">
        <v>17</v>
      </c>
      <c r="H5675" t="s" s="2">
        <v>19</v>
      </c>
      <c r="I5675" t="s" s="2">
        <v>21991</v>
      </c>
      <c r="J5675" t="s" s="2">
        <v>21992</v>
      </c>
      <c r="K5675" t="s" s="2">
        <v>22</v>
      </c>
      <c r="L5675" t="s" s="2">
        <v>22</v>
      </c>
      <c r="M5675" t="s" s="2">
        <v>22</v>
      </c>
    </row>
    <row r="5676" ht="25.0" customHeight="true">
      <c r="A5676" t="s" s="2">
        <v>13</v>
      </c>
      <c r="B5676" t="s" s="2">
        <f>HYPERLINK("http://ts.21cn.com/tousu/show/id/1367909","捷信金融这到底是不是高利贷？，如何解决？")</f>
      </c>
      <c r="C5676" t="s" s="2">
        <v>15</v>
      </c>
      <c r="D5676" t="s" s="2">
        <v>16</v>
      </c>
      <c r="E5676" t="s" s="2">
        <v>17</v>
      </c>
      <c r="F5676" t="s" s="2">
        <f>HYPERLINK("http://ts.21cn.com/tousu/show/id/1367909","http://ts.21cn.com/tousu/show/id/1367909")</f>
      </c>
      <c r="G5676" t="s" s="2">
        <v>17</v>
      </c>
      <c r="H5676" t="s" s="2">
        <v>19</v>
      </c>
      <c r="I5676" t="s" s="2">
        <v>21995</v>
      </c>
      <c r="J5676" t="s" s="2">
        <v>21996</v>
      </c>
      <c r="K5676" t="s" s="2">
        <v>22</v>
      </c>
      <c r="L5676" t="s" s="2">
        <v>22</v>
      </c>
      <c r="M5676" t="s" s="2">
        <v>22</v>
      </c>
    </row>
    <row r="5677" ht="25.0" customHeight="true">
      <c r="A5677" t="s" s="2">
        <v>13</v>
      </c>
      <c r="B5677" t="s" s="2">
        <f>HYPERLINK("http://ts.21cn.com/tousu/show/id/1367907","拼多多商户涉嫌为博彩黑平台收款")</f>
      </c>
      <c r="C5677" t="s" s="2">
        <v>15</v>
      </c>
      <c r="D5677" t="s" s="2">
        <v>16</v>
      </c>
      <c r="E5677" t="s" s="2">
        <v>17</v>
      </c>
      <c r="F5677" t="s" s="2">
        <f>HYPERLINK("http://ts.21cn.com/tousu/show/id/1367907","http://ts.21cn.com/tousu/show/id/1367907")</f>
      </c>
      <c r="G5677" t="s" s="2">
        <v>17</v>
      </c>
      <c r="H5677" t="s" s="2">
        <v>19</v>
      </c>
      <c r="I5677" t="s" s="2">
        <v>21998</v>
      </c>
      <c r="J5677" t="s" s="2">
        <v>21999</v>
      </c>
      <c r="K5677" t="s" s="2">
        <v>22</v>
      </c>
      <c r="L5677" t="s" s="2">
        <v>22</v>
      </c>
      <c r="M5677" t="s" s="2">
        <v>22</v>
      </c>
    </row>
    <row r="5678" ht="25.0" customHeight="true">
      <c r="A5678" t="s" s="2">
        <v>13</v>
      </c>
      <c r="B5678" t="s" s="2">
        <f>HYPERLINK("http://ts.21cn.com/tousu/show/id/1367908","拍拍贷协商一次性还款")</f>
      </c>
      <c r="C5678" t="s" s="2">
        <v>15</v>
      </c>
      <c r="D5678" t="s" s="2">
        <v>16</v>
      </c>
      <c r="E5678" t="s" s="2">
        <v>17</v>
      </c>
      <c r="F5678" t="s" s="2">
        <f>HYPERLINK("http://ts.21cn.com/tousu/show/id/1367908","http://ts.21cn.com/tousu/show/id/1367908")</f>
      </c>
      <c r="G5678" t="s" s="2">
        <v>17</v>
      </c>
      <c r="H5678" t="s" s="2">
        <v>19</v>
      </c>
      <c r="I5678" t="s" s="2">
        <v>22002</v>
      </c>
      <c r="J5678" t="s" s="2">
        <v>22003</v>
      </c>
      <c r="K5678" t="s" s="2">
        <v>22</v>
      </c>
      <c r="L5678" t="s" s="2">
        <v>22</v>
      </c>
      <c r="M5678" t="s" s="2">
        <v>22</v>
      </c>
    </row>
    <row r="5679" ht="25.0" customHeight="true">
      <c r="A5679" t="s" s="2">
        <v>13</v>
      </c>
      <c r="B5679" t="s" s="2">
        <f>HYPERLINK("http://ts.21cn.com/tousu/show/id/1367906","畅捷支付合伙信用管家薪意贷高利贷砍头息")</f>
      </c>
      <c r="C5679" t="s" s="2">
        <v>15</v>
      </c>
      <c r="D5679" t="s" s="2">
        <v>16</v>
      </c>
      <c r="E5679" t="s" s="2">
        <v>17</v>
      </c>
      <c r="F5679" t="s" s="2">
        <f>HYPERLINK("http://ts.21cn.com/tousu/show/id/1367906","http://ts.21cn.com/tousu/show/id/1367906")</f>
      </c>
      <c r="G5679" t="s" s="2">
        <v>17</v>
      </c>
      <c r="H5679" t="s" s="2">
        <v>19</v>
      </c>
      <c r="I5679" t="s" s="2">
        <v>22006</v>
      </c>
      <c r="J5679" t="s" s="2">
        <v>22007</v>
      </c>
      <c r="K5679" t="s" s="2">
        <v>22</v>
      </c>
      <c r="L5679" t="s" s="2">
        <v>22</v>
      </c>
      <c r="M5679" t="s" s="2">
        <v>22</v>
      </c>
    </row>
    <row r="5680" ht="25.0" customHeight="true">
      <c r="A5680" t="s" s="2">
        <v>13</v>
      </c>
      <c r="B5680" t="s" s="2">
        <f>HYPERLINK("http://ts.21cn.com/tousu/show/id/1367905","百事普惠恶意扣款")</f>
      </c>
      <c r="C5680" t="s" s="2">
        <v>15</v>
      </c>
      <c r="D5680" t="s" s="2">
        <v>16</v>
      </c>
      <c r="E5680" t="s" s="2">
        <v>17</v>
      </c>
      <c r="F5680" t="s" s="2">
        <f>HYPERLINK("http://ts.21cn.com/tousu/show/id/1367905","http://ts.21cn.com/tousu/show/id/1367905")</f>
      </c>
      <c r="G5680" t="s" s="2">
        <v>17</v>
      </c>
      <c r="H5680" t="s" s="2">
        <v>19</v>
      </c>
      <c r="I5680" t="s" s="2">
        <v>22009</v>
      </c>
      <c r="J5680" t="s" s="2">
        <v>22010</v>
      </c>
      <c r="K5680" t="s" s="2">
        <v>22</v>
      </c>
      <c r="L5680" t="s" s="2">
        <v>22</v>
      </c>
      <c r="M5680" t="s" s="2">
        <v>22</v>
      </c>
    </row>
    <row r="5681" ht="25.0" customHeight="true">
      <c r="A5681" t="s" s="2">
        <v>13</v>
      </c>
      <c r="B5681" t="s" s="2">
        <f>HYPERLINK("http://ts.21cn.com/tousu/show/id/1367889","电信诈骗淘宝退款变贷款")</f>
      </c>
      <c r="C5681" t="s" s="2">
        <v>15</v>
      </c>
      <c r="D5681" t="s" s="2">
        <v>16</v>
      </c>
      <c r="E5681" t="s" s="2">
        <v>17</v>
      </c>
      <c r="F5681" t="s" s="2">
        <f>HYPERLINK("http://ts.21cn.com/tousu/show/id/1367889","http://ts.21cn.com/tousu/show/id/1367889")</f>
      </c>
      <c r="G5681" t="s" s="2">
        <v>17</v>
      </c>
      <c r="H5681" t="s" s="2">
        <v>19</v>
      </c>
      <c r="I5681" t="s" s="2">
        <v>22013</v>
      </c>
      <c r="J5681" t="s" s="2">
        <v>22014</v>
      </c>
      <c r="K5681" t="s" s="2">
        <v>22</v>
      </c>
      <c r="L5681" t="s" s="2">
        <v>22</v>
      </c>
      <c r="M5681" t="s" s="2">
        <v>22</v>
      </c>
    </row>
    <row r="5682" ht="25.0" customHeight="true">
      <c r="A5682" t="s" s="2">
        <v>13</v>
      </c>
      <c r="B5682" t="s" s="2">
        <f>HYPERLINK("http://ts.21cn.com/tousu/show/id/1367904","@银联盗扣")</f>
      </c>
      <c r="C5682" t="s" s="2">
        <v>15</v>
      </c>
      <c r="D5682" t="s" s="2">
        <v>16</v>
      </c>
      <c r="E5682" t="s" s="2">
        <v>17</v>
      </c>
      <c r="F5682" t="s" s="2">
        <f>HYPERLINK("http://ts.21cn.com/tousu/show/id/1367904","http://ts.21cn.com/tousu/show/id/1367904")</f>
      </c>
      <c r="G5682" t="s" s="2">
        <v>17</v>
      </c>
      <c r="H5682" t="s" s="2">
        <v>19</v>
      </c>
      <c r="I5682" t="s" s="2">
        <v>22017</v>
      </c>
      <c r="J5682" t="s" s="2">
        <v>22018</v>
      </c>
      <c r="K5682" t="s" s="2">
        <v>22</v>
      </c>
      <c r="L5682" t="s" s="2">
        <v>22</v>
      </c>
      <c r="M5682" t="s" s="2">
        <v>22</v>
      </c>
    </row>
    <row r="5683" ht="25.0" customHeight="true">
      <c r="A5683" t="s" s="2">
        <v>13</v>
      </c>
      <c r="B5683" t="s" s="2">
        <f>HYPERLINK("http://ts.21cn.com/tousu/show/id/1367903","洋钱罐乱收费，骚扰")</f>
      </c>
      <c r="C5683" t="s" s="2">
        <v>15</v>
      </c>
      <c r="D5683" t="s" s="2">
        <v>16</v>
      </c>
      <c r="E5683" t="s" s="2">
        <v>17</v>
      </c>
      <c r="F5683" t="s" s="2">
        <f>HYPERLINK("http://ts.21cn.com/tousu/show/id/1367903","http://ts.21cn.com/tousu/show/id/1367903")</f>
      </c>
      <c r="G5683" t="s" s="2">
        <v>17</v>
      </c>
      <c r="H5683" t="s" s="2">
        <v>19</v>
      </c>
      <c r="I5683" t="s" s="2">
        <v>22021</v>
      </c>
      <c r="J5683" t="s" s="2">
        <v>22022</v>
      </c>
      <c r="K5683" t="s" s="2">
        <v>22</v>
      </c>
      <c r="L5683" t="s" s="2">
        <v>22</v>
      </c>
      <c r="M5683" t="s" s="2">
        <v>22</v>
      </c>
    </row>
    <row r="5684" ht="25.0" customHeight="true">
      <c r="A5684" t="s" s="2">
        <v>13</v>
      </c>
      <c r="B5684" t="s" s="2">
        <f>HYPERLINK("http://ts.21cn.com/tousu/show/id/1367902","投诉通联支付，特约（小通商城）恶意扣款")</f>
      </c>
      <c r="C5684" t="s" s="2">
        <v>15</v>
      </c>
      <c r="D5684" t="s" s="2">
        <v>16</v>
      </c>
      <c r="E5684" t="s" s="2">
        <v>17</v>
      </c>
      <c r="F5684" t="s" s="2">
        <f>HYPERLINK("http://ts.21cn.com/tousu/show/id/1367902","http://ts.21cn.com/tousu/show/id/1367902")</f>
      </c>
      <c r="G5684" t="s" s="2">
        <v>17</v>
      </c>
      <c r="H5684" t="s" s="2">
        <v>19</v>
      </c>
      <c r="I5684" t="s" s="2">
        <v>22025</v>
      </c>
      <c r="J5684" t="s" s="2">
        <v>22026</v>
      </c>
      <c r="K5684" t="s" s="2">
        <v>22</v>
      </c>
      <c r="L5684" t="s" s="2">
        <v>22</v>
      </c>
      <c r="M5684" t="s" s="2">
        <v>22</v>
      </c>
    </row>
    <row r="5685" ht="25.0" customHeight="true">
      <c r="A5685" t="s" s="2">
        <v>13</v>
      </c>
      <c r="B5685" t="s" s="2">
        <f>HYPERLINK("http://ts.21cn.com/tousu/show/id/1367900","豹子贷恶意扣款")</f>
      </c>
      <c r="C5685" t="s" s="2">
        <v>15</v>
      </c>
      <c r="D5685" t="s" s="2">
        <v>16</v>
      </c>
      <c r="E5685" t="s" s="2">
        <v>17</v>
      </c>
      <c r="F5685" t="s" s="2">
        <f>HYPERLINK("http://ts.21cn.com/tousu/show/id/1367900","http://ts.21cn.com/tousu/show/id/1367900")</f>
      </c>
      <c r="G5685" t="s" s="2">
        <v>17</v>
      </c>
      <c r="H5685" t="s" s="2">
        <v>19</v>
      </c>
      <c r="I5685" t="s" s="2">
        <v>22029</v>
      </c>
      <c r="J5685" t="s" s="2">
        <v>22030</v>
      </c>
      <c r="K5685" t="s" s="2">
        <v>22</v>
      </c>
      <c r="L5685" t="s" s="2">
        <v>22</v>
      </c>
      <c r="M5685" t="s" s="2">
        <v>22</v>
      </c>
    </row>
    <row r="5686" ht="25.0" customHeight="true">
      <c r="A5686" t="s" s="2">
        <v>13</v>
      </c>
      <c r="B5686" t="s" s="2">
        <f>HYPERLINK("http://ts.21cn.com/tousu/show/id/1367901","处处app强制扣费")</f>
      </c>
      <c r="C5686" t="s" s="2">
        <v>15</v>
      </c>
      <c r="D5686" t="s" s="2">
        <v>16</v>
      </c>
      <c r="E5686" t="s" s="2">
        <v>17</v>
      </c>
      <c r="F5686" t="s" s="2">
        <f>HYPERLINK("http://ts.21cn.com/tousu/show/id/1367901","http://ts.21cn.com/tousu/show/id/1367901")</f>
      </c>
      <c r="G5686" t="s" s="2">
        <v>17</v>
      </c>
      <c r="H5686" t="s" s="2">
        <v>19</v>
      </c>
      <c r="I5686" t="s" s="2">
        <v>22029</v>
      </c>
      <c r="J5686" t="s" s="2">
        <v>22033</v>
      </c>
      <c r="K5686" t="s" s="2">
        <v>22</v>
      </c>
      <c r="L5686" t="s" s="2">
        <v>22</v>
      </c>
      <c r="M5686" t="s" s="2">
        <v>22</v>
      </c>
    </row>
    <row r="5687" ht="25.0" customHeight="true">
      <c r="A5687" t="s" s="2">
        <v>13</v>
      </c>
      <c r="B5687" t="s" s="2">
        <f>HYPERLINK("http://ts.21cn.com/tousu/show/id/1367870","支付宝微信银联境外赌博网站用你们的支付工具在收集赌资请你们立即巡查关停所有违规违法支付方式")</f>
      </c>
      <c r="C5687" t="s" s="2">
        <v>15</v>
      </c>
      <c r="D5687" t="s" s="2">
        <v>16</v>
      </c>
      <c r="E5687" t="s" s="2">
        <v>17</v>
      </c>
      <c r="F5687" t="s" s="2">
        <f>HYPERLINK("http://ts.21cn.com/tousu/show/id/1367870","http://ts.21cn.com/tousu/show/id/1367870")</f>
      </c>
      <c r="G5687" t="s" s="2">
        <v>17</v>
      </c>
      <c r="H5687" t="s" s="2">
        <v>19</v>
      </c>
      <c r="I5687" t="s" s="2">
        <v>22036</v>
      </c>
      <c r="J5687" t="s" s="2">
        <v>22037</v>
      </c>
      <c r="K5687" t="s" s="2">
        <v>22</v>
      </c>
      <c r="L5687" t="s" s="2">
        <v>22</v>
      </c>
      <c r="M5687" t="s" s="2">
        <v>22</v>
      </c>
    </row>
    <row r="5688" ht="25.0" customHeight="true">
      <c r="A5688" t="s" s="2">
        <v>13</v>
      </c>
      <c r="B5688" t="s" s="2">
        <f>HYPERLINK("http://ts.21cn.com/tousu/show/id/1367898","my钱包逾期第一天要求下午还款")</f>
      </c>
      <c r="C5688" t="s" s="2">
        <v>15</v>
      </c>
      <c r="D5688" t="s" s="2">
        <v>16</v>
      </c>
      <c r="E5688" t="s" s="2">
        <v>17</v>
      </c>
      <c r="F5688" t="s" s="2">
        <f>HYPERLINK("http://ts.21cn.com/tousu/show/id/1367898","http://ts.21cn.com/tousu/show/id/1367898")</f>
      </c>
      <c r="G5688" t="s" s="2">
        <v>17</v>
      </c>
      <c r="H5688" t="s" s="2">
        <v>19</v>
      </c>
      <c r="I5688" t="s" s="2">
        <v>22040</v>
      </c>
      <c r="J5688" t="s" s="2">
        <v>22041</v>
      </c>
      <c r="K5688" t="s" s="2">
        <v>22</v>
      </c>
      <c r="L5688" t="s" s="2">
        <v>22</v>
      </c>
      <c r="M5688" t="s" s="2">
        <v>22</v>
      </c>
    </row>
    <row r="5689" ht="25.0" customHeight="true">
      <c r="A5689" t="s" s="2">
        <v>13</v>
      </c>
      <c r="B5689" t="s" s="2">
        <f>HYPERLINK("http://ts.21cn.com/tousu/show/id/1367896","玖富万卡暴力催收，高利贷")</f>
      </c>
      <c r="C5689" t="s" s="2">
        <v>15</v>
      </c>
      <c r="D5689" t="s" s="2">
        <v>16</v>
      </c>
      <c r="E5689" t="s" s="2">
        <v>17</v>
      </c>
      <c r="F5689" t="s" s="2">
        <f>HYPERLINK("http://ts.21cn.com/tousu/show/id/1367896","http://ts.21cn.com/tousu/show/id/1367896")</f>
      </c>
      <c r="G5689" t="s" s="2">
        <v>17</v>
      </c>
      <c r="H5689" t="s" s="2">
        <v>19</v>
      </c>
      <c r="I5689" t="s" s="2">
        <v>22044</v>
      </c>
      <c r="J5689" t="s" s="2">
        <v>22045</v>
      </c>
      <c r="K5689" t="s" s="2">
        <v>22</v>
      </c>
      <c r="L5689" t="s" s="2">
        <v>22</v>
      </c>
      <c r="M5689" t="s" s="2">
        <v>22</v>
      </c>
    </row>
    <row r="5690" ht="25.0" customHeight="true">
      <c r="A5690" t="s" s="2">
        <v>13</v>
      </c>
      <c r="B5690" t="s" s="2">
        <f>HYPERLINK("http://ts.21cn.com/tousu/show/id/1367894","聚富分期非法扣款150元")</f>
      </c>
      <c r="C5690" t="s" s="2">
        <v>15</v>
      </c>
      <c r="D5690" t="s" s="2">
        <v>16</v>
      </c>
      <c r="E5690" t="s" s="2">
        <v>17</v>
      </c>
      <c r="F5690" t="s" s="2">
        <f>HYPERLINK("http://ts.21cn.com/tousu/show/id/1367894","http://ts.21cn.com/tousu/show/id/1367894")</f>
      </c>
      <c r="G5690" t="s" s="2">
        <v>17</v>
      </c>
      <c r="H5690" t="s" s="2">
        <v>19</v>
      </c>
      <c r="I5690" t="s" s="2">
        <v>22048</v>
      </c>
      <c r="J5690" t="s" s="2">
        <v>22049</v>
      </c>
      <c r="K5690" t="s" s="2">
        <v>22</v>
      </c>
      <c r="L5690" t="s" s="2">
        <v>22</v>
      </c>
      <c r="M5690" t="s" s="2">
        <v>22</v>
      </c>
    </row>
    <row r="5691" ht="25.0" customHeight="true">
      <c r="A5691" t="s" s="2">
        <v>13</v>
      </c>
      <c r="B5691" t="s" s="2">
        <f>HYPERLINK("http://ts.21cn.com/tousu/show/id/1367893","宜信普惠暴力催收诋毁污蔑")</f>
      </c>
      <c r="C5691" t="s" s="2">
        <v>15</v>
      </c>
      <c r="D5691" t="s" s="2">
        <v>16</v>
      </c>
      <c r="E5691" t="s" s="2">
        <v>17</v>
      </c>
      <c r="F5691" t="s" s="2">
        <f>HYPERLINK("http://ts.21cn.com/tousu/show/id/1367893","http://ts.21cn.com/tousu/show/id/1367893")</f>
      </c>
      <c r="G5691" t="s" s="2">
        <v>17</v>
      </c>
      <c r="H5691" t="s" s="2">
        <v>19</v>
      </c>
      <c r="I5691" t="s" s="2">
        <v>22052</v>
      </c>
      <c r="J5691" t="s" s="2">
        <v>22053</v>
      </c>
      <c r="K5691" t="s" s="2">
        <v>22</v>
      </c>
      <c r="L5691" t="s" s="2">
        <v>22</v>
      </c>
      <c r="M5691" t="s" s="2">
        <v>22</v>
      </c>
    </row>
    <row r="5692" ht="25.0" customHeight="true">
      <c r="A5692" t="s" s="2">
        <v>13</v>
      </c>
      <c r="B5692" t="s" s="2">
        <f>HYPERLINK("http://ts.21cn.com/tousu/show/id/1367892","冻结账号为什么要冻结我资产")</f>
      </c>
      <c r="C5692" t="s" s="2">
        <v>15</v>
      </c>
      <c r="D5692" t="s" s="2">
        <v>16</v>
      </c>
      <c r="E5692" t="s" s="2">
        <v>17</v>
      </c>
      <c r="F5692" t="s" s="2">
        <f>HYPERLINK("http://ts.21cn.com/tousu/show/id/1367892","http://ts.21cn.com/tousu/show/id/1367892")</f>
      </c>
      <c r="G5692" t="s" s="2">
        <v>17</v>
      </c>
      <c r="H5692" t="s" s="2">
        <v>19</v>
      </c>
      <c r="I5692" t="s" s="2">
        <v>22056</v>
      </c>
      <c r="J5692" t="s" s="2">
        <v>22057</v>
      </c>
      <c r="K5692" t="s" s="2">
        <v>22</v>
      </c>
      <c r="L5692" t="s" s="2">
        <v>22</v>
      </c>
      <c r="M5692" t="s" s="2">
        <v>22</v>
      </c>
    </row>
    <row r="5693" ht="25.0" customHeight="true">
      <c r="A5693" t="s" s="2">
        <v>13</v>
      </c>
      <c r="B5693" t="s" s="2">
        <f>HYPERLINK("http://ts.21cn.com/tousu/show/id/1367891","有钱存着不扣款")</f>
      </c>
      <c r="C5693" t="s" s="2">
        <v>52</v>
      </c>
      <c r="D5693" t="s" s="2">
        <v>16</v>
      </c>
      <c r="E5693" t="s" s="2">
        <v>17</v>
      </c>
      <c r="F5693" t="s" s="2">
        <f>HYPERLINK("http://ts.21cn.com/tousu/show/id/1367891","http://ts.21cn.com/tousu/show/id/1367891")</f>
      </c>
      <c r="G5693" t="s" s="2">
        <v>17</v>
      </c>
      <c r="H5693" t="s" s="2">
        <v>19</v>
      </c>
      <c r="I5693" t="s" s="2">
        <v>22060</v>
      </c>
      <c r="J5693" t="s" s="2">
        <v>22061</v>
      </c>
      <c r="K5693" t="s" s="2">
        <v>22</v>
      </c>
      <c r="L5693" t="s" s="2">
        <v>22</v>
      </c>
      <c r="M5693" t="s" s="2">
        <v>22</v>
      </c>
    </row>
    <row r="5694" ht="25.0" customHeight="true">
      <c r="A5694" t="s" s="2">
        <v>13</v>
      </c>
      <c r="B5694" t="s" s="2">
        <f>HYPERLINK("http://ts.21cn.com/tousu/show/id/1367888","银行卡恶意盗刷")</f>
      </c>
      <c r="C5694" t="s" s="2">
        <v>15</v>
      </c>
      <c r="D5694" t="s" s="2">
        <v>16</v>
      </c>
      <c r="E5694" t="s" s="2">
        <v>17</v>
      </c>
      <c r="F5694" t="s" s="2">
        <f>HYPERLINK("http://ts.21cn.com/tousu/show/id/1367888","http://ts.21cn.com/tousu/show/id/1367888")</f>
      </c>
      <c r="G5694" t="s" s="2">
        <v>17</v>
      </c>
      <c r="H5694" t="s" s="2">
        <v>19</v>
      </c>
      <c r="I5694" t="s" s="2">
        <v>22064</v>
      </c>
      <c r="J5694" t="s" s="2">
        <v>22065</v>
      </c>
      <c r="K5694" t="s" s="2">
        <v>22</v>
      </c>
      <c r="L5694" t="s" s="2">
        <v>22</v>
      </c>
      <c r="M5694" t="s" s="2">
        <v>22</v>
      </c>
    </row>
    <row r="5695" ht="25.0" customHeight="true">
      <c r="A5695" t="s" s="2">
        <v>13</v>
      </c>
      <c r="B5695" t="s" s="2">
        <f>HYPERLINK("http://ts.21cn.com/tousu/show/id/1367887","360借条爆通讯录")</f>
      </c>
      <c r="C5695" t="s" s="2">
        <v>15</v>
      </c>
      <c r="D5695" t="s" s="2">
        <v>16</v>
      </c>
      <c r="E5695" t="s" s="2">
        <v>17</v>
      </c>
      <c r="F5695" t="s" s="2">
        <f>HYPERLINK("http://ts.21cn.com/tousu/show/id/1367887","http://ts.21cn.com/tousu/show/id/1367887")</f>
      </c>
      <c r="G5695" t="s" s="2">
        <v>17</v>
      </c>
      <c r="H5695" t="s" s="2">
        <v>19</v>
      </c>
      <c r="I5695" t="s" s="2">
        <v>22068</v>
      </c>
      <c r="J5695" t="s" s="2">
        <v>22069</v>
      </c>
      <c r="K5695" t="s" s="2">
        <v>22</v>
      </c>
      <c r="L5695" t="s" s="2">
        <v>22</v>
      </c>
      <c r="M5695" t="s" s="2">
        <v>22</v>
      </c>
    </row>
    <row r="5696" ht="25.0" customHeight="true">
      <c r="A5696" t="s" s="2">
        <v>13</v>
      </c>
      <c r="B5696" t="s" s="2">
        <f>HYPERLINK("http://ts.21cn.com/tousu/show/id/1367886","立借平台爆通讯录")</f>
      </c>
      <c r="C5696" t="s" s="2">
        <v>15</v>
      </c>
      <c r="D5696" t="s" s="2">
        <v>16</v>
      </c>
      <c r="E5696" t="s" s="2">
        <v>17</v>
      </c>
      <c r="F5696" t="s" s="2">
        <f>HYPERLINK("http://ts.21cn.com/tousu/show/id/1367886","http://ts.21cn.com/tousu/show/id/1367886")</f>
      </c>
      <c r="G5696" t="s" s="2">
        <v>17</v>
      </c>
      <c r="H5696" t="s" s="2">
        <v>19</v>
      </c>
      <c r="I5696" t="s" s="2">
        <v>22072</v>
      </c>
      <c r="J5696" t="s" s="2">
        <v>22073</v>
      </c>
      <c r="K5696" t="s" s="2">
        <v>22</v>
      </c>
      <c r="L5696" t="s" s="2">
        <v>22</v>
      </c>
      <c r="M5696" t="s" s="2">
        <v>22</v>
      </c>
    </row>
    <row r="5697" ht="25.0" customHeight="true">
      <c r="A5697" t="s" s="2">
        <v>13</v>
      </c>
      <c r="B5697" t="s" s="2">
        <f>HYPERLINK("http://ts.21cn.com/tousu/show/id/1367885","及贷协商还款")</f>
      </c>
      <c r="C5697" t="s" s="2">
        <v>52</v>
      </c>
      <c r="D5697" t="s" s="2">
        <v>16</v>
      </c>
      <c r="E5697" t="s" s="2">
        <v>17</v>
      </c>
      <c r="F5697" t="s" s="2">
        <f>HYPERLINK("http://ts.21cn.com/tousu/show/id/1367885","http://ts.21cn.com/tousu/show/id/1367885")</f>
      </c>
      <c r="G5697" t="s" s="2">
        <v>17</v>
      </c>
      <c r="H5697" t="s" s="2">
        <v>19</v>
      </c>
      <c r="I5697" t="s" s="2">
        <v>22076</v>
      </c>
      <c r="J5697" t="s" s="2">
        <v>22077</v>
      </c>
      <c r="K5697" t="s" s="2">
        <v>22</v>
      </c>
      <c r="L5697" t="s" s="2">
        <v>22</v>
      </c>
      <c r="M5697" t="s" s="2">
        <v>22</v>
      </c>
    </row>
    <row r="5698" ht="25.0" customHeight="true">
      <c r="A5698" t="s" s="2">
        <v>13</v>
      </c>
      <c r="B5698" t="s" s="2">
        <f>HYPERLINK("http://ts.21cn.com/tousu/show/id/1367884","马上消费金融，暴力催收，群发短信，恐吓催收")</f>
      </c>
      <c r="C5698" t="s" s="2">
        <v>15</v>
      </c>
      <c r="D5698" t="s" s="2">
        <v>16</v>
      </c>
      <c r="E5698" t="s" s="2">
        <v>17</v>
      </c>
      <c r="F5698" t="s" s="2">
        <f>HYPERLINK("http://ts.21cn.com/tousu/show/id/1367884","http://ts.21cn.com/tousu/show/id/1367884")</f>
      </c>
      <c r="G5698" t="s" s="2">
        <v>17</v>
      </c>
      <c r="H5698" t="s" s="2">
        <v>19</v>
      </c>
      <c r="I5698" t="s" s="2">
        <v>22079</v>
      </c>
      <c r="J5698" t="s" s="2">
        <v>22080</v>
      </c>
      <c r="K5698" t="s" s="2">
        <v>22</v>
      </c>
      <c r="L5698" t="s" s="2">
        <v>22</v>
      </c>
      <c r="M5698" t="s" s="2">
        <v>22</v>
      </c>
    </row>
    <row r="5699" ht="25.0" customHeight="true">
      <c r="A5699" t="s" s="2">
        <v>13</v>
      </c>
      <c r="B5699" t="s" s="2">
        <f>HYPERLINK("http://ts.21cn.com/tousu/show/id/1367883","丰趣海淘拖欠员工工资，强制执行也没用")</f>
      </c>
      <c r="C5699" t="s" s="2">
        <v>15</v>
      </c>
      <c r="D5699" t="s" s="2">
        <v>16</v>
      </c>
      <c r="E5699" t="s" s="2">
        <v>17</v>
      </c>
      <c r="F5699" t="s" s="2">
        <f>HYPERLINK("http://ts.21cn.com/tousu/show/id/1367883","http://ts.21cn.com/tousu/show/id/1367883")</f>
      </c>
      <c r="G5699" t="s" s="2">
        <v>17</v>
      </c>
      <c r="H5699" t="s" s="2">
        <v>19</v>
      </c>
      <c r="I5699" t="s" s="2">
        <v>22082</v>
      </c>
      <c r="J5699" t="s" s="2">
        <v>22083</v>
      </c>
      <c r="K5699" t="s" s="2">
        <v>22</v>
      </c>
      <c r="L5699" t="s" s="2">
        <v>22</v>
      </c>
      <c r="M5699" t="s" s="2">
        <v>22</v>
      </c>
    </row>
    <row r="5700" ht="25.0" customHeight="true">
      <c r="A5700" t="s" s="2">
        <v>13</v>
      </c>
      <c r="B5700" t="s" s="2">
        <f>HYPERLINK("http://ts.21cn.com/tousu/show/id/1367882","银生宝为违法网站提供交易平台，请为我挽回损失")</f>
      </c>
      <c r="C5700" t="s" s="2">
        <v>15</v>
      </c>
      <c r="D5700" t="s" s="2">
        <v>16</v>
      </c>
      <c r="E5700" t="s" s="2">
        <v>17</v>
      </c>
      <c r="F5700" t="s" s="2">
        <f>HYPERLINK("http://ts.21cn.com/tousu/show/id/1367882","http://ts.21cn.com/tousu/show/id/1367882")</f>
      </c>
      <c r="G5700" t="s" s="2">
        <v>17</v>
      </c>
      <c r="H5700" t="s" s="2">
        <v>19</v>
      </c>
      <c r="I5700" t="s" s="2">
        <v>22086</v>
      </c>
      <c r="J5700" t="s" s="2">
        <v>22087</v>
      </c>
      <c r="K5700" t="s" s="2">
        <v>22</v>
      </c>
      <c r="L5700" t="s" s="2">
        <v>22</v>
      </c>
      <c r="M5700" t="s" s="2">
        <v>22</v>
      </c>
    </row>
    <row r="5701" ht="25.0" customHeight="true">
      <c r="A5701" t="s" s="2">
        <v>13</v>
      </c>
      <c r="B5701" t="s" s="2">
        <f>HYPERLINK("http://ts.21cn.com/tousu/show/id/1367881","网站以刷单名义诱导本人赌博，拼多多为赌博网站提供支付通道")</f>
      </c>
      <c r="C5701" t="s" s="2">
        <v>15</v>
      </c>
      <c r="D5701" t="s" s="2">
        <v>16</v>
      </c>
      <c r="E5701" t="s" s="2">
        <v>17</v>
      </c>
      <c r="F5701" t="s" s="2">
        <f>HYPERLINK("http://ts.21cn.com/tousu/show/id/1367881","http://ts.21cn.com/tousu/show/id/1367881")</f>
      </c>
      <c r="G5701" t="s" s="2">
        <v>17</v>
      </c>
      <c r="H5701" t="s" s="2">
        <v>19</v>
      </c>
      <c r="I5701" t="s" s="2">
        <v>22090</v>
      </c>
      <c r="J5701" t="s" s="2">
        <v>22091</v>
      </c>
      <c r="K5701" t="s" s="2">
        <v>22</v>
      </c>
      <c r="L5701" t="s" s="2">
        <v>22</v>
      </c>
      <c r="M5701" t="s" s="2">
        <v>22</v>
      </c>
    </row>
    <row r="5702" ht="25.0" customHeight="true">
      <c r="A5702" t="s" s="2">
        <v>13</v>
      </c>
      <c r="B5702" t="s" s="2">
        <f>HYPERLINK("http://ts.21cn.com/tousu/show/id/1367880","美团外卖扣钱不送餐")</f>
      </c>
      <c r="C5702" t="s" s="2">
        <v>15</v>
      </c>
      <c r="D5702" t="s" s="2">
        <v>16</v>
      </c>
      <c r="E5702" t="s" s="2">
        <v>17</v>
      </c>
      <c r="F5702" t="s" s="2">
        <f>HYPERLINK("http://ts.21cn.com/tousu/show/id/1367880","http://ts.21cn.com/tousu/show/id/1367880")</f>
      </c>
      <c r="G5702" t="s" s="2">
        <v>17</v>
      </c>
      <c r="H5702" t="s" s="2">
        <v>19</v>
      </c>
      <c r="I5702" t="s" s="2">
        <v>22094</v>
      </c>
      <c r="J5702" t="s" s="2">
        <v>22095</v>
      </c>
      <c r="K5702" t="s" s="2">
        <v>22</v>
      </c>
      <c r="L5702" t="s" s="2">
        <v>22</v>
      </c>
      <c r="M5702" t="s" s="2">
        <v>22</v>
      </c>
    </row>
    <row r="5703" ht="25.0" customHeight="true">
      <c r="A5703" t="s" s="2">
        <v>13</v>
      </c>
      <c r="B5703" t="s" s="2">
        <f>HYPERLINK("http://ts.21cn.com/tousu/show/id/1367879","薪薪借钱乱扣费")</f>
      </c>
      <c r="C5703" t="s" s="2">
        <v>15</v>
      </c>
      <c r="D5703" t="s" s="2">
        <v>16</v>
      </c>
      <c r="E5703" t="s" s="2">
        <v>17</v>
      </c>
      <c r="F5703" t="s" s="2">
        <f>HYPERLINK("http://ts.21cn.com/tousu/show/id/1367879","http://ts.21cn.com/tousu/show/id/1367879")</f>
      </c>
      <c r="G5703" t="s" s="2">
        <v>17</v>
      </c>
      <c r="H5703" t="s" s="2">
        <v>19</v>
      </c>
      <c r="I5703" t="s" s="2">
        <v>22098</v>
      </c>
      <c r="J5703" t="s" s="2">
        <v>22099</v>
      </c>
      <c r="K5703" t="s" s="2">
        <v>22</v>
      </c>
      <c r="L5703" t="s" s="2">
        <v>22</v>
      </c>
      <c r="M5703" t="s" s="2">
        <v>22</v>
      </c>
    </row>
    <row r="5704" ht="25.0" customHeight="true">
      <c r="A5704" t="s" s="2">
        <v>13</v>
      </c>
      <c r="B5704" t="s" s="2">
        <f>HYPERLINK("http://ts.21cn.com/tousu/show/id/1367878","洋钱罐高利贷，逾期费")</f>
      </c>
      <c r="C5704" t="s" s="2">
        <v>15</v>
      </c>
      <c r="D5704" t="s" s="2">
        <v>16</v>
      </c>
      <c r="E5704" t="s" s="2">
        <v>17</v>
      </c>
      <c r="F5704" t="s" s="2">
        <f>HYPERLINK("http://ts.21cn.com/tousu/show/id/1367878","http://ts.21cn.com/tousu/show/id/1367878")</f>
      </c>
      <c r="G5704" t="s" s="2">
        <v>17</v>
      </c>
      <c r="H5704" t="s" s="2">
        <v>19</v>
      </c>
      <c r="I5704" t="s" s="2">
        <v>22102</v>
      </c>
      <c r="J5704" t="s" s="2">
        <v>22103</v>
      </c>
      <c r="K5704" t="s" s="2">
        <v>22</v>
      </c>
      <c r="L5704" t="s" s="2">
        <v>22</v>
      </c>
      <c r="M5704" t="s" s="2">
        <v>22</v>
      </c>
    </row>
    <row r="5705" ht="25.0" customHeight="true">
      <c r="A5705" t="s" s="2">
        <v>13</v>
      </c>
      <c r="B5705" t="s" s="2">
        <f>HYPERLINK("http://ts.21cn.com/tousu/show/id/1367877","情人花乱扣钱")</f>
      </c>
      <c r="C5705" t="s" s="2">
        <v>15</v>
      </c>
      <c r="D5705" t="s" s="2">
        <v>16</v>
      </c>
      <c r="E5705" t="s" s="2">
        <v>17</v>
      </c>
      <c r="F5705" t="s" s="2">
        <f>HYPERLINK("http://ts.21cn.com/tousu/show/id/1367877","http://ts.21cn.com/tousu/show/id/1367877")</f>
      </c>
      <c r="G5705" t="s" s="2">
        <v>17</v>
      </c>
      <c r="H5705" t="s" s="2">
        <v>19</v>
      </c>
      <c r="I5705" t="s" s="2">
        <v>22106</v>
      </c>
      <c r="J5705" t="s" s="2">
        <v>22107</v>
      </c>
      <c r="K5705" t="s" s="2">
        <v>22</v>
      </c>
      <c r="L5705" t="s" s="2">
        <v>22</v>
      </c>
      <c r="M5705" t="s" s="2">
        <v>22</v>
      </c>
    </row>
    <row r="5706" ht="25.0" customHeight="true">
      <c r="A5706" t="s" s="2">
        <v>13</v>
      </c>
      <c r="B5706" t="s" s="2">
        <f>HYPERLINK("http://ts.21cn.com/tousu/show/id/1367876","御剑飞行强行放款高利贷")</f>
      </c>
      <c r="C5706" t="s" s="2">
        <v>15</v>
      </c>
      <c r="D5706" t="s" s="2">
        <v>16</v>
      </c>
      <c r="E5706" t="s" s="2">
        <v>17</v>
      </c>
      <c r="F5706" t="s" s="2">
        <f>HYPERLINK("http://ts.21cn.com/tousu/show/id/1367876","http://ts.21cn.com/tousu/show/id/1367876")</f>
      </c>
      <c r="G5706" t="s" s="2">
        <v>17</v>
      </c>
      <c r="H5706" t="s" s="2">
        <v>19</v>
      </c>
      <c r="I5706" t="s" s="2">
        <v>22110</v>
      </c>
      <c r="J5706" t="s" s="2">
        <v>22111</v>
      </c>
      <c r="K5706" t="s" s="2">
        <v>22</v>
      </c>
      <c r="L5706" t="s" s="2">
        <v>22</v>
      </c>
      <c r="M5706" t="s" s="2">
        <v>22</v>
      </c>
    </row>
    <row r="5707" ht="25.0" customHeight="true">
      <c r="A5707" t="s" s="2">
        <v>13</v>
      </c>
      <c r="B5707" t="s" s="2">
        <f>HYPERLINK("http://ts.21cn.com/tousu/show/id/1367875","壹心分期高额砍头息套路贷连连支付纵容套路贷")</f>
      </c>
      <c r="C5707" t="s" s="2">
        <v>15</v>
      </c>
      <c r="D5707" t="s" s="2">
        <v>16</v>
      </c>
      <c r="E5707" t="s" s="2">
        <v>17</v>
      </c>
      <c r="F5707" t="s" s="2">
        <f>HYPERLINK("http://ts.21cn.com/tousu/show/id/1367875","http://ts.21cn.com/tousu/show/id/1367875")</f>
      </c>
      <c r="G5707" t="s" s="2">
        <v>17</v>
      </c>
      <c r="H5707" t="s" s="2">
        <v>19</v>
      </c>
      <c r="I5707" t="s" s="2">
        <v>22114</v>
      </c>
      <c r="J5707" t="s" s="2">
        <v>22115</v>
      </c>
      <c r="K5707" t="s" s="2">
        <v>22</v>
      </c>
      <c r="L5707" t="s" s="2">
        <v>22</v>
      </c>
      <c r="M5707" t="s" s="2">
        <v>22</v>
      </c>
    </row>
    <row r="5708" ht="25.0" customHeight="true">
      <c r="A5708" t="s" s="2">
        <v>13</v>
      </c>
      <c r="B5708" t="s" s="2">
        <f>HYPERLINK("http://ts.21cn.com/tousu/show/id/1367874","立借高利贷")</f>
      </c>
      <c r="C5708" t="s" s="2">
        <v>15</v>
      </c>
      <c r="D5708" t="s" s="2">
        <v>16</v>
      </c>
      <c r="E5708" t="s" s="2">
        <v>17</v>
      </c>
      <c r="F5708" t="s" s="2">
        <f>HYPERLINK("http://ts.21cn.com/tousu/show/id/1367874","http://ts.21cn.com/tousu/show/id/1367874")</f>
      </c>
      <c r="G5708" t="s" s="2">
        <v>17</v>
      </c>
      <c r="H5708" t="s" s="2">
        <v>19</v>
      </c>
      <c r="I5708" t="s" s="2">
        <v>22117</v>
      </c>
      <c r="J5708" t="s" s="2">
        <v>22118</v>
      </c>
      <c r="K5708" t="s" s="2">
        <v>22</v>
      </c>
      <c r="L5708" t="s" s="2">
        <v>22</v>
      </c>
      <c r="M5708" t="s" s="2">
        <v>22</v>
      </c>
    </row>
    <row r="5709" ht="25.0" customHeight="true">
      <c r="A5709" t="s" s="2">
        <v>13</v>
      </c>
      <c r="B5709" t="s" s="2">
        <f>HYPERLINK("http://ts.21cn.com/tousu/show/id/1367873","闪银客服不回复催收无法沟通")</f>
      </c>
      <c r="C5709" t="s" s="2">
        <v>15</v>
      </c>
      <c r="D5709" t="s" s="2">
        <v>16</v>
      </c>
      <c r="E5709" t="s" s="2">
        <v>17</v>
      </c>
      <c r="F5709" t="s" s="2">
        <f>HYPERLINK("http://ts.21cn.com/tousu/show/id/1367873","http://ts.21cn.com/tousu/show/id/1367873")</f>
      </c>
      <c r="G5709" t="s" s="2">
        <v>17</v>
      </c>
      <c r="H5709" t="s" s="2">
        <v>19</v>
      </c>
      <c r="I5709" t="s" s="2">
        <v>22121</v>
      </c>
      <c r="J5709" t="s" s="2">
        <v>22122</v>
      </c>
      <c r="K5709" t="s" s="2">
        <v>22</v>
      </c>
      <c r="L5709" t="s" s="2">
        <v>22</v>
      </c>
      <c r="M5709" t="s" s="2">
        <v>22</v>
      </c>
    </row>
    <row r="5710" ht="25.0" customHeight="true">
      <c r="A5710" t="s" s="2">
        <v>13</v>
      </c>
      <c r="B5710" t="s" s="2">
        <f>HYPERLINK("http://ts.21cn.com/tousu/show/id/1367872","左右钱包高利贷，汇潮支付协助放款")</f>
      </c>
      <c r="C5710" t="s" s="2">
        <v>15</v>
      </c>
      <c r="D5710" t="s" s="2">
        <v>16</v>
      </c>
      <c r="E5710" t="s" s="2">
        <v>17</v>
      </c>
      <c r="F5710" t="s" s="2">
        <f>HYPERLINK("http://ts.21cn.com/tousu/show/id/1367872","http://ts.21cn.com/tousu/show/id/1367872")</f>
      </c>
      <c r="G5710" t="s" s="2">
        <v>17</v>
      </c>
      <c r="H5710" t="s" s="2">
        <v>19</v>
      </c>
      <c r="I5710" t="s" s="2">
        <v>22125</v>
      </c>
      <c r="J5710" t="s" s="2">
        <v>22126</v>
      </c>
      <c r="K5710" t="s" s="2">
        <v>22</v>
      </c>
      <c r="L5710" t="s" s="2">
        <v>22</v>
      </c>
      <c r="M5710" t="s" s="2">
        <v>22</v>
      </c>
    </row>
    <row r="5711" ht="25.0" customHeight="true">
      <c r="A5711" t="s" s="2">
        <v>13</v>
      </c>
      <c r="B5711" t="s" s="2">
        <f>HYPERLINK("http://ts.21cn.com/tousu/show/id/1367871","立借平台利息高以及暴力催收")</f>
      </c>
      <c r="C5711" t="s" s="2">
        <v>15</v>
      </c>
      <c r="D5711" t="s" s="2">
        <v>16</v>
      </c>
      <c r="E5711" t="s" s="2">
        <v>17</v>
      </c>
      <c r="F5711" t="s" s="2">
        <f>HYPERLINK("http://ts.21cn.com/tousu/show/id/1367871","http://ts.21cn.com/tousu/show/id/1367871")</f>
      </c>
      <c r="G5711" t="s" s="2">
        <v>17</v>
      </c>
      <c r="H5711" t="s" s="2">
        <v>19</v>
      </c>
      <c r="I5711" t="s" s="2">
        <v>22129</v>
      </c>
      <c r="J5711" t="s" s="2">
        <v>22130</v>
      </c>
      <c r="K5711" t="s" s="2">
        <v>22</v>
      </c>
      <c r="L5711" t="s" s="2">
        <v>22</v>
      </c>
      <c r="M5711" t="s" s="2">
        <v>22</v>
      </c>
    </row>
    <row r="5712" ht="25.0" customHeight="true">
      <c r="A5712" t="s" s="2">
        <v>13</v>
      </c>
      <c r="B5712" t="s" s="2">
        <f>HYPERLINK("http://ts.21cn.com/tousu/show/id/1367869","月光侠分期超利贷阴阳合同")</f>
      </c>
      <c r="C5712" t="s" s="2">
        <v>15</v>
      </c>
      <c r="D5712" t="s" s="2">
        <v>16</v>
      </c>
      <c r="E5712" t="s" s="2">
        <v>17</v>
      </c>
      <c r="F5712" t="s" s="2">
        <f>HYPERLINK("http://ts.21cn.com/tousu/show/id/1367869","http://ts.21cn.com/tousu/show/id/1367869")</f>
      </c>
      <c r="G5712" t="s" s="2">
        <v>17</v>
      </c>
      <c r="H5712" t="s" s="2">
        <v>19</v>
      </c>
      <c r="I5712" t="s" s="2">
        <v>22133</v>
      </c>
      <c r="J5712" t="s" s="2">
        <v>22134</v>
      </c>
      <c r="K5712" t="s" s="2">
        <v>22</v>
      </c>
      <c r="L5712" t="s" s="2">
        <v>22</v>
      </c>
      <c r="M5712" t="s" s="2">
        <v>22</v>
      </c>
    </row>
    <row r="5713" ht="25.0" customHeight="true">
      <c r="A5713" t="s" s="2">
        <v>13</v>
      </c>
      <c r="B5713" t="s" s="2">
        <f>HYPERLINK("http://ts.21cn.com/tousu/show/id/1367868","滴滴随意扣分")</f>
      </c>
      <c r="C5713" t="s" s="2">
        <v>15</v>
      </c>
      <c r="D5713" t="s" s="2">
        <v>16</v>
      </c>
      <c r="E5713" t="s" s="2">
        <v>17</v>
      </c>
      <c r="F5713" t="s" s="2">
        <f>HYPERLINK("http://ts.21cn.com/tousu/show/id/1367868","http://ts.21cn.com/tousu/show/id/1367868")</f>
      </c>
      <c r="G5713" t="s" s="2">
        <v>17</v>
      </c>
      <c r="H5713" t="s" s="2">
        <v>19</v>
      </c>
      <c r="I5713" t="s" s="2">
        <v>22137</v>
      </c>
      <c r="J5713" t="s" s="2">
        <v>22138</v>
      </c>
      <c r="K5713" t="s" s="2">
        <v>22</v>
      </c>
      <c r="L5713" t="s" s="2">
        <v>22</v>
      </c>
      <c r="M5713" t="s" s="2">
        <v>22</v>
      </c>
    </row>
    <row r="5714" ht="25.0" customHeight="true">
      <c r="A5714" t="s" s="2">
        <v>13</v>
      </c>
      <c r="B5714" t="s" s="2">
        <f>HYPERLINK("http://ts.21cn.com/tousu/show/id/1367867","app进不去，自己也不代扣强制逾期。")</f>
      </c>
      <c r="C5714" t="s" s="2">
        <v>15</v>
      </c>
      <c r="D5714" t="s" s="2">
        <v>16</v>
      </c>
      <c r="E5714" t="s" s="2">
        <v>17</v>
      </c>
      <c r="F5714" t="s" s="2">
        <f>HYPERLINK("http://ts.21cn.com/tousu/show/id/1367867","http://ts.21cn.com/tousu/show/id/1367867")</f>
      </c>
      <c r="G5714" t="s" s="2">
        <v>17</v>
      </c>
      <c r="H5714" t="s" s="2">
        <v>19</v>
      </c>
      <c r="I5714" t="s" s="2">
        <v>22141</v>
      </c>
      <c r="J5714" t="s" s="2">
        <v>22142</v>
      </c>
      <c r="K5714" t="s" s="2">
        <v>22</v>
      </c>
      <c r="L5714" t="s" s="2">
        <v>22</v>
      </c>
      <c r="M5714" t="s" s="2">
        <v>22</v>
      </c>
    </row>
    <row r="5715" ht="25.0" customHeight="true">
      <c r="A5715" t="s" s="2">
        <v>13</v>
      </c>
      <c r="B5715" t="s" s="2">
        <f>HYPERLINK("http://ts.21cn.com/tousu/show/id/1367866","点点逾期六天，点点方已有三人通过微信找我，但协商无果！在我不知情的情况下，还给我朋友家人打过电话了！")</f>
      </c>
      <c r="C5715" t="s" s="2">
        <v>15</v>
      </c>
      <c r="D5715" t="s" s="2">
        <v>16</v>
      </c>
      <c r="E5715" t="s" s="2">
        <v>17</v>
      </c>
      <c r="F5715" t="s" s="2">
        <f>HYPERLINK("http://ts.21cn.com/tousu/show/id/1367866","http://ts.21cn.com/tousu/show/id/1367866")</f>
      </c>
      <c r="G5715" t="s" s="2">
        <v>17</v>
      </c>
      <c r="H5715" t="s" s="2">
        <v>19</v>
      </c>
      <c r="I5715" t="s" s="2">
        <v>22145</v>
      </c>
      <c r="J5715" t="s" s="2">
        <v>22146</v>
      </c>
      <c r="K5715" t="s" s="2">
        <v>22</v>
      </c>
      <c r="L5715" t="s" s="2">
        <v>22</v>
      </c>
      <c r="M5715" t="s" s="2">
        <v>22</v>
      </c>
    </row>
    <row r="5716" ht="25.0" customHeight="true">
      <c r="A5716" t="s" s="2">
        <v>13</v>
      </c>
      <c r="B5716" t="s" s="2">
        <f>HYPERLINK("http://ts.21cn.com/tousu/show/id/1367865","暴力催收.打我父母的电话辱骂我父母")</f>
      </c>
      <c r="C5716" t="s" s="2">
        <v>15</v>
      </c>
      <c r="D5716" t="s" s="2">
        <v>16</v>
      </c>
      <c r="E5716" t="s" s="2">
        <v>17</v>
      </c>
      <c r="F5716" t="s" s="2">
        <f>HYPERLINK("http://ts.21cn.com/tousu/show/id/1367865","http://ts.21cn.com/tousu/show/id/1367865")</f>
      </c>
      <c r="G5716" t="s" s="2">
        <v>17</v>
      </c>
      <c r="H5716" t="s" s="2">
        <v>19</v>
      </c>
      <c r="I5716" t="s" s="2">
        <v>22149</v>
      </c>
      <c r="J5716" t="s" s="2">
        <v>22150</v>
      </c>
      <c r="K5716" t="s" s="2">
        <v>22</v>
      </c>
      <c r="L5716" t="s" s="2">
        <v>22</v>
      </c>
      <c r="M5716" t="s" s="2">
        <v>22</v>
      </c>
    </row>
    <row r="5717" ht="25.0" customHeight="true">
      <c r="A5717" t="s" s="2">
        <v>13</v>
      </c>
      <c r="B5717" t="s" s="2">
        <f>HYPERLINK("http://ts.21cn.com/tousu/show/id/1367864","一个自导自演的垃圾APP说我在你那借钱你连我的信息都提供不了。还被银监会监管？你怎么那么能呢？怎么不被公安局监管？")</f>
      </c>
      <c r="C5717" t="s" s="2">
        <v>15</v>
      </c>
      <c r="D5717" t="s" s="2">
        <v>16</v>
      </c>
      <c r="E5717" t="s" s="2">
        <v>17</v>
      </c>
      <c r="F5717" t="s" s="2">
        <f>HYPERLINK("http://ts.21cn.com/tousu/show/id/1367864","http://ts.21cn.com/tousu/show/id/1367864")</f>
      </c>
      <c r="G5717" t="s" s="2">
        <v>17</v>
      </c>
      <c r="H5717" t="s" s="2">
        <v>19</v>
      </c>
      <c r="I5717" t="s" s="2">
        <v>22153</v>
      </c>
      <c r="J5717" t="s" s="2">
        <v>22154</v>
      </c>
      <c r="K5717" t="s" s="2">
        <v>22</v>
      </c>
      <c r="L5717" t="s" s="2">
        <v>22</v>
      </c>
      <c r="M5717" t="s" s="2">
        <v>22</v>
      </c>
    </row>
    <row r="5718" ht="25.0" customHeight="true">
      <c r="A5718" t="s" s="2">
        <v>13</v>
      </c>
      <c r="B5718" t="s" s="2">
        <f>HYPERLINK("http://ts.21cn.com/tousu/show/id/1367863","比财一直不到账")</f>
      </c>
      <c r="C5718" t="s" s="2">
        <v>15</v>
      </c>
      <c r="D5718" t="s" s="2">
        <v>16</v>
      </c>
      <c r="E5718" t="s" s="2">
        <v>17</v>
      </c>
      <c r="F5718" t="s" s="2">
        <f>HYPERLINK("http://ts.21cn.com/tousu/show/id/1367863","http://ts.21cn.com/tousu/show/id/1367863")</f>
      </c>
      <c r="G5718" t="s" s="2">
        <v>17</v>
      </c>
      <c r="H5718" t="s" s="2">
        <v>19</v>
      </c>
      <c r="I5718" t="s" s="2">
        <v>22157</v>
      </c>
      <c r="J5718" t="s" s="2">
        <v>22158</v>
      </c>
      <c r="K5718" t="s" s="2">
        <v>22</v>
      </c>
      <c r="L5718" t="s" s="2">
        <v>22</v>
      </c>
      <c r="M5718" t="s" s="2">
        <v>22</v>
      </c>
    </row>
    <row r="5719" ht="25.0" customHeight="true">
      <c r="A5719" t="s" s="2">
        <v>13</v>
      </c>
      <c r="B5719" t="s" s="2">
        <f>HYPERLINK("http://ts.21cn.com/tousu/show/id/1367862","名校贷拒不退还所谓的“咨询费”即砍头息")</f>
      </c>
      <c r="C5719" t="s" s="2">
        <v>15</v>
      </c>
      <c r="D5719" t="s" s="2">
        <v>16</v>
      </c>
      <c r="E5719" t="s" s="2">
        <v>17</v>
      </c>
      <c r="F5719" t="s" s="2">
        <f>HYPERLINK("http://ts.21cn.com/tousu/show/id/1367862","http://ts.21cn.com/tousu/show/id/1367862")</f>
      </c>
      <c r="G5719" t="s" s="2">
        <v>17</v>
      </c>
      <c r="H5719" t="s" s="2">
        <v>19</v>
      </c>
      <c r="I5719" t="s" s="2">
        <v>22161</v>
      </c>
      <c r="J5719" t="s" s="2">
        <v>22162</v>
      </c>
      <c r="K5719" t="s" s="2">
        <v>22</v>
      </c>
      <c r="L5719" t="s" s="2">
        <v>22</v>
      </c>
      <c r="M5719" t="s" s="2">
        <v>22</v>
      </c>
    </row>
    <row r="5720" ht="25.0" customHeight="true">
      <c r="A5720" t="s" s="2">
        <v>13</v>
      </c>
      <c r="B5720" t="s" s="2">
        <f>HYPERLINK("http://ts.21cn.com/tousu/show/id/1367861","马上金融无缘无故冻结我额度")</f>
      </c>
      <c r="C5720" t="s" s="2">
        <v>15</v>
      </c>
      <c r="D5720" t="s" s="2">
        <v>16</v>
      </c>
      <c r="E5720" t="s" s="2">
        <v>17</v>
      </c>
      <c r="F5720" t="s" s="2">
        <f>HYPERLINK("http://ts.21cn.com/tousu/show/id/1367861","http://ts.21cn.com/tousu/show/id/1367861")</f>
      </c>
      <c r="G5720" t="s" s="2">
        <v>17</v>
      </c>
      <c r="H5720" t="s" s="2">
        <v>19</v>
      </c>
      <c r="I5720" t="s" s="2">
        <v>22165</v>
      </c>
      <c r="J5720" t="s" s="2">
        <v>22166</v>
      </c>
      <c r="K5720" t="s" s="2">
        <v>22</v>
      </c>
      <c r="L5720" t="s" s="2">
        <v>22</v>
      </c>
      <c r="M5720" t="s" s="2">
        <v>22</v>
      </c>
    </row>
    <row r="5721" ht="25.0" customHeight="true">
      <c r="A5721" t="s" s="2">
        <v>13</v>
      </c>
      <c r="B5721" t="s" s="2">
        <f>HYPERLINK("http://ts.21cn.com/tousu/show/id/1367860","一秒陛下高利贷，汇潮支付协助放款")</f>
      </c>
      <c r="C5721" t="s" s="2">
        <v>15</v>
      </c>
      <c r="D5721" t="s" s="2">
        <v>16</v>
      </c>
      <c r="E5721" t="s" s="2">
        <v>17</v>
      </c>
      <c r="F5721" t="s" s="2">
        <f>HYPERLINK("http://ts.21cn.com/tousu/show/id/1367860","http://ts.21cn.com/tousu/show/id/1367860")</f>
      </c>
      <c r="G5721" t="s" s="2">
        <v>17</v>
      </c>
      <c r="H5721" t="s" s="2">
        <v>19</v>
      </c>
      <c r="I5721" t="s" s="2">
        <v>22169</v>
      </c>
      <c r="J5721" t="s" s="2">
        <v>22170</v>
      </c>
      <c r="K5721" t="s" s="2">
        <v>22</v>
      </c>
      <c r="L5721" t="s" s="2">
        <v>22</v>
      </c>
      <c r="M5721" t="s" s="2">
        <v>22</v>
      </c>
    </row>
    <row r="5722" ht="25.0" customHeight="true">
      <c r="A5722" t="s" s="2">
        <v>13</v>
      </c>
      <c r="B5722" t="s" s="2">
        <f>HYPERLINK("http://ts.21cn.com/tousu/show/id/1367858","小鱼儿高利贷暴力催收言语威胁")</f>
      </c>
      <c r="C5722" t="s" s="2">
        <v>15</v>
      </c>
      <c r="D5722" t="s" s="2">
        <v>16</v>
      </c>
      <c r="E5722" t="s" s="2">
        <v>17</v>
      </c>
      <c r="F5722" t="s" s="2">
        <f>HYPERLINK("http://ts.21cn.com/tousu/show/id/1367858","http://ts.21cn.com/tousu/show/id/1367858")</f>
      </c>
      <c r="G5722" t="s" s="2">
        <v>17</v>
      </c>
      <c r="H5722" t="s" s="2">
        <v>19</v>
      </c>
      <c r="I5722" t="s" s="2">
        <v>22173</v>
      </c>
      <c r="J5722" t="s" s="2">
        <v>22174</v>
      </c>
      <c r="K5722" t="s" s="2">
        <v>22</v>
      </c>
      <c r="L5722" t="s" s="2">
        <v>22</v>
      </c>
      <c r="M5722" t="s" s="2">
        <v>22</v>
      </c>
    </row>
    <row r="5723" ht="25.0" customHeight="true">
      <c r="A5723" t="s" s="2">
        <v>13</v>
      </c>
      <c r="B5723" t="s" s="2">
        <f>HYPERLINK("http://ts.21cn.com/tousu/show/id/1367857","京东白条提前扣款")</f>
      </c>
      <c r="C5723" t="s" s="2">
        <v>52</v>
      </c>
      <c r="D5723" t="s" s="2">
        <v>16</v>
      </c>
      <c r="E5723" t="s" s="2">
        <v>17</v>
      </c>
      <c r="F5723" t="s" s="2">
        <f>HYPERLINK("http://ts.21cn.com/tousu/show/id/1367857","http://ts.21cn.com/tousu/show/id/1367857")</f>
      </c>
      <c r="G5723" t="s" s="2">
        <v>17</v>
      </c>
      <c r="H5723" t="s" s="2">
        <v>19</v>
      </c>
      <c r="I5723" t="s" s="2">
        <v>22177</v>
      </c>
      <c r="J5723" t="s" s="2">
        <v>22178</v>
      </c>
      <c r="K5723" t="s" s="2">
        <v>22</v>
      </c>
      <c r="L5723" t="s" s="2">
        <v>22</v>
      </c>
      <c r="M5723" t="s" s="2">
        <v>22</v>
      </c>
    </row>
    <row r="5724" ht="25.0" customHeight="true">
      <c r="A5724" t="s" s="2">
        <v>13</v>
      </c>
      <c r="B5724" t="s" s="2">
        <f>HYPERLINK("http://ts.21cn.com/tousu/show/id/1367856","违规为非法商户提供结算")</f>
      </c>
      <c r="C5724" t="s" s="2">
        <v>15</v>
      </c>
      <c r="D5724" t="s" s="2">
        <v>16</v>
      </c>
      <c r="E5724" t="s" s="2">
        <v>17</v>
      </c>
      <c r="F5724" t="s" s="2">
        <f>HYPERLINK("http://ts.21cn.com/tousu/show/id/1367856","http://ts.21cn.com/tousu/show/id/1367856")</f>
      </c>
      <c r="G5724" t="s" s="2">
        <v>17</v>
      </c>
      <c r="H5724" t="s" s="2">
        <v>19</v>
      </c>
      <c r="I5724" t="s" s="2">
        <v>22180</v>
      </c>
      <c r="J5724" t="s" s="2">
        <v>22181</v>
      </c>
      <c r="K5724" t="s" s="2">
        <v>22</v>
      </c>
      <c r="L5724" t="s" s="2">
        <v>22</v>
      </c>
      <c r="M5724" t="s" s="2">
        <v>22</v>
      </c>
    </row>
    <row r="5725" ht="25.0" customHeight="true">
      <c r="A5725" t="s" s="2">
        <v>13</v>
      </c>
      <c r="B5725" t="s" s="2">
        <f>HYPERLINK("http://ts.21cn.com/tousu/show/id/1367855","搜电共享充电宝乱扣费")</f>
      </c>
      <c r="C5725" t="s" s="2">
        <v>15</v>
      </c>
      <c r="D5725" t="s" s="2">
        <v>16</v>
      </c>
      <c r="E5725" t="s" s="2">
        <v>17</v>
      </c>
      <c r="F5725" t="s" s="2">
        <f>HYPERLINK("http://ts.21cn.com/tousu/show/id/1367855","http://ts.21cn.com/tousu/show/id/1367855")</f>
      </c>
      <c r="G5725" t="s" s="2">
        <v>17</v>
      </c>
      <c r="H5725" t="s" s="2">
        <v>19</v>
      </c>
      <c r="I5725" t="s" s="2">
        <v>22184</v>
      </c>
      <c r="J5725" t="s" s="2">
        <v>22185</v>
      </c>
      <c r="K5725" t="s" s="2">
        <v>22</v>
      </c>
      <c r="L5725" t="s" s="2">
        <v>22</v>
      </c>
      <c r="M5725" t="s" s="2">
        <v>22</v>
      </c>
    </row>
    <row r="5726" ht="25.0" customHeight="true">
      <c r="A5726" t="s" s="2">
        <v>13</v>
      </c>
      <c r="B5726" t="s" s="2">
        <f>HYPERLINK("http://ts.21cn.com/tousu/show/id/1367854","快递延误，未经我同意发往监察部")</f>
      </c>
      <c r="C5726" t="s" s="2">
        <v>15</v>
      </c>
      <c r="D5726" t="s" s="2">
        <v>16</v>
      </c>
      <c r="E5726" t="s" s="2">
        <v>17</v>
      </c>
      <c r="F5726" t="s" s="2">
        <f>HYPERLINK("http://ts.21cn.com/tousu/show/id/1367854","http://ts.21cn.com/tousu/show/id/1367854")</f>
      </c>
      <c r="G5726" t="s" s="2">
        <v>17</v>
      </c>
      <c r="H5726" t="s" s="2">
        <v>19</v>
      </c>
      <c r="I5726" t="s" s="2">
        <v>22188</v>
      </c>
      <c r="J5726" t="s" s="2">
        <v>22189</v>
      </c>
      <c r="K5726" t="s" s="2">
        <v>22</v>
      </c>
      <c r="L5726" t="s" s="2">
        <v>22</v>
      </c>
      <c r="M5726" t="s" s="2">
        <v>22</v>
      </c>
    </row>
    <row r="5727" ht="25.0" customHeight="true">
      <c r="A5727" t="s" s="2">
        <v>13</v>
      </c>
      <c r="B5727" t="s" s="2">
        <f>HYPERLINK("http://ts.21cn.com/tousu/show/id/1367852","达飞云贷垃圾高利贷")</f>
      </c>
      <c r="C5727" t="s" s="2">
        <v>15</v>
      </c>
      <c r="D5727" t="s" s="2">
        <v>16</v>
      </c>
      <c r="E5727" t="s" s="2">
        <v>17</v>
      </c>
      <c r="F5727" t="s" s="2">
        <f>HYPERLINK("http://ts.21cn.com/tousu/show/id/1367852","http://ts.21cn.com/tousu/show/id/1367852")</f>
      </c>
      <c r="G5727" t="s" s="2">
        <v>17</v>
      </c>
      <c r="H5727" t="s" s="2">
        <v>19</v>
      </c>
      <c r="I5727" t="s" s="2">
        <v>22191</v>
      </c>
      <c r="J5727" t="s" s="2">
        <v>22192</v>
      </c>
      <c r="K5727" t="s" s="2">
        <v>22</v>
      </c>
      <c r="L5727" t="s" s="2">
        <v>22</v>
      </c>
      <c r="M5727" t="s" s="2">
        <v>22</v>
      </c>
    </row>
    <row r="5728" ht="25.0" customHeight="true">
      <c r="A5728" t="s" s="2">
        <v>13</v>
      </c>
      <c r="B5728" t="s" s="2">
        <f>HYPERLINK("http://ts.21cn.com/tousu/show/id/1367851","去花花严重存在高利贷砍头息现象")</f>
      </c>
      <c r="C5728" t="s" s="2">
        <v>15</v>
      </c>
      <c r="D5728" t="s" s="2">
        <v>16</v>
      </c>
      <c r="E5728" t="s" s="2">
        <v>17</v>
      </c>
      <c r="F5728" t="s" s="2">
        <f>HYPERLINK("http://ts.21cn.com/tousu/show/id/1367851","http://ts.21cn.com/tousu/show/id/1367851")</f>
      </c>
      <c r="G5728" t="s" s="2">
        <v>17</v>
      </c>
      <c r="H5728" t="s" s="2">
        <v>19</v>
      </c>
      <c r="I5728" t="s" s="2">
        <v>22195</v>
      </c>
      <c r="J5728" t="s" s="2">
        <v>22196</v>
      </c>
      <c r="K5728" t="s" s="2">
        <v>22</v>
      </c>
      <c r="L5728" t="s" s="2">
        <v>22</v>
      </c>
      <c r="M5728" t="s" s="2">
        <v>22</v>
      </c>
    </row>
    <row r="5729" ht="25.0" customHeight="true">
      <c r="A5729" t="s" s="2">
        <v>13</v>
      </c>
      <c r="B5729" t="s" s="2">
        <f>HYPERLINK("http://ts.21cn.com/tousu/show/id/1367850","光大银行信用卡霸王条款")</f>
      </c>
      <c r="C5729" t="s" s="2">
        <v>15</v>
      </c>
      <c r="D5729" t="s" s="2">
        <v>16</v>
      </c>
      <c r="E5729" t="s" s="2">
        <v>17</v>
      </c>
      <c r="F5729" t="s" s="2">
        <f>HYPERLINK("http://ts.21cn.com/tousu/show/id/1367850","http://ts.21cn.com/tousu/show/id/1367850")</f>
      </c>
      <c r="G5729" t="s" s="2">
        <v>17</v>
      </c>
      <c r="H5729" t="s" s="2">
        <v>19</v>
      </c>
      <c r="I5729" t="s" s="2">
        <v>22199</v>
      </c>
      <c r="J5729" t="s" s="2">
        <v>22200</v>
      </c>
      <c r="K5729" t="s" s="2">
        <v>22</v>
      </c>
      <c r="L5729" t="s" s="2">
        <v>22</v>
      </c>
      <c r="M5729" t="s" s="2">
        <v>22</v>
      </c>
    </row>
    <row r="5730" ht="25.0" customHeight="true">
      <c r="A5730" t="s" s="2">
        <v>13</v>
      </c>
      <c r="B5730" t="s" s="2">
        <f>HYPERLINK("http://ts.21cn.com/tousu/show/id/1367848","投诉贷上钱黑网贷APP")</f>
      </c>
      <c r="C5730" t="s" s="2">
        <v>15</v>
      </c>
      <c r="D5730" t="s" s="2">
        <v>16</v>
      </c>
      <c r="E5730" t="s" s="2">
        <v>17</v>
      </c>
      <c r="F5730" t="s" s="2">
        <f>HYPERLINK("http://ts.21cn.com/tousu/show/id/1367848","http://ts.21cn.com/tousu/show/id/1367848")</f>
      </c>
      <c r="G5730" t="s" s="2">
        <v>17</v>
      </c>
      <c r="H5730" t="s" s="2">
        <v>19</v>
      </c>
      <c r="I5730" t="s" s="2">
        <v>22203</v>
      </c>
      <c r="J5730" t="s" s="2">
        <v>22204</v>
      </c>
      <c r="K5730" t="s" s="2">
        <v>22</v>
      </c>
      <c r="L5730" t="s" s="2">
        <v>22</v>
      </c>
      <c r="M5730" t="s" s="2">
        <v>22</v>
      </c>
    </row>
    <row r="5731" ht="25.0" customHeight="true">
      <c r="A5731" t="s" s="2">
        <v>13</v>
      </c>
      <c r="B5731" t="s" s="2">
        <f>HYPERLINK("http://ts.21cn.com/tousu/show/id/1367849","退我私自扣款299")</f>
      </c>
      <c r="C5731" t="s" s="2">
        <v>15</v>
      </c>
      <c r="D5731" t="s" s="2">
        <v>16</v>
      </c>
      <c r="E5731" t="s" s="2">
        <v>17</v>
      </c>
      <c r="F5731" t="s" s="2">
        <f>HYPERLINK("http://ts.21cn.com/tousu/show/id/1367849","http://ts.21cn.com/tousu/show/id/1367849")</f>
      </c>
      <c r="G5731" t="s" s="2">
        <v>17</v>
      </c>
      <c r="H5731" t="s" s="2">
        <v>19</v>
      </c>
      <c r="I5731" t="s" s="2">
        <v>22203</v>
      </c>
      <c r="J5731" t="s" s="2">
        <v>22207</v>
      </c>
      <c r="K5731" t="s" s="2">
        <v>22</v>
      </c>
      <c r="L5731" t="s" s="2">
        <v>22</v>
      </c>
      <c r="M5731" t="s" s="2">
        <v>22</v>
      </c>
    </row>
    <row r="5732" ht="25.0" customHeight="true">
      <c r="A5732" t="s" s="2">
        <v>13</v>
      </c>
      <c r="B5732" t="s" s="2">
        <f>HYPERLINK("http://ts.21cn.com/tousu/show/id/1367847","水莲金条泄露个人隐私")</f>
      </c>
      <c r="C5732" t="s" s="2">
        <v>15</v>
      </c>
      <c r="D5732" t="s" s="2">
        <v>16</v>
      </c>
      <c r="E5732" t="s" s="2">
        <v>17</v>
      </c>
      <c r="F5732" t="s" s="2">
        <f>HYPERLINK("http://ts.21cn.com/tousu/show/id/1367847","http://ts.21cn.com/tousu/show/id/1367847")</f>
      </c>
      <c r="G5732" t="s" s="2">
        <v>17</v>
      </c>
      <c r="H5732" t="s" s="2">
        <v>19</v>
      </c>
      <c r="I5732" t="s" s="2">
        <v>22210</v>
      </c>
      <c r="J5732" t="s" s="2">
        <v>22211</v>
      </c>
      <c r="K5732" t="s" s="2">
        <v>22</v>
      </c>
      <c r="L5732" t="s" s="2">
        <v>22</v>
      </c>
      <c r="M5732" t="s" s="2">
        <v>22</v>
      </c>
    </row>
    <row r="5733" ht="25.0" customHeight="true">
      <c r="A5733" t="s" s="2">
        <v>13</v>
      </c>
      <c r="B5733" t="s" s="2">
        <f>HYPERLINK("http://ts.21cn.com/tousu/show/id/1367846","华农钱庄虫虫快借非法高利贷砍头息")</f>
      </c>
      <c r="C5733" t="s" s="2">
        <v>15</v>
      </c>
      <c r="D5733" t="s" s="2">
        <v>16</v>
      </c>
      <c r="E5733" t="s" s="2">
        <v>17</v>
      </c>
      <c r="F5733" t="s" s="2">
        <f>HYPERLINK("http://ts.21cn.com/tousu/show/id/1367846","http://ts.21cn.com/tousu/show/id/1367846")</f>
      </c>
      <c r="G5733" t="s" s="2">
        <v>17</v>
      </c>
      <c r="H5733" t="s" s="2">
        <v>19</v>
      </c>
      <c r="I5733" t="s" s="2">
        <v>22214</v>
      </c>
      <c r="J5733" t="s" s="2">
        <v>22215</v>
      </c>
      <c r="K5733" t="s" s="2">
        <v>22</v>
      </c>
      <c r="L5733" t="s" s="2">
        <v>22</v>
      </c>
      <c r="M5733" t="s" s="2">
        <v>22</v>
      </c>
    </row>
    <row r="5734" ht="25.0" customHeight="true">
      <c r="A5734" t="s" s="2">
        <v>13</v>
      </c>
      <c r="B5734" t="s" s="2">
        <f>HYPERLINK("http://ts.21cn.com/tousu/show/id/1367845","蚂蚁借呗花呗暴力崔收")</f>
      </c>
      <c r="C5734" t="s" s="2">
        <v>15</v>
      </c>
      <c r="D5734" t="s" s="2">
        <v>16</v>
      </c>
      <c r="E5734" t="s" s="2">
        <v>17</v>
      </c>
      <c r="F5734" t="s" s="2">
        <f>HYPERLINK("http://ts.21cn.com/tousu/show/id/1367845","http://ts.21cn.com/tousu/show/id/1367845")</f>
      </c>
      <c r="G5734" t="s" s="2">
        <v>17</v>
      </c>
      <c r="H5734" t="s" s="2">
        <v>19</v>
      </c>
      <c r="I5734" t="s" s="2">
        <v>22218</v>
      </c>
      <c r="J5734" t="s" s="2">
        <v>22219</v>
      </c>
      <c r="K5734" t="s" s="2">
        <v>22</v>
      </c>
      <c r="L5734" t="s" s="2">
        <v>22</v>
      </c>
      <c r="M5734" t="s" s="2">
        <v>22</v>
      </c>
    </row>
    <row r="5735" ht="25.0" customHeight="true">
      <c r="A5735" t="s" s="2">
        <v>13</v>
      </c>
      <c r="B5735" t="s" s="2">
        <f>HYPERLINK("http://ts.21cn.com/tousu/show/id/1367843","支付宝未网上彩票赌博平台提供充值服务")</f>
      </c>
      <c r="C5735" t="s" s="2">
        <v>15</v>
      </c>
      <c r="D5735" t="s" s="2">
        <v>16</v>
      </c>
      <c r="E5735" t="s" s="2">
        <v>17</v>
      </c>
      <c r="F5735" t="s" s="2">
        <f>HYPERLINK("http://ts.21cn.com/tousu/show/id/1367843","http://ts.21cn.com/tousu/show/id/1367843")</f>
      </c>
      <c r="G5735" t="s" s="2">
        <v>17</v>
      </c>
      <c r="H5735" t="s" s="2">
        <v>19</v>
      </c>
      <c r="I5735" t="s" s="2">
        <v>22222</v>
      </c>
      <c r="J5735" t="s" s="2">
        <v>22223</v>
      </c>
      <c r="K5735" t="s" s="2">
        <v>22</v>
      </c>
      <c r="L5735" t="s" s="2">
        <v>22</v>
      </c>
      <c r="M5735" t="s" s="2">
        <v>22</v>
      </c>
    </row>
    <row r="5736" ht="25.0" customHeight="true">
      <c r="A5736" t="s" s="2">
        <v>13</v>
      </c>
      <c r="B5736" t="s" s="2">
        <f>HYPERLINK("http://ts.21cn.com/tousu/show/id/1367842","协商还款")</f>
      </c>
      <c r="C5736" t="s" s="2">
        <v>15</v>
      </c>
      <c r="D5736" t="s" s="2">
        <v>16</v>
      </c>
      <c r="E5736" t="s" s="2">
        <v>17</v>
      </c>
      <c r="F5736" t="s" s="2">
        <f>HYPERLINK("http://ts.21cn.com/tousu/show/id/1367842","http://ts.21cn.com/tousu/show/id/1367842")</f>
      </c>
      <c r="G5736" t="s" s="2">
        <v>17</v>
      </c>
      <c r="H5736" t="s" s="2">
        <v>19</v>
      </c>
      <c r="I5736" t="s" s="2">
        <v>22225</v>
      </c>
      <c r="J5736" t="s" s="2">
        <v>22226</v>
      </c>
      <c r="K5736" t="s" s="2">
        <v>22</v>
      </c>
      <c r="L5736" t="s" s="2">
        <v>22</v>
      </c>
      <c r="M5736" t="s" s="2">
        <v>22</v>
      </c>
    </row>
    <row r="5737" ht="25.0" customHeight="true">
      <c r="A5737" t="s" s="2">
        <v>13</v>
      </c>
      <c r="B5737" t="s" s="2">
        <f>HYPERLINK("http://ts.21cn.com/tousu/show/id/1367841","米多点高利贷")</f>
      </c>
      <c r="C5737" t="s" s="2">
        <v>15</v>
      </c>
      <c r="D5737" t="s" s="2">
        <v>16</v>
      </c>
      <c r="E5737" t="s" s="2">
        <v>17</v>
      </c>
      <c r="F5737" t="s" s="2">
        <f>HYPERLINK("http://ts.21cn.com/tousu/show/id/1367841","http://ts.21cn.com/tousu/show/id/1367841")</f>
      </c>
      <c r="G5737" t="s" s="2">
        <v>17</v>
      </c>
      <c r="H5737" t="s" s="2">
        <v>19</v>
      </c>
      <c r="I5737" t="s" s="2">
        <v>22229</v>
      </c>
      <c r="J5737" t="s" s="2">
        <v>22230</v>
      </c>
      <c r="K5737" t="s" s="2">
        <v>22</v>
      </c>
      <c r="L5737" t="s" s="2">
        <v>22</v>
      </c>
      <c r="M5737" t="s" s="2">
        <v>22</v>
      </c>
    </row>
    <row r="5738" ht="25.0" customHeight="true">
      <c r="A5738" t="s" s="2">
        <v>13</v>
      </c>
      <c r="B5738" t="s" s="2">
        <f>HYPERLINK("http://ts.21cn.com/tousu/show/id/1367840","交通银行信用卡电话骚扰")</f>
      </c>
      <c r="C5738" t="s" s="2">
        <v>15</v>
      </c>
      <c r="D5738" t="s" s="2">
        <v>16</v>
      </c>
      <c r="E5738" t="s" s="2">
        <v>17</v>
      </c>
      <c r="F5738" t="s" s="2">
        <f>HYPERLINK("http://ts.21cn.com/tousu/show/id/1367840","http://ts.21cn.com/tousu/show/id/1367840")</f>
      </c>
      <c r="G5738" t="s" s="2">
        <v>17</v>
      </c>
      <c r="H5738" t="s" s="2">
        <v>19</v>
      </c>
      <c r="I5738" t="s" s="2">
        <v>22233</v>
      </c>
      <c r="J5738" t="s" s="2">
        <v>22234</v>
      </c>
      <c r="K5738" t="s" s="2">
        <v>22</v>
      </c>
      <c r="L5738" t="s" s="2">
        <v>22</v>
      </c>
      <c r="M5738" t="s" s="2">
        <v>22</v>
      </c>
    </row>
    <row r="5739" ht="25.0" customHeight="true">
      <c r="A5739" t="s" s="2">
        <v>13</v>
      </c>
      <c r="B5739" t="s" s="2">
        <f>HYPERLINK("http://ts.21cn.com/tousu/show/id/1367839","比财提现不到账")</f>
      </c>
      <c r="C5739" t="s" s="2">
        <v>15</v>
      </c>
      <c r="D5739" t="s" s="2">
        <v>16</v>
      </c>
      <c r="E5739" t="s" s="2">
        <v>17</v>
      </c>
      <c r="F5739" t="s" s="2">
        <f>HYPERLINK("http://ts.21cn.com/tousu/show/id/1367839","http://ts.21cn.com/tousu/show/id/1367839")</f>
      </c>
      <c r="G5739" t="s" s="2">
        <v>17</v>
      </c>
      <c r="H5739" t="s" s="2">
        <v>19</v>
      </c>
      <c r="I5739" t="s" s="2">
        <v>22237</v>
      </c>
      <c r="J5739" t="s" s="2">
        <v>22238</v>
      </c>
      <c r="K5739" t="s" s="2">
        <v>22</v>
      </c>
      <c r="L5739" t="s" s="2">
        <v>22</v>
      </c>
      <c r="M5739" t="s" s="2">
        <v>22</v>
      </c>
    </row>
    <row r="5740" ht="25.0" customHeight="true">
      <c r="A5740" t="s" s="2">
        <v>13</v>
      </c>
      <c r="B5740" t="s" s="2">
        <f>HYPERLINK("http://ts.21cn.com/tousu/show/id/1367838","要实事求是不要误导性宣传")</f>
      </c>
      <c r="C5740" t="s" s="2">
        <v>15</v>
      </c>
      <c r="D5740" t="s" s="2">
        <v>16</v>
      </c>
      <c r="E5740" t="s" s="2">
        <v>17</v>
      </c>
      <c r="F5740" t="s" s="2">
        <f>HYPERLINK("http://ts.21cn.com/tousu/show/id/1367838","http://ts.21cn.com/tousu/show/id/1367838")</f>
      </c>
      <c r="G5740" t="s" s="2">
        <v>17</v>
      </c>
      <c r="H5740" t="s" s="2">
        <v>19</v>
      </c>
      <c r="I5740" t="s" s="2">
        <v>22241</v>
      </c>
      <c r="J5740" t="s" s="2">
        <v>22242</v>
      </c>
      <c r="K5740" t="s" s="2">
        <v>22</v>
      </c>
      <c r="L5740" t="s" s="2">
        <v>22</v>
      </c>
      <c r="M5740" t="s" s="2">
        <v>22</v>
      </c>
    </row>
    <row r="5741" ht="25.0" customHeight="true">
      <c r="A5741" t="s" s="2">
        <v>13</v>
      </c>
      <c r="B5741" t="s" s="2">
        <f>HYPERLINK("http://ts.21cn.com/tousu/show/id/1367837","上海翰银为赌博输平台收单，请求瀚银为我退款挽回经济损失")</f>
      </c>
      <c r="C5741" t="s" s="2">
        <v>15</v>
      </c>
      <c r="D5741" t="s" s="2">
        <v>16</v>
      </c>
      <c r="E5741" t="s" s="2">
        <v>17</v>
      </c>
      <c r="F5741" t="s" s="2">
        <f>HYPERLINK("http://ts.21cn.com/tousu/show/id/1367837","http://ts.21cn.com/tousu/show/id/1367837")</f>
      </c>
      <c r="G5741" t="s" s="2">
        <v>17</v>
      </c>
      <c r="H5741" t="s" s="2">
        <v>19</v>
      </c>
      <c r="I5741" t="s" s="2">
        <v>22244</v>
      </c>
      <c r="J5741" t="s" s="2">
        <v>22245</v>
      </c>
      <c r="K5741" t="s" s="2">
        <v>22</v>
      </c>
      <c r="L5741" t="s" s="2">
        <v>22</v>
      </c>
      <c r="M5741" t="s" s="2">
        <v>22</v>
      </c>
    </row>
    <row r="5742" ht="25.0" customHeight="true">
      <c r="A5742" t="s" s="2">
        <v>13</v>
      </c>
      <c r="B5742" t="s" s="2">
        <f>HYPERLINK("http://ts.21cn.com/tousu/show/id/1367836","发布虚假广告，诱导用户缴纳会员费结果不通过，请求退还会员费")</f>
      </c>
      <c r="C5742" t="s" s="2">
        <v>15</v>
      </c>
      <c r="D5742" t="s" s="2">
        <v>16</v>
      </c>
      <c r="E5742" t="s" s="2">
        <v>17</v>
      </c>
      <c r="F5742" t="s" s="2">
        <f>HYPERLINK("http://ts.21cn.com/tousu/show/id/1367836","http://ts.21cn.com/tousu/show/id/1367836")</f>
      </c>
      <c r="G5742" t="s" s="2">
        <v>17</v>
      </c>
      <c r="H5742" t="s" s="2">
        <v>19</v>
      </c>
      <c r="I5742" t="s" s="2">
        <v>22248</v>
      </c>
      <c r="J5742" t="s" s="2">
        <v>22249</v>
      </c>
      <c r="K5742" t="s" s="2">
        <v>22</v>
      </c>
      <c r="L5742" t="s" s="2">
        <v>22</v>
      </c>
      <c r="M5742" t="s" s="2">
        <v>22</v>
      </c>
    </row>
    <row r="5743" ht="25.0" customHeight="true">
      <c r="A5743" t="s" s="2">
        <v>13</v>
      </c>
      <c r="B5743" t="s" s="2">
        <f>HYPERLINK("http://ts.21cn.com/tousu/show/id/1367835","嗨钱还款不销账")</f>
      </c>
      <c r="C5743" t="s" s="2">
        <v>15</v>
      </c>
      <c r="D5743" t="s" s="2">
        <v>16</v>
      </c>
      <c r="E5743" t="s" s="2">
        <v>17</v>
      </c>
      <c r="F5743" t="s" s="2">
        <f>HYPERLINK("http://ts.21cn.com/tousu/show/id/1367835","http://ts.21cn.com/tousu/show/id/1367835")</f>
      </c>
      <c r="G5743" t="s" s="2">
        <v>17</v>
      </c>
      <c r="H5743" t="s" s="2">
        <v>19</v>
      </c>
      <c r="I5743" t="s" s="2">
        <v>22252</v>
      </c>
      <c r="J5743" t="s" s="2">
        <v>22253</v>
      </c>
      <c r="K5743" t="s" s="2">
        <v>22</v>
      </c>
      <c r="L5743" t="s" s="2">
        <v>22</v>
      </c>
      <c r="M5743" t="s" s="2">
        <v>22</v>
      </c>
    </row>
    <row r="5744" ht="25.0" customHeight="true">
      <c r="A5744" t="s" s="2">
        <v>13</v>
      </c>
      <c r="B5744" t="s" s="2">
        <f>HYPERLINK("http://ts.21cn.com/tousu/show/id/1367834","中国建设银行无卡消费扣款")</f>
      </c>
      <c r="C5744" t="s" s="2">
        <v>15</v>
      </c>
      <c r="D5744" t="s" s="2">
        <v>16</v>
      </c>
      <c r="E5744" t="s" s="2">
        <v>17</v>
      </c>
      <c r="F5744" t="s" s="2">
        <f>HYPERLINK("http://ts.21cn.com/tousu/show/id/1367834","http://ts.21cn.com/tousu/show/id/1367834")</f>
      </c>
      <c r="G5744" t="s" s="2">
        <v>17</v>
      </c>
      <c r="H5744" t="s" s="2">
        <v>19</v>
      </c>
      <c r="I5744" t="s" s="2">
        <v>22256</v>
      </c>
      <c r="J5744" t="s" s="2">
        <v>22257</v>
      </c>
      <c r="K5744" t="s" s="2">
        <v>22</v>
      </c>
      <c r="L5744" t="s" s="2">
        <v>22</v>
      </c>
      <c r="M5744" t="s" s="2">
        <v>22</v>
      </c>
    </row>
    <row r="5745" ht="25.0" customHeight="true">
      <c r="A5745" t="s" s="2">
        <v>13</v>
      </c>
      <c r="B5745" t="s" s="2">
        <f>HYPERLINK("http://ts.21cn.com/tousu/show/id/1367833","恐吓短信")</f>
      </c>
      <c r="C5745" t="s" s="2">
        <v>15</v>
      </c>
      <c r="D5745" t="s" s="2">
        <v>16</v>
      </c>
      <c r="E5745" t="s" s="2">
        <v>17</v>
      </c>
      <c r="F5745" t="s" s="2">
        <f>HYPERLINK("http://ts.21cn.com/tousu/show/id/1367833","http://ts.21cn.com/tousu/show/id/1367833")</f>
      </c>
      <c r="G5745" t="s" s="2">
        <v>17</v>
      </c>
      <c r="H5745" t="s" s="2">
        <v>19</v>
      </c>
      <c r="I5745" t="s" s="2">
        <v>22260</v>
      </c>
      <c r="J5745" t="s" s="2">
        <v>22261</v>
      </c>
      <c r="K5745" t="s" s="2">
        <v>22</v>
      </c>
      <c r="L5745" t="s" s="2">
        <v>22</v>
      </c>
      <c r="M5745" t="s" s="2">
        <v>22</v>
      </c>
    </row>
    <row r="5746" ht="25.0" customHeight="true">
      <c r="A5746" t="s" s="2">
        <v>13</v>
      </c>
      <c r="B5746" t="s" s="2">
        <f>HYPERLINK("http://ts.21cn.com/tousu/show/id/1367832","我主良缘欺诈消费")</f>
      </c>
      <c r="C5746" t="s" s="2">
        <v>15</v>
      </c>
      <c r="D5746" t="s" s="2">
        <v>16</v>
      </c>
      <c r="E5746" t="s" s="2">
        <v>17</v>
      </c>
      <c r="F5746" t="s" s="2">
        <f>HYPERLINK("http://ts.21cn.com/tousu/show/id/1367832","http://ts.21cn.com/tousu/show/id/1367832")</f>
      </c>
      <c r="G5746" t="s" s="2">
        <v>17</v>
      </c>
      <c r="H5746" t="s" s="2">
        <v>19</v>
      </c>
      <c r="I5746" t="s" s="2">
        <v>22264</v>
      </c>
      <c r="J5746" t="s" s="2">
        <v>22265</v>
      </c>
      <c r="K5746" t="s" s="2">
        <v>22</v>
      </c>
      <c r="L5746" t="s" s="2">
        <v>22</v>
      </c>
      <c r="M5746" t="s" s="2">
        <v>22</v>
      </c>
    </row>
    <row r="5747" ht="25.0" customHeight="true">
      <c r="A5747" t="s" s="2">
        <v>13</v>
      </c>
      <c r="B5747" t="s" s="2">
        <f>HYPERLINK("http://ts.21cn.com/tousu/show/id/1367831","涉嫌阴阳合同，骚扰家人朋友")</f>
      </c>
      <c r="C5747" t="s" s="2">
        <v>15</v>
      </c>
      <c r="D5747" t="s" s="2">
        <v>16</v>
      </c>
      <c r="E5747" t="s" s="2">
        <v>17</v>
      </c>
      <c r="F5747" t="s" s="2">
        <f>HYPERLINK("http://ts.21cn.com/tousu/show/id/1367831","http://ts.21cn.com/tousu/show/id/1367831")</f>
      </c>
      <c r="G5747" t="s" s="2">
        <v>17</v>
      </c>
      <c r="H5747" t="s" s="2">
        <v>19</v>
      </c>
      <c r="I5747" t="s" s="2">
        <v>22268</v>
      </c>
      <c r="J5747" t="s" s="2">
        <v>22269</v>
      </c>
      <c r="K5747" t="s" s="2">
        <v>22</v>
      </c>
      <c r="L5747" t="s" s="2">
        <v>22</v>
      </c>
      <c r="M5747" t="s" s="2">
        <v>22</v>
      </c>
    </row>
    <row r="5748" ht="25.0" customHeight="true">
      <c r="A5748" t="s" s="2">
        <v>13</v>
      </c>
      <c r="B5748" t="s" s="2">
        <f>HYPERLINK("http://ts.21cn.com/tousu/show/id/1367830","锁定帐号，愈期一天开始电话短信骚扰")</f>
      </c>
      <c r="C5748" t="s" s="2">
        <v>15</v>
      </c>
      <c r="D5748" t="s" s="2">
        <v>16</v>
      </c>
      <c r="E5748" t="s" s="2">
        <v>17</v>
      </c>
      <c r="F5748" t="s" s="2">
        <f>HYPERLINK("http://ts.21cn.com/tousu/show/id/1367830","http://ts.21cn.com/tousu/show/id/1367830")</f>
      </c>
      <c r="G5748" t="s" s="2">
        <v>17</v>
      </c>
      <c r="H5748" t="s" s="2">
        <v>19</v>
      </c>
      <c r="I5748" t="s" s="2">
        <v>22272</v>
      </c>
      <c r="J5748" t="s" s="2">
        <v>22273</v>
      </c>
      <c r="K5748" t="s" s="2">
        <v>22</v>
      </c>
      <c r="L5748" t="s" s="2">
        <v>22</v>
      </c>
      <c r="M5748" t="s" s="2">
        <v>22</v>
      </c>
    </row>
    <row r="5749" ht="25.0" customHeight="true">
      <c r="A5749" t="s" s="2">
        <v>13</v>
      </c>
      <c r="B5749" t="s" s="2">
        <f>HYPERLINK("http://ts.21cn.com/tousu/show/id/1367829","比财提现一直不到账")</f>
      </c>
      <c r="C5749" t="s" s="2">
        <v>15</v>
      </c>
      <c r="D5749" t="s" s="2">
        <v>16</v>
      </c>
      <c r="E5749" t="s" s="2">
        <v>17</v>
      </c>
      <c r="F5749" t="s" s="2">
        <f>HYPERLINK("http://ts.21cn.com/tousu/show/id/1367829","http://ts.21cn.com/tousu/show/id/1367829")</f>
      </c>
      <c r="G5749" t="s" s="2">
        <v>17</v>
      </c>
      <c r="H5749" t="s" s="2">
        <v>19</v>
      </c>
      <c r="I5749" t="s" s="2">
        <v>22276</v>
      </c>
      <c r="J5749" t="s" s="2">
        <v>22277</v>
      </c>
      <c r="K5749" t="s" s="2">
        <v>22</v>
      </c>
      <c r="L5749" t="s" s="2">
        <v>22</v>
      </c>
      <c r="M5749" t="s" s="2">
        <v>22</v>
      </c>
    </row>
    <row r="5750" ht="25.0" customHeight="true">
      <c r="A5750" t="s" s="2">
        <v>13</v>
      </c>
      <c r="B5750" t="s" s="2">
        <f>HYPERLINK("http://ts.21cn.com/tousu/show/id/1367827","高利贷阴阳合同")</f>
      </c>
      <c r="C5750" t="s" s="2">
        <v>15</v>
      </c>
      <c r="D5750" t="s" s="2">
        <v>16</v>
      </c>
      <c r="E5750" t="s" s="2">
        <v>17</v>
      </c>
      <c r="F5750" t="s" s="2">
        <f>HYPERLINK("http://ts.21cn.com/tousu/show/id/1367827","http://ts.21cn.com/tousu/show/id/1367827")</f>
      </c>
      <c r="G5750" t="s" s="2">
        <v>17</v>
      </c>
      <c r="H5750" t="s" s="2">
        <v>19</v>
      </c>
      <c r="I5750" t="s" s="2">
        <v>22279</v>
      </c>
      <c r="J5750" t="s" s="2">
        <v>22280</v>
      </c>
      <c r="K5750" t="s" s="2">
        <v>22</v>
      </c>
      <c r="L5750" t="s" s="2">
        <v>22</v>
      </c>
      <c r="M5750" t="s" s="2">
        <v>22</v>
      </c>
    </row>
    <row r="5751" ht="25.0" customHeight="true">
      <c r="A5751" t="s" s="2">
        <v>13</v>
      </c>
      <c r="B5751" t="s" s="2">
        <f>HYPERLINK("http://ts.21cn.com/tousu/show/id/1367826","网贷逾期电话催收")</f>
      </c>
      <c r="C5751" t="s" s="2">
        <v>15</v>
      </c>
      <c r="D5751" t="s" s="2">
        <v>16</v>
      </c>
      <c r="E5751" t="s" s="2">
        <v>17</v>
      </c>
      <c r="F5751" t="s" s="2">
        <f>HYPERLINK("http://ts.21cn.com/tousu/show/id/1367826","http://ts.21cn.com/tousu/show/id/1367826")</f>
      </c>
      <c r="G5751" t="s" s="2">
        <v>17</v>
      </c>
      <c r="H5751" t="s" s="2">
        <v>19</v>
      </c>
      <c r="I5751" t="s" s="2">
        <v>22283</v>
      </c>
      <c r="J5751" t="s" s="2">
        <v>22284</v>
      </c>
      <c r="K5751" t="s" s="2">
        <v>22</v>
      </c>
      <c r="L5751" t="s" s="2">
        <v>22</v>
      </c>
      <c r="M5751" t="s" s="2">
        <v>22</v>
      </c>
    </row>
    <row r="5752" ht="25.0" customHeight="true">
      <c r="A5752" t="s" s="2">
        <v>13</v>
      </c>
      <c r="B5752" t="s" s="2">
        <f>HYPERLINK("http://ts.21cn.com/tousu/show/id/1367825","凡普信恶意骚扰")</f>
      </c>
      <c r="C5752" t="s" s="2">
        <v>15</v>
      </c>
      <c r="D5752" t="s" s="2">
        <v>16</v>
      </c>
      <c r="E5752" t="s" s="2">
        <v>17</v>
      </c>
      <c r="F5752" t="s" s="2">
        <f>HYPERLINK("http://ts.21cn.com/tousu/show/id/1367825","http://ts.21cn.com/tousu/show/id/1367825")</f>
      </c>
      <c r="G5752" t="s" s="2">
        <v>17</v>
      </c>
      <c r="H5752" t="s" s="2">
        <v>19</v>
      </c>
      <c r="I5752" t="s" s="2">
        <v>22287</v>
      </c>
      <c r="J5752" t="s" s="2">
        <v>22288</v>
      </c>
      <c r="K5752" t="s" s="2">
        <v>22</v>
      </c>
      <c r="L5752" t="s" s="2">
        <v>22</v>
      </c>
      <c r="M5752" t="s" s="2">
        <v>22</v>
      </c>
    </row>
    <row r="5753" ht="25.0" customHeight="true">
      <c r="A5753" t="s" s="2">
        <v>13</v>
      </c>
      <c r="B5753" t="s" s="2">
        <f>HYPERLINK("http://ts.21cn.com/tousu/show/id/1367824","捷信利息太高，实在无力承受")</f>
      </c>
      <c r="C5753" t="s" s="2">
        <v>15</v>
      </c>
      <c r="D5753" t="s" s="2">
        <v>16</v>
      </c>
      <c r="E5753" t="s" s="2">
        <v>17</v>
      </c>
      <c r="F5753" t="s" s="2">
        <f>HYPERLINK("http://ts.21cn.com/tousu/show/id/1367824","http://ts.21cn.com/tousu/show/id/1367824")</f>
      </c>
      <c r="G5753" t="s" s="2">
        <v>17</v>
      </c>
      <c r="H5753" t="s" s="2">
        <v>19</v>
      </c>
      <c r="I5753" t="s" s="2">
        <v>22291</v>
      </c>
      <c r="J5753" t="s" s="2">
        <v>22292</v>
      </c>
      <c r="K5753" t="s" s="2">
        <v>22</v>
      </c>
      <c r="L5753" t="s" s="2">
        <v>22</v>
      </c>
      <c r="M5753" t="s" s="2">
        <v>22</v>
      </c>
    </row>
    <row r="5754" ht="25.0" customHeight="true">
      <c r="A5754" t="s" s="2">
        <v>13</v>
      </c>
      <c r="B5754" t="s" s="2">
        <f>HYPERLINK("http://ts.21cn.com/tousu/show/id/1367822","商家拖延不退款")</f>
      </c>
      <c r="C5754" t="s" s="2">
        <v>15</v>
      </c>
      <c r="D5754" t="s" s="2">
        <v>16</v>
      </c>
      <c r="E5754" t="s" s="2">
        <v>17</v>
      </c>
      <c r="F5754" t="s" s="2">
        <f>HYPERLINK("http://ts.21cn.com/tousu/show/id/1367822","http://ts.21cn.com/tousu/show/id/1367822")</f>
      </c>
      <c r="G5754" t="s" s="2">
        <v>17</v>
      </c>
      <c r="H5754" t="s" s="2">
        <v>19</v>
      </c>
      <c r="I5754" t="s" s="2">
        <v>22295</v>
      </c>
      <c r="J5754" t="s" s="2">
        <v>22296</v>
      </c>
      <c r="K5754" t="s" s="2">
        <v>22</v>
      </c>
      <c r="L5754" t="s" s="2">
        <v>22</v>
      </c>
      <c r="M5754" t="s" s="2">
        <v>22</v>
      </c>
    </row>
    <row r="5755" ht="25.0" customHeight="true">
      <c r="A5755" t="s" s="2">
        <v>13</v>
      </c>
      <c r="B5755" t="s" s="2">
        <f>HYPERLINK("http://ts.21cn.com/tousu/show/id/1367821","恒昌公司旗下恒易贷合同金额远高于实际借款金额")</f>
      </c>
      <c r="C5755" t="s" s="2">
        <v>52</v>
      </c>
      <c r="D5755" t="s" s="2">
        <v>16</v>
      </c>
      <c r="E5755" t="s" s="2">
        <v>17</v>
      </c>
      <c r="F5755" t="s" s="2">
        <f>HYPERLINK("http://ts.21cn.com/tousu/show/id/1367821","http://ts.21cn.com/tousu/show/id/1367821")</f>
      </c>
      <c r="G5755" t="s" s="2">
        <v>17</v>
      </c>
      <c r="H5755" t="s" s="2">
        <v>19</v>
      </c>
      <c r="I5755" t="s" s="2">
        <v>22298</v>
      </c>
      <c r="J5755" t="s" s="2">
        <v>22299</v>
      </c>
      <c r="K5755" t="s" s="2">
        <v>22</v>
      </c>
      <c r="L5755" t="s" s="2">
        <v>22</v>
      </c>
      <c r="M5755" t="s" s="2">
        <v>22</v>
      </c>
    </row>
    <row r="5756" ht="25.0" customHeight="true">
      <c r="A5756" t="s" s="2">
        <v>13</v>
      </c>
      <c r="B5756" t="s" s="2">
        <f>HYPERLINK("http://ts.21cn.com/tousu/show/id/1367820","深夜暴打通讯录")</f>
      </c>
      <c r="C5756" t="s" s="2">
        <v>15</v>
      </c>
      <c r="D5756" t="s" s="2">
        <v>16</v>
      </c>
      <c r="E5756" t="s" s="2">
        <v>17</v>
      </c>
      <c r="F5756" t="s" s="2">
        <f>HYPERLINK("http://ts.21cn.com/tousu/show/id/1367820","http://ts.21cn.com/tousu/show/id/1367820")</f>
      </c>
      <c r="G5756" t="s" s="2">
        <v>17</v>
      </c>
      <c r="H5756" t="s" s="2">
        <v>19</v>
      </c>
      <c r="I5756" t="s" s="2">
        <v>22302</v>
      </c>
      <c r="J5756" t="s" s="2">
        <v>22303</v>
      </c>
      <c r="K5756" t="s" s="2">
        <v>22</v>
      </c>
      <c r="L5756" t="s" s="2">
        <v>22</v>
      </c>
      <c r="M5756" t="s" s="2">
        <v>22</v>
      </c>
    </row>
    <row r="5757" ht="25.0" customHeight="true">
      <c r="A5757" t="s" s="2">
        <v>13</v>
      </c>
      <c r="B5757" t="s" s="2">
        <f>HYPERLINK("http://ts.21cn.com/tousu/show/id/1367819","弹个车乱收费，高额利息")</f>
      </c>
      <c r="C5757" t="s" s="2">
        <v>15</v>
      </c>
      <c r="D5757" t="s" s="2">
        <v>16</v>
      </c>
      <c r="E5757" t="s" s="2">
        <v>17</v>
      </c>
      <c r="F5757" t="s" s="2">
        <f>HYPERLINK("http://ts.21cn.com/tousu/show/id/1367819","http://ts.21cn.com/tousu/show/id/1367819")</f>
      </c>
      <c r="G5757" t="s" s="2">
        <v>17</v>
      </c>
      <c r="H5757" t="s" s="2">
        <v>19</v>
      </c>
      <c r="I5757" t="s" s="2">
        <v>22306</v>
      </c>
      <c r="J5757" t="s" s="2">
        <v>22307</v>
      </c>
      <c r="K5757" t="s" s="2">
        <v>22</v>
      </c>
      <c r="L5757" t="s" s="2">
        <v>22</v>
      </c>
      <c r="M5757" t="s" s="2">
        <v>22</v>
      </c>
    </row>
    <row r="5758" ht="25.0" customHeight="true">
      <c r="A5758" t="s" s="2">
        <v>13</v>
      </c>
      <c r="B5758" t="s" s="2">
        <f>HYPERLINK("http://ts.21cn.com/tousu/show/id/1367818","弹个车误导消费者！高利贷公司")</f>
      </c>
      <c r="C5758" t="s" s="2">
        <v>15</v>
      </c>
      <c r="D5758" t="s" s="2">
        <v>16</v>
      </c>
      <c r="E5758" t="s" s="2">
        <v>17</v>
      </c>
      <c r="F5758" t="s" s="2">
        <f>HYPERLINK("http://ts.21cn.com/tousu/show/id/1367818","http://ts.21cn.com/tousu/show/id/1367818")</f>
      </c>
      <c r="G5758" t="s" s="2">
        <v>17</v>
      </c>
      <c r="H5758" t="s" s="2">
        <v>19</v>
      </c>
      <c r="I5758" t="s" s="2">
        <v>22310</v>
      </c>
      <c r="J5758" t="s" s="2">
        <v>22311</v>
      </c>
      <c r="K5758" t="s" s="2">
        <v>22</v>
      </c>
      <c r="L5758" t="s" s="2">
        <v>22</v>
      </c>
      <c r="M5758" t="s" s="2">
        <v>22</v>
      </c>
    </row>
    <row r="5759" ht="25.0" customHeight="true">
      <c r="A5759" t="s" s="2">
        <v>13</v>
      </c>
      <c r="B5759" t="s" s="2">
        <f>HYPERLINK("http://ts.21cn.com/tousu/show/id/1367817","淘集集虚拟发货要求退款")</f>
      </c>
      <c r="C5759" t="s" s="2">
        <v>15</v>
      </c>
      <c r="D5759" t="s" s="2">
        <v>16</v>
      </c>
      <c r="E5759" t="s" s="2">
        <v>17</v>
      </c>
      <c r="F5759" t="s" s="2">
        <f>HYPERLINK("http://ts.21cn.com/tousu/show/id/1367817","http://ts.21cn.com/tousu/show/id/1367817")</f>
      </c>
      <c r="G5759" t="s" s="2">
        <v>17</v>
      </c>
      <c r="H5759" t="s" s="2">
        <v>19</v>
      </c>
      <c r="I5759" t="s" s="2">
        <v>22314</v>
      </c>
      <c r="J5759" t="s" s="2">
        <v>22315</v>
      </c>
      <c r="K5759" t="s" s="2">
        <v>22</v>
      </c>
      <c r="L5759" t="s" s="2">
        <v>22</v>
      </c>
      <c r="M5759" t="s" s="2">
        <v>22</v>
      </c>
    </row>
    <row r="5760" ht="25.0" customHeight="true">
      <c r="A5760" t="s" s="2">
        <v>13</v>
      </c>
      <c r="B5760" t="s" s="2">
        <f>HYPERLINK("http://ts.21cn.com/tousu/show/id/1367816","淘豆分期非法扣钱")</f>
      </c>
      <c r="C5760" t="s" s="2">
        <v>15</v>
      </c>
      <c r="D5760" t="s" s="2">
        <v>16</v>
      </c>
      <c r="E5760" t="s" s="2">
        <v>17</v>
      </c>
      <c r="F5760" t="s" s="2">
        <f>HYPERLINK("http://ts.21cn.com/tousu/show/id/1367816","http://ts.21cn.com/tousu/show/id/1367816")</f>
      </c>
      <c r="G5760" t="s" s="2">
        <v>17</v>
      </c>
      <c r="H5760" t="s" s="2">
        <v>19</v>
      </c>
      <c r="I5760" t="s" s="2">
        <v>22318</v>
      </c>
      <c r="J5760" t="s" s="2">
        <v>22319</v>
      </c>
      <c r="K5760" t="s" s="2">
        <v>22</v>
      </c>
      <c r="L5760" t="s" s="2">
        <v>22</v>
      </c>
      <c r="M5760" t="s" s="2">
        <v>22</v>
      </c>
    </row>
    <row r="5761" ht="25.0" customHeight="true">
      <c r="A5761" t="s" s="2">
        <v>13</v>
      </c>
      <c r="B5761" t="s" s="2">
        <f>HYPERLINK("http://ts.21cn.com/tousu/show/id/1367815","买单侠涉嫌伪造开庭通知")</f>
      </c>
      <c r="C5761" t="s" s="2">
        <v>15</v>
      </c>
      <c r="D5761" t="s" s="2">
        <v>16</v>
      </c>
      <c r="E5761" t="s" s="2">
        <v>17</v>
      </c>
      <c r="F5761" t="s" s="2">
        <f>HYPERLINK("http://ts.21cn.com/tousu/show/id/1367815","http://ts.21cn.com/tousu/show/id/1367815")</f>
      </c>
      <c r="G5761" t="s" s="2">
        <v>17</v>
      </c>
      <c r="H5761" t="s" s="2">
        <v>19</v>
      </c>
      <c r="I5761" t="s" s="2">
        <v>22322</v>
      </c>
      <c r="J5761" t="s" s="2">
        <v>22323</v>
      </c>
      <c r="K5761" t="s" s="2">
        <v>22</v>
      </c>
      <c r="L5761" t="s" s="2">
        <v>22</v>
      </c>
      <c r="M5761" t="s" s="2">
        <v>22</v>
      </c>
    </row>
    <row r="5762" ht="25.0" customHeight="true">
      <c r="A5762" t="s" s="2">
        <v>13</v>
      </c>
      <c r="B5762" t="s" s="2">
        <f>HYPERLINK("http://ts.21cn.com/tousu/show/id/1367814","套路贷，利息高")</f>
      </c>
      <c r="C5762" t="s" s="2">
        <v>15</v>
      </c>
      <c r="D5762" t="s" s="2">
        <v>16</v>
      </c>
      <c r="E5762" t="s" s="2">
        <v>17</v>
      </c>
      <c r="F5762" t="s" s="2">
        <f>HYPERLINK("http://ts.21cn.com/tousu/show/id/1367814","http://ts.21cn.com/tousu/show/id/1367814")</f>
      </c>
      <c r="G5762" t="s" s="2">
        <v>17</v>
      </c>
      <c r="H5762" t="s" s="2">
        <v>19</v>
      </c>
      <c r="I5762" t="s" s="2">
        <v>22326</v>
      </c>
      <c r="J5762" t="s" s="2">
        <v>22327</v>
      </c>
      <c r="K5762" t="s" s="2">
        <v>22</v>
      </c>
      <c r="L5762" t="s" s="2">
        <v>22</v>
      </c>
      <c r="M5762" t="s" s="2">
        <v>22</v>
      </c>
    </row>
    <row r="5763" ht="25.0" customHeight="true">
      <c r="A5763" t="s" s="2">
        <v>13</v>
      </c>
      <c r="B5763" t="s" s="2">
        <f>HYPERLINK("http://ts.21cn.com/tousu/show/id/1367813","一对一红娘服务")</f>
      </c>
      <c r="C5763" t="s" s="2">
        <v>15</v>
      </c>
      <c r="D5763" t="s" s="2">
        <v>16</v>
      </c>
      <c r="E5763" t="s" s="2">
        <v>17</v>
      </c>
      <c r="F5763" t="s" s="2">
        <f>HYPERLINK("http://ts.21cn.com/tousu/show/id/1367813","http://ts.21cn.com/tousu/show/id/1367813")</f>
      </c>
      <c r="G5763" t="s" s="2">
        <v>17</v>
      </c>
      <c r="H5763" t="s" s="2">
        <v>19</v>
      </c>
      <c r="I5763" t="s" s="2">
        <v>22330</v>
      </c>
      <c r="J5763" t="s" s="2">
        <v>22331</v>
      </c>
      <c r="K5763" t="s" s="2">
        <v>22</v>
      </c>
      <c r="L5763" t="s" s="2">
        <v>22</v>
      </c>
      <c r="M5763" t="s" s="2">
        <v>22</v>
      </c>
    </row>
    <row r="5764" ht="25.0" customHeight="true">
      <c r="A5764" t="s" s="2">
        <v>13</v>
      </c>
      <c r="B5764" t="s" s="2">
        <f>HYPERLINK("http://ts.21cn.com/tousu/show/id/1367812","闪银哼哼瞬瞬催收骚扰家人")</f>
      </c>
      <c r="C5764" t="s" s="2">
        <v>15</v>
      </c>
      <c r="D5764" t="s" s="2">
        <v>16</v>
      </c>
      <c r="E5764" t="s" s="2">
        <v>17</v>
      </c>
      <c r="F5764" t="s" s="2">
        <f>HYPERLINK("http://ts.21cn.com/tousu/show/id/1367812","http://ts.21cn.com/tousu/show/id/1367812")</f>
      </c>
      <c r="G5764" t="s" s="2">
        <v>17</v>
      </c>
      <c r="H5764" t="s" s="2">
        <v>19</v>
      </c>
      <c r="I5764" t="s" s="2">
        <v>22334</v>
      </c>
      <c r="J5764" t="s" s="2">
        <v>22335</v>
      </c>
      <c r="K5764" t="s" s="2">
        <v>22</v>
      </c>
      <c r="L5764" t="s" s="2">
        <v>22</v>
      </c>
      <c r="M5764" t="s" s="2">
        <v>22</v>
      </c>
    </row>
    <row r="5765" ht="25.0" customHeight="true">
      <c r="A5765" t="s" s="2">
        <v>13</v>
      </c>
      <c r="B5765" t="s" s="2">
        <f>HYPERLINK("http://ts.21cn.com/tousu/show/id/1367811","每天夜晚出来都难接单")</f>
      </c>
      <c r="C5765" t="s" s="2">
        <v>15</v>
      </c>
      <c r="D5765" t="s" s="2">
        <v>16</v>
      </c>
      <c r="E5765" t="s" s="2">
        <v>17</v>
      </c>
      <c r="F5765" t="s" s="2">
        <f>HYPERLINK("http://ts.21cn.com/tousu/show/id/1367811","http://ts.21cn.com/tousu/show/id/1367811")</f>
      </c>
      <c r="G5765" t="s" s="2">
        <v>17</v>
      </c>
      <c r="H5765" t="s" s="2">
        <v>19</v>
      </c>
      <c r="I5765" t="s" s="2">
        <v>22338</v>
      </c>
      <c r="J5765" t="s" s="2">
        <v>22339</v>
      </c>
      <c r="K5765" t="s" s="2">
        <v>22</v>
      </c>
      <c r="L5765" t="s" s="2">
        <v>22</v>
      </c>
      <c r="M5765" t="s" s="2">
        <v>22</v>
      </c>
    </row>
    <row r="5766" ht="25.0" customHeight="true">
      <c r="A5766" t="s" s="2">
        <v>13</v>
      </c>
      <c r="B5766" t="s" s="2">
        <f>HYPERLINK("http://ts.21cn.com/tousu/show/id/1367810","100感觉天猫旗舰店虚假满减活动")</f>
      </c>
      <c r="C5766" t="s" s="2">
        <v>15</v>
      </c>
      <c r="D5766" t="s" s="2">
        <v>16</v>
      </c>
      <c r="E5766" t="s" s="2">
        <v>17</v>
      </c>
      <c r="F5766" t="s" s="2">
        <f>HYPERLINK("http://ts.21cn.com/tousu/show/id/1367810","http://ts.21cn.com/tousu/show/id/1367810")</f>
      </c>
      <c r="G5766" t="s" s="2">
        <v>17</v>
      </c>
      <c r="H5766" t="s" s="2">
        <v>19</v>
      </c>
      <c r="I5766" t="s" s="2">
        <v>22342</v>
      </c>
      <c r="J5766" t="s" s="2">
        <v>22343</v>
      </c>
      <c r="K5766" t="s" s="2">
        <v>22</v>
      </c>
      <c r="L5766" t="s" s="2">
        <v>22</v>
      </c>
      <c r="M5766" t="s" s="2">
        <v>22</v>
      </c>
    </row>
    <row r="5767" ht="25.0" customHeight="true">
      <c r="A5767" t="s" s="2">
        <v>13</v>
      </c>
      <c r="B5767" t="s" s="2">
        <f>HYPERLINK("http://ts.21cn.com/tousu/show/id/1367809","钱站高利息")</f>
      </c>
      <c r="C5767" t="s" s="2">
        <v>52</v>
      </c>
      <c r="D5767" t="s" s="2">
        <v>16</v>
      </c>
      <c r="E5767" t="s" s="2">
        <v>17</v>
      </c>
      <c r="F5767" t="s" s="2">
        <f>HYPERLINK("http://ts.21cn.com/tousu/show/id/1367809","http://ts.21cn.com/tousu/show/id/1367809")</f>
      </c>
      <c r="G5767" t="s" s="2">
        <v>17</v>
      </c>
      <c r="H5767" t="s" s="2">
        <v>19</v>
      </c>
      <c r="I5767" t="s" s="2">
        <v>22345</v>
      </c>
      <c r="J5767" t="s" s="2">
        <v>22346</v>
      </c>
      <c r="K5767" t="s" s="2">
        <v>22</v>
      </c>
      <c r="L5767" t="s" s="2">
        <v>22</v>
      </c>
      <c r="M5767" t="s" s="2">
        <v>22</v>
      </c>
    </row>
    <row r="5768" ht="25.0" customHeight="true">
      <c r="A5768" t="s" s="2">
        <v>13</v>
      </c>
      <c r="B5768" t="s" s="2">
        <f>HYPERLINK("http://ts.21cn.com/tousu/show/id/1367807","建设银行卡莫名其妙被中兴付扣钱")</f>
      </c>
      <c r="C5768" t="s" s="2">
        <v>15</v>
      </c>
      <c r="D5768" t="s" s="2">
        <v>16</v>
      </c>
      <c r="E5768" t="s" s="2">
        <v>17</v>
      </c>
      <c r="F5768" t="s" s="2">
        <f>HYPERLINK("http://ts.21cn.com/tousu/show/id/1367807","http://ts.21cn.com/tousu/show/id/1367807")</f>
      </c>
      <c r="G5768" t="s" s="2">
        <v>17</v>
      </c>
      <c r="H5768" t="s" s="2">
        <v>19</v>
      </c>
      <c r="I5768" t="s" s="2">
        <v>22349</v>
      </c>
      <c r="J5768" t="s" s="2">
        <v>22350</v>
      </c>
      <c r="K5768" t="s" s="2">
        <v>22</v>
      </c>
      <c r="L5768" t="s" s="2">
        <v>22</v>
      </c>
      <c r="M5768" t="s" s="2">
        <v>22</v>
      </c>
    </row>
    <row r="5769" ht="25.0" customHeight="true">
      <c r="A5769" t="s" s="2">
        <v>13</v>
      </c>
      <c r="B5769" t="s" s="2">
        <f>HYPERLINK("http://ts.21cn.com/tousu/show/id/1367806","施工扰民")</f>
      </c>
      <c r="C5769" t="s" s="2">
        <v>15</v>
      </c>
      <c r="D5769" t="s" s="2">
        <v>16</v>
      </c>
      <c r="E5769" t="s" s="2">
        <v>17</v>
      </c>
      <c r="F5769" t="s" s="2">
        <f>HYPERLINK("http://ts.21cn.com/tousu/show/id/1367806","http://ts.21cn.com/tousu/show/id/1367806")</f>
      </c>
      <c r="G5769" t="s" s="2">
        <v>17</v>
      </c>
      <c r="H5769" t="s" s="2">
        <v>19</v>
      </c>
      <c r="I5769" t="s" s="2">
        <v>22353</v>
      </c>
      <c r="J5769" t="s" s="2">
        <v>22354</v>
      </c>
      <c r="K5769" t="s" s="2">
        <v>22</v>
      </c>
      <c r="L5769" t="s" s="2">
        <v>22</v>
      </c>
      <c r="M5769" t="s" s="2">
        <v>22</v>
      </c>
    </row>
    <row r="5770" ht="25.0" customHeight="true">
      <c r="A5770" t="s" s="2">
        <v>13</v>
      </c>
      <c r="B5770" t="s" s="2">
        <f>HYPERLINK("http://ts.21cn.com/tousu/show/id/1367805","途虎养车把车主车刮花了，客服和门店没有处理，世态炎凉")</f>
      </c>
      <c r="C5770" t="s" s="2">
        <v>15</v>
      </c>
      <c r="D5770" t="s" s="2">
        <v>16</v>
      </c>
      <c r="E5770" t="s" s="2">
        <v>17</v>
      </c>
      <c r="F5770" t="s" s="2">
        <f>HYPERLINK("http://ts.21cn.com/tousu/show/id/1367805","http://ts.21cn.com/tousu/show/id/1367805")</f>
      </c>
      <c r="G5770" t="s" s="2">
        <v>17</v>
      </c>
      <c r="H5770" t="s" s="2">
        <v>19</v>
      </c>
      <c r="I5770" t="s" s="2">
        <v>22357</v>
      </c>
      <c r="J5770" t="s" s="2">
        <v>22358</v>
      </c>
      <c r="K5770" t="s" s="2">
        <v>22</v>
      </c>
      <c r="L5770" t="s" s="2">
        <v>22</v>
      </c>
      <c r="M5770" t="s" s="2">
        <v>22</v>
      </c>
    </row>
    <row r="5771" ht="25.0" customHeight="true">
      <c r="A5771" t="s" s="2">
        <v>13</v>
      </c>
      <c r="B5771" t="s" s="2">
        <f>HYPERLINK("http://ts.21cn.com/tousu/show/id/1367804","现金贷款暴力催收")</f>
      </c>
      <c r="C5771" t="s" s="2">
        <v>15</v>
      </c>
      <c r="D5771" t="s" s="2">
        <v>16</v>
      </c>
      <c r="E5771" t="s" s="2">
        <v>17</v>
      </c>
      <c r="F5771" t="s" s="2">
        <f>HYPERLINK("http://ts.21cn.com/tousu/show/id/1367804","http://ts.21cn.com/tousu/show/id/1367804")</f>
      </c>
      <c r="G5771" t="s" s="2">
        <v>17</v>
      </c>
      <c r="H5771" t="s" s="2">
        <v>19</v>
      </c>
      <c r="I5771" t="s" s="2">
        <v>22361</v>
      </c>
      <c r="J5771" t="s" s="2">
        <v>22362</v>
      </c>
      <c r="K5771" t="s" s="2">
        <v>22</v>
      </c>
      <c r="L5771" t="s" s="2">
        <v>22</v>
      </c>
      <c r="M5771" t="s" s="2">
        <v>22</v>
      </c>
    </row>
    <row r="5772" ht="25.0" customHeight="true">
      <c r="A5772" t="s" s="2">
        <v>13</v>
      </c>
      <c r="B5772" t="s" s="2">
        <f>HYPERLINK("http://ts.21cn.com/tousu/show/id/1367803","钱站不是人")</f>
      </c>
      <c r="C5772" t="s" s="2">
        <v>15</v>
      </c>
      <c r="D5772" t="s" s="2">
        <v>16</v>
      </c>
      <c r="E5772" t="s" s="2">
        <v>17</v>
      </c>
      <c r="F5772" t="s" s="2">
        <f>HYPERLINK("http://ts.21cn.com/tousu/show/id/1367803","http://ts.21cn.com/tousu/show/id/1367803")</f>
      </c>
      <c r="G5772" t="s" s="2">
        <v>17</v>
      </c>
      <c r="H5772" t="s" s="2">
        <v>19</v>
      </c>
      <c r="I5772" t="s" s="2">
        <v>22365</v>
      </c>
      <c r="J5772" t="s" s="2">
        <v>22366</v>
      </c>
      <c r="K5772" t="s" s="2">
        <v>22</v>
      </c>
      <c r="L5772" t="s" s="2">
        <v>22</v>
      </c>
      <c r="M5772" t="s" s="2">
        <v>22</v>
      </c>
    </row>
    <row r="5773" ht="25.0" customHeight="true">
      <c r="A5773" t="s" s="2">
        <v>13</v>
      </c>
      <c r="B5773" t="s" s="2">
        <f>HYPERLINK("http://ts.21cn.com/tousu/show/id/1367802","货拉拉不退保证金")</f>
      </c>
      <c r="C5773" t="s" s="2">
        <v>15</v>
      </c>
      <c r="D5773" t="s" s="2">
        <v>16</v>
      </c>
      <c r="E5773" t="s" s="2">
        <v>17</v>
      </c>
      <c r="F5773" t="s" s="2">
        <f>HYPERLINK("http://ts.21cn.com/tousu/show/id/1367802","http://ts.21cn.com/tousu/show/id/1367802")</f>
      </c>
      <c r="G5773" t="s" s="2">
        <v>17</v>
      </c>
      <c r="H5773" t="s" s="2">
        <v>19</v>
      </c>
      <c r="I5773" t="s" s="2">
        <v>22369</v>
      </c>
      <c r="J5773" t="s" s="2">
        <v>22370</v>
      </c>
      <c r="K5773" t="s" s="2">
        <v>22</v>
      </c>
      <c r="L5773" t="s" s="2">
        <v>22</v>
      </c>
      <c r="M5773" t="s" s="2">
        <v>22</v>
      </c>
    </row>
    <row r="5774" ht="25.0" customHeight="true">
      <c r="A5774" t="s" s="2">
        <v>13</v>
      </c>
      <c r="B5774" t="s" s="2">
        <f>HYPERLINK("http://ts.21cn.com/tousu/show/id/1367800","新橙优品暴力催收")</f>
      </c>
      <c r="C5774" t="s" s="2">
        <v>15</v>
      </c>
      <c r="D5774" t="s" s="2">
        <v>16</v>
      </c>
      <c r="E5774" t="s" s="2">
        <v>17</v>
      </c>
      <c r="F5774" t="s" s="2">
        <f>HYPERLINK("http://ts.21cn.com/tousu/show/id/1367800","http://ts.21cn.com/tousu/show/id/1367800")</f>
      </c>
      <c r="G5774" t="s" s="2">
        <v>17</v>
      </c>
      <c r="H5774" t="s" s="2">
        <v>19</v>
      </c>
      <c r="I5774" t="s" s="2">
        <v>22372</v>
      </c>
      <c r="J5774" t="s" s="2">
        <v>22373</v>
      </c>
      <c r="K5774" t="s" s="2">
        <v>22</v>
      </c>
      <c r="L5774" t="s" s="2">
        <v>22</v>
      </c>
      <c r="M5774" t="s" s="2">
        <v>22</v>
      </c>
    </row>
    <row r="5775" ht="25.0" customHeight="true">
      <c r="A5775" t="s" s="2">
        <v>13</v>
      </c>
      <c r="B5775" t="s" s="2">
        <f>HYPERLINK("http://ts.21cn.com/tousu/show/id/1367799","立借阴阳合同")</f>
      </c>
      <c r="C5775" t="s" s="2">
        <v>15</v>
      </c>
      <c r="D5775" t="s" s="2">
        <v>16</v>
      </c>
      <c r="E5775" t="s" s="2">
        <v>17</v>
      </c>
      <c r="F5775" t="s" s="2">
        <f>HYPERLINK("http://ts.21cn.com/tousu/show/id/1367799","http://ts.21cn.com/tousu/show/id/1367799")</f>
      </c>
      <c r="G5775" t="s" s="2">
        <v>17</v>
      </c>
      <c r="H5775" t="s" s="2">
        <v>19</v>
      </c>
      <c r="I5775" t="s" s="2">
        <v>22376</v>
      </c>
      <c r="J5775" t="s" s="2">
        <v>22377</v>
      </c>
      <c r="K5775" t="s" s="2">
        <v>22</v>
      </c>
      <c r="L5775" t="s" s="2">
        <v>22</v>
      </c>
      <c r="M5775" t="s" s="2">
        <v>22</v>
      </c>
    </row>
    <row r="5776" ht="25.0" customHeight="true">
      <c r="A5776" t="s" s="2">
        <v>13</v>
      </c>
      <c r="B5776" t="s" s="2">
        <f>HYPERLINK("http://ts.21cn.com/tousu/show/id/1367797","梁山仙域信息技术有限公司乱扣钱")</f>
      </c>
      <c r="C5776" t="s" s="2">
        <v>15</v>
      </c>
      <c r="D5776" t="s" s="2">
        <v>16</v>
      </c>
      <c r="E5776" t="s" s="2">
        <v>17</v>
      </c>
      <c r="F5776" t="s" s="2">
        <f>HYPERLINK("http://ts.21cn.com/tousu/show/id/1367797","http://ts.21cn.com/tousu/show/id/1367797")</f>
      </c>
      <c r="G5776" t="s" s="2">
        <v>17</v>
      </c>
      <c r="H5776" t="s" s="2">
        <v>19</v>
      </c>
      <c r="I5776" t="s" s="2">
        <v>22380</v>
      </c>
      <c r="J5776" t="s" s="2">
        <v>22381</v>
      </c>
      <c r="K5776" t="s" s="2">
        <v>22</v>
      </c>
      <c r="L5776" t="s" s="2">
        <v>22</v>
      </c>
      <c r="M5776" t="s" s="2">
        <v>22</v>
      </c>
    </row>
    <row r="5777" ht="25.0" customHeight="true">
      <c r="A5777" t="s" s="2">
        <v>13</v>
      </c>
      <c r="B5777" t="s" s="2">
        <f>HYPERLINK("http://ts.21cn.com/tousu/show/id/1367796","魅族16th手机出现绿线，返厂检测费用900元，费用过高放弃维修，收到机器屏幕反而脱胶翘起！")</f>
      </c>
      <c r="C5777" t="s" s="2">
        <v>15</v>
      </c>
      <c r="D5777" t="s" s="2">
        <v>16</v>
      </c>
      <c r="E5777" t="s" s="2">
        <v>17</v>
      </c>
      <c r="F5777" t="s" s="2">
        <f>HYPERLINK("http://ts.21cn.com/tousu/show/id/1367796","http://ts.21cn.com/tousu/show/id/1367796")</f>
      </c>
      <c r="G5777" t="s" s="2">
        <v>17</v>
      </c>
      <c r="H5777" t="s" s="2">
        <v>19</v>
      </c>
      <c r="I5777" t="s" s="2">
        <v>22384</v>
      </c>
      <c r="J5777" t="s" s="2">
        <v>22385</v>
      </c>
      <c r="K5777" t="s" s="2">
        <v>22</v>
      </c>
      <c r="L5777" t="s" s="2">
        <v>22</v>
      </c>
      <c r="M5777" t="s" s="2">
        <v>22</v>
      </c>
    </row>
    <row r="5778" ht="25.0" customHeight="true">
      <c r="A5778" t="s" s="2">
        <v>13</v>
      </c>
      <c r="B5778" t="s" s="2">
        <f>HYPERLINK("http://ts.21cn.com/tousu/show/id/1367795","肥猫贷，高利贷")</f>
      </c>
      <c r="C5778" t="s" s="2">
        <v>15</v>
      </c>
      <c r="D5778" t="s" s="2">
        <v>16</v>
      </c>
      <c r="E5778" t="s" s="2">
        <v>17</v>
      </c>
      <c r="F5778" t="s" s="2">
        <f>HYPERLINK("http://ts.21cn.com/tousu/show/id/1367795","http://ts.21cn.com/tousu/show/id/1367795")</f>
      </c>
      <c r="G5778" t="s" s="2">
        <v>17</v>
      </c>
      <c r="H5778" t="s" s="2">
        <v>19</v>
      </c>
      <c r="I5778" t="s" s="2">
        <v>22388</v>
      </c>
      <c r="J5778" t="s" s="2">
        <v>22389</v>
      </c>
      <c r="K5778" t="s" s="2">
        <v>22</v>
      </c>
      <c r="L5778" t="s" s="2">
        <v>22</v>
      </c>
      <c r="M5778" t="s" s="2">
        <v>22</v>
      </c>
    </row>
    <row r="5779" ht="25.0" customHeight="true">
      <c r="A5779" t="s" s="2">
        <v>13</v>
      </c>
      <c r="B5779" t="s" s="2">
        <f>HYPERLINK("http://ts.21cn.com/tousu/show/id/1367794","唯品会里的唯品花")</f>
      </c>
      <c r="C5779" t="s" s="2">
        <v>52</v>
      </c>
      <c r="D5779" t="s" s="2">
        <v>16</v>
      </c>
      <c r="E5779" t="s" s="2">
        <v>17</v>
      </c>
      <c r="F5779" t="s" s="2">
        <f>HYPERLINK("http://ts.21cn.com/tousu/show/id/1367794","http://ts.21cn.com/tousu/show/id/1367794")</f>
      </c>
      <c r="G5779" t="s" s="2">
        <v>17</v>
      </c>
      <c r="H5779" t="s" s="2">
        <v>19</v>
      </c>
      <c r="I5779" t="s" s="2">
        <v>22392</v>
      </c>
      <c r="J5779" t="s" s="2">
        <v>22393</v>
      </c>
      <c r="K5779" t="s" s="2">
        <v>22</v>
      </c>
      <c r="L5779" t="s" s="2">
        <v>22</v>
      </c>
      <c r="M5779" t="s" s="2">
        <v>22</v>
      </c>
    </row>
    <row r="5780" ht="25.0" customHeight="true">
      <c r="A5780" t="s" s="2">
        <v>13</v>
      </c>
      <c r="B5780" t="s" s="2">
        <f>HYPERLINK("http://ts.21cn.com/tousu/show/id/1367793","虎牙直播充值错误把100误充成1000了未消费望请求退款")</f>
      </c>
      <c r="C5780" t="s" s="2">
        <v>15</v>
      </c>
      <c r="D5780" t="s" s="2">
        <v>16</v>
      </c>
      <c r="E5780" t="s" s="2">
        <v>17</v>
      </c>
      <c r="F5780" t="s" s="2">
        <f>HYPERLINK("http://ts.21cn.com/tousu/show/id/1367793","http://ts.21cn.com/tousu/show/id/1367793")</f>
      </c>
      <c r="G5780" t="s" s="2">
        <v>17</v>
      </c>
      <c r="H5780" t="s" s="2">
        <v>19</v>
      </c>
      <c r="I5780" t="s" s="2">
        <v>22396</v>
      </c>
      <c r="J5780" t="s" s="2">
        <v>22397</v>
      </c>
      <c r="K5780" t="s" s="2">
        <v>22</v>
      </c>
      <c r="L5780" t="s" s="2">
        <v>22</v>
      </c>
      <c r="M5780" t="s" s="2">
        <v>22</v>
      </c>
    </row>
    <row r="5781" ht="25.0" customHeight="true">
      <c r="A5781" t="s" s="2">
        <v>13</v>
      </c>
      <c r="B5781" t="s" s="2">
        <f>HYPERLINK("http://ts.21cn.com/tousu/show/id/1367757","欺诈，恶意扣款")</f>
      </c>
      <c r="C5781" t="s" s="2">
        <v>15</v>
      </c>
      <c r="D5781" t="s" s="2">
        <v>16</v>
      </c>
      <c r="E5781" t="s" s="2">
        <v>17</v>
      </c>
      <c r="F5781" t="s" s="2">
        <f>HYPERLINK("http://ts.21cn.com/tousu/show/id/1367757","http://ts.21cn.com/tousu/show/id/1367757")</f>
      </c>
      <c r="G5781" t="s" s="2">
        <v>17</v>
      </c>
      <c r="H5781" t="s" s="2">
        <v>19</v>
      </c>
      <c r="I5781" t="s" s="2">
        <v>22400</v>
      </c>
      <c r="J5781" t="s" s="2">
        <v>22401</v>
      </c>
      <c r="K5781" t="s" s="2">
        <v>22</v>
      </c>
      <c r="L5781" t="s" s="2">
        <v>22</v>
      </c>
      <c r="M5781" t="s" s="2">
        <v>22</v>
      </c>
    </row>
    <row r="5782" ht="25.0" customHeight="true">
      <c r="A5782" t="s" s="2">
        <v>13</v>
      </c>
      <c r="B5782" t="s" s="2">
        <f>HYPERLINK("http://ts.21cn.com/tousu/show/id/1367792","雇佣不明身份人士对家人进行骚扰恐吓")</f>
      </c>
      <c r="C5782" t="s" s="2">
        <v>15</v>
      </c>
      <c r="D5782" t="s" s="2">
        <v>16</v>
      </c>
      <c r="E5782" t="s" s="2">
        <v>17</v>
      </c>
      <c r="F5782" t="s" s="2">
        <f>HYPERLINK("http://ts.21cn.com/tousu/show/id/1367792","http://ts.21cn.com/tousu/show/id/1367792")</f>
      </c>
      <c r="G5782" t="s" s="2">
        <v>17</v>
      </c>
      <c r="H5782" t="s" s="2">
        <v>19</v>
      </c>
      <c r="I5782" t="s" s="2">
        <v>22404</v>
      </c>
      <c r="J5782" t="s" s="2">
        <v>22405</v>
      </c>
      <c r="K5782" t="s" s="2">
        <v>22</v>
      </c>
      <c r="L5782" t="s" s="2">
        <v>22</v>
      </c>
      <c r="M5782" t="s" s="2">
        <v>22</v>
      </c>
    </row>
    <row r="5783" ht="25.0" customHeight="true">
      <c r="A5783" t="s" s="2">
        <v>13</v>
      </c>
      <c r="B5783" t="s" s="2">
        <f>HYPERLINK("http://ts.21cn.com/tousu/show/id/1367790","马上金融套取个人信息")</f>
      </c>
      <c r="C5783" t="s" s="2">
        <v>15</v>
      </c>
      <c r="D5783" t="s" s="2">
        <v>16</v>
      </c>
      <c r="E5783" t="s" s="2">
        <v>17</v>
      </c>
      <c r="F5783" t="s" s="2">
        <f>HYPERLINK("http://ts.21cn.com/tousu/show/id/1367790","http://ts.21cn.com/tousu/show/id/1367790")</f>
      </c>
      <c r="G5783" t="s" s="2">
        <v>17</v>
      </c>
      <c r="H5783" t="s" s="2">
        <v>19</v>
      </c>
      <c r="I5783" t="s" s="2">
        <v>22408</v>
      </c>
      <c r="J5783" t="s" s="2">
        <v>22409</v>
      </c>
      <c r="K5783" t="s" s="2">
        <v>22</v>
      </c>
      <c r="L5783" t="s" s="2">
        <v>22</v>
      </c>
      <c r="M5783" t="s" s="2">
        <v>22</v>
      </c>
    </row>
    <row r="5784" ht="25.0" customHeight="true">
      <c r="A5784" t="s" s="2">
        <v>13</v>
      </c>
      <c r="B5784" t="s" s="2">
        <f>HYPERLINK("http://ts.21cn.com/tousu/show/id/1367789","钱站套路贷")</f>
      </c>
      <c r="C5784" t="s" s="2">
        <v>15</v>
      </c>
      <c r="D5784" t="s" s="2">
        <v>16</v>
      </c>
      <c r="E5784" t="s" s="2">
        <v>17</v>
      </c>
      <c r="F5784" t="s" s="2">
        <f>HYPERLINK("http://ts.21cn.com/tousu/show/id/1367789","http://ts.21cn.com/tousu/show/id/1367789")</f>
      </c>
      <c r="G5784" t="s" s="2">
        <v>17</v>
      </c>
      <c r="H5784" t="s" s="2">
        <v>19</v>
      </c>
      <c r="I5784" t="s" s="2">
        <v>22411</v>
      </c>
      <c r="J5784" t="s" s="2">
        <v>22412</v>
      </c>
      <c r="K5784" t="s" s="2">
        <v>22</v>
      </c>
      <c r="L5784" t="s" s="2">
        <v>22</v>
      </c>
      <c r="M5784" t="s" s="2">
        <v>22</v>
      </c>
    </row>
    <row r="5785" ht="25.0" customHeight="true">
      <c r="A5785" t="s" s="2">
        <v>13</v>
      </c>
      <c r="B5785" t="s" s="2">
        <f>HYPERLINK("http://ts.21cn.com/tousu/show/id/1367788","西游记之大圣归来超V版虚假宣传，诱导充值！")</f>
      </c>
      <c r="C5785" t="s" s="2">
        <v>15</v>
      </c>
      <c r="D5785" t="s" s="2">
        <v>16</v>
      </c>
      <c r="E5785" t="s" s="2">
        <v>17</v>
      </c>
      <c r="F5785" t="s" s="2">
        <f>HYPERLINK("http://ts.21cn.com/tousu/show/id/1367788","http://ts.21cn.com/tousu/show/id/1367788")</f>
      </c>
      <c r="G5785" t="s" s="2">
        <v>17</v>
      </c>
      <c r="H5785" t="s" s="2">
        <v>19</v>
      </c>
      <c r="I5785" t="s" s="2">
        <v>22415</v>
      </c>
      <c r="J5785" t="s" s="2">
        <v>22416</v>
      </c>
      <c r="K5785" t="s" s="2">
        <v>22</v>
      </c>
      <c r="L5785" t="s" s="2">
        <v>22</v>
      </c>
      <c r="M5785" t="s" s="2">
        <v>22</v>
      </c>
    </row>
    <row r="5786" ht="25.0" customHeight="true">
      <c r="A5786" t="s" s="2">
        <v>13</v>
      </c>
      <c r="B5786" t="s" s="2">
        <f>HYPERLINK("http://ts.21cn.com/tousu/show/id/1367787","卖家虚假发货，恶意强逼退货")</f>
      </c>
      <c r="C5786" t="s" s="2">
        <v>15</v>
      </c>
      <c r="D5786" t="s" s="2">
        <v>16</v>
      </c>
      <c r="E5786" t="s" s="2">
        <v>17</v>
      </c>
      <c r="F5786" t="s" s="2">
        <f>HYPERLINK("http://ts.21cn.com/tousu/show/id/1367787","http://ts.21cn.com/tousu/show/id/1367787")</f>
      </c>
      <c r="G5786" t="s" s="2">
        <v>17</v>
      </c>
      <c r="H5786" t="s" s="2">
        <v>19</v>
      </c>
      <c r="I5786" t="s" s="2">
        <v>22419</v>
      </c>
      <c r="J5786" t="s" s="2">
        <v>22420</v>
      </c>
      <c r="K5786" t="s" s="2">
        <v>22</v>
      </c>
      <c r="L5786" t="s" s="2">
        <v>22</v>
      </c>
      <c r="M5786" t="s" s="2">
        <v>22</v>
      </c>
    </row>
    <row r="5787" ht="25.0" customHeight="true">
      <c r="A5787" t="s" s="2">
        <v>13</v>
      </c>
      <c r="B5787" t="s" s="2">
        <f>HYPERLINK("http://ts.21cn.com/tousu/show/id/1367786","马上消费金融，暴力催收，群发短信，恐吓催收")</f>
      </c>
      <c r="C5787" t="s" s="2">
        <v>15</v>
      </c>
      <c r="D5787" t="s" s="2">
        <v>16</v>
      </c>
      <c r="E5787" t="s" s="2">
        <v>17</v>
      </c>
      <c r="F5787" t="s" s="2">
        <f>HYPERLINK("http://ts.21cn.com/tousu/show/id/1367786","http://ts.21cn.com/tousu/show/id/1367786")</f>
      </c>
      <c r="G5787" t="s" s="2">
        <v>17</v>
      </c>
      <c r="H5787" t="s" s="2">
        <v>19</v>
      </c>
      <c r="I5787" t="s" s="2">
        <v>22422</v>
      </c>
      <c r="J5787" t="s" s="2">
        <v>22423</v>
      </c>
      <c r="K5787" t="s" s="2">
        <v>22</v>
      </c>
      <c r="L5787" t="s" s="2">
        <v>22</v>
      </c>
      <c r="M5787" t="s" s="2">
        <v>22</v>
      </c>
    </row>
    <row r="5788" ht="25.0" customHeight="true">
      <c r="A5788" t="s" s="2">
        <v>13</v>
      </c>
      <c r="B5788" t="s" s="2">
        <f>HYPERLINK("http://ts.21cn.com/tousu/show/id/1367784","虾米在线高利贷，套路贷")</f>
      </c>
      <c r="C5788" t="s" s="2">
        <v>15</v>
      </c>
      <c r="D5788" t="s" s="2">
        <v>16</v>
      </c>
      <c r="E5788" t="s" s="2">
        <v>17</v>
      </c>
      <c r="F5788" t="s" s="2">
        <f>HYPERLINK("http://ts.21cn.com/tousu/show/id/1367784","http://ts.21cn.com/tousu/show/id/1367784")</f>
      </c>
      <c r="G5788" t="s" s="2">
        <v>17</v>
      </c>
      <c r="H5788" t="s" s="2">
        <v>19</v>
      </c>
      <c r="I5788" t="s" s="2">
        <v>22425</v>
      </c>
      <c r="J5788" t="s" s="2">
        <v>22426</v>
      </c>
      <c r="K5788" t="s" s="2">
        <v>22</v>
      </c>
      <c r="L5788" t="s" s="2">
        <v>22</v>
      </c>
      <c r="M5788" t="s" s="2">
        <v>22</v>
      </c>
    </row>
    <row r="5789" ht="25.0" customHeight="true">
      <c r="A5789" t="s" s="2">
        <v>13</v>
      </c>
      <c r="B5789" t="s" s="2">
        <f>HYPERLINK("http://ts.21cn.com/tousu/show/id/1367783","来分期APP收期服务费")</f>
      </c>
      <c r="C5789" t="s" s="2">
        <v>15</v>
      </c>
      <c r="D5789" t="s" s="2">
        <v>16</v>
      </c>
      <c r="E5789" t="s" s="2">
        <v>17</v>
      </c>
      <c r="F5789" t="s" s="2">
        <f>HYPERLINK("http://ts.21cn.com/tousu/show/id/1367783","http://ts.21cn.com/tousu/show/id/1367783")</f>
      </c>
      <c r="G5789" t="s" s="2">
        <v>17</v>
      </c>
      <c r="H5789" t="s" s="2">
        <v>19</v>
      </c>
      <c r="I5789" t="s" s="2">
        <v>22429</v>
      </c>
      <c r="J5789" t="s" s="2">
        <v>22430</v>
      </c>
      <c r="K5789" t="s" s="2">
        <v>22</v>
      </c>
      <c r="L5789" t="s" s="2">
        <v>22</v>
      </c>
      <c r="M5789" t="s" s="2">
        <v>22</v>
      </c>
    </row>
    <row r="5790" ht="25.0" customHeight="true">
      <c r="A5790" t="s" s="2">
        <v>13</v>
      </c>
      <c r="B5790" t="s" s="2">
        <f>HYPERLINK("http://ts.21cn.com/tousu/show/id/1367782","英孚维权 要求退款（不接受违约金 合同无此项）")</f>
      </c>
      <c r="C5790" t="s" s="2">
        <v>15</v>
      </c>
      <c r="D5790" t="s" s="2">
        <v>16</v>
      </c>
      <c r="E5790" t="s" s="2">
        <v>17</v>
      </c>
      <c r="F5790" t="s" s="2">
        <f>HYPERLINK("http://ts.21cn.com/tousu/show/id/1367782","http://ts.21cn.com/tousu/show/id/1367782")</f>
      </c>
      <c r="G5790" t="s" s="2">
        <v>17</v>
      </c>
      <c r="H5790" t="s" s="2">
        <v>19</v>
      </c>
      <c r="I5790" t="s" s="2">
        <v>22433</v>
      </c>
      <c r="J5790" t="s" s="2">
        <v>22434</v>
      </c>
      <c r="K5790" t="s" s="2">
        <v>22</v>
      </c>
      <c r="L5790" t="s" s="2">
        <v>22</v>
      </c>
      <c r="M5790" t="s" s="2">
        <v>22</v>
      </c>
    </row>
    <row r="5791" ht="25.0" customHeight="true">
      <c r="A5791" t="s" s="2">
        <v>13</v>
      </c>
      <c r="B5791" t="s" s="2">
        <f>HYPERLINK("http://ts.21cn.com/tousu/show/id/1367781","汇潮支付为714高炮提供放款")</f>
      </c>
      <c r="C5791" t="s" s="2">
        <v>15</v>
      </c>
      <c r="D5791" t="s" s="2">
        <v>16</v>
      </c>
      <c r="E5791" t="s" s="2">
        <v>17</v>
      </c>
      <c r="F5791" t="s" s="2">
        <f>HYPERLINK("http://ts.21cn.com/tousu/show/id/1367781","http://ts.21cn.com/tousu/show/id/1367781")</f>
      </c>
      <c r="G5791" t="s" s="2">
        <v>17</v>
      </c>
      <c r="H5791" t="s" s="2">
        <v>19</v>
      </c>
      <c r="I5791" t="s" s="2">
        <v>22437</v>
      </c>
      <c r="J5791" t="s" s="2">
        <v>22438</v>
      </c>
      <c r="K5791" t="s" s="2">
        <v>22</v>
      </c>
      <c r="L5791" t="s" s="2">
        <v>22</v>
      </c>
      <c r="M5791" t="s" s="2">
        <v>22</v>
      </c>
    </row>
    <row r="5792" ht="25.0" customHeight="true">
      <c r="A5792" t="s" s="2">
        <v>13</v>
      </c>
      <c r="B5792" t="s" s="2">
        <f>HYPERLINK("http://ts.21cn.com/tousu/show/id/1367772","利用包下信用卡为由 诱导客户支付包装费998元")</f>
      </c>
      <c r="C5792" t="s" s="2">
        <v>15</v>
      </c>
      <c r="D5792" t="s" s="2">
        <v>16</v>
      </c>
      <c r="E5792" t="s" s="2">
        <v>17</v>
      </c>
      <c r="F5792" t="s" s="2">
        <f>HYPERLINK("http://ts.21cn.com/tousu/show/id/1367772","http://ts.21cn.com/tousu/show/id/1367772")</f>
      </c>
      <c r="G5792" t="s" s="2">
        <v>17</v>
      </c>
      <c r="H5792" t="s" s="2">
        <v>19</v>
      </c>
      <c r="I5792" t="s" s="2">
        <v>22441</v>
      </c>
      <c r="J5792" t="s" s="2">
        <v>22442</v>
      </c>
      <c r="K5792" t="s" s="2">
        <v>22</v>
      </c>
      <c r="L5792" t="s" s="2">
        <v>22</v>
      </c>
      <c r="M5792" t="s" s="2">
        <v>22</v>
      </c>
    </row>
    <row r="5793" ht="25.0" customHeight="true">
      <c r="A5793" t="s" s="2">
        <v>13</v>
      </c>
      <c r="B5793" t="s" s="2">
        <f>HYPERLINK("http://ts.21cn.com/tousu/show/id/1367764","宜人贷恶意隐瞒未告知相关款项，砍头息")</f>
      </c>
      <c r="C5793" t="s" s="2">
        <v>15</v>
      </c>
      <c r="D5793" t="s" s="2">
        <v>16</v>
      </c>
      <c r="E5793" t="s" s="2">
        <v>17</v>
      </c>
      <c r="F5793" t="s" s="2">
        <f>HYPERLINK("http://ts.21cn.com/tousu/show/id/1367764","http://ts.21cn.com/tousu/show/id/1367764")</f>
      </c>
      <c r="G5793" t="s" s="2">
        <v>17</v>
      </c>
      <c r="H5793" t="s" s="2">
        <v>19</v>
      </c>
      <c r="I5793" t="s" s="2">
        <v>22445</v>
      </c>
      <c r="J5793" t="s" s="2">
        <v>22446</v>
      </c>
      <c r="K5793" t="s" s="2">
        <v>22</v>
      </c>
      <c r="L5793" t="s" s="2">
        <v>22</v>
      </c>
      <c r="M5793" t="s" s="2">
        <v>22</v>
      </c>
    </row>
    <row r="5794" ht="25.0" customHeight="true">
      <c r="A5794" t="s" s="2">
        <v>13</v>
      </c>
      <c r="B5794" t="s" s="2">
        <f>HYPERLINK("http://ts.21cn.com/tousu/show/id/1367780","恶意骚扰公司座机和门店座机")</f>
      </c>
      <c r="C5794" t="s" s="2">
        <v>15</v>
      </c>
      <c r="D5794" t="s" s="2">
        <v>16</v>
      </c>
      <c r="E5794" t="s" s="2">
        <v>17</v>
      </c>
      <c r="F5794" t="s" s="2">
        <f>HYPERLINK("http://ts.21cn.com/tousu/show/id/1367780","http://ts.21cn.com/tousu/show/id/1367780")</f>
      </c>
      <c r="G5794" t="s" s="2">
        <v>17</v>
      </c>
      <c r="H5794" t="s" s="2">
        <v>19</v>
      </c>
      <c r="I5794" t="s" s="2">
        <v>22449</v>
      </c>
      <c r="J5794" t="s" s="2">
        <v>22450</v>
      </c>
      <c r="K5794" t="s" s="2">
        <v>22</v>
      </c>
      <c r="L5794" t="s" s="2">
        <v>22</v>
      </c>
      <c r="M5794" t="s" s="2">
        <v>22</v>
      </c>
    </row>
    <row r="5795" ht="25.0" customHeight="true">
      <c r="A5795" t="s" s="2">
        <v>13</v>
      </c>
      <c r="B5795" t="s" s="2">
        <f>HYPERLINK("http://ts.21cn.com/tousu/show/id/1367779","滴滴")</f>
      </c>
      <c r="C5795" t="s" s="2">
        <v>15</v>
      </c>
      <c r="D5795" t="s" s="2">
        <v>16</v>
      </c>
      <c r="E5795" t="s" s="2">
        <v>17</v>
      </c>
      <c r="F5795" t="s" s="2">
        <f>HYPERLINK("http://ts.21cn.com/tousu/show/id/1367779","http://ts.21cn.com/tousu/show/id/1367779")</f>
      </c>
      <c r="G5795" t="s" s="2">
        <v>17</v>
      </c>
      <c r="H5795" t="s" s="2">
        <v>19</v>
      </c>
      <c r="I5795" t="s" s="2">
        <v>22453</v>
      </c>
      <c r="J5795" t="s" s="2">
        <v>22454</v>
      </c>
      <c r="K5795" t="s" s="2">
        <v>22</v>
      </c>
      <c r="L5795" t="s" s="2">
        <v>22</v>
      </c>
      <c r="M5795" t="s" s="2">
        <v>22</v>
      </c>
    </row>
    <row r="5796" ht="25.0" customHeight="true">
      <c r="A5796" t="s" s="2">
        <v>13</v>
      </c>
      <c r="B5796" t="s" s="2">
        <f>HYPERLINK("http://ts.21cn.com/tousu/show/id/1367778","欺诈")</f>
      </c>
      <c r="C5796" t="s" s="2">
        <v>15</v>
      </c>
      <c r="D5796" t="s" s="2">
        <v>16</v>
      </c>
      <c r="E5796" t="s" s="2">
        <v>17</v>
      </c>
      <c r="F5796" t="s" s="2">
        <f>HYPERLINK("http://ts.21cn.com/tousu/show/id/1367778","http://ts.21cn.com/tousu/show/id/1367778")</f>
      </c>
      <c r="G5796" t="s" s="2">
        <v>17</v>
      </c>
      <c r="H5796" t="s" s="2">
        <v>19</v>
      </c>
      <c r="I5796" t="s" s="2">
        <v>22457</v>
      </c>
      <c r="J5796" t="s" s="2">
        <v>22458</v>
      </c>
      <c r="K5796" t="s" s="2">
        <v>22</v>
      </c>
      <c r="L5796" t="s" s="2">
        <v>22</v>
      </c>
      <c r="M5796" t="s" s="2">
        <v>22</v>
      </c>
    </row>
    <row r="5797" ht="25.0" customHeight="true">
      <c r="A5797" t="s" s="2">
        <v>13</v>
      </c>
      <c r="B5797" t="s" s="2">
        <f>HYPERLINK("http://ts.21cn.com/tousu/show/id/1367777","招行信用卡不同意协商，是要逼死我")</f>
      </c>
      <c r="C5797" t="s" s="2">
        <v>15</v>
      </c>
      <c r="D5797" t="s" s="2">
        <v>16</v>
      </c>
      <c r="E5797" t="s" s="2">
        <v>17</v>
      </c>
      <c r="F5797" t="s" s="2">
        <f>HYPERLINK("http://ts.21cn.com/tousu/show/id/1367777","http://ts.21cn.com/tousu/show/id/1367777")</f>
      </c>
      <c r="G5797" t="s" s="2">
        <v>17</v>
      </c>
      <c r="H5797" t="s" s="2">
        <v>19</v>
      </c>
      <c r="I5797" t="s" s="2">
        <v>22461</v>
      </c>
      <c r="J5797" t="s" s="2">
        <v>22462</v>
      </c>
      <c r="K5797" t="s" s="2">
        <v>22</v>
      </c>
      <c r="L5797" t="s" s="2">
        <v>22</v>
      </c>
      <c r="M5797" t="s" s="2">
        <v>22</v>
      </c>
    </row>
    <row r="5798" ht="25.0" customHeight="true">
      <c r="A5798" t="s" s="2">
        <v>13</v>
      </c>
      <c r="B5798" t="s" s="2">
        <f>HYPERLINK("http://ts.21cn.com/tousu/show/id/1367776","亚博网络赌博搜索广告")</f>
      </c>
      <c r="C5798" t="s" s="2">
        <v>15</v>
      </c>
      <c r="D5798" t="s" s="2">
        <v>16</v>
      </c>
      <c r="E5798" t="s" s="2">
        <v>17</v>
      </c>
      <c r="F5798" t="s" s="2">
        <f>HYPERLINK("http://ts.21cn.com/tousu/show/id/1367776","http://ts.21cn.com/tousu/show/id/1367776")</f>
      </c>
      <c r="G5798" t="s" s="2">
        <v>17</v>
      </c>
      <c r="H5798" t="s" s="2">
        <v>19</v>
      </c>
      <c r="I5798" t="s" s="2">
        <v>22465</v>
      </c>
      <c r="J5798" t="s" s="2">
        <v>22466</v>
      </c>
      <c r="K5798" t="s" s="2">
        <v>22</v>
      </c>
      <c r="L5798" t="s" s="2">
        <v>22</v>
      </c>
      <c r="M5798" t="s" s="2">
        <v>22</v>
      </c>
    </row>
    <row r="5799" ht="25.0" customHeight="true">
      <c r="A5799" t="s" s="2">
        <v>13</v>
      </c>
      <c r="B5799" t="s" s="2">
        <f>HYPERLINK("http://ts.21cn.com/tousu/show/id/1367775","本人在捷信网贷2018年12月12号，贷款45000元，分54期还款，每月还款1693元，还了11期了本金才还掉4700")</f>
      </c>
      <c r="C5799" t="s" s="2">
        <v>52</v>
      </c>
      <c r="D5799" t="s" s="2">
        <v>16</v>
      </c>
      <c r="E5799" t="s" s="2">
        <v>17</v>
      </c>
      <c r="F5799" t="s" s="2">
        <f>HYPERLINK("http://ts.21cn.com/tousu/show/id/1367775","http://ts.21cn.com/tousu/show/id/1367775")</f>
      </c>
      <c r="G5799" t="s" s="2">
        <v>17</v>
      </c>
      <c r="H5799" t="s" s="2">
        <v>19</v>
      </c>
      <c r="I5799" t="s" s="2">
        <v>22469</v>
      </c>
      <c r="J5799" t="s" s="2">
        <v>22470</v>
      </c>
      <c r="K5799" t="s" s="2">
        <v>22</v>
      </c>
      <c r="L5799" t="s" s="2">
        <v>22</v>
      </c>
      <c r="M5799" t="s" s="2">
        <v>22</v>
      </c>
    </row>
    <row r="5800" ht="25.0" customHeight="true">
      <c r="A5800" t="s" s="2">
        <v>13</v>
      </c>
      <c r="B5800" t="s" s="2">
        <f>HYPERLINK("http://ts.21cn.com/tousu/show/id/1367774","天天十几电话骚扰，严重影响我的正常工作")</f>
      </c>
      <c r="C5800" t="s" s="2">
        <v>15</v>
      </c>
      <c r="D5800" t="s" s="2">
        <v>16</v>
      </c>
      <c r="E5800" t="s" s="2">
        <v>17</v>
      </c>
      <c r="F5800" t="s" s="2">
        <f>HYPERLINK("http://ts.21cn.com/tousu/show/id/1367774","http://ts.21cn.com/tousu/show/id/1367774")</f>
      </c>
      <c r="G5800" t="s" s="2">
        <v>17</v>
      </c>
      <c r="H5800" t="s" s="2">
        <v>19</v>
      </c>
      <c r="I5800" t="s" s="2">
        <v>22473</v>
      </c>
      <c r="J5800" t="s" s="2">
        <v>22474</v>
      </c>
      <c r="K5800" t="s" s="2">
        <v>22</v>
      </c>
      <c r="L5800" t="s" s="2">
        <v>22</v>
      </c>
      <c r="M5800" t="s" s="2">
        <v>22</v>
      </c>
    </row>
    <row r="5801" ht="25.0" customHeight="true">
      <c r="A5801" t="s" s="2">
        <v>13</v>
      </c>
      <c r="B5801" t="s" s="2">
        <f>HYPERLINK("http://ts.21cn.com/tousu/show/id/1367773","我在爱钱进名下公司钱站和月光侠贷款结果没注意看合同阳奉阴违改变金额")</f>
      </c>
      <c r="C5801" t="s" s="2">
        <v>15</v>
      </c>
      <c r="D5801" t="s" s="2">
        <v>16</v>
      </c>
      <c r="E5801" t="s" s="2">
        <v>17</v>
      </c>
      <c r="F5801" t="s" s="2">
        <f>HYPERLINK("http://ts.21cn.com/tousu/show/id/1367773","http://ts.21cn.com/tousu/show/id/1367773")</f>
      </c>
      <c r="G5801" t="s" s="2">
        <v>17</v>
      </c>
      <c r="H5801" t="s" s="2">
        <v>19</v>
      </c>
      <c r="I5801" t="s" s="2">
        <v>22477</v>
      </c>
      <c r="J5801" t="s" s="2">
        <v>22478</v>
      </c>
      <c r="K5801" t="s" s="2">
        <v>22</v>
      </c>
      <c r="L5801" t="s" s="2">
        <v>22</v>
      </c>
      <c r="M5801" t="s" s="2">
        <v>22</v>
      </c>
    </row>
    <row r="5802" ht="25.0" customHeight="true">
      <c r="A5802" t="s" s="2">
        <v>13</v>
      </c>
      <c r="B5802" t="s" s="2">
        <f>HYPERLINK("http://ts.21cn.com/tousu/show/id/1367771","关于立即贷乱扣费，砍头息")</f>
      </c>
      <c r="C5802" t="s" s="2">
        <v>15</v>
      </c>
      <c r="D5802" t="s" s="2">
        <v>16</v>
      </c>
      <c r="E5802" t="s" s="2">
        <v>17</v>
      </c>
      <c r="F5802" t="s" s="2">
        <f>HYPERLINK("http://ts.21cn.com/tousu/show/id/1367771","http://ts.21cn.com/tousu/show/id/1367771")</f>
      </c>
      <c r="G5802" t="s" s="2">
        <v>17</v>
      </c>
      <c r="H5802" t="s" s="2">
        <v>19</v>
      </c>
      <c r="I5802" t="s" s="2">
        <v>22481</v>
      </c>
      <c r="J5802" t="s" s="2">
        <v>22482</v>
      </c>
      <c r="K5802" t="s" s="2">
        <v>22</v>
      </c>
      <c r="L5802" t="s" s="2">
        <v>22</v>
      </c>
      <c r="M5802" t="s" s="2">
        <v>22</v>
      </c>
    </row>
    <row r="5803" ht="25.0" customHeight="true">
      <c r="A5803" t="s" s="2">
        <v>13</v>
      </c>
      <c r="B5803" t="s" s="2">
        <f>HYPERLINK("http://ts.21cn.com/tousu/show/id/1367770","承诺退款，不但没退，还把我仅剩的150也扣了")</f>
      </c>
      <c r="C5803" t="s" s="2">
        <v>15</v>
      </c>
      <c r="D5803" t="s" s="2">
        <v>16</v>
      </c>
      <c r="E5803" t="s" s="2">
        <v>17</v>
      </c>
      <c r="F5803" t="s" s="2">
        <f>HYPERLINK("http://ts.21cn.com/tousu/show/id/1367770","http://ts.21cn.com/tousu/show/id/1367770")</f>
      </c>
      <c r="G5803" t="s" s="2">
        <v>17</v>
      </c>
      <c r="H5803" t="s" s="2">
        <v>19</v>
      </c>
      <c r="I5803" t="s" s="2">
        <v>22485</v>
      </c>
      <c r="J5803" t="s" s="2">
        <v>22486</v>
      </c>
      <c r="K5803" t="s" s="2">
        <v>22</v>
      </c>
      <c r="L5803" t="s" s="2">
        <v>22</v>
      </c>
      <c r="M5803" t="s" s="2">
        <v>22</v>
      </c>
    </row>
    <row r="5804" ht="25.0" customHeight="true">
      <c r="A5804" t="s" s="2">
        <v>13</v>
      </c>
      <c r="B5804" t="s" s="2">
        <f>HYPERLINK("http://ts.21cn.com/tousu/show/id/1367769","OPPOR9SPLUS大规模无限重启变砖")</f>
      </c>
      <c r="C5804" t="s" s="2">
        <v>15</v>
      </c>
      <c r="D5804" t="s" s="2">
        <v>16</v>
      </c>
      <c r="E5804" t="s" s="2">
        <v>17</v>
      </c>
      <c r="F5804" t="s" s="2">
        <f>HYPERLINK("http://ts.21cn.com/tousu/show/id/1367769","http://ts.21cn.com/tousu/show/id/1367769")</f>
      </c>
      <c r="G5804" t="s" s="2">
        <v>17</v>
      </c>
      <c r="H5804" t="s" s="2">
        <v>19</v>
      </c>
      <c r="I5804" t="s" s="2">
        <v>22488</v>
      </c>
      <c r="J5804" t="s" s="2">
        <v>22489</v>
      </c>
      <c r="K5804" t="s" s="2">
        <v>22</v>
      </c>
      <c r="L5804" t="s" s="2">
        <v>22</v>
      </c>
      <c r="M5804" t="s" s="2">
        <v>22</v>
      </c>
    </row>
    <row r="5805" ht="25.0" customHeight="true">
      <c r="A5805" t="s" s="2">
        <v>13</v>
      </c>
      <c r="B5805" t="s" s="2">
        <f>HYPERLINK("http://ts.21cn.com/tousu/show/id/1367768","及贷套路学堂会员费")</f>
      </c>
      <c r="C5805" t="s" s="2">
        <v>15</v>
      </c>
      <c r="D5805" t="s" s="2">
        <v>16</v>
      </c>
      <c r="E5805" t="s" s="2">
        <v>17</v>
      </c>
      <c r="F5805" t="s" s="2">
        <f>HYPERLINK("http://ts.21cn.com/tousu/show/id/1367768","http://ts.21cn.com/tousu/show/id/1367768")</f>
      </c>
      <c r="G5805" t="s" s="2">
        <v>17</v>
      </c>
      <c r="H5805" t="s" s="2">
        <v>19</v>
      </c>
      <c r="I5805" t="s" s="2">
        <v>22492</v>
      </c>
      <c r="J5805" t="s" s="2">
        <v>22493</v>
      </c>
      <c r="K5805" t="s" s="2">
        <v>22</v>
      </c>
      <c r="L5805" t="s" s="2">
        <v>22</v>
      </c>
      <c r="M5805" t="s" s="2">
        <v>22</v>
      </c>
    </row>
    <row r="5806" ht="25.0" customHeight="true">
      <c r="A5806" t="s" s="2">
        <v>13</v>
      </c>
      <c r="B5806" t="s" s="2">
        <f>HYPERLINK("http://ts.21cn.com/tousu/show/id/1367767","虚假宣传诱导充值")</f>
      </c>
      <c r="C5806" t="s" s="2">
        <v>15</v>
      </c>
      <c r="D5806" t="s" s="2">
        <v>16</v>
      </c>
      <c r="E5806" t="s" s="2">
        <v>17</v>
      </c>
      <c r="F5806" t="s" s="2">
        <f>HYPERLINK("http://ts.21cn.com/tousu/show/id/1367767","http://ts.21cn.com/tousu/show/id/1367767")</f>
      </c>
      <c r="G5806" t="s" s="2">
        <v>17</v>
      </c>
      <c r="H5806" t="s" s="2">
        <v>19</v>
      </c>
      <c r="I5806" t="s" s="2">
        <v>22496</v>
      </c>
      <c r="J5806" t="s" s="2">
        <v>22497</v>
      </c>
      <c r="K5806" t="s" s="2">
        <v>22</v>
      </c>
      <c r="L5806" t="s" s="2">
        <v>22</v>
      </c>
      <c r="M5806" t="s" s="2">
        <v>22</v>
      </c>
    </row>
    <row r="5807" ht="25.0" customHeight="true">
      <c r="A5807" t="s" s="2">
        <v>13</v>
      </c>
      <c r="B5807" t="s" s="2">
        <f>HYPERLINK("http://ts.21cn.com/tousu/show/id/1367766","北京英孚教育霸王条款，诱导学员办理信用卡并分期付款")</f>
      </c>
      <c r="C5807" t="s" s="2">
        <v>15</v>
      </c>
      <c r="D5807" t="s" s="2">
        <v>16</v>
      </c>
      <c r="E5807" t="s" s="2">
        <v>17</v>
      </c>
      <c r="F5807" t="s" s="2">
        <f>HYPERLINK("http://ts.21cn.com/tousu/show/id/1367766","http://ts.21cn.com/tousu/show/id/1367766")</f>
      </c>
      <c r="G5807" t="s" s="2">
        <v>17</v>
      </c>
      <c r="H5807" t="s" s="2">
        <v>19</v>
      </c>
      <c r="I5807" t="s" s="2">
        <v>22500</v>
      </c>
      <c r="J5807" t="s" s="2">
        <v>22501</v>
      </c>
      <c r="K5807" t="s" s="2">
        <v>22</v>
      </c>
      <c r="L5807" t="s" s="2">
        <v>22</v>
      </c>
      <c r="M5807" t="s" s="2">
        <v>22</v>
      </c>
    </row>
    <row r="5808" ht="25.0" customHeight="true">
      <c r="A5808" t="s" s="2">
        <v>13</v>
      </c>
      <c r="B5808" t="s" s="2">
        <f>HYPERLINK("http://ts.21cn.com/tousu/show/id/1367765","请求腾讯客服联系我")</f>
      </c>
      <c r="C5808" t="s" s="2">
        <v>15</v>
      </c>
      <c r="D5808" t="s" s="2">
        <v>16</v>
      </c>
      <c r="E5808" t="s" s="2">
        <v>17</v>
      </c>
      <c r="F5808" t="s" s="2">
        <f>HYPERLINK("http://ts.21cn.com/tousu/show/id/1367765","http://ts.21cn.com/tousu/show/id/1367765")</f>
      </c>
      <c r="G5808" t="s" s="2">
        <v>17</v>
      </c>
      <c r="H5808" t="s" s="2">
        <v>19</v>
      </c>
      <c r="I5808" t="s" s="2">
        <v>22504</v>
      </c>
      <c r="J5808" t="s" s="2">
        <v>22505</v>
      </c>
      <c r="K5808" t="s" s="2">
        <v>22</v>
      </c>
      <c r="L5808" t="s" s="2">
        <v>22</v>
      </c>
      <c r="M5808" t="s" s="2">
        <v>22</v>
      </c>
    </row>
    <row r="5809" ht="25.0" customHeight="true">
      <c r="A5809" t="s" s="2">
        <v>13</v>
      </c>
      <c r="B5809" t="s" s="2">
        <f>HYPERLINK("http://ts.21cn.com/tousu/show/id/1367755","京东金融和江苏润融企业管理咨询服务有限公司不当催收")</f>
      </c>
      <c r="C5809" t="s" s="2">
        <v>15</v>
      </c>
      <c r="D5809" t="s" s="2">
        <v>16</v>
      </c>
      <c r="E5809" t="s" s="2">
        <v>17</v>
      </c>
      <c r="F5809" t="s" s="2">
        <f>HYPERLINK("http://ts.21cn.com/tousu/show/id/1367755","http://ts.21cn.com/tousu/show/id/1367755")</f>
      </c>
      <c r="G5809" t="s" s="2">
        <v>17</v>
      </c>
      <c r="H5809" t="s" s="2">
        <v>19</v>
      </c>
      <c r="I5809" t="s" s="2">
        <v>22508</v>
      </c>
      <c r="J5809" t="s" s="2">
        <v>22509</v>
      </c>
      <c r="K5809" t="s" s="2">
        <v>22</v>
      </c>
      <c r="L5809" t="s" s="2">
        <v>22</v>
      </c>
      <c r="M5809" t="s" s="2">
        <v>22</v>
      </c>
    </row>
    <row r="5810" ht="25.0" customHeight="true">
      <c r="A5810" t="s" s="2">
        <v>13</v>
      </c>
      <c r="B5810" t="s" s="2">
        <f>HYPERLINK("http://ts.21cn.com/tousu/show/id/1367763","立借利息太高")</f>
      </c>
      <c r="C5810" t="s" s="2">
        <v>15</v>
      </c>
      <c r="D5810" t="s" s="2">
        <v>16</v>
      </c>
      <c r="E5810" t="s" s="2">
        <v>17</v>
      </c>
      <c r="F5810" t="s" s="2">
        <f>HYPERLINK("http://ts.21cn.com/tousu/show/id/1367763","http://ts.21cn.com/tousu/show/id/1367763")</f>
      </c>
      <c r="G5810" t="s" s="2">
        <v>17</v>
      </c>
      <c r="H5810" t="s" s="2">
        <v>19</v>
      </c>
      <c r="I5810" t="s" s="2">
        <v>22512</v>
      </c>
      <c r="J5810" t="s" s="2">
        <v>22513</v>
      </c>
      <c r="K5810" t="s" s="2">
        <v>22</v>
      </c>
      <c r="L5810" t="s" s="2">
        <v>22</v>
      </c>
      <c r="M5810" t="s" s="2">
        <v>22</v>
      </c>
    </row>
    <row r="5811" ht="25.0" customHeight="true">
      <c r="A5811" t="s" s="2">
        <v>13</v>
      </c>
      <c r="B5811" t="s" s="2">
        <f>HYPERLINK("http://ts.21cn.com/tousu/show/id/1367762","暴击催收骚扰")</f>
      </c>
      <c r="C5811" t="s" s="2">
        <v>15</v>
      </c>
      <c r="D5811" t="s" s="2">
        <v>16</v>
      </c>
      <c r="E5811" t="s" s="2">
        <v>17</v>
      </c>
      <c r="F5811" t="s" s="2">
        <f>HYPERLINK("http://ts.21cn.com/tousu/show/id/1367762","http://ts.21cn.com/tousu/show/id/1367762")</f>
      </c>
      <c r="G5811" t="s" s="2">
        <v>17</v>
      </c>
      <c r="H5811" t="s" s="2">
        <v>19</v>
      </c>
      <c r="I5811" t="s" s="2">
        <v>22516</v>
      </c>
      <c r="J5811" t="s" s="2">
        <v>22517</v>
      </c>
      <c r="K5811" t="s" s="2">
        <v>22</v>
      </c>
      <c r="L5811" t="s" s="2">
        <v>22</v>
      </c>
      <c r="M5811" t="s" s="2">
        <v>22</v>
      </c>
    </row>
    <row r="5812" ht="25.0" customHeight="true">
      <c r="A5812" t="s" s="2">
        <v>13</v>
      </c>
      <c r="B5812" t="s" s="2">
        <f>HYPERLINK("http://ts.21cn.com/tousu/show/id/1367761","如期分期不明收费随意划款造成严重影响")</f>
      </c>
      <c r="C5812" t="s" s="2">
        <v>15</v>
      </c>
      <c r="D5812" t="s" s="2">
        <v>16</v>
      </c>
      <c r="E5812" t="s" s="2">
        <v>17</v>
      </c>
      <c r="F5812" t="s" s="2">
        <f>HYPERLINK("http://ts.21cn.com/tousu/show/id/1367761","http://ts.21cn.com/tousu/show/id/1367761")</f>
      </c>
      <c r="G5812" t="s" s="2">
        <v>17</v>
      </c>
      <c r="H5812" t="s" s="2">
        <v>19</v>
      </c>
      <c r="I5812" t="s" s="2">
        <v>22520</v>
      </c>
      <c r="J5812" t="s" s="2">
        <v>22521</v>
      </c>
      <c r="K5812" t="s" s="2">
        <v>22</v>
      </c>
      <c r="L5812" t="s" s="2">
        <v>22</v>
      </c>
      <c r="M5812" t="s" s="2">
        <v>22</v>
      </c>
    </row>
    <row r="5813" ht="25.0" customHeight="true">
      <c r="A5813" t="s" s="2">
        <v>13</v>
      </c>
      <c r="B5813" t="s" s="2">
        <f>HYPERLINK("http://ts.21cn.com/tousu/show/id/1367759","平安银行信用卡不予退还违约金以及罚息。")</f>
      </c>
      <c r="C5813" t="s" s="2">
        <v>15</v>
      </c>
      <c r="D5813" t="s" s="2">
        <v>16</v>
      </c>
      <c r="E5813" t="s" s="2">
        <v>17</v>
      </c>
      <c r="F5813" t="s" s="2">
        <f>HYPERLINK("http://ts.21cn.com/tousu/show/id/1367759","http://ts.21cn.com/tousu/show/id/1367759")</f>
      </c>
      <c r="G5813" t="s" s="2">
        <v>17</v>
      </c>
      <c r="H5813" t="s" s="2">
        <v>19</v>
      </c>
      <c r="I5813" t="s" s="2">
        <v>22524</v>
      </c>
      <c r="J5813" t="s" s="2">
        <v>22525</v>
      </c>
      <c r="K5813" t="s" s="2">
        <v>22</v>
      </c>
      <c r="L5813" t="s" s="2">
        <v>22</v>
      </c>
      <c r="M5813" t="s" s="2">
        <v>22</v>
      </c>
    </row>
    <row r="5814" ht="25.0" customHeight="true">
      <c r="A5814" t="s" s="2">
        <v>13</v>
      </c>
      <c r="B5814" t="s" s="2">
        <f>HYPERLINK("http://ts.21cn.com/tousu/show/id/1367758","投诉今日头条放心购（值点商城）不退还商家保证金和货款")</f>
      </c>
      <c r="C5814" t="s" s="2">
        <v>15</v>
      </c>
      <c r="D5814" t="s" s="2">
        <v>16</v>
      </c>
      <c r="E5814" t="s" s="2">
        <v>17</v>
      </c>
      <c r="F5814" t="s" s="2">
        <f>HYPERLINK("http://ts.21cn.com/tousu/show/id/1367758","http://ts.21cn.com/tousu/show/id/1367758")</f>
      </c>
      <c r="G5814" t="s" s="2">
        <v>17</v>
      </c>
      <c r="H5814" t="s" s="2">
        <v>19</v>
      </c>
      <c r="I5814" t="s" s="2">
        <v>22528</v>
      </c>
      <c r="J5814" t="s" s="2">
        <v>22529</v>
      </c>
      <c r="K5814" t="s" s="2">
        <v>22</v>
      </c>
      <c r="L5814" t="s" s="2">
        <v>22</v>
      </c>
      <c r="M5814" t="s" s="2">
        <v>22</v>
      </c>
    </row>
    <row r="5815" ht="25.0" customHeight="true">
      <c r="A5815" t="s" s="2">
        <v>13</v>
      </c>
      <c r="B5815" t="s" s="2">
        <f>HYPERLINK("http://ts.21cn.com/tousu/show/id/1367756","利息不合理")</f>
      </c>
      <c r="C5815" t="s" s="2">
        <v>15</v>
      </c>
      <c r="D5815" t="s" s="2">
        <v>16</v>
      </c>
      <c r="E5815" t="s" s="2">
        <v>17</v>
      </c>
      <c r="F5815" t="s" s="2">
        <f>HYPERLINK("http://ts.21cn.com/tousu/show/id/1367756","http://ts.21cn.com/tousu/show/id/1367756")</f>
      </c>
      <c r="G5815" t="s" s="2">
        <v>17</v>
      </c>
      <c r="H5815" t="s" s="2">
        <v>19</v>
      </c>
      <c r="I5815" t="s" s="2">
        <v>22532</v>
      </c>
      <c r="J5815" t="s" s="2">
        <v>22533</v>
      </c>
      <c r="K5815" t="s" s="2">
        <v>22</v>
      </c>
      <c r="L5815" t="s" s="2">
        <v>22</v>
      </c>
      <c r="M5815" t="s" s="2">
        <v>22</v>
      </c>
    </row>
    <row r="5816" ht="25.0" customHeight="true">
      <c r="A5816" t="s" s="2">
        <v>13</v>
      </c>
      <c r="B5816" t="s" s="2">
        <f>HYPERLINK("http://ts.21cn.com/tousu/show/id/1367754","拼多多涉嫌为赌博网站充值")</f>
      </c>
      <c r="C5816" t="s" s="2">
        <v>15</v>
      </c>
      <c r="D5816" t="s" s="2">
        <v>16</v>
      </c>
      <c r="E5816" t="s" s="2">
        <v>17</v>
      </c>
      <c r="F5816" t="s" s="2">
        <f>HYPERLINK("http://ts.21cn.com/tousu/show/id/1367754","http://ts.21cn.com/tousu/show/id/1367754")</f>
      </c>
      <c r="G5816" t="s" s="2">
        <v>17</v>
      </c>
      <c r="H5816" t="s" s="2">
        <v>19</v>
      </c>
      <c r="I5816" t="s" s="2">
        <v>22536</v>
      </c>
      <c r="J5816" t="s" s="2">
        <v>22537</v>
      </c>
      <c r="K5816" t="s" s="2">
        <v>22</v>
      </c>
      <c r="L5816" t="s" s="2">
        <v>22</v>
      </c>
      <c r="M5816" t="s" s="2">
        <v>22</v>
      </c>
    </row>
    <row r="5817" ht="25.0" customHeight="true">
      <c r="A5817" t="s" s="2">
        <v>13</v>
      </c>
      <c r="B5817" t="s" s="2">
        <f>HYPERLINK("http://ts.21cn.com/tousu/show/id/1367735","快捷通-上海信霖信息科技有限公司私自扣款，隐藏条例")</f>
      </c>
      <c r="C5817" t="s" s="2">
        <v>15</v>
      </c>
      <c r="D5817" t="s" s="2">
        <v>16</v>
      </c>
      <c r="E5817" t="s" s="2">
        <v>17</v>
      </c>
      <c r="F5817" t="s" s="2">
        <f>HYPERLINK("http://ts.21cn.com/tousu/show/id/1367735","http://ts.21cn.com/tousu/show/id/1367735")</f>
      </c>
      <c r="G5817" t="s" s="2">
        <v>17</v>
      </c>
      <c r="H5817" t="s" s="2">
        <v>19</v>
      </c>
      <c r="I5817" t="s" s="2">
        <v>22540</v>
      </c>
      <c r="J5817" t="s" s="2">
        <v>22541</v>
      </c>
      <c r="K5817" t="s" s="2">
        <v>22</v>
      </c>
      <c r="L5817" t="s" s="2">
        <v>22</v>
      </c>
      <c r="M5817" t="s" s="2">
        <v>22</v>
      </c>
    </row>
    <row r="5818" ht="25.0" customHeight="true">
      <c r="A5818" t="s" s="2">
        <v>13</v>
      </c>
      <c r="B5818" t="s" s="2">
        <f>HYPERLINK("http://ts.21cn.com/tousu/show/id/1367753","豹子贷无故扣钱不需要还要扣")</f>
      </c>
      <c r="C5818" t="s" s="2">
        <v>15</v>
      </c>
      <c r="D5818" t="s" s="2">
        <v>16</v>
      </c>
      <c r="E5818" t="s" s="2">
        <v>17</v>
      </c>
      <c r="F5818" t="s" s="2">
        <f>HYPERLINK("http://ts.21cn.com/tousu/show/id/1367753","http://ts.21cn.com/tousu/show/id/1367753")</f>
      </c>
      <c r="G5818" t="s" s="2">
        <v>17</v>
      </c>
      <c r="H5818" t="s" s="2">
        <v>19</v>
      </c>
      <c r="I5818" t="s" s="2">
        <v>22543</v>
      </c>
      <c r="J5818" t="s" s="2">
        <v>22544</v>
      </c>
      <c r="K5818" t="s" s="2">
        <v>22</v>
      </c>
      <c r="L5818" t="s" s="2">
        <v>22</v>
      </c>
      <c r="M5818" t="s" s="2">
        <v>22</v>
      </c>
    </row>
    <row r="5819" ht="25.0" customHeight="true">
      <c r="A5819" t="s" s="2">
        <v>13</v>
      </c>
      <c r="B5819" t="s" s="2">
        <f>HYPERLINK("http://ts.21cn.com/tousu/show/id/1367752","想你分期套路贷")</f>
      </c>
      <c r="C5819" t="s" s="2">
        <v>15</v>
      </c>
      <c r="D5819" t="s" s="2">
        <v>16</v>
      </c>
      <c r="E5819" t="s" s="2">
        <v>17</v>
      </c>
      <c r="F5819" t="s" s="2">
        <f>HYPERLINK("http://ts.21cn.com/tousu/show/id/1367752","http://ts.21cn.com/tousu/show/id/1367752")</f>
      </c>
      <c r="G5819" t="s" s="2">
        <v>17</v>
      </c>
      <c r="H5819" t="s" s="2">
        <v>19</v>
      </c>
      <c r="I5819" t="s" s="2">
        <v>22547</v>
      </c>
      <c r="J5819" t="s" s="2">
        <v>22548</v>
      </c>
      <c r="K5819" t="s" s="2">
        <v>22</v>
      </c>
      <c r="L5819" t="s" s="2">
        <v>22</v>
      </c>
      <c r="M5819" t="s" s="2">
        <v>22</v>
      </c>
    </row>
    <row r="5820" ht="25.0" customHeight="true">
      <c r="A5820" t="s" s="2">
        <v>13</v>
      </c>
      <c r="B5820" t="s" s="2">
        <f>HYPERLINK("http://ts.21cn.com/tousu/show/id/1367751","盛钱包坑激活费")</f>
      </c>
      <c r="C5820" t="s" s="2">
        <v>15</v>
      </c>
      <c r="D5820" t="s" s="2">
        <v>16</v>
      </c>
      <c r="E5820" t="s" s="2">
        <v>17</v>
      </c>
      <c r="F5820" t="s" s="2">
        <f>HYPERLINK("http://ts.21cn.com/tousu/show/id/1367751","http://ts.21cn.com/tousu/show/id/1367751")</f>
      </c>
      <c r="G5820" t="s" s="2">
        <v>17</v>
      </c>
      <c r="H5820" t="s" s="2">
        <v>19</v>
      </c>
      <c r="I5820" t="s" s="2">
        <v>22551</v>
      </c>
      <c r="J5820" t="s" s="2">
        <v>22552</v>
      </c>
      <c r="K5820" t="s" s="2">
        <v>22</v>
      </c>
      <c r="L5820" t="s" s="2">
        <v>22</v>
      </c>
      <c r="M5820" t="s" s="2">
        <v>22</v>
      </c>
    </row>
    <row r="5821" ht="25.0" customHeight="true">
      <c r="A5821" t="s" s="2">
        <v>13</v>
      </c>
      <c r="B5821" t="s" s="2">
        <f>HYPERLINK("http://ts.21cn.com/tousu/show/id/1367749","钱站爱白条月光侠高利贷暴力催收")</f>
      </c>
      <c r="C5821" t="s" s="2">
        <v>15</v>
      </c>
      <c r="D5821" t="s" s="2">
        <v>16</v>
      </c>
      <c r="E5821" t="s" s="2">
        <v>17</v>
      </c>
      <c r="F5821" t="s" s="2">
        <f>HYPERLINK("http://ts.21cn.com/tousu/show/id/1367749","http://ts.21cn.com/tousu/show/id/1367749")</f>
      </c>
      <c r="G5821" t="s" s="2">
        <v>17</v>
      </c>
      <c r="H5821" t="s" s="2">
        <v>19</v>
      </c>
      <c r="I5821" t="s" s="2">
        <v>22555</v>
      </c>
      <c r="J5821" t="s" s="2">
        <v>22556</v>
      </c>
      <c r="K5821" t="s" s="2">
        <v>22</v>
      </c>
      <c r="L5821" t="s" s="2">
        <v>22</v>
      </c>
      <c r="M5821" t="s" s="2">
        <v>22</v>
      </c>
    </row>
    <row r="5822" ht="25.0" customHeight="true">
      <c r="A5822" t="s" s="2">
        <v>13</v>
      </c>
      <c r="B5822" t="s" s="2">
        <f>HYPERLINK("http://ts.21cn.com/tousu/show/id/1367747","财付通无故扣除我银行卡五百元给腾安基金销售深圳有限公司")</f>
      </c>
      <c r="C5822" t="s" s="2">
        <v>15</v>
      </c>
      <c r="D5822" t="s" s="2">
        <v>16</v>
      </c>
      <c r="E5822" t="s" s="2">
        <v>17</v>
      </c>
      <c r="F5822" t="s" s="2">
        <f>HYPERLINK("http://ts.21cn.com/tousu/show/id/1367747","http://ts.21cn.com/tousu/show/id/1367747")</f>
      </c>
      <c r="G5822" t="s" s="2">
        <v>17</v>
      </c>
      <c r="H5822" t="s" s="2">
        <v>19</v>
      </c>
      <c r="I5822" t="s" s="2">
        <v>22559</v>
      </c>
      <c r="J5822" t="s" s="2">
        <v>22560</v>
      </c>
      <c r="K5822" t="s" s="2">
        <v>22</v>
      </c>
      <c r="L5822" t="s" s="2">
        <v>22</v>
      </c>
      <c r="M5822" t="s" s="2">
        <v>22</v>
      </c>
    </row>
    <row r="5823" ht="25.0" customHeight="true">
      <c r="A5823" t="s" s="2">
        <v>13</v>
      </c>
      <c r="B5823" t="s" s="2">
        <f>HYPERLINK("http://ts.21cn.com/tousu/show/id/1367746","在没有任何提示情况及确认下扣款")</f>
      </c>
      <c r="C5823" t="s" s="2">
        <v>15</v>
      </c>
      <c r="D5823" t="s" s="2">
        <v>16</v>
      </c>
      <c r="E5823" t="s" s="2">
        <v>17</v>
      </c>
      <c r="F5823" t="s" s="2">
        <f>HYPERLINK("http://ts.21cn.com/tousu/show/id/1367746","http://ts.21cn.com/tousu/show/id/1367746")</f>
      </c>
      <c r="G5823" t="s" s="2">
        <v>17</v>
      </c>
      <c r="H5823" t="s" s="2">
        <v>19</v>
      </c>
      <c r="I5823" t="s" s="2">
        <v>22563</v>
      </c>
      <c r="J5823" t="s" s="2">
        <v>22564</v>
      </c>
      <c r="K5823" t="s" s="2">
        <v>22</v>
      </c>
      <c r="L5823" t="s" s="2">
        <v>22</v>
      </c>
      <c r="M5823" t="s" s="2">
        <v>22</v>
      </c>
    </row>
    <row r="5824" ht="25.0" customHeight="true">
      <c r="A5824" t="s" s="2">
        <v>13</v>
      </c>
      <c r="B5824" t="s" s="2">
        <f>HYPERLINK("http://ts.21cn.com/tousu/show/id/1367742","我要投诉一个网贷平台（快闪卡贷）利息过高")</f>
      </c>
      <c r="C5824" t="s" s="2">
        <v>15</v>
      </c>
      <c r="D5824" t="s" s="2">
        <v>16</v>
      </c>
      <c r="E5824" t="s" s="2">
        <v>17</v>
      </c>
      <c r="F5824" t="s" s="2">
        <f>HYPERLINK("http://ts.21cn.com/tousu/show/id/1367742","http://ts.21cn.com/tousu/show/id/1367742")</f>
      </c>
      <c r="G5824" t="s" s="2">
        <v>17</v>
      </c>
      <c r="H5824" t="s" s="2">
        <v>19</v>
      </c>
      <c r="I5824" t="s" s="2">
        <v>22567</v>
      </c>
      <c r="J5824" t="s" s="2">
        <v>22568</v>
      </c>
      <c r="K5824" t="s" s="2">
        <v>22</v>
      </c>
      <c r="L5824" t="s" s="2">
        <v>22</v>
      </c>
      <c r="M5824" t="s" s="2">
        <v>22</v>
      </c>
    </row>
    <row r="5825" ht="25.0" customHeight="true">
      <c r="A5825" t="s" s="2">
        <v>13</v>
      </c>
      <c r="B5825" t="s" s="2">
        <f>HYPERLINK("http://ts.21cn.com/tousu/show/id/1367741","微信支付冻结投诉")</f>
      </c>
      <c r="C5825" t="s" s="2">
        <v>15</v>
      </c>
      <c r="D5825" t="s" s="2">
        <v>16</v>
      </c>
      <c r="E5825" t="s" s="2">
        <v>17</v>
      </c>
      <c r="F5825" t="s" s="2">
        <f>HYPERLINK("http://ts.21cn.com/tousu/show/id/1367741","http://ts.21cn.com/tousu/show/id/1367741")</f>
      </c>
      <c r="G5825" t="s" s="2">
        <v>17</v>
      </c>
      <c r="H5825" t="s" s="2">
        <v>19</v>
      </c>
      <c r="I5825" t="s" s="2">
        <v>22570</v>
      </c>
      <c r="J5825" t="s" s="2">
        <v>22571</v>
      </c>
      <c r="K5825" t="s" s="2">
        <v>22</v>
      </c>
      <c r="L5825" t="s" s="2">
        <v>22</v>
      </c>
      <c r="M5825" t="s" s="2">
        <v>22</v>
      </c>
    </row>
    <row r="5826" ht="25.0" customHeight="true">
      <c r="A5826" t="s" s="2">
        <v>13</v>
      </c>
      <c r="B5826" t="s" s="2">
        <f>HYPERLINK("http://ts.21cn.com/tousu/show/id/1367740","拍拍贷逾期利息过高，软暴力催收")</f>
      </c>
      <c r="C5826" t="s" s="2">
        <v>15</v>
      </c>
      <c r="D5826" t="s" s="2">
        <v>16</v>
      </c>
      <c r="E5826" t="s" s="2">
        <v>17</v>
      </c>
      <c r="F5826" t="s" s="2">
        <f>HYPERLINK("http://ts.21cn.com/tousu/show/id/1367740","http://ts.21cn.com/tousu/show/id/1367740")</f>
      </c>
      <c r="G5826" t="s" s="2">
        <v>17</v>
      </c>
      <c r="H5826" t="s" s="2">
        <v>19</v>
      </c>
      <c r="I5826" t="s" s="2">
        <v>22574</v>
      </c>
      <c r="J5826" t="s" s="2">
        <v>22575</v>
      </c>
      <c r="K5826" t="s" s="2">
        <v>22</v>
      </c>
      <c r="L5826" t="s" s="2">
        <v>22</v>
      </c>
      <c r="M5826" t="s" s="2">
        <v>22</v>
      </c>
    </row>
    <row r="5827" ht="25.0" customHeight="true">
      <c r="A5827" t="s" s="2">
        <v>13</v>
      </c>
      <c r="B5827" t="s" s="2">
        <f>HYPERLINK("http://ts.21cn.com/tousu/show/id/1367739","新生支付有限公司—海南圣云可网络科技有限公司不明扣款")</f>
      </c>
      <c r="C5827" t="s" s="2">
        <v>15</v>
      </c>
      <c r="D5827" t="s" s="2">
        <v>16</v>
      </c>
      <c r="E5827" t="s" s="2">
        <v>17</v>
      </c>
      <c r="F5827" t="s" s="2">
        <f>HYPERLINK("http://ts.21cn.com/tousu/show/id/1367739","http://ts.21cn.com/tousu/show/id/1367739")</f>
      </c>
      <c r="G5827" t="s" s="2">
        <v>17</v>
      </c>
      <c r="H5827" t="s" s="2">
        <v>19</v>
      </c>
      <c r="I5827" t="s" s="2">
        <v>22578</v>
      </c>
      <c r="J5827" t="s" s="2">
        <v>22579</v>
      </c>
      <c r="K5827" t="s" s="2">
        <v>22</v>
      </c>
      <c r="L5827" t="s" s="2">
        <v>22</v>
      </c>
      <c r="M5827" t="s" s="2">
        <v>22</v>
      </c>
    </row>
    <row r="5828" ht="25.0" customHeight="true">
      <c r="A5828" t="s" s="2">
        <v>13</v>
      </c>
      <c r="B5828" t="s" s="2">
        <f>HYPERLINK("http://ts.21cn.com/tousu/show/id/1367703","虚假VIP服务")</f>
      </c>
      <c r="C5828" t="s" s="2">
        <v>15</v>
      </c>
      <c r="D5828" t="s" s="2">
        <v>16</v>
      </c>
      <c r="E5828" t="s" s="2">
        <v>17</v>
      </c>
      <c r="F5828" t="s" s="2">
        <f>HYPERLINK("http://ts.21cn.com/tousu/show/id/1367703","http://ts.21cn.com/tousu/show/id/1367703")</f>
      </c>
      <c r="G5828" t="s" s="2">
        <v>17</v>
      </c>
      <c r="H5828" t="s" s="2">
        <v>19</v>
      </c>
      <c r="I5828" t="s" s="2">
        <v>22582</v>
      </c>
      <c r="J5828" t="s" s="2">
        <v>22583</v>
      </c>
      <c r="K5828" t="s" s="2">
        <v>22</v>
      </c>
      <c r="L5828" t="s" s="2">
        <v>22</v>
      </c>
      <c r="M5828" t="s" s="2">
        <v>22</v>
      </c>
    </row>
    <row r="5829" ht="25.0" customHeight="true">
      <c r="A5829" t="s" s="2">
        <v>13</v>
      </c>
      <c r="B5829" t="s" s="2">
        <f>HYPERLINK("http://ts.21cn.com/tousu/show/id/1367738","广东信汇为非法网站提供支付通道")</f>
      </c>
      <c r="C5829" t="s" s="2">
        <v>15</v>
      </c>
      <c r="D5829" t="s" s="2">
        <v>16</v>
      </c>
      <c r="E5829" t="s" s="2">
        <v>17</v>
      </c>
      <c r="F5829" t="s" s="2">
        <f>HYPERLINK("http://ts.21cn.com/tousu/show/id/1367738","http://ts.21cn.com/tousu/show/id/1367738")</f>
      </c>
      <c r="G5829" t="s" s="2">
        <v>17</v>
      </c>
      <c r="H5829" t="s" s="2">
        <v>19</v>
      </c>
      <c r="I5829" t="s" s="2">
        <v>22586</v>
      </c>
      <c r="J5829" t="s" s="2">
        <v>22587</v>
      </c>
      <c r="K5829" t="s" s="2">
        <v>22</v>
      </c>
      <c r="L5829" t="s" s="2">
        <v>22</v>
      </c>
      <c r="M5829" t="s" s="2">
        <v>22</v>
      </c>
    </row>
    <row r="5830" ht="25.0" customHeight="true">
      <c r="A5830" t="s" s="2">
        <v>13</v>
      </c>
      <c r="B5830" t="s" s="2">
        <f>HYPERLINK("http://ts.21cn.com/tousu/show/id/1367737","人人花乱扣费")</f>
      </c>
      <c r="C5830" t="s" s="2">
        <v>15</v>
      </c>
      <c r="D5830" t="s" s="2">
        <v>16</v>
      </c>
      <c r="E5830" t="s" s="2">
        <v>17</v>
      </c>
      <c r="F5830" t="s" s="2">
        <f>HYPERLINK("http://ts.21cn.com/tousu/show/id/1367737","http://ts.21cn.com/tousu/show/id/1367737")</f>
      </c>
      <c r="G5830" t="s" s="2">
        <v>17</v>
      </c>
      <c r="H5830" t="s" s="2">
        <v>19</v>
      </c>
      <c r="I5830" t="s" s="2">
        <v>22589</v>
      </c>
      <c r="J5830" t="s" s="2">
        <v>22590</v>
      </c>
      <c r="K5830" t="s" s="2">
        <v>22</v>
      </c>
      <c r="L5830" t="s" s="2">
        <v>22</v>
      </c>
      <c r="M5830" t="s" s="2">
        <v>22</v>
      </c>
    </row>
    <row r="5831" ht="25.0" customHeight="true">
      <c r="A5831" t="s" s="2">
        <v>13</v>
      </c>
      <c r="B5831" t="s" s="2">
        <f>HYPERLINK("http://ts.21cn.com/tousu/show/id/1367736","保卖车45天不过户")</f>
      </c>
      <c r="C5831" t="s" s="2">
        <v>15</v>
      </c>
      <c r="D5831" t="s" s="2">
        <v>16</v>
      </c>
      <c r="E5831" t="s" s="2">
        <v>17</v>
      </c>
      <c r="F5831" t="s" s="2">
        <f>HYPERLINK("http://ts.21cn.com/tousu/show/id/1367736","http://ts.21cn.com/tousu/show/id/1367736")</f>
      </c>
      <c r="G5831" t="s" s="2">
        <v>17</v>
      </c>
      <c r="H5831" t="s" s="2">
        <v>19</v>
      </c>
      <c r="I5831" t="s" s="2">
        <v>22593</v>
      </c>
      <c r="J5831" t="s" s="2">
        <v>22594</v>
      </c>
      <c r="K5831" t="s" s="2">
        <v>22</v>
      </c>
      <c r="L5831" t="s" s="2">
        <v>22</v>
      </c>
      <c r="M5831" t="s" s="2">
        <v>22</v>
      </c>
    </row>
    <row r="5832" ht="25.0" customHeight="true">
      <c r="A5832" t="s" s="2">
        <v>13</v>
      </c>
      <c r="B5832" t="s" s="2">
        <f>HYPERLINK("http://ts.21cn.com/tousu/show/id/1367734","在微信ETC助手办理的速通卡不给注销")</f>
      </c>
      <c r="C5832" t="s" s="2">
        <v>15</v>
      </c>
      <c r="D5832" t="s" s="2">
        <v>16</v>
      </c>
      <c r="E5832" t="s" s="2">
        <v>17</v>
      </c>
      <c r="F5832" t="s" s="2">
        <f>HYPERLINK("http://ts.21cn.com/tousu/show/id/1367734","http://ts.21cn.com/tousu/show/id/1367734")</f>
      </c>
      <c r="G5832" t="s" s="2">
        <v>17</v>
      </c>
      <c r="H5832" t="s" s="2">
        <v>19</v>
      </c>
      <c r="I5832" t="s" s="2">
        <v>22597</v>
      </c>
      <c r="J5832" t="s" s="2">
        <v>22598</v>
      </c>
      <c r="K5832" t="s" s="2">
        <v>22</v>
      </c>
      <c r="L5832" t="s" s="2">
        <v>22</v>
      </c>
      <c r="M5832" t="s" s="2">
        <v>22</v>
      </c>
    </row>
    <row r="5833" ht="25.0" customHeight="true">
      <c r="A5833" t="s" s="2">
        <v>13</v>
      </c>
      <c r="B5833" t="s" s="2">
        <f>HYPERLINK("http://ts.21cn.com/tousu/show/id/1367733","豹子贷平台恶意扣款")</f>
      </c>
      <c r="C5833" t="s" s="2">
        <v>15</v>
      </c>
      <c r="D5833" t="s" s="2">
        <v>16</v>
      </c>
      <c r="E5833" t="s" s="2">
        <v>17</v>
      </c>
      <c r="F5833" t="s" s="2">
        <f>HYPERLINK("http://ts.21cn.com/tousu/show/id/1367733","http://ts.21cn.com/tousu/show/id/1367733")</f>
      </c>
      <c r="G5833" t="s" s="2">
        <v>17</v>
      </c>
      <c r="H5833" t="s" s="2">
        <v>19</v>
      </c>
      <c r="I5833" t="s" s="2">
        <v>22601</v>
      </c>
      <c r="J5833" t="s" s="2">
        <v>22602</v>
      </c>
      <c r="K5833" t="s" s="2">
        <v>22</v>
      </c>
      <c r="L5833" t="s" s="2">
        <v>22</v>
      </c>
      <c r="M5833" t="s" s="2">
        <v>22</v>
      </c>
    </row>
    <row r="5834" ht="25.0" customHeight="true">
      <c r="A5834" t="s" s="2">
        <v>13</v>
      </c>
      <c r="B5834" t="s" s="2">
        <f>HYPERLINK("http://ts.21cn.com/tousu/show/id/1367732","友信普惠套路贷，下款金额和合同借款本金不符，乱收砍头息，乱收高额手续费")</f>
      </c>
      <c r="C5834" t="s" s="2">
        <v>15</v>
      </c>
      <c r="D5834" t="s" s="2">
        <v>16</v>
      </c>
      <c r="E5834" t="s" s="2">
        <v>17</v>
      </c>
      <c r="F5834" t="s" s="2">
        <f>HYPERLINK("http://ts.21cn.com/tousu/show/id/1367732","http://ts.21cn.com/tousu/show/id/1367732")</f>
      </c>
      <c r="G5834" t="s" s="2">
        <v>17</v>
      </c>
      <c r="H5834" t="s" s="2">
        <v>19</v>
      </c>
      <c r="I5834" t="s" s="2">
        <v>22605</v>
      </c>
      <c r="J5834" t="s" s="2">
        <v>17207</v>
      </c>
      <c r="K5834" t="s" s="2">
        <v>22</v>
      </c>
      <c r="L5834" t="s" s="2">
        <v>22</v>
      </c>
      <c r="M5834" t="s" s="2">
        <v>22</v>
      </c>
    </row>
    <row r="5835" ht="25.0" customHeight="true">
      <c r="A5835" t="s" s="2">
        <v>13</v>
      </c>
      <c r="B5835" t="s" s="2">
        <f>HYPERLINK("http://ts.21cn.com/tousu/show/id/1367731","恒昌公司旗下恒易贷合同金额远高于实际借款金额")</f>
      </c>
      <c r="C5835" t="s" s="2">
        <v>15</v>
      </c>
      <c r="D5835" t="s" s="2">
        <v>16</v>
      </c>
      <c r="E5835" t="s" s="2">
        <v>17</v>
      </c>
      <c r="F5835" t="s" s="2">
        <f>HYPERLINK("http://ts.21cn.com/tousu/show/id/1367731","http://ts.21cn.com/tousu/show/id/1367731")</f>
      </c>
      <c r="G5835" t="s" s="2">
        <v>17</v>
      </c>
      <c r="H5835" t="s" s="2">
        <v>19</v>
      </c>
      <c r="I5835" t="s" s="2">
        <v>22607</v>
      </c>
      <c r="J5835" t="s" s="2">
        <v>22608</v>
      </c>
      <c r="K5835" t="s" s="2">
        <v>22</v>
      </c>
      <c r="L5835" t="s" s="2">
        <v>22</v>
      </c>
      <c r="M5835" t="s" s="2">
        <v>22</v>
      </c>
    </row>
    <row r="5836" ht="25.0" customHeight="true">
      <c r="A5836" t="s" s="2">
        <v>13</v>
      </c>
      <c r="B5836" t="s" s="2">
        <f>HYPERLINK("http://ts.21cn.com/tousu/show/id/1367729","爱奇艺开通会员仍然有广告")</f>
      </c>
      <c r="C5836" t="s" s="2">
        <v>52</v>
      </c>
      <c r="D5836" t="s" s="2">
        <v>16</v>
      </c>
      <c r="E5836" t="s" s="2">
        <v>17</v>
      </c>
      <c r="F5836" t="s" s="2">
        <f>HYPERLINK("http://ts.21cn.com/tousu/show/id/1367729","http://ts.21cn.com/tousu/show/id/1367729")</f>
      </c>
      <c r="G5836" t="s" s="2">
        <v>17</v>
      </c>
      <c r="H5836" t="s" s="2">
        <v>19</v>
      </c>
      <c r="I5836" t="s" s="2">
        <v>22611</v>
      </c>
      <c r="J5836" t="s" s="2">
        <v>22612</v>
      </c>
      <c r="K5836" t="s" s="2">
        <v>22</v>
      </c>
      <c r="L5836" t="s" s="2">
        <v>22</v>
      </c>
      <c r="M5836" t="s" s="2">
        <v>22</v>
      </c>
    </row>
    <row r="5837" ht="25.0" customHeight="true">
      <c r="A5837" t="s" s="2">
        <v>13</v>
      </c>
      <c r="B5837" t="s" s="2">
        <f>HYPERLINK("http://ts.21cn.com/tousu/show/id/1367728","OPPOR9SPLUS大规模无限重启变砖")</f>
      </c>
      <c r="C5837" t="s" s="2">
        <v>52</v>
      </c>
      <c r="D5837" t="s" s="2">
        <v>16</v>
      </c>
      <c r="E5837" t="s" s="2">
        <v>17</v>
      </c>
      <c r="F5837" t="s" s="2">
        <f>HYPERLINK("http://ts.21cn.com/tousu/show/id/1367728","http://ts.21cn.com/tousu/show/id/1367728")</f>
      </c>
      <c r="G5837" t="s" s="2">
        <v>17</v>
      </c>
      <c r="H5837" t="s" s="2">
        <v>19</v>
      </c>
      <c r="I5837" t="s" s="2">
        <v>22614</v>
      </c>
      <c r="J5837" t="s" s="2">
        <v>22615</v>
      </c>
      <c r="K5837" t="s" s="2">
        <v>22</v>
      </c>
      <c r="L5837" t="s" s="2">
        <v>22</v>
      </c>
      <c r="M5837" t="s" s="2">
        <v>22</v>
      </c>
    </row>
    <row r="5838" ht="25.0" customHeight="true">
      <c r="A5838" t="s" s="2">
        <v>13</v>
      </c>
      <c r="B5838" t="s" s="2">
        <f>HYPERLINK("http://ts.21cn.com/tousu/show/id/1367727","乱扣费。")</f>
      </c>
      <c r="C5838" t="s" s="2">
        <v>15</v>
      </c>
      <c r="D5838" t="s" s="2">
        <v>16</v>
      </c>
      <c r="E5838" t="s" s="2">
        <v>17</v>
      </c>
      <c r="F5838" t="s" s="2">
        <f>HYPERLINK("http://ts.21cn.com/tousu/show/id/1367727","http://ts.21cn.com/tousu/show/id/1367727")</f>
      </c>
      <c r="G5838" t="s" s="2">
        <v>17</v>
      </c>
      <c r="H5838" t="s" s="2">
        <v>19</v>
      </c>
      <c r="I5838" t="s" s="2">
        <v>22618</v>
      </c>
      <c r="J5838" t="s" s="2">
        <v>22619</v>
      </c>
      <c r="K5838" t="s" s="2">
        <v>22</v>
      </c>
      <c r="L5838" t="s" s="2">
        <v>22</v>
      </c>
      <c r="M5838" t="s" s="2">
        <v>22</v>
      </c>
    </row>
    <row r="5839" ht="25.0" customHeight="true">
      <c r="A5839" t="s" s="2">
        <v>13</v>
      </c>
      <c r="B5839" t="s" s="2">
        <f>HYPERLINK("http://ts.21cn.com/tousu/show/id/1367726","爱白条利息与合同不符")</f>
      </c>
      <c r="C5839" t="s" s="2">
        <v>52</v>
      </c>
      <c r="D5839" t="s" s="2">
        <v>16</v>
      </c>
      <c r="E5839" t="s" s="2">
        <v>17</v>
      </c>
      <c r="F5839" t="s" s="2">
        <f>HYPERLINK("http://ts.21cn.com/tousu/show/id/1367726","http://ts.21cn.com/tousu/show/id/1367726")</f>
      </c>
      <c r="G5839" t="s" s="2">
        <v>17</v>
      </c>
      <c r="H5839" t="s" s="2">
        <v>19</v>
      </c>
      <c r="I5839" t="s" s="2">
        <v>22622</v>
      </c>
      <c r="J5839" t="s" s="2">
        <v>22623</v>
      </c>
      <c r="K5839" t="s" s="2">
        <v>22</v>
      </c>
      <c r="L5839" t="s" s="2">
        <v>22</v>
      </c>
      <c r="M5839" t="s" s="2">
        <v>22</v>
      </c>
    </row>
    <row r="5840" ht="25.0" customHeight="true">
      <c r="A5840" t="s" s="2">
        <v>13</v>
      </c>
      <c r="B5840" t="s" s="2">
        <f>HYPERLINK("http://ts.21cn.com/tousu/show/id/1367725","唯品会")</f>
      </c>
      <c r="C5840" t="s" s="2">
        <v>15</v>
      </c>
      <c r="D5840" t="s" s="2">
        <v>16</v>
      </c>
      <c r="E5840" t="s" s="2">
        <v>17</v>
      </c>
      <c r="F5840" t="s" s="2">
        <f>HYPERLINK("http://ts.21cn.com/tousu/show/id/1367725","http://ts.21cn.com/tousu/show/id/1367725")</f>
      </c>
      <c r="G5840" t="s" s="2">
        <v>17</v>
      </c>
      <c r="H5840" t="s" s="2">
        <v>19</v>
      </c>
      <c r="I5840" t="s" s="2">
        <v>22626</v>
      </c>
      <c r="J5840" t="s" s="2">
        <v>22627</v>
      </c>
      <c r="K5840" t="s" s="2">
        <v>22</v>
      </c>
      <c r="L5840" t="s" s="2">
        <v>22</v>
      </c>
      <c r="M5840" t="s" s="2">
        <v>22</v>
      </c>
    </row>
    <row r="5841" ht="25.0" customHeight="true">
      <c r="A5841" t="s" s="2">
        <v>13</v>
      </c>
      <c r="B5841" t="s" s="2">
        <f>HYPERLINK("http://ts.21cn.com/tousu/show/id/1367724","饿了么多次冻结账号")</f>
      </c>
      <c r="C5841" t="s" s="2">
        <v>15</v>
      </c>
      <c r="D5841" t="s" s="2">
        <v>16</v>
      </c>
      <c r="E5841" t="s" s="2">
        <v>17</v>
      </c>
      <c r="F5841" t="s" s="2">
        <f>HYPERLINK("http://ts.21cn.com/tousu/show/id/1367724","http://ts.21cn.com/tousu/show/id/1367724")</f>
      </c>
      <c r="G5841" t="s" s="2">
        <v>17</v>
      </c>
      <c r="H5841" t="s" s="2">
        <v>19</v>
      </c>
      <c r="I5841" t="s" s="2">
        <v>22630</v>
      </c>
      <c r="J5841" t="s" s="2">
        <v>22631</v>
      </c>
      <c r="K5841" t="s" s="2">
        <v>22</v>
      </c>
      <c r="L5841" t="s" s="2">
        <v>22</v>
      </c>
      <c r="M5841" t="s" s="2">
        <v>22</v>
      </c>
    </row>
    <row r="5842" ht="25.0" customHeight="true">
      <c r="A5842" t="s" s="2">
        <v>13</v>
      </c>
      <c r="B5842" t="s" s="2">
        <f>HYPERLINK("http://ts.21cn.com/tousu/show/id/1367723","新橙优品恶意催收，骚扰通讯录")</f>
      </c>
      <c r="C5842" t="s" s="2">
        <v>15</v>
      </c>
      <c r="D5842" t="s" s="2">
        <v>16</v>
      </c>
      <c r="E5842" t="s" s="2">
        <v>17</v>
      </c>
      <c r="F5842" t="s" s="2">
        <f>HYPERLINK("http://ts.21cn.com/tousu/show/id/1367723","http://ts.21cn.com/tousu/show/id/1367723")</f>
      </c>
      <c r="G5842" t="s" s="2">
        <v>17</v>
      </c>
      <c r="H5842" t="s" s="2">
        <v>19</v>
      </c>
      <c r="I5842" t="s" s="2">
        <v>22634</v>
      </c>
      <c r="J5842" t="s" s="2">
        <v>22635</v>
      </c>
      <c r="K5842" t="s" s="2">
        <v>22</v>
      </c>
      <c r="L5842" t="s" s="2">
        <v>22</v>
      </c>
      <c r="M5842" t="s" s="2">
        <v>22</v>
      </c>
    </row>
    <row r="5843" ht="25.0" customHeight="true">
      <c r="A5843" t="s" s="2">
        <v>13</v>
      </c>
      <c r="B5843" t="s" s="2">
        <f>HYPERLINK("http://ts.21cn.com/tousu/show/id/1367720","钱站砍头息阴阳合同")</f>
      </c>
      <c r="C5843" t="s" s="2">
        <v>15</v>
      </c>
      <c r="D5843" t="s" s="2">
        <v>16</v>
      </c>
      <c r="E5843" t="s" s="2">
        <v>17</v>
      </c>
      <c r="F5843" t="s" s="2">
        <f>HYPERLINK("http://ts.21cn.com/tousu/show/id/1367720","http://ts.21cn.com/tousu/show/id/1367720")</f>
      </c>
      <c r="G5843" t="s" s="2">
        <v>17</v>
      </c>
      <c r="H5843" t="s" s="2">
        <v>19</v>
      </c>
      <c r="I5843" t="s" s="2">
        <v>22638</v>
      </c>
      <c r="J5843" t="s" s="2">
        <v>22639</v>
      </c>
      <c r="K5843" t="s" s="2">
        <v>22</v>
      </c>
      <c r="L5843" t="s" s="2">
        <v>22</v>
      </c>
      <c r="M5843" t="s" s="2">
        <v>22</v>
      </c>
    </row>
    <row r="5844" ht="25.0" customHeight="true">
      <c r="A5844" t="s" s="2">
        <v>13</v>
      </c>
      <c r="B5844" t="s" s="2">
        <f>HYPERLINK("http://ts.21cn.com/tousu/show/id/1364801","银行信用卡给我们一条活路")</f>
      </c>
      <c r="C5844" t="s" s="2">
        <v>15</v>
      </c>
      <c r="D5844" t="s" s="2">
        <v>16</v>
      </c>
      <c r="E5844" t="s" s="2">
        <v>17</v>
      </c>
      <c r="F5844" t="s" s="2">
        <f>HYPERLINK("http://ts.21cn.com/tousu/show/id/1364801","http://ts.21cn.com/tousu/show/id/1364801")</f>
      </c>
      <c r="G5844" t="s" s="2">
        <v>17</v>
      </c>
      <c r="H5844" t="s" s="2">
        <v>19</v>
      </c>
      <c r="I5844" t="s" s="2">
        <v>22642</v>
      </c>
      <c r="J5844" t="s" s="2">
        <v>22643</v>
      </c>
      <c r="K5844" t="s" s="2">
        <v>22</v>
      </c>
      <c r="L5844" t="s" s="2">
        <v>22</v>
      </c>
      <c r="M5844" t="s" s="2">
        <v>22</v>
      </c>
    </row>
    <row r="5845" ht="25.0" customHeight="true">
      <c r="A5845" t="s" s="2">
        <v>13</v>
      </c>
      <c r="B5845" t="s" s="2">
        <f>HYPERLINK("http://ts.21cn.com/tousu/show/id/1367722","钱站高利贷砍头息阴阳合同")</f>
      </c>
      <c r="C5845" t="s" s="2">
        <v>15</v>
      </c>
      <c r="D5845" t="s" s="2">
        <v>16</v>
      </c>
      <c r="E5845" t="s" s="2">
        <v>17</v>
      </c>
      <c r="F5845" t="s" s="2">
        <f>HYPERLINK("http://ts.21cn.com/tousu/show/id/1367722","http://ts.21cn.com/tousu/show/id/1367722")</f>
      </c>
      <c r="G5845" t="s" s="2">
        <v>17</v>
      </c>
      <c r="H5845" t="s" s="2">
        <v>19</v>
      </c>
      <c r="I5845" t="s" s="2">
        <v>22645</v>
      </c>
      <c r="J5845" t="s" s="2">
        <v>22646</v>
      </c>
      <c r="K5845" t="s" s="2">
        <v>22</v>
      </c>
      <c r="L5845" t="s" s="2">
        <v>22</v>
      </c>
      <c r="M5845" t="s" s="2">
        <v>22</v>
      </c>
    </row>
    <row r="5846" ht="25.0" customHeight="true">
      <c r="A5846" t="s" s="2">
        <v>13</v>
      </c>
      <c r="B5846" t="s" s="2">
        <f>HYPERLINK("http://ts.21cn.com/tousu/show/id/1367707","胡乱扣费")</f>
      </c>
      <c r="C5846" t="s" s="2">
        <v>15</v>
      </c>
      <c r="D5846" t="s" s="2">
        <v>16</v>
      </c>
      <c r="E5846" t="s" s="2">
        <v>17</v>
      </c>
      <c r="F5846" t="s" s="2">
        <f>HYPERLINK("http://ts.21cn.com/tousu/show/id/1367707","http://ts.21cn.com/tousu/show/id/1367707")</f>
      </c>
      <c r="G5846" t="s" s="2">
        <v>17</v>
      </c>
      <c r="H5846" t="s" s="2">
        <v>19</v>
      </c>
      <c r="I5846" t="s" s="2">
        <v>22648</v>
      </c>
      <c r="J5846" t="s" s="2">
        <v>22649</v>
      </c>
      <c r="K5846" t="s" s="2">
        <v>22</v>
      </c>
      <c r="L5846" t="s" s="2">
        <v>22</v>
      </c>
      <c r="M5846" t="s" s="2">
        <v>22</v>
      </c>
    </row>
    <row r="5847" ht="25.0" customHeight="true">
      <c r="A5847" t="s" s="2">
        <v>13</v>
      </c>
      <c r="B5847" t="s" s="2">
        <f>HYPERLINK("http://ts.21cn.com/tousu/show/id/1367719","人人花乱扣费")</f>
      </c>
      <c r="C5847" t="s" s="2">
        <v>15</v>
      </c>
      <c r="D5847" t="s" s="2">
        <v>16</v>
      </c>
      <c r="E5847" t="s" s="2">
        <v>17</v>
      </c>
      <c r="F5847" t="s" s="2">
        <f>HYPERLINK("http://ts.21cn.com/tousu/show/id/1367719","http://ts.21cn.com/tousu/show/id/1367719")</f>
      </c>
      <c r="G5847" t="s" s="2">
        <v>17</v>
      </c>
      <c r="H5847" t="s" s="2">
        <v>19</v>
      </c>
      <c r="I5847" t="s" s="2">
        <v>22651</v>
      </c>
      <c r="J5847" t="s" s="2">
        <v>22652</v>
      </c>
      <c r="K5847" t="s" s="2">
        <v>22</v>
      </c>
      <c r="L5847" t="s" s="2">
        <v>22</v>
      </c>
      <c r="M5847" t="s" s="2">
        <v>22</v>
      </c>
    </row>
    <row r="5848" ht="25.0" customHeight="true">
      <c r="A5848" t="s" s="2">
        <v>13</v>
      </c>
      <c r="B5848" t="s" s="2">
        <f>HYPERLINK("http://ts.21cn.com/tousu/show/id/1367718","中国银联无卡支付刷走我1800")</f>
      </c>
      <c r="C5848" t="s" s="2">
        <v>15</v>
      </c>
      <c r="D5848" t="s" s="2">
        <v>16</v>
      </c>
      <c r="E5848" t="s" s="2">
        <v>17</v>
      </c>
      <c r="F5848" t="s" s="2">
        <f>HYPERLINK("http://ts.21cn.com/tousu/show/id/1367718","http://ts.21cn.com/tousu/show/id/1367718")</f>
      </c>
      <c r="G5848" t="s" s="2">
        <v>17</v>
      </c>
      <c r="H5848" t="s" s="2">
        <v>19</v>
      </c>
      <c r="I5848" t="s" s="2">
        <v>22655</v>
      </c>
      <c r="J5848" t="s" s="2">
        <v>22656</v>
      </c>
      <c r="K5848" t="s" s="2">
        <v>22</v>
      </c>
      <c r="L5848" t="s" s="2">
        <v>22</v>
      </c>
      <c r="M5848" t="s" s="2">
        <v>22</v>
      </c>
    </row>
    <row r="5849" ht="25.0" customHeight="true">
      <c r="A5849" t="s" s="2">
        <v>13</v>
      </c>
      <c r="B5849" t="s" s="2">
        <f>HYPERLINK("http://ts.21cn.com/tousu/show/id/1367717","二十多天了联通华盛电商就是不退款")</f>
      </c>
      <c r="C5849" t="s" s="2">
        <v>15</v>
      </c>
      <c r="D5849" t="s" s="2">
        <v>16</v>
      </c>
      <c r="E5849" t="s" s="2">
        <v>17</v>
      </c>
      <c r="F5849" t="s" s="2">
        <f>HYPERLINK("http://ts.21cn.com/tousu/show/id/1367717","http://ts.21cn.com/tousu/show/id/1367717")</f>
      </c>
      <c r="G5849" t="s" s="2">
        <v>17</v>
      </c>
      <c r="H5849" t="s" s="2">
        <v>19</v>
      </c>
      <c r="I5849" t="s" s="2">
        <v>22659</v>
      </c>
      <c r="J5849" t="s" s="2">
        <v>22660</v>
      </c>
      <c r="K5849" t="s" s="2">
        <v>22</v>
      </c>
      <c r="L5849" t="s" s="2">
        <v>22</v>
      </c>
      <c r="M5849" t="s" s="2">
        <v>22</v>
      </c>
    </row>
    <row r="5850" ht="25.0" customHeight="true">
      <c r="A5850" t="s" s="2">
        <v>13</v>
      </c>
      <c r="B5850" t="s" s="2">
        <f>HYPERLINK("http://ts.21cn.com/tousu/show/id/1367716","淘宝通过信息层面判断售假，证据确凿资料齐全却被判申诉失败，淘宝店像死店损失大")</f>
      </c>
      <c r="C5850" t="s" s="2">
        <v>15</v>
      </c>
      <c r="D5850" t="s" s="2">
        <v>16</v>
      </c>
      <c r="E5850" t="s" s="2">
        <v>17</v>
      </c>
      <c r="F5850" t="s" s="2">
        <f>HYPERLINK("http://ts.21cn.com/tousu/show/id/1367716","http://ts.21cn.com/tousu/show/id/1367716")</f>
      </c>
      <c r="G5850" t="s" s="2">
        <v>17</v>
      </c>
      <c r="H5850" t="s" s="2">
        <v>19</v>
      </c>
      <c r="I5850" t="s" s="2">
        <v>22663</v>
      </c>
      <c r="J5850" t="s" s="2">
        <v>22664</v>
      </c>
      <c r="K5850" t="s" s="2">
        <v>22</v>
      </c>
      <c r="L5850" t="s" s="2">
        <v>22</v>
      </c>
      <c r="M5850" t="s" s="2">
        <v>22</v>
      </c>
    </row>
    <row r="5851" ht="25.0" customHeight="true">
      <c r="A5851" t="s" s="2">
        <v>13</v>
      </c>
      <c r="B5851" t="s" s="2">
        <f>HYPERLINK("http://ts.21cn.com/tousu/show/id/1367715","滴滴出行的人证的上传初审老是失败")</f>
      </c>
      <c r="C5851" t="s" s="2">
        <v>15</v>
      </c>
      <c r="D5851" t="s" s="2">
        <v>16</v>
      </c>
      <c r="E5851" t="s" s="2">
        <v>17</v>
      </c>
      <c r="F5851" t="s" s="2">
        <f>HYPERLINK("http://ts.21cn.com/tousu/show/id/1367715","http://ts.21cn.com/tousu/show/id/1367715")</f>
      </c>
      <c r="G5851" t="s" s="2">
        <v>17</v>
      </c>
      <c r="H5851" t="s" s="2">
        <v>19</v>
      </c>
      <c r="I5851" t="s" s="2">
        <v>22667</v>
      </c>
      <c r="J5851" t="s" s="2">
        <v>22668</v>
      </c>
      <c r="K5851" t="s" s="2">
        <v>22</v>
      </c>
      <c r="L5851" t="s" s="2">
        <v>22</v>
      </c>
      <c r="M5851" t="s" s="2">
        <v>22</v>
      </c>
    </row>
    <row r="5852" ht="25.0" customHeight="true">
      <c r="A5852" t="s" s="2">
        <v>13</v>
      </c>
      <c r="B5852" t="s" s="2">
        <f>HYPERLINK("http://ts.21cn.com/tousu/show/id/1367714","北京拉卡拉贷款公司")</f>
      </c>
      <c r="C5852" t="s" s="2">
        <v>15</v>
      </c>
      <c r="D5852" t="s" s="2">
        <v>16</v>
      </c>
      <c r="E5852" t="s" s="2">
        <v>17</v>
      </c>
      <c r="F5852" t="s" s="2">
        <f>HYPERLINK("http://ts.21cn.com/tousu/show/id/1367714","http://ts.21cn.com/tousu/show/id/1367714")</f>
      </c>
      <c r="G5852" t="s" s="2">
        <v>17</v>
      </c>
      <c r="H5852" t="s" s="2">
        <v>19</v>
      </c>
      <c r="I5852" t="s" s="2">
        <v>22671</v>
      </c>
      <c r="J5852" t="s" s="2">
        <v>22672</v>
      </c>
      <c r="K5852" t="s" s="2">
        <v>22</v>
      </c>
      <c r="L5852" t="s" s="2">
        <v>22</v>
      </c>
      <c r="M5852" t="s" s="2">
        <v>22</v>
      </c>
    </row>
    <row r="5853" ht="25.0" customHeight="true">
      <c r="A5853" t="s" s="2">
        <v>13</v>
      </c>
      <c r="B5853" t="s" s="2">
        <f>HYPERLINK("http://ts.21cn.com/tousu/show/id/1367713","凡普金科-凡普信-套路贷-砍头息-暴力催收")</f>
      </c>
      <c r="C5853" t="s" s="2">
        <v>15</v>
      </c>
      <c r="D5853" t="s" s="2">
        <v>16</v>
      </c>
      <c r="E5853" t="s" s="2">
        <v>17</v>
      </c>
      <c r="F5853" t="s" s="2">
        <f>HYPERLINK("http://ts.21cn.com/tousu/show/id/1367713","http://ts.21cn.com/tousu/show/id/1367713")</f>
      </c>
      <c r="G5853" t="s" s="2">
        <v>17</v>
      </c>
      <c r="H5853" t="s" s="2">
        <v>19</v>
      </c>
      <c r="I5853" t="s" s="2">
        <v>22675</v>
      </c>
      <c r="J5853" t="s" s="2">
        <v>22676</v>
      </c>
      <c r="K5853" t="s" s="2">
        <v>22</v>
      </c>
      <c r="L5853" t="s" s="2">
        <v>22</v>
      </c>
      <c r="M5853" t="s" s="2">
        <v>22</v>
      </c>
    </row>
    <row r="5854" ht="25.0" customHeight="true">
      <c r="A5854" t="s" s="2">
        <v>13</v>
      </c>
      <c r="B5854" t="s" s="2">
        <f>HYPERLINK("http://ts.21cn.com/tousu/show/id/1367712","套高利贷，砍头息")</f>
      </c>
      <c r="C5854" t="s" s="2">
        <v>15</v>
      </c>
      <c r="D5854" t="s" s="2">
        <v>16</v>
      </c>
      <c r="E5854" t="s" s="2">
        <v>17</v>
      </c>
      <c r="F5854" t="s" s="2">
        <f>HYPERLINK("http://ts.21cn.com/tousu/show/id/1367712","http://ts.21cn.com/tousu/show/id/1367712")</f>
      </c>
      <c r="G5854" t="s" s="2">
        <v>17</v>
      </c>
      <c r="H5854" t="s" s="2">
        <v>19</v>
      </c>
      <c r="I5854" t="s" s="2">
        <v>22679</v>
      </c>
      <c r="J5854" t="s" s="2">
        <v>22680</v>
      </c>
      <c r="K5854" t="s" s="2">
        <v>22</v>
      </c>
      <c r="L5854" t="s" s="2">
        <v>22</v>
      </c>
      <c r="M5854" t="s" s="2">
        <v>22</v>
      </c>
    </row>
    <row r="5855" ht="25.0" customHeight="true">
      <c r="A5855" t="s" s="2">
        <v>13</v>
      </c>
      <c r="B5855" t="s" s="2">
        <f>HYPERLINK("http://ts.21cn.com/tousu/show/id/1367711","农行绿森商城购买手机未发货，申请退款4天未有任何回应")</f>
      </c>
      <c r="C5855" t="s" s="2">
        <v>15</v>
      </c>
      <c r="D5855" t="s" s="2">
        <v>16</v>
      </c>
      <c r="E5855" t="s" s="2">
        <v>17</v>
      </c>
      <c r="F5855" t="s" s="2">
        <f>HYPERLINK("http://ts.21cn.com/tousu/show/id/1367711","http://ts.21cn.com/tousu/show/id/1367711")</f>
      </c>
      <c r="G5855" t="s" s="2">
        <v>17</v>
      </c>
      <c r="H5855" t="s" s="2">
        <v>19</v>
      </c>
      <c r="I5855" t="s" s="2">
        <v>22683</v>
      </c>
      <c r="J5855" t="s" s="2">
        <v>22684</v>
      </c>
      <c r="K5855" t="s" s="2">
        <v>22</v>
      </c>
      <c r="L5855" t="s" s="2">
        <v>22</v>
      </c>
      <c r="M5855" t="s" s="2">
        <v>22</v>
      </c>
    </row>
    <row r="5856" ht="25.0" customHeight="true">
      <c r="A5856" t="s" s="2">
        <v>13</v>
      </c>
      <c r="B5856" t="s" s="2">
        <f>HYPERLINK("http://ts.21cn.com/tousu/show/id/1367710","微信号被打标")</f>
      </c>
      <c r="C5856" t="s" s="2">
        <v>15</v>
      </c>
      <c r="D5856" t="s" s="2">
        <v>16</v>
      </c>
      <c r="E5856" t="s" s="2">
        <v>17</v>
      </c>
      <c r="F5856" t="s" s="2">
        <f>HYPERLINK("http://ts.21cn.com/tousu/show/id/1367710","http://ts.21cn.com/tousu/show/id/1367710")</f>
      </c>
      <c r="G5856" t="s" s="2">
        <v>17</v>
      </c>
      <c r="H5856" t="s" s="2">
        <v>19</v>
      </c>
      <c r="I5856" t="s" s="2">
        <v>22687</v>
      </c>
      <c r="J5856" t="s" s="2">
        <v>22688</v>
      </c>
      <c r="K5856" t="s" s="2">
        <v>22</v>
      </c>
      <c r="L5856" t="s" s="2">
        <v>22</v>
      </c>
      <c r="M5856" t="s" s="2">
        <v>22</v>
      </c>
    </row>
    <row r="5857" ht="25.0" customHeight="true">
      <c r="A5857" t="s" s="2">
        <v>13</v>
      </c>
      <c r="B5857" t="s" s="2">
        <f>HYPERLINK("http://ts.21cn.com/tousu/show/id/1367706","欺诈")</f>
      </c>
      <c r="C5857" t="s" s="2">
        <v>15</v>
      </c>
      <c r="D5857" t="s" s="2">
        <v>16</v>
      </c>
      <c r="E5857" t="s" s="2">
        <v>17</v>
      </c>
      <c r="F5857" t="s" s="2">
        <f>HYPERLINK("http://ts.21cn.com/tousu/show/id/1367706","http://ts.21cn.com/tousu/show/id/1367706")</f>
      </c>
      <c r="G5857" t="s" s="2">
        <v>17</v>
      </c>
      <c r="H5857" t="s" s="2">
        <v>19</v>
      </c>
      <c r="I5857" t="s" s="2">
        <v>22690</v>
      </c>
      <c r="J5857" t="s" s="2">
        <v>22691</v>
      </c>
      <c r="K5857" t="s" s="2">
        <v>22</v>
      </c>
      <c r="L5857" t="s" s="2">
        <v>22</v>
      </c>
      <c r="M5857" t="s" s="2">
        <v>22</v>
      </c>
    </row>
    <row r="5858" ht="25.0" customHeight="true">
      <c r="A5858" t="s" s="2">
        <v>13</v>
      </c>
      <c r="B5858" t="s" s="2">
        <f>HYPERLINK("http://ts.21cn.com/tousu/show/id/1367709","中金支付信而富企管无故盗刷银行卡余额")</f>
      </c>
      <c r="C5858" t="s" s="2">
        <v>15</v>
      </c>
      <c r="D5858" t="s" s="2">
        <v>16</v>
      </c>
      <c r="E5858" t="s" s="2">
        <v>17</v>
      </c>
      <c r="F5858" t="s" s="2">
        <f>HYPERLINK("http://ts.21cn.com/tousu/show/id/1367709","http://ts.21cn.com/tousu/show/id/1367709")</f>
      </c>
      <c r="G5858" t="s" s="2">
        <v>17</v>
      </c>
      <c r="H5858" t="s" s="2">
        <v>19</v>
      </c>
      <c r="I5858" t="s" s="2">
        <v>22694</v>
      </c>
      <c r="J5858" t="s" s="2">
        <v>22695</v>
      </c>
      <c r="K5858" t="s" s="2">
        <v>22</v>
      </c>
      <c r="L5858" t="s" s="2">
        <v>22</v>
      </c>
      <c r="M5858" t="s" s="2">
        <v>22</v>
      </c>
    </row>
    <row r="5859" ht="25.0" customHeight="true">
      <c r="A5859" t="s" s="2">
        <v>13</v>
      </c>
      <c r="B5859" t="s" s="2">
        <f>HYPERLINK("http://ts.21cn.com/tousu/show/id/1367708","信用飞不退保险")</f>
      </c>
      <c r="C5859" t="s" s="2">
        <v>15</v>
      </c>
      <c r="D5859" t="s" s="2">
        <v>16</v>
      </c>
      <c r="E5859" t="s" s="2">
        <v>17</v>
      </c>
      <c r="F5859" t="s" s="2">
        <f>HYPERLINK("http://ts.21cn.com/tousu/show/id/1367708","http://ts.21cn.com/tousu/show/id/1367708")</f>
      </c>
      <c r="G5859" t="s" s="2">
        <v>17</v>
      </c>
      <c r="H5859" t="s" s="2">
        <v>19</v>
      </c>
      <c r="I5859" t="s" s="2">
        <v>22698</v>
      </c>
      <c r="J5859" t="s" s="2">
        <v>22699</v>
      </c>
      <c r="K5859" t="s" s="2">
        <v>22</v>
      </c>
      <c r="L5859" t="s" s="2">
        <v>22</v>
      </c>
      <c r="M5859" t="s" s="2">
        <v>22</v>
      </c>
    </row>
    <row r="5860" ht="25.0" customHeight="true">
      <c r="A5860" t="s" s="2">
        <v>13</v>
      </c>
      <c r="B5860" t="s" s="2">
        <f>HYPERLINK("http://ts.21cn.com/tousu/show/id/1367705","湖北黄石石化加油站拒收人民币")</f>
      </c>
      <c r="C5860" t="s" s="2">
        <v>15</v>
      </c>
      <c r="D5860" t="s" s="2">
        <v>16</v>
      </c>
      <c r="E5860" t="s" s="2">
        <v>17</v>
      </c>
      <c r="F5860" t="s" s="2">
        <f>HYPERLINK("http://ts.21cn.com/tousu/show/id/1367705","http://ts.21cn.com/tousu/show/id/1367705")</f>
      </c>
      <c r="G5860" t="s" s="2">
        <v>17</v>
      </c>
      <c r="H5860" t="s" s="2">
        <v>19</v>
      </c>
      <c r="I5860" t="s" s="2">
        <v>22702</v>
      </c>
      <c r="J5860" t="s" s="2">
        <v>22703</v>
      </c>
      <c r="K5860" t="s" s="2">
        <v>22</v>
      </c>
      <c r="L5860" t="s" s="2">
        <v>22</v>
      </c>
      <c r="M5860" t="s" s="2">
        <v>22</v>
      </c>
    </row>
    <row r="5861" ht="25.0" customHeight="true">
      <c r="A5861" t="s" s="2">
        <v>13</v>
      </c>
      <c r="B5861" t="s" s="2">
        <f>HYPERLINK("http://ts.21cn.com/tousu/show/id/1367704","闪电借款，恶意骚扰")</f>
      </c>
      <c r="C5861" t="s" s="2">
        <v>15</v>
      </c>
      <c r="D5861" t="s" s="2">
        <v>16</v>
      </c>
      <c r="E5861" t="s" s="2">
        <v>17</v>
      </c>
      <c r="F5861" t="s" s="2">
        <f>HYPERLINK("http://ts.21cn.com/tousu/show/id/1367704","http://ts.21cn.com/tousu/show/id/1367704")</f>
      </c>
      <c r="G5861" t="s" s="2">
        <v>17</v>
      </c>
      <c r="H5861" t="s" s="2">
        <v>19</v>
      </c>
      <c r="I5861" t="s" s="2">
        <v>22706</v>
      </c>
      <c r="J5861" t="s" s="2">
        <v>22707</v>
      </c>
      <c r="K5861" t="s" s="2">
        <v>22</v>
      </c>
      <c r="L5861" t="s" s="2">
        <v>22</v>
      </c>
      <c r="M5861" t="s" s="2">
        <v>22</v>
      </c>
    </row>
    <row r="5862" ht="25.0" customHeight="true">
      <c r="A5862" t="s" s="2">
        <v>13</v>
      </c>
      <c r="B5862" t="s" s="2">
        <f>HYPERLINK("http://ts.21cn.com/tousu/show/id/1367702","聚富分期乱扣费")</f>
      </c>
      <c r="C5862" t="s" s="2">
        <v>15</v>
      </c>
      <c r="D5862" t="s" s="2">
        <v>16</v>
      </c>
      <c r="E5862" t="s" s="2">
        <v>17</v>
      </c>
      <c r="F5862" t="s" s="2">
        <f>HYPERLINK("http://ts.21cn.com/tousu/show/id/1367702","http://ts.21cn.com/tousu/show/id/1367702")</f>
      </c>
      <c r="G5862" t="s" s="2">
        <v>17</v>
      </c>
      <c r="H5862" t="s" s="2">
        <v>19</v>
      </c>
      <c r="I5862" t="s" s="2">
        <v>22710</v>
      </c>
      <c r="J5862" t="s" s="2">
        <v>22711</v>
      </c>
      <c r="K5862" t="s" s="2">
        <v>22</v>
      </c>
      <c r="L5862" t="s" s="2">
        <v>22</v>
      </c>
      <c r="M5862" t="s" s="2">
        <v>22</v>
      </c>
    </row>
    <row r="5863" ht="25.0" customHeight="true">
      <c r="A5863" t="s" s="2">
        <v>13</v>
      </c>
      <c r="B5863" t="s" s="2">
        <f>HYPERLINK("http://ts.21cn.com/tousu/show/id/1367678","有钱进app违法电话骚扰")</f>
      </c>
      <c r="C5863" t="s" s="2">
        <v>15</v>
      </c>
      <c r="D5863" t="s" s="2">
        <v>16</v>
      </c>
      <c r="E5863" t="s" s="2">
        <v>17</v>
      </c>
      <c r="F5863" t="s" s="2">
        <f>HYPERLINK("http://ts.21cn.com/tousu/show/id/1367678","http://ts.21cn.com/tousu/show/id/1367678")</f>
      </c>
      <c r="G5863" t="s" s="2">
        <v>17</v>
      </c>
      <c r="H5863" t="s" s="2">
        <v>19</v>
      </c>
      <c r="I5863" t="s" s="2">
        <v>22714</v>
      </c>
      <c r="J5863" t="s" s="2">
        <v>22715</v>
      </c>
      <c r="K5863" t="s" s="2">
        <v>22</v>
      </c>
      <c r="L5863" t="s" s="2">
        <v>22</v>
      </c>
      <c r="M5863" t="s" s="2">
        <v>22</v>
      </c>
    </row>
    <row r="5864" ht="25.0" customHeight="true">
      <c r="A5864" t="s" s="2">
        <v>13</v>
      </c>
      <c r="B5864" t="s" s="2">
        <f>HYPERLINK("http://ts.21cn.com/tousu/show/id/1367701","微贷网砍头息")</f>
      </c>
      <c r="C5864" t="s" s="2">
        <v>52</v>
      </c>
      <c r="D5864" t="s" s="2">
        <v>16</v>
      </c>
      <c r="E5864" t="s" s="2">
        <v>17</v>
      </c>
      <c r="F5864" t="s" s="2">
        <f>HYPERLINK("http://ts.21cn.com/tousu/show/id/1367701","http://ts.21cn.com/tousu/show/id/1367701")</f>
      </c>
      <c r="G5864" t="s" s="2">
        <v>17</v>
      </c>
      <c r="H5864" t="s" s="2">
        <v>19</v>
      </c>
      <c r="I5864" t="s" s="2">
        <v>22718</v>
      </c>
      <c r="J5864" t="s" s="2">
        <v>22719</v>
      </c>
      <c r="K5864" t="s" s="2">
        <v>22</v>
      </c>
      <c r="L5864" t="s" s="2">
        <v>22</v>
      </c>
      <c r="M5864" t="s" s="2">
        <v>22</v>
      </c>
    </row>
    <row r="5865" ht="25.0" customHeight="true">
      <c r="A5865" t="s" s="2">
        <v>13</v>
      </c>
      <c r="B5865" t="s" s="2">
        <f>HYPERLINK("http://ts.21cn.com/tousu/show/id/1367700","21cn个人免费邮箱无法正常使用，无法接收邮件。")</f>
      </c>
      <c r="C5865" t="s" s="2">
        <v>52</v>
      </c>
      <c r="D5865" t="s" s="2">
        <v>16</v>
      </c>
      <c r="E5865" t="s" s="2">
        <v>17</v>
      </c>
      <c r="F5865" t="s" s="2">
        <f>HYPERLINK("http://ts.21cn.com/tousu/show/id/1367700","http://ts.21cn.com/tousu/show/id/1367700")</f>
      </c>
      <c r="G5865" t="s" s="2">
        <v>17</v>
      </c>
      <c r="H5865" t="s" s="2">
        <v>19</v>
      </c>
      <c r="I5865" t="s" s="2">
        <v>22722</v>
      </c>
      <c r="J5865" t="s" s="2">
        <v>22723</v>
      </c>
      <c r="K5865" t="s" s="2">
        <v>22</v>
      </c>
      <c r="L5865" t="s" s="2">
        <v>22</v>
      </c>
      <c r="M5865" t="s" s="2">
        <v>22</v>
      </c>
    </row>
    <row r="5866" ht="25.0" customHeight="true">
      <c r="A5866" t="s" s="2">
        <v>13</v>
      </c>
      <c r="B5866" t="s" s="2">
        <f>HYPERLINK("http://ts.21cn.com/tousu/show/id/1367699","马上金融是高利贷")</f>
      </c>
      <c r="C5866" t="s" s="2">
        <v>15</v>
      </c>
      <c r="D5866" t="s" s="2">
        <v>16</v>
      </c>
      <c r="E5866" t="s" s="2">
        <v>17</v>
      </c>
      <c r="F5866" t="s" s="2">
        <f>HYPERLINK("http://ts.21cn.com/tousu/show/id/1367699","http://ts.21cn.com/tousu/show/id/1367699")</f>
      </c>
      <c r="G5866" t="s" s="2">
        <v>17</v>
      </c>
      <c r="H5866" t="s" s="2">
        <v>19</v>
      </c>
      <c r="I5866" t="s" s="2">
        <v>22726</v>
      </c>
      <c r="J5866" t="s" s="2">
        <v>22727</v>
      </c>
      <c r="K5866" t="s" s="2">
        <v>22</v>
      </c>
      <c r="L5866" t="s" s="2">
        <v>22</v>
      </c>
      <c r="M5866" t="s" s="2">
        <v>22</v>
      </c>
    </row>
    <row r="5867" ht="25.0" customHeight="true">
      <c r="A5867" t="s" s="2">
        <v>13</v>
      </c>
      <c r="B5867" t="s" s="2">
        <f>HYPERLINK("http://ts.21cn.com/tousu/show/id/1367698","请求分期")</f>
      </c>
      <c r="C5867" t="s" s="2">
        <v>15</v>
      </c>
      <c r="D5867" t="s" s="2">
        <v>16</v>
      </c>
      <c r="E5867" t="s" s="2">
        <v>17</v>
      </c>
      <c r="F5867" t="s" s="2">
        <f>HYPERLINK("http://ts.21cn.com/tousu/show/id/1367698","http://ts.21cn.com/tousu/show/id/1367698")</f>
      </c>
      <c r="G5867" t="s" s="2">
        <v>17</v>
      </c>
      <c r="H5867" t="s" s="2">
        <v>19</v>
      </c>
      <c r="I5867" t="s" s="2">
        <v>22729</v>
      </c>
      <c r="J5867" t="s" s="2">
        <v>22730</v>
      </c>
      <c r="K5867" t="s" s="2">
        <v>22</v>
      </c>
      <c r="L5867" t="s" s="2">
        <v>22</v>
      </c>
      <c r="M5867" t="s" s="2">
        <v>22</v>
      </c>
    </row>
    <row r="5868" ht="25.0" customHeight="true">
      <c r="A5868" t="s" s="2">
        <v>13</v>
      </c>
      <c r="B5868" t="s" s="2">
        <f>HYPERLINK("http://ts.21cn.com/tousu/show/id/1367697","上海翰银为赌博输平台收单，请求瀚银为我退款挽回经济损失")</f>
      </c>
      <c r="C5868" t="s" s="2">
        <v>15</v>
      </c>
      <c r="D5868" t="s" s="2">
        <v>16</v>
      </c>
      <c r="E5868" t="s" s="2">
        <v>17</v>
      </c>
      <c r="F5868" t="s" s="2">
        <f>HYPERLINK("http://ts.21cn.com/tousu/show/id/1367697","http://ts.21cn.com/tousu/show/id/1367697")</f>
      </c>
      <c r="G5868" t="s" s="2">
        <v>17</v>
      </c>
      <c r="H5868" t="s" s="2">
        <v>19</v>
      </c>
      <c r="I5868" t="s" s="2">
        <v>22732</v>
      </c>
      <c r="J5868" t="s" s="2">
        <v>22733</v>
      </c>
      <c r="K5868" t="s" s="2">
        <v>22</v>
      </c>
      <c r="L5868" t="s" s="2">
        <v>22</v>
      </c>
      <c r="M5868" t="s" s="2">
        <v>22</v>
      </c>
    </row>
    <row r="5869" ht="25.0" customHeight="true">
      <c r="A5869" t="s" s="2">
        <v>13</v>
      </c>
      <c r="B5869" t="s" s="2">
        <f>HYPERLINK("http://ts.21cn.com/tousu/show/id/1367696","砍头息套路贷")</f>
      </c>
      <c r="C5869" t="s" s="2">
        <v>15</v>
      </c>
      <c r="D5869" t="s" s="2">
        <v>16</v>
      </c>
      <c r="E5869" t="s" s="2">
        <v>17</v>
      </c>
      <c r="F5869" t="s" s="2">
        <f>HYPERLINK("http://ts.21cn.com/tousu/show/id/1367696","http://ts.21cn.com/tousu/show/id/1367696")</f>
      </c>
      <c r="G5869" t="s" s="2">
        <v>17</v>
      </c>
      <c r="H5869" t="s" s="2">
        <v>19</v>
      </c>
      <c r="I5869" t="s" s="2">
        <v>22736</v>
      </c>
      <c r="J5869" t="s" s="2">
        <v>22737</v>
      </c>
      <c r="K5869" t="s" s="2">
        <v>22</v>
      </c>
      <c r="L5869" t="s" s="2">
        <v>22</v>
      </c>
      <c r="M5869" t="s" s="2">
        <v>22</v>
      </c>
    </row>
    <row r="5870" ht="25.0" customHeight="true">
      <c r="A5870" t="s" s="2">
        <v>13</v>
      </c>
      <c r="B5870" t="s" s="2">
        <f>HYPERLINK("http://ts.21cn.com/tousu/show/id/1367695","爱农驿站还我血汗钱")</f>
      </c>
      <c r="C5870" t="s" s="2">
        <v>15</v>
      </c>
      <c r="D5870" t="s" s="2">
        <v>16</v>
      </c>
      <c r="E5870" t="s" s="2">
        <v>17</v>
      </c>
      <c r="F5870" t="s" s="2">
        <f>HYPERLINK("http://ts.21cn.com/tousu/show/id/1367695","http://ts.21cn.com/tousu/show/id/1367695")</f>
      </c>
      <c r="G5870" t="s" s="2">
        <v>17</v>
      </c>
      <c r="H5870" t="s" s="2">
        <v>19</v>
      </c>
      <c r="I5870" t="s" s="2">
        <v>22740</v>
      </c>
      <c r="J5870" t="s" s="2">
        <v>22741</v>
      </c>
      <c r="K5870" t="s" s="2">
        <v>22</v>
      </c>
      <c r="L5870" t="s" s="2">
        <v>22</v>
      </c>
      <c r="M5870" t="s" s="2">
        <v>22</v>
      </c>
    </row>
    <row r="5871" ht="25.0" customHeight="true">
      <c r="A5871" t="s" s="2">
        <v>13</v>
      </c>
      <c r="B5871" t="s" s="2">
        <f>HYPERLINK("http://ts.21cn.com/tousu/show/id/1367692","贷上钱砍头息高利贷")</f>
      </c>
      <c r="C5871" t="s" s="2">
        <v>15</v>
      </c>
      <c r="D5871" t="s" s="2">
        <v>16</v>
      </c>
      <c r="E5871" t="s" s="2">
        <v>17</v>
      </c>
      <c r="F5871" t="s" s="2">
        <f>HYPERLINK("http://ts.21cn.com/tousu/show/id/1367692","http://ts.21cn.com/tousu/show/id/1367692")</f>
      </c>
      <c r="G5871" t="s" s="2">
        <v>17</v>
      </c>
      <c r="H5871" t="s" s="2">
        <v>19</v>
      </c>
      <c r="I5871" t="s" s="2">
        <v>22744</v>
      </c>
      <c r="J5871" t="s" s="2">
        <v>22745</v>
      </c>
      <c r="K5871" t="s" s="2">
        <v>22</v>
      </c>
      <c r="L5871" t="s" s="2">
        <v>22</v>
      </c>
      <c r="M5871" t="s" s="2">
        <v>22</v>
      </c>
    </row>
    <row r="5872" ht="25.0" customHeight="true">
      <c r="A5872" t="s" s="2">
        <v>13</v>
      </c>
      <c r="B5872" t="s" s="2">
        <f>HYPERLINK("http://ts.21cn.com/tousu/show/id/1367693","自由摩卡信用计划会员购买后无法使用")</f>
      </c>
      <c r="C5872" t="s" s="2">
        <v>15</v>
      </c>
      <c r="D5872" t="s" s="2">
        <v>16</v>
      </c>
      <c r="E5872" t="s" s="2">
        <v>17</v>
      </c>
      <c r="F5872" t="s" s="2">
        <f>HYPERLINK("http://ts.21cn.com/tousu/show/id/1367693","http://ts.21cn.com/tousu/show/id/1367693")</f>
      </c>
      <c r="G5872" t="s" s="2">
        <v>17</v>
      </c>
      <c r="H5872" t="s" s="2">
        <v>19</v>
      </c>
      <c r="I5872" t="s" s="2">
        <v>22748</v>
      </c>
      <c r="J5872" t="s" s="2">
        <v>22749</v>
      </c>
      <c r="K5872" t="s" s="2">
        <v>22</v>
      </c>
      <c r="L5872" t="s" s="2">
        <v>22</v>
      </c>
      <c r="M5872" t="s" s="2">
        <v>22</v>
      </c>
    </row>
    <row r="5873" ht="25.0" customHeight="true">
      <c r="A5873" t="s" s="2">
        <v>13</v>
      </c>
      <c r="B5873" t="s" s="2">
        <f>HYPERLINK("http://ts.21cn.com/tousu/show/id/1367691","退还违约金利息")</f>
      </c>
      <c r="C5873" t="s" s="2">
        <v>15</v>
      </c>
      <c r="D5873" t="s" s="2">
        <v>16</v>
      </c>
      <c r="E5873" t="s" s="2">
        <v>17</v>
      </c>
      <c r="F5873" t="s" s="2">
        <f>HYPERLINK("http://ts.21cn.com/tousu/show/id/1367691","http://ts.21cn.com/tousu/show/id/1367691")</f>
      </c>
      <c r="G5873" t="s" s="2">
        <v>17</v>
      </c>
      <c r="H5873" t="s" s="2">
        <v>19</v>
      </c>
      <c r="I5873" t="s" s="2">
        <v>22752</v>
      </c>
      <c r="J5873" t="s" s="2">
        <v>22753</v>
      </c>
      <c r="K5873" t="s" s="2">
        <v>22</v>
      </c>
      <c r="L5873" t="s" s="2">
        <v>22</v>
      </c>
      <c r="M5873" t="s" s="2">
        <v>22</v>
      </c>
    </row>
    <row r="5874" ht="25.0" customHeight="true">
      <c r="A5874" t="s" s="2">
        <v>13</v>
      </c>
      <c r="B5874" t="s" s="2">
        <f>HYPERLINK("http://ts.21cn.com/tousu/show/id/1367689","捷信现金贷变相收高利息")</f>
      </c>
      <c r="C5874" t="s" s="2">
        <v>15</v>
      </c>
      <c r="D5874" t="s" s="2">
        <v>16</v>
      </c>
      <c r="E5874" t="s" s="2">
        <v>17</v>
      </c>
      <c r="F5874" t="s" s="2">
        <f>HYPERLINK("http://ts.21cn.com/tousu/show/id/1367689","http://ts.21cn.com/tousu/show/id/1367689")</f>
      </c>
      <c r="G5874" t="s" s="2">
        <v>17</v>
      </c>
      <c r="H5874" t="s" s="2">
        <v>19</v>
      </c>
      <c r="I5874" t="s" s="2">
        <v>22756</v>
      </c>
      <c r="J5874" t="s" s="2">
        <v>22757</v>
      </c>
      <c r="K5874" t="s" s="2">
        <v>22</v>
      </c>
      <c r="L5874" t="s" s="2">
        <v>22</v>
      </c>
      <c r="M5874" t="s" s="2">
        <v>22</v>
      </c>
    </row>
    <row r="5875" ht="25.0" customHeight="true">
      <c r="A5875" t="s" s="2">
        <v>13</v>
      </c>
      <c r="B5875" t="s" s="2">
        <f>HYPERLINK("http://ts.21cn.com/tousu/show/id/1367687","交通银行违规催收")</f>
      </c>
      <c r="C5875" t="s" s="2">
        <v>15</v>
      </c>
      <c r="D5875" t="s" s="2">
        <v>16</v>
      </c>
      <c r="E5875" t="s" s="2">
        <v>17</v>
      </c>
      <c r="F5875" t="s" s="2">
        <f>HYPERLINK("http://ts.21cn.com/tousu/show/id/1367687","http://ts.21cn.com/tousu/show/id/1367687")</f>
      </c>
      <c r="G5875" t="s" s="2">
        <v>17</v>
      </c>
      <c r="H5875" t="s" s="2">
        <v>19</v>
      </c>
      <c r="I5875" t="s" s="2">
        <v>22760</v>
      </c>
      <c r="J5875" t="s" s="2">
        <v>22761</v>
      </c>
      <c r="K5875" t="s" s="2">
        <v>22</v>
      </c>
      <c r="L5875" t="s" s="2">
        <v>22</v>
      </c>
      <c r="M5875" t="s" s="2">
        <v>22</v>
      </c>
    </row>
    <row r="5876" ht="25.0" customHeight="true">
      <c r="A5876" t="s" s="2">
        <v>13</v>
      </c>
      <c r="B5876" t="s" s="2">
        <f>HYPERLINK("http://ts.21cn.com/tousu/show/id/1367632","银钱包在我不知情情况下刷我499购买VIP要求退款")</f>
      </c>
      <c r="C5876" t="s" s="2">
        <v>15</v>
      </c>
      <c r="D5876" t="s" s="2">
        <v>16</v>
      </c>
      <c r="E5876" t="s" s="2">
        <v>17</v>
      </c>
      <c r="F5876" t="s" s="2">
        <f>HYPERLINK("http://ts.21cn.com/tousu/show/id/1367632","http://ts.21cn.com/tousu/show/id/1367632")</f>
      </c>
      <c r="G5876" t="s" s="2">
        <v>17</v>
      </c>
      <c r="H5876" t="s" s="2">
        <v>19</v>
      </c>
      <c r="I5876" t="s" s="2">
        <v>22764</v>
      </c>
      <c r="J5876" t="s" s="2">
        <v>22765</v>
      </c>
      <c r="K5876" t="s" s="2">
        <v>22</v>
      </c>
      <c r="L5876" t="s" s="2">
        <v>22</v>
      </c>
      <c r="M5876" t="s" s="2">
        <v>22</v>
      </c>
    </row>
    <row r="5877" ht="25.0" customHeight="true">
      <c r="A5877" t="s" s="2">
        <v>13</v>
      </c>
      <c r="B5877" t="s" s="2">
        <f>HYPERLINK("http://ts.21cn.com/tousu/show/id/1367686","网上购票为何不能在网上退票")</f>
      </c>
      <c r="C5877" t="s" s="2">
        <v>15</v>
      </c>
      <c r="D5877" t="s" s="2">
        <v>16</v>
      </c>
      <c r="E5877" t="s" s="2">
        <v>17</v>
      </c>
      <c r="F5877" t="s" s="2">
        <f>HYPERLINK("http://ts.21cn.com/tousu/show/id/1367686","http://ts.21cn.com/tousu/show/id/1367686")</f>
      </c>
      <c r="G5877" t="s" s="2">
        <v>17</v>
      </c>
      <c r="H5877" t="s" s="2">
        <v>19</v>
      </c>
      <c r="I5877" t="s" s="2">
        <v>22768</v>
      </c>
      <c r="J5877" t="s" s="2">
        <v>22769</v>
      </c>
      <c r="K5877" t="s" s="2">
        <v>22</v>
      </c>
      <c r="L5877" t="s" s="2">
        <v>22</v>
      </c>
      <c r="M5877" t="s" s="2">
        <v>22</v>
      </c>
    </row>
    <row r="5878" ht="25.0" customHeight="true">
      <c r="A5878" t="s" s="2">
        <v>13</v>
      </c>
      <c r="B5878" t="s" s="2">
        <f>HYPERLINK("http://ts.21cn.com/tousu/show/id/1367685","支付宝非法为714高炮+砍头贷提供还款通道")</f>
      </c>
      <c r="C5878" t="s" s="2">
        <v>52</v>
      </c>
      <c r="D5878" t="s" s="2">
        <v>16</v>
      </c>
      <c r="E5878" t="s" s="2">
        <v>17</v>
      </c>
      <c r="F5878" t="s" s="2">
        <f>HYPERLINK("http://ts.21cn.com/tousu/show/id/1367685","http://ts.21cn.com/tousu/show/id/1367685")</f>
      </c>
      <c r="G5878" t="s" s="2">
        <v>17</v>
      </c>
      <c r="H5878" t="s" s="2">
        <v>19</v>
      </c>
      <c r="I5878" t="s" s="2">
        <v>22772</v>
      </c>
      <c r="J5878" t="s" s="2">
        <v>22773</v>
      </c>
      <c r="K5878" t="s" s="2">
        <v>22</v>
      </c>
      <c r="L5878" t="s" s="2">
        <v>22</v>
      </c>
      <c r="M5878" t="s" s="2">
        <v>22</v>
      </c>
    </row>
    <row r="5879" ht="25.0" customHeight="true">
      <c r="A5879" t="s" s="2">
        <v>13</v>
      </c>
      <c r="B5879" t="s" s="2">
        <f>HYPERLINK("http://ts.21cn.com/tousu/show/id/1367684","美团拖欠工资")</f>
      </c>
      <c r="C5879" t="s" s="2">
        <v>15</v>
      </c>
      <c r="D5879" t="s" s="2">
        <v>16</v>
      </c>
      <c r="E5879" t="s" s="2">
        <v>17</v>
      </c>
      <c r="F5879" t="s" s="2">
        <f>HYPERLINK("http://ts.21cn.com/tousu/show/id/1367684","http://ts.21cn.com/tousu/show/id/1367684")</f>
      </c>
      <c r="G5879" t="s" s="2">
        <v>17</v>
      </c>
      <c r="H5879" t="s" s="2">
        <v>19</v>
      </c>
      <c r="I5879" t="s" s="2">
        <v>22776</v>
      </c>
      <c r="J5879" t="s" s="2">
        <v>22777</v>
      </c>
      <c r="K5879" t="s" s="2">
        <v>22</v>
      </c>
      <c r="L5879" t="s" s="2">
        <v>22</v>
      </c>
      <c r="M5879" t="s" s="2">
        <v>22</v>
      </c>
    </row>
    <row r="5880" ht="25.0" customHeight="true">
      <c r="A5880" t="s" s="2">
        <v>13</v>
      </c>
      <c r="B5880" t="s" s="2">
        <f>HYPERLINK("http://ts.21cn.com/tousu/show/id/1367683","财神黑卡砍头息套路贷")</f>
      </c>
      <c r="C5880" t="s" s="2">
        <v>15</v>
      </c>
      <c r="D5880" t="s" s="2">
        <v>16</v>
      </c>
      <c r="E5880" t="s" s="2">
        <v>17</v>
      </c>
      <c r="F5880" t="s" s="2">
        <f>HYPERLINK("http://ts.21cn.com/tousu/show/id/1367683","http://ts.21cn.com/tousu/show/id/1367683")</f>
      </c>
      <c r="G5880" t="s" s="2">
        <v>17</v>
      </c>
      <c r="H5880" t="s" s="2">
        <v>19</v>
      </c>
      <c r="I5880" t="s" s="2">
        <v>22780</v>
      </c>
      <c r="J5880" t="s" s="2">
        <v>22781</v>
      </c>
      <c r="K5880" t="s" s="2">
        <v>22</v>
      </c>
      <c r="L5880" t="s" s="2">
        <v>22</v>
      </c>
      <c r="M5880" t="s" s="2">
        <v>22</v>
      </c>
    </row>
    <row r="5881" ht="25.0" customHeight="true">
      <c r="A5881" t="s" s="2">
        <v>13</v>
      </c>
      <c r="B5881" t="s" s="2">
        <f>HYPERLINK("http://ts.21cn.com/tousu/show/id/1367682","及贷变相砍头息高利贷阴阳合同骚扰通讯录")</f>
      </c>
      <c r="C5881" t="s" s="2">
        <v>15</v>
      </c>
      <c r="D5881" t="s" s="2">
        <v>16</v>
      </c>
      <c r="E5881" t="s" s="2">
        <v>17</v>
      </c>
      <c r="F5881" t="s" s="2">
        <f>HYPERLINK("http://ts.21cn.com/tousu/show/id/1367682","http://ts.21cn.com/tousu/show/id/1367682")</f>
      </c>
      <c r="G5881" t="s" s="2">
        <v>17</v>
      </c>
      <c r="H5881" t="s" s="2">
        <v>19</v>
      </c>
      <c r="I5881" t="s" s="2">
        <v>22784</v>
      </c>
      <c r="J5881" t="s" s="2">
        <v>22785</v>
      </c>
      <c r="K5881" t="s" s="2">
        <v>22</v>
      </c>
      <c r="L5881" t="s" s="2">
        <v>22</v>
      </c>
      <c r="M5881" t="s" s="2">
        <v>22</v>
      </c>
    </row>
    <row r="5882" ht="25.0" customHeight="true">
      <c r="A5882" t="s" s="2">
        <v>13</v>
      </c>
      <c r="B5882" t="s" s="2">
        <f>HYPERLINK("http://ts.21cn.com/tousu/show/id/1367681","立刻出行不退押金499元")</f>
      </c>
      <c r="C5882" t="s" s="2">
        <v>15</v>
      </c>
      <c r="D5882" t="s" s="2">
        <v>16</v>
      </c>
      <c r="E5882" t="s" s="2">
        <v>17</v>
      </c>
      <c r="F5882" t="s" s="2">
        <f>HYPERLINK("http://ts.21cn.com/tousu/show/id/1367681","http://ts.21cn.com/tousu/show/id/1367681")</f>
      </c>
      <c r="G5882" t="s" s="2">
        <v>17</v>
      </c>
      <c r="H5882" t="s" s="2">
        <v>19</v>
      </c>
      <c r="I5882" t="s" s="2">
        <v>22788</v>
      </c>
      <c r="J5882" t="s" s="2">
        <v>22789</v>
      </c>
      <c r="K5882" t="s" s="2">
        <v>22</v>
      </c>
      <c r="L5882" t="s" s="2">
        <v>22</v>
      </c>
      <c r="M5882" t="s" s="2">
        <v>22</v>
      </c>
    </row>
    <row r="5883" ht="25.0" customHeight="true">
      <c r="A5883" t="s" s="2">
        <v>13</v>
      </c>
      <c r="B5883" t="s" s="2">
        <f>HYPERLINK("http://ts.21cn.com/tousu/show/id/1367680","钱站高利贷砍头息阴阳合同")</f>
      </c>
      <c r="C5883" t="s" s="2">
        <v>15</v>
      </c>
      <c r="D5883" t="s" s="2">
        <v>16</v>
      </c>
      <c r="E5883" t="s" s="2">
        <v>17</v>
      </c>
      <c r="F5883" t="s" s="2">
        <f>HYPERLINK("http://ts.21cn.com/tousu/show/id/1367680","http://ts.21cn.com/tousu/show/id/1367680")</f>
      </c>
      <c r="G5883" t="s" s="2">
        <v>17</v>
      </c>
      <c r="H5883" t="s" s="2">
        <v>19</v>
      </c>
      <c r="I5883" t="s" s="2">
        <v>22791</v>
      </c>
      <c r="J5883" t="s" s="2">
        <v>22792</v>
      </c>
      <c r="K5883" t="s" s="2">
        <v>22</v>
      </c>
      <c r="L5883" t="s" s="2">
        <v>22</v>
      </c>
      <c r="M5883" t="s" s="2">
        <v>22</v>
      </c>
    </row>
    <row r="5884" ht="25.0" customHeight="true">
      <c r="A5884" t="s" s="2">
        <v>13</v>
      </c>
      <c r="B5884" t="s" s="2">
        <f>HYPERLINK("http://ts.21cn.com/tousu/show/id/1367679","偷刷我卡里的钱")</f>
      </c>
      <c r="C5884" t="s" s="2">
        <v>15</v>
      </c>
      <c r="D5884" t="s" s="2">
        <v>16</v>
      </c>
      <c r="E5884" t="s" s="2">
        <v>17</v>
      </c>
      <c r="F5884" t="s" s="2">
        <f>HYPERLINK("http://ts.21cn.com/tousu/show/id/1367679","http://ts.21cn.com/tousu/show/id/1367679")</f>
      </c>
      <c r="G5884" t="s" s="2">
        <v>17</v>
      </c>
      <c r="H5884" t="s" s="2">
        <v>19</v>
      </c>
      <c r="I5884" t="s" s="2">
        <v>22795</v>
      </c>
      <c r="J5884" t="s" s="2">
        <v>22796</v>
      </c>
      <c r="K5884" t="s" s="2">
        <v>22</v>
      </c>
      <c r="L5884" t="s" s="2">
        <v>22</v>
      </c>
      <c r="M5884" t="s" s="2">
        <v>22</v>
      </c>
    </row>
    <row r="5885" ht="25.0" customHeight="true">
      <c r="A5885" t="s" s="2">
        <v>13</v>
      </c>
      <c r="B5885" t="s" s="2">
        <f>HYPERLINK("http://ts.21cn.com/tousu/show/id/1367677","小当家登不上去，还不了款，怀疑套路贷")</f>
      </c>
      <c r="C5885" t="s" s="2">
        <v>15</v>
      </c>
      <c r="D5885" t="s" s="2">
        <v>16</v>
      </c>
      <c r="E5885" t="s" s="2">
        <v>17</v>
      </c>
      <c r="F5885" t="s" s="2">
        <f>HYPERLINK("http://ts.21cn.com/tousu/show/id/1367677","http://ts.21cn.com/tousu/show/id/1367677")</f>
      </c>
      <c r="G5885" t="s" s="2">
        <v>17</v>
      </c>
      <c r="H5885" t="s" s="2">
        <v>19</v>
      </c>
      <c r="I5885" t="s" s="2">
        <v>22799</v>
      </c>
      <c r="J5885" t="s" s="2">
        <v>22800</v>
      </c>
      <c r="K5885" t="s" s="2">
        <v>22</v>
      </c>
      <c r="L5885" t="s" s="2">
        <v>22</v>
      </c>
      <c r="M5885" t="s" s="2">
        <v>22</v>
      </c>
    </row>
    <row r="5886" ht="25.0" customHeight="true">
      <c r="A5886" t="s" s="2">
        <v>13</v>
      </c>
      <c r="B5886" t="s" s="2">
        <f>HYPERLINK("http://ts.21cn.com/tousu/show/id/1367676","钱站暴力催收，恐吓催收，群发短信，骚扰")</f>
      </c>
      <c r="C5886" t="s" s="2">
        <v>15</v>
      </c>
      <c r="D5886" t="s" s="2">
        <v>16</v>
      </c>
      <c r="E5886" t="s" s="2">
        <v>17</v>
      </c>
      <c r="F5886" t="s" s="2">
        <f>HYPERLINK("http://ts.21cn.com/tousu/show/id/1367676","http://ts.21cn.com/tousu/show/id/1367676")</f>
      </c>
      <c r="G5886" t="s" s="2">
        <v>17</v>
      </c>
      <c r="H5886" t="s" s="2">
        <v>19</v>
      </c>
      <c r="I5886" t="s" s="2">
        <v>22803</v>
      </c>
      <c r="J5886" t="s" s="2">
        <v>22804</v>
      </c>
      <c r="K5886" t="s" s="2">
        <v>22</v>
      </c>
      <c r="L5886" t="s" s="2">
        <v>22</v>
      </c>
      <c r="M5886" t="s" s="2">
        <v>22</v>
      </c>
    </row>
    <row r="5887" ht="25.0" customHeight="true">
      <c r="A5887" t="s" s="2">
        <v>13</v>
      </c>
      <c r="B5887" t="s" s="2">
        <f>HYPERLINK("http://ts.21cn.com/tousu/show/id/1367675","微贷一直扣银行卡钱产生盗刷风险")</f>
      </c>
      <c r="C5887" t="s" s="2">
        <v>15</v>
      </c>
      <c r="D5887" t="s" s="2">
        <v>16</v>
      </c>
      <c r="E5887" t="s" s="2">
        <v>17</v>
      </c>
      <c r="F5887" t="s" s="2">
        <f>HYPERLINK("http://ts.21cn.com/tousu/show/id/1367675","http://ts.21cn.com/tousu/show/id/1367675")</f>
      </c>
      <c r="G5887" t="s" s="2">
        <v>17</v>
      </c>
      <c r="H5887" t="s" s="2">
        <v>19</v>
      </c>
      <c r="I5887" t="s" s="2">
        <v>22807</v>
      </c>
      <c r="J5887" t="s" s="2">
        <v>22808</v>
      </c>
      <c r="K5887" t="s" s="2">
        <v>22</v>
      </c>
      <c r="L5887" t="s" s="2">
        <v>22</v>
      </c>
      <c r="M5887" t="s" s="2">
        <v>22</v>
      </c>
    </row>
    <row r="5888" ht="25.0" customHeight="true">
      <c r="A5888" t="s" s="2">
        <v>13</v>
      </c>
      <c r="B5888" t="s" s="2">
        <f>HYPERLINK("http://ts.21cn.com/tousu/show/id/1367674","威胁短信")</f>
      </c>
      <c r="C5888" t="s" s="2">
        <v>15</v>
      </c>
      <c r="D5888" t="s" s="2">
        <v>16</v>
      </c>
      <c r="E5888" t="s" s="2">
        <v>17</v>
      </c>
      <c r="F5888" t="s" s="2">
        <f>HYPERLINK("http://ts.21cn.com/tousu/show/id/1367674","http://ts.21cn.com/tousu/show/id/1367674")</f>
      </c>
      <c r="G5888" t="s" s="2">
        <v>17</v>
      </c>
      <c r="H5888" t="s" s="2">
        <v>19</v>
      </c>
      <c r="I5888" t="s" s="2">
        <v>22811</v>
      </c>
      <c r="J5888" t="s" s="2">
        <v>22812</v>
      </c>
      <c r="K5888" t="s" s="2">
        <v>22</v>
      </c>
      <c r="L5888" t="s" s="2">
        <v>22</v>
      </c>
      <c r="M5888" t="s" s="2">
        <v>22</v>
      </c>
    </row>
    <row r="5889" ht="25.0" customHeight="true">
      <c r="A5889" t="s" s="2">
        <v>13</v>
      </c>
      <c r="B5889" t="s" s="2">
        <f>HYPERLINK("http://ts.21cn.com/tousu/show/id/1367669","威胁短信，暴力催收")</f>
      </c>
      <c r="C5889" t="s" s="2">
        <v>15</v>
      </c>
      <c r="D5889" t="s" s="2">
        <v>16</v>
      </c>
      <c r="E5889" t="s" s="2">
        <v>17</v>
      </c>
      <c r="F5889" t="s" s="2">
        <f>HYPERLINK("http://ts.21cn.com/tousu/show/id/1367669","http://ts.21cn.com/tousu/show/id/1367669")</f>
      </c>
      <c r="G5889" t="s" s="2">
        <v>17</v>
      </c>
      <c r="H5889" t="s" s="2">
        <v>19</v>
      </c>
      <c r="I5889" t="s" s="2">
        <v>22815</v>
      </c>
      <c r="J5889" t="s" s="2">
        <v>22816</v>
      </c>
      <c r="K5889" t="s" s="2">
        <v>22</v>
      </c>
      <c r="L5889" t="s" s="2">
        <v>22</v>
      </c>
      <c r="M5889" t="s" s="2">
        <v>22</v>
      </c>
    </row>
    <row r="5890" ht="25.0" customHeight="true">
      <c r="A5890" t="s" s="2">
        <v>13</v>
      </c>
      <c r="B5890" t="s" s="2">
        <f>HYPERLINK("http://ts.21cn.com/tousu/show/id/1367658","聚富分期私自扣款")</f>
      </c>
      <c r="C5890" t="s" s="2">
        <v>15</v>
      </c>
      <c r="D5890" t="s" s="2">
        <v>16</v>
      </c>
      <c r="E5890" t="s" s="2">
        <v>17</v>
      </c>
      <c r="F5890" t="s" s="2">
        <f>HYPERLINK("http://ts.21cn.com/tousu/show/id/1367658","http://ts.21cn.com/tousu/show/id/1367658")</f>
      </c>
      <c r="G5890" t="s" s="2">
        <v>17</v>
      </c>
      <c r="H5890" t="s" s="2">
        <v>19</v>
      </c>
      <c r="I5890" t="s" s="2">
        <v>22819</v>
      </c>
      <c r="J5890" t="s" s="2">
        <v>22820</v>
      </c>
      <c r="K5890" t="s" s="2">
        <v>22</v>
      </c>
      <c r="L5890" t="s" s="2">
        <v>22</v>
      </c>
      <c r="M5890" t="s" s="2">
        <v>22</v>
      </c>
    </row>
    <row r="5891" ht="25.0" customHeight="true">
      <c r="A5891" t="s" s="2">
        <v>13</v>
      </c>
      <c r="B5891" t="s" s="2">
        <f>HYPERLINK("http://ts.21cn.com/tousu/show/id/1367655","招呼联金融骚扰恐吓诽谤")</f>
      </c>
      <c r="C5891" t="s" s="2">
        <v>15</v>
      </c>
      <c r="D5891" t="s" s="2">
        <v>16</v>
      </c>
      <c r="E5891" t="s" s="2">
        <v>17</v>
      </c>
      <c r="F5891" t="s" s="2">
        <f>HYPERLINK("http://ts.21cn.com/tousu/show/id/1367655","http://ts.21cn.com/tousu/show/id/1367655")</f>
      </c>
      <c r="G5891" t="s" s="2">
        <v>17</v>
      </c>
      <c r="H5891" t="s" s="2">
        <v>19</v>
      </c>
      <c r="I5891" t="s" s="2">
        <v>22823</v>
      </c>
      <c r="J5891" t="s" s="2">
        <v>22824</v>
      </c>
      <c r="K5891" t="s" s="2">
        <v>22</v>
      </c>
      <c r="L5891" t="s" s="2">
        <v>22</v>
      </c>
      <c r="M5891" t="s" s="2">
        <v>22</v>
      </c>
    </row>
    <row r="5892" ht="25.0" customHeight="true">
      <c r="A5892" t="s" s="2">
        <v>13</v>
      </c>
      <c r="B5892" t="s" s="2">
        <f>HYPERLINK("http://ts.21cn.com/tousu/show/id/1367648","高利贷，阴阳合同")</f>
      </c>
      <c r="C5892" t="s" s="2">
        <v>15</v>
      </c>
      <c r="D5892" t="s" s="2">
        <v>16</v>
      </c>
      <c r="E5892" t="s" s="2">
        <v>17</v>
      </c>
      <c r="F5892" t="s" s="2">
        <f>HYPERLINK("http://ts.21cn.com/tousu/show/id/1367648","http://ts.21cn.com/tousu/show/id/1367648")</f>
      </c>
      <c r="G5892" t="s" s="2">
        <v>17</v>
      </c>
      <c r="H5892" t="s" s="2">
        <v>19</v>
      </c>
      <c r="I5892" t="s" s="2">
        <v>22826</v>
      </c>
      <c r="J5892" t="s" s="2">
        <v>22827</v>
      </c>
      <c r="K5892" t="s" s="2">
        <v>22</v>
      </c>
      <c r="L5892" t="s" s="2">
        <v>22</v>
      </c>
      <c r="M5892" t="s" s="2">
        <v>22</v>
      </c>
    </row>
    <row r="5893" ht="25.0" customHeight="true">
      <c r="A5893" t="s" s="2">
        <v>13</v>
      </c>
      <c r="B5893" t="s" s="2">
        <f>HYPERLINK("http://ts.21cn.com/tousu/show/id/1367647","拍拍贷软暴力催收")</f>
      </c>
      <c r="C5893" t="s" s="2">
        <v>15</v>
      </c>
      <c r="D5893" t="s" s="2">
        <v>16</v>
      </c>
      <c r="E5893" t="s" s="2">
        <v>17</v>
      </c>
      <c r="F5893" t="s" s="2">
        <f>HYPERLINK("http://ts.21cn.com/tousu/show/id/1367647","http://ts.21cn.com/tousu/show/id/1367647")</f>
      </c>
      <c r="G5893" t="s" s="2">
        <v>17</v>
      </c>
      <c r="H5893" t="s" s="2">
        <v>19</v>
      </c>
      <c r="I5893" t="s" s="2">
        <v>22830</v>
      </c>
      <c r="J5893" t="s" s="2">
        <v>22831</v>
      </c>
      <c r="K5893" t="s" s="2">
        <v>22</v>
      </c>
      <c r="L5893" t="s" s="2">
        <v>22</v>
      </c>
      <c r="M5893" t="s" s="2">
        <v>22</v>
      </c>
    </row>
    <row r="5894" ht="25.0" customHeight="true">
      <c r="A5894" t="s" s="2">
        <v>13</v>
      </c>
      <c r="B5894" t="s" s="2">
        <f>HYPERLINK("http://ts.21cn.com/tousu/show/id/1367636","在月光侠分期借款3000元，分三期，提前收取900元，到账2100元，没有任何的提示就扣款900元，合同上面没写")</f>
      </c>
      <c r="C5894" t="s" s="2">
        <v>15</v>
      </c>
      <c r="D5894" t="s" s="2">
        <v>16</v>
      </c>
      <c r="E5894" t="s" s="2">
        <v>17</v>
      </c>
      <c r="F5894" t="s" s="2">
        <f>HYPERLINK("http://ts.21cn.com/tousu/show/id/1367636","http://ts.21cn.com/tousu/show/id/1367636")</f>
      </c>
      <c r="G5894" t="s" s="2">
        <v>17</v>
      </c>
      <c r="H5894" t="s" s="2">
        <v>19</v>
      </c>
      <c r="I5894" t="s" s="2">
        <v>22834</v>
      </c>
      <c r="J5894" t="s" s="2">
        <v>22835</v>
      </c>
      <c r="K5894" t="s" s="2">
        <v>22</v>
      </c>
      <c r="L5894" t="s" s="2">
        <v>22</v>
      </c>
      <c r="M5894" t="s" s="2">
        <v>22</v>
      </c>
    </row>
    <row r="5895" ht="25.0" customHeight="true">
      <c r="A5895" t="s" s="2">
        <v>13</v>
      </c>
      <c r="B5895" t="s" s="2">
        <f>HYPERLINK("http://ts.21cn.com/tousu/show/id/1367618","自由魔卡信用计划退还300元砍头息")</f>
      </c>
      <c r="C5895" t="s" s="2">
        <v>15</v>
      </c>
      <c r="D5895" t="s" s="2">
        <v>16</v>
      </c>
      <c r="E5895" t="s" s="2">
        <v>17</v>
      </c>
      <c r="F5895" t="s" s="2">
        <f>HYPERLINK("http://ts.21cn.com/tousu/show/id/1367618","http://ts.21cn.com/tousu/show/id/1367618")</f>
      </c>
      <c r="G5895" t="s" s="2">
        <v>17</v>
      </c>
      <c r="H5895" t="s" s="2">
        <v>19</v>
      </c>
      <c r="I5895" t="s" s="2">
        <v>22838</v>
      </c>
      <c r="J5895" t="s" s="2">
        <v>22839</v>
      </c>
      <c r="K5895" t="s" s="2">
        <v>22</v>
      </c>
      <c r="L5895" t="s" s="2">
        <v>22</v>
      </c>
      <c r="M5895" t="s" s="2">
        <v>22</v>
      </c>
    </row>
    <row r="5896" ht="25.0" customHeight="true">
      <c r="A5896" t="s" s="2">
        <v>13</v>
      </c>
      <c r="B5896" t="s" s="2">
        <f>HYPERLINK("http://ts.21cn.com/tousu/show/id/1367614","捷信金融这到底是不是高利贷？，如何解决？")</f>
      </c>
      <c r="C5896" t="s" s="2">
        <v>15</v>
      </c>
      <c r="D5896" t="s" s="2">
        <v>16</v>
      </c>
      <c r="E5896" t="s" s="2">
        <v>17</v>
      </c>
      <c r="F5896" t="s" s="2">
        <f>HYPERLINK("http://ts.21cn.com/tousu/show/id/1367614","http://ts.21cn.com/tousu/show/id/1367614")</f>
      </c>
      <c r="G5896" t="s" s="2">
        <v>17</v>
      </c>
      <c r="H5896" t="s" s="2">
        <v>19</v>
      </c>
      <c r="I5896" t="s" s="2">
        <v>22841</v>
      </c>
      <c r="J5896" t="s" s="2">
        <v>22842</v>
      </c>
      <c r="K5896" t="s" s="2">
        <v>22</v>
      </c>
      <c r="L5896" t="s" s="2">
        <v>22</v>
      </c>
      <c r="M5896" t="s" s="2">
        <v>22</v>
      </c>
    </row>
    <row r="5897" ht="25.0" customHeight="true">
      <c r="A5897" t="s" s="2">
        <v>13</v>
      </c>
      <c r="B5897" t="s" s="2">
        <f>HYPERLINK("http://ts.21cn.com/tousu/show/id/1367603","电信网络质量不达标，而且吃吃不处理，自己网络不好，还怪我访问的网站服务器有问题。")</f>
      </c>
      <c r="C5897" t="s" s="2">
        <v>15</v>
      </c>
      <c r="D5897" t="s" s="2">
        <v>16</v>
      </c>
      <c r="E5897" t="s" s="2">
        <v>17</v>
      </c>
      <c r="F5897" t="s" s="2">
        <f>HYPERLINK("http://ts.21cn.com/tousu/show/id/1367603","http://ts.21cn.com/tousu/show/id/1367603")</f>
      </c>
      <c r="G5897" t="s" s="2">
        <v>17</v>
      </c>
      <c r="H5897" t="s" s="2">
        <v>19</v>
      </c>
      <c r="I5897" t="s" s="2">
        <v>22845</v>
      </c>
      <c r="J5897" t="s" s="2">
        <v>22846</v>
      </c>
      <c r="K5897" t="s" s="2">
        <v>22</v>
      </c>
      <c r="L5897" t="s" s="2">
        <v>22</v>
      </c>
      <c r="M5897" t="s" s="2">
        <v>22</v>
      </c>
    </row>
    <row r="5898" ht="25.0" customHeight="true">
      <c r="A5898" t="s" s="2">
        <v>13</v>
      </c>
      <c r="B5898" t="s" s="2">
        <f>HYPERLINK("http://ts.21cn.com/tousu/show/id/1367600","有钱花恶意催款，无故降额")</f>
      </c>
      <c r="C5898" t="s" s="2">
        <v>15</v>
      </c>
      <c r="D5898" t="s" s="2">
        <v>16</v>
      </c>
      <c r="E5898" t="s" s="2">
        <v>17</v>
      </c>
      <c r="F5898" t="s" s="2">
        <f>HYPERLINK("http://ts.21cn.com/tousu/show/id/1367600","http://ts.21cn.com/tousu/show/id/1367600")</f>
      </c>
      <c r="G5898" t="s" s="2">
        <v>17</v>
      </c>
      <c r="H5898" t="s" s="2">
        <v>19</v>
      </c>
      <c r="I5898" t="s" s="2">
        <v>22849</v>
      </c>
      <c r="J5898" t="s" s="2">
        <v>22850</v>
      </c>
      <c r="K5898" t="s" s="2">
        <v>22</v>
      </c>
      <c r="L5898" t="s" s="2">
        <v>22</v>
      </c>
      <c r="M5898" t="s" s="2">
        <v>22</v>
      </c>
    </row>
    <row r="5899" ht="25.0" customHeight="true">
      <c r="A5899" t="s" s="2">
        <v>13</v>
      </c>
      <c r="B5899" t="s" s="2">
        <f>HYPERLINK("http://ts.21cn.com/tousu/show/id/1367598","直接与信用卡协商还款事宜")</f>
      </c>
      <c r="C5899" t="s" s="2">
        <v>15</v>
      </c>
      <c r="D5899" t="s" s="2">
        <v>16</v>
      </c>
      <c r="E5899" t="s" s="2">
        <v>17</v>
      </c>
      <c r="F5899" t="s" s="2">
        <f>HYPERLINK("http://ts.21cn.com/tousu/show/id/1367598","http://ts.21cn.com/tousu/show/id/1367598")</f>
      </c>
      <c r="G5899" t="s" s="2">
        <v>17</v>
      </c>
      <c r="H5899" t="s" s="2">
        <v>19</v>
      </c>
      <c r="I5899" t="s" s="2">
        <v>22853</v>
      </c>
      <c r="J5899" t="s" s="2">
        <v>22854</v>
      </c>
      <c r="K5899" t="s" s="2">
        <v>22</v>
      </c>
      <c r="L5899" t="s" s="2">
        <v>22</v>
      </c>
      <c r="M5899" t="s" s="2">
        <v>22</v>
      </c>
    </row>
    <row r="5900" ht="25.0" customHeight="true">
      <c r="A5900" t="s" s="2">
        <v>13</v>
      </c>
      <c r="B5900" t="s" s="2">
        <f>HYPERLINK("http://ts.21cn.com/tousu/show/id/1367592","退回砍头息")</f>
      </c>
      <c r="C5900" t="s" s="2">
        <v>15</v>
      </c>
      <c r="D5900" t="s" s="2">
        <v>16</v>
      </c>
      <c r="E5900" t="s" s="2">
        <v>17</v>
      </c>
      <c r="F5900" t="s" s="2">
        <f>HYPERLINK("http://ts.21cn.com/tousu/show/id/1367592","http://ts.21cn.com/tousu/show/id/1367592")</f>
      </c>
      <c r="G5900" t="s" s="2">
        <v>17</v>
      </c>
      <c r="H5900" t="s" s="2">
        <v>19</v>
      </c>
      <c r="I5900" t="s" s="2">
        <v>22857</v>
      </c>
      <c r="J5900" t="s" s="2">
        <v>22858</v>
      </c>
      <c r="K5900" t="s" s="2">
        <v>22</v>
      </c>
      <c r="L5900" t="s" s="2">
        <v>22</v>
      </c>
      <c r="M5900" t="s" s="2">
        <v>22</v>
      </c>
    </row>
    <row r="5901" ht="25.0" customHeight="true">
      <c r="A5901" t="s" s="2">
        <v>13</v>
      </c>
      <c r="B5901" t="s" s="2">
        <f>HYPERLINK("http://ts.21cn.com/tousu/show/id/1367591","梁山仙域信息技术有限公司莫名扣款")</f>
      </c>
      <c r="C5901" t="s" s="2">
        <v>52</v>
      </c>
      <c r="D5901" t="s" s="2">
        <v>16</v>
      </c>
      <c r="E5901" t="s" s="2">
        <v>17</v>
      </c>
      <c r="F5901" t="s" s="2">
        <f>HYPERLINK("http://ts.21cn.com/tousu/show/id/1367591","http://ts.21cn.com/tousu/show/id/1367591")</f>
      </c>
      <c r="G5901" t="s" s="2">
        <v>17</v>
      </c>
      <c r="H5901" t="s" s="2">
        <v>19</v>
      </c>
      <c r="I5901" t="s" s="2">
        <v>22861</v>
      </c>
      <c r="J5901" t="s" s="2">
        <v>22862</v>
      </c>
      <c r="K5901" t="s" s="2">
        <v>22</v>
      </c>
      <c r="L5901" t="s" s="2">
        <v>22</v>
      </c>
      <c r="M5901" t="s" s="2">
        <v>22</v>
      </c>
    </row>
    <row r="5902" ht="25.0" customHeight="true">
      <c r="A5902" t="s" s="2">
        <v>13</v>
      </c>
      <c r="B5902" t="s" s="2">
        <f>HYPERLINK("http://ts.21cn.com/tousu/show/id/1367580","凡普金科集团有限公司")</f>
      </c>
      <c r="C5902" t="s" s="2">
        <v>15</v>
      </c>
      <c r="D5902" t="s" s="2">
        <v>16</v>
      </c>
      <c r="E5902" t="s" s="2">
        <v>17</v>
      </c>
      <c r="F5902" t="s" s="2">
        <f>HYPERLINK("http://ts.21cn.com/tousu/show/id/1367580","http://ts.21cn.com/tousu/show/id/1367580")</f>
      </c>
      <c r="G5902" t="s" s="2">
        <v>17</v>
      </c>
      <c r="H5902" t="s" s="2">
        <v>19</v>
      </c>
      <c r="I5902" t="s" s="2">
        <v>22865</v>
      </c>
      <c r="J5902" t="s" s="2">
        <v>22866</v>
      </c>
      <c r="K5902" t="s" s="2">
        <v>22</v>
      </c>
      <c r="L5902" t="s" s="2">
        <v>22</v>
      </c>
      <c r="M5902" t="s" s="2">
        <v>22</v>
      </c>
    </row>
    <row r="5903" ht="25.0" customHeight="true">
      <c r="A5903" t="s" s="2">
        <v>13</v>
      </c>
      <c r="B5903" t="s" s="2">
        <f>HYPERLINK("http://ts.21cn.com/tousu/show/id/1367576","年利率超过36%，追回超过部分利息")</f>
      </c>
      <c r="C5903" t="s" s="2">
        <v>52</v>
      </c>
      <c r="D5903" t="s" s="2">
        <v>16</v>
      </c>
      <c r="E5903" t="s" s="2">
        <v>17</v>
      </c>
      <c r="F5903" t="s" s="2">
        <f>HYPERLINK("http://ts.21cn.com/tousu/show/id/1367576","http://ts.21cn.com/tousu/show/id/1367576")</f>
      </c>
      <c r="G5903" t="s" s="2">
        <v>17</v>
      </c>
      <c r="H5903" t="s" s="2">
        <v>19</v>
      </c>
      <c r="I5903" t="s" s="2">
        <v>22869</v>
      </c>
      <c r="J5903" t="s" s="2">
        <v>22870</v>
      </c>
      <c r="K5903" t="s" s="2">
        <v>22</v>
      </c>
      <c r="L5903" t="s" s="2">
        <v>22</v>
      </c>
      <c r="M5903" t="s" s="2">
        <v>22</v>
      </c>
    </row>
    <row r="5904" ht="25.0" customHeight="true">
      <c r="A5904" t="s" s="2">
        <v>13</v>
      </c>
      <c r="B5904" t="s" s="2">
        <f>HYPERLINK("http://ts.21cn.com/tousu/show/id/1367559","联通宽带增值业务乱扣费")</f>
      </c>
      <c r="C5904" t="s" s="2">
        <v>15</v>
      </c>
      <c r="D5904" t="s" s="2">
        <v>16</v>
      </c>
      <c r="E5904" t="s" s="2">
        <v>17</v>
      </c>
      <c r="F5904" t="s" s="2">
        <f>HYPERLINK("http://ts.21cn.com/tousu/show/id/1367559","http://ts.21cn.com/tousu/show/id/1367559")</f>
      </c>
      <c r="G5904" t="s" s="2">
        <v>17</v>
      </c>
      <c r="H5904" t="s" s="2">
        <v>19</v>
      </c>
      <c r="I5904" t="s" s="2">
        <v>22873</v>
      </c>
      <c r="J5904" t="s" s="2">
        <v>22874</v>
      </c>
      <c r="K5904" t="s" s="2">
        <v>22</v>
      </c>
      <c r="L5904" t="s" s="2">
        <v>22</v>
      </c>
      <c r="M5904" t="s" s="2">
        <v>22</v>
      </c>
    </row>
    <row r="5905" ht="25.0" customHeight="true">
      <c r="A5905" t="s" s="2">
        <v>13</v>
      </c>
      <c r="B5905" t="s" s="2">
        <f>HYPERLINK("http://ts.21cn.com/tousu/show/id/1367548","维信卡卡贷高利贷砍头息")</f>
      </c>
      <c r="C5905" t="s" s="2">
        <v>15</v>
      </c>
      <c r="D5905" t="s" s="2">
        <v>16</v>
      </c>
      <c r="E5905" t="s" s="2">
        <v>17</v>
      </c>
      <c r="F5905" t="s" s="2">
        <f>HYPERLINK("http://ts.21cn.com/tousu/show/id/1367548","http://ts.21cn.com/tousu/show/id/1367548")</f>
      </c>
      <c r="G5905" t="s" s="2">
        <v>17</v>
      </c>
      <c r="H5905" t="s" s="2">
        <v>19</v>
      </c>
      <c r="I5905" t="s" s="2">
        <v>22877</v>
      </c>
      <c r="J5905" t="s" s="2">
        <v>22878</v>
      </c>
      <c r="K5905" t="s" s="2">
        <v>22</v>
      </c>
      <c r="L5905" t="s" s="2">
        <v>22</v>
      </c>
      <c r="M5905" t="s" s="2">
        <v>22</v>
      </c>
    </row>
    <row r="5906" ht="25.0" customHeight="true">
      <c r="A5906" t="s" s="2">
        <v>13</v>
      </c>
      <c r="B5906" t="s" s="2">
        <f>HYPERLINK("http://ts.21cn.com/tousu/show/id/1367537","高利贷捷信")</f>
      </c>
      <c r="C5906" t="s" s="2">
        <v>15</v>
      </c>
      <c r="D5906" t="s" s="2">
        <v>16</v>
      </c>
      <c r="E5906" t="s" s="2">
        <v>17</v>
      </c>
      <c r="F5906" t="s" s="2">
        <f>HYPERLINK("http://ts.21cn.com/tousu/show/id/1367537","http://ts.21cn.com/tousu/show/id/1367537")</f>
      </c>
      <c r="G5906" t="s" s="2">
        <v>17</v>
      </c>
      <c r="H5906" t="s" s="2">
        <v>19</v>
      </c>
      <c r="I5906" t="s" s="2">
        <v>22881</v>
      </c>
      <c r="J5906" t="s" s="2">
        <v>22882</v>
      </c>
      <c r="K5906" t="s" s="2">
        <v>22</v>
      </c>
      <c r="L5906" t="s" s="2">
        <v>22</v>
      </c>
      <c r="M5906" t="s" s="2">
        <v>22</v>
      </c>
    </row>
    <row r="5907" ht="25.0" customHeight="true">
      <c r="A5907" t="s" s="2">
        <v>13</v>
      </c>
      <c r="B5907" t="s" s="2">
        <f>HYPERLINK("http://ts.21cn.com/tousu/show/id/1367526","虚假信息，玩家无法看到数值")</f>
      </c>
      <c r="C5907" t="s" s="2">
        <v>15</v>
      </c>
      <c r="D5907" t="s" s="2">
        <v>16</v>
      </c>
      <c r="E5907" t="s" s="2">
        <v>17</v>
      </c>
      <c r="F5907" t="s" s="2">
        <f>HYPERLINK("http://ts.21cn.com/tousu/show/id/1367526","http://ts.21cn.com/tousu/show/id/1367526")</f>
      </c>
      <c r="G5907" t="s" s="2">
        <v>17</v>
      </c>
      <c r="H5907" t="s" s="2">
        <v>19</v>
      </c>
      <c r="I5907" t="s" s="2">
        <v>22885</v>
      </c>
      <c r="J5907" t="s" s="2">
        <v>22886</v>
      </c>
      <c r="K5907" t="s" s="2">
        <v>22</v>
      </c>
      <c r="L5907" t="s" s="2">
        <v>22</v>
      </c>
      <c r="M5907" t="s" s="2">
        <v>22</v>
      </c>
    </row>
    <row r="5908" ht="25.0" customHeight="true">
      <c r="A5908" t="s" s="2">
        <v>13</v>
      </c>
      <c r="B5908" t="s" s="2">
        <f>HYPERLINK("http://ts.21cn.com/tousu/show/id/1367515","拼多多无缘无故乱扣费")</f>
      </c>
      <c r="C5908" t="s" s="2">
        <v>15</v>
      </c>
      <c r="D5908" t="s" s="2">
        <v>16</v>
      </c>
      <c r="E5908" t="s" s="2">
        <v>17</v>
      </c>
      <c r="F5908" t="s" s="2">
        <f>HYPERLINK("http://ts.21cn.com/tousu/show/id/1367515","http://ts.21cn.com/tousu/show/id/1367515")</f>
      </c>
      <c r="G5908" t="s" s="2">
        <v>17</v>
      </c>
      <c r="H5908" t="s" s="2">
        <v>19</v>
      </c>
      <c r="I5908" t="s" s="2">
        <v>22889</v>
      </c>
      <c r="J5908" t="s" s="2">
        <v>22890</v>
      </c>
      <c r="K5908" t="s" s="2">
        <v>22</v>
      </c>
      <c r="L5908" t="s" s="2">
        <v>22</v>
      </c>
      <c r="M5908" t="s" s="2">
        <v>22</v>
      </c>
    </row>
    <row r="5909" ht="25.0" customHeight="true">
      <c r="A5909" t="s" s="2">
        <v>13</v>
      </c>
      <c r="B5909" t="s" s="2">
        <f>HYPERLINK("http://ts.21cn.com/tousu/show/id/1367504","招联金融催收比黑社会还不堪入目")</f>
      </c>
      <c r="C5909" t="s" s="2">
        <v>15</v>
      </c>
      <c r="D5909" t="s" s="2">
        <v>16</v>
      </c>
      <c r="E5909" t="s" s="2">
        <v>17</v>
      </c>
      <c r="F5909" t="s" s="2">
        <f>HYPERLINK("http://ts.21cn.com/tousu/show/id/1367504","http://ts.21cn.com/tousu/show/id/1367504")</f>
      </c>
      <c r="G5909" t="s" s="2">
        <v>17</v>
      </c>
      <c r="H5909" t="s" s="2">
        <v>19</v>
      </c>
      <c r="I5909" t="s" s="2">
        <v>22893</v>
      </c>
      <c r="J5909" t="s" s="2">
        <v>22894</v>
      </c>
      <c r="K5909" t="s" s="2">
        <v>22</v>
      </c>
      <c r="L5909" t="s" s="2">
        <v>22</v>
      </c>
      <c r="M5909" t="s" s="2">
        <v>22</v>
      </c>
    </row>
    <row r="5910" ht="25.0" customHeight="true">
      <c r="A5910" t="s" s="2">
        <v>13</v>
      </c>
      <c r="B5910" t="s" s="2">
        <f>HYPERLINK("http://ts.21cn.com/tousu/show/id/1365741","我来贷巨额逾期费用加暴力催收")</f>
      </c>
      <c r="C5910" t="s" s="2">
        <v>15</v>
      </c>
      <c r="D5910" t="s" s="2">
        <v>16</v>
      </c>
      <c r="E5910" t="s" s="2">
        <v>17</v>
      </c>
      <c r="F5910" t="s" s="2">
        <f>HYPERLINK("http://ts.21cn.com/tousu/show/id/1365741","http://ts.21cn.com/tousu/show/id/1365741")</f>
      </c>
      <c r="G5910" t="s" s="2">
        <v>17</v>
      </c>
      <c r="H5910" t="s" s="2">
        <v>19</v>
      </c>
      <c r="I5910" t="s" s="2">
        <v>22897</v>
      </c>
      <c r="J5910" t="s" s="2">
        <v>22898</v>
      </c>
      <c r="K5910" t="s" s="2">
        <v>22</v>
      </c>
      <c r="L5910" t="s" s="2">
        <v>22</v>
      </c>
      <c r="M5910" t="s" s="2">
        <v>22</v>
      </c>
    </row>
    <row r="5911" ht="25.0" customHeight="true">
      <c r="A5911" t="s" s="2">
        <v>13</v>
      </c>
      <c r="B5911" t="s" s="2">
        <f>HYPERLINK("http://ts.21cn.com/tousu/show/id/1367492","小花钱包涉嫌暴力催收")</f>
      </c>
      <c r="C5911" t="s" s="2">
        <v>15</v>
      </c>
      <c r="D5911" t="s" s="2">
        <v>16</v>
      </c>
      <c r="E5911" t="s" s="2">
        <v>17</v>
      </c>
      <c r="F5911" t="s" s="2">
        <f>HYPERLINK("http://ts.21cn.com/tousu/show/id/1367492","http://ts.21cn.com/tousu/show/id/1367492")</f>
      </c>
      <c r="G5911" t="s" s="2">
        <v>17</v>
      </c>
      <c r="H5911" t="s" s="2">
        <v>19</v>
      </c>
      <c r="I5911" t="s" s="2">
        <v>22901</v>
      </c>
      <c r="J5911" t="s" s="2">
        <v>22902</v>
      </c>
      <c r="K5911" t="s" s="2">
        <v>22</v>
      </c>
      <c r="L5911" t="s" s="2">
        <v>22</v>
      </c>
      <c r="M5911" t="s" s="2">
        <v>22</v>
      </c>
    </row>
    <row r="5912" ht="25.0" customHeight="true">
      <c r="A5912" t="s" s="2">
        <v>13</v>
      </c>
      <c r="B5912" t="s" s="2">
        <f>HYPERLINK("http://ts.21cn.com/tousu/show/id/1367481","高利贷不接受协商暴力催收")</f>
      </c>
      <c r="C5912" t="s" s="2">
        <v>15</v>
      </c>
      <c r="D5912" t="s" s="2">
        <v>16</v>
      </c>
      <c r="E5912" t="s" s="2">
        <v>17</v>
      </c>
      <c r="F5912" t="s" s="2">
        <f>HYPERLINK("http://ts.21cn.com/tousu/show/id/1367481","http://ts.21cn.com/tousu/show/id/1367481")</f>
      </c>
      <c r="G5912" t="s" s="2">
        <v>17</v>
      </c>
      <c r="H5912" t="s" s="2">
        <v>19</v>
      </c>
      <c r="I5912" t="s" s="2">
        <v>22905</v>
      </c>
      <c r="J5912" t="s" s="2">
        <v>22906</v>
      </c>
      <c r="K5912" t="s" s="2">
        <v>22</v>
      </c>
      <c r="L5912" t="s" s="2">
        <v>22</v>
      </c>
      <c r="M5912" t="s" s="2">
        <v>22</v>
      </c>
    </row>
    <row r="5913" ht="25.0" customHeight="true">
      <c r="A5913" t="s" s="2">
        <v>13</v>
      </c>
      <c r="B5913" t="s" s="2">
        <f>HYPERLINK("http://ts.21cn.com/tousu/show/id/1367470","暴力违法催收")</f>
      </c>
      <c r="C5913" t="s" s="2">
        <v>15</v>
      </c>
      <c r="D5913" t="s" s="2">
        <v>16</v>
      </c>
      <c r="E5913" t="s" s="2">
        <v>17</v>
      </c>
      <c r="F5913" t="s" s="2">
        <f>HYPERLINK("http://ts.21cn.com/tousu/show/id/1367470","http://ts.21cn.com/tousu/show/id/1367470")</f>
      </c>
      <c r="G5913" t="s" s="2">
        <v>17</v>
      </c>
      <c r="H5913" t="s" s="2">
        <v>19</v>
      </c>
      <c r="I5913" t="s" s="2">
        <v>22909</v>
      </c>
      <c r="J5913" t="s" s="2">
        <v>22910</v>
      </c>
      <c r="K5913" t="s" s="2">
        <v>22</v>
      </c>
      <c r="L5913" t="s" s="2">
        <v>22</v>
      </c>
      <c r="M5913" t="s" s="2">
        <v>22</v>
      </c>
    </row>
    <row r="5914" ht="25.0" customHeight="true">
      <c r="A5914" t="s" s="2">
        <v>13</v>
      </c>
      <c r="B5914" t="s" s="2">
        <f>HYPERLINK("http://ts.21cn.com/tousu/show/id/1367449","维信金科旗下维信卡卡收取的咨询费担保费不合理，并且年利率高于24％")</f>
      </c>
      <c r="C5914" t="s" s="2">
        <v>15</v>
      </c>
      <c r="D5914" t="s" s="2">
        <v>16</v>
      </c>
      <c r="E5914" t="s" s="2">
        <v>17</v>
      </c>
      <c r="F5914" t="s" s="2">
        <f>HYPERLINK("http://ts.21cn.com/tousu/show/id/1367449","http://ts.21cn.com/tousu/show/id/1367449")</f>
      </c>
      <c r="G5914" t="s" s="2">
        <v>17</v>
      </c>
      <c r="H5914" t="s" s="2">
        <v>19</v>
      </c>
      <c r="I5914" t="s" s="2">
        <v>22913</v>
      </c>
      <c r="J5914" t="s" s="2">
        <v>22914</v>
      </c>
      <c r="K5914" t="s" s="2">
        <v>22</v>
      </c>
      <c r="L5914" t="s" s="2">
        <v>22</v>
      </c>
      <c r="M5914" t="s" s="2">
        <v>22</v>
      </c>
    </row>
    <row r="5915" ht="25.0" customHeight="true">
      <c r="A5915" t="s" s="2">
        <v>13</v>
      </c>
      <c r="B5915" t="s" s="2">
        <f>HYPERLINK("http://ts.21cn.com/tousu/show/id/1367438","自动扣款")</f>
      </c>
      <c r="C5915" t="s" s="2">
        <v>52</v>
      </c>
      <c r="D5915" t="s" s="2">
        <v>16</v>
      </c>
      <c r="E5915" t="s" s="2">
        <v>17</v>
      </c>
      <c r="F5915" t="s" s="2">
        <f>HYPERLINK("http://ts.21cn.com/tousu/show/id/1367438","http://ts.21cn.com/tousu/show/id/1367438")</f>
      </c>
      <c r="G5915" t="s" s="2">
        <v>17</v>
      </c>
      <c r="H5915" t="s" s="2">
        <v>19</v>
      </c>
      <c r="I5915" t="s" s="2">
        <v>22917</v>
      </c>
      <c r="J5915" t="s" s="2">
        <v>22918</v>
      </c>
      <c r="K5915" t="s" s="2">
        <v>22</v>
      </c>
      <c r="L5915" t="s" s="2">
        <v>22</v>
      </c>
      <c r="M5915" t="s" s="2">
        <v>22</v>
      </c>
    </row>
    <row r="5916" ht="25.0" customHeight="true">
      <c r="A5916" t="s" s="2">
        <v>13</v>
      </c>
      <c r="B5916" t="s" s="2">
        <f>HYPERLINK("http://ts.21cn.com/tousu/show/id/1367427","投诉银生宝给赌博商户提供支付业务")</f>
      </c>
      <c r="C5916" t="s" s="2">
        <v>15</v>
      </c>
      <c r="D5916" t="s" s="2">
        <v>16</v>
      </c>
      <c r="E5916" t="s" s="2">
        <v>17</v>
      </c>
      <c r="F5916" t="s" s="2">
        <f>HYPERLINK("http://ts.21cn.com/tousu/show/id/1367427","http://ts.21cn.com/tousu/show/id/1367427")</f>
      </c>
      <c r="G5916" t="s" s="2">
        <v>17</v>
      </c>
      <c r="H5916" t="s" s="2">
        <v>19</v>
      </c>
      <c r="I5916" t="s" s="2">
        <v>22921</v>
      </c>
      <c r="J5916" t="s" s="2">
        <v>22922</v>
      </c>
      <c r="K5916" t="s" s="2">
        <v>22</v>
      </c>
      <c r="L5916" t="s" s="2">
        <v>22</v>
      </c>
      <c r="M5916" t="s" s="2">
        <v>22</v>
      </c>
    </row>
    <row r="5917" ht="25.0" customHeight="true">
      <c r="A5917" t="s" s="2">
        <v>13</v>
      </c>
      <c r="B5917" t="s" s="2">
        <f>HYPERLINK("http://ts.21cn.com/tousu/show/id/1367393","北京有缘在我不知情的情况下3次扣除共237元")</f>
      </c>
      <c r="C5917" t="s" s="2">
        <v>15</v>
      </c>
      <c r="D5917" t="s" s="2">
        <v>16</v>
      </c>
      <c r="E5917" t="s" s="2">
        <v>17</v>
      </c>
      <c r="F5917" t="s" s="2">
        <f>HYPERLINK("http://ts.21cn.com/tousu/show/id/1367393","http://ts.21cn.com/tousu/show/id/1367393")</f>
      </c>
      <c r="G5917" t="s" s="2">
        <v>17</v>
      </c>
      <c r="H5917" t="s" s="2">
        <v>19</v>
      </c>
      <c r="I5917" t="s" s="2">
        <v>22925</v>
      </c>
      <c r="J5917" t="s" s="2">
        <v>22926</v>
      </c>
      <c r="K5917" t="s" s="2">
        <v>22</v>
      </c>
      <c r="L5917" t="s" s="2">
        <v>22</v>
      </c>
      <c r="M5917" t="s" s="2">
        <v>22</v>
      </c>
    </row>
    <row r="5918" ht="25.0" customHeight="true">
      <c r="A5918" t="s" s="2">
        <v>13</v>
      </c>
      <c r="B5918" t="s" s="2">
        <f>HYPERLINK("http://ts.21cn.com/tousu/show/id/1367416","贷上钱套路贷")</f>
      </c>
      <c r="C5918" t="s" s="2">
        <v>15</v>
      </c>
      <c r="D5918" t="s" s="2">
        <v>16</v>
      </c>
      <c r="E5918" t="s" s="2">
        <v>17</v>
      </c>
      <c r="F5918" t="s" s="2">
        <f>HYPERLINK("http://ts.21cn.com/tousu/show/id/1367416","http://ts.21cn.com/tousu/show/id/1367416")</f>
      </c>
      <c r="G5918" t="s" s="2">
        <v>17</v>
      </c>
      <c r="H5918" t="s" s="2">
        <v>19</v>
      </c>
      <c r="I5918" t="s" s="2">
        <v>22929</v>
      </c>
      <c r="J5918" t="s" s="2">
        <v>22930</v>
      </c>
      <c r="K5918" t="s" s="2">
        <v>22</v>
      </c>
      <c r="L5918" t="s" s="2">
        <v>22</v>
      </c>
      <c r="M5918" t="s" s="2">
        <v>22</v>
      </c>
    </row>
    <row r="5919" ht="25.0" customHeight="true">
      <c r="A5919" t="s" s="2">
        <v>13</v>
      </c>
      <c r="B5919" t="s" s="2">
        <f>HYPERLINK("http://ts.21cn.com/tousu/show/id/1367415","招联好期待暴力催收，恐吓骚扰亲朋好友，欺诈顾客先还部分款后可以协商，但随后照样暴力催收")</f>
      </c>
      <c r="C5919" t="s" s="2">
        <v>15</v>
      </c>
      <c r="D5919" t="s" s="2">
        <v>16</v>
      </c>
      <c r="E5919" t="s" s="2">
        <v>17</v>
      </c>
      <c r="F5919" t="s" s="2">
        <f>HYPERLINK("http://ts.21cn.com/tousu/show/id/1367415","http://ts.21cn.com/tousu/show/id/1367415")</f>
      </c>
      <c r="G5919" t="s" s="2">
        <v>17</v>
      </c>
      <c r="H5919" t="s" s="2">
        <v>19</v>
      </c>
      <c r="I5919" t="s" s="2">
        <v>22933</v>
      </c>
      <c r="J5919" t="s" s="2">
        <v>22934</v>
      </c>
      <c r="K5919" t="s" s="2">
        <v>22</v>
      </c>
      <c r="L5919" t="s" s="2">
        <v>22</v>
      </c>
      <c r="M5919" t="s" s="2">
        <v>22</v>
      </c>
    </row>
    <row r="5920" ht="25.0" customHeight="true">
      <c r="A5920" t="s" s="2">
        <v>13</v>
      </c>
      <c r="B5920" t="s" s="2">
        <f>HYPERLINK("http://ts.21cn.com/tousu/show/id/1367405","长安逸动车身锈穿，车门生锈")</f>
      </c>
      <c r="C5920" t="s" s="2">
        <v>52</v>
      </c>
      <c r="D5920" t="s" s="2">
        <v>16</v>
      </c>
      <c r="E5920" t="s" s="2">
        <v>17</v>
      </c>
      <c r="F5920" t="s" s="2">
        <f>HYPERLINK("http://ts.21cn.com/tousu/show/id/1367405","http://ts.21cn.com/tousu/show/id/1367405")</f>
      </c>
      <c r="G5920" t="s" s="2">
        <v>17</v>
      </c>
      <c r="H5920" t="s" s="2">
        <v>19</v>
      </c>
      <c r="I5920" t="s" s="2">
        <v>22937</v>
      </c>
      <c r="J5920" t="s" s="2">
        <v>22938</v>
      </c>
      <c r="K5920" t="s" s="2">
        <v>22</v>
      </c>
      <c r="L5920" t="s" s="2">
        <v>22</v>
      </c>
      <c r="M5920" t="s" s="2">
        <v>22</v>
      </c>
    </row>
    <row r="5921" ht="25.0" customHeight="true">
      <c r="A5921" t="s" s="2">
        <v>13</v>
      </c>
      <c r="B5921" t="s" s="2">
        <f>HYPERLINK("http://ts.21cn.com/tousu/show/id/1367403","套路贷")</f>
      </c>
      <c r="C5921" t="s" s="2">
        <v>15</v>
      </c>
      <c r="D5921" t="s" s="2">
        <v>16</v>
      </c>
      <c r="E5921" t="s" s="2">
        <v>17</v>
      </c>
      <c r="F5921" t="s" s="2">
        <f>HYPERLINK("http://ts.21cn.com/tousu/show/id/1367403","http://ts.21cn.com/tousu/show/id/1367403")</f>
      </c>
      <c r="G5921" t="s" s="2">
        <v>17</v>
      </c>
      <c r="H5921" t="s" s="2">
        <v>19</v>
      </c>
      <c r="I5921" t="s" s="2">
        <v>22940</v>
      </c>
      <c r="J5921" t="s" s="2">
        <v>22941</v>
      </c>
      <c r="K5921" t="s" s="2">
        <v>22</v>
      </c>
      <c r="L5921" t="s" s="2">
        <v>22</v>
      </c>
      <c r="M5921" t="s" s="2">
        <v>22</v>
      </c>
    </row>
    <row r="5922" ht="25.0" customHeight="true">
      <c r="A5922" t="s" s="2">
        <v>13</v>
      </c>
      <c r="B5922" t="s" s="2">
        <f>HYPERLINK("http://ts.21cn.com/tousu/show/id/1367385","砍头息")</f>
      </c>
      <c r="C5922" t="s" s="2">
        <v>15</v>
      </c>
      <c r="D5922" t="s" s="2">
        <v>16</v>
      </c>
      <c r="E5922" t="s" s="2">
        <v>17</v>
      </c>
      <c r="F5922" t="s" s="2">
        <f>HYPERLINK("http://ts.21cn.com/tousu/show/id/1367385","http://ts.21cn.com/tousu/show/id/1367385")</f>
      </c>
      <c r="G5922" t="s" s="2">
        <v>17</v>
      </c>
      <c r="H5922" t="s" s="2">
        <v>19</v>
      </c>
      <c r="I5922" t="s" s="2">
        <v>22943</v>
      </c>
      <c r="J5922" t="s" s="2">
        <v>22944</v>
      </c>
      <c r="K5922" t="s" s="2">
        <v>22</v>
      </c>
      <c r="L5922" t="s" s="2">
        <v>22</v>
      </c>
      <c r="M5922" t="s" s="2">
        <v>22</v>
      </c>
    </row>
    <row r="5923" ht="25.0" customHeight="true">
      <c r="A5923" t="s" s="2">
        <v>13</v>
      </c>
      <c r="B5923" t="s" s="2">
        <f>HYPERLINK("http://ts.21cn.com/tousu/show/id/1367382","韦博英语倒闭，众多学员求退款无门，面临没课上仍需还贷款的情况")</f>
      </c>
      <c r="C5923" t="s" s="2">
        <v>15</v>
      </c>
      <c r="D5923" t="s" s="2">
        <v>16</v>
      </c>
      <c r="E5923" t="s" s="2">
        <v>17</v>
      </c>
      <c r="F5923" t="s" s="2">
        <f>HYPERLINK("http://ts.21cn.com/tousu/show/id/1367382","http://ts.21cn.com/tousu/show/id/1367382")</f>
      </c>
      <c r="G5923" t="s" s="2">
        <v>17</v>
      </c>
      <c r="H5923" t="s" s="2">
        <v>19</v>
      </c>
      <c r="I5923" t="s" s="2">
        <v>22947</v>
      </c>
      <c r="J5923" t="s" s="2">
        <v>22948</v>
      </c>
      <c r="K5923" t="s" s="2">
        <v>22</v>
      </c>
      <c r="L5923" t="s" s="2">
        <v>22</v>
      </c>
      <c r="M5923" t="s" s="2">
        <v>22</v>
      </c>
    </row>
    <row r="5924" ht="25.0" customHeight="true">
      <c r="A5924" t="s" s="2">
        <v>13</v>
      </c>
      <c r="B5924" t="s" s="2">
        <f>HYPERLINK("http://ts.21cn.com/tousu/show/id/1367371","拍拍贷恶意骚扰联系人")</f>
      </c>
      <c r="C5924" t="s" s="2">
        <v>15</v>
      </c>
      <c r="D5924" t="s" s="2">
        <v>16</v>
      </c>
      <c r="E5924" t="s" s="2">
        <v>17</v>
      </c>
      <c r="F5924" t="s" s="2">
        <f>HYPERLINK("http://ts.21cn.com/tousu/show/id/1367371","http://ts.21cn.com/tousu/show/id/1367371")</f>
      </c>
      <c r="G5924" t="s" s="2">
        <v>17</v>
      </c>
      <c r="H5924" t="s" s="2">
        <v>19</v>
      </c>
      <c r="I5924" t="s" s="2">
        <v>22951</v>
      </c>
      <c r="J5924" t="s" s="2">
        <v>22952</v>
      </c>
      <c r="K5924" t="s" s="2">
        <v>22</v>
      </c>
      <c r="L5924" t="s" s="2">
        <v>22</v>
      </c>
      <c r="M5924" t="s" s="2">
        <v>22</v>
      </c>
    </row>
    <row r="5925" ht="25.0" customHeight="true">
      <c r="A5925" t="s" s="2">
        <v>13</v>
      </c>
      <c r="B5925" t="s" s="2">
        <f>HYPERLINK("http://ts.21cn.com/tousu/show/id/1367360","人人贷高利贷，阴阳合同")</f>
      </c>
      <c r="C5925" t="s" s="2">
        <v>15</v>
      </c>
      <c r="D5925" t="s" s="2">
        <v>16</v>
      </c>
      <c r="E5925" t="s" s="2">
        <v>17</v>
      </c>
      <c r="F5925" t="s" s="2">
        <f>HYPERLINK("http://ts.21cn.com/tousu/show/id/1367360","http://ts.21cn.com/tousu/show/id/1367360")</f>
      </c>
      <c r="G5925" t="s" s="2">
        <v>17</v>
      </c>
      <c r="H5925" t="s" s="2">
        <v>19</v>
      </c>
      <c r="I5925" t="s" s="2">
        <v>22955</v>
      </c>
      <c r="J5925" t="s" s="2">
        <v>22956</v>
      </c>
      <c r="K5925" t="s" s="2">
        <v>22</v>
      </c>
      <c r="L5925" t="s" s="2">
        <v>22</v>
      </c>
      <c r="M5925" t="s" s="2">
        <v>22</v>
      </c>
    </row>
    <row r="5926" ht="25.0" customHeight="true">
      <c r="A5926" t="s" s="2">
        <v>13</v>
      </c>
      <c r="B5926" t="s" s="2">
        <f>HYPERLINK("http://ts.21cn.com/tousu/show/id/1367317","宜人财富套路太深")</f>
      </c>
      <c r="C5926" t="s" s="2">
        <v>15</v>
      </c>
      <c r="D5926" t="s" s="2">
        <v>16</v>
      </c>
      <c r="E5926" t="s" s="2">
        <v>17</v>
      </c>
      <c r="F5926" t="s" s="2">
        <f>HYPERLINK("http://ts.21cn.com/tousu/show/id/1367317","http://ts.21cn.com/tousu/show/id/1367317")</f>
      </c>
      <c r="G5926" t="s" s="2">
        <v>17</v>
      </c>
      <c r="H5926" t="s" s="2">
        <v>19</v>
      </c>
      <c r="I5926" t="s" s="2">
        <v>22959</v>
      </c>
      <c r="J5926" t="s" s="2">
        <v>22960</v>
      </c>
      <c r="K5926" t="s" s="2">
        <v>22</v>
      </c>
      <c r="L5926" t="s" s="2">
        <v>22</v>
      </c>
      <c r="M5926" t="s" s="2">
        <v>22</v>
      </c>
    </row>
    <row r="5927" ht="25.0" customHeight="true">
      <c r="A5927" t="s" s="2">
        <v>13</v>
      </c>
      <c r="B5927" t="s" s="2">
        <f>HYPERLINK("http://ts.21cn.com/tousu/show/id/1367339","每日优鲜虚假宣传，误导诱导用户")</f>
      </c>
      <c r="C5927" t="s" s="2">
        <v>15</v>
      </c>
      <c r="D5927" t="s" s="2">
        <v>16</v>
      </c>
      <c r="E5927" t="s" s="2">
        <v>17</v>
      </c>
      <c r="F5927" t="s" s="2">
        <f>HYPERLINK("http://ts.21cn.com/tousu/show/id/1367339","http://ts.21cn.com/tousu/show/id/1367339")</f>
      </c>
      <c r="G5927" t="s" s="2">
        <v>17</v>
      </c>
      <c r="H5927" t="s" s="2">
        <v>19</v>
      </c>
      <c r="I5927" t="s" s="2">
        <v>22962</v>
      </c>
      <c r="J5927" t="s" s="2">
        <v>22963</v>
      </c>
      <c r="K5927" t="s" s="2">
        <v>22</v>
      </c>
      <c r="L5927" t="s" s="2">
        <v>22</v>
      </c>
      <c r="M5927" t="s" s="2">
        <v>22</v>
      </c>
    </row>
    <row r="5928" ht="25.0" customHeight="true">
      <c r="A5928" t="s" s="2">
        <v>13</v>
      </c>
      <c r="B5928" t="s" s="2">
        <f>HYPERLINK("http://ts.21cn.com/tousu/show/id/1367332","360借条暴力催收短信恐吓")</f>
      </c>
      <c r="C5928" t="s" s="2">
        <v>15</v>
      </c>
      <c r="D5928" t="s" s="2">
        <v>16</v>
      </c>
      <c r="E5928" t="s" s="2">
        <v>17</v>
      </c>
      <c r="F5928" t="s" s="2">
        <f>HYPERLINK("http://ts.21cn.com/tousu/show/id/1367332","http://ts.21cn.com/tousu/show/id/1367332")</f>
      </c>
      <c r="G5928" t="s" s="2">
        <v>17</v>
      </c>
      <c r="H5928" t="s" s="2">
        <v>19</v>
      </c>
      <c r="I5928" t="s" s="2">
        <v>22966</v>
      </c>
      <c r="J5928" t="s" s="2">
        <v>22967</v>
      </c>
      <c r="K5928" t="s" s="2">
        <v>22</v>
      </c>
      <c r="L5928" t="s" s="2">
        <v>22</v>
      </c>
      <c r="M5928" t="s" s="2">
        <v>22</v>
      </c>
    </row>
    <row r="5929" ht="25.0" customHeight="true">
      <c r="A5929" t="s" s="2">
        <v>13</v>
      </c>
      <c r="B5929" t="s" s="2">
        <f>HYPERLINK("http://ts.21cn.com/tousu/show/id/1367329","请浦发银行给一个合理方案")</f>
      </c>
      <c r="C5929" t="s" s="2">
        <v>15</v>
      </c>
      <c r="D5929" t="s" s="2">
        <v>16</v>
      </c>
      <c r="E5929" t="s" s="2">
        <v>17</v>
      </c>
      <c r="F5929" t="s" s="2">
        <f>HYPERLINK("http://ts.21cn.com/tousu/show/id/1367329","http://ts.21cn.com/tousu/show/id/1367329")</f>
      </c>
      <c r="G5929" t="s" s="2">
        <v>17</v>
      </c>
      <c r="H5929" t="s" s="2">
        <v>19</v>
      </c>
      <c r="I5929" t="s" s="2">
        <v>22970</v>
      </c>
      <c r="J5929" t="s" s="2">
        <v>22971</v>
      </c>
      <c r="K5929" t="s" s="2">
        <v>22</v>
      </c>
      <c r="L5929" t="s" s="2">
        <v>22</v>
      </c>
      <c r="M5929" t="s" s="2">
        <v>22</v>
      </c>
    </row>
    <row r="5930" ht="25.0" customHeight="true">
      <c r="A5930" t="s" s="2">
        <v>13</v>
      </c>
      <c r="B5930" t="s" s="2">
        <f>HYPERLINK("http://ts.21cn.com/tousu/show/id/1367306","骚扰及发布他人个人信息")</f>
      </c>
      <c r="C5930" t="s" s="2">
        <v>15</v>
      </c>
      <c r="D5930" t="s" s="2">
        <v>16</v>
      </c>
      <c r="E5930" t="s" s="2">
        <v>17</v>
      </c>
      <c r="F5930" t="s" s="2">
        <f>HYPERLINK("http://ts.21cn.com/tousu/show/id/1367306","http://ts.21cn.com/tousu/show/id/1367306")</f>
      </c>
      <c r="G5930" t="s" s="2">
        <v>17</v>
      </c>
      <c r="H5930" t="s" s="2">
        <v>19</v>
      </c>
      <c r="I5930" t="s" s="2">
        <v>22974</v>
      </c>
      <c r="J5930" t="s" s="2">
        <v>22975</v>
      </c>
      <c r="K5930" t="s" s="2">
        <v>22</v>
      </c>
      <c r="L5930" t="s" s="2">
        <v>22</v>
      </c>
      <c r="M5930" t="s" s="2">
        <v>22</v>
      </c>
    </row>
    <row r="5931" ht="25.0" customHeight="true">
      <c r="A5931" t="s" s="2">
        <v>13</v>
      </c>
      <c r="B5931" t="s" s="2">
        <f>HYPERLINK("http://ts.21cn.com/tousu/show/id/1367304","为违法网站提供渠道")</f>
      </c>
      <c r="C5931" t="s" s="2">
        <v>15</v>
      </c>
      <c r="D5931" t="s" s="2">
        <v>16</v>
      </c>
      <c r="E5931" t="s" s="2">
        <v>17</v>
      </c>
      <c r="F5931" t="s" s="2">
        <f>HYPERLINK("http://ts.21cn.com/tousu/show/id/1367304","http://ts.21cn.com/tousu/show/id/1367304")</f>
      </c>
      <c r="G5931" t="s" s="2">
        <v>17</v>
      </c>
      <c r="H5931" t="s" s="2">
        <v>19</v>
      </c>
      <c r="I5931" t="s" s="2">
        <v>22978</v>
      </c>
      <c r="J5931" t="s" s="2">
        <v>22979</v>
      </c>
      <c r="K5931" t="s" s="2">
        <v>22</v>
      </c>
      <c r="L5931" t="s" s="2">
        <v>22</v>
      </c>
      <c r="M5931" t="s" s="2">
        <v>22</v>
      </c>
    </row>
    <row r="5932" ht="25.0" customHeight="true">
      <c r="A5932" t="s" s="2">
        <v>13</v>
      </c>
      <c r="B5932" t="s" s="2">
        <f>HYPERLINK("http://ts.21cn.com/tousu/show/id/1367294","半夜十二点拼多多商家居然能从我的卡里扣款拼多多联系不处理")</f>
      </c>
      <c r="C5932" t="s" s="2">
        <v>15</v>
      </c>
      <c r="D5932" t="s" s="2">
        <v>16</v>
      </c>
      <c r="E5932" t="s" s="2">
        <v>17</v>
      </c>
      <c r="F5932" t="s" s="2">
        <f>HYPERLINK("http://ts.21cn.com/tousu/show/id/1367294","http://ts.21cn.com/tousu/show/id/1367294")</f>
      </c>
      <c r="G5932" t="s" s="2">
        <v>17</v>
      </c>
      <c r="H5932" t="s" s="2">
        <v>19</v>
      </c>
      <c r="I5932" t="s" s="2">
        <v>22982</v>
      </c>
      <c r="J5932" t="s" s="2">
        <v>22983</v>
      </c>
      <c r="K5932" t="s" s="2">
        <v>22</v>
      </c>
      <c r="L5932" t="s" s="2">
        <v>22</v>
      </c>
      <c r="M5932" t="s" s="2">
        <v>22</v>
      </c>
    </row>
    <row r="5933" ht="25.0" customHeight="true">
      <c r="A5933" t="s" s="2">
        <v>13</v>
      </c>
      <c r="B5933" t="s" s="2">
        <f>HYPERLINK("http://ts.21cn.com/tousu/show/id/1367283","贷上钱以买游戏豆为由收取高额贷款通过费")</f>
      </c>
      <c r="C5933" t="s" s="2">
        <v>52</v>
      </c>
      <c r="D5933" t="s" s="2">
        <v>16</v>
      </c>
      <c r="E5933" t="s" s="2">
        <v>17</v>
      </c>
      <c r="F5933" t="s" s="2">
        <f>HYPERLINK("http://ts.21cn.com/tousu/show/id/1367283","http://ts.21cn.com/tousu/show/id/1367283")</f>
      </c>
      <c r="G5933" t="s" s="2">
        <v>17</v>
      </c>
      <c r="H5933" t="s" s="2">
        <v>19</v>
      </c>
      <c r="I5933" t="s" s="2">
        <v>22985</v>
      </c>
      <c r="J5933" t="s" s="2">
        <v>22986</v>
      </c>
      <c r="K5933" t="s" s="2">
        <v>22</v>
      </c>
      <c r="L5933" t="s" s="2">
        <v>22</v>
      </c>
      <c r="M5933" t="s" s="2">
        <v>22</v>
      </c>
    </row>
    <row r="5934" ht="25.0" customHeight="true">
      <c r="A5934" t="s" s="2">
        <v>13</v>
      </c>
      <c r="B5934" t="s" s="2">
        <f>HYPERLINK("http://ts.21cn.com/tousu/show/id/1366190","得仕机构违规操作帮网络支付通道")</f>
      </c>
      <c r="C5934" t="s" s="2">
        <v>15</v>
      </c>
      <c r="D5934" t="s" s="2">
        <v>16</v>
      </c>
      <c r="E5934" t="s" s="2">
        <v>17</v>
      </c>
      <c r="F5934" t="s" s="2">
        <f>HYPERLINK("http://ts.21cn.com/tousu/show/id/1366190","http://ts.21cn.com/tousu/show/id/1366190")</f>
      </c>
      <c r="G5934" t="s" s="2">
        <v>17</v>
      </c>
      <c r="H5934" t="s" s="2">
        <v>19</v>
      </c>
      <c r="I5934" t="s" s="2">
        <v>22989</v>
      </c>
      <c r="J5934" t="s" s="2">
        <v>22990</v>
      </c>
      <c r="K5934" t="s" s="2">
        <v>22</v>
      </c>
      <c r="L5934" t="s" s="2">
        <v>22</v>
      </c>
      <c r="M5934" t="s" s="2">
        <v>22</v>
      </c>
    </row>
    <row r="5935" ht="25.0" customHeight="true">
      <c r="A5935" t="s" s="2">
        <v>13</v>
      </c>
      <c r="B5935" t="s" s="2">
        <f>HYPERLINK("http://ts.21cn.com/tousu/show/id/1367275","易宝支付富友支付拉卡拉支付为现金白条平台违规提供支付渠道")</f>
      </c>
      <c r="C5935" t="s" s="2">
        <v>15</v>
      </c>
      <c r="D5935" t="s" s="2">
        <v>16</v>
      </c>
      <c r="E5935" t="s" s="2">
        <v>17</v>
      </c>
      <c r="F5935" t="s" s="2">
        <f>HYPERLINK("http://ts.21cn.com/tousu/show/id/1367275","http://ts.21cn.com/tousu/show/id/1367275")</f>
      </c>
      <c r="G5935" t="s" s="2">
        <v>17</v>
      </c>
      <c r="H5935" t="s" s="2">
        <v>19</v>
      </c>
      <c r="I5935" t="s" s="2">
        <v>22993</v>
      </c>
      <c r="J5935" t="s" s="2">
        <v>22994</v>
      </c>
      <c r="K5935" t="s" s="2">
        <v>22</v>
      </c>
      <c r="L5935" t="s" s="2">
        <v>22</v>
      </c>
      <c r="M5935" t="s" s="2">
        <v>22</v>
      </c>
    </row>
    <row r="5936" ht="25.0" customHeight="true">
      <c r="A5936" t="s" s="2">
        <v>13</v>
      </c>
      <c r="B5936" t="s" s="2">
        <f>HYPERLINK("http://ts.21cn.com/tousu/show/id/1367261","无法提供合同，暴力催收，爆通讯录，盗取个人信息")</f>
      </c>
      <c r="C5936" t="s" s="2">
        <v>15</v>
      </c>
      <c r="D5936" t="s" s="2">
        <v>16</v>
      </c>
      <c r="E5936" t="s" s="2">
        <v>17</v>
      </c>
      <c r="F5936" t="s" s="2">
        <f>HYPERLINK("http://ts.21cn.com/tousu/show/id/1367261","http://ts.21cn.com/tousu/show/id/1367261")</f>
      </c>
      <c r="G5936" t="s" s="2">
        <v>17</v>
      </c>
      <c r="H5936" t="s" s="2">
        <v>19</v>
      </c>
      <c r="I5936" t="s" s="2">
        <v>22997</v>
      </c>
      <c r="J5936" t="s" s="2">
        <v>22998</v>
      </c>
      <c r="K5936" t="s" s="2">
        <v>22</v>
      </c>
      <c r="L5936" t="s" s="2">
        <v>22</v>
      </c>
      <c r="M5936" t="s" s="2">
        <v>22</v>
      </c>
    </row>
    <row r="5937" ht="25.0" customHeight="true">
      <c r="A5937" t="s" s="2">
        <v>13</v>
      </c>
      <c r="B5937" t="s" s="2">
        <f>HYPERLINK("http://ts.21cn.com/tousu/show/id/1365949","江南农商银行擅自封卡强迫用户绑定Etc")</f>
      </c>
      <c r="C5937" t="s" s="2">
        <v>15</v>
      </c>
      <c r="D5937" t="s" s="2">
        <v>16</v>
      </c>
      <c r="E5937" t="s" s="2">
        <v>17</v>
      </c>
      <c r="F5937" t="s" s="2">
        <f>HYPERLINK("http://ts.21cn.com/tousu/show/id/1365949","http://ts.21cn.com/tousu/show/id/1365949")</f>
      </c>
      <c r="G5937" t="s" s="2">
        <v>17</v>
      </c>
      <c r="H5937" t="s" s="2">
        <v>19</v>
      </c>
      <c r="I5937" t="s" s="2">
        <v>23001</v>
      </c>
      <c r="J5937" t="s" s="2">
        <v>23002</v>
      </c>
      <c r="K5937" t="s" s="2">
        <v>22</v>
      </c>
      <c r="L5937" t="s" s="2">
        <v>22</v>
      </c>
      <c r="M5937" t="s" s="2">
        <v>22</v>
      </c>
    </row>
    <row r="5938" ht="25.0" customHeight="true">
      <c r="A5938" t="s" s="2">
        <v>13</v>
      </c>
      <c r="B5938" t="s" s="2">
        <f>HYPERLINK("http://ts.21cn.com/tousu/show/id/1367250","支付宝百度糯米商家协助境外不法份子诱导刷单血本无归")</f>
      </c>
      <c r="C5938" t="s" s="2">
        <v>15</v>
      </c>
      <c r="D5938" t="s" s="2">
        <v>16</v>
      </c>
      <c r="E5938" t="s" s="2">
        <v>17</v>
      </c>
      <c r="F5938" t="s" s="2">
        <f>HYPERLINK("http://ts.21cn.com/tousu/show/id/1367250","http://ts.21cn.com/tousu/show/id/1367250")</f>
      </c>
      <c r="G5938" t="s" s="2">
        <v>17</v>
      </c>
      <c r="H5938" t="s" s="2">
        <v>19</v>
      </c>
      <c r="I5938" t="s" s="2">
        <v>23005</v>
      </c>
      <c r="J5938" t="s" s="2">
        <v>23006</v>
      </c>
      <c r="K5938" t="s" s="2">
        <v>22</v>
      </c>
      <c r="L5938" t="s" s="2">
        <v>22</v>
      </c>
      <c r="M5938" t="s" s="2">
        <v>22</v>
      </c>
    </row>
    <row r="5939" ht="25.0" customHeight="true">
      <c r="A5939" t="s" s="2">
        <v>13</v>
      </c>
      <c r="B5939" t="s" s="2">
        <f>HYPERLINK("http://ts.21cn.com/tousu/show/id/1367229","客服态度不好")</f>
      </c>
      <c r="C5939" t="s" s="2">
        <v>15</v>
      </c>
      <c r="D5939" t="s" s="2">
        <v>16</v>
      </c>
      <c r="E5939" t="s" s="2">
        <v>17</v>
      </c>
      <c r="F5939" t="s" s="2">
        <f>HYPERLINK("http://ts.21cn.com/tousu/show/id/1367229","http://ts.21cn.com/tousu/show/id/1367229")</f>
      </c>
      <c r="G5939" t="s" s="2">
        <v>17</v>
      </c>
      <c r="H5939" t="s" s="2">
        <v>19</v>
      </c>
      <c r="I5939" t="s" s="2">
        <v>23009</v>
      </c>
      <c r="J5939" t="s" s="2">
        <v>23010</v>
      </c>
      <c r="K5939" t="s" s="2">
        <v>22</v>
      </c>
      <c r="L5939" t="s" s="2">
        <v>22</v>
      </c>
      <c r="M5939" t="s" s="2">
        <v>22</v>
      </c>
    </row>
    <row r="5940" ht="25.0" customHeight="true">
      <c r="A5940" t="s" s="2">
        <v>13</v>
      </c>
      <c r="B5940" t="s" s="2">
        <f>HYPERLINK("http://ts.21cn.com/tousu/show/id/1365091","百度有钱花开始商量协商还款，但是资金确实不足了，要求还全额，还要给我上大数据，电话黑名单")</f>
      </c>
      <c r="C5940" t="s" s="2">
        <v>15</v>
      </c>
      <c r="D5940" t="s" s="2">
        <v>16</v>
      </c>
      <c r="E5940" t="s" s="2">
        <v>17</v>
      </c>
      <c r="F5940" t="s" s="2">
        <f>HYPERLINK("http://ts.21cn.com/tousu/show/id/1365091","http://ts.21cn.com/tousu/show/id/1365091")</f>
      </c>
      <c r="G5940" t="s" s="2">
        <v>17</v>
      </c>
      <c r="H5940" t="s" s="2">
        <v>19</v>
      </c>
      <c r="I5940" t="s" s="2">
        <v>23013</v>
      </c>
      <c r="J5940" t="s" s="2">
        <v>23014</v>
      </c>
      <c r="K5940" t="s" s="2">
        <v>22</v>
      </c>
      <c r="L5940" t="s" s="2">
        <v>22</v>
      </c>
      <c r="M5940" t="s" s="2">
        <v>22</v>
      </c>
    </row>
    <row r="5941" ht="25.0" customHeight="true">
      <c r="A5941" t="s" s="2">
        <v>13</v>
      </c>
      <c r="B5941" t="s" s="2">
        <f>HYPERLINK("http://ts.21cn.com/tousu/show/id/1367218","拍拍贷暴力催收爆通讯录")</f>
      </c>
      <c r="C5941" t="s" s="2">
        <v>15</v>
      </c>
      <c r="D5941" t="s" s="2">
        <v>16</v>
      </c>
      <c r="E5941" t="s" s="2">
        <v>17</v>
      </c>
      <c r="F5941" t="s" s="2">
        <f>HYPERLINK("http://ts.21cn.com/tousu/show/id/1367218","http://ts.21cn.com/tousu/show/id/1367218")</f>
      </c>
      <c r="G5941" t="s" s="2">
        <v>17</v>
      </c>
      <c r="H5941" t="s" s="2">
        <v>19</v>
      </c>
      <c r="I5941" t="s" s="2">
        <v>23017</v>
      </c>
      <c r="J5941" t="s" s="2">
        <v>23018</v>
      </c>
      <c r="K5941" t="s" s="2">
        <v>22</v>
      </c>
      <c r="L5941" t="s" s="2">
        <v>22</v>
      </c>
      <c r="M5941" t="s" s="2">
        <v>22</v>
      </c>
    </row>
    <row r="5942" ht="25.0" customHeight="true">
      <c r="A5942" t="s" s="2">
        <v>13</v>
      </c>
      <c r="B5942" t="s" s="2">
        <f>HYPERLINK("http://ts.21cn.com/tousu/show/id/1367207","捷信高利贷")</f>
      </c>
      <c r="C5942" t="s" s="2">
        <v>15</v>
      </c>
      <c r="D5942" t="s" s="2">
        <v>16</v>
      </c>
      <c r="E5942" t="s" s="2">
        <v>17</v>
      </c>
      <c r="F5942" t="s" s="2">
        <f>HYPERLINK("http://ts.21cn.com/tousu/show/id/1367207","http://ts.21cn.com/tousu/show/id/1367207")</f>
      </c>
      <c r="G5942" t="s" s="2">
        <v>17</v>
      </c>
      <c r="H5942" t="s" s="2">
        <v>19</v>
      </c>
      <c r="I5942" t="s" s="2">
        <v>23020</v>
      </c>
      <c r="J5942" t="s" s="2">
        <v>23021</v>
      </c>
      <c r="K5942" t="s" s="2">
        <v>22</v>
      </c>
      <c r="L5942" t="s" s="2">
        <v>22</v>
      </c>
      <c r="M5942" t="s" s="2">
        <v>22</v>
      </c>
    </row>
    <row r="5943" ht="25.0" customHeight="true">
      <c r="A5943" t="s" s="2">
        <v>13</v>
      </c>
      <c r="B5943" t="s" s="2">
        <f>HYPERLINK("http://ts.21cn.com/tousu/show/id/1367195","友信信贷在未逾期的时间内对借款人进行暴力催收")</f>
      </c>
      <c r="C5943" t="s" s="2">
        <v>15</v>
      </c>
      <c r="D5943" t="s" s="2">
        <v>16</v>
      </c>
      <c r="E5943" t="s" s="2">
        <v>17</v>
      </c>
      <c r="F5943" t="s" s="2">
        <f>HYPERLINK("http://ts.21cn.com/tousu/show/id/1367195","http://ts.21cn.com/tousu/show/id/1367195")</f>
      </c>
      <c r="G5943" t="s" s="2">
        <v>17</v>
      </c>
      <c r="H5943" t="s" s="2">
        <v>19</v>
      </c>
      <c r="I5943" t="s" s="2">
        <v>23023</v>
      </c>
      <c r="J5943" t="s" s="2">
        <v>23024</v>
      </c>
      <c r="K5943" t="s" s="2">
        <v>22</v>
      </c>
      <c r="L5943" t="s" s="2">
        <v>22</v>
      </c>
      <c r="M5943" t="s" s="2">
        <v>22</v>
      </c>
    </row>
    <row r="5944" ht="25.0" customHeight="true">
      <c r="A5944" t="s" s="2">
        <v>13</v>
      </c>
      <c r="B5944" t="s" s="2">
        <f>HYPERLINK("http://ts.21cn.com/tousu/show/id/1367184","乱扣款")</f>
      </c>
      <c r="C5944" t="s" s="2">
        <v>15</v>
      </c>
      <c r="D5944" t="s" s="2">
        <v>16</v>
      </c>
      <c r="E5944" t="s" s="2">
        <v>17</v>
      </c>
      <c r="F5944" t="s" s="2">
        <f>HYPERLINK("http://ts.21cn.com/tousu/show/id/1367184","http://ts.21cn.com/tousu/show/id/1367184")</f>
      </c>
      <c r="G5944" t="s" s="2">
        <v>17</v>
      </c>
      <c r="H5944" t="s" s="2">
        <v>19</v>
      </c>
      <c r="I5944" t="s" s="2">
        <v>23026</v>
      </c>
      <c r="J5944" t="s" s="2">
        <v>23027</v>
      </c>
      <c r="K5944" t="s" s="2">
        <v>22</v>
      </c>
      <c r="L5944" t="s" s="2">
        <v>22</v>
      </c>
      <c r="M5944" t="s" s="2">
        <v>22</v>
      </c>
    </row>
    <row r="5945" ht="25.0" customHeight="true">
      <c r="A5945" t="s" s="2">
        <v>13</v>
      </c>
      <c r="B5945" t="s" s="2">
        <f>HYPERLINK("http://ts.21cn.com/tousu/show/id/1367173","中邮高利贷并且暴力催收")</f>
      </c>
      <c r="C5945" t="s" s="2">
        <v>15</v>
      </c>
      <c r="D5945" t="s" s="2">
        <v>16</v>
      </c>
      <c r="E5945" t="s" s="2">
        <v>17</v>
      </c>
      <c r="F5945" t="s" s="2">
        <f>HYPERLINK("http://ts.21cn.com/tousu/show/id/1367173","http://ts.21cn.com/tousu/show/id/1367173")</f>
      </c>
      <c r="G5945" t="s" s="2">
        <v>17</v>
      </c>
      <c r="H5945" t="s" s="2">
        <v>19</v>
      </c>
      <c r="I5945" t="s" s="2">
        <v>23030</v>
      </c>
      <c r="J5945" t="s" s="2">
        <v>23031</v>
      </c>
      <c r="K5945" t="s" s="2">
        <v>22</v>
      </c>
      <c r="L5945" t="s" s="2">
        <v>22</v>
      </c>
      <c r="M5945" t="s" s="2">
        <v>22</v>
      </c>
    </row>
    <row r="5946" ht="25.0" customHeight="true">
      <c r="A5946" t="s" s="2">
        <v>13</v>
      </c>
      <c r="B5946" t="s" s="2">
        <f>HYPERLINK("http://ts.21cn.com/tousu/show/id/1367162","汇潮支付为7.14高炮提供渠道")</f>
      </c>
      <c r="C5946" t="s" s="2">
        <v>15</v>
      </c>
      <c r="D5946" t="s" s="2">
        <v>16</v>
      </c>
      <c r="E5946" t="s" s="2">
        <v>17</v>
      </c>
      <c r="F5946" t="s" s="2">
        <f>HYPERLINK("http://ts.21cn.com/tousu/show/id/1367162","http://ts.21cn.com/tousu/show/id/1367162")</f>
      </c>
      <c r="G5946" t="s" s="2">
        <v>17</v>
      </c>
      <c r="H5946" t="s" s="2">
        <v>19</v>
      </c>
      <c r="I5946" t="s" s="2">
        <v>23034</v>
      </c>
      <c r="J5946" t="s" s="2">
        <v>23035</v>
      </c>
      <c r="K5946" t="s" s="2">
        <v>22</v>
      </c>
      <c r="L5946" t="s" s="2">
        <v>22</v>
      </c>
      <c r="M5946" t="s" s="2">
        <v>22</v>
      </c>
    </row>
    <row r="5947" ht="25.0" customHeight="true">
      <c r="A5947" t="s" s="2">
        <v>13</v>
      </c>
      <c r="B5947" t="s" s="2">
        <f>HYPERLINK("http://ts.21cn.com/tousu/show/id/1367157","浦发银行信用卡违法催收")</f>
      </c>
      <c r="C5947" t="s" s="2">
        <v>15</v>
      </c>
      <c r="D5947" t="s" s="2">
        <v>16</v>
      </c>
      <c r="E5947" t="s" s="2">
        <v>17</v>
      </c>
      <c r="F5947" t="s" s="2">
        <f>HYPERLINK("http://ts.21cn.com/tousu/show/id/1367157","http://ts.21cn.com/tousu/show/id/1367157")</f>
      </c>
      <c r="G5947" t="s" s="2">
        <v>17</v>
      </c>
      <c r="H5947" t="s" s="2">
        <v>19</v>
      </c>
      <c r="I5947" t="s" s="2">
        <v>23038</v>
      </c>
      <c r="J5947" t="s" s="2">
        <v>23039</v>
      </c>
      <c r="K5947" t="s" s="2">
        <v>22</v>
      </c>
      <c r="L5947" t="s" s="2">
        <v>22</v>
      </c>
      <c r="M5947" t="s" s="2">
        <v>22</v>
      </c>
    </row>
    <row r="5948" ht="25.0" customHeight="true">
      <c r="A5948" t="s" s="2">
        <v>13</v>
      </c>
      <c r="B5948" t="s" s="2">
        <f>HYPERLINK("http://ts.21cn.com/tousu/show/id/1367151","招联金融乱扣费")</f>
      </c>
      <c r="C5948" t="s" s="2">
        <v>15</v>
      </c>
      <c r="D5948" t="s" s="2">
        <v>16</v>
      </c>
      <c r="E5948" t="s" s="2">
        <v>17</v>
      </c>
      <c r="F5948" t="s" s="2">
        <f>HYPERLINK("http://ts.21cn.com/tousu/show/id/1367151","http://ts.21cn.com/tousu/show/id/1367151")</f>
      </c>
      <c r="G5948" t="s" s="2">
        <v>17</v>
      </c>
      <c r="H5948" t="s" s="2">
        <v>19</v>
      </c>
      <c r="I5948" t="s" s="2">
        <v>23041</v>
      </c>
      <c r="J5948" t="s" s="2">
        <v>23042</v>
      </c>
      <c r="K5948" t="s" s="2">
        <v>22</v>
      </c>
      <c r="L5948" t="s" s="2">
        <v>22</v>
      </c>
      <c r="M5948" t="s" s="2">
        <v>22</v>
      </c>
    </row>
    <row r="5949" ht="25.0" customHeight="true">
      <c r="A5949" t="s" s="2">
        <v>13</v>
      </c>
      <c r="B5949" t="s" s="2">
        <f>HYPERLINK("http://ts.21cn.com/tousu/show/id/1367148","浦发银行催收员工，语言诱导持卡人套现还款，不按流程联系紧急联系人，造成家属病重！")</f>
      </c>
      <c r="C5949" t="s" s="2">
        <v>15</v>
      </c>
      <c r="D5949" t="s" s="2">
        <v>16</v>
      </c>
      <c r="E5949" t="s" s="2">
        <v>17</v>
      </c>
      <c r="F5949" t="s" s="2">
        <f>HYPERLINK("http://ts.21cn.com/tousu/show/id/1367148","http://ts.21cn.com/tousu/show/id/1367148")</f>
      </c>
      <c r="G5949" t="s" s="2">
        <v>17</v>
      </c>
      <c r="H5949" t="s" s="2">
        <v>19</v>
      </c>
      <c r="I5949" t="s" s="2">
        <v>23045</v>
      </c>
      <c r="J5949" t="s" s="2">
        <v>23046</v>
      </c>
      <c r="K5949" t="s" s="2">
        <v>22</v>
      </c>
      <c r="L5949" t="s" s="2">
        <v>22</v>
      </c>
      <c r="M5949" t="s" s="2">
        <v>22</v>
      </c>
    </row>
    <row r="5950" ht="25.0" customHeight="true">
      <c r="A5950" t="s" s="2">
        <v>13</v>
      </c>
      <c r="B5950" t="s" s="2">
        <f>HYPERLINK("http://ts.21cn.com/tousu/show/id/1367140","新网银行与魔法现金高利贷合作")</f>
      </c>
      <c r="C5950" t="s" s="2">
        <v>15</v>
      </c>
      <c r="D5950" t="s" s="2">
        <v>16</v>
      </c>
      <c r="E5950" t="s" s="2">
        <v>17</v>
      </c>
      <c r="F5950" t="s" s="2">
        <f>HYPERLINK("http://ts.21cn.com/tousu/show/id/1367140","http://ts.21cn.com/tousu/show/id/1367140")</f>
      </c>
      <c r="G5950" t="s" s="2">
        <v>17</v>
      </c>
      <c r="H5950" t="s" s="2">
        <v>19</v>
      </c>
      <c r="I5950" t="s" s="2">
        <v>23049</v>
      </c>
      <c r="J5950" t="s" s="2">
        <v>23050</v>
      </c>
      <c r="K5950" t="s" s="2">
        <v>22</v>
      </c>
      <c r="L5950" t="s" s="2">
        <v>22</v>
      </c>
      <c r="M5950" t="s" s="2">
        <v>22</v>
      </c>
    </row>
    <row r="5951" ht="25.0" customHeight="true">
      <c r="A5951" t="s" s="2">
        <v>13</v>
      </c>
      <c r="B5951" t="s" s="2">
        <f>HYPERLINK("http://ts.21cn.com/tousu/show/id/1367119","利息高，服务态度差")</f>
      </c>
      <c r="C5951" t="s" s="2">
        <v>15</v>
      </c>
      <c r="D5951" t="s" s="2">
        <v>16</v>
      </c>
      <c r="E5951" t="s" s="2">
        <v>17</v>
      </c>
      <c r="F5951" t="s" s="2">
        <f>HYPERLINK("http://ts.21cn.com/tousu/show/id/1367119","http://ts.21cn.com/tousu/show/id/1367119")</f>
      </c>
      <c r="G5951" t="s" s="2">
        <v>17</v>
      </c>
      <c r="H5951" t="s" s="2">
        <v>19</v>
      </c>
      <c r="I5951" t="s" s="2">
        <v>23053</v>
      </c>
      <c r="J5951" t="s" s="2">
        <v>23054</v>
      </c>
      <c r="K5951" t="s" s="2">
        <v>22</v>
      </c>
      <c r="L5951" t="s" s="2">
        <v>22</v>
      </c>
      <c r="M5951" t="s" s="2">
        <v>22</v>
      </c>
    </row>
    <row r="5952" ht="25.0" customHeight="true">
      <c r="A5952" t="s" s="2">
        <v>13</v>
      </c>
      <c r="B5952" t="s" s="2">
        <f>HYPERLINK("http://ts.21cn.com/tousu/show/id/1363335","上海厚权信息科技有限公司设立对公账户从事非法虚假个股期权交易，致使本人损失6万")</f>
      </c>
      <c r="C5952" t="s" s="2">
        <v>15</v>
      </c>
      <c r="D5952" t="s" s="2">
        <v>16</v>
      </c>
      <c r="E5952" t="s" s="2">
        <v>17</v>
      </c>
      <c r="F5952" t="s" s="2">
        <f>HYPERLINK("http://ts.21cn.com/tousu/show/id/1363335","http://ts.21cn.com/tousu/show/id/1363335")</f>
      </c>
      <c r="G5952" t="s" s="2">
        <v>17</v>
      </c>
      <c r="H5952" t="s" s="2">
        <v>19</v>
      </c>
      <c r="I5952" t="s" s="2">
        <v>23057</v>
      </c>
      <c r="J5952" t="s" s="2">
        <v>23058</v>
      </c>
      <c r="K5952" t="s" s="2">
        <v>22</v>
      </c>
      <c r="L5952" t="s" s="2">
        <v>22</v>
      </c>
      <c r="M5952" t="s" s="2">
        <v>22</v>
      </c>
    </row>
    <row r="5953" ht="25.0" customHeight="true">
      <c r="A5953" t="s" s="2">
        <v>13</v>
      </c>
      <c r="B5953" t="s" s="2">
        <f>HYPERLINK("http://ts.21cn.com/tousu/show/id/1367096","每日优鲜虚假宣传，误导诱导用户")</f>
      </c>
      <c r="C5953" t="s" s="2">
        <v>15</v>
      </c>
      <c r="D5953" t="s" s="2">
        <v>16</v>
      </c>
      <c r="E5953" t="s" s="2">
        <v>17</v>
      </c>
      <c r="F5953" t="s" s="2">
        <f>HYPERLINK("http://ts.21cn.com/tousu/show/id/1367096","http://ts.21cn.com/tousu/show/id/1367096")</f>
      </c>
      <c r="G5953" t="s" s="2">
        <v>17</v>
      </c>
      <c r="H5953" t="s" s="2">
        <v>19</v>
      </c>
      <c r="I5953" t="s" s="2">
        <v>23060</v>
      </c>
      <c r="J5953" t="s" s="2">
        <v>23061</v>
      </c>
      <c r="K5953" t="s" s="2">
        <v>22</v>
      </c>
      <c r="L5953" t="s" s="2">
        <v>22</v>
      </c>
      <c r="M5953" t="s" s="2">
        <v>22</v>
      </c>
    </row>
    <row r="5954" ht="25.0" customHeight="true">
      <c r="A5954" t="s" s="2">
        <v>13</v>
      </c>
      <c r="B5954" t="s" s="2">
        <f>HYPERLINK("http://ts.21cn.com/tousu/show/id/1367093","小象优品暴力催收骚扰通讯录")</f>
      </c>
      <c r="C5954" t="s" s="2">
        <v>15</v>
      </c>
      <c r="D5954" t="s" s="2">
        <v>16</v>
      </c>
      <c r="E5954" t="s" s="2">
        <v>17</v>
      </c>
      <c r="F5954" t="s" s="2">
        <f>HYPERLINK("http://ts.21cn.com/tousu/show/id/1367093","http://ts.21cn.com/tousu/show/id/1367093")</f>
      </c>
      <c r="G5954" t="s" s="2">
        <v>17</v>
      </c>
      <c r="H5954" t="s" s="2">
        <v>19</v>
      </c>
      <c r="I5954" t="s" s="2">
        <v>23064</v>
      </c>
      <c r="J5954" t="s" s="2">
        <v>23065</v>
      </c>
      <c r="K5954" t="s" s="2">
        <v>22</v>
      </c>
      <c r="L5954" t="s" s="2">
        <v>22</v>
      </c>
      <c r="M5954" t="s" s="2">
        <v>22</v>
      </c>
    </row>
    <row r="5955" ht="25.0" customHeight="true">
      <c r="A5955" t="s" s="2">
        <v>13</v>
      </c>
      <c r="B5955" t="s" s="2">
        <f>HYPERLINK("http://ts.21cn.com/tousu/show/id/1367085","扰乱我的正常生活")</f>
      </c>
      <c r="C5955" t="s" s="2">
        <v>15</v>
      </c>
      <c r="D5955" t="s" s="2">
        <v>16</v>
      </c>
      <c r="E5955" t="s" s="2">
        <v>17</v>
      </c>
      <c r="F5955" t="s" s="2">
        <f>HYPERLINK("http://ts.21cn.com/tousu/show/id/1367085","http://ts.21cn.com/tousu/show/id/1367085")</f>
      </c>
      <c r="G5955" t="s" s="2">
        <v>17</v>
      </c>
      <c r="H5955" t="s" s="2">
        <v>19</v>
      </c>
      <c r="I5955" t="s" s="2">
        <v>23068</v>
      </c>
      <c r="J5955" t="s" s="2">
        <v>23069</v>
      </c>
      <c r="K5955" t="s" s="2">
        <v>22</v>
      </c>
      <c r="L5955" t="s" s="2">
        <v>22</v>
      </c>
      <c r="M5955" t="s" s="2">
        <v>22</v>
      </c>
    </row>
    <row r="5956" ht="25.0" customHeight="true">
      <c r="A5956" t="s" s="2">
        <v>13</v>
      </c>
      <c r="B5956" t="s" s="2">
        <f>HYPERLINK("http://ts.21cn.com/tousu/show/id/1367074","助借通无故扣费拒绝退款")</f>
      </c>
      <c r="C5956" t="s" s="2">
        <v>15</v>
      </c>
      <c r="D5956" t="s" s="2">
        <v>16</v>
      </c>
      <c r="E5956" t="s" s="2">
        <v>17</v>
      </c>
      <c r="F5956" t="s" s="2">
        <f>HYPERLINK("http://ts.21cn.com/tousu/show/id/1367074","http://ts.21cn.com/tousu/show/id/1367074")</f>
      </c>
      <c r="G5956" t="s" s="2">
        <v>17</v>
      </c>
      <c r="H5956" t="s" s="2">
        <v>19</v>
      </c>
      <c r="I5956" t="s" s="2">
        <v>23072</v>
      </c>
      <c r="J5956" t="s" s="2">
        <v>23073</v>
      </c>
      <c r="K5956" t="s" s="2">
        <v>22</v>
      </c>
      <c r="L5956" t="s" s="2">
        <v>22</v>
      </c>
      <c r="M5956" t="s" s="2">
        <v>22</v>
      </c>
    </row>
    <row r="5957" ht="25.0" customHeight="true">
      <c r="A5957" t="s" s="2">
        <v>13</v>
      </c>
      <c r="B5957" t="s" s="2">
        <f>HYPERLINK("http://ts.21cn.com/tousu/show/id/1367071","爆通讯录，骚扰亲朋好友")</f>
      </c>
      <c r="C5957" t="s" s="2">
        <v>15</v>
      </c>
      <c r="D5957" t="s" s="2">
        <v>16</v>
      </c>
      <c r="E5957" t="s" s="2">
        <v>17</v>
      </c>
      <c r="F5957" t="s" s="2">
        <f>HYPERLINK("http://ts.21cn.com/tousu/show/id/1367071","http://ts.21cn.com/tousu/show/id/1367071")</f>
      </c>
      <c r="G5957" t="s" s="2">
        <v>17</v>
      </c>
      <c r="H5957" t="s" s="2">
        <v>19</v>
      </c>
      <c r="I5957" t="s" s="2">
        <v>23075</v>
      </c>
      <c r="J5957" t="s" s="2">
        <v>23076</v>
      </c>
      <c r="K5957" t="s" s="2">
        <v>22</v>
      </c>
      <c r="L5957" t="s" s="2">
        <v>22</v>
      </c>
      <c r="M5957" t="s" s="2">
        <v>22</v>
      </c>
    </row>
    <row r="5958" ht="25.0" customHeight="true">
      <c r="A5958" t="s" s="2">
        <v>13</v>
      </c>
      <c r="B5958" t="s" s="2">
        <f>HYPERLINK("http://ts.21cn.com/tousu/show/id/1367052","还款后不处理逾期，爆通讯录")</f>
      </c>
      <c r="C5958" t="s" s="2">
        <v>15</v>
      </c>
      <c r="D5958" t="s" s="2">
        <v>16</v>
      </c>
      <c r="E5958" t="s" s="2">
        <v>17</v>
      </c>
      <c r="F5958" t="s" s="2">
        <f>HYPERLINK("http://ts.21cn.com/tousu/show/id/1367052","http://ts.21cn.com/tousu/show/id/1367052")</f>
      </c>
      <c r="G5958" t="s" s="2">
        <v>17</v>
      </c>
      <c r="H5958" t="s" s="2">
        <v>19</v>
      </c>
      <c r="I5958" t="s" s="2">
        <v>23079</v>
      </c>
      <c r="J5958" t="s" s="2">
        <v>23080</v>
      </c>
      <c r="K5958" t="s" s="2">
        <v>22</v>
      </c>
      <c r="L5958" t="s" s="2">
        <v>22</v>
      </c>
      <c r="M5958" t="s" s="2">
        <v>22</v>
      </c>
    </row>
    <row r="5959" ht="25.0" customHeight="true">
      <c r="A5959" t="s" s="2">
        <v>13</v>
      </c>
      <c r="B5959" t="s" s="2">
        <f>HYPERLINK("http://ts.21cn.com/tousu/show/id/1367063","U钱包是不是高利贷")</f>
      </c>
      <c r="C5959" t="s" s="2">
        <v>15</v>
      </c>
      <c r="D5959" t="s" s="2">
        <v>16</v>
      </c>
      <c r="E5959" t="s" s="2">
        <v>17</v>
      </c>
      <c r="F5959" t="s" s="2">
        <f>HYPERLINK("http://ts.21cn.com/tousu/show/id/1367063","http://ts.21cn.com/tousu/show/id/1367063")</f>
      </c>
      <c r="G5959" t="s" s="2">
        <v>17</v>
      </c>
      <c r="H5959" t="s" s="2">
        <v>19</v>
      </c>
      <c r="I5959" t="s" s="2">
        <v>23083</v>
      </c>
      <c r="J5959" t="s" s="2">
        <v>23084</v>
      </c>
      <c r="K5959" t="s" s="2">
        <v>22</v>
      </c>
      <c r="L5959" t="s" s="2">
        <v>22</v>
      </c>
      <c r="M5959" t="s" s="2">
        <v>22</v>
      </c>
    </row>
    <row r="5960" ht="25.0" customHeight="true">
      <c r="A5960" t="s" s="2">
        <v>13</v>
      </c>
      <c r="B5960" t="s" s="2">
        <f>HYPERLINK("http://ts.21cn.com/tousu/show/id/1367050","合支付为714高炮平台提供支付便利")</f>
      </c>
      <c r="C5960" t="s" s="2">
        <v>15</v>
      </c>
      <c r="D5960" t="s" s="2">
        <v>16</v>
      </c>
      <c r="E5960" t="s" s="2">
        <v>17</v>
      </c>
      <c r="F5960" t="s" s="2">
        <f>HYPERLINK("http://ts.21cn.com/tousu/show/id/1367050","http://ts.21cn.com/tousu/show/id/1367050")</f>
      </c>
      <c r="G5960" t="s" s="2">
        <v>17</v>
      </c>
      <c r="H5960" t="s" s="2">
        <v>19</v>
      </c>
      <c r="I5960" t="s" s="2">
        <v>23087</v>
      </c>
      <c r="J5960" t="s" s="2">
        <v>23088</v>
      </c>
      <c r="K5960" t="s" s="2">
        <v>22</v>
      </c>
      <c r="L5960" t="s" s="2">
        <v>22</v>
      </c>
      <c r="M5960" t="s" s="2">
        <v>22</v>
      </c>
    </row>
    <row r="5961" ht="25.0" customHeight="true">
      <c r="A5961" t="s" s="2">
        <v>13</v>
      </c>
      <c r="B5961" t="s" s="2">
        <f>HYPERLINK("http://ts.21cn.com/tousu/show/id/1367042","被境外网站刷单充值")</f>
      </c>
      <c r="C5961" t="s" s="2">
        <v>15</v>
      </c>
      <c r="D5961" t="s" s="2">
        <v>16</v>
      </c>
      <c r="E5961" t="s" s="2">
        <v>17</v>
      </c>
      <c r="F5961" t="s" s="2">
        <f>HYPERLINK("http://ts.21cn.com/tousu/show/id/1367042","http://ts.21cn.com/tousu/show/id/1367042")</f>
      </c>
      <c r="G5961" t="s" s="2">
        <v>17</v>
      </c>
      <c r="H5961" t="s" s="2">
        <v>19</v>
      </c>
      <c r="I5961" t="s" s="2">
        <v>23091</v>
      </c>
      <c r="J5961" t="s" s="2">
        <v>23092</v>
      </c>
      <c r="K5961" t="s" s="2">
        <v>22</v>
      </c>
      <c r="L5961" t="s" s="2">
        <v>22</v>
      </c>
      <c r="M5961" t="s" s="2">
        <v>22</v>
      </c>
    </row>
    <row r="5962" ht="25.0" customHeight="true">
      <c r="A5962" t="s" s="2">
        <v>13</v>
      </c>
      <c r="B5962" t="s" s="2">
        <f>HYPERLINK("http://ts.21cn.com/tousu/show/id/1366965","在本人不知情的情况下扣款")</f>
      </c>
      <c r="C5962" t="s" s="2">
        <v>15</v>
      </c>
      <c r="D5962" t="s" s="2">
        <v>16</v>
      </c>
      <c r="E5962" t="s" s="2">
        <v>17</v>
      </c>
      <c r="F5962" t="s" s="2">
        <f>HYPERLINK("http://ts.21cn.com/tousu/show/id/1366965","http://ts.21cn.com/tousu/show/id/1366965")</f>
      </c>
      <c r="G5962" t="s" s="2">
        <v>17</v>
      </c>
      <c r="H5962" t="s" s="2">
        <v>19</v>
      </c>
      <c r="I5962" t="s" s="2">
        <v>23095</v>
      </c>
      <c r="J5962" t="s" s="2">
        <v>23096</v>
      </c>
      <c r="K5962" t="s" s="2">
        <v>22</v>
      </c>
      <c r="L5962" t="s" s="2">
        <v>22</v>
      </c>
      <c r="M5962" t="s" s="2">
        <v>22</v>
      </c>
    </row>
    <row r="5963" ht="25.0" customHeight="true">
      <c r="A5963" t="s" s="2">
        <v>13</v>
      </c>
      <c r="B5963" t="s" s="2">
        <f>HYPERLINK("http://ts.21cn.com/tousu/show/id/1367030","麦子金服白领贷贷款押金不退换")</f>
      </c>
      <c r="C5963" t="s" s="2">
        <v>15</v>
      </c>
      <c r="D5963" t="s" s="2">
        <v>16</v>
      </c>
      <c r="E5963" t="s" s="2">
        <v>17</v>
      </c>
      <c r="F5963" t="s" s="2">
        <f>HYPERLINK("http://ts.21cn.com/tousu/show/id/1367030","http://ts.21cn.com/tousu/show/id/1367030")</f>
      </c>
      <c r="G5963" t="s" s="2">
        <v>17</v>
      </c>
      <c r="H5963" t="s" s="2">
        <v>19</v>
      </c>
      <c r="I5963" t="s" s="2">
        <v>23099</v>
      </c>
      <c r="J5963" t="s" s="2">
        <v>23100</v>
      </c>
      <c r="K5963" t="s" s="2">
        <v>22</v>
      </c>
      <c r="L5963" t="s" s="2">
        <v>22</v>
      </c>
      <c r="M5963" t="s" s="2">
        <v>22</v>
      </c>
    </row>
    <row r="5964" ht="25.0" customHeight="true">
      <c r="A5964" t="s" s="2">
        <v>13</v>
      </c>
      <c r="B5964" t="s" s="2">
        <f>HYPERLINK("http://ts.21cn.com/tousu/show/id/1367009","超高利贷")</f>
      </c>
      <c r="C5964" t="s" s="2">
        <v>15</v>
      </c>
      <c r="D5964" t="s" s="2">
        <v>16</v>
      </c>
      <c r="E5964" t="s" s="2">
        <v>17</v>
      </c>
      <c r="F5964" t="s" s="2">
        <f>HYPERLINK("http://ts.21cn.com/tousu/show/id/1367009","http://ts.21cn.com/tousu/show/id/1367009")</f>
      </c>
      <c r="G5964" t="s" s="2">
        <v>17</v>
      </c>
      <c r="H5964" t="s" s="2">
        <v>19</v>
      </c>
      <c r="I5964" t="s" s="2">
        <v>23102</v>
      </c>
      <c r="J5964" t="s" s="2">
        <v>23103</v>
      </c>
      <c r="K5964" t="s" s="2">
        <v>22</v>
      </c>
      <c r="L5964" t="s" s="2">
        <v>22</v>
      </c>
      <c r="M5964" t="s" s="2">
        <v>22</v>
      </c>
    </row>
    <row r="5965" ht="25.0" customHeight="true">
      <c r="A5965" t="s" s="2">
        <v>13</v>
      </c>
      <c r="B5965" t="s" s="2">
        <f>HYPERLINK("http://ts.21cn.com/tousu/show/id/1366987","恶意欺诈")</f>
      </c>
      <c r="C5965" t="s" s="2">
        <v>15</v>
      </c>
      <c r="D5965" t="s" s="2">
        <v>16</v>
      </c>
      <c r="E5965" t="s" s="2">
        <v>17</v>
      </c>
      <c r="F5965" t="s" s="2">
        <f>HYPERLINK("http://ts.21cn.com/tousu/show/id/1366987","http://ts.21cn.com/tousu/show/id/1366987")</f>
      </c>
      <c r="G5965" t="s" s="2">
        <v>17</v>
      </c>
      <c r="H5965" t="s" s="2">
        <v>19</v>
      </c>
      <c r="I5965" t="s" s="2">
        <v>23105</v>
      </c>
      <c r="J5965" t="s" s="2">
        <v>23106</v>
      </c>
      <c r="K5965" t="s" s="2">
        <v>22</v>
      </c>
      <c r="L5965" t="s" s="2">
        <v>22</v>
      </c>
      <c r="M5965" t="s" s="2">
        <v>22</v>
      </c>
    </row>
    <row r="5966" ht="25.0" customHeight="true">
      <c r="A5966" t="s" s="2">
        <v>13</v>
      </c>
      <c r="B5966" t="s" s="2">
        <f>HYPERLINK("http://ts.21cn.com/tousu/show/id/1366998","拍拍贷群发短信，对本人造成极大的影响")</f>
      </c>
      <c r="C5966" t="s" s="2">
        <v>15</v>
      </c>
      <c r="D5966" t="s" s="2">
        <v>16</v>
      </c>
      <c r="E5966" t="s" s="2">
        <v>17</v>
      </c>
      <c r="F5966" t="s" s="2">
        <f>HYPERLINK("http://ts.21cn.com/tousu/show/id/1366998","http://ts.21cn.com/tousu/show/id/1366998")</f>
      </c>
      <c r="G5966" t="s" s="2">
        <v>17</v>
      </c>
      <c r="H5966" t="s" s="2">
        <v>19</v>
      </c>
      <c r="I5966" t="s" s="2">
        <v>23109</v>
      </c>
      <c r="J5966" t="s" s="2">
        <v>23110</v>
      </c>
      <c r="K5966" t="s" s="2">
        <v>22</v>
      </c>
      <c r="L5966" t="s" s="2">
        <v>22</v>
      </c>
      <c r="M5966" t="s" s="2">
        <v>22</v>
      </c>
    </row>
    <row r="5967" ht="25.0" customHeight="true">
      <c r="A5967" t="s" s="2">
        <v>13</v>
      </c>
      <c r="B5967" t="s" s="2">
        <f>HYPERLINK("http://ts.21cn.com/tousu/show/id/1366943","多宝分期网贷平台变相收取高利息")</f>
      </c>
      <c r="C5967" t="s" s="2">
        <v>15</v>
      </c>
      <c r="D5967" t="s" s="2">
        <v>16</v>
      </c>
      <c r="E5967" t="s" s="2">
        <v>17</v>
      </c>
      <c r="F5967" t="s" s="2">
        <f>HYPERLINK("http://ts.21cn.com/tousu/show/id/1366943","http://ts.21cn.com/tousu/show/id/1366943")</f>
      </c>
      <c r="G5967" t="s" s="2">
        <v>17</v>
      </c>
      <c r="H5967" t="s" s="2">
        <v>19</v>
      </c>
      <c r="I5967" t="s" s="2">
        <v>23113</v>
      </c>
      <c r="J5967" t="s" s="2">
        <v>23114</v>
      </c>
      <c r="K5967" t="s" s="2">
        <v>22</v>
      </c>
      <c r="L5967" t="s" s="2">
        <v>22</v>
      </c>
      <c r="M5967" t="s" s="2">
        <v>22</v>
      </c>
    </row>
    <row r="5968" ht="25.0" customHeight="true">
      <c r="A5968" t="s" s="2">
        <v>13</v>
      </c>
      <c r="B5968" t="s" s="2">
        <f>HYPERLINK("http://ts.21cn.com/tousu/show/id/1366094","石榴快贷恶意骚扰")</f>
      </c>
      <c r="C5968" t="s" s="2">
        <v>15</v>
      </c>
      <c r="D5968" t="s" s="2">
        <v>16</v>
      </c>
      <c r="E5968" t="s" s="2">
        <v>17</v>
      </c>
      <c r="F5968" t="s" s="2">
        <f>HYPERLINK("http://ts.21cn.com/tousu/show/id/1366094","http://ts.21cn.com/tousu/show/id/1366094")</f>
      </c>
      <c r="G5968" t="s" s="2">
        <v>17</v>
      </c>
      <c r="H5968" t="s" s="2">
        <v>19</v>
      </c>
      <c r="I5968" t="s" s="2">
        <v>23117</v>
      </c>
      <c r="J5968" t="s" s="2">
        <v>23118</v>
      </c>
      <c r="K5968" t="s" s="2">
        <v>22</v>
      </c>
      <c r="L5968" t="s" s="2">
        <v>22</v>
      </c>
      <c r="M5968" t="s" s="2">
        <v>22</v>
      </c>
    </row>
    <row r="5969" ht="25.0" customHeight="true">
      <c r="A5969" t="s" s="2">
        <v>13</v>
      </c>
      <c r="B5969" t="s" s="2">
        <f>HYPERLINK("http://ts.21cn.com/tousu/show/id/1366977","刚才我没有消费把我的249元钱好端端的划走了")</f>
      </c>
      <c r="C5969" t="s" s="2">
        <v>52</v>
      </c>
      <c r="D5969" t="s" s="2">
        <v>16</v>
      </c>
      <c r="E5969" t="s" s="2">
        <v>17</v>
      </c>
      <c r="F5969" t="s" s="2">
        <f>HYPERLINK("http://ts.21cn.com/tousu/show/id/1366977","http://ts.21cn.com/tousu/show/id/1366977")</f>
      </c>
      <c r="G5969" t="s" s="2">
        <v>17</v>
      </c>
      <c r="H5969" t="s" s="2">
        <v>19</v>
      </c>
      <c r="I5969" t="s" s="2">
        <v>23121</v>
      </c>
      <c r="J5969" t="s" s="2">
        <v>23122</v>
      </c>
      <c r="K5969" t="s" s="2">
        <v>22</v>
      </c>
      <c r="L5969" t="s" s="2">
        <v>22</v>
      </c>
      <c r="M5969" t="s" s="2">
        <v>22</v>
      </c>
    </row>
    <row r="5970" ht="25.0" customHeight="true">
      <c r="A5970" t="s" s="2">
        <v>13</v>
      </c>
      <c r="B5970" t="s" s="2">
        <f>HYPERLINK("http://ts.21cn.com/tousu/show/id/1366976","美利车贷")</f>
      </c>
      <c r="C5970" t="s" s="2">
        <v>15</v>
      </c>
      <c r="D5970" t="s" s="2">
        <v>16</v>
      </c>
      <c r="E5970" t="s" s="2">
        <v>17</v>
      </c>
      <c r="F5970" t="s" s="2">
        <f>HYPERLINK("http://ts.21cn.com/tousu/show/id/1366976","http://ts.21cn.com/tousu/show/id/1366976")</f>
      </c>
      <c r="G5970" t="s" s="2">
        <v>17</v>
      </c>
      <c r="H5970" t="s" s="2">
        <v>19</v>
      </c>
      <c r="I5970" t="s" s="2">
        <v>23125</v>
      </c>
      <c r="J5970" t="s" s="2">
        <v>23126</v>
      </c>
      <c r="K5970" t="s" s="2">
        <v>22</v>
      </c>
      <c r="L5970" t="s" s="2">
        <v>22</v>
      </c>
      <c r="M5970" t="s" s="2">
        <v>22</v>
      </c>
    </row>
    <row r="5971" ht="25.0" customHeight="true">
      <c r="A5971" t="s" s="2">
        <v>13</v>
      </c>
      <c r="B5971" t="s" s="2">
        <f>HYPERLINK("http://ts.21cn.com/tousu/show/id/1366921","深圳市恒富创融科技有限公司乱扣款")</f>
      </c>
      <c r="C5971" t="s" s="2">
        <v>15</v>
      </c>
      <c r="D5971" t="s" s="2">
        <v>16</v>
      </c>
      <c r="E5971" t="s" s="2">
        <v>17</v>
      </c>
      <c r="F5971" t="s" s="2">
        <f>HYPERLINK("http://ts.21cn.com/tousu/show/id/1366921","http://ts.21cn.com/tousu/show/id/1366921")</f>
      </c>
      <c r="G5971" t="s" s="2">
        <v>17</v>
      </c>
      <c r="H5971" t="s" s="2">
        <v>19</v>
      </c>
      <c r="I5971" t="s" s="2">
        <v>23128</v>
      </c>
      <c r="J5971" t="s" s="2">
        <v>23129</v>
      </c>
      <c r="K5971" t="s" s="2">
        <v>22</v>
      </c>
      <c r="L5971" t="s" s="2">
        <v>22</v>
      </c>
      <c r="M5971" t="s" s="2">
        <v>22</v>
      </c>
    </row>
    <row r="5972" ht="25.0" customHeight="true">
      <c r="A5972" t="s" s="2">
        <v>13</v>
      </c>
      <c r="B5972" t="s" s="2">
        <f>HYPERLINK("http://ts.21cn.com/tousu/show/id/1366888","阴阳合同砍头贷砍头息")</f>
      </c>
      <c r="C5972" t="s" s="2">
        <v>15</v>
      </c>
      <c r="D5972" t="s" s="2">
        <v>16</v>
      </c>
      <c r="E5972" t="s" s="2">
        <v>17</v>
      </c>
      <c r="F5972" t="s" s="2">
        <f>HYPERLINK("http://ts.21cn.com/tousu/show/id/1366888","http://ts.21cn.com/tousu/show/id/1366888")</f>
      </c>
      <c r="G5972" t="s" s="2">
        <v>17</v>
      </c>
      <c r="H5972" t="s" s="2">
        <v>19</v>
      </c>
      <c r="I5972" t="s" s="2">
        <v>23132</v>
      </c>
      <c r="J5972" t="s" s="2">
        <v>23133</v>
      </c>
      <c r="K5972" t="s" s="2">
        <v>22</v>
      </c>
      <c r="L5972" t="s" s="2">
        <v>22</v>
      </c>
      <c r="M5972" t="s" s="2">
        <v>22</v>
      </c>
    </row>
    <row r="5973" ht="25.0" customHeight="true">
      <c r="A5973" t="s" s="2">
        <v>13</v>
      </c>
      <c r="B5973" t="s" s="2">
        <f>HYPERLINK("http://ts.21cn.com/tousu/show/id/1366917","京东商城不能换开电子发票问题")</f>
      </c>
      <c r="C5973" t="s" s="2">
        <v>15</v>
      </c>
      <c r="D5973" t="s" s="2">
        <v>16</v>
      </c>
      <c r="E5973" t="s" s="2">
        <v>17</v>
      </c>
      <c r="F5973" t="s" s="2">
        <f>HYPERLINK("http://ts.21cn.com/tousu/show/id/1366917","http://ts.21cn.com/tousu/show/id/1366917")</f>
      </c>
      <c r="G5973" t="s" s="2">
        <v>17</v>
      </c>
      <c r="H5973" t="s" s="2">
        <v>19</v>
      </c>
      <c r="I5973" t="s" s="2">
        <v>23136</v>
      </c>
      <c r="J5973" t="s" s="2">
        <v>23137</v>
      </c>
      <c r="K5973" t="s" s="2">
        <v>22</v>
      </c>
      <c r="L5973" t="s" s="2">
        <v>22</v>
      </c>
      <c r="M5973" t="s" s="2">
        <v>22</v>
      </c>
    </row>
    <row r="5974" ht="25.0" customHeight="true">
      <c r="A5974" t="s" s="2">
        <v>13</v>
      </c>
      <c r="B5974" t="s" s="2">
        <f>HYPERLINK("http://ts.21cn.com/tousu/show/id/1366916","集体投诉资金不返还")</f>
      </c>
      <c r="C5974" t="s" s="2">
        <v>15</v>
      </c>
      <c r="D5974" t="s" s="2">
        <v>16</v>
      </c>
      <c r="E5974" t="s" s="2">
        <v>17</v>
      </c>
      <c r="F5974" t="s" s="2">
        <f>HYPERLINK("http://ts.21cn.com/tousu/show/id/1366916","http://ts.21cn.com/tousu/show/id/1366916")</f>
      </c>
      <c r="G5974" t="s" s="2">
        <v>17</v>
      </c>
      <c r="H5974" t="s" s="2">
        <v>19</v>
      </c>
      <c r="I5974" t="s" s="2">
        <v>23140</v>
      </c>
      <c r="J5974" t="s" s="2">
        <v>23141</v>
      </c>
      <c r="K5974" t="s" s="2">
        <v>22</v>
      </c>
      <c r="L5974" t="s" s="2">
        <v>22</v>
      </c>
      <c r="M5974" t="s" s="2">
        <v>22</v>
      </c>
    </row>
    <row r="5975" ht="25.0" customHeight="true">
      <c r="A5975" t="s" s="2">
        <v>13</v>
      </c>
      <c r="B5975" t="s" s="2">
        <f>HYPERLINK("http://ts.21cn.com/tousu/show/id/1366915","停止骚扰")</f>
      </c>
      <c r="C5975" t="s" s="2">
        <v>15</v>
      </c>
      <c r="D5975" t="s" s="2">
        <v>16</v>
      </c>
      <c r="E5975" t="s" s="2">
        <v>17</v>
      </c>
      <c r="F5975" t="s" s="2">
        <f>HYPERLINK("http://ts.21cn.com/tousu/show/id/1366915","http://ts.21cn.com/tousu/show/id/1366915")</f>
      </c>
      <c r="G5975" t="s" s="2">
        <v>17</v>
      </c>
      <c r="H5975" t="s" s="2">
        <v>19</v>
      </c>
      <c r="I5975" t="s" s="2">
        <v>23143</v>
      </c>
      <c r="J5975" t="s" s="2">
        <v>23144</v>
      </c>
      <c r="K5975" t="s" s="2">
        <v>22</v>
      </c>
      <c r="L5975" t="s" s="2">
        <v>22</v>
      </c>
      <c r="M5975" t="s" s="2">
        <v>22</v>
      </c>
    </row>
    <row r="5976" ht="25.0" customHeight="true">
      <c r="A5976" t="s" s="2">
        <v>13</v>
      </c>
      <c r="B5976" t="s" s="2">
        <f>HYPERLINK("http://ts.21cn.com/tousu/show/id/1366914","威胁恐吓")</f>
      </c>
      <c r="C5976" t="s" s="2">
        <v>15</v>
      </c>
      <c r="D5976" t="s" s="2">
        <v>16</v>
      </c>
      <c r="E5976" t="s" s="2">
        <v>17</v>
      </c>
      <c r="F5976" t="s" s="2">
        <f>HYPERLINK("http://ts.21cn.com/tousu/show/id/1366914","http://ts.21cn.com/tousu/show/id/1366914")</f>
      </c>
      <c r="G5976" t="s" s="2">
        <v>17</v>
      </c>
      <c r="H5976" t="s" s="2">
        <v>19</v>
      </c>
      <c r="I5976" t="s" s="2">
        <v>23146</v>
      </c>
      <c r="J5976" t="s" s="2">
        <v>23147</v>
      </c>
      <c r="K5976" t="s" s="2">
        <v>22</v>
      </c>
      <c r="L5976" t="s" s="2">
        <v>22</v>
      </c>
      <c r="M5976" t="s" s="2">
        <v>22</v>
      </c>
    </row>
    <row r="5977" ht="25.0" customHeight="true">
      <c r="A5977" t="s" s="2">
        <v>13</v>
      </c>
      <c r="B5977" t="s" s="2">
        <f>HYPERLINK("http://ts.21cn.com/tousu/show/id/1366911","收回我付出的劳务费用")</f>
      </c>
      <c r="C5977" t="s" s="2">
        <v>15</v>
      </c>
      <c r="D5977" t="s" s="2">
        <v>16</v>
      </c>
      <c r="E5977" t="s" s="2">
        <v>17</v>
      </c>
      <c r="F5977" t="s" s="2">
        <f>HYPERLINK("http://ts.21cn.com/tousu/show/id/1366911","http://ts.21cn.com/tousu/show/id/1366911")</f>
      </c>
      <c r="G5977" t="s" s="2">
        <v>17</v>
      </c>
      <c r="H5977" t="s" s="2">
        <v>19</v>
      </c>
      <c r="I5977" t="s" s="2">
        <v>23150</v>
      </c>
      <c r="J5977" t="s" s="2">
        <v>23151</v>
      </c>
      <c r="K5977" t="s" s="2">
        <v>22</v>
      </c>
      <c r="L5977" t="s" s="2">
        <v>22</v>
      </c>
      <c r="M5977" t="s" s="2">
        <v>22</v>
      </c>
    </row>
    <row r="5978" ht="25.0" customHeight="true">
      <c r="A5978" t="s" s="2">
        <v>13</v>
      </c>
      <c r="B5978" t="s" s="2">
        <f>HYPERLINK("http://ts.21cn.com/tousu/show/id/1366868","高利贷")</f>
      </c>
      <c r="C5978" t="s" s="2">
        <v>15</v>
      </c>
      <c r="D5978" t="s" s="2">
        <v>16</v>
      </c>
      <c r="E5978" t="s" s="2">
        <v>17</v>
      </c>
      <c r="F5978" t="s" s="2">
        <f>HYPERLINK("http://ts.21cn.com/tousu/show/id/1366868","http://ts.21cn.com/tousu/show/id/1366868")</f>
      </c>
      <c r="G5978" t="s" s="2">
        <v>17</v>
      </c>
      <c r="H5978" t="s" s="2">
        <v>19</v>
      </c>
      <c r="I5978" t="s" s="2">
        <v>23150</v>
      </c>
      <c r="J5978" t="s" s="2">
        <v>23153</v>
      </c>
      <c r="K5978" t="s" s="2">
        <v>22</v>
      </c>
      <c r="L5978" t="s" s="2">
        <v>22</v>
      </c>
      <c r="M5978" t="s" s="2">
        <v>22</v>
      </c>
    </row>
    <row r="5979" ht="25.0" customHeight="true">
      <c r="A5979" t="s" s="2">
        <v>13</v>
      </c>
      <c r="B5979" t="s" s="2">
        <f>HYPERLINK("http://ts.21cn.com/tousu/show/id/1366910","好易贷砍头息，高利贷")</f>
      </c>
      <c r="C5979" t="s" s="2">
        <v>15</v>
      </c>
      <c r="D5979" t="s" s="2">
        <v>16</v>
      </c>
      <c r="E5979" t="s" s="2">
        <v>17</v>
      </c>
      <c r="F5979" t="s" s="2">
        <f>HYPERLINK("http://ts.21cn.com/tousu/show/id/1366910","http://ts.21cn.com/tousu/show/id/1366910")</f>
      </c>
      <c r="G5979" t="s" s="2">
        <v>17</v>
      </c>
      <c r="H5979" t="s" s="2">
        <v>19</v>
      </c>
      <c r="I5979" t="s" s="2">
        <v>23156</v>
      </c>
      <c r="J5979" t="s" s="2">
        <v>23157</v>
      </c>
      <c r="K5979" t="s" s="2">
        <v>22</v>
      </c>
      <c r="L5979" t="s" s="2">
        <v>22</v>
      </c>
      <c r="M5979" t="s" s="2">
        <v>22</v>
      </c>
    </row>
    <row r="5980" ht="25.0" customHeight="true">
      <c r="A5980" t="s" s="2">
        <v>13</v>
      </c>
      <c r="B5980" t="s" s="2">
        <f>HYPERLINK("http://ts.21cn.com/tousu/show/id/1366909","立借APP高利贷侵犯个人隐私")</f>
      </c>
      <c r="C5980" t="s" s="2">
        <v>15</v>
      </c>
      <c r="D5980" t="s" s="2">
        <v>16</v>
      </c>
      <c r="E5980" t="s" s="2">
        <v>17</v>
      </c>
      <c r="F5980" t="s" s="2">
        <f>HYPERLINK("http://ts.21cn.com/tousu/show/id/1366909","http://ts.21cn.com/tousu/show/id/1366909")</f>
      </c>
      <c r="G5980" t="s" s="2">
        <v>17</v>
      </c>
      <c r="H5980" t="s" s="2">
        <v>19</v>
      </c>
      <c r="I5980" t="s" s="2">
        <v>23160</v>
      </c>
      <c r="J5980" t="s" s="2">
        <v>23161</v>
      </c>
      <c r="K5980" t="s" s="2">
        <v>22</v>
      </c>
      <c r="L5980" t="s" s="2">
        <v>22</v>
      </c>
      <c r="M5980" t="s" s="2">
        <v>22</v>
      </c>
    </row>
    <row r="5981" ht="25.0" customHeight="true">
      <c r="A5981" t="s" s="2">
        <v>13</v>
      </c>
      <c r="B5981" t="s" s="2">
        <f>HYPERLINK("http://ts.21cn.com/tousu/show/id/1366871","小赢卡贷高利贷，提前结清收取高息以及服务费")</f>
      </c>
      <c r="C5981" t="s" s="2">
        <v>15</v>
      </c>
      <c r="D5981" t="s" s="2">
        <v>16</v>
      </c>
      <c r="E5981" t="s" s="2">
        <v>17</v>
      </c>
      <c r="F5981" t="s" s="2">
        <f>HYPERLINK("http://ts.21cn.com/tousu/show/id/1366871","http://ts.21cn.com/tousu/show/id/1366871")</f>
      </c>
      <c r="G5981" t="s" s="2">
        <v>17</v>
      </c>
      <c r="H5981" t="s" s="2">
        <v>19</v>
      </c>
      <c r="I5981" t="s" s="2">
        <v>23164</v>
      </c>
      <c r="J5981" t="s" s="2">
        <v>23165</v>
      </c>
      <c r="K5981" t="s" s="2">
        <v>22</v>
      </c>
      <c r="L5981" t="s" s="2">
        <v>22</v>
      </c>
      <c r="M5981" t="s" s="2">
        <v>22</v>
      </c>
    </row>
    <row r="5982" ht="25.0" customHeight="true">
      <c r="A5982" t="s" s="2">
        <v>13</v>
      </c>
      <c r="B5982" t="s" s="2">
        <f>HYPERLINK("http://ts.21cn.com/tousu/show/id/1366908","朋友借了钱催收乱打骚扰电话")</f>
      </c>
      <c r="C5982" t="s" s="2">
        <v>15</v>
      </c>
      <c r="D5982" t="s" s="2">
        <v>16</v>
      </c>
      <c r="E5982" t="s" s="2">
        <v>17</v>
      </c>
      <c r="F5982" t="s" s="2">
        <f>HYPERLINK("http://ts.21cn.com/tousu/show/id/1366908","http://ts.21cn.com/tousu/show/id/1366908")</f>
      </c>
      <c r="G5982" t="s" s="2">
        <v>17</v>
      </c>
      <c r="H5982" t="s" s="2">
        <v>19</v>
      </c>
      <c r="I5982" t="s" s="2">
        <v>23168</v>
      </c>
      <c r="J5982" t="s" s="2">
        <v>23169</v>
      </c>
      <c r="K5982" t="s" s="2">
        <v>22</v>
      </c>
      <c r="L5982" t="s" s="2">
        <v>22</v>
      </c>
      <c r="M5982" t="s" s="2">
        <v>22</v>
      </c>
    </row>
    <row r="5983" ht="25.0" customHeight="true">
      <c r="A5983" t="s" s="2">
        <v>13</v>
      </c>
      <c r="B5983" t="s" s="2">
        <f>HYPERLINK("http://ts.21cn.com/tousu/show/id/1366906","2年了提现不到账")</f>
      </c>
      <c r="C5983" t="s" s="2">
        <v>52</v>
      </c>
      <c r="D5983" t="s" s="2">
        <v>16</v>
      </c>
      <c r="E5983" t="s" s="2">
        <v>17</v>
      </c>
      <c r="F5983" t="s" s="2">
        <f>HYPERLINK("http://ts.21cn.com/tousu/show/id/1366906","http://ts.21cn.com/tousu/show/id/1366906")</f>
      </c>
      <c r="G5983" t="s" s="2">
        <v>17</v>
      </c>
      <c r="H5983" t="s" s="2">
        <v>19</v>
      </c>
      <c r="I5983" t="s" s="2">
        <v>23172</v>
      </c>
      <c r="J5983" t="s" s="2">
        <v>23173</v>
      </c>
      <c r="K5983" t="s" s="2">
        <v>22</v>
      </c>
      <c r="L5983" t="s" s="2">
        <v>22</v>
      </c>
      <c r="M5983" t="s" s="2">
        <v>22</v>
      </c>
    </row>
    <row r="5984" ht="25.0" customHeight="true">
      <c r="A5984" t="s" s="2">
        <v>13</v>
      </c>
      <c r="B5984" t="s" s="2">
        <f>HYPERLINK("http://ts.21cn.com/tousu/show/id/1366905","网贷弄的我精神崩溃")</f>
      </c>
      <c r="C5984" t="s" s="2">
        <v>15</v>
      </c>
      <c r="D5984" t="s" s="2">
        <v>16</v>
      </c>
      <c r="E5984" t="s" s="2">
        <v>17</v>
      </c>
      <c r="F5984" t="s" s="2">
        <f>HYPERLINK("http://ts.21cn.com/tousu/show/id/1366905","http://ts.21cn.com/tousu/show/id/1366905")</f>
      </c>
      <c r="G5984" t="s" s="2">
        <v>17</v>
      </c>
      <c r="H5984" t="s" s="2">
        <v>19</v>
      </c>
      <c r="I5984" t="s" s="2">
        <v>23176</v>
      </c>
      <c r="J5984" t="s" s="2">
        <v>23177</v>
      </c>
      <c r="K5984" t="s" s="2">
        <v>22</v>
      </c>
      <c r="L5984" t="s" s="2">
        <v>22</v>
      </c>
      <c r="M5984" t="s" s="2">
        <v>22</v>
      </c>
    </row>
    <row r="5985" ht="25.0" customHeight="true">
      <c r="A5985" t="s" s="2">
        <v>13</v>
      </c>
      <c r="B5985" t="s" s="2">
        <f>HYPERLINK("http://ts.21cn.com/tousu/show/id/1366904","广东金湾信息有限公司泄露个人信息")</f>
      </c>
      <c r="C5985" t="s" s="2">
        <v>15</v>
      </c>
      <c r="D5985" t="s" s="2">
        <v>16</v>
      </c>
      <c r="E5985" t="s" s="2">
        <v>17</v>
      </c>
      <c r="F5985" t="s" s="2">
        <f>HYPERLINK("http://ts.21cn.com/tousu/show/id/1366904","http://ts.21cn.com/tousu/show/id/1366904")</f>
      </c>
      <c r="G5985" t="s" s="2">
        <v>17</v>
      </c>
      <c r="H5985" t="s" s="2">
        <v>19</v>
      </c>
      <c r="I5985" t="s" s="2">
        <v>23180</v>
      </c>
      <c r="J5985" t="s" s="2">
        <v>23181</v>
      </c>
      <c r="K5985" t="s" s="2">
        <v>22</v>
      </c>
      <c r="L5985" t="s" s="2">
        <v>22</v>
      </c>
      <c r="M5985" t="s" s="2">
        <v>22</v>
      </c>
    </row>
    <row r="5986" ht="25.0" customHeight="true">
      <c r="A5986" t="s" s="2">
        <v>13</v>
      </c>
      <c r="B5986" t="s" s="2">
        <f>HYPERLINK("http://ts.21cn.com/tousu/show/id/1366903","未知号码")</f>
      </c>
      <c r="C5986" t="s" s="2">
        <v>15</v>
      </c>
      <c r="D5986" t="s" s="2">
        <v>16</v>
      </c>
      <c r="E5986" t="s" s="2">
        <v>17</v>
      </c>
      <c r="F5986" t="s" s="2">
        <f>HYPERLINK("http://ts.21cn.com/tousu/show/id/1366903","http://ts.21cn.com/tousu/show/id/1366903")</f>
      </c>
      <c r="G5986" t="s" s="2">
        <v>17</v>
      </c>
      <c r="H5986" t="s" s="2">
        <v>19</v>
      </c>
      <c r="I5986" t="s" s="2">
        <v>23184</v>
      </c>
      <c r="J5986" t="s" s="2">
        <v>23185</v>
      </c>
      <c r="K5986" t="s" s="2">
        <v>22</v>
      </c>
      <c r="L5986" t="s" s="2">
        <v>22</v>
      </c>
      <c r="M5986" t="s" s="2">
        <v>22</v>
      </c>
    </row>
    <row r="5987" ht="25.0" customHeight="true">
      <c r="A5987" t="s" s="2">
        <v>13</v>
      </c>
      <c r="B5987" t="s" s="2">
        <f>HYPERLINK("http://ts.21cn.com/tousu/show/id/1366902","砍头息阴阳合同")</f>
      </c>
      <c r="C5987" t="s" s="2">
        <v>15</v>
      </c>
      <c r="D5987" t="s" s="2">
        <v>16</v>
      </c>
      <c r="E5987" t="s" s="2">
        <v>17</v>
      </c>
      <c r="F5987" t="s" s="2">
        <f>HYPERLINK("http://ts.21cn.com/tousu/show/id/1366902","http://ts.21cn.com/tousu/show/id/1366902")</f>
      </c>
      <c r="G5987" t="s" s="2">
        <v>17</v>
      </c>
      <c r="H5987" t="s" s="2">
        <v>19</v>
      </c>
      <c r="I5987" t="s" s="2">
        <v>23187</v>
      </c>
      <c r="J5987" t="s" s="2">
        <v>23188</v>
      </c>
      <c r="K5987" t="s" s="2">
        <v>22</v>
      </c>
      <c r="L5987" t="s" s="2">
        <v>22</v>
      </c>
      <c r="M5987" t="s" s="2">
        <v>22</v>
      </c>
    </row>
    <row r="5988" ht="25.0" customHeight="true">
      <c r="A5988" t="s" s="2">
        <v>13</v>
      </c>
      <c r="B5988" t="s" s="2">
        <f>HYPERLINK("http://ts.21cn.com/tousu/show/id/1366900","利息过高，")</f>
      </c>
      <c r="C5988" t="s" s="2">
        <v>15</v>
      </c>
      <c r="D5988" t="s" s="2">
        <v>16</v>
      </c>
      <c r="E5988" t="s" s="2">
        <v>17</v>
      </c>
      <c r="F5988" t="s" s="2">
        <f>HYPERLINK("http://ts.21cn.com/tousu/show/id/1366900","http://ts.21cn.com/tousu/show/id/1366900")</f>
      </c>
      <c r="G5988" t="s" s="2">
        <v>17</v>
      </c>
      <c r="H5988" t="s" s="2">
        <v>19</v>
      </c>
      <c r="I5988" t="s" s="2">
        <v>23191</v>
      </c>
      <c r="J5988" t="s" s="2">
        <v>23192</v>
      </c>
      <c r="K5988" t="s" s="2">
        <v>22</v>
      </c>
      <c r="L5988" t="s" s="2">
        <v>22</v>
      </c>
      <c r="M5988" t="s" s="2">
        <v>22</v>
      </c>
    </row>
    <row r="5989" ht="25.0" customHeight="true">
      <c r="A5989" t="s" s="2">
        <v>13</v>
      </c>
      <c r="B5989" t="s" s="2">
        <f>HYPERLINK("http://ts.21cn.com/tousu/show/id/1366898","及贷辱骂恐吓电话骚扰暴力催收")</f>
      </c>
      <c r="C5989" t="s" s="2">
        <v>15</v>
      </c>
      <c r="D5989" t="s" s="2">
        <v>16</v>
      </c>
      <c r="E5989" t="s" s="2">
        <v>17</v>
      </c>
      <c r="F5989" t="s" s="2">
        <f>HYPERLINK("http://ts.21cn.com/tousu/show/id/1366898","http://ts.21cn.com/tousu/show/id/1366898")</f>
      </c>
      <c r="G5989" t="s" s="2">
        <v>17</v>
      </c>
      <c r="H5989" t="s" s="2">
        <v>19</v>
      </c>
      <c r="I5989" t="s" s="2">
        <v>23195</v>
      </c>
      <c r="J5989" t="s" s="2">
        <v>23196</v>
      </c>
      <c r="K5989" t="s" s="2">
        <v>22</v>
      </c>
      <c r="L5989" t="s" s="2">
        <v>22</v>
      </c>
      <c r="M5989" t="s" s="2">
        <v>22</v>
      </c>
    </row>
    <row r="5990" ht="25.0" customHeight="true">
      <c r="A5990" t="s" s="2">
        <v>13</v>
      </c>
      <c r="B5990" t="s" s="2">
        <f>HYPERLINK("http://ts.21cn.com/tousu/show/id/1366897","请求协商还款")</f>
      </c>
      <c r="C5990" t="s" s="2">
        <v>52</v>
      </c>
      <c r="D5990" t="s" s="2">
        <v>16</v>
      </c>
      <c r="E5990" t="s" s="2">
        <v>17</v>
      </c>
      <c r="F5990" t="s" s="2">
        <f>HYPERLINK("http://ts.21cn.com/tousu/show/id/1366897","http://ts.21cn.com/tousu/show/id/1366897")</f>
      </c>
      <c r="G5990" t="s" s="2">
        <v>17</v>
      </c>
      <c r="H5990" t="s" s="2">
        <v>19</v>
      </c>
      <c r="I5990" t="s" s="2">
        <v>23199</v>
      </c>
      <c r="J5990" t="s" s="2">
        <v>23200</v>
      </c>
      <c r="K5990" t="s" s="2">
        <v>22</v>
      </c>
      <c r="L5990" t="s" s="2">
        <v>22</v>
      </c>
      <c r="M5990" t="s" s="2">
        <v>22</v>
      </c>
    </row>
    <row r="5991" ht="25.0" customHeight="true">
      <c r="A5991" t="s" s="2">
        <v>13</v>
      </c>
      <c r="B5991" t="s" s="2">
        <f>HYPERLINK("http://ts.21cn.com/tousu/show/id/1366896","停止外包恐吓催收")</f>
      </c>
      <c r="C5991" t="s" s="2">
        <v>15</v>
      </c>
      <c r="D5991" t="s" s="2">
        <v>16</v>
      </c>
      <c r="E5991" t="s" s="2">
        <v>17</v>
      </c>
      <c r="F5991" t="s" s="2">
        <f>HYPERLINK("http://ts.21cn.com/tousu/show/id/1366896","http://ts.21cn.com/tousu/show/id/1366896")</f>
      </c>
      <c r="G5991" t="s" s="2">
        <v>17</v>
      </c>
      <c r="H5991" t="s" s="2">
        <v>19</v>
      </c>
      <c r="I5991" t="s" s="2">
        <v>23203</v>
      </c>
      <c r="J5991" t="s" s="2">
        <v>23204</v>
      </c>
      <c r="K5991" t="s" s="2">
        <v>22</v>
      </c>
      <c r="L5991" t="s" s="2">
        <v>22</v>
      </c>
      <c r="M5991" t="s" s="2">
        <v>22</v>
      </c>
    </row>
    <row r="5992" ht="25.0" customHeight="true">
      <c r="A5992" t="s" s="2">
        <v>13</v>
      </c>
      <c r="B5992" t="s" s="2">
        <f>HYPERLINK("http://ts.21cn.com/tousu/show/id/1366894","上海造艺技术公司恶意扣费")</f>
      </c>
      <c r="C5992" t="s" s="2">
        <v>15</v>
      </c>
      <c r="D5992" t="s" s="2">
        <v>16</v>
      </c>
      <c r="E5992" t="s" s="2">
        <v>17</v>
      </c>
      <c r="F5992" t="s" s="2">
        <f>HYPERLINK("http://ts.21cn.com/tousu/show/id/1366894","http://ts.21cn.com/tousu/show/id/1366894")</f>
      </c>
      <c r="G5992" t="s" s="2">
        <v>17</v>
      </c>
      <c r="H5992" t="s" s="2">
        <v>19</v>
      </c>
      <c r="I5992" t="s" s="2">
        <v>23207</v>
      </c>
      <c r="J5992" t="s" s="2">
        <v>23208</v>
      </c>
      <c r="K5992" t="s" s="2">
        <v>22</v>
      </c>
      <c r="L5992" t="s" s="2">
        <v>22</v>
      </c>
      <c r="M5992" t="s" s="2">
        <v>22</v>
      </c>
    </row>
    <row r="5993" ht="25.0" customHeight="true">
      <c r="A5993" t="s" s="2">
        <v>13</v>
      </c>
      <c r="B5993" t="s" s="2">
        <f>HYPERLINK("http://ts.21cn.com/tousu/show/id/1366831","网贷反复催收")</f>
      </c>
      <c r="C5993" t="s" s="2">
        <v>52</v>
      </c>
      <c r="D5993" t="s" s="2">
        <v>16</v>
      </c>
      <c r="E5993" t="s" s="2">
        <v>17</v>
      </c>
      <c r="F5993" t="s" s="2">
        <f>HYPERLINK("http://ts.21cn.com/tousu/show/id/1366831","http://ts.21cn.com/tousu/show/id/1366831")</f>
      </c>
      <c r="G5993" t="s" s="2">
        <v>17</v>
      </c>
      <c r="H5993" t="s" s="2">
        <v>19</v>
      </c>
      <c r="I5993" t="s" s="2">
        <v>23211</v>
      </c>
      <c r="J5993" t="s" s="2">
        <v>23212</v>
      </c>
      <c r="K5993" t="s" s="2">
        <v>22</v>
      </c>
      <c r="L5993" t="s" s="2">
        <v>22</v>
      </c>
      <c r="M5993" t="s" s="2">
        <v>22</v>
      </c>
    </row>
    <row r="5994" ht="25.0" customHeight="true">
      <c r="A5994" t="s" s="2">
        <v>13</v>
      </c>
      <c r="B5994" t="s" s="2">
        <f>HYPERLINK("http://ts.21cn.com/tousu/show/id/1366892","牛人有品高利砍头息")</f>
      </c>
      <c r="C5994" t="s" s="2">
        <v>15</v>
      </c>
      <c r="D5994" t="s" s="2">
        <v>16</v>
      </c>
      <c r="E5994" t="s" s="2">
        <v>17</v>
      </c>
      <c r="F5994" t="s" s="2">
        <f>HYPERLINK("http://ts.21cn.com/tousu/show/id/1366892","http://ts.21cn.com/tousu/show/id/1366892")</f>
      </c>
      <c r="G5994" t="s" s="2">
        <v>17</v>
      </c>
      <c r="H5994" t="s" s="2">
        <v>19</v>
      </c>
      <c r="I5994" t="s" s="2">
        <v>23215</v>
      </c>
      <c r="J5994" t="s" s="2">
        <v>23216</v>
      </c>
      <c r="K5994" t="s" s="2">
        <v>22</v>
      </c>
      <c r="L5994" t="s" s="2">
        <v>22</v>
      </c>
      <c r="M5994" t="s" s="2">
        <v>22</v>
      </c>
    </row>
    <row r="5995" ht="25.0" customHeight="true">
      <c r="A5995" t="s" s="2">
        <v>13</v>
      </c>
      <c r="B5995" t="s" s="2">
        <f>HYPERLINK("http://ts.21cn.com/tousu/show/id/1366891","vivo应用商店提供非法体育购彩平台")</f>
      </c>
      <c r="C5995" t="s" s="2">
        <v>15</v>
      </c>
      <c r="D5995" t="s" s="2">
        <v>16</v>
      </c>
      <c r="E5995" t="s" s="2">
        <v>17</v>
      </c>
      <c r="F5995" t="s" s="2">
        <f>HYPERLINK("http://ts.21cn.com/tousu/show/id/1366891","http://ts.21cn.com/tousu/show/id/1366891")</f>
      </c>
      <c r="G5995" t="s" s="2">
        <v>17</v>
      </c>
      <c r="H5995" t="s" s="2">
        <v>19</v>
      </c>
      <c r="I5995" t="s" s="2">
        <v>23219</v>
      </c>
      <c r="J5995" t="s" s="2">
        <v>23220</v>
      </c>
      <c r="K5995" t="s" s="2">
        <v>22</v>
      </c>
      <c r="L5995" t="s" s="2">
        <v>22</v>
      </c>
      <c r="M5995" t="s" s="2">
        <v>22</v>
      </c>
    </row>
    <row r="5996" ht="25.0" customHeight="true">
      <c r="A5996" t="s" s="2">
        <v>13</v>
      </c>
      <c r="B5996" t="s" s="2">
        <f>HYPERLINK("http://ts.21cn.com/tousu/show/id/1366889","爱又米在未逾期的时间内对借款人进行骚扰，催收")</f>
      </c>
      <c r="C5996" t="s" s="2">
        <v>15</v>
      </c>
      <c r="D5996" t="s" s="2">
        <v>16</v>
      </c>
      <c r="E5996" t="s" s="2">
        <v>17</v>
      </c>
      <c r="F5996" t="s" s="2">
        <f>HYPERLINK("http://ts.21cn.com/tousu/show/id/1366889","http://ts.21cn.com/tousu/show/id/1366889")</f>
      </c>
      <c r="G5996" t="s" s="2">
        <v>17</v>
      </c>
      <c r="H5996" t="s" s="2">
        <v>19</v>
      </c>
      <c r="I5996" t="s" s="2">
        <v>23223</v>
      </c>
      <c r="J5996" t="s" s="2">
        <v>23224</v>
      </c>
      <c r="K5996" t="s" s="2">
        <v>22</v>
      </c>
      <c r="L5996" t="s" s="2">
        <v>22</v>
      </c>
      <c r="M5996" t="s" s="2">
        <v>22</v>
      </c>
    </row>
    <row r="5997" ht="25.0" customHeight="true">
      <c r="A5997" t="s" s="2">
        <v>13</v>
      </c>
      <c r="B5997" t="s" s="2">
        <f>HYPERLINK("http://ts.21cn.com/tousu/show/id/1366887","玖富万卡欺诈")</f>
      </c>
      <c r="C5997" t="s" s="2">
        <v>15</v>
      </c>
      <c r="D5997" t="s" s="2">
        <v>16</v>
      </c>
      <c r="E5997" t="s" s="2">
        <v>17</v>
      </c>
      <c r="F5997" t="s" s="2">
        <f>HYPERLINK("http://ts.21cn.com/tousu/show/id/1366887","http://ts.21cn.com/tousu/show/id/1366887")</f>
      </c>
      <c r="G5997" t="s" s="2">
        <v>17</v>
      </c>
      <c r="H5997" t="s" s="2">
        <v>19</v>
      </c>
      <c r="I5997" t="s" s="2">
        <v>23227</v>
      </c>
      <c r="J5997" t="s" s="2">
        <v>23228</v>
      </c>
      <c r="K5997" t="s" s="2">
        <v>22</v>
      </c>
      <c r="L5997" t="s" s="2">
        <v>22</v>
      </c>
      <c r="M5997" t="s" s="2">
        <v>22</v>
      </c>
    </row>
    <row r="5998" ht="25.0" customHeight="true">
      <c r="A5998" t="s" s="2">
        <v>13</v>
      </c>
      <c r="B5998" t="s" s="2">
        <f>HYPERLINK("http://ts.21cn.com/tousu/show/id/1366886","骚扰")</f>
      </c>
      <c r="C5998" t="s" s="2">
        <v>15</v>
      </c>
      <c r="D5998" t="s" s="2">
        <v>16</v>
      </c>
      <c r="E5998" t="s" s="2">
        <v>17</v>
      </c>
      <c r="F5998" t="s" s="2">
        <f>HYPERLINK("http://ts.21cn.com/tousu/show/id/1366886","http://ts.21cn.com/tousu/show/id/1366886")</f>
      </c>
      <c r="G5998" t="s" s="2">
        <v>17</v>
      </c>
      <c r="H5998" t="s" s="2">
        <v>19</v>
      </c>
      <c r="I5998" t="s" s="2">
        <v>23230</v>
      </c>
      <c r="J5998" t="s" s="2">
        <v>23231</v>
      </c>
      <c r="K5998" t="s" s="2">
        <v>22</v>
      </c>
      <c r="L5998" t="s" s="2">
        <v>22</v>
      </c>
      <c r="M5998" t="s" s="2">
        <v>22</v>
      </c>
    </row>
    <row r="5999" ht="25.0" customHeight="true">
      <c r="A5999" t="s" s="2">
        <v>13</v>
      </c>
      <c r="B5999" t="s" s="2">
        <f>HYPERLINK("http://ts.21cn.com/tousu/show/id/1366885","恶意扣款")</f>
      </c>
      <c r="C5999" t="s" s="2">
        <v>15</v>
      </c>
      <c r="D5999" t="s" s="2">
        <v>16</v>
      </c>
      <c r="E5999" t="s" s="2">
        <v>17</v>
      </c>
      <c r="F5999" t="s" s="2">
        <f>HYPERLINK("http://ts.21cn.com/tousu/show/id/1366885","http://ts.21cn.com/tousu/show/id/1366885")</f>
      </c>
      <c r="G5999" t="s" s="2">
        <v>17</v>
      </c>
      <c r="H5999" t="s" s="2">
        <v>19</v>
      </c>
      <c r="I5999" t="s" s="2">
        <v>23233</v>
      </c>
      <c r="J5999" t="s" s="2">
        <v>23234</v>
      </c>
      <c r="K5999" t="s" s="2">
        <v>22</v>
      </c>
      <c r="L5999" t="s" s="2">
        <v>22</v>
      </c>
      <c r="M5999" t="s" s="2">
        <v>22</v>
      </c>
    </row>
    <row r="6000" ht="25.0" customHeight="true">
      <c r="A6000" t="s" s="2">
        <v>13</v>
      </c>
      <c r="B6000" t="s" s="2">
        <f>HYPERLINK("http://ts.21cn.com/tousu/show/id/1366883","维信卡卡贷到期不下款")</f>
      </c>
      <c r="C6000" t="s" s="2">
        <v>15</v>
      </c>
      <c r="D6000" t="s" s="2">
        <v>16</v>
      </c>
      <c r="E6000" t="s" s="2">
        <v>17</v>
      </c>
      <c r="F6000" t="s" s="2">
        <f>HYPERLINK("http://ts.21cn.com/tousu/show/id/1366883","http://ts.21cn.com/tousu/show/id/1366883")</f>
      </c>
      <c r="G6000" t="s" s="2">
        <v>17</v>
      </c>
      <c r="H6000" t="s" s="2">
        <v>19</v>
      </c>
      <c r="I6000" t="s" s="2">
        <v>23237</v>
      </c>
      <c r="J6000" t="s" s="2">
        <v>23238</v>
      </c>
      <c r="K6000" t="s" s="2">
        <v>22</v>
      </c>
      <c r="L6000" t="s" s="2">
        <v>22</v>
      </c>
      <c r="M6000" t="s" s="2">
        <v>22</v>
      </c>
    </row>
    <row r="6001" ht="25.0" customHeight="true">
      <c r="A6001" t="s" s="2">
        <v>13</v>
      </c>
      <c r="B6001" t="s" s="2">
        <f>HYPERLINK("http://ts.21cn.com/tousu/show/id/1366882","招联金融使用第三方催收发催收短信给我朋友")</f>
      </c>
      <c r="C6001" t="s" s="2">
        <v>15</v>
      </c>
      <c r="D6001" t="s" s="2">
        <v>16</v>
      </c>
      <c r="E6001" t="s" s="2">
        <v>17</v>
      </c>
      <c r="F6001" t="s" s="2">
        <f>HYPERLINK("http://ts.21cn.com/tousu/show/id/1366882","http://ts.21cn.com/tousu/show/id/1366882")</f>
      </c>
      <c r="G6001" t="s" s="2">
        <v>17</v>
      </c>
      <c r="H6001" t="s" s="2">
        <v>19</v>
      </c>
      <c r="I6001" t="s" s="2">
        <v>23241</v>
      </c>
      <c r="J6001" t="s" s="2">
        <v>23242</v>
      </c>
      <c r="K6001" t="s" s="2">
        <v>22</v>
      </c>
      <c r="L6001" t="s" s="2">
        <v>22</v>
      </c>
      <c r="M6001" t="s" s="2">
        <v>22</v>
      </c>
    </row>
    <row r="6002" ht="25.0" customHeight="true">
      <c r="A6002" t="s" s="2">
        <v>13</v>
      </c>
      <c r="B6002" t="s" s="2">
        <f>HYPERLINK("http://ts.21cn.com/tousu/show/id/1366881","聚福钱包未经许可私自扣款")</f>
      </c>
      <c r="C6002" t="s" s="2">
        <v>15</v>
      </c>
      <c r="D6002" t="s" s="2">
        <v>16</v>
      </c>
      <c r="E6002" t="s" s="2">
        <v>17</v>
      </c>
      <c r="F6002" t="s" s="2">
        <f>HYPERLINK("http://ts.21cn.com/tousu/show/id/1366881","http://ts.21cn.com/tousu/show/id/1366881")</f>
      </c>
      <c r="G6002" t="s" s="2">
        <v>17</v>
      </c>
      <c r="H6002" t="s" s="2">
        <v>19</v>
      </c>
      <c r="I6002" t="s" s="2">
        <v>23244</v>
      </c>
      <c r="J6002" t="s" s="2">
        <v>23245</v>
      </c>
      <c r="K6002" t="s" s="2">
        <v>22</v>
      </c>
      <c r="L6002" t="s" s="2">
        <v>22</v>
      </c>
      <c r="M6002" t="s" s="2">
        <v>22</v>
      </c>
    </row>
    <row r="6003" ht="25.0" customHeight="true">
      <c r="A6003" t="s" s="2">
        <v>13</v>
      </c>
      <c r="B6003" t="s" s="2">
        <f>HYPERLINK("http://ts.21cn.com/tousu/show/id/1366880","情求宽限还款时间")</f>
      </c>
      <c r="C6003" t="s" s="2">
        <v>15</v>
      </c>
      <c r="D6003" t="s" s="2">
        <v>16</v>
      </c>
      <c r="E6003" t="s" s="2">
        <v>17</v>
      </c>
      <c r="F6003" t="s" s="2">
        <f>HYPERLINK("http://ts.21cn.com/tousu/show/id/1366880","http://ts.21cn.com/tousu/show/id/1366880")</f>
      </c>
      <c r="G6003" t="s" s="2">
        <v>17</v>
      </c>
      <c r="H6003" t="s" s="2">
        <v>19</v>
      </c>
      <c r="I6003" t="s" s="2">
        <v>23248</v>
      </c>
      <c r="J6003" t="s" s="2">
        <v>23249</v>
      </c>
      <c r="K6003" t="s" s="2">
        <v>22</v>
      </c>
      <c r="L6003" t="s" s="2">
        <v>22</v>
      </c>
      <c r="M6003" t="s" s="2">
        <v>22</v>
      </c>
    </row>
    <row r="6004" ht="25.0" customHeight="true">
      <c r="A6004" t="s" s="2">
        <v>13</v>
      </c>
      <c r="B6004" t="s" s="2">
        <f>HYPERLINK("http://ts.21cn.com/tousu/show/id/1366879","钱站高利贷阴阳合同，暴力催收")</f>
      </c>
      <c r="C6004" t="s" s="2">
        <v>15</v>
      </c>
      <c r="D6004" t="s" s="2">
        <v>16</v>
      </c>
      <c r="E6004" t="s" s="2">
        <v>17</v>
      </c>
      <c r="F6004" t="s" s="2">
        <f>HYPERLINK("http://ts.21cn.com/tousu/show/id/1366879","http://ts.21cn.com/tousu/show/id/1366879")</f>
      </c>
      <c r="G6004" t="s" s="2">
        <v>17</v>
      </c>
      <c r="H6004" t="s" s="2">
        <v>19</v>
      </c>
      <c r="I6004" t="s" s="2">
        <v>23252</v>
      </c>
      <c r="J6004" t="s" s="2">
        <v>23253</v>
      </c>
      <c r="K6004" t="s" s="2">
        <v>22</v>
      </c>
      <c r="L6004" t="s" s="2">
        <v>22</v>
      </c>
      <c r="M6004" t="s" s="2">
        <v>22</v>
      </c>
    </row>
    <row r="6005" ht="25.0" customHeight="true">
      <c r="A6005" t="s" s="2">
        <v>13</v>
      </c>
      <c r="B6005" t="s" s="2">
        <f>HYPERLINK("http://ts.21cn.com/tousu/show/id/1366878","信用飞捆绑收取高于市场数倍的保险费")</f>
      </c>
      <c r="C6005" t="s" s="2">
        <v>15</v>
      </c>
      <c r="D6005" t="s" s="2">
        <v>16</v>
      </c>
      <c r="E6005" t="s" s="2">
        <v>17</v>
      </c>
      <c r="F6005" t="s" s="2">
        <f>HYPERLINK("http://ts.21cn.com/tousu/show/id/1366878","http://ts.21cn.com/tousu/show/id/1366878")</f>
      </c>
      <c r="G6005" t="s" s="2">
        <v>17</v>
      </c>
      <c r="H6005" t="s" s="2">
        <v>19</v>
      </c>
      <c r="I6005" t="s" s="2">
        <v>23256</v>
      </c>
      <c r="J6005" t="s" s="2">
        <v>23257</v>
      </c>
      <c r="K6005" t="s" s="2">
        <v>22</v>
      </c>
      <c r="L6005" t="s" s="2">
        <v>22</v>
      </c>
      <c r="M6005" t="s" s="2">
        <v>22</v>
      </c>
    </row>
    <row r="6006" ht="25.0" customHeight="true">
      <c r="A6006" t="s" s="2">
        <v>13</v>
      </c>
      <c r="B6006" t="s" s="2">
        <f>HYPERLINK("http://ts.21cn.com/tousu/show/id/1366877","严重骚扰我的朋友及家人")</f>
      </c>
      <c r="C6006" t="s" s="2">
        <v>52</v>
      </c>
      <c r="D6006" t="s" s="2">
        <v>16</v>
      </c>
      <c r="E6006" t="s" s="2">
        <v>17</v>
      </c>
      <c r="F6006" t="s" s="2">
        <f>HYPERLINK("http://ts.21cn.com/tousu/show/id/1366877","http://ts.21cn.com/tousu/show/id/1366877")</f>
      </c>
      <c r="G6006" t="s" s="2">
        <v>17</v>
      </c>
      <c r="H6006" t="s" s="2">
        <v>19</v>
      </c>
      <c r="I6006" t="s" s="2">
        <v>23260</v>
      </c>
      <c r="J6006" t="s" s="2">
        <v>23261</v>
      </c>
      <c r="K6006" t="s" s="2">
        <v>22</v>
      </c>
      <c r="L6006" t="s" s="2">
        <v>22</v>
      </c>
      <c r="M6006" t="s" s="2">
        <v>22</v>
      </c>
    </row>
    <row r="6007" ht="25.0" customHeight="true">
      <c r="A6007" t="s" s="2">
        <v>13</v>
      </c>
      <c r="B6007" t="s" s="2">
        <f>HYPERLINK("http://ts.21cn.com/tousu/show/id/1366876","恒富创融科技旗下钱橙无忧未经本人同意无故扣款")</f>
      </c>
      <c r="C6007" t="s" s="2">
        <v>15</v>
      </c>
      <c r="D6007" t="s" s="2">
        <v>16</v>
      </c>
      <c r="E6007" t="s" s="2">
        <v>17</v>
      </c>
      <c r="F6007" t="s" s="2">
        <f>HYPERLINK("http://ts.21cn.com/tousu/show/id/1366876","http://ts.21cn.com/tousu/show/id/1366876")</f>
      </c>
      <c r="G6007" t="s" s="2">
        <v>17</v>
      </c>
      <c r="H6007" t="s" s="2">
        <v>19</v>
      </c>
      <c r="I6007" t="s" s="2">
        <v>23264</v>
      </c>
      <c r="J6007" t="s" s="2">
        <v>23265</v>
      </c>
      <c r="K6007" t="s" s="2">
        <v>22</v>
      </c>
      <c r="L6007" t="s" s="2">
        <v>22</v>
      </c>
      <c r="M6007" t="s" s="2">
        <v>22</v>
      </c>
    </row>
    <row r="6008" ht="25.0" customHeight="true">
      <c r="A6008" t="s" s="2">
        <v>13</v>
      </c>
      <c r="B6008" t="s" s="2">
        <f>HYPERLINK("http://ts.21cn.com/tousu/show/id/1366874","转转集体投诉专题")</f>
      </c>
      <c r="C6008" t="s" s="2">
        <v>15</v>
      </c>
      <c r="D6008" t="s" s="2">
        <v>16</v>
      </c>
      <c r="E6008" t="s" s="2">
        <v>17</v>
      </c>
      <c r="F6008" t="s" s="2">
        <f>HYPERLINK("http://ts.21cn.com/tousu/show/id/1366874","http://ts.21cn.com/tousu/show/id/1366874")</f>
      </c>
      <c r="G6008" t="s" s="2">
        <v>17</v>
      </c>
      <c r="H6008" t="s" s="2">
        <v>19</v>
      </c>
      <c r="I6008" t="s" s="2">
        <v>23267</v>
      </c>
      <c r="J6008" t="s" s="2">
        <v>23268</v>
      </c>
      <c r="K6008" t="s" s="2">
        <v>22</v>
      </c>
      <c r="L6008" t="s" s="2">
        <v>22</v>
      </c>
      <c r="M6008" t="s" s="2">
        <v>22</v>
      </c>
    </row>
    <row r="6009" ht="25.0" customHeight="true">
      <c r="A6009" t="s" s="2">
        <v>13</v>
      </c>
      <c r="B6009" t="s" s="2">
        <f>HYPERLINK("http://ts.21cn.com/tousu/show/id/1366872","京东第三方英强科技专营店/杭州英强科技有限公司不履行三包义务")</f>
      </c>
      <c r="C6009" t="s" s="2">
        <v>15</v>
      </c>
      <c r="D6009" t="s" s="2">
        <v>16</v>
      </c>
      <c r="E6009" t="s" s="2">
        <v>17</v>
      </c>
      <c r="F6009" t="s" s="2">
        <f>HYPERLINK("http://ts.21cn.com/tousu/show/id/1366872","http://ts.21cn.com/tousu/show/id/1366872")</f>
      </c>
      <c r="G6009" t="s" s="2">
        <v>17</v>
      </c>
      <c r="H6009" t="s" s="2">
        <v>19</v>
      </c>
      <c r="I6009" t="s" s="2">
        <v>23271</v>
      </c>
      <c r="J6009" t="s" s="2">
        <v>23272</v>
      </c>
      <c r="K6009" t="s" s="2">
        <v>22</v>
      </c>
      <c r="L6009" t="s" s="2">
        <v>22</v>
      </c>
      <c r="M6009" t="s" s="2">
        <v>22</v>
      </c>
    </row>
    <row r="6010" ht="25.0" customHeight="true">
      <c r="A6010" t="s" s="2">
        <v>13</v>
      </c>
      <c r="B6010" t="s" s="2">
        <f>HYPERLINK("http://ts.21cn.com/tousu/show/id/1366870","汇潮支付为高利贷提供渠道")</f>
      </c>
      <c r="C6010" t="s" s="2">
        <v>15</v>
      </c>
      <c r="D6010" t="s" s="2">
        <v>16</v>
      </c>
      <c r="E6010" t="s" s="2">
        <v>17</v>
      </c>
      <c r="F6010" t="s" s="2">
        <f>HYPERLINK("http://ts.21cn.com/tousu/show/id/1366870","http://ts.21cn.com/tousu/show/id/1366870")</f>
      </c>
      <c r="G6010" t="s" s="2">
        <v>17</v>
      </c>
      <c r="H6010" t="s" s="2">
        <v>19</v>
      </c>
      <c r="I6010" t="s" s="2">
        <v>23274</v>
      </c>
      <c r="J6010" t="s" s="2">
        <v>23275</v>
      </c>
      <c r="K6010" t="s" s="2">
        <v>22</v>
      </c>
      <c r="L6010" t="s" s="2">
        <v>22</v>
      </c>
      <c r="M6010" t="s" s="2">
        <v>22</v>
      </c>
    </row>
    <row r="6011" ht="25.0" customHeight="true">
      <c r="A6011" t="s" s="2">
        <v>13</v>
      </c>
      <c r="B6011" t="s" s="2">
        <f>HYPERLINK("http://ts.21cn.com/tousu/show/id/1366866","捷信金融委托第三方")</f>
      </c>
      <c r="C6011" t="s" s="2">
        <v>15</v>
      </c>
      <c r="D6011" t="s" s="2">
        <v>16</v>
      </c>
      <c r="E6011" t="s" s="2">
        <v>17</v>
      </c>
      <c r="F6011" t="s" s="2">
        <f>HYPERLINK("http://ts.21cn.com/tousu/show/id/1366866","http://ts.21cn.com/tousu/show/id/1366866")</f>
      </c>
      <c r="G6011" t="s" s="2">
        <v>17</v>
      </c>
      <c r="H6011" t="s" s="2">
        <v>19</v>
      </c>
      <c r="I6011" t="s" s="2">
        <v>23278</v>
      </c>
      <c r="J6011" t="s" s="2">
        <v>23279</v>
      </c>
      <c r="K6011" t="s" s="2">
        <v>22</v>
      </c>
      <c r="L6011" t="s" s="2">
        <v>22</v>
      </c>
      <c r="M6011" t="s" s="2">
        <v>22</v>
      </c>
    </row>
    <row r="6012" ht="25.0" customHeight="true">
      <c r="A6012" t="s" s="2">
        <v>13</v>
      </c>
      <c r="B6012" t="s" s="2">
        <f>HYPERLINK("http://ts.21cn.com/tousu/show/id/1366865","欠款逾期多次打电话骚扰轰炸辱骂本人跟家人")</f>
      </c>
      <c r="C6012" t="s" s="2">
        <v>15</v>
      </c>
      <c r="D6012" t="s" s="2">
        <v>16</v>
      </c>
      <c r="E6012" t="s" s="2">
        <v>17</v>
      </c>
      <c r="F6012" t="s" s="2">
        <f>HYPERLINK("http://ts.21cn.com/tousu/show/id/1366865","http://ts.21cn.com/tousu/show/id/1366865")</f>
      </c>
      <c r="G6012" t="s" s="2">
        <v>17</v>
      </c>
      <c r="H6012" t="s" s="2">
        <v>19</v>
      </c>
      <c r="I6012" t="s" s="2">
        <v>23282</v>
      </c>
      <c r="J6012" t="s" s="2">
        <v>23283</v>
      </c>
      <c r="K6012" t="s" s="2">
        <v>22</v>
      </c>
      <c r="L6012" t="s" s="2">
        <v>22</v>
      </c>
      <c r="M6012" t="s" s="2">
        <v>22</v>
      </c>
    </row>
    <row r="6013" ht="25.0" customHeight="true">
      <c r="A6013" t="s" s="2">
        <v>13</v>
      </c>
      <c r="B6013" t="s" s="2">
        <f>HYPERLINK("http://ts.21cn.com/tousu/show/id/1366867","未经过允许直接扣我299会员费")</f>
      </c>
      <c r="C6013" t="s" s="2">
        <v>52</v>
      </c>
      <c r="D6013" t="s" s="2">
        <v>16</v>
      </c>
      <c r="E6013" t="s" s="2">
        <v>17</v>
      </c>
      <c r="F6013" t="s" s="2">
        <f>HYPERLINK("http://ts.21cn.com/tousu/show/id/1366867","http://ts.21cn.com/tousu/show/id/1366867")</f>
      </c>
      <c r="G6013" t="s" s="2">
        <v>17</v>
      </c>
      <c r="H6013" t="s" s="2">
        <v>19</v>
      </c>
      <c r="I6013" t="s" s="2">
        <v>23286</v>
      </c>
      <c r="J6013" t="s" s="2">
        <v>23287</v>
      </c>
      <c r="K6013" t="s" s="2">
        <v>22</v>
      </c>
      <c r="L6013" t="s" s="2">
        <v>22</v>
      </c>
      <c r="M6013" t="s" s="2">
        <v>22</v>
      </c>
    </row>
    <row r="6014" ht="25.0" customHeight="true">
      <c r="A6014" t="s" s="2">
        <v>13</v>
      </c>
      <c r="B6014" t="s" s="2">
        <f>HYPERLINK("http://ts.21cn.com/tousu/show/id/1366864","高利贷")</f>
      </c>
      <c r="C6014" t="s" s="2">
        <v>15</v>
      </c>
      <c r="D6014" t="s" s="2">
        <v>16</v>
      </c>
      <c r="E6014" t="s" s="2">
        <v>17</v>
      </c>
      <c r="F6014" t="s" s="2">
        <f>HYPERLINK("http://ts.21cn.com/tousu/show/id/1366864","http://ts.21cn.com/tousu/show/id/1366864")</f>
      </c>
      <c r="G6014" t="s" s="2">
        <v>17</v>
      </c>
      <c r="H6014" t="s" s="2">
        <v>19</v>
      </c>
      <c r="I6014" t="s" s="2">
        <v>23289</v>
      </c>
      <c r="J6014" t="s" s="2">
        <v>23290</v>
      </c>
      <c r="K6014" t="s" s="2">
        <v>22</v>
      </c>
      <c r="L6014" t="s" s="2">
        <v>22</v>
      </c>
      <c r="M6014" t="s" s="2">
        <v>22</v>
      </c>
    </row>
    <row r="6015" ht="25.0" customHeight="true">
      <c r="A6015" t="s" s="2">
        <v>13</v>
      </c>
      <c r="B6015" t="s" s="2">
        <f>HYPERLINK("http://ts.21cn.com/tousu/show/id/1366863","新橙优品高利贷")</f>
      </c>
      <c r="C6015" t="s" s="2">
        <v>15</v>
      </c>
      <c r="D6015" t="s" s="2">
        <v>16</v>
      </c>
      <c r="E6015" t="s" s="2">
        <v>17</v>
      </c>
      <c r="F6015" t="s" s="2">
        <f>HYPERLINK("http://ts.21cn.com/tousu/show/id/1366863","http://ts.21cn.com/tousu/show/id/1366863")</f>
      </c>
      <c r="G6015" t="s" s="2">
        <v>17</v>
      </c>
      <c r="H6015" t="s" s="2">
        <v>19</v>
      </c>
      <c r="I6015" t="s" s="2">
        <v>23292</v>
      </c>
      <c r="J6015" t="s" s="2">
        <v>23293</v>
      </c>
      <c r="K6015" t="s" s="2">
        <v>22</v>
      </c>
      <c r="L6015" t="s" s="2">
        <v>22</v>
      </c>
      <c r="M6015" t="s" s="2">
        <v>22</v>
      </c>
    </row>
    <row r="6016" ht="25.0" customHeight="true">
      <c r="A6016" t="s" s="2">
        <v>13</v>
      </c>
      <c r="B6016" t="s" s="2">
        <f>HYPERLINK("http://ts.21cn.com/tousu/show/id/1366861","马上消费金融，暴力催收，群发短信，恐吓催收")</f>
      </c>
      <c r="C6016" t="s" s="2">
        <v>15</v>
      </c>
      <c r="D6016" t="s" s="2">
        <v>16</v>
      </c>
      <c r="E6016" t="s" s="2">
        <v>17</v>
      </c>
      <c r="F6016" t="s" s="2">
        <f>HYPERLINK("http://ts.21cn.com/tousu/show/id/1366861","http://ts.21cn.com/tousu/show/id/1366861")</f>
      </c>
      <c r="G6016" t="s" s="2">
        <v>17</v>
      </c>
      <c r="H6016" t="s" s="2">
        <v>19</v>
      </c>
      <c r="I6016" t="s" s="2">
        <v>23295</v>
      </c>
      <c r="J6016" t="s" s="2">
        <v>23296</v>
      </c>
      <c r="K6016" t="s" s="2">
        <v>22</v>
      </c>
      <c r="L6016" t="s" s="2">
        <v>22</v>
      </c>
      <c r="M6016" t="s" s="2">
        <v>22</v>
      </c>
    </row>
    <row r="6017" ht="25.0" customHeight="true">
      <c r="A6017" t="s" s="2">
        <v>13</v>
      </c>
      <c r="B6017" t="s" s="2">
        <f>HYPERLINK("http://ts.21cn.com/tousu/show/id/1366860","714高利息平台砍头息、汇潮支付、快钱支付为其提供支付渠道")</f>
      </c>
      <c r="C6017" t="s" s="2">
        <v>15</v>
      </c>
      <c r="D6017" t="s" s="2">
        <v>16</v>
      </c>
      <c r="E6017" t="s" s="2">
        <v>17</v>
      </c>
      <c r="F6017" t="s" s="2">
        <f>HYPERLINK("http://ts.21cn.com/tousu/show/id/1366860","http://ts.21cn.com/tousu/show/id/1366860")</f>
      </c>
      <c r="G6017" t="s" s="2">
        <v>17</v>
      </c>
      <c r="H6017" t="s" s="2">
        <v>19</v>
      </c>
      <c r="I6017" t="s" s="2">
        <v>23299</v>
      </c>
      <c r="J6017" t="s" s="2">
        <v>23300</v>
      </c>
      <c r="K6017" t="s" s="2">
        <v>22</v>
      </c>
      <c r="L6017" t="s" s="2">
        <v>22</v>
      </c>
      <c r="M6017" t="s" s="2">
        <v>22</v>
      </c>
    </row>
    <row r="6018" ht="25.0" customHeight="true">
      <c r="A6018" t="s" s="2">
        <v>13</v>
      </c>
      <c r="B6018" t="s" s="2">
        <f>HYPERLINK("http://ts.21cn.com/tousu/show/id/1366859","网贷反复催收")</f>
      </c>
      <c r="C6018" t="s" s="2">
        <v>15</v>
      </c>
      <c r="D6018" t="s" s="2">
        <v>16</v>
      </c>
      <c r="E6018" t="s" s="2">
        <v>17</v>
      </c>
      <c r="F6018" t="s" s="2">
        <f>HYPERLINK("http://ts.21cn.com/tousu/show/id/1366859","http://ts.21cn.com/tousu/show/id/1366859")</f>
      </c>
      <c r="G6018" t="s" s="2">
        <v>17</v>
      </c>
      <c r="H6018" t="s" s="2">
        <v>19</v>
      </c>
      <c r="I6018" t="s" s="2">
        <v>23302</v>
      </c>
      <c r="J6018" t="s" s="2">
        <v>23303</v>
      </c>
      <c r="K6018" t="s" s="2">
        <v>22</v>
      </c>
      <c r="L6018" t="s" s="2">
        <v>22</v>
      </c>
      <c r="M6018" t="s" s="2">
        <v>22</v>
      </c>
    </row>
    <row r="6019" ht="25.0" customHeight="true">
      <c r="A6019" t="s" s="2">
        <v>13</v>
      </c>
      <c r="B6019" t="s" s="2">
        <f>HYPERLINK("http://ts.21cn.com/tousu/show/id/1366857","优信二手车不解压绿本")</f>
      </c>
      <c r="C6019" t="s" s="2">
        <v>15</v>
      </c>
      <c r="D6019" t="s" s="2">
        <v>16</v>
      </c>
      <c r="E6019" t="s" s="2">
        <v>17</v>
      </c>
      <c r="F6019" t="s" s="2">
        <f>HYPERLINK("http://ts.21cn.com/tousu/show/id/1366857","http://ts.21cn.com/tousu/show/id/1366857")</f>
      </c>
      <c r="G6019" t="s" s="2">
        <v>17</v>
      </c>
      <c r="H6019" t="s" s="2">
        <v>19</v>
      </c>
      <c r="I6019" t="s" s="2">
        <v>23306</v>
      </c>
      <c r="J6019" t="s" s="2">
        <v>23307</v>
      </c>
      <c r="K6019" t="s" s="2">
        <v>22</v>
      </c>
      <c r="L6019" t="s" s="2">
        <v>22</v>
      </c>
      <c r="M6019" t="s" s="2">
        <v>22</v>
      </c>
    </row>
    <row r="6020" ht="25.0" customHeight="true">
      <c r="A6020" t="s" s="2">
        <v>13</v>
      </c>
      <c r="B6020" t="s" s="2">
        <f>HYPERLINK("http://ts.21cn.com/tousu/show/id/1366856","苏宁自营阿玛尼手表，无法全国联保，没有销售章.")</f>
      </c>
      <c r="C6020" t="s" s="2">
        <v>52</v>
      </c>
      <c r="D6020" t="s" s="2">
        <v>16</v>
      </c>
      <c r="E6020" t="s" s="2">
        <v>17</v>
      </c>
      <c r="F6020" t="s" s="2">
        <f>HYPERLINK("http://ts.21cn.com/tousu/show/id/1366856","http://ts.21cn.com/tousu/show/id/1366856")</f>
      </c>
      <c r="G6020" t="s" s="2">
        <v>17</v>
      </c>
      <c r="H6020" t="s" s="2">
        <v>19</v>
      </c>
      <c r="I6020" t="s" s="2">
        <v>23310</v>
      </c>
      <c r="J6020" t="s" s="2">
        <v>23311</v>
      </c>
      <c r="K6020" t="s" s="2">
        <v>22</v>
      </c>
      <c r="L6020" t="s" s="2">
        <v>22</v>
      </c>
      <c r="M6020" t="s" s="2">
        <v>22</v>
      </c>
    </row>
    <row r="6021" ht="25.0" customHeight="true">
      <c r="A6021" t="s" s="2">
        <v>13</v>
      </c>
      <c r="B6021" t="s" s="2">
        <f>HYPERLINK("http://ts.21cn.com/tousu/show/id/1366826","深圳博民快易贷违法贷款打压老百姓黑心贷")</f>
      </c>
      <c r="C6021" t="s" s="2">
        <v>15</v>
      </c>
      <c r="D6021" t="s" s="2">
        <v>16</v>
      </c>
      <c r="E6021" t="s" s="2">
        <v>17</v>
      </c>
      <c r="F6021" t="s" s="2">
        <f>HYPERLINK("http://ts.21cn.com/tousu/show/id/1366826","http://ts.21cn.com/tousu/show/id/1366826")</f>
      </c>
      <c r="G6021" t="s" s="2">
        <v>17</v>
      </c>
      <c r="H6021" t="s" s="2">
        <v>19</v>
      </c>
      <c r="I6021" t="s" s="2">
        <v>23314</v>
      </c>
      <c r="J6021" t="s" s="2">
        <v>23315</v>
      </c>
      <c r="K6021" t="s" s="2">
        <v>22</v>
      </c>
      <c r="L6021" t="s" s="2">
        <v>22</v>
      </c>
      <c r="M6021" t="s" s="2">
        <v>22</v>
      </c>
    </row>
    <row r="6022" ht="25.0" customHeight="true">
      <c r="A6022" t="s" s="2">
        <v>13</v>
      </c>
      <c r="B6022" t="s" s="2">
        <f>HYPERLINK("http://ts.21cn.com/tousu/show/id/1366855","你我贷非法高利贷")</f>
      </c>
      <c r="C6022" t="s" s="2">
        <v>15</v>
      </c>
      <c r="D6022" t="s" s="2">
        <v>16</v>
      </c>
      <c r="E6022" t="s" s="2">
        <v>17</v>
      </c>
      <c r="F6022" t="s" s="2">
        <f>HYPERLINK("http://ts.21cn.com/tousu/show/id/1366855","http://ts.21cn.com/tousu/show/id/1366855")</f>
      </c>
      <c r="G6022" t="s" s="2">
        <v>17</v>
      </c>
      <c r="H6022" t="s" s="2">
        <v>19</v>
      </c>
      <c r="I6022" t="s" s="2">
        <v>23318</v>
      </c>
      <c r="J6022" t="s" s="2">
        <v>23319</v>
      </c>
      <c r="K6022" t="s" s="2">
        <v>22</v>
      </c>
      <c r="L6022" t="s" s="2">
        <v>22</v>
      </c>
      <c r="M6022" t="s" s="2">
        <v>22</v>
      </c>
    </row>
    <row r="6023" ht="25.0" customHeight="true">
      <c r="A6023" t="s" s="2">
        <v>13</v>
      </c>
      <c r="B6023" t="s" s="2">
        <f>HYPERLINK("http://ts.21cn.com/tousu/show/id/1366854","高利贷，暴力催收，威胁")</f>
      </c>
      <c r="C6023" t="s" s="2">
        <v>15</v>
      </c>
      <c r="D6023" t="s" s="2">
        <v>16</v>
      </c>
      <c r="E6023" t="s" s="2">
        <v>17</v>
      </c>
      <c r="F6023" t="s" s="2">
        <f>HYPERLINK("http://ts.21cn.com/tousu/show/id/1366854","http://ts.21cn.com/tousu/show/id/1366854")</f>
      </c>
      <c r="G6023" t="s" s="2">
        <v>17</v>
      </c>
      <c r="H6023" t="s" s="2">
        <v>19</v>
      </c>
      <c r="I6023" t="s" s="2">
        <v>23322</v>
      </c>
      <c r="J6023" t="s" s="2">
        <v>23323</v>
      </c>
      <c r="K6023" t="s" s="2">
        <v>22</v>
      </c>
      <c r="L6023" t="s" s="2">
        <v>22</v>
      </c>
      <c r="M6023" t="s" s="2">
        <v>22</v>
      </c>
    </row>
    <row r="6024" ht="25.0" customHeight="true">
      <c r="A6024" t="s" s="2">
        <v>13</v>
      </c>
      <c r="B6024" t="s" s="2">
        <f>HYPERLINK("http://ts.21cn.com/tousu/show/id/1366853","电话无穷尽骚扰")</f>
      </c>
      <c r="C6024" t="s" s="2">
        <v>15</v>
      </c>
      <c r="D6024" t="s" s="2">
        <v>16</v>
      </c>
      <c r="E6024" t="s" s="2">
        <v>17</v>
      </c>
      <c r="F6024" t="s" s="2">
        <f>HYPERLINK("http://ts.21cn.com/tousu/show/id/1366853","http://ts.21cn.com/tousu/show/id/1366853")</f>
      </c>
      <c r="G6024" t="s" s="2">
        <v>17</v>
      </c>
      <c r="H6024" t="s" s="2">
        <v>19</v>
      </c>
      <c r="I6024" t="s" s="2">
        <v>23326</v>
      </c>
      <c r="J6024" t="s" s="2">
        <v>23327</v>
      </c>
      <c r="K6024" t="s" s="2">
        <v>22</v>
      </c>
      <c r="L6024" t="s" s="2">
        <v>22</v>
      </c>
      <c r="M6024" t="s" s="2">
        <v>22</v>
      </c>
    </row>
    <row r="6025" ht="25.0" customHeight="true">
      <c r="A6025" t="s" s="2">
        <v>13</v>
      </c>
      <c r="B6025" t="s" s="2">
        <f>HYPERLINK("http://ts.21cn.com/tousu/show/id/1366852","威胁爆通讯录")</f>
      </c>
      <c r="C6025" t="s" s="2">
        <v>15</v>
      </c>
      <c r="D6025" t="s" s="2">
        <v>16</v>
      </c>
      <c r="E6025" t="s" s="2">
        <v>17</v>
      </c>
      <c r="F6025" t="s" s="2">
        <f>HYPERLINK("http://ts.21cn.com/tousu/show/id/1366852","http://ts.21cn.com/tousu/show/id/1366852")</f>
      </c>
      <c r="G6025" t="s" s="2">
        <v>17</v>
      </c>
      <c r="H6025" t="s" s="2">
        <v>19</v>
      </c>
      <c r="I6025" t="s" s="2">
        <v>23329</v>
      </c>
      <c r="J6025" t="s" s="2">
        <v>23330</v>
      </c>
      <c r="K6025" t="s" s="2">
        <v>22</v>
      </c>
      <c r="L6025" t="s" s="2">
        <v>22</v>
      </c>
      <c r="M6025" t="s" s="2">
        <v>22</v>
      </c>
    </row>
    <row r="6026" ht="25.0" customHeight="true">
      <c r="A6026" t="s" s="2">
        <v>13</v>
      </c>
      <c r="B6026" t="s" s="2">
        <f>HYPERLINK("http://ts.21cn.com/tousu/show/id/1366849","恐吓催收，爆通讯录")</f>
      </c>
      <c r="C6026" t="s" s="2">
        <v>15</v>
      </c>
      <c r="D6026" t="s" s="2">
        <v>16</v>
      </c>
      <c r="E6026" t="s" s="2">
        <v>17</v>
      </c>
      <c r="F6026" t="s" s="2">
        <f>HYPERLINK("http://ts.21cn.com/tousu/show/id/1366849","http://ts.21cn.com/tousu/show/id/1366849")</f>
      </c>
      <c r="G6026" t="s" s="2">
        <v>17</v>
      </c>
      <c r="H6026" t="s" s="2">
        <v>19</v>
      </c>
      <c r="I6026" t="s" s="2">
        <v>23333</v>
      </c>
      <c r="J6026" t="s" s="2">
        <v>23334</v>
      </c>
      <c r="K6026" t="s" s="2">
        <v>22</v>
      </c>
      <c r="L6026" t="s" s="2">
        <v>22</v>
      </c>
      <c r="M6026" t="s" s="2">
        <v>22</v>
      </c>
    </row>
    <row r="6027" ht="25.0" customHeight="true">
      <c r="A6027" t="s" s="2">
        <v>13</v>
      </c>
      <c r="B6027" t="s" s="2">
        <f>HYPERLINK("http://ts.21cn.com/tousu/show/id/1366850","中腾信没逾期骚扰联系人态度恶劣")</f>
      </c>
      <c r="C6027" t="s" s="2">
        <v>15</v>
      </c>
      <c r="D6027" t="s" s="2">
        <v>16</v>
      </c>
      <c r="E6027" t="s" s="2">
        <v>17</v>
      </c>
      <c r="F6027" t="s" s="2">
        <f>HYPERLINK("http://ts.21cn.com/tousu/show/id/1366850","http://ts.21cn.com/tousu/show/id/1366850")</f>
      </c>
      <c r="G6027" t="s" s="2">
        <v>17</v>
      </c>
      <c r="H6027" t="s" s="2">
        <v>19</v>
      </c>
      <c r="I6027" t="s" s="2">
        <v>23337</v>
      </c>
      <c r="J6027" t="s" s="2">
        <v>23338</v>
      </c>
      <c r="K6027" t="s" s="2">
        <v>22</v>
      </c>
      <c r="L6027" t="s" s="2">
        <v>22</v>
      </c>
      <c r="M6027" t="s" s="2">
        <v>22</v>
      </c>
    </row>
    <row r="6028" ht="25.0" customHeight="true">
      <c r="A6028" t="s" s="2">
        <v>13</v>
      </c>
      <c r="B6028" t="s" s="2">
        <f>HYPERLINK("http://ts.21cn.com/tousu/show/id/1366848","直接不派送快递都是这样的？")</f>
      </c>
      <c r="C6028" t="s" s="2">
        <v>52</v>
      </c>
      <c r="D6028" t="s" s="2">
        <v>16</v>
      </c>
      <c r="E6028" t="s" s="2">
        <v>17</v>
      </c>
      <c r="F6028" t="s" s="2">
        <f>HYPERLINK("http://ts.21cn.com/tousu/show/id/1366848","http://ts.21cn.com/tousu/show/id/1366848")</f>
      </c>
      <c r="G6028" t="s" s="2">
        <v>17</v>
      </c>
      <c r="H6028" t="s" s="2">
        <v>19</v>
      </c>
      <c r="I6028" t="s" s="2">
        <v>23341</v>
      </c>
      <c r="J6028" t="s" s="2">
        <v>23342</v>
      </c>
      <c r="K6028" t="s" s="2">
        <v>22</v>
      </c>
      <c r="L6028" t="s" s="2">
        <v>22</v>
      </c>
      <c r="M6028" t="s" s="2">
        <v>22</v>
      </c>
    </row>
    <row r="6029" ht="25.0" customHeight="true">
      <c r="A6029" t="s" s="2">
        <v>13</v>
      </c>
      <c r="B6029" t="s" s="2">
        <f>HYPERLINK("http://ts.21cn.com/tousu/show/id/1366745","申请浦发信用卡协商还款")</f>
      </c>
      <c r="C6029" t="s" s="2">
        <v>15</v>
      </c>
      <c r="D6029" t="s" s="2">
        <v>16</v>
      </c>
      <c r="E6029" t="s" s="2">
        <v>17</v>
      </c>
      <c r="F6029" t="s" s="2">
        <f>HYPERLINK("http://ts.21cn.com/tousu/show/id/1366745","http://ts.21cn.com/tousu/show/id/1366745")</f>
      </c>
      <c r="G6029" t="s" s="2">
        <v>17</v>
      </c>
      <c r="H6029" t="s" s="2">
        <v>19</v>
      </c>
      <c r="I6029" t="s" s="2">
        <v>23345</v>
      </c>
      <c r="J6029" t="s" s="2">
        <v>23346</v>
      </c>
      <c r="K6029" t="s" s="2">
        <v>22</v>
      </c>
      <c r="L6029" t="s" s="2">
        <v>22</v>
      </c>
      <c r="M6029" t="s" s="2">
        <v>22</v>
      </c>
    </row>
    <row r="6030" ht="25.0" customHeight="true">
      <c r="A6030" t="s" s="2">
        <v>13</v>
      </c>
      <c r="B6030" t="s" s="2">
        <f>HYPERLINK("http://ts.21cn.com/tousu/show/id/1366847","恒易贷违规操作，砍头息，收取高额罚息")</f>
      </c>
      <c r="C6030" t="s" s="2">
        <v>15</v>
      </c>
      <c r="D6030" t="s" s="2">
        <v>16</v>
      </c>
      <c r="E6030" t="s" s="2">
        <v>17</v>
      </c>
      <c r="F6030" t="s" s="2">
        <f>HYPERLINK("http://ts.21cn.com/tousu/show/id/1366847","http://ts.21cn.com/tousu/show/id/1366847")</f>
      </c>
      <c r="G6030" t="s" s="2">
        <v>17</v>
      </c>
      <c r="H6030" t="s" s="2">
        <v>19</v>
      </c>
      <c r="I6030" t="s" s="2">
        <v>23345</v>
      </c>
      <c r="J6030" t="s" s="2">
        <v>23349</v>
      </c>
      <c r="K6030" t="s" s="2">
        <v>22</v>
      </c>
      <c r="L6030" t="s" s="2">
        <v>22</v>
      </c>
      <c r="M6030" t="s" s="2">
        <v>22</v>
      </c>
    </row>
    <row r="6031" ht="25.0" customHeight="true">
      <c r="A6031" t="s" s="2">
        <v>13</v>
      </c>
      <c r="B6031" t="s" s="2">
        <f>HYPERLINK("http://ts.21cn.com/tousu/show/id/1366844","催收人员骂人")</f>
      </c>
      <c r="C6031" t="s" s="2">
        <v>15</v>
      </c>
      <c r="D6031" t="s" s="2">
        <v>16</v>
      </c>
      <c r="E6031" t="s" s="2">
        <v>17</v>
      </c>
      <c r="F6031" t="s" s="2">
        <f>HYPERLINK("http://ts.21cn.com/tousu/show/id/1366844","http://ts.21cn.com/tousu/show/id/1366844")</f>
      </c>
      <c r="G6031" t="s" s="2">
        <v>17</v>
      </c>
      <c r="H6031" t="s" s="2">
        <v>19</v>
      </c>
      <c r="I6031" t="s" s="2">
        <v>23352</v>
      </c>
      <c r="J6031" t="s" s="2">
        <v>23353</v>
      </c>
      <c r="K6031" t="s" s="2">
        <v>22</v>
      </c>
      <c r="L6031" t="s" s="2">
        <v>22</v>
      </c>
      <c r="M6031" t="s" s="2">
        <v>22</v>
      </c>
    </row>
    <row r="6032" ht="25.0" customHeight="true">
      <c r="A6032" t="s" s="2">
        <v>13</v>
      </c>
      <c r="B6032" t="s" s="2">
        <f>HYPERLINK("http://ts.21cn.com/tousu/show/id/1366843","小区建成7个月未建基站，导致小区内部无法使用4G，电话断线。")</f>
      </c>
      <c r="C6032" t="s" s="2">
        <v>15</v>
      </c>
      <c r="D6032" t="s" s="2">
        <v>16</v>
      </c>
      <c r="E6032" t="s" s="2">
        <v>17</v>
      </c>
      <c r="F6032" t="s" s="2">
        <f>HYPERLINK("http://ts.21cn.com/tousu/show/id/1366843","http://ts.21cn.com/tousu/show/id/1366843")</f>
      </c>
      <c r="G6032" t="s" s="2">
        <v>17</v>
      </c>
      <c r="H6032" t="s" s="2">
        <v>19</v>
      </c>
      <c r="I6032" t="s" s="2">
        <v>23356</v>
      </c>
      <c r="J6032" t="s" s="2">
        <v>23357</v>
      </c>
      <c r="K6032" t="s" s="2">
        <v>22</v>
      </c>
      <c r="L6032" t="s" s="2">
        <v>22</v>
      </c>
      <c r="M6032" t="s" s="2">
        <v>22</v>
      </c>
    </row>
    <row r="6033" ht="25.0" customHeight="true">
      <c r="A6033" t="s" s="2">
        <v>13</v>
      </c>
      <c r="B6033" t="s" s="2">
        <f>HYPERLINK("http://ts.21cn.com/tousu/show/id/1366842","维信卡卡贷涉嫌高利率和砍头息")</f>
      </c>
      <c r="C6033" t="s" s="2">
        <v>15</v>
      </c>
      <c r="D6033" t="s" s="2">
        <v>16</v>
      </c>
      <c r="E6033" t="s" s="2">
        <v>17</v>
      </c>
      <c r="F6033" t="s" s="2">
        <f>HYPERLINK("http://ts.21cn.com/tousu/show/id/1366842","http://ts.21cn.com/tousu/show/id/1366842")</f>
      </c>
      <c r="G6033" t="s" s="2">
        <v>17</v>
      </c>
      <c r="H6033" t="s" s="2">
        <v>19</v>
      </c>
      <c r="I6033" t="s" s="2">
        <v>23359</v>
      </c>
      <c r="J6033" t="s" s="2">
        <v>23360</v>
      </c>
      <c r="K6033" t="s" s="2">
        <v>22</v>
      </c>
      <c r="L6033" t="s" s="2">
        <v>22</v>
      </c>
      <c r="M6033" t="s" s="2">
        <v>22</v>
      </c>
    </row>
    <row r="6034" ht="25.0" customHeight="true">
      <c r="A6034" t="s" s="2">
        <v>13</v>
      </c>
      <c r="B6034" t="s" s="2">
        <f>HYPERLINK("http://ts.21cn.com/tousu/show/id/1366841","该公司为赌博平台提供支付通道，要求退款")</f>
      </c>
      <c r="C6034" t="s" s="2">
        <v>15</v>
      </c>
      <c r="D6034" t="s" s="2">
        <v>16</v>
      </c>
      <c r="E6034" t="s" s="2">
        <v>17</v>
      </c>
      <c r="F6034" t="s" s="2">
        <f>HYPERLINK("http://ts.21cn.com/tousu/show/id/1366841","http://ts.21cn.com/tousu/show/id/1366841")</f>
      </c>
      <c r="G6034" t="s" s="2">
        <v>17</v>
      </c>
      <c r="H6034" t="s" s="2">
        <v>19</v>
      </c>
      <c r="I6034" t="s" s="2">
        <v>23363</v>
      </c>
      <c r="J6034" t="s" s="2">
        <v>23364</v>
      </c>
      <c r="K6034" t="s" s="2">
        <v>22</v>
      </c>
      <c r="L6034" t="s" s="2">
        <v>22</v>
      </c>
      <c r="M6034" t="s" s="2">
        <v>22</v>
      </c>
    </row>
    <row r="6035" ht="25.0" customHeight="true">
      <c r="A6035" t="s" s="2">
        <v>13</v>
      </c>
      <c r="B6035" t="s" s="2">
        <f>HYPERLINK("http://ts.21cn.com/tousu/show/id/1366839","拍拍贷，电话骚扰通讯录，律师函（假冒）短信到处发通讯录")</f>
      </c>
      <c r="C6035" t="s" s="2">
        <v>15</v>
      </c>
      <c r="D6035" t="s" s="2">
        <v>16</v>
      </c>
      <c r="E6035" t="s" s="2">
        <v>17</v>
      </c>
      <c r="F6035" t="s" s="2">
        <f>HYPERLINK("http://ts.21cn.com/tousu/show/id/1366839","http://ts.21cn.com/tousu/show/id/1366839")</f>
      </c>
      <c r="G6035" t="s" s="2">
        <v>17</v>
      </c>
      <c r="H6035" t="s" s="2">
        <v>19</v>
      </c>
      <c r="I6035" t="s" s="2">
        <v>23367</v>
      </c>
      <c r="J6035" t="s" s="2">
        <v>23368</v>
      </c>
      <c r="K6035" t="s" s="2">
        <v>22</v>
      </c>
      <c r="L6035" t="s" s="2">
        <v>22</v>
      </c>
      <c r="M6035" t="s" s="2">
        <v>22</v>
      </c>
    </row>
    <row r="6036" ht="25.0" customHeight="true">
      <c r="A6036" t="s" s="2">
        <v>13</v>
      </c>
      <c r="B6036" t="s" s="2">
        <f>HYPERLINK("http://ts.21cn.com/tousu/show/id/1366838","电话骚扰不停，该处理的问题不处理")</f>
      </c>
      <c r="C6036" t="s" s="2">
        <v>15</v>
      </c>
      <c r="D6036" t="s" s="2">
        <v>16</v>
      </c>
      <c r="E6036" t="s" s="2">
        <v>17</v>
      </c>
      <c r="F6036" t="s" s="2">
        <f>HYPERLINK("http://ts.21cn.com/tousu/show/id/1366838","http://ts.21cn.com/tousu/show/id/1366838")</f>
      </c>
      <c r="G6036" t="s" s="2">
        <v>17</v>
      </c>
      <c r="H6036" t="s" s="2">
        <v>19</v>
      </c>
      <c r="I6036" t="s" s="2">
        <v>23371</v>
      </c>
      <c r="J6036" t="s" s="2">
        <v>23372</v>
      </c>
      <c r="K6036" t="s" s="2">
        <v>22</v>
      </c>
      <c r="L6036" t="s" s="2">
        <v>22</v>
      </c>
      <c r="M6036" t="s" s="2">
        <v>22</v>
      </c>
    </row>
    <row r="6037" ht="25.0" customHeight="true">
      <c r="A6037" t="s" s="2">
        <v>13</v>
      </c>
      <c r="B6037" t="s" s="2">
        <f>HYPERLINK("http://ts.21cn.com/tousu/show/id/1366837","马上金融逼死人")</f>
      </c>
      <c r="C6037" t="s" s="2">
        <v>15</v>
      </c>
      <c r="D6037" t="s" s="2">
        <v>16</v>
      </c>
      <c r="E6037" t="s" s="2">
        <v>17</v>
      </c>
      <c r="F6037" t="s" s="2">
        <f>HYPERLINK("http://ts.21cn.com/tousu/show/id/1366837","http://ts.21cn.com/tousu/show/id/1366837")</f>
      </c>
      <c r="G6037" t="s" s="2">
        <v>17</v>
      </c>
      <c r="H6037" t="s" s="2">
        <v>19</v>
      </c>
      <c r="I6037" t="s" s="2">
        <v>23375</v>
      </c>
      <c r="J6037" t="s" s="2">
        <v>23376</v>
      </c>
      <c r="K6037" t="s" s="2">
        <v>22</v>
      </c>
      <c r="L6037" t="s" s="2">
        <v>22</v>
      </c>
      <c r="M6037" t="s" s="2">
        <v>22</v>
      </c>
    </row>
    <row r="6038" ht="25.0" customHeight="true">
      <c r="A6038" t="s" s="2">
        <v>13</v>
      </c>
      <c r="B6038" t="s" s="2">
        <f>HYPERLINK("http://ts.21cn.com/tousu/show/id/1366835","没有借款却被暴力催收群发通讯录")</f>
      </c>
      <c r="C6038" t="s" s="2">
        <v>15</v>
      </c>
      <c r="D6038" t="s" s="2">
        <v>16</v>
      </c>
      <c r="E6038" t="s" s="2">
        <v>17</v>
      </c>
      <c r="F6038" t="s" s="2">
        <f>HYPERLINK("http://ts.21cn.com/tousu/show/id/1366835","http://ts.21cn.com/tousu/show/id/1366835")</f>
      </c>
      <c r="G6038" t="s" s="2">
        <v>17</v>
      </c>
      <c r="H6038" t="s" s="2">
        <v>19</v>
      </c>
      <c r="I6038" t="s" s="2">
        <v>23379</v>
      </c>
      <c r="J6038" t="s" s="2">
        <v>23380</v>
      </c>
      <c r="K6038" t="s" s="2">
        <v>22</v>
      </c>
      <c r="L6038" t="s" s="2">
        <v>22</v>
      </c>
      <c r="M6038" t="s" s="2">
        <v>22</v>
      </c>
    </row>
    <row r="6039" ht="25.0" customHeight="true">
      <c r="A6039" t="s" s="2">
        <v>13</v>
      </c>
      <c r="B6039" t="s" s="2">
        <f>HYPERLINK("http://ts.21cn.com/tousu/show/id/1366834","经常接到由泰迪熊提供的陌生电话")</f>
      </c>
      <c r="C6039" t="s" s="2">
        <v>15</v>
      </c>
      <c r="D6039" t="s" s="2">
        <v>16</v>
      </c>
      <c r="E6039" t="s" s="2">
        <v>17</v>
      </c>
      <c r="F6039" t="s" s="2">
        <f>HYPERLINK("http://ts.21cn.com/tousu/show/id/1366834","http://ts.21cn.com/tousu/show/id/1366834")</f>
      </c>
      <c r="G6039" t="s" s="2">
        <v>17</v>
      </c>
      <c r="H6039" t="s" s="2">
        <v>19</v>
      </c>
      <c r="I6039" t="s" s="2">
        <v>23383</v>
      </c>
      <c r="J6039" t="s" s="2">
        <v>23384</v>
      </c>
      <c r="K6039" t="s" s="2">
        <v>22</v>
      </c>
      <c r="L6039" t="s" s="2">
        <v>22</v>
      </c>
      <c r="M6039" t="s" s="2">
        <v>22</v>
      </c>
    </row>
    <row r="6040" ht="25.0" customHeight="true">
      <c r="A6040" t="s" s="2">
        <v>13</v>
      </c>
      <c r="B6040" t="s" s="2">
        <f>HYPERLINK("http://ts.21cn.com/tousu/show/id/1366833","京东物流电视配送电器和签收")</f>
      </c>
      <c r="C6040" t="s" s="2">
        <v>15</v>
      </c>
      <c r="D6040" t="s" s="2">
        <v>16</v>
      </c>
      <c r="E6040" t="s" s="2">
        <v>17</v>
      </c>
      <c r="F6040" t="s" s="2">
        <f>HYPERLINK("http://ts.21cn.com/tousu/show/id/1366833","http://ts.21cn.com/tousu/show/id/1366833")</f>
      </c>
      <c r="G6040" t="s" s="2">
        <v>17</v>
      </c>
      <c r="H6040" t="s" s="2">
        <v>19</v>
      </c>
      <c r="I6040" t="s" s="2">
        <v>23387</v>
      </c>
      <c r="J6040" t="s" s="2">
        <v>23388</v>
      </c>
      <c r="K6040" t="s" s="2">
        <v>22</v>
      </c>
      <c r="L6040" t="s" s="2">
        <v>22</v>
      </c>
      <c r="M6040" t="s" s="2">
        <v>22</v>
      </c>
    </row>
    <row r="6041" ht="25.0" customHeight="true">
      <c r="A6041" t="s" s="2">
        <v>13</v>
      </c>
      <c r="B6041" t="s" s="2">
        <f>HYPERLINK("http://ts.21cn.com/tousu/show/id/1366829","怪兽充电宝把我一年的收益给黑了")</f>
      </c>
      <c r="C6041" t="s" s="2">
        <v>52</v>
      </c>
      <c r="D6041" t="s" s="2">
        <v>16</v>
      </c>
      <c r="E6041" t="s" s="2">
        <v>17</v>
      </c>
      <c r="F6041" t="s" s="2">
        <f>HYPERLINK("http://ts.21cn.com/tousu/show/id/1366829","http://ts.21cn.com/tousu/show/id/1366829")</f>
      </c>
      <c r="G6041" t="s" s="2">
        <v>17</v>
      </c>
      <c r="H6041" t="s" s="2">
        <v>19</v>
      </c>
      <c r="I6041" t="s" s="2">
        <v>23391</v>
      </c>
      <c r="J6041" t="s" s="2">
        <v>23392</v>
      </c>
      <c r="K6041" t="s" s="2">
        <v>22</v>
      </c>
      <c r="L6041" t="s" s="2">
        <v>22</v>
      </c>
      <c r="M6041" t="s" s="2">
        <v>22</v>
      </c>
    </row>
    <row r="6042" ht="25.0" customHeight="true">
      <c r="A6042" t="s" s="2">
        <v>13</v>
      </c>
      <c r="B6042" t="s" s="2">
        <f>HYPERLINK("http://ts.21cn.com/tousu/show/id/1366828","无缘无故扣款")</f>
      </c>
      <c r="C6042" t="s" s="2">
        <v>15</v>
      </c>
      <c r="D6042" t="s" s="2">
        <v>16</v>
      </c>
      <c r="E6042" t="s" s="2">
        <v>17</v>
      </c>
      <c r="F6042" t="s" s="2">
        <f>HYPERLINK("http://ts.21cn.com/tousu/show/id/1366828","http://ts.21cn.com/tousu/show/id/1366828")</f>
      </c>
      <c r="G6042" t="s" s="2">
        <v>17</v>
      </c>
      <c r="H6042" t="s" s="2">
        <v>19</v>
      </c>
      <c r="I6042" t="s" s="2">
        <v>23395</v>
      </c>
      <c r="J6042" t="s" s="2">
        <v>23396</v>
      </c>
      <c r="K6042" t="s" s="2">
        <v>22</v>
      </c>
      <c r="L6042" t="s" s="2">
        <v>22</v>
      </c>
      <c r="M6042" t="s" s="2">
        <v>22</v>
      </c>
    </row>
    <row r="6043" ht="25.0" customHeight="true">
      <c r="A6043" t="s" s="2">
        <v>13</v>
      </c>
      <c r="B6043" t="s" s="2">
        <f>HYPERLINK("http://ts.21cn.com/tousu/show/id/1366825","闪银协商还款提前结清")</f>
      </c>
      <c r="C6043" t="s" s="2">
        <v>52</v>
      </c>
      <c r="D6043" t="s" s="2">
        <v>16</v>
      </c>
      <c r="E6043" t="s" s="2">
        <v>17</v>
      </c>
      <c r="F6043" t="s" s="2">
        <f>HYPERLINK("http://ts.21cn.com/tousu/show/id/1366825","http://ts.21cn.com/tousu/show/id/1366825")</f>
      </c>
      <c r="G6043" t="s" s="2">
        <v>17</v>
      </c>
      <c r="H6043" t="s" s="2">
        <v>19</v>
      </c>
      <c r="I6043" t="s" s="2">
        <v>23399</v>
      </c>
      <c r="J6043" t="s" s="2">
        <v>23400</v>
      </c>
      <c r="K6043" t="s" s="2">
        <v>22</v>
      </c>
      <c r="L6043" t="s" s="2">
        <v>22</v>
      </c>
      <c r="M6043" t="s" s="2">
        <v>22</v>
      </c>
    </row>
    <row r="6044" ht="25.0" customHeight="true">
      <c r="A6044" t="s" s="2">
        <v>13</v>
      </c>
      <c r="B6044" t="s" s="2">
        <f>HYPERLINK("http://ts.21cn.com/tousu/show/id/1366820","人人花乱扣费")</f>
      </c>
      <c r="C6044" t="s" s="2">
        <v>15</v>
      </c>
      <c r="D6044" t="s" s="2">
        <v>16</v>
      </c>
      <c r="E6044" t="s" s="2">
        <v>17</v>
      </c>
      <c r="F6044" t="s" s="2">
        <f>HYPERLINK("http://ts.21cn.com/tousu/show/id/1366820","http://ts.21cn.com/tousu/show/id/1366820")</f>
      </c>
      <c r="G6044" t="s" s="2">
        <v>17</v>
      </c>
      <c r="H6044" t="s" s="2">
        <v>19</v>
      </c>
      <c r="I6044" t="s" s="2">
        <v>23402</v>
      </c>
      <c r="J6044" t="s" s="2">
        <v>23403</v>
      </c>
      <c r="K6044" t="s" s="2">
        <v>22</v>
      </c>
      <c r="L6044" t="s" s="2">
        <v>22</v>
      </c>
      <c r="M6044" t="s" s="2">
        <v>22</v>
      </c>
    </row>
    <row r="6045" ht="25.0" customHeight="true">
      <c r="A6045" t="s" s="2">
        <v>13</v>
      </c>
      <c r="B6045" t="s" s="2">
        <f>HYPERLINK("http://ts.21cn.com/tousu/show/id/1366824","银行卡被瑞迪讯达通讯录技术扣了199元")</f>
      </c>
      <c r="C6045" t="s" s="2">
        <v>52</v>
      </c>
      <c r="D6045" t="s" s="2">
        <v>16</v>
      </c>
      <c r="E6045" t="s" s="2">
        <v>17</v>
      </c>
      <c r="F6045" t="s" s="2">
        <f>HYPERLINK("http://ts.21cn.com/tousu/show/id/1366824","http://ts.21cn.com/tousu/show/id/1366824")</f>
      </c>
      <c r="G6045" t="s" s="2">
        <v>17</v>
      </c>
      <c r="H6045" t="s" s="2">
        <v>19</v>
      </c>
      <c r="I6045" t="s" s="2">
        <v>23406</v>
      </c>
      <c r="J6045" t="s" s="2">
        <v>23407</v>
      </c>
      <c r="K6045" t="s" s="2">
        <v>22</v>
      </c>
      <c r="L6045" t="s" s="2">
        <v>22</v>
      </c>
      <c r="M6045" t="s" s="2">
        <v>22</v>
      </c>
    </row>
    <row r="6046" ht="25.0" customHeight="true">
      <c r="A6046" t="s" s="2">
        <v>13</v>
      </c>
      <c r="B6046" t="s" s="2">
        <f>HYPERLINK("http://ts.21cn.com/tousu/show/id/1366800","众安保险在投保人不知情的情况捆绑销售保险")</f>
      </c>
      <c r="C6046" t="s" s="2">
        <v>15</v>
      </c>
      <c r="D6046" t="s" s="2">
        <v>16</v>
      </c>
      <c r="E6046" t="s" s="2">
        <v>17</v>
      </c>
      <c r="F6046" t="s" s="2">
        <f>HYPERLINK("http://ts.21cn.com/tousu/show/id/1366800","http://ts.21cn.com/tousu/show/id/1366800")</f>
      </c>
      <c r="G6046" t="s" s="2">
        <v>17</v>
      </c>
      <c r="H6046" t="s" s="2">
        <v>19</v>
      </c>
      <c r="I6046" t="s" s="2">
        <v>23410</v>
      </c>
      <c r="J6046" t="s" s="2">
        <v>23411</v>
      </c>
      <c r="K6046" t="s" s="2">
        <v>22</v>
      </c>
      <c r="L6046" t="s" s="2">
        <v>22</v>
      </c>
      <c r="M6046" t="s" s="2">
        <v>22</v>
      </c>
    </row>
    <row r="6047" ht="25.0" customHeight="true">
      <c r="A6047" t="s" s="2">
        <v>13</v>
      </c>
      <c r="B6047" t="s" s="2">
        <f>HYPERLINK("http://ts.21cn.com/tousu/show/id/1366823","每日优鲜虚假宣传，误导诱导用户")</f>
      </c>
      <c r="C6047" t="s" s="2">
        <v>15</v>
      </c>
      <c r="D6047" t="s" s="2">
        <v>16</v>
      </c>
      <c r="E6047" t="s" s="2">
        <v>17</v>
      </c>
      <c r="F6047" t="s" s="2">
        <f>HYPERLINK("http://ts.21cn.com/tousu/show/id/1366823","http://ts.21cn.com/tousu/show/id/1366823")</f>
      </c>
      <c r="G6047" t="s" s="2">
        <v>17</v>
      </c>
      <c r="H6047" t="s" s="2">
        <v>19</v>
      </c>
      <c r="I6047" t="s" s="2">
        <v>23413</v>
      </c>
      <c r="J6047" t="s" s="2">
        <v>23414</v>
      </c>
      <c r="K6047" t="s" s="2">
        <v>22</v>
      </c>
      <c r="L6047" t="s" s="2">
        <v>22</v>
      </c>
      <c r="M6047" t="s" s="2">
        <v>22</v>
      </c>
    </row>
    <row r="6048" ht="25.0" customHeight="true">
      <c r="A6048" t="s" s="2">
        <v>13</v>
      </c>
      <c r="B6048" t="s" s="2">
        <f>HYPERLINK("http://ts.21cn.com/tousu/show/id/1366822","恐吓，骂人，吓的家人已经住院，严重影响我的生活")</f>
      </c>
      <c r="C6048" t="s" s="2">
        <v>15</v>
      </c>
      <c r="D6048" t="s" s="2">
        <v>16</v>
      </c>
      <c r="E6048" t="s" s="2">
        <v>17</v>
      </c>
      <c r="F6048" t="s" s="2">
        <f>HYPERLINK("http://ts.21cn.com/tousu/show/id/1366822","http://ts.21cn.com/tousu/show/id/1366822")</f>
      </c>
      <c r="G6048" t="s" s="2">
        <v>17</v>
      </c>
      <c r="H6048" t="s" s="2">
        <v>19</v>
      </c>
      <c r="I6048" t="s" s="2">
        <v>23417</v>
      </c>
      <c r="J6048" t="s" s="2">
        <v>23418</v>
      </c>
      <c r="K6048" t="s" s="2">
        <v>22</v>
      </c>
      <c r="L6048" t="s" s="2">
        <v>22</v>
      </c>
      <c r="M6048" t="s" s="2">
        <v>22</v>
      </c>
    </row>
    <row r="6049" ht="25.0" customHeight="true">
      <c r="A6049" t="s" s="2">
        <v>13</v>
      </c>
      <c r="B6049" t="s" s="2">
        <f>HYPERLINK("http://ts.21cn.com/tousu/show/id/1366821","友信信贷在未逾期的时间内对借款人进行暴力催收")</f>
      </c>
      <c r="C6049" t="s" s="2">
        <v>15</v>
      </c>
      <c r="D6049" t="s" s="2">
        <v>16</v>
      </c>
      <c r="E6049" t="s" s="2">
        <v>17</v>
      </c>
      <c r="F6049" t="s" s="2">
        <f>HYPERLINK("http://ts.21cn.com/tousu/show/id/1366821","http://ts.21cn.com/tousu/show/id/1366821")</f>
      </c>
      <c r="G6049" t="s" s="2">
        <v>17</v>
      </c>
      <c r="H6049" t="s" s="2">
        <v>19</v>
      </c>
      <c r="I6049" t="s" s="2">
        <v>23420</v>
      </c>
      <c r="J6049" t="s" s="2">
        <v>23421</v>
      </c>
      <c r="K6049" t="s" s="2">
        <v>22</v>
      </c>
      <c r="L6049" t="s" s="2">
        <v>22</v>
      </c>
      <c r="M6049" t="s" s="2">
        <v>22</v>
      </c>
    </row>
    <row r="6050" ht="25.0" customHeight="true">
      <c r="A6050" t="s" s="2">
        <v>13</v>
      </c>
      <c r="B6050" t="s" s="2">
        <f>HYPERLINK("http://ts.21cn.com/tousu/show/id/1366818","恶意中伤，恐吓威胁")</f>
      </c>
      <c r="C6050" t="s" s="2">
        <v>15</v>
      </c>
      <c r="D6050" t="s" s="2">
        <v>16</v>
      </c>
      <c r="E6050" t="s" s="2">
        <v>17</v>
      </c>
      <c r="F6050" t="s" s="2">
        <f>HYPERLINK("http://ts.21cn.com/tousu/show/id/1366818","http://ts.21cn.com/tousu/show/id/1366818")</f>
      </c>
      <c r="G6050" t="s" s="2">
        <v>17</v>
      </c>
      <c r="H6050" t="s" s="2">
        <v>19</v>
      </c>
      <c r="I6050" t="s" s="2">
        <v>23424</v>
      </c>
      <c r="J6050" t="s" s="2">
        <v>23425</v>
      </c>
      <c r="K6050" t="s" s="2">
        <v>22</v>
      </c>
      <c r="L6050" t="s" s="2">
        <v>22</v>
      </c>
      <c r="M6050" t="s" s="2">
        <v>22</v>
      </c>
    </row>
    <row r="6051" ht="25.0" customHeight="true">
      <c r="A6051" t="s" s="2">
        <v>13</v>
      </c>
      <c r="B6051" t="s" s="2">
        <f>HYPERLINK("http://ts.21cn.com/tousu/show/id/1366817","虾米在线高利贷套路贷")</f>
      </c>
      <c r="C6051" t="s" s="2">
        <v>15</v>
      </c>
      <c r="D6051" t="s" s="2">
        <v>16</v>
      </c>
      <c r="E6051" t="s" s="2">
        <v>17</v>
      </c>
      <c r="F6051" t="s" s="2">
        <f>HYPERLINK("http://ts.21cn.com/tousu/show/id/1366817","http://ts.21cn.com/tousu/show/id/1366817")</f>
      </c>
      <c r="G6051" t="s" s="2">
        <v>17</v>
      </c>
      <c r="H6051" t="s" s="2">
        <v>19</v>
      </c>
      <c r="I6051" t="s" s="2">
        <v>23428</v>
      </c>
      <c r="J6051" t="s" s="2">
        <v>23429</v>
      </c>
      <c r="K6051" t="s" s="2">
        <v>22</v>
      </c>
      <c r="L6051" t="s" s="2">
        <v>22</v>
      </c>
      <c r="M6051" t="s" s="2">
        <v>22</v>
      </c>
    </row>
    <row r="6052" ht="25.0" customHeight="true">
      <c r="A6052" t="s" s="2">
        <v>13</v>
      </c>
      <c r="B6052" t="s" s="2">
        <f>HYPERLINK("http://ts.21cn.com/tousu/show/id/1366816","豆豆钱恐吓，威胁借款人，爆通信录，黑恶催收")</f>
      </c>
      <c r="C6052" t="s" s="2">
        <v>15</v>
      </c>
      <c r="D6052" t="s" s="2">
        <v>16</v>
      </c>
      <c r="E6052" t="s" s="2">
        <v>17</v>
      </c>
      <c r="F6052" t="s" s="2">
        <f>HYPERLINK("http://ts.21cn.com/tousu/show/id/1366816","http://ts.21cn.com/tousu/show/id/1366816")</f>
      </c>
      <c r="G6052" t="s" s="2">
        <v>17</v>
      </c>
      <c r="H6052" t="s" s="2">
        <v>19</v>
      </c>
      <c r="I6052" t="s" s="2">
        <v>23432</v>
      </c>
      <c r="J6052" t="s" s="2">
        <v>23433</v>
      </c>
      <c r="K6052" t="s" s="2">
        <v>22</v>
      </c>
      <c r="L6052" t="s" s="2">
        <v>22</v>
      </c>
      <c r="M6052" t="s" s="2">
        <v>22</v>
      </c>
    </row>
    <row r="6053" ht="25.0" customHeight="true">
      <c r="A6053" t="s" s="2">
        <v>13</v>
      </c>
      <c r="B6053" t="s" s="2">
        <f>HYPERLINK("http://ts.21cn.com/tousu/show/id/1366814","暴力催收骚扰通讯录")</f>
      </c>
      <c r="C6053" t="s" s="2">
        <v>15</v>
      </c>
      <c r="D6053" t="s" s="2">
        <v>16</v>
      </c>
      <c r="E6053" t="s" s="2">
        <v>17</v>
      </c>
      <c r="F6053" t="s" s="2">
        <f>HYPERLINK("http://ts.21cn.com/tousu/show/id/1366814","http://ts.21cn.com/tousu/show/id/1366814")</f>
      </c>
      <c r="G6053" t="s" s="2">
        <v>17</v>
      </c>
      <c r="H6053" t="s" s="2">
        <v>19</v>
      </c>
      <c r="I6053" t="s" s="2">
        <v>23435</v>
      </c>
      <c r="J6053" t="s" s="2">
        <v>23436</v>
      </c>
      <c r="K6053" t="s" s="2">
        <v>22</v>
      </c>
      <c r="L6053" t="s" s="2">
        <v>22</v>
      </c>
      <c r="M6053" t="s" s="2">
        <v>22</v>
      </c>
    </row>
    <row r="6054" ht="25.0" customHeight="true">
      <c r="A6054" t="s" s="2">
        <v>13</v>
      </c>
      <c r="B6054" t="s" s="2">
        <f>HYPERLINK("http://ts.21cn.com/tousu/show/id/1366815","高利息")</f>
      </c>
      <c r="C6054" t="s" s="2">
        <v>15</v>
      </c>
      <c r="D6054" t="s" s="2">
        <v>16</v>
      </c>
      <c r="E6054" t="s" s="2">
        <v>17</v>
      </c>
      <c r="F6054" t="s" s="2">
        <f>HYPERLINK("http://ts.21cn.com/tousu/show/id/1366815","http://ts.21cn.com/tousu/show/id/1366815")</f>
      </c>
      <c r="G6054" t="s" s="2">
        <v>17</v>
      </c>
      <c r="H6054" t="s" s="2">
        <v>19</v>
      </c>
      <c r="I6054" t="s" s="2">
        <v>23438</v>
      </c>
      <c r="J6054" t="s" s="2">
        <v>23439</v>
      </c>
      <c r="K6054" t="s" s="2">
        <v>22</v>
      </c>
      <c r="L6054" t="s" s="2">
        <v>22</v>
      </c>
      <c r="M6054" t="s" s="2">
        <v>22</v>
      </c>
    </row>
    <row r="6055" ht="25.0" customHeight="true">
      <c r="A6055" t="s" s="2">
        <v>13</v>
      </c>
      <c r="B6055" t="s" s="2">
        <f>HYPERLINK("http://ts.21cn.com/tousu/show/id/1366813","你我贷暴力催收")</f>
      </c>
      <c r="C6055" t="s" s="2">
        <v>15</v>
      </c>
      <c r="D6055" t="s" s="2">
        <v>16</v>
      </c>
      <c r="E6055" t="s" s="2">
        <v>17</v>
      </c>
      <c r="F6055" t="s" s="2">
        <f>HYPERLINK("http://ts.21cn.com/tousu/show/id/1366813","http://ts.21cn.com/tousu/show/id/1366813")</f>
      </c>
      <c r="G6055" t="s" s="2">
        <v>17</v>
      </c>
      <c r="H6055" t="s" s="2">
        <v>19</v>
      </c>
      <c r="I6055" t="s" s="2">
        <v>23441</v>
      </c>
      <c r="J6055" t="s" s="2">
        <v>23442</v>
      </c>
      <c r="K6055" t="s" s="2">
        <v>22</v>
      </c>
      <c r="L6055" t="s" s="2">
        <v>22</v>
      </c>
      <c r="M6055" t="s" s="2">
        <v>22</v>
      </c>
    </row>
    <row r="6056" ht="25.0" customHeight="true">
      <c r="A6056" t="s" s="2">
        <v>13</v>
      </c>
      <c r="B6056" t="s" s="2">
        <f>HYPERLINK("http://ts.21cn.com/tousu/show/id/1366812","未经允许扣款")</f>
      </c>
      <c r="C6056" t="s" s="2">
        <v>52</v>
      </c>
      <c r="D6056" t="s" s="2">
        <v>16</v>
      </c>
      <c r="E6056" t="s" s="2">
        <v>17</v>
      </c>
      <c r="F6056" t="s" s="2">
        <f>HYPERLINK("http://ts.21cn.com/tousu/show/id/1366812","http://ts.21cn.com/tousu/show/id/1366812")</f>
      </c>
      <c r="G6056" t="s" s="2">
        <v>17</v>
      </c>
      <c r="H6056" t="s" s="2">
        <v>19</v>
      </c>
      <c r="I6056" t="s" s="2">
        <v>23445</v>
      </c>
      <c r="J6056" t="s" s="2">
        <v>23446</v>
      </c>
      <c r="K6056" t="s" s="2">
        <v>22</v>
      </c>
      <c r="L6056" t="s" s="2">
        <v>22</v>
      </c>
      <c r="M6056" t="s" s="2">
        <v>22</v>
      </c>
    </row>
    <row r="6057" ht="25.0" customHeight="true">
      <c r="A6057" t="s" s="2">
        <v>13</v>
      </c>
      <c r="B6057" t="s" s="2">
        <f>HYPERLINK("http://ts.21cn.com/tousu/show/id/1366811","闪银乱收费")</f>
      </c>
      <c r="C6057" t="s" s="2">
        <v>15</v>
      </c>
      <c r="D6057" t="s" s="2">
        <v>16</v>
      </c>
      <c r="E6057" t="s" s="2">
        <v>17</v>
      </c>
      <c r="F6057" t="s" s="2">
        <f>HYPERLINK("http://ts.21cn.com/tousu/show/id/1366811","http://ts.21cn.com/tousu/show/id/1366811")</f>
      </c>
      <c r="G6057" t="s" s="2">
        <v>17</v>
      </c>
      <c r="H6057" t="s" s="2">
        <v>19</v>
      </c>
      <c r="I6057" t="s" s="2">
        <v>23448</v>
      </c>
      <c r="J6057" t="s" s="2">
        <v>23449</v>
      </c>
      <c r="K6057" t="s" s="2">
        <v>22</v>
      </c>
      <c r="L6057" t="s" s="2">
        <v>22</v>
      </c>
      <c r="M6057" t="s" s="2">
        <v>22</v>
      </c>
    </row>
    <row r="6058" ht="25.0" customHeight="true">
      <c r="A6058" t="s" s="2">
        <v>13</v>
      </c>
      <c r="B6058" t="s" s="2">
        <f>HYPERLINK("http://ts.21cn.com/tousu/show/id/1366810","及贷恶意骚扰家里人和朋友")</f>
      </c>
      <c r="C6058" t="s" s="2">
        <v>15</v>
      </c>
      <c r="D6058" t="s" s="2">
        <v>16</v>
      </c>
      <c r="E6058" t="s" s="2">
        <v>17</v>
      </c>
      <c r="F6058" t="s" s="2">
        <f>HYPERLINK("http://ts.21cn.com/tousu/show/id/1366810","http://ts.21cn.com/tousu/show/id/1366810")</f>
      </c>
      <c r="G6058" t="s" s="2">
        <v>17</v>
      </c>
      <c r="H6058" t="s" s="2">
        <v>19</v>
      </c>
      <c r="I6058" t="s" s="2">
        <v>23452</v>
      </c>
      <c r="J6058" t="s" s="2">
        <v>23453</v>
      </c>
      <c r="K6058" t="s" s="2">
        <v>22</v>
      </c>
      <c r="L6058" t="s" s="2">
        <v>22</v>
      </c>
      <c r="M6058" t="s" s="2">
        <v>22</v>
      </c>
    </row>
    <row r="6059" ht="25.0" customHeight="true">
      <c r="A6059" t="s" s="2">
        <v>13</v>
      </c>
      <c r="B6059" t="s" s="2">
        <f>HYPERLINK("http://ts.21cn.com/tousu/show/id/1366809","花转转高利贷恶意逾期")</f>
      </c>
      <c r="C6059" t="s" s="2">
        <v>15</v>
      </c>
      <c r="D6059" t="s" s="2">
        <v>16</v>
      </c>
      <c r="E6059" t="s" s="2">
        <v>17</v>
      </c>
      <c r="F6059" t="s" s="2">
        <f>HYPERLINK("http://ts.21cn.com/tousu/show/id/1366809","http://ts.21cn.com/tousu/show/id/1366809")</f>
      </c>
      <c r="G6059" t="s" s="2">
        <v>17</v>
      </c>
      <c r="H6059" t="s" s="2">
        <v>19</v>
      </c>
      <c r="I6059" t="s" s="2">
        <v>23456</v>
      </c>
      <c r="J6059" t="s" s="2">
        <v>23457</v>
      </c>
      <c r="K6059" t="s" s="2">
        <v>22</v>
      </c>
      <c r="L6059" t="s" s="2">
        <v>22</v>
      </c>
      <c r="M6059" t="s" s="2">
        <v>22</v>
      </c>
    </row>
    <row r="6060" ht="25.0" customHeight="true">
      <c r="A6060" t="s" s="2">
        <v>13</v>
      </c>
      <c r="B6060" t="s" s="2">
        <f>HYPERLINK("http://ts.21cn.com/tousu/show/id/1366807","钱伴停止骚扰，返还高额利息")</f>
      </c>
      <c r="C6060" t="s" s="2">
        <v>15</v>
      </c>
      <c r="D6060" t="s" s="2">
        <v>16</v>
      </c>
      <c r="E6060" t="s" s="2">
        <v>17</v>
      </c>
      <c r="F6060" t="s" s="2">
        <f>HYPERLINK("http://ts.21cn.com/tousu/show/id/1366807","http://ts.21cn.com/tousu/show/id/1366807")</f>
      </c>
      <c r="G6060" t="s" s="2">
        <v>17</v>
      </c>
      <c r="H6060" t="s" s="2">
        <v>19</v>
      </c>
      <c r="I6060" t="s" s="2">
        <v>23460</v>
      </c>
      <c r="J6060" t="s" s="2">
        <v>23461</v>
      </c>
      <c r="K6060" t="s" s="2">
        <v>22</v>
      </c>
      <c r="L6060" t="s" s="2">
        <v>22</v>
      </c>
      <c r="M6060" t="s" s="2">
        <v>22</v>
      </c>
    </row>
    <row r="6061" ht="25.0" customHeight="true">
      <c r="A6061" t="s" s="2">
        <v>13</v>
      </c>
      <c r="B6061" t="s" s="2">
        <f>HYPERLINK("http://ts.21cn.com/tousu/show/id/1366805","合理情况下一次性结清")</f>
      </c>
      <c r="C6061" t="s" s="2">
        <v>15</v>
      </c>
      <c r="D6061" t="s" s="2">
        <v>16</v>
      </c>
      <c r="E6061" t="s" s="2">
        <v>17</v>
      </c>
      <c r="F6061" t="s" s="2">
        <f>HYPERLINK("http://ts.21cn.com/tousu/show/id/1366805","http://ts.21cn.com/tousu/show/id/1366805")</f>
      </c>
      <c r="G6061" t="s" s="2">
        <v>17</v>
      </c>
      <c r="H6061" t="s" s="2">
        <v>19</v>
      </c>
      <c r="I6061" t="s" s="2">
        <v>23464</v>
      </c>
      <c r="J6061" t="s" s="2">
        <v>23465</v>
      </c>
      <c r="K6061" t="s" s="2">
        <v>22</v>
      </c>
      <c r="L6061" t="s" s="2">
        <v>22</v>
      </c>
      <c r="M6061" t="s" s="2">
        <v>22</v>
      </c>
    </row>
    <row r="6062" ht="25.0" customHeight="true">
      <c r="A6062" t="s" s="2">
        <v>13</v>
      </c>
      <c r="B6062" t="s" s="2">
        <f>HYPERLINK("http://ts.21cn.com/tousu/show/id/1366806","凡普金科给之前工作单位朋友打电话说我欠款切催款态度强硬恶劣")</f>
      </c>
      <c r="C6062" t="s" s="2">
        <v>15</v>
      </c>
      <c r="D6062" t="s" s="2">
        <v>16</v>
      </c>
      <c r="E6062" t="s" s="2">
        <v>17</v>
      </c>
      <c r="F6062" t="s" s="2">
        <f>HYPERLINK("http://ts.21cn.com/tousu/show/id/1366806","http://ts.21cn.com/tousu/show/id/1366806")</f>
      </c>
      <c r="G6062" t="s" s="2">
        <v>17</v>
      </c>
      <c r="H6062" t="s" s="2">
        <v>19</v>
      </c>
      <c r="I6062" t="s" s="2">
        <v>23468</v>
      </c>
      <c r="J6062" t="s" s="2">
        <v>23469</v>
      </c>
      <c r="K6062" t="s" s="2">
        <v>22</v>
      </c>
      <c r="L6062" t="s" s="2">
        <v>22</v>
      </c>
      <c r="M6062" t="s" s="2">
        <v>22</v>
      </c>
    </row>
    <row r="6063" ht="25.0" customHeight="true">
      <c r="A6063" t="s" s="2">
        <v>13</v>
      </c>
      <c r="B6063" t="s" s="2">
        <f>HYPERLINK("http://ts.21cn.com/tousu/show/id/1366804","分期乐协商还款")</f>
      </c>
      <c r="C6063" t="s" s="2">
        <v>52</v>
      </c>
      <c r="D6063" t="s" s="2">
        <v>16</v>
      </c>
      <c r="E6063" t="s" s="2">
        <v>17</v>
      </c>
      <c r="F6063" t="s" s="2">
        <f>HYPERLINK("http://ts.21cn.com/tousu/show/id/1366804","http://ts.21cn.com/tousu/show/id/1366804")</f>
      </c>
      <c r="G6063" t="s" s="2">
        <v>17</v>
      </c>
      <c r="H6063" t="s" s="2">
        <v>19</v>
      </c>
      <c r="I6063" t="s" s="2">
        <v>23472</v>
      </c>
      <c r="J6063" t="s" s="2">
        <v>23473</v>
      </c>
      <c r="K6063" t="s" s="2">
        <v>22</v>
      </c>
      <c r="L6063" t="s" s="2">
        <v>22</v>
      </c>
      <c r="M6063" t="s" s="2">
        <v>22</v>
      </c>
    </row>
    <row r="6064" ht="25.0" customHeight="true">
      <c r="A6064" t="s" s="2">
        <v>13</v>
      </c>
      <c r="B6064" t="s" s="2">
        <f>HYPERLINK("http://ts.21cn.com/tousu/show/id/1366803","暴力催收及恐吓")</f>
      </c>
      <c r="C6064" t="s" s="2">
        <v>15</v>
      </c>
      <c r="D6064" t="s" s="2">
        <v>16</v>
      </c>
      <c r="E6064" t="s" s="2">
        <v>17</v>
      </c>
      <c r="F6064" t="s" s="2">
        <f>HYPERLINK("http://ts.21cn.com/tousu/show/id/1366803","http://ts.21cn.com/tousu/show/id/1366803")</f>
      </c>
      <c r="G6064" t="s" s="2">
        <v>17</v>
      </c>
      <c r="H6064" t="s" s="2">
        <v>19</v>
      </c>
      <c r="I6064" t="s" s="2">
        <v>23476</v>
      </c>
      <c r="J6064" t="s" s="2">
        <v>23477</v>
      </c>
      <c r="K6064" t="s" s="2">
        <v>22</v>
      </c>
      <c r="L6064" t="s" s="2">
        <v>22</v>
      </c>
      <c r="M6064" t="s" s="2">
        <v>22</v>
      </c>
    </row>
    <row r="6065" ht="25.0" customHeight="true">
      <c r="A6065" t="s" s="2">
        <v>13</v>
      </c>
      <c r="B6065" t="s" s="2">
        <f>HYPERLINK("http://ts.21cn.com/tousu/show/id/1366802","信用钱包担保费！！")</f>
      </c>
      <c r="C6065" t="s" s="2">
        <v>52</v>
      </c>
      <c r="D6065" t="s" s="2">
        <v>16</v>
      </c>
      <c r="E6065" t="s" s="2">
        <v>17</v>
      </c>
      <c r="F6065" t="s" s="2">
        <f>HYPERLINK("http://ts.21cn.com/tousu/show/id/1366802","http://ts.21cn.com/tousu/show/id/1366802")</f>
      </c>
      <c r="G6065" t="s" s="2">
        <v>17</v>
      </c>
      <c r="H6065" t="s" s="2">
        <v>19</v>
      </c>
      <c r="I6065" t="s" s="2">
        <v>23480</v>
      </c>
      <c r="J6065" t="s" s="2">
        <v>23481</v>
      </c>
      <c r="K6065" t="s" s="2">
        <v>22</v>
      </c>
      <c r="L6065" t="s" s="2">
        <v>22</v>
      </c>
      <c r="M6065" t="s" s="2">
        <v>22</v>
      </c>
    </row>
    <row r="6066" ht="25.0" customHeight="true">
      <c r="A6066" t="s" s="2">
        <v>13</v>
      </c>
      <c r="B6066" t="s" s="2">
        <f>HYPERLINK("http://ts.21cn.com/tousu/show/id/1366801","支付宝自动扣费购买office365家庭版")</f>
      </c>
      <c r="C6066" t="s" s="2">
        <v>52</v>
      </c>
      <c r="D6066" t="s" s="2">
        <v>16</v>
      </c>
      <c r="E6066" t="s" s="2">
        <v>17</v>
      </c>
      <c r="F6066" t="s" s="2">
        <f>HYPERLINK("http://ts.21cn.com/tousu/show/id/1366801","http://ts.21cn.com/tousu/show/id/1366801")</f>
      </c>
      <c r="G6066" t="s" s="2">
        <v>17</v>
      </c>
      <c r="H6066" t="s" s="2">
        <v>19</v>
      </c>
      <c r="I6066" t="s" s="2">
        <v>23484</v>
      </c>
      <c r="J6066" t="s" s="2">
        <v>23485</v>
      </c>
      <c r="K6066" t="s" s="2">
        <v>22</v>
      </c>
      <c r="L6066" t="s" s="2">
        <v>22</v>
      </c>
      <c r="M6066" t="s" s="2">
        <v>22</v>
      </c>
    </row>
    <row r="6067" ht="25.0" customHeight="true">
      <c r="A6067" t="s" s="2">
        <v>13</v>
      </c>
      <c r="B6067" t="s" s="2">
        <f>HYPERLINK("http://ts.21cn.com/tousu/show/id/1366799","交通银行恶意催收")</f>
      </c>
      <c r="C6067" t="s" s="2">
        <v>15</v>
      </c>
      <c r="D6067" t="s" s="2">
        <v>16</v>
      </c>
      <c r="E6067" t="s" s="2">
        <v>17</v>
      </c>
      <c r="F6067" t="s" s="2">
        <f>HYPERLINK("http://ts.21cn.com/tousu/show/id/1366799","http://ts.21cn.com/tousu/show/id/1366799")</f>
      </c>
      <c r="G6067" t="s" s="2">
        <v>17</v>
      </c>
      <c r="H6067" t="s" s="2">
        <v>19</v>
      </c>
      <c r="I6067" t="s" s="2">
        <v>23488</v>
      </c>
      <c r="J6067" t="s" s="2">
        <v>23489</v>
      </c>
      <c r="K6067" t="s" s="2">
        <v>22</v>
      </c>
      <c r="L6067" t="s" s="2">
        <v>22</v>
      </c>
      <c r="M6067" t="s" s="2">
        <v>22</v>
      </c>
    </row>
    <row r="6068" ht="25.0" customHeight="true">
      <c r="A6068" t="s" s="2">
        <v>13</v>
      </c>
      <c r="B6068" t="s" s="2">
        <f>HYPERLINK("http://ts.21cn.com/tousu/show/id/1366798","上海翼勋恶意催收，对我破口大骂，威胁我，阴阳合同，砍头息，高利贷")</f>
      </c>
      <c r="C6068" t="s" s="2">
        <v>15</v>
      </c>
      <c r="D6068" t="s" s="2">
        <v>16</v>
      </c>
      <c r="E6068" t="s" s="2">
        <v>17</v>
      </c>
      <c r="F6068" t="s" s="2">
        <f>HYPERLINK("http://ts.21cn.com/tousu/show/id/1366798","http://ts.21cn.com/tousu/show/id/1366798")</f>
      </c>
      <c r="G6068" t="s" s="2">
        <v>17</v>
      </c>
      <c r="H6068" t="s" s="2">
        <v>19</v>
      </c>
      <c r="I6068" t="s" s="2">
        <v>23492</v>
      </c>
      <c r="J6068" t="s" s="2">
        <v>23493</v>
      </c>
      <c r="K6068" t="s" s="2">
        <v>22</v>
      </c>
      <c r="L6068" t="s" s="2">
        <v>22</v>
      </c>
      <c r="M6068" t="s" s="2">
        <v>22</v>
      </c>
    </row>
    <row r="6069" ht="25.0" customHeight="true">
      <c r="A6069" t="s" s="2">
        <v>13</v>
      </c>
      <c r="B6069" t="s" s="2">
        <f>HYPERLINK("http://ts.21cn.com/tousu/show/id/1366797","捷信高利贷")</f>
      </c>
      <c r="C6069" t="s" s="2">
        <v>15</v>
      </c>
      <c r="D6069" t="s" s="2">
        <v>16</v>
      </c>
      <c r="E6069" t="s" s="2">
        <v>17</v>
      </c>
      <c r="F6069" t="s" s="2">
        <f>HYPERLINK("http://ts.21cn.com/tousu/show/id/1366797","http://ts.21cn.com/tousu/show/id/1366797")</f>
      </c>
      <c r="G6069" t="s" s="2">
        <v>17</v>
      </c>
      <c r="H6069" t="s" s="2">
        <v>19</v>
      </c>
      <c r="I6069" t="s" s="2">
        <v>23495</v>
      </c>
      <c r="J6069" t="s" s="2">
        <v>23496</v>
      </c>
      <c r="K6069" t="s" s="2">
        <v>22</v>
      </c>
      <c r="L6069" t="s" s="2">
        <v>22</v>
      </c>
      <c r="M6069" t="s" s="2">
        <v>22</v>
      </c>
    </row>
    <row r="6070" ht="25.0" customHeight="true">
      <c r="A6070" t="s" s="2">
        <v>13</v>
      </c>
      <c r="B6070" t="s" s="2">
        <f>HYPERLINK("http://ts.21cn.com/tousu/show/id/1366795","群利花汇潮支付私自放款")</f>
      </c>
      <c r="C6070" t="s" s="2">
        <v>15</v>
      </c>
      <c r="D6070" t="s" s="2">
        <v>16</v>
      </c>
      <c r="E6070" t="s" s="2">
        <v>17</v>
      </c>
      <c r="F6070" t="s" s="2">
        <f>HYPERLINK("http://ts.21cn.com/tousu/show/id/1366795","http://ts.21cn.com/tousu/show/id/1366795")</f>
      </c>
      <c r="G6070" t="s" s="2">
        <v>17</v>
      </c>
      <c r="H6070" t="s" s="2">
        <v>19</v>
      </c>
      <c r="I6070" t="s" s="2">
        <v>23499</v>
      </c>
      <c r="J6070" t="s" s="2">
        <v>23500</v>
      </c>
      <c r="K6070" t="s" s="2">
        <v>22</v>
      </c>
      <c r="L6070" t="s" s="2">
        <v>22</v>
      </c>
      <c r="M6070" t="s" s="2">
        <v>22</v>
      </c>
    </row>
    <row r="6071" ht="25.0" customHeight="true">
      <c r="A6071" t="s" s="2">
        <v>13</v>
      </c>
      <c r="B6071" t="s" s="2">
        <f>HYPERLINK("http://ts.21cn.com/tousu/show/id/1366794","交通银行协商还款")</f>
      </c>
      <c r="C6071" t="s" s="2">
        <v>52</v>
      </c>
      <c r="D6071" t="s" s="2">
        <v>16</v>
      </c>
      <c r="E6071" t="s" s="2">
        <v>17</v>
      </c>
      <c r="F6071" t="s" s="2">
        <f>HYPERLINK("http://ts.21cn.com/tousu/show/id/1366794","http://ts.21cn.com/tousu/show/id/1366794")</f>
      </c>
      <c r="G6071" t="s" s="2">
        <v>17</v>
      </c>
      <c r="H6071" t="s" s="2">
        <v>19</v>
      </c>
      <c r="I6071" t="s" s="2">
        <v>23503</v>
      </c>
      <c r="J6071" t="s" s="2">
        <v>23504</v>
      </c>
      <c r="K6071" t="s" s="2">
        <v>22</v>
      </c>
      <c r="L6071" t="s" s="2">
        <v>22</v>
      </c>
      <c r="M6071" t="s" s="2">
        <v>22</v>
      </c>
    </row>
    <row r="6072" ht="25.0" customHeight="true">
      <c r="A6072" t="s" s="2">
        <v>13</v>
      </c>
      <c r="B6072" t="s" s="2">
        <f>HYPERLINK("http://ts.21cn.com/tousu/show/id/1359016","注销齐鲁e行etc")</f>
      </c>
      <c r="C6072" t="s" s="2">
        <v>52</v>
      </c>
      <c r="D6072" t="s" s="2">
        <v>16</v>
      </c>
      <c r="E6072" t="s" s="2">
        <v>17</v>
      </c>
      <c r="F6072" t="s" s="2">
        <f>HYPERLINK("http://ts.21cn.com/tousu/show/id/1359016","http://ts.21cn.com/tousu/show/id/1359016")</f>
      </c>
      <c r="G6072" t="s" s="2">
        <v>17</v>
      </c>
      <c r="H6072" t="s" s="2">
        <v>19</v>
      </c>
      <c r="I6072" t="s" s="2">
        <v>23507</v>
      </c>
      <c r="J6072" t="s" s="2">
        <v>23508</v>
      </c>
      <c r="K6072" t="s" s="2">
        <v>22</v>
      </c>
      <c r="L6072" t="s" s="2">
        <v>22</v>
      </c>
      <c r="M6072" t="s" s="2">
        <v>22</v>
      </c>
    </row>
    <row r="6073" ht="25.0" customHeight="true">
      <c r="A6073" t="s" s="2">
        <v>13</v>
      </c>
      <c r="B6073" t="s" s="2">
        <f>HYPERLINK("http://ts.21cn.com/tousu/show/id/1366793","高利贷")</f>
      </c>
      <c r="C6073" t="s" s="2">
        <v>15</v>
      </c>
      <c r="D6073" t="s" s="2">
        <v>16</v>
      </c>
      <c r="E6073" t="s" s="2">
        <v>17</v>
      </c>
      <c r="F6073" t="s" s="2">
        <f>HYPERLINK("http://ts.21cn.com/tousu/show/id/1366793","http://ts.21cn.com/tousu/show/id/1366793")</f>
      </c>
      <c r="G6073" t="s" s="2">
        <v>17</v>
      </c>
      <c r="H6073" t="s" s="2">
        <v>19</v>
      </c>
      <c r="I6073" t="s" s="2">
        <v>23510</v>
      </c>
      <c r="J6073" t="s" s="2">
        <v>23511</v>
      </c>
      <c r="K6073" t="s" s="2">
        <v>22</v>
      </c>
      <c r="L6073" t="s" s="2">
        <v>22</v>
      </c>
      <c r="M6073" t="s" s="2">
        <v>22</v>
      </c>
    </row>
    <row r="6074" ht="25.0" customHeight="true">
      <c r="A6074" t="s" s="2">
        <v>13</v>
      </c>
      <c r="B6074" t="s" s="2">
        <f>HYPERLINK("http://ts.21cn.com/tousu/show/id/1366792","我来贷工薪贷催款涉嫌威胁")</f>
      </c>
      <c r="C6074" t="s" s="2">
        <v>15</v>
      </c>
      <c r="D6074" t="s" s="2">
        <v>16</v>
      </c>
      <c r="E6074" t="s" s="2">
        <v>17</v>
      </c>
      <c r="F6074" t="s" s="2">
        <f>HYPERLINK("http://ts.21cn.com/tousu/show/id/1366792","http://ts.21cn.com/tousu/show/id/1366792")</f>
      </c>
      <c r="G6074" t="s" s="2">
        <v>17</v>
      </c>
      <c r="H6074" t="s" s="2">
        <v>19</v>
      </c>
      <c r="I6074" t="s" s="2">
        <v>23514</v>
      </c>
      <c r="J6074" t="s" s="2">
        <v>23515</v>
      </c>
      <c r="K6074" t="s" s="2">
        <v>22</v>
      </c>
      <c r="L6074" t="s" s="2">
        <v>22</v>
      </c>
      <c r="M6074" t="s" s="2">
        <v>22</v>
      </c>
    </row>
    <row r="6075" ht="25.0" customHeight="true">
      <c r="A6075" t="s" s="2">
        <v>13</v>
      </c>
      <c r="B6075" t="s" s="2">
        <f>HYPERLINK("http://ts.21cn.com/tousu/show/id/1366790","电信乱收费")</f>
      </c>
      <c r="C6075" t="s" s="2">
        <v>15</v>
      </c>
      <c r="D6075" t="s" s="2">
        <v>16</v>
      </c>
      <c r="E6075" t="s" s="2">
        <v>17</v>
      </c>
      <c r="F6075" t="s" s="2">
        <f>HYPERLINK("http://ts.21cn.com/tousu/show/id/1366790","http://ts.21cn.com/tousu/show/id/1366790")</f>
      </c>
      <c r="G6075" t="s" s="2">
        <v>17</v>
      </c>
      <c r="H6075" t="s" s="2">
        <v>19</v>
      </c>
      <c r="I6075" t="s" s="2">
        <v>23518</v>
      </c>
      <c r="J6075" t="s" s="2">
        <v>23519</v>
      </c>
      <c r="K6075" t="s" s="2">
        <v>22</v>
      </c>
      <c r="L6075" t="s" s="2">
        <v>22</v>
      </c>
      <c r="M6075" t="s" s="2">
        <v>22</v>
      </c>
    </row>
    <row r="6076" ht="25.0" customHeight="true">
      <c r="A6076" t="s" s="2">
        <v>13</v>
      </c>
      <c r="B6076" t="s" s="2">
        <f>HYPERLINK("http://ts.21cn.com/tousu/show/id/1366789","平安E贷套路贷，做银行假账，扣取贷款人钱款")</f>
      </c>
      <c r="C6076" t="s" s="2">
        <v>15</v>
      </c>
      <c r="D6076" t="s" s="2">
        <v>16</v>
      </c>
      <c r="E6076" t="s" s="2">
        <v>17</v>
      </c>
      <c r="F6076" t="s" s="2">
        <f>HYPERLINK("http://ts.21cn.com/tousu/show/id/1366789","http://ts.21cn.com/tousu/show/id/1366789")</f>
      </c>
      <c r="G6076" t="s" s="2">
        <v>17</v>
      </c>
      <c r="H6076" t="s" s="2">
        <v>19</v>
      </c>
      <c r="I6076" t="s" s="2">
        <v>23522</v>
      </c>
      <c r="J6076" t="s" s="2">
        <v>23523</v>
      </c>
      <c r="K6076" t="s" s="2">
        <v>22</v>
      </c>
      <c r="L6076" t="s" s="2">
        <v>22</v>
      </c>
      <c r="M6076" t="s" s="2">
        <v>22</v>
      </c>
    </row>
    <row r="6077" ht="25.0" customHeight="true">
      <c r="A6077" t="s" s="2">
        <v>13</v>
      </c>
      <c r="B6077" t="s" s="2">
        <f>HYPERLINK("http://ts.21cn.com/tousu/show/id/1366791","中信银行信用卡变相违规发放贷款并收取高额罚息和违约金")</f>
      </c>
      <c r="C6077" t="s" s="2">
        <v>15</v>
      </c>
      <c r="D6077" t="s" s="2">
        <v>16</v>
      </c>
      <c r="E6077" t="s" s="2">
        <v>17</v>
      </c>
      <c r="F6077" t="s" s="2">
        <f>HYPERLINK("http://ts.21cn.com/tousu/show/id/1366791","http://ts.21cn.com/tousu/show/id/1366791")</f>
      </c>
      <c r="G6077" t="s" s="2">
        <v>17</v>
      </c>
      <c r="H6077" t="s" s="2">
        <v>19</v>
      </c>
      <c r="I6077" t="s" s="2">
        <v>23526</v>
      </c>
      <c r="J6077" t="s" s="2">
        <v>23527</v>
      </c>
      <c r="K6077" t="s" s="2">
        <v>22</v>
      </c>
      <c r="L6077" t="s" s="2">
        <v>22</v>
      </c>
      <c r="M6077" t="s" s="2">
        <v>22</v>
      </c>
    </row>
    <row r="6078" ht="25.0" customHeight="true">
      <c r="A6078" t="s" s="2">
        <v>13</v>
      </c>
      <c r="B6078" t="s" s="2">
        <f>HYPERLINK("http://ts.21cn.com/tousu/show/id/1366788","疯狂骚扰")</f>
      </c>
      <c r="C6078" t="s" s="2">
        <v>15</v>
      </c>
      <c r="D6078" t="s" s="2">
        <v>16</v>
      </c>
      <c r="E6078" t="s" s="2">
        <v>17</v>
      </c>
      <c r="F6078" t="s" s="2">
        <f>HYPERLINK("http://ts.21cn.com/tousu/show/id/1366788","http://ts.21cn.com/tousu/show/id/1366788")</f>
      </c>
      <c r="G6078" t="s" s="2">
        <v>17</v>
      </c>
      <c r="H6078" t="s" s="2">
        <v>19</v>
      </c>
      <c r="I6078" t="s" s="2">
        <v>23530</v>
      </c>
      <c r="J6078" t="s" s="2">
        <v>23531</v>
      </c>
      <c r="K6078" t="s" s="2">
        <v>22</v>
      </c>
      <c r="L6078" t="s" s="2">
        <v>22</v>
      </c>
      <c r="M6078" t="s" s="2">
        <v>22</v>
      </c>
    </row>
    <row r="6079" ht="25.0" customHeight="true">
      <c r="A6079" t="s" s="2">
        <v>13</v>
      </c>
      <c r="B6079" t="s" s="2">
        <f>HYPERLINK("http://ts.21cn.com/tousu/show/id/1366787","招联金融，不解决投诉问题，采用恐吓的手段恐吓我！章杨清。给我说法！")</f>
      </c>
      <c r="C6079" t="s" s="2">
        <v>15</v>
      </c>
      <c r="D6079" t="s" s="2">
        <v>16</v>
      </c>
      <c r="E6079" t="s" s="2">
        <v>17</v>
      </c>
      <c r="F6079" t="s" s="2">
        <f>HYPERLINK("http://ts.21cn.com/tousu/show/id/1366787","http://ts.21cn.com/tousu/show/id/1366787")</f>
      </c>
      <c r="G6079" t="s" s="2">
        <v>17</v>
      </c>
      <c r="H6079" t="s" s="2">
        <v>19</v>
      </c>
      <c r="I6079" t="s" s="2">
        <v>23534</v>
      </c>
      <c r="J6079" t="s" s="2">
        <v>23535</v>
      </c>
      <c r="K6079" t="s" s="2">
        <v>22</v>
      </c>
      <c r="L6079" t="s" s="2">
        <v>22</v>
      </c>
      <c r="M6079" t="s" s="2">
        <v>22</v>
      </c>
    </row>
    <row r="6080" ht="25.0" customHeight="true">
      <c r="A6080" t="s" s="2">
        <v>13</v>
      </c>
      <c r="B6080" t="s" s="2">
        <f>HYPERLINK("http://ts.21cn.com/tousu/show/id/1366786","高利息泄露个人信息和家人信息")</f>
      </c>
      <c r="C6080" t="s" s="2">
        <v>15</v>
      </c>
      <c r="D6080" t="s" s="2">
        <v>16</v>
      </c>
      <c r="E6080" t="s" s="2">
        <v>17</v>
      </c>
      <c r="F6080" t="s" s="2">
        <f>HYPERLINK("http://ts.21cn.com/tousu/show/id/1366786","http://ts.21cn.com/tousu/show/id/1366786")</f>
      </c>
      <c r="G6080" t="s" s="2">
        <v>17</v>
      </c>
      <c r="H6080" t="s" s="2">
        <v>19</v>
      </c>
      <c r="I6080" t="s" s="2">
        <v>23538</v>
      </c>
      <c r="J6080" t="s" s="2">
        <v>23539</v>
      </c>
      <c r="K6080" t="s" s="2">
        <v>22</v>
      </c>
      <c r="L6080" t="s" s="2">
        <v>22</v>
      </c>
      <c r="M6080" t="s" s="2">
        <v>22</v>
      </c>
    </row>
    <row r="6081" ht="25.0" customHeight="true">
      <c r="A6081" t="s" s="2">
        <v>13</v>
      </c>
      <c r="B6081" t="s" s="2">
        <f>HYPERLINK("http://ts.21cn.com/tousu/show/id/1366784","我来贷泄漏个人信息威胁")</f>
      </c>
      <c r="C6081" t="s" s="2">
        <v>15</v>
      </c>
      <c r="D6081" t="s" s="2">
        <v>16</v>
      </c>
      <c r="E6081" t="s" s="2">
        <v>17</v>
      </c>
      <c r="F6081" t="s" s="2">
        <f>HYPERLINK("http://ts.21cn.com/tousu/show/id/1366784","http://ts.21cn.com/tousu/show/id/1366784")</f>
      </c>
      <c r="G6081" t="s" s="2">
        <v>17</v>
      </c>
      <c r="H6081" t="s" s="2">
        <v>19</v>
      </c>
      <c r="I6081" t="s" s="2">
        <v>23542</v>
      </c>
      <c r="J6081" t="s" s="2">
        <v>23543</v>
      </c>
      <c r="K6081" t="s" s="2">
        <v>22</v>
      </c>
      <c r="L6081" t="s" s="2">
        <v>22</v>
      </c>
      <c r="M6081" t="s" s="2">
        <v>22</v>
      </c>
    </row>
    <row r="6082" ht="25.0" customHeight="true">
      <c r="A6082" t="s" s="2">
        <v>13</v>
      </c>
      <c r="B6082" t="s" s="2">
        <f>HYPERLINK("http://ts.21cn.com/tousu/show/id/1366782","招商银行恐吓，催一次还款")</f>
      </c>
      <c r="C6082" t="s" s="2">
        <v>15</v>
      </c>
      <c r="D6082" t="s" s="2">
        <v>16</v>
      </c>
      <c r="E6082" t="s" s="2">
        <v>17</v>
      </c>
      <c r="F6082" t="s" s="2">
        <f>HYPERLINK("http://ts.21cn.com/tousu/show/id/1366782","http://ts.21cn.com/tousu/show/id/1366782")</f>
      </c>
      <c r="G6082" t="s" s="2">
        <v>17</v>
      </c>
      <c r="H6082" t="s" s="2">
        <v>19</v>
      </c>
      <c r="I6082" t="s" s="2">
        <v>23546</v>
      </c>
      <c r="J6082" t="s" s="2">
        <v>23547</v>
      </c>
      <c r="K6082" t="s" s="2">
        <v>22</v>
      </c>
      <c r="L6082" t="s" s="2">
        <v>22</v>
      </c>
      <c r="M6082" t="s" s="2">
        <v>22</v>
      </c>
    </row>
    <row r="6083" ht="25.0" customHeight="true">
      <c r="A6083" t="s" s="2">
        <v>13</v>
      </c>
      <c r="B6083" t="s" s="2">
        <f>HYPERLINK("http://ts.21cn.com/tousu/show/id/1366783","未经本人允许扣款")</f>
      </c>
      <c r="C6083" t="s" s="2">
        <v>15</v>
      </c>
      <c r="D6083" t="s" s="2">
        <v>16</v>
      </c>
      <c r="E6083" t="s" s="2">
        <v>17</v>
      </c>
      <c r="F6083" t="s" s="2">
        <f>HYPERLINK("http://ts.21cn.com/tousu/show/id/1366783","http://ts.21cn.com/tousu/show/id/1366783")</f>
      </c>
      <c r="G6083" t="s" s="2">
        <v>17</v>
      </c>
      <c r="H6083" t="s" s="2">
        <v>19</v>
      </c>
      <c r="I6083" t="s" s="2">
        <v>23550</v>
      </c>
      <c r="J6083" t="s" s="2">
        <v>23551</v>
      </c>
      <c r="K6083" t="s" s="2">
        <v>22</v>
      </c>
      <c r="L6083" t="s" s="2">
        <v>22</v>
      </c>
      <c r="M6083" t="s" s="2">
        <v>22</v>
      </c>
    </row>
    <row r="6084" ht="25.0" customHeight="true">
      <c r="A6084" t="s" s="2">
        <v>13</v>
      </c>
      <c r="B6084" t="s" s="2">
        <f>HYPERLINK("http://ts.21cn.com/tousu/show/id/1366781","小电扣押金")</f>
      </c>
      <c r="C6084" t="s" s="2">
        <v>15</v>
      </c>
      <c r="D6084" t="s" s="2">
        <v>16</v>
      </c>
      <c r="E6084" t="s" s="2">
        <v>17</v>
      </c>
      <c r="F6084" t="s" s="2">
        <f>HYPERLINK("http://ts.21cn.com/tousu/show/id/1366781","http://ts.21cn.com/tousu/show/id/1366781")</f>
      </c>
      <c r="G6084" t="s" s="2">
        <v>17</v>
      </c>
      <c r="H6084" t="s" s="2">
        <v>19</v>
      </c>
      <c r="I6084" t="s" s="2">
        <v>23554</v>
      </c>
      <c r="J6084" t="s" s="2">
        <v>23555</v>
      </c>
      <c r="K6084" t="s" s="2">
        <v>22</v>
      </c>
      <c r="L6084" t="s" s="2">
        <v>22</v>
      </c>
      <c r="M6084" t="s" s="2">
        <v>22</v>
      </c>
    </row>
    <row r="6085" ht="25.0" customHeight="true">
      <c r="A6085" t="s" s="2">
        <v>13</v>
      </c>
      <c r="B6085" t="s" s="2">
        <f>HYPERLINK("http://ts.21cn.com/tousu/show/id/1366780","交易猫换绑失败仲裁不理人！")</f>
      </c>
      <c r="C6085" t="s" s="2">
        <v>52</v>
      </c>
      <c r="D6085" t="s" s="2">
        <v>16</v>
      </c>
      <c r="E6085" t="s" s="2">
        <v>17</v>
      </c>
      <c r="F6085" t="s" s="2">
        <f>HYPERLINK("http://ts.21cn.com/tousu/show/id/1366780","http://ts.21cn.com/tousu/show/id/1366780")</f>
      </c>
      <c r="G6085" t="s" s="2">
        <v>17</v>
      </c>
      <c r="H6085" t="s" s="2">
        <v>19</v>
      </c>
      <c r="I6085" t="s" s="2">
        <v>23558</v>
      </c>
      <c r="J6085" t="s" s="2">
        <v>23559</v>
      </c>
      <c r="K6085" t="s" s="2">
        <v>22</v>
      </c>
      <c r="L6085" t="s" s="2">
        <v>22</v>
      </c>
      <c r="M6085" t="s" s="2">
        <v>22</v>
      </c>
    </row>
    <row r="6086" ht="25.0" customHeight="true">
      <c r="A6086" t="s" s="2">
        <v>13</v>
      </c>
      <c r="B6086" t="s" s="2">
        <f>HYPERLINK("http://ts.21cn.com/tousu/show/id/1366778","立借平台协商不成爆通讯录")</f>
      </c>
      <c r="C6086" t="s" s="2">
        <v>15</v>
      </c>
      <c r="D6086" t="s" s="2">
        <v>16</v>
      </c>
      <c r="E6086" t="s" s="2">
        <v>17</v>
      </c>
      <c r="F6086" t="s" s="2">
        <f>HYPERLINK("http://ts.21cn.com/tousu/show/id/1366778","http://ts.21cn.com/tousu/show/id/1366778")</f>
      </c>
      <c r="G6086" t="s" s="2">
        <v>17</v>
      </c>
      <c r="H6086" t="s" s="2">
        <v>19</v>
      </c>
      <c r="I6086" t="s" s="2">
        <v>23562</v>
      </c>
      <c r="J6086" t="s" s="2">
        <v>23563</v>
      </c>
      <c r="K6086" t="s" s="2">
        <v>22</v>
      </c>
      <c r="L6086" t="s" s="2">
        <v>22</v>
      </c>
      <c r="M6086" t="s" s="2">
        <v>22</v>
      </c>
    </row>
    <row r="6087" ht="25.0" customHeight="true">
      <c r="A6087" t="s" s="2">
        <v>13</v>
      </c>
      <c r="B6087" t="s" s="2">
        <f>HYPERLINK("http://ts.21cn.com/tousu/show/id/1366777","每日优鲜虚假宣传，误导诱导用户")</f>
      </c>
      <c r="C6087" t="s" s="2">
        <v>15</v>
      </c>
      <c r="D6087" t="s" s="2">
        <v>16</v>
      </c>
      <c r="E6087" t="s" s="2">
        <v>17</v>
      </c>
      <c r="F6087" t="s" s="2">
        <f>HYPERLINK("http://ts.21cn.com/tousu/show/id/1366777","http://ts.21cn.com/tousu/show/id/1366777")</f>
      </c>
      <c r="G6087" t="s" s="2">
        <v>17</v>
      </c>
      <c r="H6087" t="s" s="2">
        <v>19</v>
      </c>
      <c r="I6087" t="s" s="2">
        <v>23565</v>
      </c>
      <c r="J6087" t="s" s="2">
        <v>23566</v>
      </c>
      <c r="K6087" t="s" s="2">
        <v>22</v>
      </c>
      <c r="L6087" t="s" s="2">
        <v>22</v>
      </c>
      <c r="M6087" t="s" s="2">
        <v>22</v>
      </c>
    </row>
    <row r="6088" ht="25.0" customHeight="true">
      <c r="A6088" t="s" s="2">
        <v>13</v>
      </c>
      <c r="B6088" t="s" s="2">
        <f>HYPERLINK("http://ts.21cn.com/tousu/show/id/1366775","用钱宝爆通讯录乱催收")</f>
      </c>
      <c r="C6088" t="s" s="2">
        <v>15</v>
      </c>
      <c r="D6088" t="s" s="2">
        <v>16</v>
      </c>
      <c r="E6088" t="s" s="2">
        <v>17</v>
      </c>
      <c r="F6088" t="s" s="2">
        <f>HYPERLINK("http://ts.21cn.com/tousu/show/id/1366775","http://ts.21cn.com/tousu/show/id/1366775")</f>
      </c>
      <c r="G6088" t="s" s="2">
        <v>17</v>
      </c>
      <c r="H6088" t="s" s="2">
        <v>19</v>
      </c>
      <c r="I6088" t="s" s="2">
        <v>23569</v>
      </c>
      <c r="J6088" t="s" s="2">
        <v>23570</v>
      </c>
      <c r="K6088" t="s" s="2">
        <v>22</v>
      </c>
      <c r="L6088" t="s" s="2">
        <v>22</v>
      </c>
      <c r="M6088" t="s" s="2">
        <v>22</v>
      </c>
    </row>
    <row r="6089" ht="25.0" customHeight="true">
      <c r="A6089" t="s" s="2">
        <v>13</v>
      </c>
      <c r="B6089" t="s" s="2">
        <f>HYPERLINK("http://ts.21cn.com/tousu/show/id/1366776","小木钱包催收不给销账")</f>
      </c>
      <c r="C6089" t="s" s="2">
        <v>15</v>
      </c>
      <c r="D6089" t="s" s="2">
        <v>16</v>
      </c>
      <c r="E6089" t="s" s="2">
        <v>17</v>
      </c>
      <c r="F6089" t="s" s="2">
        <f>HYPERLINK("http://ts.21cn.com/tousu/show/id/1366776","http://ts.21cn.com/tousu/show/id/1366776")</f>
      </c>
      <c r="G6089" t="s" s="2">
        <v>17</v>
      </c>
      <c r="H6089" t="s" s="2">
        <v>19</v>
      </c>
      <c r="I6089" t="s" s="2">
        <v>23573</v>
      </c>
      <c r="J6089" t="s" s="2">
        <v>23574</v>
      </c>
      <c r="K6089" t="s" s="2">
        <v>22</v>
      </c>
      <c r="L6089" t="s" s="2">
        <v>22</v>
      </c>
      <c r="M6089" t="s" s="2">
        <v>22</v>
      </c>
    </row>
    <row r="6090" ht="25.0" customHeight="true">
      <c r="A6090" t="s" s="2">
        <v>13</v>
      </c>
      <c r="B6090" t="s" s="2">
        <f>HYPERLINK("http://ts.21cn.com/tousu/show/id/1366773","拍拍贷爆通讯录，收取高额手续费")</f>
      </c>
      <c r="C6090" t="s" s="2">
        <v>15</v>
      </c>
      <c r="D6090" t="s" s="2">
        <v>16</v>
      </c>
      <c r="E6090" t="s" s="2">
        <v>17</v>
      </c>
      <c r="F6090" t="s" s="2">
        <f>HYPERLINK("http://ts.21cn.com/tousu/show/id/1366773","http://ts.21cn.com/tousu/show/id/1366773")</f>
      </c>
      <c r="G6090" t="s" s="2">
        <v>17</v>
      </c>
      <c r="H6090" t="s" s="2">
        <v>19</v>
      </c>
      <c r="I6090" t="s" s="2">
        <v>23577</v>
      </c>
      <c r="J6090" t="s" s="2">
        <v>23578</v>
      </c>
      <c r="K6090" t="s" s="2">
        <v>22</v>
      </c>
      <c r="L6090" t="s" s="2">
        <v>22</v>
      </c>
      <c r="M6090" t="s" s="2">
        <v>22</v>
      </c>
    </row>
    <row r="6091" ht="25.0" customHeight="true">
      <c r="A6091" t="s" s="2">
        <v>13</v>
      </c>
      <c r="B6091" t="s" s="2">
        <f>HYPERLINK("http://ts.21cn.com/tousu/show/id/1366771","网贷平台下款与合同不符，利息超高")</f>
      </c>
      <c r="C6091" t="s" s="2">
        <v>52</v>
      </c>
      <c r="D6091" t="s" s="2">
        <v>16</v>
      </c>
      <c r="E6091" t="s" s="2">
        <v>17</v>
      </c>
      <c r="F6091" t="s" s="2">
        <f>HYPERLINK("http://ts.21cn.com/tousu/show/id/1366771","http://ts.21cn.com/tousu/show/id/1366771")</f>
      </c>
      <c r="G6091" t="s" s="2">
        <v>17</v>
      </c>
      <c r="H6091" t="s" s="2">
        <v>19</v>
      </c>
      <c r="I6091" t="s" s="2">
        <v>23581</v>
      </c>
      <c r="J6091" t="s" s="2">
        <v>23582</v>
      </c>
      <c r="K6091" t="s" s="2">
        <v>22</v>
      </c>
      <c r="L6091" t="s" s="2">
        <v>22</v>
      </c>
      <c r="M6091" t="s" s="2">
        <v>22</v>
      </c>
    </row>
    <row r="6092" ht="25.0" customHeight="true">
      <c r="A6092" t="s" s="2">
        <v>13</v>
      </c>
      <c r="B6092" t="s" s="2">
        <f>HYPERLINK("http://ts.21cn.com/tousu/show/id/1366772","泄漏客户信息")</f>
      </c>
      <c r="C6092" t="s" s="2">
        <v>15</v>
      </c>
      <c r="D6092" t="s" s="2">
        <v>16</v>
      </c>
      <c r="E6092" t="s" s="2">
        <v>17</v>
      </c>
      <c r="F6092" t="s" s="2">
        <f>HYPERLINK("http://ts.21cn.com/tousu/show/id/1366772","http://ts.21cn.com/tousu/show/id/1366772")</f>
      </c>
      <c r="G6092" t="s" s="2">
        <v>17</v>
      </c>
      <c r="H6092" t="s" s="2">
        <v>19</v>
      </c>
      <c r="I6092" t="s" s="2">
        <v>23585</v>
      </c>
      <c r="J6092" t="s" s="2">
        <v>23586</v>
      </c>
      <c r="K6092" t="s" s="2">
        <v>22</v>
      </c>
      <c r="L6092" t="s" s="2">
        <v>22</v>
      </c>
      <c r="M6092" t="s" s="2">
        <v>22</v>
      </c>
    </row>
    <row r="6093" ht="25.0" customHeight="true">
      <c r="A6093" t="s" s="2">
        <v>13</v>
      </c>
      <c r="B6093" t="s" s="2">
        <f>HYPERLINK("http://ts.21cn.com/tousu/show/id/1366770","小铜钱伙同讯联智付盗刷银行卡")</f>
      </c>
      <c r="C6093" t="s" s="2">
        <v>15</v>
      </c>
      <c r="D6093" t="s" s="2">
        <v>16</v>
      </c>
      <c r="E6093" t="s" s="2">
        <v>17</v>
      </c>
      <c r="F6093" t="s" s="2">
        <f>HYPERLINK("http://ts.21cn.com/tousu/show/id/1366770","http://ts.21cn.com/tousu/show/id/1366770")</f>
      </c>
      <c r="G6093" t="s" s="2">
        <v>17</v>
      </c>
      <c r="H6093" t="s" s="2">
        <v>19</v>
      </c>
      <c r="I6093" t="s" s="2">
        <v>23589</v>
      </c>
      <c r="J6093" t="s" s="2">
        <v>23590</v>
      </c>
      <c r="K6093" t="s" s="2">
        <v>22</v>
      </c>
      <c r="L6093" t="s" s="2">
        <v>22</v>
      </c>
      <c r="M6093" t="s" s="2">
        <v>22</v>
      </c>
    </row>
    <row r="6094" ht="25.0" customHeight="true">
      <c r="A6094" t="s" s="2">
        <v>13</v>
      </c>
      <c r="B6094" t="s" s="2">
        <f>HYPERLINK("http://ts.21cn.com/tousu/show/id/1366769","私自扣款")</f>
      </c>
      <c r="C6094" t="s" s="2">
        <v>15</v>
      </c>
      <c r="D6094" t="s" s="2">
        <v>16</v>
      </c>
      <c r="E6094" t="s" s="2">
        <v>17</v>
      </c>
      <c r="F6094" t="s" s="2">
        <f>HYPERLINK("http://ts.21cn.com/tousu/show/id/1366769","http://ts.21cn.com/tousu/show/id/1366769")</f>
      </c>
      <c r="G6094" t="s" s="2">
        <v>17</v>
      </c>
      <c r="H6094" t="s" s="2">
        <v>19</v>
      </c>
      <c r="I6094" t="s" s="2">
        <v>23593</v>
      </c>
      <c r="J6094" t="s" s="2">
        <v>23594</v>
      </c>
      <c r="K6094" t="s" s="2">
        <v>22</v>
      </c>
      <c r="L6094" t="s" s="2">
        <v>22</v>
      </c>
      <c r="M6094" t="s" s="2">
        <v>22</v>
      </c>
    </row>
    <row r="6095" ht="25.0" customHeight="true">
      <c r="A6095" t="s" s="2">
        <v>13</v>
      </c>
      <c r="B6095" t="s" s="2">
        <f>HYPERLINK("http://ts.21cn.com/tousu/show/id/1366767","每日优鲜虚假宣传，误导诱导用户")</f>
      </c>
      <c r="C6095" t="s" s="2">
        <v>15</v>
      </c>
      <c r="D6095" t="s" s="2">
        <v>16</v>
      </c>
      <c r="E6095" t="s" s="2">
        <v>17</v>
      </c>
      <c r="F6095" t="s" s="2">
        <f>HYPERLINK("http://ts.21cn.com/tousu/show/id/1366767","http://ts.21cn.com/tousu/show/id/1366767")</f>
      </c>
      <c r="G6095" t="s" s="2">
        <v>17</v>
      </c>
      <c r="H6095" t="s" s="2">
        <v>19</v>
      </c>
      <c r="I6095" t="s" s="2">
        <v>23596</v>
      </c>
      <c r="J6095" t="s" s="2">
        <v>23597</v>
      </c>
      <c r="K6095" t="s" s="2">
        <v>22</v>
      </c>
      <c r="L6095" t="s" s="2">
        <v>22</v>
      </c>
      <c r="M6095" t="s" s="2">
        <v>22</v>
      </c>
    </row>
    <row r="6096" ht="25.0" customHeight="true">
      <c r="A6096" t="s" s="2">
        <v>13</v>
      </c>
      <c r="B6096" t="s" s="2">
        <f>HYPERLINK("http://ts.21cn.com/tousu/show/id/1366768","去哪儿网订酒店，取消扣全款")</f>
      </c>
      <c r="C6096" t="s" s="2">
        <v>15</v>
      </c>
      <c r="D6096" t="s" s="2">
        <v>16</v>
      </c>
      <c r="E6096" t="s" s="2">
        <v>17</v>
      </c>
      <c r="F6096" t="s" s="2">
        <f>HYPERLINK("http://ts.21cn.com/tousu/show/id/1366768","http://ts.21cn.com/tousu/show/id/1366768")</f>
      </c>
      <c r="G6096" t="s" s="2">
        <v>17</v>
      </c>
      <c r="H6096" t="s" s="2">
        <v>19</v>
      </c>
      <c r="I6096" t="s" s="2">
        <v>23600</v>
      </c>
      <c r="J6096" t="s" s="2">
        <v>23601</v>
      </c>
      <c r="K6096" t="s" s="2">
        <v>22</v>
      </c>
      <c r="L6096" t="s" s="2">
        <v>22</v>
      </c>
      <c r="M6096" t="s" s="2">
        <v>22</v>
      </c>
    </row>
    <row r="6097" ht="25.0" customHeight="true">
      <c r="A6097" t="s" s="2">
        <v>13</v>
      </c>
      <c r="B6097" t="s" s="2">
        <f>HYPERLINK("http://ts.21cn.com/tousu/show/id/1366766","汇通租赁公司合同不明、暴力催收")</f>
      </c>
      <c r="C6097" t="s" s="2">
        <v>15</v>
      </c>
      <c r="D6097" t="s" s="2">
        <v>16</v>
      </c>
      <c r="E6097" t="s" s="2">
        <v>17</v>
      </c>
      <c r="F6097" t="s" s="2">
        <f>HYPERLINK("http://ts.21cn.com/tousu/show/id/1366766","http://ts.21cn.com/tousu/show/id/1366766")</f>
      </c>
      <c r="G6097" t="s" s="2">
        <v>17</v>
      </c>
      <c r="H6097" t="s" s="2">
        <v>19</v>
      </c>
      <c r="I6097" t="s" s="2">
        <v>23604</v>
      </c>
      <c r="J6097" t="s" s="2">
        <v>23605</v>
      </c>
      <c r="K6097" t="s" s="2">
        <v>22</v>
      </c>
      <c r="L6097" t="s" s="2">
        <v>22</v>
      </c>
      <c r="M6097" t="s" s="2">
        <v>22</v>
      </c>
    </row>
    <row r="6098" ht="25.0" customHeight="true">
      <c r="A6098" t="s" s="2">
        <v>13</v>
      </c>
      <c r="B6098" t="s" s="2">
        <f>HYPERLINK("http://ts.21cn.com/tousu/show/id/1366765","维信卡卡贷爆通讯录电话和短信")</f>
      </c>
      <c r="C6098" t="s" s="2">
        <v>15</v>
      </c>
      <c r="D6098" t="s" s="2">
        <v>16</v>
      </c>
      <c r="E6098" t="s" s="2">
        <v>17</v>
      </c>
      <c r="F6098" t="s" s="2">
        <f>HYPERLINK("http://ts.21cn.com/tousu/show/id/1366765","http://ts.21cn.com/tousu/show/id/1366765")</f>
      </c>
      <c r="G6098" t="s" s="2">
        <v>17</v>
      </c>
      <c r="H6098" t="s" s="2">
        <v>19</v>
      </c>
      <c r="I6098" t="s" s="2">
        <v>23608</v>
      </c>
      <c r="J6098" t="s" s="2">
        <v>23609</v>
      </c>
      <c r="K6098" t="s" s="2">
        <v>22</v>
      </c>
      <c r="L6098" t="s" s="2">
        <v>22</v>
      </c>
      <c r="M6098" t="s" s="2">
        <v>22</v>
      </c>
    </row>
    <row r="6099" ht="25.0" customHeight="true">
      <c r="A6099" t="s" s="2">
        <v>13</v>
      </c>
      <c r="B6099" t="s" s="2">
        <f>HYPERLINK("http://ts.21cn.com/tousu/show/id/1366764","丰修业务员太业余，iPhoneX手机给修坏不承认")</f>
      </c>
      <c r="C6099" t="s" s="2">
        <v>15</v>
      </c>
      <c r="D6099" t="s" s="2">
        <v>16</v>
      </c>
      <c r="E6099" t="s" s="2">
        <v>17</v>
      </c>
      <c r="F6099" t="s" s="2">
        <f>HYPERLINK("http://ts.21cn.com/tousu/show/id/1366764","http://ts.21cn.com/tousu/show/id/1366764")</f>
      </c>
      <c r="G6099" t="s" s="2">
        <v>17</v>
      </c>
      <c r="H6099" t="s" s="2">
        <v>19</v>
      </c>
      <c r="I6099" t="s" s="2">
        <v>23612</v>
      </c>
      <c r="J6099" t="s" s="2">
        <v>23613</v>
      </c>
      <c r="K6099" t="s" s="2">
        <v>22</v>
      </c>
      <c r="L6099" t="s" s="2">
        <v>22</v>
      </c>
      <c r="M6099" t="s" s="2">
        <v>22</v>
      </c>
    </row>
    <row r="6100" ht="25.0" customHeight="true">
      <c r="A6100" t="s" s="2">
        <v>13</v>
      </c>
      <c r="B6100" t="s" s="2">
        <f>HYPERLINK("http://ts.21cn.com/tousu/show/id/1366762","有鱼粮暴力催收群发通讯录")</f>
      </c>
      <c r="C6100" t="s" s="2">
        <v>15</v>
      </c>
      <c r="D6100" t="s" s="2">
        <v>16</v>
      </c>
      <c r="E6100" t="s" s="2">
        <v>17</v>
      </c>
      <c r="F6100" t="s" s="2">
        <f>HYPERLINK("http://ts.21cn.com/tousu/show/id/1366762","http://ts.21cn.com/tousu/show/id/1366762")</f>
      </c>
      <c r="G6100" t="s" s="2">
        <v>17</v>
      </c>
      <c r="H6100" t="s" s="2">
        <v>19</v>
      </c>
      <c r="I6100" t="s" s="2">
        <v>23616</v>
      </c>
      <c r="J6100" t="s" s="2">
        <v>23617</v>
      </c>
      <c r="K6100" t="s" s="2">
        <v>22</v>
      </c>
      <c r="L6100" t="s" s="2">
        <v>22</v>
      </c>
      <c r="M6100" t="s" s="2">
        <v>22</v>
      </c>
    </row>
    <row r="6101" ht="25.0" customHeight="true">
      <c r="A6101" t="s" s="2">
        <v>13</v>
      </c>
      <c r="B6101" t="s" s="2">
        <f>HYPERLINK("http://ts.21cn.com/tousu/show/id/1366760","卧龙钱包黑网贷")</f>
      </c>
      <c r="C6101" t="s" s="2">
        <v>15</v>
      </c>
      <c r="D6101" t="s" s="2">
        <v>16</v>
      </c>
      <c r="E6101" t="s" s="2">
        <v>17</v>
      </c>
      <c r="F6101" t="s" s="2">
        <f>HYPERLINK("http://ts.21cn.com/tousu/show/id/1366760","http://ts.21cn.com/tousu/show/id/1366760")</f>
      </c>
      <c r="G6101" t="s" s="2">
        <v>17</v>
      </c>
      <c r="H6101" t="s" s="2">
        <v>19</v>
      </c>
      <c r="I6101" t="s" s="2">
        <v>23620</v>
      </c>
      <c r="J6101" t="s" s="2">
        <v>23621</v>
      </c>
      <c r="K6101" t="s" s="2">
        <v>22</v>
      </c>
      <c r="L6101" t="s" s="2">
        <v>22</v>
      </c>
      <c r="M6101" t="s" s="2">
        <v>22</v>
      </c>
    </row>
    <row r="6102" ht="25.0" customHeight="true">
      <c r="A6102" t="s" s="2">
        <v>13</v>
      </c>
      <c r="B6102" t="s" s="2">
        <f>HYPERLINK("http://ts.21cn.com/tousu/show/id/1366761","小象优品恶意催熟收")</f>
      </c>
      <c r="C6102" t="s" s="2">
        <v>15</v>
      </c>
      <c r="D6102" t="s" s="2">
        <v>16</v>
      </c>
      <c r="E6102" t="s" s="2">
        <v>17</v>
      </c>
      <c r="F6102" t="s" s="2">
        <f>HYPERLINK("http://ts.21cn.com/tousu/show/id/1366761","http://ts.21cn.com/tousu/show/id/1366761")</f>
      </c>
      <c r="G6102" t="s" s="2">
        <v>17</v>
      </c>
      <c r="H6102" t="s" s="2">
        <v>19</v>
      </c>
      <c r="I6102" t="s" s="2">
        <v>23624</v>
      </c>
      <c r="J6102" t="s" s="2">
        <v>23625</v>
      </c>
      <c r="K6102" t="s" s="2">
        <v>22</v>
      </c>
      <c r="L6102" t="s" s="2">
        <v>22</v>
      </c>
      <c r="M6102" t="s" s="2">
        <v>22</v>
      </c>
    </row>
    <row r="6103" ht="25.0" customHeight="true">
      <c r="A6103" t="s" s="2">
        <v>13</v>
      </c>
      <c r="B6103" t="s" s="2">
        <f>HYPERLINK("http://ts.21cn.com/tousu/show/id/1366759","钱伴平台客服威胁态度差")</f>
      </c>
      <c r="C6103" t="s" s="2">
        <v>15</v>
      </c>
      <c r="D6103" t="s" s="2">
        <v>16</v>
      </c>
      <c r="E6103" t="s" s="2">
        <v>17</v>
      </c>
      <c r="F6103" t="s" s="2">
        <f>HYPERLINK("http://ts.21cn.com/tousu/show/id/1366759","http://ts.21cn.com/tousu/show/id/1366759")</f>
      </c>
      <c r="G6103" t="s" s="2">
        <v>17</v>
      </c>
      <c r="H6103" t="s" s="2">
        <v>19</v>
      </c>
      <c r="I6103" t="s" s="2">
        <v>23628</v>
      </c>
      <c r="J6103" t="s" s="2">
        <v>23629</v>
      </c>
      <c r="K6103" t="s" s="2">
        <v>22</v>
      </c>
      <c r="L6103" t="s" s="2">
        <v>22</v>
      </c>
      <c r="M6103" t="s" s="2">
        <v>22</v>
      </c>
    </row>
    <row r="6104" ht="25.0" customHeight="true">
      <c r="A6104" t="s" s="2">
        <v>13</v>
      </c>
      <c r="B6104" t="s" s="2">
        <f>HYPERLINK("http://ts.21cn.com/tousu/show/id/1366758","平安普惠催收人员骚扰我公司领导同事")</f>
      </c>
      <c r="C6104" t="s" s="2">
        <v>15</v>
      </c>
      <c r="D6104" t="s" s="2">
        <v>16</v>
      </c>
      <c r="E6104" t="s" s="2">
        <v>17</v>
      </c>
      <c r="F6104" t="s" s="2">
        <f>HYPERLINK("http://ts.21cn.com/tousu/show/id/1366758","http://ts.21cn.com/tousu/show/id/1366758")</f>
      </c>
      <c r="G6104" t="s" s="2">
        <v>17</v>
      </c>
      <c r="H6104" t="s" s="2">
        <v>19</v>
      </c>
      <c r="I6104" t="s" s="2">
        <v>23632</v>
      </c>
      <c r="J6104" t="s" s="2">
        <v>23633</v>
      </c>
      <c r="K6104" t="s" s="2">
        <v>22</v>
      </c>
      <c r="L6104" t="s" s="2">
        <v>22</v>
      </c>
      <c r="M6104" t="s" s="2">
        <v>22</v>
      </c>
    </row>
    <row r="6105" ht="25.0" customHeight="true">
      <c r="A6105" t="s" s="2">
        <v>13</v>
      </c>
      <c r="B6105" t="s" s="2">
        <f>HYPERLINK("http://ts.21cn.com/tousu/show/id/1366732","卡卡贷恶意催收曝光通讯录编造事实")</f>
      </c>
      <c r="C6105" t="s" s="2">
        <v>15</v>
      </c>
      <c r="D6105" t="s" s="2">
        <v>16</v>
      </c>
      <c r="E6105" t="s" s="2">
        <v>17</v>
      </c>
      <c r="F6105" t="s" s="2">
        <f>HYPERLINK("http://ts.21cn.com/tousu/show/id/1366732","http://ts.21cn.com/tousu/show/id/1366732")</f>
      </c>
      <c r="G6105" t="s" s="2">
        <v>17</v>
      </c>
      <c r="H6105" t="s" s="2">
        <v>19</v>
      </c>
      <c r="I6105" t="s" s="2">
        <v>23636</v>
      </c>
      <c r="J6105" t="s" s="2">
        <v>23637</v>
      </c>
      <c r="K6105" t="s" s="2">
        <v>22</v>
      </c>
      <c r="L6105" t="s" s="2">
        <v>22</v>
      </c>
      <c r="M6105" t="s" s="2">
        <v>22</v>
      </c>
    </row>
    <row r="6106" ht="25.0" customHeight="true">
      <c r="A6106" t="s" s="2">
        <v>13</v>
      </c>
      <c r="B6106" t="s" s="2">
        <f>HYPERLINK("http://ts.21cn.com/tousu/show/id/1366757","恶意催费")</f>
      </c>
      <c r="C6106" t="s" s="2">
        <v>15</v>
      </c>
      <c r="D6106" t="s" s="2">
        <v>16</v>
      </c>
      <c r="E6106" t="s" s="2">
        <v>17</v>
      </c>
      <c r="F6106" t="s" s="2">
        <f>HYPERLINK("http://ts.21cn.com/tousu/show/id/1366757","http://ts.21cn.com/tousu/show/id/1366757")</f>
      </c>
      <c r="G6106" t="s" s="2">
        <v>17</v>
      </c>
      <c r="H6106" t="s" s="2">
        <v>19</v>
      </c>
      <c r="I6106" t="s" s="2">
        <v>23640</v>
      </c>
      <c r="J6106" t="s" s="2">
        <v>23641</v>
      </c>
      <c r="K6106" t="s" s="2">
        <v>22</v>
      </c>
      <c r="L6106" t="s" s="2">
        <v>22</v>
      </c>
      <c r="M6106" t="s" s="2">
        <v>22</v>
      </c>
    </row>
    <row r="6107" ht="25.0" customHeight="true">
      <c r="A6107" t="s" s="2">
        <v>13</v>
      </c>
      <c r="B6107" t="s" s="2">
        <f>HYPERLINK("http://ts.21cn.com/tousu/show/id/1366756","分期乐暴力催收")</f>
      </c>
      <c r="C6107" t="s" s="2">
        <v>15</v>
      </c>
      <c r="D6107" t="s" s="2">
        <v>16</v>
      </c>
      <c r="E6107" t="s" s="2">
        <v>17</v>
      </c>
      <c r="F6107" t="s" s="2">
        <f>HYPERLINK("http://ts.21cn.com/tousu/show/id/1366756","http://ts.21cn.com/tousu/show/id/1366756")</f>
      </c>
      <c r="G6107" t="s" s="2">
        <v>17</v>
      </c>
      <c r="H6107" t="s" s="2">
        <v>19</v>
      </c>
      <c r="I6107" t="s" s="2">
        <v>23643</v>
      </c>
      <c r="J6107" t="s" s="2">
        <v>23644</v>
      </c>
      <c r="K6107" t="s" s="2">
        <v>22</v>
      </c>
      <c r="L6107" t="s" s="2">
        <v>22</v>
      </c>
      <c r="M6107" t="s" s="2">
        <v>22</v>
      </c>
    </row>
    <row r="6108" ht="25.0" customHeight="true">
      <c r="A6108" t="s" s="2">
        <v>13</v>
      </c>
      <c r="B6108" t="s" s="2">
        <f>HYPERLINK("http://ts.21cn.com/tousu/show/id/1366755","我的企业在抖音认证没有通过已交了600元的认证费我申请抖音退款但是抖音拒绝退款")</f>
      </c>
      <c r="C6108" t="s" s="2">
        <v>15</v>
      </c>
      <c r="D6108" t="s" s="2">
        <v>16</v>
      </c>
      <c r="E6108" t="s" s="2">
        <v>17</v>
      </c>
      <c r="F6108" t="s" s="2">
        <f>HYPERLINK("http://ts.21cn.com/tousu/show/id/1366755","http://ts.21cn.com/tousu/show/id/1366755")</f>
      </c>
      <c r="G6108" t="s" s="2">
        <v>17</v>
      </c>
      <c r="H6108" t="s" s="2">
        <v>19</v>
      </c>
      <c r="I6108" t="s" s="2">
        <v>23647</v>
      </c>
      <c r="J6108" t="s" s="2">
        <v>23648</v>
      </c>
      <c r="K6108" t="s" s="2">
        <v>22</v>
      </c>
      <c r="L6108" t="s" s="2">
        <v>22</v>
      </c>
      <c r="M6108" t="s" s="2">
        <v>22</v>
      </c>
    </row>
    <row r="6109" ht="25.0" customHeight="true">
      <c r="A6109" t="s" s="2">
        <v>13</v>
      </c>
      <c r="B6109" t="s" s="2">
        <f>HYPERLINK("http://ts.21cn.com/tousu/show/id/1366754","好易借催款骂脏话高利")</f>
      </c>
      <c r="C6109" t="s" s="2">
        <v>15</v>
      </c>
      <c r="D6109" t="s" s="2">
        <v>16</v>
      </c>
      <c r="E6109" t="s" s="2">
        <v>17</v>
      </c>
      <c r="F6109" t="s" s="2">
        <f>HYPERLINK("http://ts.21cn.com/tousu/show/id/1366754","http://ts.21cn.com/tousu/show/id/1366754")</f>
      </c>
      <c r="G6109" t="s" s="2">
        <v>17</v>
      </c>
      <c r="H6109" t="s" s="2">
        <v>19</v>
      </c>
      <c r="I6109" t="s" s="2">
        <v>23651</v>
      </c>
      <c r="J6109" t="s" s="2">
        <v>23652</v>
      </c>
      <c r="K6109" t="s" s="2">
        <v>22</v>
      </c>
      <c r="L6109" t="s" s="2">
        <v>22</v>
      </c>
      <c r="M6109" t="s" s="2">
        <v>22</v>
      </c>
    </row>
    <row r="6110" ht="25.0" customHeight="true">
      <c r="A6110" t="s" s="2">
        <v>13</v>
      </c>
      <c r="B6110" t="s" s="2">
        <f>HYPERLINK("http://ts.21cn.com/tousu/show/id/1366753","饿了么严重食品安全问题")</f>
      </c>
      <c r="C6110" t="s" s="2">
        <v>52</v>
      </c>
      <c r="D6110" t="s" s="2">
        <v>16</v>
      </c>
      <c r="E6110" t="s" s="2">
        <v>17</v>
      </c>
      <c r="F6110" t="s" s="2">
        <f>HYPERLINK("http://ts.21cn.com/tousu/show/id/1366753","http://ts.21cn.com/tousu/show/id/1366753")</f>
      </c>
      <c r="G6110" t="s" s="2">
        <v>17</v>
      </c>
      <c r="H6110" t="s" s="2">
        <v>19</v>
      </c>
      <c r="I6110" t="s" s="2">
        <v>23655</v>
      </c>
      <c r="J6110" t="s" s="2">
        <v>23656</v>
      </c>
      <c r="K6110" t="s" s="2">
        <v>22</v>
      </c>
      <c r="L6110" t="s" s="2">
        <v>22</v>
      </c>
      <c r="M6110" t="s" s="2">
        <v>22</v>
      </c>
    </row>
    <row r="6111" ht="25.0" customHeight="true">
      <c r="A6111" t="s" s="2">
        <v>13</v>
      </c>
      <c r="B6111" t="s" s="2">
        <f>HYPERLINK("http://ts.21cn.com/tousu/show/id/1366734","钱橙无忧随意扣费")</f>
      </c>
      <c r="C6111" t="s" s="2">
        <v>15</v>
      </c>
      <c r="D6111" t="s" s="2">
        <v>16</v>
      </c>
      <c r="E6111" t="s" s="2">
        <v>17</v>
      </c>
      <c r="F6111" t="s" s="2">
        <f>HYPERLINK("http://ts.21cn.com/tousu/show/id/1366734","http://ts.21cn.com/tousu/show/id/1366734")</f>
      </c>
      <c r="G6111" t="s" s="2">
        <v>17</v>
      </c>
      <c r="H6111" t="s" s="2">
        <v>19</v>
      </c>
      <c r="I6111" t="s" s="2">
        <v>23658</v>
      </c>
      <c r="J6111" t="s" s="2">
        <v>23659</v>
      </c>
      <c r="K6111" t="s" s="2">
        <v>22</v>
      </c>
      <c r="L6111" t="s" s="2">
        <v>22</v>
      </c>
      <c r="M6111" t="s" s="2">
        <v>22</v>
      </c>
    </row>
    <row r="6112" ht="25.0" customHeight="true">
      <c r="A6112" t="s" s="2">
        <v>13</v>
      </c>
      <c r="B6112" t="s" s="2">
        <f>HYPERLINK("http://ts.21cn.com/tousu/show/id/1366750","360借条的催收威胁我，辱骂我")</f>
      </c>
      <c r="C6112" t="s" s="2">
        <v>15</v>
      </c>
      <c r="D6112" t="s" s="2">
        <v>16</v>
      </c>
      <c r="E6112" t="s" s="2">
        <v>17</v>
      </c>
      <c r="F6112" t="s" s="2">
        <f>HYPERLINK("http://ts.21cn.com/tousu/show/id/1366750","http://ts.21cn.com/tousu/show/id/1366750")</f>
      </c>
      <c r="G6112" t="s" s="2">
        <v>17</v>
      </c>
      <c r="H6112" t="s" s="2">
        <v>19</v>
      </c>
      <c r="I6112" t="s" s="2">
        <v>23662</v>
      </c>
      <c r="J6112" t="s" s="2">
        <v>23663</v>
      </c>
      <c r="K6112" t="s" s="2">
        <v>22</v>
      </c>
      <c r="L6112" t="s" s="2">
        <v>22</v>
      </c>
      <c r="M6112" t="s" s="2">
        <v>22</v>
      </c>
    </row>
    <row r="6113" ht="25.0" customHeight="true">
      <c r="A6113" t="s" s="2">
        <v>13</v>
      </c>
      <c r="B6113" t="s" s="2">
        <f>HYPERLINK("http://ts.21cn.com/tousu/show/id/1366749","哈士骑押金难退")</f>
      </c>
      <c r="C6113" t="s" s="2">
        <v>15</v>
      </c>
      <c r="D6113" t="s" s="2">
        <v>16</v>
      </c>
      <c r="E6113" t="s" s="2">
        <v>17</v>
      </c>
      <c r="F6113" t="s" s="2">
        <f>HYPERLINK("http://ts.21cn.com/tousu/show/id/1366749","http://ts.21cn.com/tousu/show/id/1366749")</f>
      </c>
      <c r="G6113" t="s" s="2">
        <v>17</v>
      </c>
      <c r="H6113" t="s" s="2">
        <v>19</v>
      </c>
      <c r="I6113" t="s" s="2">
        <v>23666</v>
      </c>
      <c r="J6113" t="s" s="2">
        <v>23667</v>
      </c>
      <c r="K6113" t="s" s="2">
        <v>22</v>
      </c>
      <c r="L6113" t="s" s="2">
        <v>22</v>
      </c>
      <c r="M6113" t="s" s="2">
        <v>22</v>
      </c>
    </row>
    <row r="6114" ht="25.0" customHeight="true">
      <c r="A6114" t="s" s="2">
        <v>13</v>
      </c>
      <c r="B6114" t="s" s="2">
        <f>HYPERLINK("http://ts.21cn.com/tousu/show/id/1366748","天猫店铺换货不发货")</f>
      </c>
      <c r="C6114" t="s" s="2">
        <v>52</v>
      </c>
      <c r="D6114" t="s" s="2">
        <v>16</v>
      </c>
      <c r="E6114" t="s" s="2">
        <v>17</v>
      </c>
      <c r="F6114" t="s" s="2">
        <f>HYPERLINK("http://ts.21cn.com/tousu/show/id/1366748","http://ts.21cn.com/tousu/show/id/1366748")</f>
      </c>
      <c r="G6114" t="s" s="2">
        <v>17</v>
      </c>
      <c r="H6114" t="s" s="2">
        <v>19</v>
      </c>
      <c r="I6114" t="s" s="2">
        <v>23670</v>
      </c>
      <c r="J6114" t="s" s="2">
        <v>23671</v>
      </c>
      <c r="K6114" t="s" s="2">
        <v>22</v>
      </c>
      <c r="L6114" t="s" s="2">
        <v>22</v>
      </c>
      <c r="M6114" t="s" s="2">
        <v>22</v>
      </c>
    </row>
    <row r="6115" ht="25.0" customHeight="true">
      <c r="A6115" t="s" s="2">
        <v>13</v>
      </c>
      <c r="B6115" t="s" s="2">
        <f>HYPERLINK("http://ts.21cn.com/tousu/show/id/1366746","误导我在网站app通过微信扫码支持了苏宁众筹")</f>
      </c>
      <c r="C6115" t="s" s="2">
        <v>15</v>
      </c>
      <c r="D6115" t="s" s="2">
        <v>16</v>
      </c>
      <c r="E6115" t="s" s="2">
        <v>17</v>
      </c>
      <c r="F6115" t="s" s="2">
        <f>HYPERLINK("http://ts.21cn.com/tousu/show/id/1366746","http://ts.21cn.com/tousu/show/id/1366746")</f>
      </c>
      <c r="G6115" t="s" s="2">
        <v>17</v>
      </c>
      <c r="H6115" t="s" s="2">
        <v>19</v>
      </c>
      <c r="I6115" t="s" s="2">
        <v>23674</v>
      </c>
      <c r="J6115" t="s" s="2">
        <v>23675</v>
      </c>
      <c r="K6115" t="s" s="2">
        <v>22</v>
      </c>
      <c r="L6115" t="s" s="2">
        <v>22</v>
      </c>
      <c r="M6115" t="s" s="2">
        <v>22</v>
      </c>
    </row>
    <row r="6116" ht="25.0" customHeight="true">
      <c r="A6116" t="s" s="2">
        <v>13</v>
      </c>
      <c r="B6116" t="s" s="2">
        <f>HYPERLINK("http://ts.21cn.com/tousu/show/id/1366747","就逾期了10天3674元就变成了8000多？浦发银行的这么黑？")</f>
      </c>
      <c r="C6116" t="s" s="2">
        <v>15</v>
      </c>
      <c r="D6116" t="s" s="2">
        <v>16</v>
      </c>
      <c r="E6116" t="s" s="2">
        <v>17</v>
      </c>
      <c r="F6116" t="s" s="2">
        <f>HYPERLINK("http://ts.21cn.com/tousu/show/id/1366747","http://ts.21cn.com/tousu/show/id/1366747")</f>
      </c>
      <c r="G6116" t="s" s="2">
        <v>17</v>
      </c>
      <c r="H6116" t="s" s="2">
        <v>19</v>
      </c>
      <c r="I6116" t="s" s="2">
        <v>23678</v>
      </c>
      <c r="J6116" t="s" s="2">
        <v>23679</v>
      </c>
      <c r="K6116" t="s" s="2">
        <v>22</v>
      </c>
      <c r="L6116" t="s" s="2">
        <v>22</v>
      </c>
      <c r="M6116" t="s" s="2">
        <v>22</v>
      </c>
    </row>
    <row r="6117" ht="25.0" customHeight="true">
      <c r="A6117" t="s" s="2">
        <v>13</v>
      </c>
      <c r="B6117" t="s" s="2">
        <f>HYPERLINK("http://ts.21cn.com/tousu/show/id/1366744","被扣款")</f>
      </c>
      <c r="C6117" t="s" s="2">
        <v>15</v>
      </c>
      <c r="D6117" t="s" s="2">
        <v>16</v>
      </c>
      <c r="E6117" t="s" s="2">
        <v>17</v>
      </c>
      <c r="F6117" t="s" s="2">
        <f>HYPERLINK("http://ts.21cn.com/tousu/show/id/1366744","http://ts.21cn.com/tousu/show/id/1366744")</f>
      </c>
      <c r="G6117" t="s" s="2">
        <v>17</v>
      </c>
      <c r="H6117" t="s" s="2">
        <v>19</v>
      </c>
      <c r="I6117" t="s" s="2">
        <v>23682</v>
      </c>
      <c r="J6117" t="s" s="2">
        <v>23683</v>
      </c>
      <c r="K6117" t="s" s="2">
        <v>22</v>
      </c>
      <c r="L6117" t="s" s="2">
        <v>22</v>
      </c>
      <c r="M6117" t="s" s="2">
        <v>22</v>
      </c>
    </row>
    <row r="6118" ht="25.0" customHeight="true">
      <c r="A6118" t="s" s="2">
        <v>13</v>
      </c>
      <c r="B6118" t="s" s="2">
        <f>HYPERLINK("http://ts.21cn.com/tousu/show/id/1366743","荔枝APP自动勾选同意充值协议，后果程序卡顿时造成直接付款且不予以回退")</f>
      </c>
      <c r="C6118" t="s" s="2">
        <v>15</v>
      </c>
      <c r="D6118" t="s" s="2">
        <v>16</v>
      </c>
      <c r="E6118" t="s" s="2">
        <v>17</v>
      </c>
      <c r="F6118" t="s" s="2">
        <f>HYPERLINK("http://ts.21cn.com/tousu/show/id/1366743","http://ts.21cn.com/tousu/show/id/1366743")</f>
      </c>
      <c r="G6118" t="s" s="2">
        <v>17</v>
      </c>
      <c r="H6118" t="s" s="2">
        <v>19</v>
      </c>
      <c r="I6118" t="s" s="2">
        <v>23686</v>
      </c>
      <c r="J6118" t="s" s="2">
        <v>23687</v>
      </c>
      <c r="K6118" t="s" s="2">
        <v>22</v>
      </c>
      <c r="L6118" t="s" s="2">
        <v>22</v>
      </c>
      <c r="M6118" t="s" s="2">
        <v>22</v>
      </c>
    </row>
    <row r="6119" ht="25.0" customHeight="true">
      <c r="A6119" t="s" s="2">
        <v>13</v>
      </c>
      <c r="B6119" t="s" s="2">
        <f>HYPERLINK("http://ts.21cn.com/tousu/show/id/1366742","支付宝委外")</f>
      </c>
      <c r="C6119" t="s" s="2">
        <v>15</v>
      </c>
      <c r="D6119" t="s" s="2">
        <v>16</v>
      </c>
      <c r="E6119" t="s" s="2">
        <v>17</v>
      </c>
      <c r="F6119" t="s" s="2">
        <f>HYPERLINK("http://ts.21cn.com/tousu/show/id/1366742","http://ts.21cn.com/tousu/show/id/1366742")</f>
      </c>
      <c r="G6119" t="s" s="2">
        <v>17</v>
      </c>
      <c r="H6119" t="s" s="2">
        <v>19</v>
      </c>
      <c r="I6119" t="s" s="2">
        <v>23690</v>
      </c>
      <c r="J6119" t="s" s="2">
        <v>23691</v>
      </c>
      <c r="K6119" t="s" s="2">
        <v>22</v>
      </c>
      <c r="L6119" t="s" s="2">
        <v>22</v>
      </c>
      <c r="M6119" t="s" s="2">
        <v>22</v>
      </c>
    </row>
    <row r="6120" ht="25.0" customHeight="true">
      <c r="A6120" t="s" s="2">
        <v>13</v>
      </c>
      <c r="B6120" t="s" s="2">
        <f>HYPERLINK("http://ts.21cn.com/tousu/show/id/1366736","在即分期平台上办理分期后私人信息泄露")</f>
      </c>
      <c r="C6120" t="s" s="2">
        <v>15</v>
      </c>
      <c r="D6120" t="s" s="2">
        <v>16</v>
      </c>
      <c r="E6120" t="s" s="2">
        <v>17</v>
      </c>
      <c r="F6120" t="s" s="2">
        <f>HYPERLINK("http://ts.21cn.com/tousu/show/id/1366736","http://ts.21cn.com/tousu/show/id/1366736")</f>
      </c>
      <c r="G6120" t="s" s="2">
        <v>17</v>
      </c>
      <c r="H6120" t="s" s="2">
        <v>19</v>
      </c>
      <c r="I6120" t="s" s="2">
        <v>23694</v>
      </c>
      <c r="J6120" t="s" s="2">
        <v>23695</v>
      </c>
      <c r="K6120" t="s" s="2">
        <v>22</v>
      </c>
      <c r="L6120" t="s" s="2">
        <v>22</v>
      </c>
      <c r="M6120" t="s" s="2">
        <v>22</v>
      </c>
    </row>
    <row r="6121" ht="25.0" customHeight="true">
      <c r="A6121" t="s" s="2">
        <v>13</v>
      </c>
      <c r="B6121" t="s" s="2">
        <f>HYPERLINK("http://ts.21cn.com/tousu/show/id/1366735","工资不给")</f>
      </c>
      <c r="C6121" t="s" s="2">
        <v>15</v>
      </c>
      <c r="D6121" t="s" s="2">
        <v>16</v>
      </c>
      <c r="E6121" t="s" s="2">
        <v>17</v>
      </c>
      <c r="F6121" t="s" s="2">
        <f>HYPERLINK("http://ts.21cn.com/tousu/show/id/1366735","http://ts.21cn.com/tousu/show/id/1366735")</f>
      </c>
      <c r="G6121" t="s" s="2">
        <v>17</v>
      </c>
      <c r="H6121" t="s" s="2">
        <v>19</v>
      </c>
      <c r="I6121" t="s" s="2">
        <v>23698</v>
      </c>
      <c r="J6121" t="s" s="2">
        <v>23699</v>
      </c>
      <c r="K6121" t="s" s="2">
        <v>22</v>
      </c>
      <c r="L6121" t="s" s="2">
        <v>22</v>
      </c>
      <c r="M6121" t="s" s="2">
        <v>22</v>
      </c>
    </row>
    <row r="6122" ht="25.0" customHeight="true">
      <c r="A6122" t="s" s="2">
        <v>13</v>
      </c>
      <c r="B6122" t="s" s="2">
        <f>HYPERLINK("http://ts.21cn.com/tousu/show/id/1366733","联通沃易贷爆通讯录并微信骚扰联系人")</f>
      </c>
      <c r="C6122" t="s" s="2">
        <v>15</v>
      </c>
      <c r="D6122" t="s" s="2">
        <v>16</v>
      </c>
      <c r="E6122" t="s" s="2">
        <v>17</v>
      </c>
      <c r="F6122" t="s" s="2">
        <f>HYPERLINK("http://ts.21cn.com/tousu/show/id/1366733","http://ts.21cn.com/tousu/show/id/1366733")</f>
      </c>
      <c r="G6122" t="s" s="2">
        <v>17</v>
      </c>
      <c r="H6122" t="s" s="2">
        <v>19</v>
      </c>
      <c r="I6122" t="s" s="2">
        <v>23702</v>
      </c>
      <c r="J6122" t="s" s="2">
        <v>23703</v>
      </c>
      <c r="K6122" t="s" s="2">
        <v>22</v>
      </c>
      <c r="L6122" t="s" s="2">
        <v>22</v>
      </c>
      <c r="M6122" t="s" s="2">
        <v>22</v>
      </c>
    </row>
    <row r="6123" ht="25.0" customHeight="true">
      <c r="A6123" t="s" s="2">
        <v>13</v>
      </c>
      <c r="B6123" t="s" s="2">
        <f>HYPERLINK("http://ts.21cn.com/tousu/show/id/1366720","诱导消费者恶意扣费")</f>
      </c>
      <c r="C6123" t="s" s="2">
        <v>15</v>
      </c>
      <c r="D6123" t="s" s="2">
        <v>16</v>
      </c>
      <c r="E6123" t="s" s="2">
        <v>17</v>
      </c>
      <c r="F6123" t="s" s="2">
        <f>HYPERLINK("http://ts.21cn.com/tousu/show/id/1366720","http://ts.21cn.com/tousu/show/id/1366720")</f>
      </c>
      <c r="G6123" t="s" s="2">
        <v>17</v>
      </c>
      <c r="H6123" t="s" s="2">
        <v>19</v>
      </c>
      <c r="I6123" t="s" s="2">
        <v>23706</v>
      </c>
      <c r="J6123" t="s" s="2">
        <v>23707</v>
      </c>
      <c r="K6123" t="s" s="2">
        <v>22</v>
      </c>
      <c r="L6123" t="s" s="2">
        <v>22</v>
      </c>
      <c r="M6123" t="s" s="2">
        <v>22</v>
      </c>
    </row>
    <row r="6124" ht="25.0" customHeight="true">
      <c r="A6124" t="s" s="2">
        <v>13</v>
      </c>
      <c r="B6124" t="s" s="2">
        <f>HYPERLINK("http://ts.21cn.com/tousu/show/id/1366731","小黄车拖延押金退还；")</f>
      </c>
      <c r="C6124" t="s" s="2">
        <v>52</v>
      </c>
      <c r="D6124" t="s" s="2">
        <v>16</v>
      </c>
      <c r="E6124" t="s" s="2">
        <v>17</v>
      </c>
      <c r="F6124" t="s" s="2">
        <f>HYPERLINK("http://ts.21cn.com/tousu/show/id/1366731","http://ts.21cn.com/tousu/show/id/1366731")</f>
      </c>
      <c r="G6124" t="s" s="2">
        <v>17</v>
      </c>
      <c r="H6124" t="s" s="2">
        <v>19</v>
      </c>
      <c r="I6124" t="s" s="2">
        <v>23710</v>
      </c>
      <c r="J6124" t="s" s="2">
        <v>23711</v>
      </c>
      <c r="K6124" t="s" s="2">
        <v>22</v>
      </c>
      <c r="L6124" t="s" s="2">
        <v>22</v>
      </c>
      <c r="M6124" t="s" s="2">
        <v>22</v>
      </c>
    </row>
    <row r="6125" ht="25.0" customHeight="true">
      <c r="A6125" t="s" s="2">
        <v>13</v>
      </c>
      <c r="B6125" t="s" s="2">
        <f>HYPERLINK("http://ts.21cn.com/tousu/show/id/1366729","微信支付被永久冻结")</f>
      </c>
      <c r="C6125" t="s" s="2">
        <v>15</v>
      </c>
      <c r="D6125" t="s" s="2">
        <v>16</v>
      </c>
      <c r="E6125" t="s" s="2">
        <v>17</v>
      </c>
      <c r="F6125" t="s" s="2">
        <f>HYPERLINK("http://ts.21cn.com/tousu/show/id/1366729","http://ts.21cn.com/tousu/show/id/1366729")</f>
      </c>
      <c r="G6125" t="s" s="2">
        <v>17</v>
      </c>
      <c r="H6125" t="s" s="2">
        <v>19</v>
      </c>
      <c r="I6125" t="s" s="2">
        <v>23714</v>
      </c>
      <c r="J6125" t="s" s="2">
        <v>23715</v>
      </c>
      <c r="K6125" t="s" s="2">
        <v>22</v>
      </c>
      <c r="L6125" t="s" s="2">
        <v>22</v>
      </c>
      <c r="M6125" t="s" s="2">
        <v>22</v>
      </c>
    </row>
    <row r="6126" ht="25.0" customHeight="true">
      <c r="A6126" t="s" s="2">
        <v>13</v>
      </c>
      <c r="B6126" t="s" s="2">
        <f>HYPERLINK("http://ts.21cn.com/tousu/show/id/1366728","钱站贷款高利贷套路贷")</f>
      </c>
      <c r="C6126" t="s" s="2">
        <v>15</v>
      </c>
      <c r="D6126" t="s" s="2">
        <v>16</v>
      </c>
      <c r="E6126" t="s" s="2">
        <v>17</v>
      </c>
      <c r="F6126" t="s" s="2">
        <f>HYPERLINK("http://ts.21cn.com/tousu/show/id/1366728","http://ts.21cn.com/tousu/show/id/1366728")</f>
      </c>
      <c r="G6126" t="s" s="2">
        <v>17</v>
      </c>
      <c r="H6126" t="s" s="2">
        <v>19</v>
      </c>
      <c r="I6126" t="s" s="2">
        <v>23718</v>
      </c>
      <c r="J6126" t="s" s="2">
        <v>23719</v>
      </c>
      <c r="K6126" t="s" s="2">
        <v>22</v>
      </c>
      <c r="L6126" t="s" s="2">
        <v>22</v>
      </c>
      <c r="M6126" t="s" s="2">
        <v>22</v>
      </c>
    </row>
    <row r="6127" ht="25.0" customHeight="true">
      <c r="A6127" t="s" s="2">
        <v>13</v>
      </c>
      <c r="B6127" t="s" s="2">
        <f>HYPERLINK("http://ts.21cn.com/tousu/show/id/1366727","高利贷")</f>
      </c>
      <c r="C6127" t="s" s="2">
        <v>15</v>
      </c>
      <c r="D6127" t="s" s="2">
        <v>16</v>
      </c>
      <c r="E6127" t="s" s="2">
        <v>17</v>
      </c>
      <c r="F6127" t="s" s="2">
        <f>HYPERLINK("http://ts.21cn.com/tousu/show/id/1366727","http://ts.21cn.com/tousu/show/id/1366727")</f>
      </c>
      <c r="G6127" t="s" s="2">
        <v>17</v>
      </c>
      <c r="H6127" t="s" s="2">
        <v>19</v>
      </c>
      <c r="I6127" t="s" s="2">
        <v>23721</v>
      </c>
      <c r="J6127" t="s" s="2">
        <v>23722</v>
      </c>
      <c r="K6127" t="s" s="2">
        <v>22</v>
      </c>
      <c r="L6127" t="s" s="2">
        <v>22</v>
      </c>
      <c r="M6127" t="s" s="2">
        <v>22</v>
      </c>
    </row>
    <row r="6128" ht="25.0" customHeight="true">
      <c r="A6128" t="s" s="2">
        <v>13</v>
      </c>
      <c r="B6128" t="s" s="2">
        <f>HYPERLINK("http://ts.21cn.com/tousu/show/id/1366725","维信豆豆砍头利、高利贷、暴力催收")</f>
      </c>
      <c r="C6128" t="s" s="2">
        <v>15</v>
      </c>
      <c r="D6128" t="s" s="2">
        <v>16</v>
      </c>
      <c r="E6128" t="s" s="2">
        <v>17</v>
      </c>
      <c r="F6128" t="s" s="2">
        <f>HYPERLINK("http://ts.21cn.com/tousu/show/id/1366725","http://ts.21cn.com/tousu/show/id/1366725")</f>
      </c>
      <c r="G6128" t="s" s="2">
        <v>17</v>
      </c>
      <c r="H6128" t="s" s="2">
        <v>19</v>
      </c>
      <c r="I6128" t="s" s="2">
        <v>23725</v>
      </c>
      <c r="J6128" t="s" s="2">
        <v>23726</v>
      </c>
      <c r="K6128" t="s" s="2">
        <v>22</v>
      </c>
      <c r="L6128" t="s" s="2">
        <v>22</v>
      </c>
      <c r="M6128" t="s" s="2">
        <v>22</v>
      </c>
    </row>
    <row r="6129" ht="25.0" customHeight="true">
      <c r="A6129" t="s" s="2">
        <v>13</v>
      </c>
      <c r="B6129" t="s" s="2">
        <f>HYPERLINK("http://ts.21cn.com/tousu/show/id/1366722","请求火星时代实训基地北京中心及时处理百度有钱花分期取消贷款合同")</f>
      </c>
      <c r="C6129" t="s" s="2">
        <v>15</v>
      </c>
      <c r="D6129" t="s" s="2">
        <v>16</v>
      </c>
      <c r="E6129" t="s" s="2">
        <v>17</v>
      </c>
      <c r="F6129" t="s" s="2">
        <f>HYPERLINK("http://ts.21cn.com/tousu/show/id/1366722","http://ts.21cn.com/tousu/show/id/1366722")</f>
      </c>
      <c r="G6129" t="s" s="2">
        <v>17</v>
      </c>
      <c r="H6129" t="s" s="2">
        <v>19</v>
      </c>
      <c r="I6129" t="s" s="2">
        <v>23729</v>
      </c>
      <c r="J6129" t="s" s="2">
        <v>23730</v>
      </c>
      <c r="K6129" t="s" s="2">
        <v>22</v>
      </c>
      <c r="L6129" t="s" s="2">
        <v>22</v>
      </c>
      <c r="M6129" t="s" s="2">
        <v>22</v>
      </c>
    </row>
    <row r="6130" ht="25.0" customHeight="true">
      <c r="A6130" t="s" s="2">
        <v>13</v>
      </c>
      <c r="B6130" t="s" s="2">
        <f>HYPERLINK("http://ts.21cn.com/tousu/show/id/1366723","淘手游不给予换实名验证")</f>
      </c>
      <c r="C6130" t="s" s="2">
        <v>15</v>
      </c>
      <c r="D6130" t="s" s="2">
        <v>16</v>
      </c>
      <c r="E6130" t="s" s="2">
        <v>17</v>
      </c>
      <c r="F6130" t="s" s="2">
        <f>HYPERLINK("http://ts.21cn.com/tousu/show/id/1366723","http://ts.21cn.com/tousu/show/id/1366723")</f>
      </c>
      <c r="G6130" t="s" s="2">
        <v>17</v>
      </c>
      <c r="H6130" t="s" s="2">
        <v>19</v>
      </c>
      <c r="I6130" t="s" s="2">
        <v>23729</v>
      </c>
      <c r="J6130" t="s" s="2">
        <v>23733</v>
      </c>
      <c r="K6130" t="s" s="2">
        <v>22</v>
      </c>
      <c r="L6130" t="s" s="2">
        <v>22</v>
      </c>
      <c r="M6130" t="s" s="2">
        <v>22</v>
      </c>
    </row>
    <row r="6131" ht="25.0" customHeight="true">
      <c r="A6131" t="s" s="2">
        <v>13</v>
      </c>
      <c r="B6131" t="s" s="2">
        <f>HYPERLINK("http://ts.21cn.com/tousu/show/id/1366724","广发信用卡协商一次性还款")</f>
      </c>
      <c r="C6131" t="s" s="2">
        <v>15</v>
      </c>
      <c r="D6131" t="s" s="2">
        <v>16</v>
      </c>
      <c r="E6131" t="s" s="2">
        <v>17</v>
      </c>
      <c r="F6131" t="s" s="2">
        <f>HYPERLINK("http://ts.21cn.com/tousu/show/id/1366724","http://ts.21cn.com/tousu/show/id/1366724")</f>
      </c>
      <c r="G6131" t="s" s="2">
        <v>17</v>
      </c>
      <c r="H6131" t="s" s="2">
        <v>19</v>
      </c>
      <c r="I6131" t="s" s="2">
        <v>23736</v>
      </c>
      <c r="J6131" t="s" s="2">
        <v>23737</v>
      </c>
      <c r="K6131" t="s" s="2">
        <v>22</v>
      </c>
      <c r="L6131" t="s" s="2">
        <v>22</v>
      </c>
      <c r="M6131" t="s" s="2">
        <v>22</v>
      </c>
    </row>
    <row r="6132" ht="25.0" customHeight="true">
      <c r="A6132" t="s" s="2">
        <v>13</v>
      </c>
      <c r="B6132" t="s" s="2">
        <f>HYPERLINK("http://ts.21cn.com/tousu/show/id/1366721","百度金融有钱花恶意骚扰家人和无关人员")</f>
      </c>
      <c r="C6132" t="s" s="2">
        <v>15</v>
      </c>
      <c r="D6132" t="s" s="2">
        <v>16</v>
      </c>
      <c r="E6132" t="s" s="2">
        <v>17</v>
      </c>
      <c r="F6132" t="s" s="2">
        <f>HYPERLINK("http://ts.21cn.com/tousu/show/id/1366721","http://ts.21cn.com/tousu/show/id/1366721")</f>
      </c>
      <c r="G6132" t="s" s="2">
        <v>17</v>
      </c>
      <c r="H6132" t="s" s="2">
        <v>19</v>
      </c>
      <c r="I6132" t="s" s="2">
        <v>23740</v>
      </c>
      <c r="J6132" t="s" s="2">
        <v>23741</v>
      </c>
      <c r="K6132" t="s" s="2">
        <v>22</v>
      </c>
      <c r="L6132" t="s" s="2">
        <v>22</v>
      </c>
      <c r="M6132" t="s" s="2">
        <v>22</v>
      </c>
    </row>
    <row r="6133" ht="25.0" customHeight="true">
      <c r="A6133" t="s" s="2">
        <v>13</v>
      </c>
      <c r="B6133" t="s" s="2">
        <f>HYPERLINK("http://ts.21cn.com/tousu/show/id/1366726","邮储银行还款后暴力催收")</f>
      </c>
      <c r="C6133" t="s" s="2">
        <v>15</v>
      </c>
      <c r="D6133" t="s" s="2">
        <v>16</v>
      </c>
      <c r="E6133" t="s" s="2">
        <v>17</v>
      </c>
      <c r="F6133" t="s" s="2">
        <f>HYPERLINK("http://ts.21cn.com/tousu/show/id/1366726","http://ts.21cn.com/tousu/show/id/1366726")</f>
      </c>
      <c r="G6133" t="s" s="2">
        <v>17</v>
      </c>
      <c r="H6133" t="s" s="2">
        <v>19</v>
      </c>
      <c r="I6133" t="s" s="2">
        <v>23744</v>
      </c>
      <c r="J6133" t="s" s="2">
        <v>23745</v>
      </c>
      <c r="K6133" t="s" s="2">
        <v>22</v>
      </c>
      <c r="L6133" t="s" s="2">
        <v>22</v>
      </c>
      <c r="M6133" t="s" s="2">
        <v>22</v>
      </c>
    </row>
    <row r="6134" ht="25.0" customHeight="true">
      <c r="A6134" t="s" s="2">
        <v>13</v>
      </c>
      <c r="B6134" t="s" s="2">
        <f>HYPERLINK("http://ts.21cn.com/tousu/show/id/1366718","乱扣费")</f>
      </c>
      <c r="C6134" t="s" s="2">
        <v>15</v>
      </c>
      <c r="D6134" t="s" s="2">
        <v>16</v>
      </c>
      <c r="E6134" t="s" s="2">
        <v>17</v>
      </c>
      <c r="F6134" t="s" s="2">
        <f>HYPERLINK("http://ts.21cn.com/tousu/show/id/1366718","http://ts.21cn.com/tousu/show/id/1366718")</f>
      </c>
      <c r="G6134" t="s" s="2">
        <v>17</v>
      </c>
      <c r="H6134" t="s" s="2">
        <v>19</v>
      </c>
      <c r="I6134" t="s" s="2">
        <v>23747</v>
      </c>
      <c r="J6134" t="s" s="2">
        <v>23748</v>
      </c>
      <c r="K6134" t="s" s="2">
        <v>22</v>
      </c>
      <c r="L6134" t="s" s="2">
        <v>22</v>
      </c>
      <c r="M6134" t="s" s="2">
        <v>22</v>
      </c>
    </row>
    <row r="6135" ht="25.0" customHeight="true">
      <c r="A6135" t="s" s="2">
        <v>13</v>
      </c>
      <c r="B6135" t="s" s="2">
        <f>HYPERLINK("http://ts.21cn.com/tousu/show/id/1366717","贷上钱暴力催收，骚扰通讯录")</f>
      </c>
      <c r="C6135" t="s" s="2">
        <v>15</v>
      </c>
      <c r="D6135" t="s" s="2">
        <v>16</v>
      </c>
      <c r="E6135" t="s" s="2">
        <v>17</v>
      </c>
      <c r="F6135" t="s" s="2">
        <f>HYPERLINK("http://ts.21cn.com/tousu/show/id/1366717","http://ts.21cn.com/tousu/show/id/1366717")</f>
      </c>
      <c r="G6135" t="s" s="2">
        <v>17</v>
      </c>
      <c r="H6135" t="s" s="2">
        <v>19</v>
      </c>
      <c r="I6135" t="s" s="2">
        <v>23751</v>
      </c>
      <c r="J6135" t="s" s="2">
        <v>23752</v>
      </c>
      <c r="K6135" t="s" s="2">
        <v>22</v>
      </c>
      <c r="L6135" t="s" s="2">
        <v>22</v>
      </c>
      <c r="M6135" t="s" s="2">
        <v>22</v>
      </c>
    </row>
    <row r="6136" ht="25.0" customHeight="true">
      <c r="A6136" t="s" s="2">
        <v>13</v>
      </c>
      <c r="B6136" t="s" s="2">
        <f>HYPERLINK("http://ts.21cn.com/tousu/show/id/1366716","钱站贷款坎头息阴阳合同")</f>
      </c>
      <c r="C6136" t="s" s="2">
        <v>15</v>
      </c>
      <c r="D6136" t="s" s="2">
        <v>16</v>
      </c>
      <c r="E6136" t="s" s="2">
        <v>17</v>
      </c>
      <c r="F6136" t="s" s="2">
        <f>HYPERLINK("http://ts.21cn.com/tousu/show/id/1366716","http://ts.21cn.com/tousu/show/id/1366716")</f>
      </c>
      <c r="G6136" t="s" s="2">
        <v>17</v>
      </c>
      <c r="H6136" t="s" s="2">
        <v>19</v>
      </c>
      <c r="I6136" t="s" s="2">
        <v>23755</v>
      </c>
      <c r="J6136" t="s" s="2">
        <v>23756</v>
      </c>
      <c r="K6136" t="s" s="2">
        <v>22</v>
      </c>
      <c r="L6136" t="s" s="2">
        <v>22</v>
      </c>
      <c r="M6136" t="s" s="2">
        <v>22</v>
      </c>
    </row>
    <row r="6137" ht="25.0" customHeight="true">
      <c r="A6137" t="s" s="2">
        <v>13</v>
      </c>
      <c r="B6137" t="s" s="2">
        <f>HYPERLINK("http://ts.21cn.com/tousu/show/id/1366715","好易借骚扰威胁我通讯录")</f>
      </c>
      <c r="C6137" t="s" s="2">
        <v>15</v>
      </c>
      <c r="D6137" t="s" s="2">
        <v>16</v>
      </c>
      <c r="E6137" t="s" s="2">
        <v>17</v>
      </c>
      <c r="F6137" t="s" s="2">
        <f>HYPERLINK("http://ts.21cn.com/tousu/show/id/1366715","http://ts.21cn.com/tousu/show/id/1366715")</f>
      </c>
      <c r="G6137" t="s" s="2">
        <v>17</v>
      </c>
      <c r="H6137" t="s" s="2">
        <v>19</v>
      </c>
      <c r="I6137" t="s" s="2">
        <v>23759</v>
      </c>
      <c r="J6137" t="s" s="2">
        <v>23760</v>
      </c>
      <c r="K6137" t="s" s="2">
        <v>22</v>
      </c>
      <c r="L6137" t="s" s="2">
        <v>22</v>
      </c>
      <c r="M6137" t="s" s="2">
        <v>22</v>
      </c>
    </row>
    <row r="6138" ht="25.0" customHeight="true">
      <c r="A6138" t="s" s="2">
        <v>13</v>
      </c>
      <c r="B6138" t="s" s="2">
        <f>HYPERLINK("http://ts.21cn.com/tousu/show/id/1366714","微贷多米贷高利贷")</f>
      </c>
      <c r="C6138" t="s" s="2">
        <v>15</v>
      </c>
      <c r="D6138" t="s" s="2">
        <v>16</v>
      </c>
      <c r="E6138" t="s" s="2">
        <v>17</v>
      </c>
      <c r="F6138" t="s" s="2">
        <f>HYPERLINK("http://ts.21cn.com/tousu/show/id/1366714","http://ts.21cn.com/tousu/show/id/1366714")</f>
      </c>
      <c r="G6138" t="s" s="2">
        <v>17</v>
      </c>
      <c r="H6138" t="s" s="2">
        <v>19</v>
      </c>
      <c r="I6138" t="s" s="2">
        <v>23763</v>
      </c>
      <c r="J6138" t="s" s="2">
        <v>23764</v>
      </c>
      <c r="K6138" t="s" s="2">
        <v>22</v>
      </c>
      <c r="L6138" t="s" s="2">
        <v>22</v>
      </c>
      <c r="M6138" t="s" s="2">
        <v>22</v>
      </c>
    </row>
    <row r="6139" ht="25.0" customHeight="true">
      <c r="A6139" t="s" s="2">
        <v>13</v>
      </c>
      <c r="B6139" t="s" s="2">
        <f>HYPERLINK("http://ts.21cn.com/tousu/show/id/1366713","贷上钱以买游戏豆为由收取高额贷款通过费")</f>
      </c>
      <c r="C6139" t="s" s="2">
        <v>52</v>
      </c>
      <c r="D6139" t="s" s="2">
        <v>16</v>
      </c>
      <c r="E6139" t="s" s="2">
        <v>17</v>
      </c>
      <c r="F6139" t="s" s="2">
        <f>HYPERLINK("http://ts.21cn.com/tousu/show/id/1366713","http://ts.21cn.com/tousu/show/id/1366713")</f>
      </c>
      <c r="G6139" t="s" s="2">
        <v>17</v>
      </c>
      <c r="H6139" t="s" s="2">
        <v>19</v>
      </c>
      <c r="I6139" t="s" s="2">
        <v>23766</v>
      </c>
      <c r="J6139" t="s" s="2">
        <v>23767</v>
      </c>
      <c r="K6139" t="s" s="2">
        <v>22</v>
      </c>
      <c r="L6139" t="s" s="2">
        <v>22</v>
      </c>
      <c r="M6139" t="s" s="2">
        <v>22</v>
      </c>
    </row>
    <row r="6140" ht="25.0" customHeight="true">
      <c r="A6140" t="s" s="2">
        <v>13</v>
      </c>
      <c r="B6140" t="s" s="2">
        <f>HYPERLINK("http://ts.21cn.com/tousu/show/id/1366712","我在微博借款逾期两天，天天骚扰电话不断态度不好骂人")</f>
      </c>
      <c r="C6140" t="s" s="2">
        <v>15</v>
      </c>
      <c r="D6140" t="s" s="2">
        <v>16</v>
      </c>
      <c r="E6140" t="s" s="2">
        <v>17</v>
      </c>
      <c r="F6140" t="s" s="2">
        <f>HYPERLINK("http://ts.21cn.com/tousu/show/id/1366712","http://ts.21cn.com/tousu/show/id/1366712")</f>
      </c>
      <c r="G6140" t="s" s="2">
        <v>17</v>
      </c>
      <c r="H6140" t="s" s="2">
        <v>19</v>
      </c>
      <c r="I6140" t="s" s="2">
        <v>23770</v>
      </c>
      <c r="J6140" t="s" s="2">
        <v>23771</v>
      </c>
      <c r="K6140" t="s" s="2">
        <v>22</v>
      </c>
      <c r="L6140" t="s" s="2">
        <v>22</v>
      </c>
      <c r="M6140" t="s" s="2">
        <v>22</v>
      </c>
    </row>
    <row r="6141" ht="25.0" customHeight="true">
      <c r="A6141" t="s" s="2">
        <v>13</v>
      </c>
      <c r="B6141" t="s" s="2">
        <f>HYPERLINK("http://ts.21cn.com/tousu/show/id/1366708","平安普惠恶意骚扰散播")</f>
      </c>
      <c r="C6141" t="s" s="2">
        <v>15</v>
      </c>
      <c r="D6141" t="s" s="2">
        <v>16</v>
      </c>
      <c r="E6141" t="s" s="2">
        <v>17</v>
      </c>
      <c r="F6141" t="s" s="2">
        <f>HYPERLINK("http://ts.21cn.com/tousu/show/id/1366708","http://ts.21cn.com/tousu/show/id/1366708")</f>
      </c>
      <c r="G6141" t="s" s="2">
        <v>17</v>
      </c>
      <c r="H6141" t="s" s="2">
        <v>19</v>
      </c>
      <c r="I6141" t="s" s="2">
        <v>23774</v>
      </c>
      <c r="J6141" t="s" s="2">
        <v>23775</v>
      </c>
      <c r="K6141" t="s" s="2">
        <v>22</v>
      </c>
      <c r="L6141" t="s" s="2">
        <v>22</v>
      </c>
      <c r="M6141" t="s" s="2">
        <v>22</v>
      </c>
    </row>
    <row r="6142" ht="25.0" customHeight="true">
      <c r="A6142" t="s" s="2">
        <v>13</v>
      </c>
      <c r="B6142" t="s" s="2">
        <f>HYPERLINK("http://ts.21cn.com/tousu/show/id/1366707","为网赌提供服务")</f>
      </c>
      <c r="C6142" t="s" s="2">
        <v>15</v>
      </c>
      <c r="D6142" t="s" s="2">
        <v>16</v>
      </c>
      <c r="E6142" t="s" s="2">
        <v>17</v>
      </c>
      <c r="F6142" t="s" s="2">
        <f>HYPERLINK("http://ts.21cn.com/tousu/show/id/1366707","http://ts.21cn.com/tousu/show/id/1366707")</f>
      </c>
      <c r="G6142" t="s" s="2">
        <v>17</v>
      </c>
      <c r="H6142" t="s" s="2">
        <v>19</v>
      </c>
      <c r="I6142" t="s" s="2">
        <v>23778</v>
      </c>
      <c r="J6142" t="s" s="2">
        <v>23779</v>
      </c>
      <c r="K6142" t="s" s="2">
        <v>22</v>
      </c>
      <c r="L6142" t="s" s="2">
        <v>22</v>
      </c>
      <c r="M6142" t="s" s="2">
        <v>22</v>
      </c>
    </row>
    <row r="6143" ht="25.0" customHeight="true">
      <c r="A6143" t="s" s="2">
        <v>13</v>
      </c>
      <c r="B6143" t="s" s="2">
        <f>HYPERLINK("http://ts.21cn.com/tousu/show/id/1366706","平安普惠催收人员暴力催收，咄咄逼人，不择手段，不留余地，冒充国家警察，")</f>
      </c>
      <c r="C6143" t="s" s="2">
        <v>15</v>
      </c>
      <c r="D6143" t="s" s="2">
        <v>16</v>
      </c>
      <c r="E6143" t="s" s="2">
        <v>17</v>
      </c>
      <c r="F6143" t="s" s="2">
        <f>HYPERLINK("http://ts.21cn.com/tousu/show/id/1366706","http://ts.21cn.com/tousu/show/id/1366706")</f>
      </c>
      <c r="G6143" t="s" s="2">
        <v>17</v>
      </c>
      <c r="H6143" t="s" s="2">
        <v>19</v>
      </c>
      <c r="I6143" t="s" s="2">
        <v>23782</v>
      </c>
      <c r="J6143" t="s" s="2">
        <v>23783</v>
      </c>
      <c r="K6143" t="s" s="2">
        <v>22</v>
      </c>
      <c r="L6143" t="s" s="2">
        <v>22</v>
      </c>
      <c r="M6143" t="s" s="2">
        <v>22</v>
      </c>
    </row>
    <row r="6144" ht="25.0" customHeight="true">
      <c r="A6144" t="s" s="2">
        <v>13</v>
      </c>
      <c r="B6144" t="s" s="2">
        <f>HYPERLINK("http://ts.21cn.com/tousu/show/id/1366705","钱包易贷砍头息")</f>
      </c>
      <c r="C6144" t="s" s="2">
        <v>52</v>
      </c>
      <c r="D6144" t="s" s="2">
        <v>16</v>
      </c>
      <c r="E6144" t="s" s="2">
        <v>17</v>
      </c>
      <c r="F6144" t="s" s="2">
        <f>HYPERLINK("http://ts.21cn.com/tousu/show/id/1366705","http://ts.21cn.com/tousu/show/id/1366705")</f>
      </c>
      <c r="G6144" t="s" s="2">
        <v>17</v>
      </c>
      <c r="H6144" t="s" s="2">
        <v>19</v>
      </c>
      <c r="I6144" t="s" s="2">
        <v>23786</v>
      </c>
      <c r="J6144" t="s" s="2">
        <v>23787</v>
      </c>
      <c r="K6144" t="s" s="2">
        <v>22</v>
      </c>
      <c r="L6144" t="s" s="2">
        <v>22</v>
      </c>
      <c r="M6144" t="s" s="2">
        <v>22</v>
      </c>
    </row>
    <row r="6145" ht="25.0" customHeight="true">
      <c r="A6145" t="s" s="2">
        <v>13</v>
      </c>
      <c r="B6145" t="s" s="2">
        <f>HYPERLINK("http://ts.21cn.com/tousu/show/id/1366703","网贷捆绑销售")</f>
      </c>
      <c r="C6145" t="s" s="2">
        <v>15</v>
      </c>
      <c r="D6145" t="s" s="2">
        <v>16</v>
      </c>
      <c r="E6145" t="s" s="2">
        <v>17</v>
      </c>
      <c r="F6145" t="s" s="2">
        <f>HYPERLINK("http://ts.21cn.com/tousu/show/id/1366703","http://ts.21cn.com/tousu/show/id/1366703")</f>
      </c>
      <c r="G6145" t="s" s="2">
        <v>17</v>
      </c>
      <c r="H6145" t="s" s="2">
        <v>19</v>
      </c>
      <c r="I6145" t="s" s="2">
        <v>23790</v>
      </c>
      <c r="J6145" t="s" s="2">
        <v>23791</v>
      </c>
      <c r="K6145" t="s" s="2">
        <v>22</v>
      </c>
      <c r="L6145" t="s" s="2">
        <v>22</v>
      </c>
      <c r="M6145" t="s" s="2">
        <v>22</v>
      </c>
    </row>
    <row r="6146" ht="25.0" customHeight="true">
      <c r="A6146" t="s" s="2">
        <v>13</v>
      </c>
      <c r="B6146" t="s" s="2">
        <f>HYPERLINK("http://ts.21cn.com/tousu/show/id/1366704","协商还款")</f>
      </c>
      <c r="C6146" t="s" s="2">
        <v>15</v>
      </c>
      <c r="D6146" t="s" s="2">
        <v>16</v>
      </c>
      <c r="E6146" t="s" s="2">
        <v>17</v>
      </c>
      <c r="F6146" t="s" s="2">
        <f>HYPERLINK("http://ts.21cn.com/tousu/show/id/1366704","http://ts.21cn.com/tousu/show/id/1366704")</f>
      </c>
      <c r="G6146" t="s" s="2">
        <v>17</v>
      </c>
      <c r="H6146" t="s" s="2">
        <v>19</v>
      </c>
      <c r="I6146" t="s" s="2">
        <v>23793</v>
      </c>
      <c r="J6146" t="s" s="2">
        <v>23794</v>
      </c>
      <c r="K6146" t="s" s="2">
        <v>22</v>
      </c>
      <c r="L6146" t="s" s="2">
        <v>22</v>
      </c>
      <c r="M6146" t="s" s="2">
        <v>22</v>
      </c>
    </row>
    <row r="6147" ht="25.0" customHeight="true">
      <c r="A6147" t="s" s="2">
        <v>13</v>
      </c>
      <c r="B6147" t="s" s="2">
        <f>HYPERLINK("http://ts.21cn.com/tousu/show/id/1366702","卡卡贷砍头息")</f>
      </c>
      <c r="C6147" t="s" s="2">
        <v>15</v>
      </c>
      <c r="D6147" t="s" s="2">
        <v>16</v>
      </c>
      <c r="E6147" t="s" s="2">
        <v>17</v>
      </c>
      <c r="F6147" t="s" s="2">
        <f>HYPERLINK("http://ts.21cn.com/tousu/show/id/1366702","http://ts.21cn.com/tousu/show/id/1366702")</f>
      </c>
      <c r="G6147" t="s" s="2">
        <v>17</v>
      </c>
      <c r="H6147" t="s" s="2">
        <v>19</v>
      </c>
      <c r="I6147" t="s" s="2">
        <v>23797</v>
      </c>
      <c r="J6147" t="s" s="2">
        <v>23798</v>
      </c>
      <c r="K6147" t="s" s="2">
        <v>22</v>
      </c>
      <c r="L6147" t="s" s="2">
        <v>22</v>
      </c>
      <c r="M6147" t="s" s="2">
        <v>22</v>
      </c>
    </row>
    <row r="6148" ht="25.0" customHeight="true">
      <c r="A6148" t="s" s="2">
        <v>13</v>
      </c>
      <c r="B6148" t="s" s="2">
        <f>HYPERLINK("http://ts.21cn.com/tousu/show/id/1366701","暴力催收")</f>
      </c>
      <c r="C6148" t="s" s="2">
        <v>15</v>
      </c>
      <c r="D6148" t="s" s="2">
        <v>16</v>
      </c>
      <c r="E6148" t="s" s="2">
        <v>17</v>
      </c>
      <c r="F6148" t="s" s="2">
        <f>HYPERLINK("http://ts.21cn.com/tousu/show/id/1366701","http://ts.21cn.com/tousu/show/id/1366701")</f>
      </c>
      <c r="G6148" t="s" s="2">
        <v>17</v>
      </c>
      <c r="H6148" t="s" s="2">
        <v>19</v>
      </c>
      <c r="I6148" t="s" s="2">
        <v>23800</v>
      </c>
      <c r="J6148" t="s" s="2">
        <v>23801</v>
      </c>
      <c r="K6148" t="s" s="2">
        <v>22</v>
      </c>
      <c r="L6148" t="s" s="2">
        <v>22</v>
      </c>
      <c r="M6148" t="s" s="2">
        <v>22</v>
      </c>
    </row>
    <row r="6149" ht="25.0" customHeight="true">
      <c r="A6149" t="s" s="2">
        <v>13</v>
      </c>
      <c r="B6149" t="s" s="2">
        <f>HYPERLINK("http://ts.21cn.com/tousu/show/id/1366700","牛牛贷高利贷套路贷")</f>
      </c>
      <c r="C6149" t="s" s="2">
        <v>15</v>
      </c>
      <c r="D6149" t="s" s="2">
        <v>16</v>
      </c>
      <c r="E6149" t="s" s="2">
        <v>17</v>
      </c>
      <c r="F6149" t="s" s="2">
        <f>HYPERLINK("http://ts.21cn.com/tousu/show/id/1366700","http://ts.21cn.com/tousu/show/id/1366700")</f>
      </c>
      <c r="G6149" t="s" s="2">
        <v>17</v>
      </c>
      <c r="H6149" t="s" s="2">
        <v>19</v>
      </c>
      <c r="I6149" t="s" s="2">
        <v>23804</v>
      </c>
      <c r="J6149" t="s" s="2">
        <v>23805</v>
      </c>
      <c r="K6149" t="s" s="2">
        <v>22</v>
      </c>
      <c r="L6149" t="s" s="2">
        <v>22</v>
      </c>
      <c r="M6149" t="s" s="2">
        <v>22</v>
      </c>
    </row>
    <row r="6150" ht="25.0" customHeight="true">
      <c r="A6150" t="s" s="2">
        <v>13</v>
      </c>
      <c r="B6150" t="s" s="2">
        <f>HYPERLINK("http://ts.21cn.com/tousu/show/id/1366699","捷信金融恶意打电话过来")</f>
      </c>
      <c r="C6150" t="s" s="2">
        <v>15</v>
      </c>
      <c r="D6150" t="s" s="2">
        <v>16</v>
      </c>
      <c r="E6150" t="s" s="2">
        <v>17</v>
      </c>
      <c r="F6150" t="s" s="2">
        <f>HYPERLINK("http://ts.21cn.com/tousu/show/id/1366699","http://ts.21cn.com/tousu/show/id/1366699")</f>
      </c>
      <c r="G6150" t="s" s="2">
        <v>17</v>
      </c>
      <c r="H6150" t="s" s="2">
        <v>19</v>
      </c>
      <c r="I6150" t="s" s="2">
        <v>23808</v>
      </c>
      <c r="J6150" t="s" s="2">
        <v>23809</v>
      </c>
      <c r="K6150" t="s" s="2">
        <v>22</v>
      </c>
      <c r="L6150" t="s" s="2">
        <v>22</v>
      </c>
      <c r="M6150" t="s" s="2">
        <v>22</v>
      </c>
    </row>
    <row r="6151" ht="25.0" customHeight="true">
      <c r="A6151" t="s" s="2">
        <v>13</v>
      </c>
      <c r="B6151" t="s" s="2">
        <f>HYPERLINK("http://ts.21cn.com/tousu/show/id/1366698","爱钱进爱盈宝自动续期问题")</f>
      </c>
      <c r="C6151" t="s" s="2">
        <v>15</v>
      </c>
      <c r="D6151" t="s" s="2">
        <v>16</v>
      </c>
      <c r="E6151" t="s" s="2">
        <v>17</v>
      </c>
      <c r="F6151" t="s" s="2">
        <f>HYPERLINK("http://ts.21cn.com/tousu/show/id/1366698","http://ts.21cn.com/tousu/show/id/1366698")</f>
      </c>
      <c r="G6151" t="s" s="2">
        <v>17</v>
      </c>
      <c r="H6151" t="s" s="2">
        <v>19</v>
      </c>
      <c r="I6151" t="s" s="2">
        <v>23812</v>
      </c>
      <c r="J6151" t="s" s="2">
        <v>23813</v>
      </c>
      <c r="K6151" t="s" s="2">
        <v>22</v>
      </c>
      <c r="L6151" t="s" s="2">
        <v>22</v>
      </c>
      <c r="M6151" t="s" s="2">
        <v>22</v>
      </c>
    </row>
    <row r="6152" ht="25.0" customHeight="true">
      <c r="A6152" t="s" s="2">
        <v>13</v>
      </c>
      <c r="B6152" t="s" s="2">
        <f>HYPERLINK("http://ts.21cn.com/tousu/show/id/1366685","微信投诉团队不受理")</f>
      </c>
      <c r="C6152" t="s" s="2">
        <v>15</v>
      </c>
      <c r="D6152" t="s" s="2">
        <v>16</v>
      </c>
      <c r="E6152" t="s" s="2">
        <v>17</v>
      </c>
      <c r="F6152" t="s" s="2">
        <f>HYPERLINK("http://ts.21cn.com/tousu/show/id/1366685","http://ts.21cn.com/tousu/show/id/1366685")</f>
      </c>
      <c r="G6152" t="s" s="2">
        <v>17</v>
      </c>
      <c r="H6152" t="s" s="2">
        <v>19</v>
      </c>
      <c r="I6152" t="s" s="2">
        <v>23816</v>
      </c>
      <c r="J6152" t="s" s="2">
        <v>23817</v>
      </c>
      <c r="K6152" t="s" s="2">
        <v>22</v>
      </c>
      <c r="L6152" t="s" s="2">
        <v>22</v>
      </c>
      <c r="M6152" t="s" s="2">
        <v>22</v>
      </c>
    </row>
    <row r="6153" ht="25.0" customHeight="true">
      <c r="A6153" t="s" s="2">
        <v>13</v>
      </c>
      <c r="B6153" t="s" s="2">
        <f>HYPERLINK("http://ts.21cn.com/tousu/show/id/1366695","骚扰，恶意拨打营销电话")</f>
      </c>
      <c r="C6153" t="s" s="2">
        <v>15</v>
      </c>
      <c r="D6153" t="s" s="2">
        <v>16</v>
      </c>
      <c r="E6153" t="s" s="2">
        <v>17</v>
      </c>
      <c r="F6153" t="s" s="2">
        <f>HYPERLINK("http://ts.21cn.com/tousu/show/id/1366695","http://ts.21cn.com/tousu/show/id/1366695")</f>
      </c>
      <c r="G6153" t="s" s="2">
        <v>17</v>
      </c>
      <c r="H6153" t="s" s="2">
        <v>19</v>
      </c>
      <c r="I6153" t="s" s="2">
        <v>23820</v>
      </c>
      <c r="J6153" t="s" s="2">
        <v>23821</v>
      </c>
      <c r="K6153" t="s" s="2">
        <v>22</v>
      </c>
      <c r="L6153" t="s" s="2">
        <v>22</v>
      </c>
      <c r="M6153" t="s" s="2">
        <v>22</v>
      </c>
    </row>
    <row r="6154" ht="25.0" customHeight="true">
      <c r="A6154" t="s" s="2">
        <v>13</v>
      </c>
      <c r="B6154" t="s" s="2">
        <f>HYPERLINK("http://ts.21cn.com/tousu/show/id/1366694","豹子贷恶意扣款")</f>
      </c>
      <c r="C6154" t="s" s="2">
        <v>15</v>
      </c>
      <c r="D6154" t="s" s="2">
        <v>16</v>
      </c>
      <c r="E6154" t="s" s="2">
        <v>17</v>
      </c>
      <c r="F6154" t="s" s="2">
        <f>HYPERLINK("http://ts.21cn.com/tousu/show/id/1366694","http://ts.21cn.com/tousu/show/id/1366694")</f>
      </c>
      <c r="G6154" t="s" s="2">
        <v>17</v>
      </c>
      <c r="H6154" t="s" s="2">
        <v>19</v>
      </c>
      <c r="I6154" t="s" s="2">
        <v>23823</v>
      </c>
      <c r="J6154" t="s" s="2">
        <v>23824</v>
      </c>
      <c r="K6154" t="s" s="2">
        <v>22</v>
      </c>
      <c r="L6154" t="s" s="2">
        <v>22</v>
      </c>
      <c r="M6154" t="s" s="2">
        <v>22</v>
      </c>
    </row>
    <row r="6155" ht="25.0" customHeight="true">
      <c r="A6155" t="s" s="2">
        <v>13</v>
      </c>
      <c r="B6155" t="s" s="2">
        <f>HYPERLINK("http://ts.21cn.com/tousu/show/id/1366693","无缘无故扣款299")</f>
      </c>
      <c r="C6155" t="s" s="2">
        <v>15</v>
      </c>
      <c r="D6155" t="s" s="2">
        <v>16</v>
      </c>
      <c r="E6155" t="s" s="2">
        <v>17</v>
      </c>
      <c r="F6155" t="s" s="2">
        <f>HYPERLINK("http://ts.21cn.com/tousu/show/id/1366693","http://ts.21cn.com/tousu/show/id/1366693")</f>
      </c>
      <c r="G6155" t="s" s="2">
        <v>17</v>
      </c>
      <c r="H6155" t="s" s="2">
        <v>19</v>
      </c>
      <c r="I6155" t="s" s="2">
        <v>23827</v>
      </c>
      <c r="J6155" t="s" s="2">
        <v>23828</v>
      </c>
      <c r="K6155" t="s" s="2">
        <v>22</v>
      </c>
      <c r="L6155" t="s" s="2">
        <v>22</v>
      </c>
      <c r="M6155" t="s" s="2">
        <v>22</v>
      </c>
    </row>
    <row r="6156" ht="25.0" customHeight="true">
      <c r="A6156" t="s" s="2">
        <v>13</v>
      </c>
      <c r="B6156" t="s" s="2">
        <f>HYPERLINK("http://ts.21cn.com/tousu/show/id/1366692","为赌博提供支付通道，要求退还款项")</f>
      </c>
      <c r="C6156" t="s" s="2">
        <v>15</v>
      </c>
      <c r="D6156" t="s" s="2">
        <v>16</v>
      </c>
      <c r="E6156" t="s" s="2">
        <v>17</v>
      </c>
      <c r="F6156" t="s" s="2">
        <f>HYPERLINK("http://ts.21cn.com/tousu/show/id/1366692","http://ts.21cn.com/tousu/show/id/1366692")</f>
      </c>
      <c r="G6156" t="s" s="2">
        <v>17</v>
      </c>
      <c r="H6156" t="s" s="2">
        <v>19</v>
      </c>
      <c r="I6156" t="s" s="2">
        <v>23831</v>
      </c>
      <c r="J6156" t="s" s="2">
        <v>23832</v>
      </c>
      <c r="K6156" t="s" s="2">
        <v>22</v>
      </c>
      <c r="L6156" t="s" s="2">
        <v>22</v>
      </c>
      <c r="M6156" t="s" s="2">
        <v>22</v>
      </c>
    </row>
    <row r="6157" ht="25.0" customHeight="true">
      <c r="A6157" t="s" s="2">
        <v>13</v>
      </c>
      <c r="B6157" t="s" s="2">
        <f>HYPERLINK("http://ts.21cn.com/tousu/show/id/1366691","拼多多不给我注销账号")</f>
      </c>
      <c r="C6157" t="s" s="2">
        <v>15</v>
      </c>
      <c r="D6157" t="s" s="2">
        <v>16</v>
      </c>
      <c r="E6157" t="s" s="2">
        <v>17</v>
      </c>
      <c r="F6157" t="s" s="2">
        <f>HYPERLINK("http://ts.21cn.com/tousu/show/id/1366691","http://ts.21cn.com/tousu/show/id/1366691")</f>
      </c>
      <c r="G6157" t="s" s="2">
        <v>17</v>
      </c>
      <c r="H6157" t="s" s="2">
        <v>19</v>
      </c>
      <c r="I6157" t="s" s="2">
        <v>23835</v>
      </c>
      <c r="J6157" t="s" s="2">
        <v>23836</v>
      </c>
      <c r="K6157" t="s" s="2">
        <v>22</v>
      </c>
      <c r="L6157" t="s" s="2">
        <v>22</v>
      </c>
      <c r="M6157" t="s" s="2">
        <v>22</v>
      </c>
    </row>
    <row r="6158" ht="25.0" customHeight="true">
      <c r="A6158" t="s" s="2">
        <v>13</v>
      </c>
      <c r="B6158" t="s" s="2">
        <f>HYPERLINK("http://ts.21cn.com/tousu/show/id/1366665","罗汉分期恶意扣款")</f>
      </c>
      <c r="C6158" t="s" s="2">
        <v>15</v>
      </c>
      <c r="D6158" t="s" s="2">
        <v>16</v>
      </c>
      <c r="E6158" t="s" s="2">
        <v>17</v>
      </c>
      <c r="F6158" t="s" s="2">
        <f>HYPERLINK("http://ts.21cn.com/tousu/show/id/1366665","http://ts.21cn.com/tousu/show/id/1366665")</f>
      </c>
      <c r="G6158" t="s" s="2">
        <v>17</v>
      </c>
      <c r="H6158" t="s" s="2">
        <v>19</v>
      </c>
      <c r="I6158" t="s" s="2">
        <v>23839</v>
      </c>
      <c r="J6158" t="s" s="2">
        <v>23840</v>
      </c>
      <c r="K6158" t="s" s="2">
        <v>22</v>
      </c>
      <c r="L6158" t="s" s="2">
        <v>22</v>
      </c>
      <c r="M6158" t="s" s="2">
        <v>22</v>
      </c>
    </row>
    <row r="6159" ht="25.0" customHeight="true">
      <c r="A6159" t="s" s="2">
        <v>13</v>
      </c>
      <c r="B6159" t="s" s="2">
        <f>HYPERLINK("http://ts.21cn.com/tousu/show/id/1366656","消费欺诈")</f>
      </c>
      <c r="C6159" t="s" s="2">
        <v>15</v>
      </c>
      <c r="D6159" t="s" s="2">
        <v>16</v>
      </c>
      <c r="E6159" t="s" s="2">
        <v>17</v>
      </c>
      <c r="F6159" t="s" s="2">
        <f>HYPERLINK("http://ts.21cn.com/tousu/show/id/1366656","http://ts.21cn.com/tousu/show/id/1366656")</f>
      </c>
      <c r="G6159" t="s" s="2">
        <v>17</v>
      </c>
      <c r="H6159" t="s" s="2">
        <v>19</v>
      </c>
      <c r="I6159" t="s" s="2">
        <v>23843</v>
      </c>
      <c r="J6159" t="s" s="2">
        <v>23844</v>
      </c>
      <c r="K6159" t="s" s="2">
        <v>22</v>
      </c>
      <c r="L6159" t="s" s="2">
        <v>22</v>
      </c>
      <c r="M6159" t="s" s="2">
        <v>22</v>
      </c>
    </row>
    <row r="6160" ht="25.0" customHeight="true">
      <c r="A6160" t="s" s="2">
        <v>13</v>
      </c>
      <c r="B6160" t="s" s="2">
        <f>HYPERLINK("http://ts.21cn.com/tousu/show/id/1366690","阿里妈妈篡改数据克扣佣金")</f>
      </c>
      <c r="C6160" t="s" s="2">
        <v>15</v>
      </c>
      <c r="D6160" t="s" s="2">
        <v>16</v>
      </c>
      <c r="E6160" t="s" s="2">
        <v>17</v>
      </c>
      <c r="F6160" t="s" s="2">
        <f>HYPERLINK("http://ts.21cn.com/tousu/show/id/1366690","http://ts.21cn.com/tousu/show/id/1366690")</f>
      </c>
      <c r="G6160" t="s" s="2">
        <v>17</v>
      </c>
      <c r="H6160" t="s" s="2">
        <v>19</v>
      </c>
      <c r="I6160" t="s" s="2">
        <v>23847</v>
      </c>
      <c r="J6160" t="s" s="2">
        <v>23848</v>
      </c>
      <c r="K6160" t="s" s="2">
        <v>22</v>
      </c>
      <c r="L6160" t="s" s="2">
        <v>22</v>
      </c>
      <c r="M6160" t="s" s="2">
        <v>22</v>
      </c>
    </row>
    <row r="6161" ht="25.0" customHeight="true">
      <c r="A6161" t="s" s="2">
        <v>13</v>
      </c>
      <c r="B6161" t="s" s="2">
        <f>HYPERLINK("http://ts.21cn.com/tousu/show/id/1366689","套路贷拍拍贷暴力催收威胁恐吓")</f>
      </c>
      <c r="C6161" t="s" s="2">
        <v>15</v>
      </c>
      <c r="D6161" t="s" s="2">
        <v>16</v>
      </c>
      <c r="E6161" t="s" s="2">
        <v>17</v>
      </c>
      <c r="F6161" t="s" s="2">
        <f>HYPERLINK("http://ts.21cn.com/tousu/show/id/1366689","http://ts.21cn.com/tousu/show/id/1366689")</f>
      </c>
      <c r="G6161" t="s" s="2">
        <v>17</v>
      </c>
      <c r="H6161" t="s" s="2">
        <v>19</v>
      </c>
      <c r="I6161" t="s" s="2">
        <v>23851</v>
      </c>
      <c r="J6161" t="s" s="2">
        <v>23852</v>
      </c>
      <c r="K6161" t="s" s="2">
        <v>22</v>
      </c>
      <c r="L6161" t="s" s="2">
        <v>22</v>
      </c>
      <c r="M6161" t="s" s="2">
        <v>22</v>
      </c>
    </row>
    <row r="6162" ht="25.0" customHeight="true">
      <c r="A6162" t="s" s="2">
        <v>13</v>
      </c>
      <c r="B6162" t="s" s="2">
        <f>HYPERLINK("http://ts.21cn.com/tousu/show/id/1366688","捷信高利贷暴力催收")</f>
      </c>
      <c r="C6162" t="s" s="2">
        <v>15</v>
      </c>
      <c r="D6162" t="s" s="2">
        <v>16</v>
      </c>
      <c r="E6162" t="s" s="2">
        <v>17</v>
      </c>
      <c r="F6162" t="s" s="2">
        <f>HYPERLINK("http://ts.21cn.com/tousu/show/id/1366688","http://ts.21cn.com/tousu/show/id/1366688")</f>
      </c>
      <c r="G6162" t="s" s="2">
        <v>17</v>
      </c>
      <c r="H6162" t="s" s="2">
        <v>19</v>
      </c>
      <c r="I6162" t="s" s="2">
        <v>23855</v>
      </c>
      <c r="J6162" t="s" s="2">
        <v>23856</v>
      </c>
      <c r="K6162" t="s" s="2">
        <v>22</v>
      </c>
      <c r="L6162" t="s" s="2">
        <v>22</v>
      </c>
      <c r="M6162" t="s" s="2">
        <v>22</v>
      </c>
    </row>
    <row r="6163" ht="25.0" customHeight="true">
      <c r="A6163" t="s" s="2">
        <v>13</v>
      </c>
      <c r="B6163" t="s" s="2">
        <f>HYPERLINK("http://ts.21cn.com/tousu/show/id/1366687","辱骂威胁客户，泄露客户信息")</f>
      </c>
      <c r="C6163" t="s" s="2">
        <v>15</v>
      </c>
      <c r="D6163" t="s" s="2">
        <v>16</v>
      </c>
      <c r="E6163" t="s" s="2">
        <v>17</v>
      </c>
      <c r="F6163" t="s" s="2">
        <f>HYPERLINK("http://ts.21cn.com/tousu/show/id/1366687","http://ts.21cn.com/tousu/show/id/1366687")</f>
      </c>
      <c r="G6163" t="s" s="2">
        <v>17</v>
      </c>
      <c r="H6163" t="s" s="2">
        <v>19</v>
      </c>
      <c r="I6163" t="s" s="2">
        <v>23859</v>
      </c>
      <c r="J6163" t="s" s="2">
        <v>23860</v>
      </c>
      <c r="K6163" t="s" s="2">
        <v>22</v>
      </c>
      <c r="L6163" t="s" s="2">
        <v>22</v>
      </c>
      <c r="M6163" t="s" s="2">
        <v>22</v>
      </c>
    </row>
    <row r="6164" ht="25.0" customHeight="true">
      <c r="A6164" t="s" s="2">
        <v>13</v>
      </c>
      <c r="B6164" t="s" s="2">
        <f>HYPERLINK("http://ts.21cn.com/tousu/show/id/1366676","轻周转恶意逾期收取高额逾期费")</f>
      </c>
      <c r="C6164" t="s" s="2">
        <v>15</v>
      </c>
      <c r="D6164" t="s" s="2">
        <v>16</v>
      </c>
      <c r="E6164" t="s" s="2">
        <v>17</v>
      </c>
      <c r="F6164" t="s" s="2">
        <f>HYPERLINK("http://ts.21cn.com/tousu/show/id/1366676","http://ts.21cn.com/tousu/show/id/1366676")</f>
      </c>
      <c r="G6164" t="s" s="2">
        <v>17</v>
      </c>
      <c r="H6164" t="s" s="2">
        <v>19</v>
      </c>
      <c r="I6164" t="s" s="2">
        <v>23863</v>
      </c>
      <c r="J6164" t="s" s="2">
        <v>23864</v>
      </c>
      <c r="K6164" t="s" s="2">
        <v>22</v>
      </c>
      <c r="L6164" t="s" s="2">
        <v>22</v>
      </c>
      <c r="M6164" t="s" s="2">
        <v>22</v>
      </c>
    </row>
    <row r="6165" ht="25.0" customHeight="true">
      <c r="A6165" t="s" s="2">
        <v>13</v>
      </c>
      <c r="B6165" t="s" s="2">
        <f>HYPERLINK("http://ts.21cn.com/tousu/show/id/1366647","即付宝业务收激活费承诺第二天返却不返")</f>
      </c>
      <c r="C6165" t="s" s="2">
        <v>52</v>
      </c>
      <c r="D6165" t="s" s="2">
        <v>16</v>
      </c>
      <c r="E6165" t="s" s="2">
        <v>17</v>
      </c>
      <c r="F6165" t="s" s="2">
        <f>HYPERLINK("http://ts.21cn.com/tousu/show/id/1366647","http://ts.21cn.com/tousu/show/id/1366647")</f>
      </c>
      <c r="G6165" t="s" s="2">
        <v>17</v>
      </c>
      <c r="H6165" t="s" s="2">
        <v>19</v>
      </c>
      <c r="I6165" t="s" s="2">
        <v>23867</v>
      </c>
      <c r="J6165" t="s" s="2">
        <v>23868</v>
      </c>
      <c r="K6165" t="s" s="2">
        <v>22</v>
      </c>
      <c r="L6165" t="s" s="2">
        <v>22</v>
      </c>
      <c r="M6165" t="s" s="2">
        <v>22</v>
      </c>
    </row>
    <row r="6166" ht="25.0" customHeight="true">
      <c r="A6166" t="s" s="2">
        <v>13</v>
      </c>
      <c r="B6166" t="s" s="2">
        <f>HYPERLINK("http://ts.21cn.com/tousu/show/id/1366683","爱又米提前结清没有减免")</f>
      </c>
      <c r="C6166" t="s" s="2">
        <v>52</v>
      </c>
      <c r="D6166" t="s" s="2">
        <v>16</v>
      </c>
      <c r="E6166" t="s" s="2">
        <v>17</v>
      </c>
      <c r="F6166" t="s" s="2">
        <f>HYPERLINK("http://ts.21cn.com/tousu/show/id/1366683","http://ts.21cn.com/tousu/show/id/1366683")</f>
      </c>
      <c r="G6166" t="s" s="2">
        <v>17</v>
      </c>
      <c r="H6166" t="s" s="2">
        <v>19</v>
      </c>
      <c r="I6166" t="s" s="2">
        <v>23871</v>
      </c>
      <c r="J6166" t="s" s="2">
        <v>23872</v>
      </c>
      <c r="K6166" t="s" s="2">
        <v>22</v>
      </c>
      <c r="L6166" t="s" s="2">
        <v>22</v>
      </c>
      <c r="M6166" t="s" s="2">
        <v>22</v>
      </c>
    </row>
    <row r="6167" ht="25.0" customHeight="true">
      <c r="A6167" t="s" s="2">
        <v>13</v>
      </c>
      <c r="B6167" t="s" s="2">
        <f>HYPERLINK("http://ts.21cn.com/tousu/show/id/1366682","捷信消费金融有限公司电话骚扰")</f>
      </c>
      <c r="C6167" t="s" s="2">
        <v>15</v>
      </c>
      <c r="D6167" t="s" s="2">
        <v>16</v>
      </c>
      <c r="E6167" t="s" s="2">
        <v>17</v>
      </c>
      <c r="F6167" t="s" s="2">
        <f>HYPERLINK("http://ts.21cn.com/tousu/show/id/1366682","http://ts.21cn.com/tousu/show/id/1366682")</f>
      </c>
      <c r="G6167" t="s" s="2">
        <v>17</v>
      </c>
      <c r="H6167" t="s" s="2">
        <v>19</v>
      </c>
      <c r="I6167" t="s" s="2">
        <v>23875</v>
      </c>
      <c r="J6167" t="s" s="2">
        <v>23876</v>
      </c>
      <c r="K6167" t="s" s="2">
        <v>22</v>
      </c>
      <c r="L6167" t="s" s="2">
        <v>22</v>
      </c>
      <c r="M6167" t="s" s="2">
        <v>22</v>
      </c>
    </row>
    <row r="6168" ht="25.0" customHeight="true">
      <c r="A6168" t="s" s="2">
        <v>13</v>
      </c>
      <c r="B6168" t="s" s="2">
        <f>HYPERLINK("http://ts.21cn.com/tousu/show/id/1366681","捷信分期275逾期十五天，逾期费100,")</f>
      </c>
      <c r="C6168" t="s" s="2">
        <v>15</v>
      </c>
      <c r="D6168" t="s" s="2">
        <v>16</v>
      </c>
      <c r="E6168" t="s" s="2">
        <v>17</v>
      </c>
      <c r="F6168" t="s" s="2">
        <f>HYPERLINK("http://ts.21cn.com/tousu/show/id/1366681","http://ts.21cn.com/tousu/show/id/1366681")</f>
      </c>
      <c r="G6168" t="s" s="2">
        <v>17</v>
      </c>
      <c r="H6168" t="s" s="2">
        <v>19</v>
      </c>
      <c r="I6168" t="s" s="2">
        <v>23879</v>
      </c>
      <c r="J6168" t="s" s="2">
        <v>23880</v>
      </c>
      <c r="K6168" t="s" s="2">
        <v>22</v>
      </c>
      <c r="L6168" t="s" s="2">
        <v>22</v>
      </c>
      <c r="M6168" t="s" s="2">
        <v>22</v>
      </c>
    </row>
    <row r="6169" ht="25.0" customHeight="true">
      <c r="A6169" t="s" s="2">
        <v>13</v>
      </c>
      <c r="B6169" t="s" s="2">
        <f>HYPERLINK("http://ts.21cn.com/tousu/show/id/1366684","360借条暴力催收，威胁本人，骚扰父母，爆通讯录")</f>
      </c>
      <c r="C6169" t="s" s="2">
        <v>15</v>
      </c>
      <c r="D6169" t="s" s="2">
        <v>16</v>
      </c>
      <c r="E6169" t="s" s="2">
        <v>17</v>
      </c>
      <c r="F6169" t="s" s="2">
        <f>HYPERLINK("http://ts.21cn.com/tousu/show/id/1366684","http://ts.21cn.com/tousu/show/id/1366684")</f>
      </c>
      <c r="G6169" t="s" s="2">
        <v>17</v>
      </c>
      <c r="H6169" t="s" s="2">
        <v>19</v>
      </c>
      <c r="I6169" t="s" s="2">
        <v>23883</v>
      </c>
      <c r="J6169" t="s" s="2">
        <v>23884</v>
      </c>
      <c r="K6169" t="s" s="2">
        <v>22</v>
      </c>
      <c r="L6169" t="s" s="2">
        <v>22</v>
      </c>
      <c r="M6169" t="s" s="2">
        <v>22</v>
      </c>
    </row>
    <row r="6170" ht="25.0" customHeight="true">
      <c r="A6170" t="s" s="2">
        <v>13</v>
      </c>
      <c r="B6170" t="s" s="2">
        <f>HYPERLINK("http://ts.21cn.com/tousu/show/id/1366679","招商银行信用卡暴击催收")</f>
      </c>
      <c r="C6170" t="s" s="2">
        <v>15</v>
      </c>
      <c r="D6170" t="s" s="2">
        <v>16</v>
      </c>
      <c r="E6170" t="s" s="2">
        <v>17</v>
      </c>
      <c r="F6170" t="s" s="2">
        <f>HYPERLINK("http://ts.21cn.com/tousu/show/id/1366679","http://ts.21cn.com/tousu/show/id/1366679")</f>
      </c>
      <c r="G6170" t="s" s="2">
        <v>17</v>
      </c>
      <c r="H6170" t="s" s="2">
        <v>19</v>
      </c>
      <c r="I6170" t="s" s="2">
        <v>23887</v>
      </c>
      <c r="J6170" t="s" s="2">
        <v>23888</v>
      </c>
      <c r="K6170" t="s" s="2">
        <v>22</v>
      </c>
      <c r="L6170" t="s" s="2">
        <v>22</v>
      </c>
      <c r="M6170" t="s" s="2">
        <v>22</v>
      </c>
    </row>
    <row r="6171" ht="25.0" customHeight="true">
      <c r="A6171" t="s" s="2">
        <v>13</v>
      </c>
      <c r="B6171" t="s" s="2">
        <f>HYPERLINK("http://ts.21cn.com/tousu/show/id/1366678","收取高额利息费")</f>
      </c>
      <c r="C6171" t="s" s="2">
        <v>15</v>
      </c>
      <c r="D6171" t="s" s="2">
        <v>16</v>
      </c>
      <c r="E6171" t="s" s="2">
        <v>17</v>
      </c>
      <c r="F6171" t="s" s="2">
        <f>HYPERLINK("http://ts.21cn.com/tousu/show/id/1366678","http://ts.21cn.com/tousu/show/id/1366678")</f>
      </c>
      <c r="G6171" t="s" s="2">
        <v>17</v>
      </c>
      <c r="H6171" t="s" s="2">
        <v>19</v>
      </c>
      <c r="I6171" t="s" s="2">
        <v>23891</v>
      </c>
      <c r="J6171" t="s" s="2">
        <v>23892</v>
      </c>
      <c r="K6171" t="s" s="2">
        <v>22</v>
      </c>
      <c r="L6171" t="s" s="2">
        <v>22</v>
      </c>
      <c r="M6171" t="s" s="2">
        <v>22</v>
      </c>
    </row>
    <row r="6172" ht="25.0" customHeight="true">
      <c r="A6172" t="s" s="2">
        <v>13</v>
      </c>
      <c r="B6172" t="s" s="2">
        <f>HYPERLINK("http://ts.21cn.com/tousu/show/id/1366680","恶意拖欠工资")</f>
      </c>
      <c r="C6172" t="s" s="2">
        <v>15</v>
      </c>
      <c r="D6172" t="s" s="2">
        <v>16</v>
      </c>
      <c r="E6172" t="s" s="2">
        <v>17</v>
      </c>
      <c r="F6172" t="s" s="2">
        <f>HYPERLINK("http://ts.21cn.com/tousu/show/id/1366680","http://ts.21cn.com/tousu/show/id/1366680")</f>
      </c>
      <c r="G6172" t="s" s="2">
        <v>17</v>
      </c>
      <c r="H6172" t="s" s="2">
        <v>19</v>
      </c>
      <c r="I6172" t="s" s="2">
        <v>23895</v>
      </c>
      <c r="J6172" t="s" s="2">
        <v>23896</v>
      </c>
      <c r="K6172" t="s" s="2">
        <v>22</v>
      </c>
      <c r="L6172" t="s" s="2">
        <v>22</v>
      </c>
      <c r="M6172" t="s" s="2">
        <v>22</v>
      </c>
    </row>
    <row r="6173" ht="25.0" customHeight="true">
      <c r="A6173" t="s" s="2">
        <v>13</v>
      </c>
      <c r="B6173" t="s" s="2">
        <f>HYPERLINK("http://ts.21cn.com/tousu/show/id/1366674","超级高利贷嗨包")</f>
      </c>
      <c r="C6173" t="s" s="2">
        <v>15</v>
      </c>
      <c r="D6173" t="s" s="2">
        <v>16</v>
      </c>
      <c r="E6173" t="s" s="2">
        <v>17</v>
      </c>
      <c r="F6173" t="s" s="2">
        <f>HYPERLINK("http://ts.21cn.com/tousu/show/id/1366674","http://ts.21cn.com/tousu/show/id/1366674")</f>
      </c>
      <c r="G6173" t="s" s="2">
        <v>17</v>
      </c>
      <c r="H6173" t="s" s="2">
        <v>19</v>
      </c>
      <c r="I6173" t="s" s="2">
        <v>23899</v>
      </c>
      <c r="J6173" t="s" s="2">
        <v>23900</v>
      </c>
      <c r="K6173" t="s" s="2">
        <v>22</v>
      </c>
      <c r="L6173" t="s" s="2">
        <v>22</v>
      </c>
      <c r="M6173" t="s" s="2">
        <v>22</v>
      </c>
    </row>
    <row r="6174" ht="25.0" customHeight="true">
      <c r="A6174" t="s" s="2">
        <v>13</v>
      </c>
      <c r="B6174" t="s" s="2">
        <f>HYPERLINK("http://ts.21cn.com/tousu/show/id/1366673","发票问题")</f>
      </c>
      <c r="C6174" t="s" s="2">
        <v>15</v>
      </c>
      <c r="D6174" t="s" s="2">
        <v>16</v>
      </c>
      <c r="E6174" t="s" s="2">
        <v>17</v>
      </c>
      <c r="F6174" t="s" s="2">
        <f>HYPERLINK("http://ts.21cn.com/tousu/show/id/1366673","http://ts.21cn.com/tousu/show/id/1366673")</f>
      </c>
      <c r="G6174" t="s" s="2">
        <v>17</v>
      </c>
      <c r="H6174" t="s" s="2">
        <v>19</v>
      </c>
      <c r="I6174" t="s" s="2">
        <v>23899</v>
      </c>
      <c r="J6174" t="s" s="2">
        <v>23903</v>
      </c>
      <c r="K6174" t="s" s="2">
        <v>22</v>
      </c>
      <c r="L6174" t="s" s="2">
        <v>22</v>
      </c>
      <c r="M6174" t="s" s="2">
        <v>22</v>
      </c>
    </row>
    <row r="6175" ht="25.0" customHeight="true">
      <c r="A6175" t="s" s="2">
        <v>13</v>
      </c>
      <c r="B6175" t="s" s="2">
        <f>HYPERLINK("http://ts.21cn.com/tousu/show/id/1366672","维信豆豆钱高利贷催收涉嫌伪造虚假短信恐吓")</f>
      </c>
      <c r="C6175" t="s" s="2">
        <v>15</v>
      </c>
      <c r="D6175" t="s" s="2">
        <v>16</v>
      </c>
      <c r="E6175" t="s" s="2">
        <v>17</v>
      </c>
      <c r="F6175" t="s" s="2">
        <f>HYPERLINK("http://ts.21cn.com/tousu/show/id/1366672","http://ts.21cn.com/tousu/show/id/1366672")</f>
      </c>
      <c r="G6175" t="s" s="2">
        <v>17</v>
      </c>
      <c r="H6175" t="s" s="2">
        <v>19</v>
      </c>
      <c r="I6175" t="s" s="2">
        <v>23906</v>
      </c>
      <c r="J6175" t="s" s="2">
        <v>23907</v>
      </c>
      <c r="K6175" t="s" s="2">
        <v>22</v>
      </c>
      <c r="L6175" t="s" s="2">
        <v>22</v>
      </c>
      <c r="M6175" t="s" s="2">
        <v>22</v>
      </c>
    </row>
    <row r="6176" ht="25.0" customHeight="true">
      <c r="A6176" t="s" s="2">
        <v>13</v>
      </c>
      <c r="B6176" t="s" s="2">
        <f>HYPERLINK("http://ts.21cn.com/tousu/show/id/1366670","大黄花app暴利催收威胁")</f>
      </c>
      <c r="C6176" t="s" s="2">
        <v>15</v>
      </c>
      <c r="D6176" t="s" s="2">
        <v>16</v>
      </c>
      <c r="E6176" t="s" s="2">
        <v>17</v>
      </c>
      <c r="F6176" t="s" s="2">
        <f>HYPERLINK("http://ts.21cn.com/tousu/show/id/1366670","http://ts.21cn.com/tousu/show/id/1366670")</f>
      </c>
      <c r="G6176" t="s" s="2">
        <v>17</v>
      </c>
      <c r="H6176" t="s" s="2">
        <v>19</v>
      </c>
      <c r="I6176" t="s" s="2">
        <v>23910</v>
      </c>
      <c r="J6176" t="s" s="2">
        <v>23911</v>
      </c>
      <c r="K6176" t="s" s="2">
        <v>22</v>
      </c>
      <c r="L6176" t="s" s="2">
        <v>22</v>
      </c>
      <c r="M6176" t="s" s="2">
        <v>22</v>
      </c>
    </row>
    <row r="6177" ht="25.0" customHeight="true">
      <c r="A6177" t="s" s="2">
        <v>13</v>
      </c>
      <c r="B6177" t="s" s="2">
        <f>HYPERLINK("http://ts.21cn.com/tousu/show/id/1366669","省呗恶意骚扰")</f>
      </c>
      <c r="C6177" t="s" s="2">
        <v>15</v>
      </c>
      <c r="D6177" t="s" s="2">
        <v>16</v>
      </c>
      <c r="E6177" t="s" s="2">
        <v>17</v>
      </c>
      <c r="F6177" t="s" s="2">
        <f>HYPERLINK("http://ts.21cn.com/tousu/show/id/1366669","http://ts.21cn.com/tousu/show/id/1366669")</f>
      </c>
      <c r="G6177" t="s" s="2">
        <v>17</v>
      </c>
      <c r="H6177" t="s" s="2">
        <v>19</v>
      </c>
      <c r="I6177" t="s" s="2">
        <v>23914</v>
      </c>
      <c r="J6177" t="s" s="2">
        <v>23915</v>
      </c>
      <c r="K6177" t="s" s="2">
        <v>22</v>
      </c>
      <c r="L6177" t="s" s="2">
        <v>22</v>
      </c>
      <c r="M6177" t="s" s="2">
        <v>22</v>
      </c>
    </row>
    <row r="6178" ht="25.0" customHeight="true">
      <c r="A6178" t="s" s="2">
        <v>13</v>
      </c>
      <c r="B6178" t="s" s="2">
        <f>HYPERLINK("http://ts.21cn.com/tousu/show/id/1365545","银盛通")</f>
      </c>
      <c r="C6178" t="s" s="2">
        <v>15</v>
      </c>
      <c r="D6178" t="s" s="2">
        <v>16</v>
      </c>
      <c r="E6178" t="s" s="2">
        <v>17</v>
      </c>
      <c r="F6178" t="s" s="2">
        <f>HYPERLINK("http://ts.21cn.com/tousu/show/id/1365545","http://ts.21cn.com/tousu/show/id/1365545")</f>
      </c>
      <c r="G6178" t="s" s="2">
        <v>17</v>
      </c>
      <c r="H6178" t="s" s="2">
        <v>19</v>
      </c>
      <c r="I6178" t="s" s="2">
        <v>23918</v>
      </c>
      <c r="J6178" t="s" s="2">
        <v>23919</v>
      </c>
      <c r="K6178" t="s" s="2">
        <v>22</v>
      </c>
      <c r="L6178" t="s" s="2">
        <v>22</v>
      </c>
      <c r="M6178" t="s" s="2">
        <v>22</v>
      </c>
    </row>
    <row r="6179" ht="25.0" customHeight="true">
      <c r="A6179" t="s" s="2">
        <v>13</v>
      </c>
      <c r="B6179" t="s" s="2">
        <f>HYPERLINK("http://ts.21cn.com/tousu/show/id/1366668","及贷利息超过36%并且暴力催收威胁恐吓")</f>
      </c>
      <c r="C6179" t="s" s="2">
        <v>15</v>
      </c>
      <c r="D6179" t="s" s="2">
        <v>16</v>
      </c>
      <c r="E6179" t="s" s="2">
        <v>17</v>
      </c>
      <c r="F6179" t="s" s="2">
        <f>HYPERLINK("http://ts.21cn.com/tousu/show/id/1366668","http://ts.21cn.com/tousu/show/id/1366668")</f>
      </c>
      <c r="G6179" t="s" s="2">
        <v>17</v>
      </c>
      <c r="H6179" t="s" s="2">
        <v>19</v>
      </c>
      <c r="I6179" t="s" s="2">
        <v>23922</v>
      </c>
      <c r="J6179" t="s" s="2">
        <v>23923</v>
      </c>
      <c r="K6179" t="s" s="2">
        <v>22</v>
      </c>
      <c r="L6179" t="s" s="2">
        <v>22</v>
      </c>
      <c r="M6179" t="s" s="2">
        <v>22</v>
      </c>
    </row>
    <row r="6180" ht="25.0" customHeight="true">
      <c r="A6180" t="s" s="2">
        <v>13</v>
      </c>
      <c r="B6180" t="s" s="2">
        <f>HYPERLINK("http://ts.21cn.com/tousu/show/id/1366667","解决发件问题！")</f>
      </c>
      <c r="C6180" t="s" s="2">
        <v>15</v>
      </c>
      <c r="D6180" t="s" s="2">
        <v>16</v>
      </c>
      <c r="E6180" t="s" s="2">
        <v>17</v>
      </c>
      <c r="F6180" t="s" s="2">
        <f>HYPERLINK("http://ts.21cn.com/tousu/show/id/1366667","http://ts.21cn.com/tousu/show/id/1366667")</f>
      </c>
      <c r="G6180" t="s" s="2">
        <v>17</v>
      </c>
      <c r="H6180" t="s" s="2">
        <v>19</v>
      </c>
      <c r="I6180" t="s" s="2">
        <v>23926</v>
      </c>
      <c r="J6180" t="s" s="2">
        <v>23927</v>
      </c>
      <c r="K6180" t="s" s="2">
        <v>22</v>
      </c>
      <c r="L6180" t="s" s="2">
        <v>22</v>
      </c>
      <c r="M6180" t="s" s="2">
        <v>22</v>
      </c>
    </row>
    <row r="6181" ht="25.0" customHeight="true">
      <c r="A6181" t="s" s="2">
        <v>13</v>
      </c>
      <c r="B6181" t="s" s="2">
        <f>HYPERLINK("http://ts.21cn.com/tousu/show/id/1366666","被恶意催收而且暴力催收")</f>
      </c>
      <c r="C6181" t="s" s="2">
        <v>15</v>
      </c>
      <c r="D6181" t="s" s="2">
        <v>16</v>
      </c>
      <c r="E6181" t="s" s="2">
        <v>17</v>
      </c>
      <c r="F6181" t="s" s="2">
        <f>HYPERLINK("http://ts.21cn.com/tousu/show/id/1366666","http://ts.21cn.com/tousu/show/id/1366666")</f>
      </c>
      <c r="G6181" t="s" s="2">
        <v>17</v>
      </c>
      <c r="H6181" t="s" s="2">
        <v>19</v>
      </c>
      <c r="I6181" t="s" s="2">
        <v>23930</v>
      </c>
      <c r="J6181" t="s" s="2">
        <v>23931</v>
      </c>
      <c r="K6181" t="s" s="2">
        <v>22</v>
      </c>
      <c r="L6181" t="s" s="2">
        <v>22</v>
      </c>
      <c r="M6181" t="s" s="2">
        <v>22</v>
      </c>
    </row>
    <row r="6182" ht="25.0" customHeight="true">
      <c r="A6182" t="s" s="2">
        <v>13</v>
      </c>
      <c r="B6182" t="s" s="2">
        <f>HYPERLINK("http://ts.21cn.com/tousu/show/id/1366663","高利贷")</f>
      </c>
      <c r="C6182" t="s" s="2">
        <v>15</v>
      </c>
      <c r="D6182" t="s" s="2">
        <v>16</v>
      </c>
      <c r="E6182" t="s" s="2">
        <v>17</v>
      </c>
      <c r="F6182" t="s" s="2">
        <f>HYPERLINK("http://ts.21cn.com/tousu/show/id/1366663","http://ts.21cn.com/tousu/show/id/1366663")</f>
      </c>
      <c r="G6182" t="s" s="2">
        <v>17</v>
      </c>
      <c r="H6182" t="s" s="2">
        <v>19</v>
      </c>
      <c r="I6182" t="s" s="2">
        <v>23933</v>
      </c>
      <c r="J6182" t="s" s="2">
        <v>23934</v>
      </c>
      <c r="K6182" t="s" s="2">
        <v>22</v>
      </c>
      <c r="L6182" t="s" s="2">
        <v>22</v>
      </c>
      <c r="M6182" t="s" s="2">
        <v>22</v>
      </c>
    </row>
    <row r="6183" ht="25.0" customHeight="true">
      <c r="A6183" t="s" s="2">
        <v>13</v>
      </c>
      <c r="B6183" t="s" s="2">
        <f>HYPERLINK("http://ts.21cn.com/tousu/show/id/1366662","旺卡猫乱收费")</f>
      </c>
      <c r="C6183" t="s" s="2">
        <v>15</v>
      </c>
      <c r="D6183" t="s" s="2">
        <v>16</v>
      </c>
      <c r="E6183" t="s" s="2">
        <v>17</v>
      </c>
      <c r="F6183" t="s" s="2">
        <f>HYPERLINK("http://ts.21cn.com/tousu/show/id/1366662","http://ts.21cn.com/tousu/show/id/1366662")</f>
      </c>
      <c r="G6183" t="s" s="2">
        <v>17</v>
      </c>
      <c r="H6183" t="s" s="2">
        <v>19</v>
      </c>
      <c r="I6183" t="s" s="2">
        <v>23937</v>
      </c>
      <c r="J6183" t="s" s="2">
        <v>23938</v>
      </c>
      <c r="K6183" t="s" s="2">
        <v>22</v>
      </c>
      <c r="L6183" t="s" s="2">
        <v>22</v>
      </c>
      <c r="M6183" t="s" s="2">
        <v>22</v>
      </c>
    </row>
    <row r="6184" ht="25.0" customHeight="true">
      <c r="A6184" t="s" s="2">
        <v>13</v>
      </c>
      <c r="B6184" t="s" s="2">
        <f>HYPERLINK("http://ts.21cn.com/tousu/show/id/1366661","dada英语申请退款，拖了一个月了还不处理")</f>
      </c>
      <c r="C6184" t="s" s="2">
        <v>52</v>
      </c>
      <c r="D6184" t="s" s="2">
        <v>16</v>
      </c>
      <c r="E6184" t="s" s="2">
        <v>17</v>
      </c>
      <c r="F6184" t="s" s="2">
        <f>HYPERLINK("http://ts.21cn.com/tousu/show/id/1366661","http://ts.21cn.com/tousu/show/id/1366661")</f>
      </c>
      <c r="G6184" t="s" s="2">
        <v>17</v>
      </c>
      <c r="H6184" t="s" s="2">
        <v>19</v>
      </c>
      <c r="I6184" t="s" s="2">
        <v>23941</v>
      </c>
      <c r="J6184" t="s" s="2">
        <v>23942</v>
      </c>
      <c r="K6184" t="s" s="2">
        <v>22</v>
      </c>
      <c r="L6184" t="s" s="2">
        <v>22</v>
      </c>
      <c r="M6184" t="s" s="2">
        <v>22</v>
      </c>
    </row>
    <row r="6185" ht="25.0" customHeight="true">
      <c r="A6185" t="s" s="2">
        <v>13</v>
      </c>
      <c r="B6185" t="s" s="2">
        <f>HYPERLINK("http://ts.21cn.com/tousu/show/id/1366660","态度恶劣，严重骚扰通讯录")</f>
      </c>
      <c r="C6185" t="s" s="2">
        <v>15</v>
      </c>
      <c r="D6185" t="s" s="2">
        <v>16</v>
      </c>
      <c r="E6185" t="s" s="2">
        <v>17</v>
      </c>
      <c r="F6185" t="s" s="2">
        <f>HYPERLINK("http://ts.21cn.com/tousu/show/id/1366660","http://ts.21cn.com/tousu/show/id/1366660")</f>
      </c>
      <c r="G6185" t="s" s="2">
        <v>17</v>
      </c>
      <c r="H6185" t="s" s="2">
        <v>19</v>
      </c>
      <c r="I6185" t="s" s="2">
        <v>23945</v>
      </c>
      <c r="J6185" t="s" s="2">
        <v>23946</v>
      </c>
      <c r="K6185" t="s" s="2">
        <v>22</v>
      </c>
      <c r="L6185" t="s" s="2">
        <v>22</v>
      </c>
      <c r="M6185" t="s" s="2">
        <v>22</v>
      </c>
    </row>
    <row r="6186" ht="25.0" customHeight="true">
      <c r="A6186" t="s" s="2">
        <v>13</v>
      </c>
      <c r="B6186" t="s" s="2">
        <f>HYPERLINK("http://ts.21cn.com/tousu/show/id/1366659","钱站有砍头息")</f>
      </c>
      <c r="C6186" t="s" s="2">
        <v>15</v>
      </c>
      <c r="D6186" t="s" s="2">
        <v>16</v>
      </c>
      <c r="E6186" t="s" s="2">
        <v>17</v>
      </c>
      <c r="F6186" t="s" s="2">
        <f>HYPERLINK("http://ts.21cn.com/tousu/show/id/1366659","http://ts.21cn.com/tousu/show/id/1366659")</f>
      </c>
      <c r="G6186" t="s" s="2">
        <v>17</v>
      </c>
      <c r="H6186" t="s" s="2">
        <v>19</v>
      </c>
      <c r="I6186" t="s" s="2">
        <v>23949</v>
      </c>
      <c r="J6186" t="s" s="2">
        <v>23950</v>
      </c>
      <c r="K6186" t="s" s="2">
        <v>22</v>
      </c>
      <c r="L6186" t="s" s="2">
        <v>22</v>
      </c>
      <c r="M6186" t="s" s="2">
        <v>22</v>
      </c>
    </row>
    <row r="6187" ht="25.0" customHeight="true">
      <c r="A6187" t="s" s="2">
        <v>13</v>
      </c>
      <c r="B6187" t="s" s="2">
        <f>HYPERLINK("http://ts.21cn.com/tousu/show/id/1366658","银行信用卡催收威胁恐吓辱骂")</f>
      </c>
      <c r="C6187" t="s" s="2">
        <v>15</v>
      </c>
      <c r="D6187" t="s" s="2">
        <v>16</v>
      </c>
      <c r="E6187" t="s" s="2">
        <v>17</v>
      </c>
      <c r="F6187" t="s" s="2">
        <f>HYPERLINK("http://ts.21cn.com/tousu/show/id/1366658","http://ts.21cn.com/tousu/show/id/1366658")</f>
      </c>
      <c r="G6187" t="s" s="2">
        <v>17</v>
      </c>
      <c r="H6187" t="s" s="2">
        <v>19</v>
      </c>
      <c r="I6187" t="s" s="2">
        <v>23953</v>
      </c>
      <c r="J6187" t="s" s="2">
        <v>23954</v>
      </c>
      <c r="K6187" t="s" s="2">
        <v>22</v>
      </c>
      <c r="L6187" t="s" s="2">
        <v>22</v>
      </c>
      <c r="M6187" t="s" s="2">
        <v>22</v>
      </c>
    </row>
    <row r="6188" ht="25.0" customHeight="true">
      <c r="A6188" t="s" s="2">
        <v>13</v>
      </c>
      <c r="B6188" t="s" s="2">
        <f>HYPERLINK("http://ts.21cn.com/tousu/show/id/1366657","多次打电话推销贷款")</f>
      </c>
      <c r="C6188" t="s" s="2">
        <v>15</v>
      </c>
      <c r="D6188" t="s" s="2">
        <v>16</v>
      </c>
      <c r="E6188" t="s" s="2">
        <v>17</v>
      </c>
      <c r="F6188" t="s" s="2">
        <f>HYPERLINK("http://ts.21cn.com/tousu/show/id/1366657","http://ts.21cn.com/tousu/show/id/1366657")</f>
      </c>
      <c r="G6188" t="s" s="2">
        <v>17</v>
      </c>
      <c r="H6188" t="s" s="2">
        <v>19</v>
      </c>
      <c r="I6188" t="s" s="2">
        <v>23957</v>
      </c>
      <c r="J6188" t="s" s="2">
        <v>23958</v>
      </c>
      <c r="K6188" t="s" s="2">
        <v>22</v>
      </c>
      <c r="L6188" t="s" s="2">
        <v>22</v>
      </c>
      <c r="M6188" t="s" s="2">
        <v>22</v>
      </c>
    </row>
    <row r="6189" ht="25.0" customHeight="true">
      <c r="A6189" t="s" s="2">
        <v>13</v>
      </c>
      <c r="B6189" t="s" s="2">
        <f>HYPERLINK("http://ts.21cn.com/tousu/show/id/1366601","闪银哼哼和瞬瞬")</f>
      </c>
      <c r="C6189" t="s" s="2">
        <v>15</v>
      </c>
      <c r="D6189" t="s" s="2">
        <v>16</v>
      </c>
      <c r="E6189" t="s" s="2">
        <v>17</v>
      </c>
      <c r="F6189" t="s" s="2">
        <f>HYPERLINK("http://ts.21cn.com/tousu/show/id/1366601","http://ts.21cn.com/tousu/show/id/1366601")</f>
      </c>
      <c r="G6189" t="s" s="2">
        <v>17</v>
      </c>
      <c r="H6189" t="s" s="2">
        <v>19</v>
      </c>
      <c r="I6189" t="s" s="2">
        <v>23961</v>
      </c>
      <c r="J6189" t="s" s="2">
        <v>23962</v>
      </c>
      <c r="K6189" t="s" s="2">
        <v>22</v>
      </c>
      <c r="L6189" t="s" s="2">
        <v>22</v>
      </c>
      <c r="M6189" t="s" s="2">
        <v>22</v>
      </c>
    </row>
    <row r="6190" ht="25.0" customHeight="true">
      <c r="A6190" t="s" s="2">
        <v>13</v>
      </c>
      <c r="B6190" t="s" s="2">
        <f>HYPERLINK("http://ts.21cn.com/tousu/show/id/1366654","还呗app用我的名字发虚假催款短信给借款人通讯录的人，我根本没在还呗借款，影响到了我的声誉")</f>
      </c>
      <c r="C6190" t="s" s="2">
        <v>15</v>
      </c>
      <c r="D6190" t="s" s="2">
        <v>16</v>
      </c>
      <c r="E6190" t="s" s="2">
        <v>17</v>
      </c>
      <c r="F6190" t="s" s="2">
        <f>HYPERLINK("http://ts.21cn.com/tousu/show/id/1366654","http://ts.21cn.com/tousu/show/id/1366654")</f>
      </c>
      <c r="G6190" t="s" s="2">
        <v>17</v>
      </c>
      <c r="H6190" t="s" s="2">
        <v>19</v>
      </c>
      <c r="I6190" t="s" s="2">
        <v>23965</v>
      </c>
      <c r="J6190" t="s" s="2">
        <v>23966</v>
      </c>
      <c r="K6190" t="s" s="2">
        <v>22</v>
      </c>
      <c r="L6190" t="s" s="2">
        <v>22</v>
      </c>
      <c r="M6190" t="s" s="2">
        <v>22</v>
      </c>
    </row>
    <row r="6191" ht="25.0" customHeight="true">
      <c r="A6191" t="s" s="2">
        <v>13</v>
      </c>
      <c r="B6191" t="s" s="2">
        <f>HYPERLINK("http://ts.21cn.com/tousu/show/id/1366655","收费不合理")</f>
      </c>
      <c r="C6191" t="s" s="2">
        <v>15</v>
      </c>
      <c r="D6191" t="s" s="2">
        <v>16</v>
      </c>
      <c r="E6191" t="s" s="2">
        <v>17</v>
      </c>
      <c r="F6191" t="s" s="2">
        <f>HYPERLINK("http://ts.21cn.com/tousu/show/id/1366655","http://ts.21cn.com/tousu/show/id/1366655")</f>
      </c>
      <c r="G6191" t="s" s="2">
        <v>17</v>
      </c>
      <c r="H6191" t="s" s="2">
        <v>19</v>
      </c>
      <c r="I6191" t="s" s="2">
        <v>23965</v>
      </c>
      <c r="J6191" t="s" s="2">
        <v>23968</v>
      </c>
      <c r="K6191" t="s" s="2">
        <v>22</v>
      </c>
      <c r="L6191" t="s" s="2">
        <v>22</v>
      </c>
      <c r="M6191" t="s" s="2">
        <v>22</v>
      </c>
    </row>
    <row r="6192" ht="25.0" customHeight="true">
      <c r="A6192" t="s" s="2">
        <v>13</v>
      </c>
      <c r="B6192" t="s" s="2">
        <f>HYPERLINK("http://ts.21cn.com/tousu/show/id/1366652","暴力催收无关亲友导致家庭混乱，老人忧心忡忡")</f>
      </c>
      <c r="C6192" t="s" s="2">
        <v>15</v>
      </c>
      <c r="D6192" t="s" s="2">
        <v>16</v>
      </c>
      <c r="E6192" t="s" s="2">
        <v>17</v>
      </c>
      <c r="F6192" t="s" s="2">
        <f>HYPERLINK("http://ts.21cn.com/tousu/show/id/1366652","http://ts.21cn.com/tousu/show/id/1366652")</f>
      </c>
      <c r="G6192" t="s" s="2">
        <v>17</v>
      </c>
      <c r="H6192" t="s" s="2">
        <v>19</v>
      </c>
      <c r="I6192" t="s" s="2">
        <v>23971</v>
      </c>
      <c r="J6192" t="s" s="2">
        <v>23972</v>
      </c>
      <c r="K6192" t="s" s="2">
        <v>22</v>
      </c>
      <c r="L6192" t="s" s="2">
        <v>22</v>
      </c>
      <c r="M6192" t="s" s="2">
        <v>22</v>
      </c>
    </row>
    <row r="6193" ht="25.0" customHeight="true">
      <c r="A6193" t="s" s="2">
        <v>13</v>
      </c>
      <c r="B6193" t="s" s="2">
        <f>HYPERLINK("http://ts.21cn.com/tousu/show/id/1366651","招联金融非法暴力催收！威胁并侵犯个人权利！！！！")</f>
      </c>
      <c r="C6193" t="s" s="2">
        <v>15</v>
      </c>
      <c r="D6193" t="s" s="2">
        <v>16</v>
      </c>
      <c r="E6193" t="s" s="2">
        <v>17</v>
      </c>
      <c r="F6193" t="s" s="2">
        <f>HYPERLINK("http://ts.21cn.com/tousu/show/id/1366651","http://ts.21cn.com/tousu/show/id/1366651")</f>
      </c>
      <c r="G6193" t="s" s="2">
        <v>17</v>
      </c>
      <c r="H6193" t="s" s="2">
        <v>19</v>
      </c>
      <c r="I6193" t="s" s="2">
        <v>23975</v>
      </c>
      <c r="J6193" t="s" s="2">
        <v>23976</v>
      </c>
      <c r="K6193" t="s" s="2">
        <v>22</v>
      </c>
      <c r="L6193" t="s" s="2">
        <v>22</v>
      </c>
      <c r="M6193" t="s" s="2">
        <v>22</v>
      </c>
    </row>
    <row r="6194" ht="25.0" customHeight="true">
      <c r="A6194" t="s" s="2">
        <v>13</v>
      </c>
      <c r="B6194" t="s" s="2">
        <f>HYPERLINK("http://ts.21cn.com/tousu/show/id/1366650","退款")</f>
      </c>
      <c r="C6194" t="s" s="2">
        <v>15</v>
      </c>
      <c r="D6194" t="s" s="2">
        <v>16</v>
      </c>
      <c r="E6194" t="s" s="2">
        <v>17</v>
      </c>
      <c r="F6194" t="s" s="2">
        <f>HYPERLINK("http://ts.21cn.com/tousu/show/id/1366650","http://ts.21cn.com/tousu/show/id/1366650")</f>
      </c>
      <c r="G6194" t="s" s="2">
        <v>17</v>
      </c>
      <c r="H6194" t="s" s="2">
        <v>19</v>
      </c>
      <c r="I6194" t="s" s="2">
        <v>23978</v>
      </c>
      <c r="J6194" t="s" s="2">
        <v>23979</v>
      </c>
      <c r="K6194" t="s" s="2">
        <v>22</v>
      </c>
      <c r="L6194" t="s" s="2">
        <v>22</v>
      </c>
      <c r="M6194" t="s" s="2">
        <v>22</v>
      </c>
    </row>
    <row r="6195" ht="25.0" customHeight="true">
      <c r="A6195" t="s" s="2">
        <v>13</v>
      </c>
      <c r="B6195" t="s" s="2">
        <f>HYPERLINK("http://ts.21cn.com/tousu/show/id/1366649","砍头息，暴力催收，骚扰通讯录")</f>
      </c>
      <c r="C6195" t="s" s="2">
        <v>15</v>
      </c>
      <c r="D6195" t="s" s="2">
        <v>16</v>
      </c>
      <c r="E6195" t="s" s="2">
        <v>17</v>
      </c>
      <c r="F6195" t="s" s="2">
        <f>HYPERLINK("http://ts.21cn.com/tousu/show/id/1366649","http://ts.21cn.com/tousu/show/id/1366649")</f>
      </c>
      <c r="G6195" t="s" s="2">
        <v>17</v>
      </c>
      <c r="H6195" t="s" s="2">
        <v>19</v>
      </c>
      <c r="I6195" t="s" s="2">
        <v>23982</v>
      </c>
      <c r="J6195" t="s" s="2">
        <v>23983</v>
      </c>
      <c r="K6195" t="s" s="2">
        <v>22</v>
      </c>
      <c r="L6195" t="s" s="2">
        <v>22</v>
      </c>
      <c r="M6195" t="s" s="2">
        <v>22</v>
      </c>
    </row>
    <row r="6196" ht="25.0" customHeight="true">
      <c r="A6196" t="s" s="2">
        <v>13</v>
      </c>
      <c r="B6196" t="s" s="2">
        <f>HYPERLINK("http://ts.21cn.com/tousu/show/id/1366648","协商处理")</f>
      </c>
      <c r="C6196" t="s" s="2">
        <v>15</v>
      </c>
      <c r="D6196" t="s" s="2">
        <v>16</v>
      </c>
      <c r="E6196" t="s" s="2">
        <v>17</v>
      </c>
      <c r="F6196" t="s" s="2">
        <f>HYPERLINK("http://ts.21cn.com/tousu/show/id/1366648","http://ts.21cn.com/tousu/show/id/1366648")</f>
      </c>
      <c r="G6196" t="s" s="2">
        <v>17</v>
      </c>
      <c r="H6196" t="s" s="2">
        <v>19</v>
      </c>
      <c r="I6196" t="s" s="2">
        <v>23986</v>
      </c>
      <c r="J6196" t="s" s="2">
        <v>23987</v>
      </c>
      <c r="K6196" t="s" s="2">
        <v>22</v>
      </c>
      <c r="L6196" t="s" s="2">
        <v>22</v>
      </c>
      <c r="M6196" t="s" s="2">
        <v>22</v>
      </c>
    </row>
    <row r="6197" ht="25.0" customHeight="true">
      <c r="A6197" t="s" s="2">
        <v>13</v>
      </c>
      <c r="B6197" t="s" s="2">
        <f>HYPERLINK("http://ts.21cn.com/tousu/show/id/1366645","骚扰我亲戚朋爆通讯录")</f>
      </c>
      <c r="C6197" t="s" s="2">
        <v>15</v>
      </c>
      <c r="D6197" t="s" s="2">
        <v>16</v>
      </c>
      <c r="E6197" t="s" s="2">
        <v>17</v>
      </c>
      <c r="F6197" t="s" s="2">
        <f>HYPERLINK("http://ts.21cn.com/tousu/show/id/1366645","http://ts.21cn.com/tousu/show/id/1366645")</f>
      </c>
      <c r="G6197" t="s" s="2">
        <v>17</v>
      </c>
      <c r="H6197" t="s" s="2">
        <v>19</v>
      </c>
      <c r="I6197" t="s" s="2">
        <v>23990</v>
      </c>
      <c r="J6197" t="s" s="2">
        <v>23991</v>
      </c>
      <c r="K6197" t="s" s="2">
        <v>22</v>
      </c>
      <c r="L6197" t="s" s="2">
        <v>22</v>
      </c>
      <c r="M6197" t="s" s="2">
        <v>22</v>
      </c>
    </row>
    <row r="6198" ht="25.0" customHeight="true">
      <c r="A6198" t="s" s="2">
        <v>13</v>
      </c>
      <c r="B6198" t="s" s="2">
        <f>HYPERLINK("http://ts.21cn.com/tousu/show/id/1366646","高利贷")</f>
      </c>
      <c r="C6198" t="s" s="2">
        <v>15</v>
      </c>
      <c r="D6198" t="s" s="2">
        <v>16</v>
      </c>
      <c r="E6198" t="s" s="2">
        <v>17</v>
      </c>
      <c r="F6198" t="s" s="2">
        <f>HYPERLINK("http://ts.21cn.com/tousu/show/id/1366646","http://ts.21cn.com/tousu/show/id/1366646")</f>
      </c>
      <c r="G6198" t="s" s="2">
        <v>17</v>
      </c>
      <c r="H6198" t="s" s="2">
        <v>19</v>
      </c>
      <c r="I6198" t="s" s="2">
        <v>23993</v>
      </c>
      <c r="J6198" t="s" s="2">
        <v>23994</v>
      </c>
      <c r="K6198" t="s" s="2">
        <v>22</v>
      </c>
      <c r="L6198" t="s" s="2">
        <v>22</v>
      </c>
      <c r="M6198" t="s" s="2">
        <v>22</v>
      </c>
    </row>
    <row r="6199" ht="25.0" customHeight="true">
      <c r="A6199" t="s" s="2">
        <v>13</v>
      </c>
      <c r="B6199" t="s" s="2">
        <f>HYPERLINK("http://ts.21cn.com/tousu/show/id/1366643","恶意催收")</f>
      </c>
      <c r="C6199" t="s" s="2">
        <v>15</v>
      </c>
      <c r="D6199" t="s" s="2">
        <v>16</v>
      </c>
      <c r="E6199" t="s" s="2">
        <v>17</v>
      </c>
      <c r="F6199" t="s" s="2">
        <f>HYPERLINK("http://ts.21cn.com/tousu/show/id/1366643","http://ts.21cn.com/tousu/show/id/1366643")</f>
      </c>
      <c r="G6199" t="s" s="2">
        <v>17</v>
      </c>
      <c r="H6199" t="s" s="2">
        <v>19</v>
      </c>
      <c r="I6199" t="s" s="2">
        <v>23996</v>
      </c>
      <c r="J6199" t="s" s="2">
        <v>23997</v>
      </c>
      <c r="K6199" t="s" s="2">
        <v>22</v>
      </c>
      <c r="L6199" t="s" s="2">
        <v>22</v>
      </c>
      <c r="M6199" t="s" s="2">
        <v>22</v>
      </c>
    </row>
    <row r="6200" ht="25.0" customHeight="true">
      <c r="A6200" t="s" s="2">
        <v>13</v>
      </c>
      <c r="B6200" t="s" s="2">
        <f>HYPERLINK("http://ts.21cn.com/tousu/show/id/1366644","退回高额逾期费")</f>
      </c>
      <c r="C6200" t="s" s="2">
        <v>15</v>
      </c>
      <c r="D6200" t="s" s="2">
        <v>16</v>
      </c>
      <c r="E6200" t="s" s="2">
        <v>17</v>
      </c>
      <c r="F6200" t="s" s="2">
        <f>HYPERLINK("http://ts.21cn.com/tousu/show/id/1366644","http://ts.21cn.com/tousu/show/id/1366644")</f>
      </c>
      <c r="G6200" t="s" s="2">
        <v>17</v>
      </c>
      <c r="H6200" t="s" s="2">
        <v>19</v>
      </c>
      <c r="I6200" t="s" s="2">
        <v>23996</v>
      </c>
      <c r="J6200" t="s" s="2">
        <v>24000</v>
      </c>
      <c r="K6200" t="s" s="2">
        <v>22</v>
      </c>
      <c r="L6200" t="s" s="2">
        <v>22</v>
      </c>
      <c r="M6200" t="s" s="2">
        <v>22</v>
      </c>
    </row>
    <row r="6201" ht="25.0" customHeight="true">
      <c r="A6201" t="s" s="2">
        <v>13</v>
      </c>
      <c r="B6201" t="s" s="2">
        <f>HYPERLINK("http://ts.21cn.com/tousu/show/id/1366638","唯品金融唯品花金额不符催收骚扰")</f>
      </c>
      <c r="C6201" t="s" s="2">
        <v>15</v>
      </c>
      <c r="D6201" t="s" s="2">
        <v>16</v>
      </c>
      <c r="E6201" t="s" s="2">
        <v>17</v>
      </c>
      <c r="F6201" t="s" s="2">
        <f>HYPERLINK("http://ts.21cn.com/tousu/show/id/1366638","http://ts.21cn.com/tousu/show/id/1366638")</f>
      </c>
      <c r="G6201" t="s" s="2">
        <v>17</v>
      </c>
      <c r="H6201" t="s" s="2">
        <v>19</v>
      </c>
      <c r="I6201" t="s" s="2">
        <v>24003</v>
      </c>
      <c r="J6201" t="s" s="2">
        <v>24004</v>
      </c>
      <c r="K6201" t="s" s="2">
        <v>22</v>
      </c>
      <c r="L6201" t="s" s="2">
        <v>22</v>
      </c>
      <c r="M6201" t="s" s="2">
        <v>22</v>
      </c>
    </row>
    <row r="6202" ht="25.0" customHeight="true">
      <c r="A6202" t="s" s="2">
        <v>13</v>
      </c>
      <c r="B6202" t="s" s="2">
        <f>HYPERLINK("http://ts.21cn.com/tousu/show/id/1366637","要求退款")</f>
      </c>
      <c r="C6202" t="s" s="2">
        <v>52</v>
      </c>
      <c r="D6202" t="s" s="2">
        <v>16</v>
      </c>
      <c r="E6202" t="s" s="2">
        <v>17</v>
      </c>
      <c r="F6202" t="s" s="2">
        <f>HYPERLINK("http://ts.21cn.com/tousu/show/id/1366637","http://ts.21cn.com/tousu/show/id/1366637")</f>
      </c>
      <c r="G6202" t="s" s="2">
        <v>17</v>
      </c>
      <c r="H6202" t="s" s="2">
        <v>19</v>
      </c>
      <c r="I6202" t="s" s="2">
        <v>24006</v>
      </c>
      <c r="J6202" t="s" s="2">
        <v>24007</v>
      </c>
      <c r="K6202" t="s" s="2">
        <v>22</v>
      </c>
      <c r="L6202" t="s" s="2">
        <v>22</v>
      </c>
      <c r="M6202" t="s" s="2">
        <v>22</v>
      </c>
    </row>
    <row r="6203" ht="25.0" customHeight="true">
      <c r="A6203" t="s" s="2">
        <v>13</v>
      </c>
      <c r="B6203" t="s" s="2">
        <f>HYPERLINK("http://ts.21cn.com/tousu/show/id/1366640","钱站真是高利贷")</f>
      </c>
      <c r="C6203" t="s" s="2">
        <v>15</v>
      </c>
      <c r="D6203" t="s" s="2">
        <v>16</v>
      </c>
      <c r="E6203" t="s" s="2">
        <v>17</v>
      </c>
      <c r="F6203" t="s" s="2">
        <f>HYPERLINK("http://ts.21cn.com/tousu/show/id/1366640","http://ts.21cn.com/tousu/show/id/1366640")</f>
      </c>
      <c r="G6203" t="s" s="2">
        <v>17</v>
      </c>
      <c r="H6203" t="s" s="2">
        <v>19</v>
      </c>
      <c r="I6203" t="s" s="2">
        <v>24010</v>
      </c>
      <c r="J6203" t="s" s="2">
        <v>24011</v>
      </c>
      <c r="K6203" t="s" s="2">
        <v>22</v>
      </c>
      <c r="L6203" t="s" s="2">
        <v>22</v>
      </c>
      <c r="M6203" t="s" s="2">
        <v>22</v>
      </c>
    </row>
    <row r="6204" ht="25.0" customHeight="true">
      <c r="A6204" t="s" s="2">
        <v>13</v>
      </c>
      <c r="B6204" t="s" s="2">
        <f>HYPERLINK("http://ts.21cn.com/tousu/show/id/1366636","白领贷联合人保保险强制交保险")</f>
      </c>
      <c r="C6204" t="s" s="2">
        <v>15</v>
      </c>
      <c r="D6204" t="s" s="2">
        <v>16</v>
      </c>
      <c r="E6204" t="s" s="2">
        <v>17</v>
      </c>
      <c r="F6204" t="s" s="2">
        <f>HYPERLINK("http://ts.21cn.com/tousu/show/id/1366636","http://ts.21cn.com/tousu/show/id/1366636")</f>
      </c>
      <c r="G6204" t="s" s="2">
        <v>17</v>
      </c>
      <c r="H6204" t="s" s="2">
        <v>19</v>
      </c>
      <c r="I6204" t="s" s="2">
        <v>24014</v>
      </c>
      <c r="J6204" t="s" s="2">
        <v>24015</v>
      </c>
      <c r="K6204" t="s" s="2">
        <v>22</v>
      </c>
      <c r="L6204" t="s" s="2">
        <v>22</v>
      </c>
      <c r="M6204" t="s" s="2">
        <v>22</v>
      </c>
    </row>
    <row r="6205" ht="25.0" customHeight="true">
      <c r="A6205" t="s" s="2">
        <v>13</v>
      </c>
      <c r="B6205" t="s" s="2">
        <f>HYPERLINK("http://ts.21cn.com/tousu/show/id/1366635","宜信宜人贷高额收取代款利息及砍头息5万多元")</f>
      </c>
      <c r="C6205" t="s" s="2">
        <v>15</v>
      </c>
      <c r="D6205" t="s" s="2">
        <v>16</v>
      </c>
      <c r="E6205" t="s" s="2">
        <v>17</v>
      </c>
      <c r="F6205" t="s" s="2">
        <f>HYPERLINK("http://ts.21cn.com/tousu/show/id/1366635","http://ts.21cn.com/tousu/show/id/1366635")</f>
      </c>
      <c r="G6205" t="s" s="2">
        <v>17</v>
      </c>
      <c r="H6205" t="s" s="2">
        <v>19</v>
      </c>
      <c r="I6205" t="s" s="2">
        <v>24017</v>
      </c>
      <c r="J6205" t="s" s="2">
        <v>24018</v>
      </c>
      <c r="K6205" t="s" s="2">
        <v>22</v>
      </c>
      <c r="L6205" t="s" s="2">
        <v>22</v>
      </c>
      <c r="M6205" t="s" s="2">
        <v>22</v>
      </c>
    </row>
    <row r="6206" ht="25.0" customHeight="true">
      <c r="A6206" t="s" s="2">
        <v>13</v>
      </c>
      <c r="B6206" t="s" s="2">
        <f>HYPERLINK("http://ts.21cn.com/tousu/show/id/1366634","恶意催收骚扰家人")</f>
      </c>
      <c r="C6206" t="s" s="2">
        <v>15</v>
      </c>
      <c r="D6206" t="s" s="2">
        <v>16</v>
      </c>
      <c r="E6206" t="s" s="2">
        <v>17</v>
      </c>
      <c r="F6206" t="s" s="2">
        <f>HYPERLINK("http://ts.21cn.com/tousu/show/id/1366634","http://ts.21cn.com/tousu/show/id/1366634")</f>
      </c>
      <c r="G6206" t="s" s="2">
        <v>17</v>
      </c>
      <c r="H6206" t="s" s="2">
        <v>19</v>
      </c>
      <c r="I6206" t="s" s="2">
        <v>24021</v>
      </c>
      <c r="J6206" t="s" s="2">
        <v>24022</v>
      </c>
      <c r="K6206" t="s" s="2">
        <v>22</v>
      </c>
      <c r="L6206" t="s" s="2">
        <v>22</v>
      </c>
      <c r="M6206" t="s" s="2">
        <v>22</v>
      </c>
    </row>
    <row r="6207" ht="25.0" customHeight="true">
      <c r="A6207" t="s" s="2">
        <v>13</v>
      </c>
      <c r="B6207" t="s" s="2">
        <f>HYPERLINK("http://ts.21cn.com/tousu/show/id/1366616","达内以招聘名义实则是忽悠人进去贷款培训")</f>
      </c>
      <c r="C6207" t="s" s="2">
        <v>15</v>
      </c>
      <c r="D6207" t="s" s="2">
        <v>16</v>
      </c>
      <c r="E6207" t="s" s="2">
        <v>17</v>
      </c>
      <c r="F6207" t="s" s="2">
        <f>HYPERLINK("http://ts.21cn.com/tousu/show/id/1366616","http://ts.21cn.com/tousu/show/id/1366616")</f>
      </c>
      <c r="G6207" t="s" s="2">
        <v>17</v>
      </c>
      <c r="H6207" t="s" s="2">
        <v>19</v>
      </c>
      <c r="I6207" t="s" s="2">
        <v>24025</v>
      </c>
      <c r="J6207" t="s" s="2">
        <v>24026</v>
      </c>
      <c r="K6207" t="s" s="2">
        <v>22</v>
      </c>
      <c r="L6207" t="s" s="2">
        <v>22</v>
      </c>
      <c r="M6207" t="s" s="2">
        <v>22</v>
      </c>
    </row>
    <row r="6208" ht="25.0" customHeight="true">
      <c r="A6208" t="s" s="2">
        <v>13</v>
      </c>
      <c r="B6208" t="s" s="2">
        <f>HYPERLINK("http://ts.21cn.com/tousu/show/id/1366633","钱站高利贷")</f>
      </c>
      <c r="C6208" t="s" s="2">
        <v>15</v>
      </c>
      <c r="D6208" t="s" s="2">
        <v>16</v>
      </c>
      <c r="E6208" t="s" s="2">
        <v>17</v>
      </c>
      <c r="F6208" t="s" s="2">
        <f>HYPERLINK("http://ts.21cn.com/tousu/show/id/1366633","http://ts.21cn.com/tousu/show/id/1366633")</f>
      </c>
      <c r="G6208" t="s" s="2">
        <v>17</v>
      </c>
      <c r="H6208" t="s" s="2">
        <v>19</v>
      </c>
      <c r="I6208" t="s" s="2">
        <v>24028</v>
      </c>
      <c r="J6208" t="s" s="2">
        <v>24029</v>
      </c>
      <c r="K6208" t="s" s="2">
        <v>22</v>
      </c>
      <c r="L6208" t="s" s="2">
        <v>22</v>
      </c>
      <c r="M6208" t="s" s="2">
        <v>22</v>
      </c>
    </row>
    <row r="6209" ht="25.0" customHeight="true">
      <c r="A6209" t="s" s="2">
        <v>13</v>
      </c>
      <c r="B6209" t="s" s="2">
        <f>HYPERLINK("http://ts.21cn.com/tousu/show/id/1366632","点点不断骚扰无辜的我")</f>
      </c>
      <c r="C6209" t="s" s="2">
        <v>15</v>
      </c>
      <c r="D6209" t="s" s="2">
        <v>16</v>
      </c>
      <c r="E6209" t="s" s="2">
        <v>17</v>
      </c>
      <c r="F6209" t="s" s="2">
        <f>HYPERLINK("http://ts.21cn.com/tousu/show/id/1366632","http://ts.21cn.com/tousu/show/id/1366632")</f>
      </c>
      <c r="G6209" t="s" s="2">
        <v>17</v>
      </c>
      <c r="H6209" t="s" s="2">
        <v>19</v>
      </c>
      <c r="I6209" t="s" s="2">
        <v>24032</v>
      </c>
      <c r="J6209" t="s" s="2">
        <v>24033</v>
      </c>
      <c r="K6209" t="s" s="2">
        <v>22</v>
      </c>
      <c r="L6209" t="s" s="2">
        <v>22</v>
      </c>
      <c r="M6209" t="s" s="2">
        <v>22</v>
      </c>
    </row>
    <row r="6210" ht="25.0" customHeight="true">
      <c r="A6210" t="s" s="2">
        <v>13</v>
      </c>
      <c r="B6210" t="s" s="2">
        <f>HYPERLINK("http://ts.21cn.com/tousu/show/id/1366628","交通银行信用卡中心暴力催收")</f>
      </c>
      <c r="C6210" t="s" s="2">
        <v>15</v>
      </c>
      <c r="D6210" t="s" s="2">
        <v>16</v>
      </c>
      <c r="E6210" t="s" s="2">
        <v>17</v>
      </c>
      <c r="F6210" t="s" s="2">
        <f>HYPERLINK("http://ts.21cn.com/tousu/show/id/1366628","http://ts.21cn.com/tousu/show/id/1366628")</f>
      </c>
      <c r="G6210" t="s" s="2">
        <v>17</v>
      </c>
      <c r="H6210" t="s" s="2">
        <v>19</v>
      </c>
      <c r="I6210" t="s" s="2">
        <v>24036</v>
      </c>
      <c r="J6210" t="s" s="2">
        <v>24037</v>
      </c>
      <c r="K6210" t="s" s="2">
        <v>22</v>
      </c>
      <c r="L6210" t="s" s="2">
        <v>22</v>
      </c>
      <c r="M6210" t="s" s="2">
        <v>22</v>
      </c>
    </row>
    <row r="6211" ht="25.0" customHeight="true">
      <c r="A6211" t="s" s="2">
        <v>13</v>
      </c>
      <c r="B6211" t="s" s="2">
        <f>HYPERLINK("http://ts.21cn.com/tousu/show/id/1366630","投诉成都泰瑞亚科技有限公司涉嫌非法集资恶意欺诈用户")</f>
      </c>
      <c r="C6211" t="s" s="2">
        <v>15</v>
      </c>
      <c r="D6211" t="s" s="2">
        <v>16</v>
      </c>
      <c r="E6211" t="s" s="2">
        <v>17</v>
      </c>
      <c r="F6211" t="s" s="2">
        <f>HYPERLINK("http://ts.21cn.com/tousu/show/id/1366630","http://ts.21cn.com/tousu/show/id/1366630")</f>
      </c>
      <c r="G6211" t="s" s="2">
        <v>17</v>
      </c>
      <c r="H6211" t="s" s="2">
        <v>19</v>
      </c>
      <c r="I6211" t="s" s="2">
        <v>24040</v>
      </c>
      <c r="J6211" t="s" s="2">
        <v>24041</v>
      </c>
      <c r="K6211" t="s" s="2">
        <v>22</v>
      </c>
      <c r="L6211" t="s" s="2">
        <v>22</v>
      </c>
      <c r="M6211" t="s" s="2">
        <v>22</v>
      </c>
    </row>
    <row r="6212" ht="25.0" customHeight="true">
      <c r="A6212" t="s" s="2">
        <v>13</v>
      </c>
      <c r="B6212" t="s" s="2">
        <f>HYPERLINK("http://ts.21cn.com/tousu/show/id/1366627","及贷智享贷变相收取砍头息")</f>
      </c>
      <c r="C6212" t="s" s="2">
        <v>15</v>
      </c>
      <c r="D6212" t="s" s="2">
        <v>16</v>
      </c>
      <c r="E6212" t="s" s="2">
        <v>17</v>
      </c>
      <c r="F6212" t="s" s="2">
        <f>HYPERLINK("http://ts.21cn.com/tousu/show/id/1366627","http://ts.21cn.com/tousu/show/id/1366627")</f>
      </c>
      <c r="G6212" t="s" s="2">
        <v>17</v>
      </c>
      <c r="H6212" t="s" s="2">
        <v>19</v>
      </c>
      <c r="I6212" t="s" s="2">
        <v>24044</v>
      </c>
      <c r="J6212" t="s" s="2">
        <v>24045</v>
      </c>
      <c r="K6212" t="s" s="2">
        <v>22</v>
      </c>
      <c r="L6212" t="s" s="2">
        <v>22</v>
      </c>
      <c r="M6212" t="s" s="2">
        <v>22</v>
      </c>
    </row>
    <row r="6213" ht="25.0" customHeight="true">
      <c r="A6213" t="s" s="2">
        <v>13</v>
      </c>
      <c r="B6213" t="s" s="2">
        <f>HYPERLINK("http://ts.21cn.com/tousu/show/id/1366626","越权催收，未经允许爆通讯录")</f>
      </c>
      <c r="C6213" t="s" s="2">
        <v>15</v>
      </c>
      <c r="D6213" t="s" s="2">
        <v>16</v>
      </c>
      <c r="E6213" t="s" s="2">
        <v>17</v>
      </c>
      <c r="F6213" t="s" s="2">
        <f>HYPERLINK("http://ts.21cn.com/tousu/show/id/1366626","http://ts.21cn.com/tousu/show/id/1366626")</f>
      </c>
      <c r="G6213" t="s" s="2">
        <v>17</v>
      </c>
      <c r="H6213" t="s" s="2">
        <v>19</v>
      </c>
      <c r="I6213" t="s" s="2">
        <v>24048</v>
      </c>
      <c r="J6213" t="s" s="2">
        <v>24049</v>
      </c>
      <c r="K6213" t="s" s="2">
        <v>22</v>
      </c>
      <c r="L6213" t="s" s="2">
        <v>22</v>
      </c>
      <c r="M6213" t="s" s="2">
        <v>22</v>
      </c>
    </row>
    <row r="6214" ht="25.0" customHeight="true">
      <c r="A6214" t="s" s="2">
        <v>13</v>
      </c>
      <c r="B6214" t="s" s="2">
        <f>HYPERLINK("http://ts.21cn.com/tousu/show/id/1366625","合同欺诈，私自扣款")</f>
      </c>
      <c r="C6214" t="s" s="2">
        <v>15</v>
      </c>
      <c r="D6214" t="s" s="2">
        <v>16</v>
      </c>
      <c r="E6214" t="s" s="2">
        <v>17</v>
      </c>
      <c r="F6214" t="s" s="2">
        <f>HYPERLINK("http://ts.21cn.com/tousu/show/id/1366625","http://ts.21cn.com/tousu/show/id/1366625")</f>
      </c>
      <c r="G6214" t="s" s="2">
        <v>17</v>
      </c>
      <c r="H6214" t="s" s="2">
        <v>19</v>
      </c>
      <c r="I6214" t="s" s="2">
        <v>24051</v>
      </c>
      <c r="J6214" t="s" s="2">
        <v>24052</v>
      </c>
      <c r="K6214" t="s" s="2">
        <v>22</v>
      </c>
      <c r="L6214" t="s" s="2">
        <v>22</v>
      </c>
      <c r="M6214" t="s" s="2">
        <v>22</v>
      </c>
    </row>
    <row r="6215" ht="25.0" customHeight="true">
      <c r="A6215" t="s" s="2">
        <v>13</v>
      </c>
      <c r="B6215" t="s" s="2">
        <f>HYPERLINK("http://ts.21cn.com/tousu/show/id/1366624","京东白条被盗刷却让我自己还款")</f>
      </c>
      <c r="C6215" t="s" s="2">
        <v>15</v>
      </c>
      <c r="D6215" t="s" s="2">
        <v>16</v>
      </c>
      <c r="E6215" t="s" s="2">
        <v>17</v>
      </c>
      <c r="F6215" t="s" s="2">
        <f>HYPERLINK("http://ts.21cn.com/tousu/show/id/1366624","http://ts.21cn.com/tousu/show/id/1366624")</f>
      </c>
      <c r="G6215" t="s" s="2">
        <v>17</v>
      </c>
      <c r="H6215" t="s" s="2">
        <v>19</v>
      </c>
      <c r="I6215" t="s" s="2">
        <v>24055</v>
      </c>
      <c r="J6215" t="s" s="2">
        <v>24056</v>
      </c>
      <c r="K6215" t="s" s="2">
        <v>22</v>
      </c>
      <c r="L6215" t="s" s="2">
        <v>22</v>
      </c>
      <c r="M6215" t="s" s="2">
        <v>22</v>
      </c>
    </row>
    <row r="6216" ht="25.0" customHeight="true">
      <c r="A6216" t="s" s="2">
        <v>13</v>
      </c>
      <c r="B6216" t="s" s="2">
        <f>HYPERLINK("http://ts.21cn.com/tousu/show/id/1366623","马上金融威胁恐吓")</f>
      </c>
      <c r="C6216" t="s" s="2">
        <v>15</v>
      </c>
      <c r="D6216" t="s" s="2">
        <v>16</v>
      </c>
      <c r="E6216" t="s" s="2">
        <v>17</v>
      </c>
      <c r="F6216" t="s" s="2">
        <f>HYPERLINK("http://ts.21cn.com/tousu/show/id/1366623","http://ts.21cn.com/tousu/show/id/1366623")</f>
      </c>
      <c r="G6216" t="s" s="2">
        <v>17</v>
      </c>
      <c r="H6216" t="s" s="2">
        <v>19</v>
      </c>
      <c r="I6216" t="s" s="2">
        <v>24059</v>
      </c>
      <c r="J6216" t="s" s="2">
        <v>24060</v>
      </c>
      <c r="K6216" t="s" s="2">
        <v>22</v>
      </c>
      <c r="L6216" t="s" s="2">
        <v>22</v>
      </c>
      <c r="M6216" t="s" s="2">
        <v>22</v>
      </c>
    </row>
    <row r="6217" ht="25.0" customHeight="true">
      <c r="A6217" t="s" s="2">
        <v>13</v>
      </c>
      <c r="B6217" t="s" s="2">
        <f>HYPERLINK("http://ts.21cn.com/tousu/show/id/1366622","拍拍贷高利贷")</f>
      </c>
      <c r="C6217" t="s" s="2">
        <v>15</v>
      </c>
      <c r="D6217" t="s" s="2">
        <v>16</v>
      </c>
      <c r="E6217" t="s" s="2">
        <v>17</v>
      </c>
      <c r="F6217" t="s" s="2">
        <f>HYPERLINK("http://ts.21cn.com/tousu/show/id/1366622","http://ts.21cn.com/tousu/show/id/1366622")</f>
      </c>
      <c r="G6217" t="s" s="2">
        <v>17</v>
      </c>
      <c r="H6217" t="s" s="2">
        <v>19</v>
      </c>
      <c r="I6217" t="s" s="2">
        <v>24062</v>
      </c>
      <c r="J6217" t="s" s="2">
        <v>24063</v>
      </c>
      <c r="K6217" t="s" s="2">
        <v>22</v>
      </c>
      <c r="L6217" t="s" s="2">
        <v>22</v>
      </c>
      <c r="M6217" t="s" s="2">
        <v>22</v>
      </c>
    </row>
    <row r="6218" ht="25.0" customHeight="true">
      <c r="A6218" t="s" s="2">
        <v>13</v>
      </c>
      <c r="B6218" t="s" s="2">
        <f>HYPERLINK("http://ts.21cn.com/tousu/show/id/1366621","钱站高利贷虚假合同")</f>
      </c>
      <c r="C6218" t="s" s="2">
        <v>15</v>
      </c>
      <c r="D6218" t="s" s="2">
        <v>16</v>
      </c>
      <c r="E6218" t="s" s="2">
        <v>17</v>
      </c>
      <c r="F6218" t="s" s="2">
        <f>HYPERLINK("http://ts.21cn.com/tousu/show/id/1366621","http://ts.21cn.com/tousu/show/id/1366621")</f>
      </c>
      <c r="G6218" t="s" s="2">
        <v>17</v>
      </c>
      <c r="H6218" t="s" s="2">
        <v>19</v>
      </c>
      <c r="I6218" t="s" s="2">
        <v>24066</v>
      </c>
      <c r="J6218" t="s" s="2">
        <v>24067</v>
      </c>
      <c r="K6218" t="s" s="2">
        <v>22</v>
      </c>
      <c r="L6218" t="s" s="2">
        <v>22</v>
      </c>
      <c r="M6218" t="s" s="2">
        <v>22</v>
      </c>
    </row>
    <row r="6219" ht="25.0" customHeight="true">
      <c r="A6219" t="s" s="2">
        <v>13</v>
      </c>
      <c r="B6219" t="s" s="2">
        <f>HYPERLINK("http://ts.21cn.com/tousu/show/id/1366619","关于上海维信荟智金融科技有限公司涉嫌套路贷等违规线索的实名举报")</f>
      </c>
      <c r="C6219" t="s" s="2">
        <v>15</v>
      </c>
      <c r="D6219" t="s" s="2">
        <v>16</v>
      </c>
      <c r="E6219" t="s" s="2">
        <v>17</v>
      </c>
      <c r="F6219" t="s" s="2">
        <f>HYPERLINK("http://ts.21cn.com/tousu/show/id/1366619","http://ts.21cn.com/tousu/show/id/1366619")</f>
      </c>
      <c r="G6219" t="s" s="2">
        <v>17</v>
      </c>
      <c r="H6219" t="s" s="2">
        <v>19</v>
      </c>
      <c r="I6219" t="s" s="2">
        <v>24070</v>
      </c>
      <c r="J6219" t="s" s="2">
        <v>24071</v>
      </c>
      <c r="K6219" t="s" s="2">
        <v>22</v>
      </c>
      <c r="L6219" t="s" s="2">
        <v>22</v>
      </c>
      <c r="M6219" t="s" s="2">
        <v>22</v>
      </c>
    </row>
    <row r="6220" ht="25.0" customHeight="true">
      <c r="A6220" t="s" s="2">
        <v>13</v>
      </c>
      <c r="B6220" t="s" s="2">
        <f>HYPERLINK("http://ts.21cn.com/tousu/show/id/1366618","多宝分期高利贷两个月利息高的吓人")</f>
      </c>
      <c r="C6220" t="s" s="2">
        <v>15</v>
      </c>
      <c r="D6220" t="s" s="2">
        <v>16</v>
      </c>
      <c r="E6220" t="s" s="2">
        <v>17</v>
      </c>
      <c r="F6220" t="s" s="2">
        <f>HYPERLINK("http://ts.21cn.com/tousu/show/id/1366618","http://ts.21cn.com/tousu/show/id/1366618")</f>
      </c>
      <c r="G6220" t="s" s="2">
        <v>17</v>
      </c>
      <c r="H6220" t="s" s="2">
        <v>19</v>
      </c>
      <c r="I6220" t="s" s="2">
        <v>24074</v>
      </c>
      <c r="J6220" t="s" s="2">
        <v>24075</v>
      </c>
      <c r="K6220" t="s" s="2">
        <v>22</v>
      </c>
      <c r="L6220" t="s" s="2">
        <v>22</v>
      </c>
      <c r="M6220" t="s" s="2">
        <v>22</v>
      </c>
    </row>
    <row r="6221" ht="25.0" customHeight="true">
      <c r="A6221" t="s" s="2">
        <v>13</v>
      </c>
      <c r="B6221" t="s" s="2">
        <f>HYPERLINK("http://ts.21cn.com/tousu/show/id/1366617","及贷催收")</f>
      </c>
      <c r="C6221" t="s" s="2">
        <v>15</v>
      </c>
      <c r="D6221" t="s" s="2">
        <v>16</v>
      </c>
      <c r="E6221" t="s" s="2">
        <v>17</v>
      </c>
      <c r="F6221" t="s" s="2">
        <f>HYPERLINK("http://ts.21cn.com/tousu/show/id/1366617","http://ts.21cn.com/tousu/show/id/1366617")</f>
      </c>
      <c r="G6221" t="s" s="2">
        <v>17</v>
      </c>
      <c r="H6221" t="s" s="2">
        <v>19</v>
      </c>
      <c r="I6221" t="s" s="2">
        <v>24078</v>
      </c>
      <c r="J6221" t="s" s="2">
        <v>24079</v>
      </c>
      <c r="K6221" t="s" s="2">
        <v>22</v>
      </c>
      <c r="L6221" t="s" s="2">
        <v>22</v>
      </c>
      <c r="M6221" t="s" s="2">
        <v>22</v>
      </c>
    </row>
    <row r="6222" ht="25.0" customHeight="true">
      <c r="A6222" t="s" s="2">
        <v>13</v>
      </c>
      <c r="B6222" t="s" s="2">
        <f>HYPERLINK("http://ts.21cn.com/tousu/show/id/1366614","分期乐暴力催收")</f>
      </c>
      <c r="C6222" t="s" s="2">
        <v>15</v>
      </c>
      <c r="D6222" t="s" s="2">
        <v>16</v>
      </c>
      <c r="E6222" t="s" s="2">
        <v>17</v>
      </c>
      <c r="F6222" t="s" s="2">
        <f>HYPERLINK("http://ts.21cn.com/tousu/show/id/1366614","http://ts.21cn.com/tousu/show/id/1366614")</f>
      </c>
      <c r="G6222" t="s" s="2">
        <v>17</v>
      </c>
      <c r="H6222" t="s" s="2">
        <v>19</v>
      </c>
      <c r="I6222" t="s" s="2">
        <v>24081</v>
      </c>
      <c r="J6222" t="s" s="2">
        <v>24082</v>
      </c>
      <c r="K6222" t="s" s="2">
        <v>22</v>
      </c>
      <c r="L6222" t="s" s="2">
        <v>22</v>
      </c>
      <c r="M6222" t="s" s="2">
        <v>22</v>
      </c>
    </row>
    <row r="6223" ht="25.0" customHeight="true">
      <c r="A6223" t="s" s="2">
        <v>13</v>
      </c>
      <c r="B6223" t="s" s="2">
        <f>HYPERLINK("http://ts.21cn.com/tousu/show/id/1366612","一起联名举报联系我")</f>
      </c>
      <c r="C6223" t="s" s="2">
        <v>15</v>
      </c>
      <c r="D6223" t="s" s="2">
        <v>16</v>
      </c>
      <c r="E6223" t="s" s="2">
        <v>17</v>
      </c>
      <c r="F6223" t="s" s="2">
        <f>HYPERLINK("http://ts.21cn.com/tousu/show/id/1366612","http://ts.21cn.com/tousu/show/id/1366612")</f>
      </c>
      <c r="G6223" t="s" s="2">
        <v>17</v>
      </c>
      <c r="H6223" t="s" s="2">
        <v>19</v>
      </c>
      <c r="I6223" t="s" s="2">
        <v>24085</v>
      </c>
      <c r="J6223" t="s" s="2">
        <v>24086</v>
      </c>
      <c r="K6223" t="s" s="2">
        <v>22</v>
      </c>
      <c r="L6223" t="s" s="2">
        <v>22</v>
      </c>
      <c r="M6223" t="s" s="2">
        <v>22</v>
      </c>
    </row>
    <row r="6224" ht="25.0" customHeight="true">
      <c r="A6224" t="s" s="2">
        <v>13</v>
      </c>
      <c r="B6224" t="s" s="2">
        <f>HYPERLINK("http://ts.21cn.com/tousu/show/id/1366611","拖欠工资")</f>
      </c>
      <c r="C6224" t="s" s="2">
        <v>15</v>
      </c>
      <c r="D6224" t="s" s="2">
        <v>16</v>
      </c>
      <c r="E6224" t="s" s="2">
        <v>17</v>
      </c>
      <c r="F6224" t="s" s="2">
        <f>HYPERLINK("http://ts.21cn.com/tousu/show/id/1366611","http://ts.21cn.com/tousu/show/id/1366611")</f>
      </c>
      <c r="G6224" t="s" s="2">
        <v>17</v>
      </c>
      <c r="H6224" t="s" s="2">
        <v>19</v>
      </c>
      <c r="I6224" t="s" s="2">
        <v>24088</v>
      </c>
      <c r="J6224" t="s" s="2">
        <v>24089</v>
      </c>
      <c r="K6224" t="s" s="2">
        <v>22</v>
      </c>
      <c r="L6224" t="s" s="2">
        <v>22</v>
      </c>
      <c r="M6224" t="s" s="2">
        <v>22</v>
      </c>
    </row>
    <row r="6225" ht="25.0" customHeight="true">
      <c r="A6225" t="s" s="2">
        <v>13</v>
      </c>
      <c r="B6225" t="s" s="2">
        <f>HYPERLINK("http://ts.21cn.com/tousu/show/id/1366613","钱站套路贷骚扰通讯录")</f>
      </c>
      <c r="C6225" t="s" s="2">
        <v>15</v>
      </c>
      <c r="D6225" t="s" s="2">
        <v>16</v>
      </c>
      <c r="E6225" t="s" s="2">
        <v>17</v>
      </c>
      <c r="F6225" t="s" s="2">
        <f>HYPERLINK("http://ts.21cn.com/tousu/show/id/1366613","http://ts.21cn.com/tousu/show/id/1366613")</f>
      </c>
      <c r="G6225" t="s" s="2">
        <v>17</v>
      </c>
      <c r="H6225" t="s" s="2">
        <v>19</v>
      </c>
      <c r="I6225" t="s" s="2">
        <v>24092</v>
      </c>
      <c r="J6225" t="s" s="2">
        <v>24093</v>
      </c>
      <c r="K6225" t="s" s="2">
        <v>22</v>
      </c>
      <c r="L6225" t="s" s="2">
        <v>22</v>
      </c>
      <c r="M6225" t="s" s="2">
        <v>22</v>
      </c>
    </row>
    <row r="6226" ht="25.0" customHeight="true">
      <c r="A6226" t="s" s="2">
        <v>13</v>
      </c>
      <c r="B6226" t="s" s="2">
        <f>HYPERLINK("http://ts.21cn.com/tousu/show/id/1366610","乱扣费我250元")</f>
      </c>
      <c r="C6226" t="s" s="2">
        <v>15</v>
      </c>
      <c r="D6226" t="s" s="2">
        <v>16</v>
      </c>
      <c r="E6226" t="s" s="2">
        <v>17</v>
      </c>
      <c r="F6226" t="s" s="2">
        <f>HYPERLINK("http://ts.21cn.com/tousu/show/id/1366610","http://ts.21cn.com/tousu/show/id/1366610")</f>
      </c>
      <c r="G6226" t="s" s="2">
        <v>17</v>
      </c>
      <c r="H6226" t="s" s="2">
        <v>19</v>
      </c>
      <c r="I6226" t="s" s="2">
        <v>24096</v>
      </c>
      <c r="J6226" t="s" s="2">
        <v>24097</v>
      </c>
      <c r="K6226" t="s" s="2">
        <v>22</v>
      </c>
      <c r="L6226" t="s" s="2">
        <v>22</v>
      </c>
      <c r="M6226" t="s" s="2">
        <v>22</v>
      </c>
    </row>
    <row r="6227" ht="25.0" customHeight="true">
      <c r="A6227" t="s" s="2">
        <v>13</v>
      </c>
      <c r="B6227" t="s" s="2">
        <f>HYPERLINK("http://ts.21cn.com/tousu/show/id/1366609","超级砍头息")</f>
      </c>
      <c r="C6227" t="s" s="2">
        <v>15</v>
      </c>
      <c r="D6227" t="s" s="2">
        <v>16</v>
      </c>
      <c r="E6227" t="s" s="2">
        <v>17</v>
      </c>
      <c r="F6227" t="s" s="2">
        <f>HYPERLINK("http://ts.21cn.com/tousu/show/id/1366609","http://ts.21cn.com/tousu/show/id/1366609")</f>
      </c>
      <c r="G6227" t="s" s="2">
        <v>17</v>
      </c>
      <c r="H6227" t="s" s="2">
        <v>19</v>
      </c>
      <c r="I6227" t="s" s="2">
        <v>24100</v>
      </c>
      <c r="J6227" t="s" s="2">
        <v>24101</v>
      </c>
      <c r="K6227" t="s" s="2">
        <v>22</v>
      </c>
      <c r="L6227" t="s" s="2">
        <v>22</v>
      </c>
      <c r="M6227" t="s" s="2">
        <v>22</v>
      </c>
    </row>
    <row r="6228" ht="25.0" customHeight="true">
      <c r="A6228" t="s" s="2">
        <v>13</v>
      </c>
      <c r="B6228" t="s" s="2">
        <f>HYPERLINK("http://ts.21cn.com/tousu/show/id/1366608","通善、友信信贷、华夏信财砍头息，爆通讯录")</f>
      </c>
      <c r="C6228" t="s" s="2">
        <v>15</v>
      </c>
      <c r="D6228" t="s" s="2">
        <v>16</v>
      </c>
      <c r="E6228" t="s" s="2">
        <v>17</v>
      </c>
      <c r="F6228" t="s" s="2">
        <f>HYPERLINK("http://ts.21cn.com/tousu/show/id/1366608","http://ts.21cn.com/tousu/show/id/1366608")</f>
      </c>
      <c r="G6228" t="s" s="2">
        <v>17</v>
      </c>
      <c r="H6228" t="s" s="2">
        <v>19</v>
      </c>
      <c r="I6228" t="s" s="2">
        <v>24100</v>
      </c>
      <c r="J6228" t="s" s="2">
        <v>20350</v>
      </c>
      <c r="K6228" t="s" s="2">
        <v>22</v>
      </c>
      <c r="L6228" t="s" s="2">
        <v>22</v>
      </c>
      <c r="M6228" t="s" s="2">
        <v>22</v>
      </c>
    </row>
    <row r="6229" ht="25.0" customHeight="true">
      <c r="A6229" t="s" s="2">
        <v>13</v>
      </c>
      <c r="B6229" t="s" s="2">
        <f>HYPERLINK("http://ts.21cn.com/tousu/show/id/1366607","拼多多推卸责任不作为")</f>
      </c>
      <c r="C6229" t="s" s="2">
        <v>15</v>
      </c>
      <c r="D6229" t="s" s="2">
        <v>16</v>
      </c>
      <c r="E6229" t="s" s="2">
        <v>17</v>
      </c>
      <c r="F6229" t="s" s="2">
        <f>HYPERLINK("http://ts.21cn.com/tousu/show/id/1366607","http://ts.21cn.com/tousu/show/id/1366607")</f>
      </c>
      <c r="G6229" t="s" s="2">
        <v>17</v>
      </c>
      <c r="H6229" t="s" s="2">
        <v>19</v>
      </c>
      <c r="I6229" t="s" s="2">
        <v>24106</v>
      </c>
      <c r="J6229" t="s" s="2">
        <v>24107</v>
      </c>
      <c r="K6229" t="s" s="2">
        <v>22</v>
      </c>
      <c r="L6229" t="s" s="2">
        <v>22</v>
      </c>
      <c r="M6229" t="s" s="2">
        <v>22</v>
      </c>
    </row>
    <row r="6230" ht="25.0" customHeight="true">
      <c r="A6230" t="s" s="2">
        <v>13</v>
      </c>
      <c r="B6230" t="s" s="2">
        <f>HYPERLINK("http://ts.21cn.com/tousu/show/id/1366593","智行火车票app不兑现退款")</f>
      </c>
      <c r="C6230" t="s" s="2">
        <v>15</v>
      </c>
      <c r="D6230" t="s" s="2">
        <v>16</v>
      </c>
      <c r="E6230" t="s" s="2">
        <v>17</v>
      </c>
      <c r="F6230" t="s" s="2">
        <f>HYPERLINK("http://ts.21cn.com/tousu/show/id/1366593","http://ts.21cn.com/tousu/show/id/1366593")</f>
      </c>
      <c r="G6230" t="s" s="2">
        <v>17</v>
      </c>
      <c r="H6230" t="s" s="2">
        <v>19</v>
      </c>
      <c r="I6230" t="s" s="2">
        <v>24110</v>
      </c>
      <c r="J6230" t="s" s="2">
        <v>24111</v>
      </c>
      <c r="K6230" t="s" s="2">
        <v>22</v>
      </c>
      <c r="L6230" t="s" s="2">
        <v>22</v>
      </c>
      <c r="M6230" t="s" s="2">
        <v>22</v>
      </c>
    </row>
    <row r="6231" ht="25.0" customHeight="true">
      <c r="A6231" t="s" s="2">
        <v>13</v>
      </c>
      <c r="B6231" t="s" s="2">
        <f>HYPERLINK("http://ts.21cn.com/tousu/show/id/1366606","甲上佳绞肉机质量问题")</f>
      </c>
      <c r="C6231" t="s" s="2">
        <v>15</v>
      </c>
      <c r="D6231" t="s" s="2">
        <v>16</v>
      </c>
      <c r="E6231" t="s" s="2">
        <v>17</v>
      </c>
      <c r="F6231" t="s" s="2">
        <f>HYPERLINK("http://ts.21cn.com/tousu/show/id/1366606","http://ts.21cn.com/tousu/show/id/1366606")</f>
      </c>
      <c r="G6231" t="s" s="2">
        <v>17</v>
      </c>
      <c r="H6231" t="s" s="2">
        <v>19</v>
      </c>
      <c r="I6231" t="s" s="2">
        <v>24114</v>
      </c>
      <c r="J6231" t="s" s="2">
        <v>24115</v>
      </c>
      <c r="K6231" t="s" s="2">
        <v>22</v>
      </c>
      <c r="L6231" t="s" s="2">
        <v>22</v>
      </c>
      <c r="M6231" t="s" s="2">
        <v>22</v>
      </c>
    </row>
    <row r="6232" ht="25.0" customHeight="true">
      <c r="A6232" t="s" s="2">
        <v>13</v>
      </c>
      <c r="B6232" t="s" s="2">
        <f>HYPERLINK("http://ts.21cn.com/tousu/show/id/1366604","高利贷砍头息")</f>
      </c>
      <c r="C6232" t="s" s="2">
        <v>15</v>
      </c>
      <c r="D6232" t="s" s="2">
        <v>16</v>
      </c>
      <c r="E6232" t="s" s="2">
        <v>17</v>
      </c>
      <c r="F6232" t="s" s="2">
        <f>HYPERLINK("http://ts.21cn.com/tousu/show/id/1366604","http://ts.21cn.com/tousu/show/id/1366604")</f>
      </c>
      <c r="G6232" t="s" s="2">
        <v>17</v>
      </c>
      <c r="H6232" t="s" s="2">
        <v>19</v>
      </c>
      <c r="I6232" t="s" s="2">
        <v>24117</v>
      </c>
      <c r="J6232" t="s" s="2">
        <v>24118</v>
      </c>
      <c r="K6232" t="s" s="2">
        <v>22</v>
      </c>
      <c r="L6232" t="s" s="2">
        <v>22</v>
      </c>
      <c r="M6232" t="s" s="2">
        <v>22</v>
      </c>
    </row>
    <row r="6233" ht="25.0" customHeight="true">
      <c r="A6233" t="s" s="2">
        <v>13</v>
      </c>
      <c r="B6233" t="s" s="2">
        <f>HYPERLINK("http://ts.21cn.com/tousu/show/id/1366603","无法还款又不扣款")</f>
      </c>
      <c r="C6233" t="s" s="2">
        <v>52</v>
      </c>
      <c r="D6233" t="s" s="2">
        <v>16</v>
      </c>
      <c r="E6233" t="s" s="2">
        <v>17</v>
      </c>
      <c r="F6233" t="s" s="2">
        <f>HYPERLINK("http://ts.21cn.com/tousu/show/id/1366603","http://ts.21cn.com/tousu/show/id/1366603")</f>
      </c>
      <c r="G6233" t="s" s="2">
        <v>17</v>
      </c>
      <c r="H6233" t="s" s="2">
        <v>19</v>
      </c>
      <c r="I6233" t="s" s="2">
        <v>24121</v>
      </c>
      <c r="J6233" t="s" s="2">
        <v>24122</v>
      </c>
      <c r="K6233" t="s" s="2">
        <v>22</v>
      </c>
      <c r="L6233" t="s" s="2">
        <v>22</v>
      </c>
      <c r="M6233" t="s" s="2">
        <v>22</v>
      </c>
    </row>
    <row r="6234" ht="25.0" customHeight="true">
      <c r="A6234" t="s" s="2">
        <v>13</v>
      </c>
      <c r="B6234" t="s" s="2">
        <f>HYPERLINK("http://ts.21cn.com/tousu/show/id/1366602","淘宝卖家出售违禁品，淘宝不处理，多次举报投诉未果")</f>
      </c>
      <c r="C6234" t="s" s="2">
        <v>15</v>
      </c>
      <c r="D6234" t="s" s="2">
        <v>16</v>
      </c>
      <c r="E6234" t="s" s="2">
        <v>17</v>
      </c>
      <c r="F6234" t="s" s="2">
        <f>HYPERLINK("http://ts.21cn.com/tousu/show/id/1366602","http://ts.21cn.com/tousu/show/id/1366602")</f>
      </c>
      <c r="G6234" t="s" s="2">
        <v>17</v>
      </c>
      <c r="H6234" t="s" s="2">
        <v>19</v>
      </c>
      <c r="I6234" t="s" s="2">
        <v>24125</v>
      </c>
      <c r="J6234" t="s" s="2">
        <v>24126</v>
      </c>
      <c r="K6234" t="s" s="2">
        <v>22</v>
      </c>
      <c r="L6234" t="s" s="2">
        <v>22</v>
      </c>
      <c r="M6234" t="s" s="2">
        <v>22</v>
      </c>
    </row>
    <row r="6235" ht="25.0" customHeight="true">
      <c r="A6235" t="s" s="2">
        <v>13</v>
      </c>
      <c r="B6235" t="s" s="2">
        <f>HYPERLINK("http://ts.21cn.com/tousu/show/id/1366600","马上消费金融，暴力催收，群发短信，恐吓催收")</f>
      </c>
      <c r="C6235" t="s" s="2">
        <v>15</v>
      </c>
      <c r="D6235" t="s" s="2">
        <v>16</v>
      </c>
      <c r="E6235" t="s" s="2">
        <v>17</v>
      </c>
      <c r="F6235" t="s" s="2">
        <f>HYPERLINK("http://ts.21cn.com/tousu/show/id/1366600","http://ts.21cn.com/tousu/show/id/1366600")</f>
      </c>
      <c r="G6235" t="s" s="2">
        <v>17</v>
      </c>
      <c r="H6235" t="s" s="2">
        <v>19</v>
      </c>
      <c r="I6235" t="s" s="2">
        <v>24128</v>
      </c>
      <c r="J6235" t="s" s="2">
        <v>24129</v>
      </c>
      <c r="K6235" t="s" s="2">
        <v>22</v>
      </c>
      <c r="L6235" t="s" s="2">
        <v>22</v>
      </c>
      <c r="M6235" t="s" s="2">
        <v>22</v>
      </c>
    </row>
    <row r="6236" ht="25.0" customHeight="true">
      <c r="A6236" t="s" s="2">
        <v>13</v>
      </c>
      <c r="B6236" t="s" s="2">
        <f>HYPERLINK("http://ts.21cn.com/tousu/show/id/1366599","高利贷砍头息威胁软暴力")</f>
      </c>
      <c r="C6236" t="s" s="2">
        <v>15</v>
      </c>
      <c r="D6236" t="s" s="2">
        <v>16</v>
      </c>
      <c r="E6236" t="s" s="2">
        <v>17</v>
      </c>
      <c r="F6236" t="s" s="2">
        <f>HYPERLINK("http://ts.21cn.com/tousu/show/id/1366599","http://ts.21cn.com/tousu/show/id/1366599")</f>
      </c>
      <c r="G6236" t="s" s="2">
        <v>17</v>
      </c>
      <c r="H6236" t="s" s="2">
        <v>19</v>
      </c>
      <c r="I6236" t="s" s="2">
        <v>24132</v>
      </c>
      <c r="J6236" t="s" s="2">
        <v>24133</v>
      </c>
      <c r="K6236" t="s" s="2">
        <v>22</v>
      </c>
      <c r="L6236" t="s" s="2">
        <v>22</v>
      </c>
      <c r="M6236" t="s" s="2">
        <v>22</v>
      </c>
    </row>
    <row r="6237" ht="25.0" customHeight="true">
      <c r="A6237" t="s" s="2">
        <v>13</v>
      </c>
      <c r="B6237" t="s" s="2">
        <f>HYPERLINK("http://ts.21cn.com/tousu/show/id/1366597","娱乐平台")</f>
      </c>
      <c r="C6237" t="s" s="2">
        <v>52</v>
      </c>
      <c r="D6237" t="s" s="2">
        <v>16</v>
      </c>
      <c r="E6237" t="s" s="2">
        <v>17</v>
      </c>
      <c r="F6237" t="s" s="2">
        <f>HYPERLINK("http://ts.21cn.com/tousu/show/id/1366597","http://ts.21cn.com/tousu/show/id/1366597")</f>
      </c>
      <c r="G6237" t="s" s="2">
        <v>17</v>
      </c>
      <c r="H6237" t="s" s="2">
        <v>19</v>
      </c>
      <c r="I6237" t="s" s="2">
        <v>24136</v>
      </c>
      <c r="J6237" t="s" s="2">
        <v>24137</v>
      </c>
      <c r="K6237" t="s" s="2">
        <v>22</v>
      </c>
      <c r="L6237" t="s" s="2">
        <v>22</v>
      </c>
      <c r="M6237" t="s" s="2">
        <v>22</v>
      </c>
    </row>
    <row r="6238" ht="25.0" customHeight="true">
      <c r="A6238" t="s" s="2">
        <v>13</v>
      </c>
      <c r="B6238" t="s" s="2">
        <f>HYPERLINK("http://ts.21cn.com/tousu/show/id/1366595","百事普惠恶意扣款")</f>
      </c>
      <c r="C6238" t="s" s="2">
        <v>15</v>
      </c>
      <c r="D6238" t="s" s="2">
        <v>16</v>
      </c>
      <c r="E6238" t="s" s="2">
        <v>17</v>
      </c>
      <c r="F6238" t="s" s="2">
        <f>HYPERLINK("http://ts.21cn.com/tousu/show/id/1366595","http://ts.21cn.com/tousu/show/id/1366595")</f>
      </c>
      <c r="G6238" t="s" s="2">
        <v>17</v>
      </c>
      <c r="H6238" t="s" s="2">
        <v>19</v>
      </c>
      <c r="I6238" t="s" s="2">
        <v>24139</v>
      </c>
      <c r="J6238" t="s" s="2">
        <v>24140</v>
      </c>
      <c r="K6238" t="s" s="2">
        <v>22</v>
      </c>
      <c r="L6238" t="s" s="2">
        <v>22</v>
      </c>
      <c r="M6238" t="s" s="2">
        <v>22</v>
      </c>
    </row>
    <row r="6239" ht="25.0" customHeight="true">
      <c r="A6239" t="s" s="2">
        <v>13</v>
      </c>
      <c r="B6239" t="s" s="2">
        <f>HYPERLINK("http://ts.21cn.com/tousu/show/id/1366596","中大互联教育退学费处理不及时，踢皮球没有人处理")</f>
      </c>
      <c r="C6239" t="s" s="2">
        <v>15</v>
      </c>
      <c r="D6239" t="s" s="2">
        <v>16</v>
      </c>
      <c r="E6239" t="s" s="2">
        <v>17</v>
      </c>
      <c r="F6239" t="s" s="2">
        <f>HYPERLINK("http://ts.21cn.com/tousu/show/id/1366596","http://ts.21cn.com/tousu/show/id/1366596")</f>
      </c>
      <c r="G6239" t="s" s="2">
        <v>17</v>
      </c>
      <c r="H6239" t="s" s="2">
        <v>19</v>
      </c>
      <c r="I6239" t="s" s="2">
        <v>24143</v>
      </c>
      <c r="J6239" t="s" s="2">
        <v>24144</v>
      </c>
      <c r="K6239" t="s" s="2">
        <v>22</v>
      </c>
      <c r="L6239" t="s" s="2">
        <v>22</v>
      </c>
      <c r="M6239" t="s" s="2">
        <v>22</v>
      </c>
    </row>
    <row r="6240" ht="25.0" customHeight="true">
      <c r="A6240" t="s" s="2">
        <v>13</v>
      </c>
      <c r="B6240" t="s" s="2">
        <f>HYPERLINK("http://ts.21cn.com/tousu/show/id/1366594","钱站恶意催收，客服一边说协商，催收人员继续恶意催收满嘴胡话")</f>
      </c>
      <c r="C6240" t="s" s="2">
        <v>15</v>
      </c>
      <c r="D6240" t="s" s="2">
        <v>16</v>
      </c>
      <c r="E6240" t="s" s="2">
        <v>17</v>
      </c>
      <c r="F6240" t="s" s="2">
        <f>HYPERLINK("http://ts.21cn.com/tousu/show/id/1366594","http://ts.21cn.com/tousu/show/id/1366594")</f>
      </c>
      <c r="G6240" t="s" s="2">
        <v>17</v>
      </c>
      <c r="H6240" t="s" s="2">
        <v>19</v>
      </c>
      <c r="I6240" t="s" s="2">
        <v>24147</v>
      </c>
      <c r="J6240" t="s" s="2">
        <v>24148</v>
      </c>
      <c r="K6240" t="s" s="2">
        <v>22</v>
      </c>
      <c r="L6240" t="s" s="2">
        <v>22</v>
      </c>
      <c r="M6240" t="s" s="2">
        <v>22</v>
      </c>
    </row>
    <row r="6241" ht="25.0" customHeight="true">
      <c r="A6241" t="s" s="2">
        <v>13</v>
      </c>
      <c r="B6241" t="s" s="2">
        <f>HYPERLINK("http://ts.21cn.com/tousu/show/id/1366592","群发短信爆通讯录，利息逾期费用高到离谱")</f>
      </c>
      <c r="C6241" t="s" s="2">
        <v>15</v>
      </c>
      <c r="D6241" t="s" s="2">
        <v>16</v>
      </c>
      <c r="E6241" t="s" s="2">
        <v>17</v>
      </c>
      <c r="F6241" t="s" s="2">
        <f>HYPERLINK("http://ts.21cn.com/tousu/show/id/1366592","http://ts.21cn.com/tousu/show/id/1366592")</f>
      </c>
      <c r="G6241" t="s" s="2">
        <v>17</v>
      </c>
      <c r="H6241" t="s" s="2">
        <v>19</v>
      </c>
      <c r="I6241" t="s" s="2">
        <v>24151</v>
      </c>
      <c r="J6241" t="s" s="2">
        <v>24152</v>
      </c>
      <c r="K6241" t="s" s="2">
        <v>22</v>
      </c>
      <c r="L6241" t="s" s="2">
        <v>22</v>
      </c>
      <c r="M6241" t="s" s="2">
        <v>22</v>
      </c>
    </row>
    <row r="6242" ht="25.0" customHeight="true">
      <c r="A6242" t="s" s="2">
        <v>13</v>
      </c>
      <c r="B6242" t="s" s="2">
        <f>HYPERLINK("http://ts.21cn.com/tousu/show/id/1366591","航联贵宾有限公司诱导消费者消费")</f>
      </c>
      <c r="C6242" t="s" s="2">
        <v>15</v>
      </c>
      <c r="D6242" t="s" s="2">
        <v>16</v>
      </c>
      <c r="E6242" t="s" s="2">
        <v>17</v>
      </c>
      <c r="F6242" t="s" s="2">
        <f>HYPERLINK("http://ts.21cn.com/tousu/show/id/1366591","http://ts.21cn.com/tousu/show/id/1366591")</f>
      </c>
      <c r="G6242" t="s" s="2">
        <v>17</v>
      </c>
      <c r="H6242" t="s" s="2">
        <v>19</v>
      </c>
      <c r="I6242" t="s" s="2">
        <v>24155</v>
      </c>
      <c r="J6242" t="s" s="2">
        <v>24156</v>
      </c>
      <c r="K6242" t="s" s="2">
        <v>22</v>
      </c>
      <c r="L6242" t="s" s="2">
        <v>22</v>
      </c>
      <c r="M6242" t="s" s="2">
        <v>22</v>
      </c>
    </row>
    <row r="6243" ht="25.0" customHeight="true">
      <c r="A6243" t="s" s="2">
        <v>13</v>
      </c>
      <c r="B6243" t="s" s="2">
        <f>HYPERLINK("http://ts.21cn.com/tousu/show/id/1366590","拍拍贷恶意拨打通讯录电话催收")</f>
      </c>
      <c r="C6243" t="s" s="2">
        <v>15</v>
      </c>
      <c r="D6243" t="s" s="2">
        <v>16</v>
      </c>
      <c r="E6243" t="s" s="2">
        <v>17</v>
      </c>
      <c r="F6243" t="s" s="2">
        <f>HYPERLINK("http://ts.21cn.com/tousu/show/id/1366590","http://ts.21cn.com/tousu/show/id/1366590")</f>
      </c>
      <c r="G6243" t="s" s="2">
        <v>17</v>
      </c>
      <c r="H6243" t="s" s="2">
        <v>19</v>
      </c>
      <c r="I6243" t="s" s="2">
        <v>24159</v>
      </c>
      <c r="J6243" t="s" s="2">
        <v>24160</v>
      </c>
      <c r="K6243" t="s" s="2">
        <v>22</v>
      </c>
      <c r="L6243" t="s" s="2">
        <v>22</v>
      </c>
      <c r="M6243" t="s" s="2">
        <v>22</v>
      </c>
    </row>
    <row r="6244" ht="25.0" customHeight="true">
      <c r="A6244" t="s" s="2">
        <v>13</v>
      </c>
      <c r="B6244" t="s" s="2">
        <f>HYPERLINK("http://ts.21cn.com/tousu/show/id/1366588","360摄像头质量问题不给解决")</f>
      </c>
      <c r="C6244" t="s" s="2">
        <v>15</v>
      </c>
      <c r="D6244" t="s" s="2">
        <v>16</v>
      </c>
      <c r="E6244" t="s" s="2">
        <v>17</v>
      </c>
      <c r="F6244" t="s" s="2">
        <f>HYPERLINK("http://ts.21cn.com/tousu/show/id/1366588","http://ts.21cn.com/tousu/show/id/1366588")</f>
      </c>
      <c r="G6244" t="s" s="2">
        <v>17</v>
      </c>
      <c r="H6244" t="s" s="2">
        <v>19</v>
      </c>
      <c r="I6244" t="s" s="2">
        <v>24163</v>
      </c>
      <c r="J6244" t="s" s="2">
        <v>24164</v>
      </c>
      <c r="K6244" t="s" s="2">
        <v>22</v>
      </c>
      <c r="L6244" t="s" s="2">
        <v>22</v>
      </c>
      <c r="M6244" t="s" s="2">
        <v>22</v>
      </c>
    </row>
    <row r="6245" ht="25.0" customHeight="true">
      <c r="A6245" t="s" s="2">
        <v>13</v>
      </c>
      <c r="B6245" t="s" s="2">
        <f>HYPERLINK("http://ts.21cn.com/tousu/show/id/1366586","每日优鲜虚假宣传，误导诱导用户")</f>
      </c>
      <c r="C6245" t="s" s="2">
        <v>15</v>
      </c>
      <c r="D6245" t="s" s="2">
        <v>16</v>
      </c>
      <c r="E6245" t="s" s="2">
        <v>17</v>
      </c>
      <c r="F6245" t="s" s="2">
        <f>HYPERLINK("http://ts.21cn.com/tousu/show/id/1366586","http://ts.21cn.com/tousu/show/id/1366586")</f>
      </c>
      <c r="G6245" t="s" s="2">
        <v>17</v>
      </c>
      <c r="H6245" t="s" s="2">
        <v>19</v>
      </c>
      <c r="I6245" t="s" s="2">
        <v>24166</v>
      </c>
      <c r="J6245" t="s" s="2">
        <v>24167</v>
      </c>
      <c r="K6245" t="s" s="2">
        <v>22</v>
      </c>
      <c r="L6245" t="s" s="2">
        <v>22</v>
      </c>
      <c r="M6245" t="s" s="2">
        <v>22</v>
      </c>
    </row>
    <row r="6246" ht="25.0" customHeight="true">
      <c r="A6246" t="s" s="2">
        <v>13</v>
      </c>
      <c r="B6246" t="s" s="2">
        <f>HYPERLINK("http://ts.21cn.com/tousu/show/id/1366585","投诉玖富万卡高额手续费利息")</f>
      </c>
      <c r="C6246" t="s" s="2">
        <v>15</v>
      </c>
      <c r="D6246" t="s" s="2">
        <v>16</v>
      </c>
      <c r="E6246" t="s" s="2">
        <v>17</v>
      </c>
      <c r="F6246" t="s" s="2">
        <f>HYPERLINK("http://ts.21cn.com/tousu/show/id/1366585","http://ts.21cn.com/tousu/show/id/1366585")</f>
      </c>
      <c r="G6246" t="s" s="2">
        <v>17</v>
      </c>
      <c r="H6246" t="s" s="2">
        <v>19</v>
      </c>
      <c r="I6246" t="s" s="2">
        <v>24170</v>
      </c>
      <c r="J6246" t="s" s="2">
        <v>24171</v>
      </c>
      <c r="K6246" t="s" s="2">
        <v>22</v>
      </c>
      <c r="L6246" t="s" s="2">
        <v>22</v>
      </c>
      <c r="M6246" t="s" s="2">
        <v>22</v>
      </c>
    </row>
    <row r="6247" ht="25.0" customHeight="true">
      <c r="A6247" t="s" s="2">
        <v>13</v>
      </c>
      <c r="B6247" t="s" s="2">
        <f>HYPERLINK("http://ts.21cn.com/tousu/show/id/1366561","人人贷偷改银行卡号")</f>
      </c>
      <c r="C6247" t="s" s="2">
        <v>15</v>
      </c>
      <c r="D6247" t="s" s="2">
        <v>16</v>
      </c>
      <c r="E6247" t="s" s="2">
        <v>17</v>
      </c>
      <c r="F6247" t="s" s="2">
        <f>HYPERLINK("http://ts.21cn.com/tousu/show/id/1366561","http://ts.21cn.com/tousu/show/id/1366561")</f>
      </c>
      <c r="G6247" t="s" s="2">
        <v>17</v>
      </c>
      <c r="H6247" t="s" s="2">
        <v>19</v>
      </c>
      <c r="I6247" t="s" s="2">
        <v>24174</v>
      </c>
      <c r="J6247" t="s" s="2">
        <v>24175</v>
      </c>
      <c r="K6247" t="s" s="2">
        <v>22</v>
      </c>
      <c r="L6247" t="s" s="2">
        <v>22</v>
      </c>
      <c r="M6247" t="s" s="2">
        <v>22</v>
      </c>
    </row>
    <row r="6248" ht="25.0" customHeight="true">
      <c r="A6248" t="s" s="2">
        <v>13</v>
      </c>
      <c r="B6248" t="s" s="2">
        <f>HYPERLINK("http://ts.21cn.com/tousu/show/id/1366584","用钱宝暴力催收")</f>
      </c>
      <c r="C6248" t="s" s="2">
        <v>15</v>
      </c>
      <c r="D6248" t="s" s="2">
        <v>16</v>
      </c>
      <c r="E6248" t="s" s="2">
        <v>17</v>
      </c>
      <c r="F6248" t="s" s="2">
        <f>HYPERLINK("http://ts.21cn.com/tousu/show/id/1366584","http://ts.21cn.com/tousu/show/id/1366584")</f>
      </c>
      <c r="G6248" t="s" s="2">
        <v>17</v>
      </c>
      <c r="H6248" t="s" s="2">
        <v>19</v>
      </c>
      <c r="I6248" t="s" s="2">
        <v>24178</v>
      </c>
      <c r="J6248" t="s" s="2">
        <v>24179</v>
      </c>
      <c r="K6248" t="s" s="2">
        <v>22</v>
      </c>
      <c r="L6248" t="s" s="2">
        <v>22</v>
      </c>
      <c r="M6248" t="s" s="2">
        <v>22</v>
      </c>
    </row>
    <row r="6249" ht="25.0" customHeight="true">
      <c r="A6249" t="s" s="2">
        <v>13</v>
      </c>
      <c r="B6249" t="s" s="2">
        <f>HYPERLINK("http://ts.21cn.com/tousu/show/id/1366583","KC网络电话无法使用")</f>
      </c>
      <c r="C6249" t="s" s="2">
        <v>52</v>
      </c>
      <c r="D6249" t="s" s="2">
        <v>16</v>
      </c>
      <c r="E6249" t="s" s="2">
        <v>17</v>
      </c>
      <c r="F6249" t="s" s="2">
        <f>HYPERLINK("http://ts.21cn.com/tousu/show/id/1366583","http://ts.21cn.com/tousu/show/id/1366583")</f>
      </c>
      <c r="G6249" t="s" s="2">
        <v>17</v>
      </c>
      <c r="H6249" t="s" s="2">
        <v>19</v>
      </c>
      <c r="I6249" t="s" s="2">
        <v>24182</v>
      </c>
      <c r="J6249" t="s" s="2">
        <v>24183</v>
      </c>
      <c r="K6249" t="s" s="2">
        <v>22</v>
      </c>
      <c r="L6249" t="s" s="2">
        <v>22</v>
      </c>
      <c r="M6249" t="s" s="2">
        <v>22</v>
      </c>
    </row>
    <row r="6250" ht="25.0" customHeight="true">
      <c r="A6250" t="s" s="2">
        <v>13</v>
      </c>
      <c r="B6250" t="s" s="2">
        <f>HYPERLINK("http://ts.21cn.com/tousu/show/id/1366582","商品退回商家不退款平台不处理")</f>
      </c>
      <c r="C6250" t="s" s="2">
        <v>15</v>
      </c>
      <c r="D6250" t="s" s="2">
        <v>16</v>
      </c>
      <c r="E6250" t="s" s="2">
        <v>17</v>
      </c>
      <c r="F6250" t="s" s="2">
        <f>HYPERLINK("http://ts.21cn.com/tousu/show/id/1366582","http://ts.21cn.com/tousu/show/id/1366582")</f>
      </c>
      <c r="G6250" t="s" s="2">
        <v>17</v>
      </c>
      <c r="H6250" t="s" s="2">
        <v>19</v>
      </c>
      <c r="I6250" t="s" s="2">
        <v>24186</v>
      </c>
      <c r="J6250" t="s" s="2">
        <v>24187</v>
      </c>
      <c r="K6250" t="s" s="2">
        <v>22</v>
      </c>
      <c r="L6250" t="s" s="2">
        <v>22</v>
      </c>
      <c r="M6250" t="s" s="2">
        <v>22</v>
      </c>
    </row>
    <row r="6251" ht="25.0" customHeight="true">
      <c r="A6251" t="s" s="2">
        <v>13</v>
      </c>
      <c r="B6251" t="s" s="2">
        <f>HYPERLINK("http://ts.21cn.com/tousu/show/id/1366581","进去不小心点下提额扣了168元钱")</f>
      </c>
      <c r="C6251" t="s" s="2">
        <v>52</v>
      </c>
      <c r="D6251" t="s" s="2">
        <v>16</v>
      </c>
      <c r="E6251" t="s" s="2">
        <v>17</v>
      </c>
      <c r="F6251" t="s" s="2">
        <f>HYPERLINK("http://ts.21cn.com/tousu/show/id/1366581","http://ts.21cn.com/tousu/show/id/1366581")</f>
      </c>
      <c r="G6251" t="s" s="2">
        <v>17</v>
      </c>
      <c r="H6251" t="s" s="2">
        <v>19</v>
      </c>
      <c r="I6251" t="s" s="2">
        <v>24190</v>
      </c>
      <c r="J6251" t="s" s="2">
        <v>24191</v>
      </c>
      <c r="K6251" t="s" s="2">
        <v>22</v>
      </c>
      <c r="L6251" t="s" s="2">
        <v>22</v>
      </c>
      <c r="M6251" t="s" s="2">
        <v>22</v>
      </c>
    </row>
    <row r="6252" ht="25.0" customHeight="true">
      <c r="A6252" t="s" s="2">
        <v>13</v>
      </c>
      <c r="B6252" t="s" s="2">
        <f>HYPERLINK("http://ts.21cn.com/tousu/show/id/1366505","平安普惠贷款隐瞒隐藏并强制收取高额保险费管理费投诉事宜")</f>
      </c>
      <c r="C6252" t="s" s="2">
        <v>15</v>
      </c>
      <c r="D6252" t="s" s="2">
        <v>16</v>
      </c>
      <c r="E6252" t="s" s="2">
        <v>17</v>
      </c>
      <c r="F6252" t="s" s="2">
        <f>HYPERLINK("http://ts.21cn.com/tousu/show/id/1366505","http://ts.21cn.com/tousu/show/id/1366505")</f>
      </c>
      <c r="G6252" t="s" s="2">
        <v>17</v>
      </c>
      <c r="H6252" t="s" s="2">
        <v>19</v>
      </c>
      <c r="I6252" t="s" s="2">
        <v>24193</v>
      </c>
      <c r="J6252" t="s" s="2">
        <v>24194</v>
      </c>
      <c r="K6252" t="s" s="2">
        <v>22</v>
      </c>
      <c r="L6252" t="s" s="2">
        <v>22</v>
      </c>
      <c r="M6252" t="s" s="2">
        <v>22</v>
      </c>
    </row>
    <row r="6253" ht="25.0" customHeight="true">
      <c r="A6253" t="s" s="2">
        <v>13</v>
      </c>
      <c r="B6253" t="s" s="2">
        <f>HYPERLINK("http://ts.21cn.com/tousu/show/id/1366575","714高炮平台")</f>
      </c>
      <c r="C6253" t="s" s="2">
        <v>52</v>
      </c>
      <c r="D6253" t="s" s="2">
        <v>16</v>
      </c>
      <c r="E6253" t="s" s="2">
        <v>17</v>
      </c>
      <c r="F6253" t="s" s="2">
        <f>HYPERLINK("http://ts.21cn.com/tousu/show/id/1366575","http://ts.21cn.com/tousu/show/id/1366575")</f>
      </c>
      <c r="G6253" t="s" s="2">
        <v>17</v>
      </c>
      <c r="H6253" t="s" s="2">
        <v>19</v>
      </c>
      <c r="I6253" t="s" s="2">
        <v>24196</v>
      </c>
      <c r="J6253" t="s" s="2">
        <v>24197</v>
      </c>
      <c r="K6253" t="s" s="2">
        <v>22</v>
      </c>
      <c r="L6253" t="s" s="2">
        <v>22</v>
      </c>
      <c r="M6253" t="s" s="2">
        <v>22</v>
      </c>
    </row>
    <row r="6254" ht="25.0" customHeight="true">
      <c r="A6254" t="s" s="2">
        <v>13</v>
      </c>
      <c r="B6254" t="s" s="2">
        <f>HYPERLINK("http://ts.21cn.com/tousu/show/id/1366577","惠普暗影精灵2PLUS电池鼓包")</f>
      </c>
      <c r="C6254" t="s" s="2">
        <v>52</v>
      </c>
      <c r="D6254" t="s" s="2">
        <v>16</v>
      </c>
      <c r="E6254" t="s" s="2">
        <v>17</v>
      </c>
      <c r="F6254" t="s" s="2">
        <f>HYPERLINK("http://ts.21cn.com/tousu/show/id/1366577","http://ts.21cn.com/tousu/show/id/1366577")</f>
      </c>
      <c r="G6254" t="s" s="2">
        <v>17</v>
      </c>
      <c r="H6254" t="s" s="2">
        <v>19</v>
      </c>
      <c r="I6254" t="s" s="2">
        <v>24199</v>
      </c>
      <c r="J6254" t="s" s="2">
        <v>24200</v>
      </c>
      <c r="K6254" t="s" s="2">
        <v>22</v>
      </c>
      <c r="L6254" t="s" s="2">
        <v>22</v>
      </c>
      <c r="M6254" t="s" s="2">
        <v>22</v>
      </c>
    </row>
    <row r="6255" ht="25.0" customHeight="true">
      <c r="A6255" t="s" s="2">
        <v>13</v>
      </c>
      <c r="B6255" t="s" s="2">
        <f>HYPERLINK("http://ts.21cn.com/tousu/show/id/1366573","714套路贷多宝鱼")</f>
      </c>
      <c r="C6255" t="s" s="2">
        <v>15</v>
      </c>
      <c r="D6255" t="s" s="2">
        <v>16</v>
      </c>
      <c r="E6255" t="s" s="2">
        <v>17</v>
      </c>
      <c r="F6255" t="s" s="2">
        <f>HYPERLINK("http://ts.21cn.com/tousu/show/id/1366573","http://ts.21cn.com/tousu/show/id/1366573")</f>
      </c>
      <c r="G6255" t="s" s="2">
        <v>17</v>
      </c>
      <c r="H6255" t="s" s="2">
        <v>19</v>
      </c>
      <c r="I6255" t="s" s="2">
        <v>24203</v>
      </c>
      <c r="J6255" t="s" s="2">
        <v>24204</v>
      </c>
      <c r="K6255" t="s" s="2">
        <v>22</v>
      </c>
      <c r="L6255" t="s" s="2">
        <v>22</v>
      </c>
      <c r="M6255" t="s" s="2">
        <v>22</v>
      </c>
    </row>
    <row r="6256" ht="25.0" customHeight="true">
      <c r="A6256" t="s" s="2">
        <v>13</v>
      </c>
      <c r="B6256" t="s" s="2">
        <f>HYPERLINK("http://ts.21cn.com/tousu/show/id/1366574","你我贷平台暴力催收")</f>
      </c>
      <c r="C6256" t="s" s="2">
        <v>15</v>
      </c>
      <c r="D6256" t="s" s="2">
        <v>16</v>
      </c>
      <c r="E6256" t="s" s="2">
        <v>17</v>
      </c>
      <c r="F6256" t="s" s="2">
        <f>HYPERLINK("http://ts.21cn.com/tousu/show/id/1366574","http://ts.21cn.com/tousu/show/id/1366574")</f>
      </c>
      <c r="G6256" t="s" s="2">
        <v>17</v>
      </c>
      <c r="H6256" t="s" s="2">
        <v>19</v>
      </c>
      <c r="I6256" t="s" s="2">
        <v>24207</v>
      </c>
      <c r="J6256" t="s" s="2">
        <v>24208</v>
      </c>
      <c r="K6256" t="s" s="2">
        <v>22</v>
      </c>
      <c r="L6256" t="s" s="2">
        <v>22</v>
      </c>
      <c r="M6256" t="s" s="2">
        <v>22</v>
      </c>
    </row>
    <row r="6257" ht="25.0" customHeight="true">
      <c r="A6257" t="s" s="2">
        <v>13</v>
      </c>
      <c r="B6257" t="s" s="2">
        <f>HYPERLINK("http://ts.21cn.com/tousu/show/id/1366572","嘿号吧套路")</f>
      </c>
      <c r="C6257" t="s" s="2">
        <v>15</v>
      </c>
      <c r="D6257" t="s" s="2">
        <v>16</v>
      </c>
      <c r="E6257" t="s" s="2">
        <v>17</v>
      </c>
      <c r="F6257" t="s" s="2">
        <f>HYPERLINK("http://ts.21cn.com/tousu/show/id/1366572","http://ts.21cn.com/tousu/show/id/1366572")</f>
      </c>
      <c r="G6257" t="s" s="2">
        <v>17</v>
      </c>
      <c r="H6257" t="s" s="2">
        <v>19</v>
      </c>
      <c r="I6257" t="s" s="2">
        <v>24211</v>
      </c>
      <c r="J6257" t="s" s="2">
        <v>24212</v>
      </c>
      <c r="K6257" t="s" s="2">
        <v>22</v>
      </c>
      <c r="L6257" t="s" s="2">
        <v>22</v>
      </c>
      <c r="M6257" t="s" s="2">
        <v>22</v>
      </c>
    </row>
    <row r="6258" ht="25.0" customHeight="true">
      <c r="A6258" t="s" s="2">
        <v>13</v>
      </c>
      <c r="B6258" t="s" s="2">
        <f>HYPERLINK("http://ts.21cn.com/tousu/show/id/1366578","活力花逾期罚金高于法律规定，且电话短信轰炸，恐吓家属")</f>
      </c>
      <c r="C6258" t="s" s="2">
        <v>15</v>
      </c>
      <c r="D6258" t="s" s="2">
        <v>16</v>
      </c>
      <c r="E6258" t="s" s="2">
        <v>17</v>
      </c>
      <c r="F6258" t="s" s="2">
        <f>HYPERLINK("http://ts.21cn.com/tousu/show/id/1366578","http://ts.21cn.com/tousu/show/id/1366578")</f>
      </c>
      <c r="G6258" t="s" s="2">
        <v>17</v>
      </c>
      <c r="H6258" t="s" s="2">
        <v>19</v>
      </c>
      <c r="I6258" t="s" s="2">
        <v>24215</v>
      </c>
      <c r="J6258" t="s" s="2">
        <v>24216</v>
      </c>
      <c r="K6258" t="s" s="2">
        <v>22</v>
      </c>
      <c r="L6258" t="s" s="2">
        <v>22</v>
      </c>
      <c r="M6258" t="s" s="2">
        <v>22</v>
      </c>
    </row>
    <row r="6259" ht="25.0" customHeight="true">
      <c r="A6259" t="s" s="2">
        <v>13</v>
      </c>
      <c r="B6259" t="s" s="2">
        <f>HYPERLINK("http://ts.21cn.com/tousu/show/id/1366579","中信银行信用卡遭集体投诉，三成系盗刷问题")</f>
      </c>
      <c r="C6259" t="s" s="2">
        <v>15</v>
      </c>
      <c r="D6259" t="s" s="2">
        <v>16</v>
      </c>
      <c r="E6259" t="s" s="2">
        <v>17</v>
      </c>
      <c r="F6259" t="s" s="2">
        <f>HYPERLINK("http://ts.21cn.com/tousu/show/id/1366579","http://ts.21cn.com/tousu/show/id/1366579")</f>
      </c>
      <c r="G6259" t="s" s="2">
        <v>17</v>
      </c>
      <c r="H6259" t="s" s="2">
        <v>19</v>
      </c>
      <c r="I6259" t="s" s="2">
        <v>24215</v>
      </c>
      <c r="J6259" t="s" s="2">
        <v>24218</v>
      </c>
      <c r="K6259" t="s" s="2">
        <v>22</v>
      </c>
      <c r="L6259" t="s" s="2">
        <v>22</v>
      </c>
      <c r="M6259" t="s" s="2">
        <v>22</v>
      </c>
    </row>
    <row r="6260" ht="25.0" customHeight="true">
      <c r="A6260" t="s" s="2">
        <v>13</v>
      </c>
      <c r="B6260" t="s" s="2">
        <f>HYPERLINK("http://ts.21cn.com/tousu/show/id/1366571","通联支付首刷变会员不退押金")</f>
      </c>
      <c r="C6260" t="s" s="2">
        <v>15</v>
      </c>
      <c r="D6260" t="s" s="2">
        <v>16</v>
      </c>
      <c r="E6260" t="s" s="2">
        <v>17</v>
      </c>
      <c r="F6260" t="s" s="2">
        <f>HYPERLINK("http://ts.21cn.com/tousu/show/id/1366571","http://ts.21cn.com/tousu/show/id/1366571")</f>
      </c>
      <c r="G6260" t="s" s="2">
        <v>17</v>
      </c>
      <c r="H6260" t="s" s="2">
        <v>19</v>
      </c>
      <c r="I6260" t="s" s="2">
        <v>24221</v>
      </c>
      <c r="J6260" t="s" s="2">
        <v>24222</v>
      </c>
      <c r="K6260" t="s" s="2">
        <v>22</v>
      </c>
      <c r="L6260" t="s" s="2">
        <v>22</v>
      </c>
      <c r="M6260" t="s" s="2">
        <v>22</v>
      </c>
    </row>
    <row r="6261" ht="25.0" customHeight="true">
      <c r="A6261" t="s" s="2">
        <v>13</v>
      </c>
      <c r="B6261" t="s" s="2">
        <f>HYPERLINK("http://ts.21cn.com/tousu/show/id/1366570","投诉翰银科技不受理。客服不受理。Qq客服还不加我")</f>
      </c>
      <c r="C6261" t="s" s="2">
        <v>15</v>
      </c>
      <c r="D6261" t="s" s="2">
        <v>16</v>
      </c>
      <c r="E6261" t="s" s="2">
        <v>17</v>
      </c>
      <c r="F6261" t="s" s="2">
        <f>HYPERLINK("http://ts.21cn.com/tousu/show/id/1366570","http://ts.21cn.com/tousu/show/id/1366570")</f>
      </c>
      <c r="G6261" t="s" s="2">
        <v>17</v>
      </c>
      <c r="H6261" t="s" s="2">
        <v>19</v>
      </c>
      <c r="I6261" t="s" s="2">
        <v>24225</v>
      </c>
      <c r="J6261" t="s" s="2">
        <v>24226</v>
      </c>
      <c r="K6261" t="s" s="2">
        <v>22</v>
      </c>
      <c r="L6261" t="s" s="2">
        <v>22</v>
      </c>
      <c r="M6261" t="s" s="2">
        <v>22</v>
      </c>
    </row>
    <row r="6262" ht="25.0" customHeight="true">
      <c r="A6262" t="s" s="2">
        <v>13</v>
      </c>
      <c r="B6262" t="s" s="2">
        <f>HYPERLINK("http://ts.21cn.com/tousu/show/id/1366569","要求停止骚扰")</f>
      </c>
      <c r="C6262" t="s" s="2">
        <v>15</v>
      </c>
      <c r="D6262" t="s" s="2">
        <v>16</v>
      </c>
      <c r="E6262" t="s" s="2">
        <v>17</v>
      </c>
      <c r="F6262" t="s" s="2">
        <f>HYPERLINK("http://ts.21cn.com/tousu/show/id/1366569","http://ts.21cn.com/tousu/show/id/1366569")</f>
      </c>
      <c r="G6262" t="s" s="2">
        <v>17</v>
      </c>
      <c r="H6262" t="s" s="2">
        <v>19</v>
      </c>
      <c r="I6262" t="s" s="2">
        <v>24229</v>
      </c>
      <c r="J6262" t="s" s="2">
        <v>24230</v>
      </c>
      <c r="K6262" t="s" s="2">
        <v>22</v>
      </c>
      <c r="L6262" t="s" s="2">
        <v>22</v>
      </c>
      <c r="M6262" t="s" s="2">
        <v>22</v>
      </c>
    </row>
    <row r="6263" ht="25.0" customHeight="true">
      <c r="A6263" t="s" s="2">
        <v>13</v>
      </c>
      <c r="B6263" t="s" s="2">
        <f>HYPERLINK("http://ts.21cn.com/tousu/show/id/1366568","还款失败导致逾期")</f>
      </c>
      <c r="C6263" t="s" s="2">
        <v>15</v>
      </c>
      <c r="D6263" t="s" s="2">
        <v>16</v>
      </c>
      <c r="E6263" t="s" s="2">
        <v>17</v>
      </c>
      <c r="F6263" t="s" s="2">
        <f>HYPERLINK("http://ts.21cn.com/tousu/show/id/1366568","http://ts.21cn.com/tousu/show/id/1366568")</f>
      </c>
      <c r="G6263" t="s" s="2">
        <v>17</v>
      </c>
      <c r="H6263" t="s" s="2">
        <v>19</v>
      </c>
      <c r="I6263" t="s" s="2">
        <v>24233</v>
      </c>
      <c r="J6263" t="s" s="2">
        <v>24234</v>
      </c>
      <c r="K6263" t="s" s="2">
        <v>22</v>
      </c>
      <c r="L6263" t="s" s="2">
        <v>22</v>
      </c>
      <c r="M6263" t="s" s="2">
        <v>22</v>
      </c>
    </row>
    <row r="6264" ht="25.0" customHeight="true">
      <c r="A6264" t="s" s="2">
        <v>13</v>
      </c>
      <c r="B6264" t="s" s="2">
        <f>HYPERLINK("http://ts.21cn.com/tousu/show/id/1366567","立刻出行保证金退不了")</f>
      </c>
      <c r="C6264" t="s" s="2">
        <v>15</v>
      </c>
      <c r="D6264" t="s" s="2">
        <v>16</v>
      </c>
      <c r="E6264" t="s" s="2">
        <v>17</v>
      </c>
      <c r="F6264" t="s" s="2">
        <f>HYPERLINK("http://ts.21cn.com/tousu/show/id/1366567","http://ts.21cn.com/tousu/show/id/1366567")</f>
      </c>
      <c r="G6264" t="s" s="2">
        <v>17</v>
      </c>
      <c r="H6264" t="s" s="2">
        <v>19</v>
      </c>
      <c r="I6264" t="s" s="2">
        <v>24237</v>
      </c>
      <c r="J6264" t="s" s="2">
        <v>24238</v>
      </c>
      <c r="K6264" t="s" s="2">
        <v>22</v>
      </c>
      <c r="L6264" t="s" s="2">
        <v>22</v>
      </c>
      <c r="M6264" t="s" s="2">
        <v>22</v>
      </c>
    </row>
    <row r="6265" ht="25.0" customHeight="true">
      <c r="A6265" t="s" s="2">
        <v>13</v>
      </c>
      <c r="B6265" t="s" s="2">
        <f>HYPERLINK("http://ts.21cn.com/tousu/show/id/1366121","如期分期砍头息高额风险评估费高利贷")</f>
      </c>
      <c r="C6265" t="s" s="2">
        <v>15</v>
      </c>
      <c r="D6265" t="s" s="2">
        <v>16</v>
      </c>
      <c r="E6265" t="s" s="2">
        <v>17</v>
      </c>
      <c r="F6265" t="s" s="2">
        <f>HYPERLINK("http://ts.21cn.com/tousu/show/id/1366121","http://ts.21cn.com/tousu/show/id/1366121")</f>
      </c>
      <c r="G6265" t="s" s="2">
        <v>17</v>
      </c>
      <c r="H6265" t="s" s="2">
        <v>19</v>
      </c>
      <c r="I6265" t="s" s="2">
        <v>24241</v>
      </c>
      <c r="J6265" t="s" s="2">
        <v>24242</v>
      </c>
      <c r="K6265" t="s" s="2">
        <v>22</v>
      </c>
      <c r="L6265" t="s" s="2">
        <v>22</v>
      </c>
      <c r="M6265" t="s" s="2">
        <v>22</v>
      </c>
    </row>
    <row r="6266" ht="25.0" customHeight="true">
      <c r="A6266" t="s" s="2">
        <v>13</v>
      </c>
      <c r="B6266" t="s" s="2">
        <f>HYPERLINK("http://ts.21cn.com/tousu/show/id/1366566","拼多多恶意扣压货款和保证金，理由推托")</f>
      </c>
      <c r="C6266" t="s" s="2">
        <v>15</v>
      </c>
      <c r="D6266" t="s" s="2">
        <v>16</v>
      </c>
      <c r="E6266" t="s" s="2">
        <v>17</v>
      </c>
      <c r="F6266" t="s" s="2">
        <f>HYPERLINK("http://ts.21cn.com/tousu/show/id/1366566","http://ts.21cn.com/tousu/show/id/1366566")</f>
      </c>
      <c r="G6266" t="s" s="2">
        <v>17</v>
      </c>
      <c r="H6266" t="s" s="2">
        <v>19</v>
      </c>
      <c r="I6266" t="s" s="2">
        <v>24245</v>
      </c>
      <c r="J6266" t="s" s="2">
        <v>24246</v>
      </c>
      <c r="K6266" t="s" s="2">
        <v>22</v>
      </c>
      <c r="L6266" t="s" s="2">
        <v>22</v>
      </c>
      <c r="M6266" t="s" s="2">
        <v>22</v>
      </c>
    </row>
    <row r="6267" ht="25.0" customHeight="true">
      <c r="A6267" t="s" s="2">
        <v>13</v>
      </c>
      <c r="B6267" t="s" s="2">
        <f>HYPERLINK("http://ts.21cn.com/tousu/show/id/1366564","暴力催收未告知本人直接打通讯录")</f>
      </c>
      <c r="C6267" t="s" s="2">
        <v>15</v>
      </c>
      <c r="D6267" t="s" s="2">
        <v>16</v>
      </c>
      <c r="E6267" t="s" s="2">
        <v>17</v>
      </c>
      <c r="F6267" t="s" s="2">
        <f>HYPERLINK("http://ts.21cn.com/tousu/show/id/1366564","http://ts.21cn.com/tousu/show/id/1366564")</f>
      </c>
      <c r="G6267" t="s" s="2">
        <v>17</v>
      </c>
      <c r="H6267" t="s" s="2">
        <v>19</v>
      </c>
      <c r="I6267" t="s" s="2">
        <v>24249</v>
      </c>
      <c r="J6267" t="s" s="2">
        <v>24250</v>
      </c>
      <c r="K6267" t="s" s="2">
        <v>22</v>
      </c>
      <c r="L6267" t="s" s="2">
        <v>22</v>
      </c>
      <c r="M6267" t="s" s="2">
        <v>22</v>
      </c>
    </row>
    <row r="6268" ht="25.0" customHeight="true">
      <c r="A6268" t="s" s="2">
        <v>13</v>
      </c>
      <c r="B6268" t="s" s="2">
        <f>HYPERLINK("http://ts.21cn.com/tousu/show/id/1366519","小狮省钱请退会费")</f>
      </c>
      <c r="C6268" t="s" s="2">
        <v>15</v>
      </c>
      <c r="D6268" t="s" s="2">
        <v>16</v>
      </c>
      <c r="E6268" t="s" s="2">
        <v>17</v>
      </c>
      <c r="F6268" t="s" s="2">
        <f>HYPERLINK("http://ts.21cn.com/tousu/show/id/1366519","http://ts.21cn.com/tousu/show/id/1366519")</f>
      </c>
      <c r="G6268" t="s" s="2">
        <v>17</v>
      </c>
      <c r="H6268" t="s" s="2">
        <v>19</v>
      </c>
      <c r="I6268" t="s" s="2">
        <v>24253</v>
      </c>
      <c r="J6268" t="s" s="2">
        <v>24254</v>
      </c>
      <c r="K6268" t="s" s="2">
        <v>22</v>
      </c>
      <c r="L6268" t="s" s="2">
        <v>22</v>
      </c>
      <c r="M6268" t="s" s="2">
        <v>22</v>
      </c>
    </row>
    <row r="6269" ht="25.0" customHeight="true">
      <c r="A6269" t="s" s="2">
        <v>13</v>
      </c>
      <c r="B6269" t="s" s="2">
        <f>HYPERLINK("http://ts.21cn.com/tousu/show/id/1366563","无故扣钱")</f>
      </c>
      <c r="C6269" t="s" s="2">
        <v>52</v>
      </c>
      <c r="D6269" t="s" s="2">
        <v>16</v>
      </c>
      <c r="E6269" t="s" s="2">
        <v>17</v>
      </c>
      <c r="F6269" t="s" s="2">
        <f>HYPERLINK("http://ts.21cn.com/tousu/show/id/1366563","http://ts.21cn.com/tousu/show/id/1366563")</f>
      </c>
      <c r="G6269" t="s" s="2">
        <v>17</v>
      </c>
      <c r="H6269" t="s" s="2">
        <v>19</v>
      </c>
      <c r="I6269" t="s" s="2">
        <v>24257</v>
      </c>
      <c r="J6269" t="s" s="2">
        <v>24258</v>
      </c>
      <c r="K6269" t="s" s="2">
        <v>22</v>
      </c>
      <c r="L6269" t="s" s="2">
        <v>22</v>
      </c>
      <c r="M6269" t="s" s="2">
        <v>22</v>
      </c>
    </row>
    <row r="6270" ht="25.0" customHeight="true">
      <c r="A6270" t="s" s="2">
        <v>13</v>
      </c>
      <c r="B6270" t="s" s="2">
        <f>HYPERLINK("http://ts.21cn.com/tousu/show/id/1366560","快闪卡贷年利率超80%")</f>
      </c>
      <c r="C6270" t="s" s="2">
        <v>52</v>
      </c>
      <c r="D6270" t="s" s="2">
        <v>16</v>
      </c>
      <c r="E6270" t="s" s="2">
        <v>17</v>
      </c>
      <c r="F6270" t="s" s="2">
        <f>HYPERLINK("http://ts.21cn.com/tousu/show/id/1366560","http://ts.21cn.com/tousu/show/id/1366560")</f>
      </c>
      <c r="G6270" t="s" s="2">
        <v>17</v>
      </c>
      <c r="H6270" t="s" s="2">
        <v>19</v>
      </c>
      <c r="I6270" t="s" s="2">
        <v>24261</v>
      </c>
      <c r="J6270" t="s" s="2">
        <v>24262</v>
      </c>
      <c r="K6270" t="s" s="2">
        <v>22</v>
      </c>
      <c r="L6270" t="s" s="2">
        <v>22</v>
      </c>
      <c r="M6270" t="s" s="2">
        <v>22</v>
      </c>
    </row>
    <row r="6271" ht="25.0" customHeight="true">
      <c r="A6271" t="s" s="2">
        <v>13</v>
      </c>
      <c r="B6271" t="s" s="2">
        <f>HYPERLINK("http://ts.21cn.com/tousu/show/id/1366559","钱站阴阳合同，暴力恐吓，砍头息，")</f>
      </c>
      <c r="C6271" t="s" s="2">
        <v>15</v>
      </c>
      <c r="D6271" t="s" s="2">
        <v>16</v>
      </c>
      <c r="E6271" t="s" s="2">
        <v>17</v>
      </c>
      <c r="F6271" t="s" s="2">
        <f>HYPERLINK("http://ts.21cn.com/tousu/show/id/1366559","http://ts.21cn.com/tousu/show/id/1366559")</f>
      </c>
      <c r="G6271" t="s" s="2">
        <v>17</v>
      </c>
      <c r="H6271" t="s" s="2">
        <v>19</v>
      </c>
      <c r="I6271" t="s" s="2">
        <v>24265</v>
      </c>
      <c r="J6271" t="s" s="2">
        <v>24266</v>
      </c>
      <c r="K6271" t="s" s="2">
        <v>22</v>
      </c>
      <c r="L6271" t="s" s="2">
        <v>22</v>
      </c>
      <c r="M6271" t="s" s="2">
        <v>22</v>
      </c>
    </row>
    <row r="6272" ht="25.0" customHeight="true">
      <c r="A6272" t="s" s="2">
        <v>13</v>
      </c>
      <c r="B6272" t="s" s="2">
        <f>HYPERLINK("http://ts.21cn.com/tousu/show/id/1366562","拼多多随意扣押货款")</f>
      </c>
      <c r="C6272" t="s" s="2">
        <v>15</v>
      </c>
      <c r="D6272" t="s" s="2">
        <v>16</v>
      </c>
      <c r="E6272" t="s" s="2">
        <v>17</v>
      </c>
      <c r="F6272" t="s" s="2">
        <f>HYPERLINK("http://ts.21cn.com/tousu/show/id/1366562","http://ts.21cn.com/tousu/show/id/1366562")</f>
      </c>
      <c r="G6272" t="s" s="2">
        <v>17</v>
      </c>
      <c r="H6272" t="s" s="2">
        <v>19</v>
      </c>
      <c r="I6272" t="s" s="2">
        <v>24269</v>
      </c>
      <c r="J6272" t="s" s="2">
        <v>24270</v>
      </c>
      <c r="K6272" t="s" s="2">
        <v>22</v>
      </c>
      <c r="L6272" t="s" s="2">
        <v>22</v>
      </c>
      <c r="M6272" t="s" s="2">
        <v>22</v>
      </c>
    </row>
    <row r="6273" ht="25.0" customHeight="true">
      <c r="A6273" t="s" s="2">
        <v>13</v>
      </c>
      <c r="B6273" t="s" s="2">
        <f>HYPERLINK("http://ts.21cn.com/tousu/show/id/1366558","北京恒发软通科技有限公司业务员收钱不给发短信，要求退钱，还拉黑，打了客服电话，不处理，说业务员请假。再问就说离职了。")</f>
      </c>
      <c r="C6273" t="s" s="2">
        <v>15</v>
      </c>
      <c r="D6273" t="s" s="2">
        <v>16</v>
      </c>
      <c r="E6273" t="s" s="2">
        <v>17</v>
      </c>
      <c r="F6273" t="s" s="2">
        <f>HYPERLINK("http://ts.21cn.com/tousu/show/id/1366558","http://ts.21cn.com/tousu/show/id/1366558")</f>
      </c>
      <c r="G6273" t="s" s="2">
        <v>17</v>
      </c>
      <c r="H6273" t="s" s="2">
        <v>19</v>
      </c>
      <c r="I6273" t="s" s="2">
        <v>24273</v>
      </c>
      <c r="J6273" t="s" s="2">
        <v>24274</v>
      </c>
      <c r="K6273" t="s" s="2">
        <v>22</v>
      </c>
      <c r="L6273" t="s" s="2">
        <v>22</v>
      </c>
      <c r="M6273" t="s" s="2">
        <v>22</v>
      </c>
    </row>
    <row r="6274" ht="25.0" customHeight="true">
      <c r="A6274" t="s" s="2">
        <v>13</v>
      </c>
      <c r="B6274" t="s" s="2">
        <f>HYPERLINK("http://ts.21cn.com/tousu/show/id/1366557","钱站收取高额逾期费")</f>
      </c>
      <c r="C6274" t="s" s="2">
        <v>15</v>
      </c>
      <c r="D6274" t="s" s="2">
        <v>16</v>
      </c>
      <c r="E6274" t="s" s="2">
        <v>17</v>
      </c>
      <c r="F6274" t="s" s="2">
        <f>HYPERLINK("http://ts.21cn.com/tousu/show/id/1366557","http://ts.21cn.com/tousu/show/id/1366557")</f>
      </c>
      <c r="G6274" t="s" s="2">
        <v>17</v>
      </c>
      <c r="H6274" t="s" s="2">
        <v>19</v>
      </c>
      <c r="I6274" t="s" s="2">
        <v>24277</v>
      </c>
      <c r="J6274" t="s" s="2">
        <v>24278</v>
      </c>
      <c r="K6274" t="s" s="2">
        <v>22</v>
      </c>
      <c r="L6274" t="s" s="2">
        <v>22</v>
      </c>
      <c r="M6274" t="s" s="2">
        <v>22</v>
      </c>
    </row>
    <row r="6275" ht="25.0" customHeight="true">
      <c r="A6275" t="s" s="2">
        <v>13</v>
      </c>
      <c r="B6275" t="s" s="2">
        <f>HYPERLINK("http://ts.21cn.com/tousu/show/id/1366555","你我贷暴力催收，要爆通讯录")</f>
      </c>
      <c r="C6275" t="s" s="2">
        <v>15</v>
      </c>
      <c r="D6275" t="s" s="2">
        <v>16</v>
      </c>
      <c r="E6275" t="s" s="2">
        <v>17</v>
      </c>
      <c r="F6275" t="s" s="2">
        <f>HYPERLINK("http://ts.21cn.com/tousu/show/id/1366555","http://ts.21cn.com/tousu/show/id/1366555")</f>
      </c>
      <c r="G6275" t="s" s="2">
        <v>17</v>
      </c>
      <c r="H6275" t="s" s="2">
        <v>19</v>
      </c>
      <c r="I6275" t="s" s="2">
        <v>24281</v>
      </c>
      <c r="J6275" t="s" s="2">
        <v>24282</v>
      </c>
      <c r="K6275" t="s" s="2">
        <v>22</v>
      </c>
      <c r="L6275" t="s" s="2">
        <v>22</v>
      </c>
      <c r="M6275" t="s" s="2">
        <v>22</v>
      </c>
    </row>
    <row r="6276" ht="25.0" customHeight="true">
      <c r="A6276" t="s" s="2">
        <v>13</v>
      </c>
      <c r="B6276" t="s" s="2">
        <f>HYPERLINK("http://ts.21cn.com/tousu/show/id/1366556","淘手游客服乱操作导致账号卖不出去")</f>
      </c>
      <c r="C6276" t="s" s="2">
        <v>15</v>
      </c>
      <c r="D6276" t="s" s="2">
        <v>16</v>
      </c>
      <c r="E6276" t="s" s="2">
        <v>17</v>
      </c>
      <c r="F6276" t="s" s="2">
        <f>HYPERLINK("http://ts.21cn.com/tousu/show/id/1366556","http://ts.21cn.com/tousu/show/id/1366556")</f>
      </c>
      <c r="G6276" t="s" s="2">
        <v>17</v>
      </c>
      <c r="H6276" t="s" s="2">
        <v>19</v>
      </c>
      <c r="I6276" t="s" s="2">
        <v>24285</v>
      </c>
      <c r="J6276" t="s" s="2">
        <v>24286</v>
      </c>
      <c r="K6276" t="s" s="2">
        <v>22</v>
      </c>
      <c r="L6276" t="s" s="2">
        <v>22</v>
      </c>
      <c r="M6276" t="s" s="2">
        <v>22</v>
      </c>
    </row>
    <row r="6277" ht="25.0" customHeight="true">
      <c r="A6277" t="s" s="2">
        <v>13</v>
      </c>
      <c r="B6277" t="s" s="2">
        <f>HYPERLINK("http://ts.21cn.com/tousu/show/id/1366540","存在阴阳合同，高利贷，砍头息多项违法行为")</f>
      </c>
      <c r="C6277" t="s" s="2">
        <v>15</v>
      </c>
      <c r="D6277" t="s" s="2">
        <v>16</v>
      </c>
      <c r="E6277" t="s" s="2">
        <v>17</v>
      </c>
      <c r="F6277" t="s" s="2">
        <f>HYPERLINK("http://ts.21cn.com/tousu/show/id/1366540","http://ts.21cn.com/tousu/show/id/1366540")</f>
      </c>
      <c r="G6277" t="s" s="2">
        <v>17</v>
      </c>
      <c r="H6277" t="s" s="2">
        <v>19</v>
      </c>
      <c r="I6277" t="s" s="2">
        <v>24289</v>
      </c>
      <c r="J6277" t="s" s="2">
        <v>24290</v>
      </c>
      <c r="K6277" t="s" s="2">
        <v>22</v>
      </c>
      <c r="L6277" t="s" s="2">
        <v>22</v>
      </c>
      <c r="M6277" t="s" s="2">
        <v>22</v>
      </c>
    </row>
    <row r="6278" ht="25.0" customHeight="true">
      <c r="A6278" t="s" s="2">
        <v>13</v>
      </c>
      <c r="B6278" t="s" s="2">
        <f>HYPERLINK("http://ts.21cn.com/tousu/show/id/1366553","百度有钱花高利贷阴阳合同")</f>
      </c>
      <c r="C6278" t="s" s="2">
        <v>15</v>
      </c>
      <c r="D6278" t="s" s="2">
        <v>16</v>
      </c>
      <c r="E6278" t="s" s="2">
        <v>17</v>
      </c>
      <c r="F6278" t="s" s="2">
        <f>HYPERLINK("http://ts.21cn.com/tousu/show/id/1366553","http://ts.21cn.com/tousu/show/id/1366553")</f>
      </c>
      <c r="G6278" t="s" s="2">
        <v>17</v>
      </c>
      <c r="H6278" t="s" s="2">
        <v>19</v>
      </c>
      <c r="I6278" t="s" s="2">
        <v>24293</v>
      </c>
      <c r="J6278" t="s" s="2">
        <v>24294</v>
      </c>
      <c r="K6278" t="s" s="2">
        <v>22</v>
      </c>
      <c r="L6278" t="s" s="2">
        <v>22</v>
      </c>
      <c r="M6278" t="s" s="2">
        <v>22</v>
      </c>
    </row>
    <row r="6279" ht="25.0" customHeight="true">
      <c r="A6279" t="s" s="2">
        <v>13</v>
      </c>
      <c r="B6279" t="s" s="2">
        <f>HYPERLINK("http://ts.21cn.com/tousu/show/id/1366551","捷信金融套路贷，提前还款客服就挂机")</f>
      </c>
      <c r="C6279" t="s" s="2">
        <v>15</v>
      </c>
      <c r="D6279" t="s" s="2">
        <v>16</v>
      </c>
      <c r="E6279" t="s" s="2">
        <v>17</v>
      </c>
      <c r="F6279" t="s" s="2">
        <f>HYPERLINK("http://ts.21cn.com/tousu/show/id/1366551","http://ts.21cn.com/tousu/show/id/1366551")</f>
      </c>
      <c r="G6279" t="s" s="2">
        <v>17</v>
      </c>
      <c r="H6279" t="s" s="2">
        <v>19</v>
      </c>
      <c r="I6279" t="s" s="2">
        <v>24297</v>
      </c>
      <c r="J6279" t="s" s="2">
        <v>24298</v>
      </c>
      <c r="K6279" t="s" s="2">
        <v>22</v>
      </c>
      <c r="L6279" t="s" s="2">
        <v>22</v>
      </c>
      <c r="M6279" t="s" s="2">
        <v>22</v>
      </c>
    </row>
    <row r="6280" ht="25.0" customHeight="true">
      <c r="A6280" t="s" s="2">
        <v>13</v>
      </c>
      <c r="B6280" t="s" s="2">
        <f>HYPERLINK("http://ts.21cn.com/tousu/show/id/1366549","鸿运当头平台暴力催收")</f>
      </c>
      <c r="C6280" t="s" s="2">
        <v>15</v>
      </c>
      <c r="D6280" t="s" s="2">
        <v>16</v>
      </c>
      <c r="E6280" t="s" s="2">
        <v>17</v>
      </c>
      <c r="F6280" t="s" s="2">
        <f>HYPERLINK("http://ts.21cn.com/tousu/show/id/1366549","http://ts.21cn.com/tousu/show/id/1366549")</f>
      </c>
      <c r="G6280" t="s" s="2">
        <v>17</v>
      </c>
      <c r="H6280" t="s" s="2">
        <v>19</v>
      </c>
      <c r="I6280" t="s" s="2">
        <v>24301</v>
      </c>
      <c r="J6280" t="s" s="2">
        <v>24302</v>
      </c>
      <c r="K6280" t="s" s="2">
        <v>22</v>
      </c>
      <c r="L6280" t="s" s="2">
        <v>22</v>
      </c>
      <c r="M6280" t="s" s="2">
        <v>22</v>
      </c>
    </row>
    <row r="6281" ht="25.0" customHeight="true">
      <c r="A6281" t="s" s="2">
        <v>13</v>
      </c>
      <c r="B6281" t="s" s="2">
        <f>HYPERLINK("http://ts.21cn.com/tousu/show/id/1366547","既然承认是平台过失，就该负责任解决")</f>
      </c>
      <c r="C6281" t="s" s="2">
        <v>15</v>
      </c>
      <c r="D6281" t="s" s="2">
        <v>16</v>
      </c>
      <c r="E6281" t="s" s="2">
        <v>17</v>
      </c>
      <c r="F6281" t="s" s="2">
        <f>HYPERLINK("http://ts.21cn.com/tousu/show/id/1366547","http://ts.21cn.com/tousu/show/id/1366547")</f>
      </c>
      <c r="G6281" t="s" s="2">
        <v>17</v>
      </c>
      <c r="H6281" t="s" s="2">
        <v>19</v>
      </c>
      <c r="I6281" t="s" s="2">
        <v>24305</v>
      </c>
      <c r="J6281" t="s" s="2">
        <v>24306</v>
      </c>
      <c r="K6281" t="s" s="2">
        <v>22</v>
      </c>
      <c r="L6281" t="s" s="2">
        <v>22</v>
      </c>
      <c r="M6281" t="s" s="2">
        <v>22</v>
      </c>
    </row>
    <row r="6282" ht="25.0" customHeight="true">
      <c r="A6282" t="s" s="2">
        <v>13</v>
      </c>
      <c r="B6282" t="s" s="2">
        <f>HYPERLINK("http://ts.21cn.com/tousu/show/id/1366548","在淘集集的2000元保证金退不了")</f>
      </c>
      <c r="C6282" t="s" s="2">
        <v>15</v>
      </c>
      <c r="D6282" t="s" s="2">
        <v>16</v>
      </c>
      <c r="E6282" t="s" s="2">
        <v>17</v>
      </c>
      <c r="F6282" t="s" s="2">
        <f>HYPERLINK("http://ts.21cn.com/tousu/show/id/1366548","http://ts.21cn.com/tousu/show/id/1366548")</f>
      </c>
      <c r="G6282" t="s" s="2">
        <v>17</v>
      </c>
      <c r="H6282" t="s" s="2">
        <v>19</v>
      </c>
      <c r="I6282" t="s" s="2">
        <v>24308</v>
      </c>
      <c r="J6282" t="s" s="2">
        <v>24309</v>
      </c>
      <c r="K6282" t="s" s="2">
        <v>22</v>
      </c>
      <c r="L6282" t="s" s="2">
        <v>22</v>
      </c>
      <c r="M6282" t="s" s="2">
        <v>22</v>
      </c>
    </row>
    <row r="6283" ht="25.0" customHeight="true">
      <c r="A6283" t="s" s="2">
        <v>13</v>
      </c>
      <c r="B6283" t="s" s="2">
        <f>HYPERLINK("http://ts.21cn.com/tousu/show/id/1366546","贷上钱暴力催收，骚扰通讯录好友，")</f>
      </c>
      <c r="C6283" t="s" s="2">
        <v>15</v>
      </c>
      <c r="D6283" t="s" s="2">
        <v>16</v>
      </c>
      <c r="E6283" t="s" s="2">
        <v>17</v>
      </c>
      <c r="F6283" t="s" s="2">
        <f>HYPERLINK("http://ts.21cn.com/tousu/show/id/1366546","http://ts.21cn.com/tousu/show/id/1366546")</f>
      </c>
      <c r="G6283" t="s" s="2">
        <v>17</v>
      </c>
      <c r="H6283" t="s" s="2">
        <v>19</v>
      </c>
      <c r="I6283" t="s" s="2">
        <v>24312</v>
      </c>
      <c r="J6283" t="s" s="2">
        <v>24313</v>
      </c>
      <c r="K6283" t="s" s="2">
        <v>22</v>
      </c>
      <c r="L6283" t="s" s="2">
        <v>22</v>
      </c>
      <c r="M6283" t="s" s="2">
        <v>22</v>
      </c>
    </row>
    <row r="6284" ht="25.0" customHeight="true">
      <c r="A6284" t="s" s="2">
        <v>13</v>
      </c>
      <c r="B6284" t="s" s="2">
        <f>HYPERLINK("http://ts.21cn.com/tousu/show/id/1366545","豹子贷恶意扣款")</f>
      </c>
      <c r="C6284" t="s" s="2">
        <v>15</v>
      </c>
      <c r="D6284" t="s" s="2">
        <v>16</v>
      </c>
      <c r="E6284" t="s" s="2">
        <v>17</v>
      </c>
      <c r="F6284" t="s" s="2">
        <f>HYPERLINK("http://ts.21cn.com/tousu/show/id/1366545","http://ts.21cn.com/tousu/show/id/1366545")</f>
      </c>
      <c r="G6284" t="s" s="2">
        <v>17</v>
      </c>
      <c r="H6284" t="s" s="2">
        <v>19</v>
      </c>
      <c r="I6284" t="s" s="2">
        <v>24315</v>
      </c>
      <c r="J6284" t="s" s="2">
        <v>24316</v>
      </c>
      <c r="K6284" t="s" s="2">
        <v>22</v>
      </c>
      <c r="L6284" t="s" s="2">
        <v>22</v>
      </c>
      <c r="M6284" t="s" s="2">
        <v>22</v>
      </c>
    </row>
    <row r="6285" ht="25.0" customHeight="true">
      <c r="A6285" t="s" s="2">
        <v>13</v>
      </c>
      <c r="B6285" t="s" s="2">
        <f>HYPERLINK("http://ts.21cn.com/tousu/show/id/1366544","搜狐视频app活动奖品7个月了不发放")</f>
      </c>
      <c r="C6285" t="s" s="2">
        <v>15</v>
      </c>
      <c r="D6285" t="s" s="2">
        <v>16</v>
      </c>
      <c r="E6285" t="s" s="2">
        <v>17</v>
      </c>
      <c r="F6285" t="s" s="2">
        <f>HYPERLINK("http://ts.21cn.com/tousu/show/id/1366544","http://ts.21cn.com/tousu/show/id/1366544")</f>
      </c>
      <c r="G6285" t="s" s="2">
        <v>17</v>
      </c>
      <c r="H6285" t="s" s="2">
        <v>19</v>
      </c>
      <c r="I6285" t="s" s="2">
        <v>24319</v>
      </c>
      <c r="J6285" t="s" s="2">
        <v>24320</v>
      </c>
      <c r="K6285" t="s" s="2">
        <v>22</v>
      </c>
      <c r="L6285" t="s" s="2">
        <v>22</v>
      </c>
      <c r="M6285" t="s" s="2">
        <v>22</v>
      </c>
    </row>
    <row r="6286" ht="25.0" customHeight="true">
      <c r="A6286" t="s" s="2">
        <v>13</v>
      </c>
      <c r="B6286" t="s" s="2">
        <f>HYPERLINK("http://ts.21cn.com/tousu/show/id/1366542","随意扣用户卡面的钱，霸王条款")</f>
      </c>
      <c r="C6286" t="s" s="2">
        <v>15</v>
      </c>
      <c r="D6286" t="s" s="2">
        <v>16</v>
      </c>
      <c r="E6286" t="s" s="2">
        <v>17</v>
      </c>
      <c r="F6286" t="s" s="2">
        <f>HYPERLINK("http://ts.21cn.com/tousu/show/id/1366542","http://ts.21cn.com/tousu/show/id/1366542")</f>
      </c>
      <c r="G6286" t="s" s="2">
        <v>17</v>
      </c>
      <c r="H6286" t="s" s="2">
        <v>19</v>
      </c>
      <c r="I6286" t="s" s="2">
        <v>24323</v>
      </c>
      <c r="J6286" t="s" s="2">
        <v>24324</v>
      </c>
      <c r="K6286" t="s" s="2">
        <v>22</v>
      </c>
      <c r="L6286" t="s" s="2">
        <v>22</v>
      </c>
      <c r="M6286" t="s" s="2">
        <v>22</v>
      </c>
    </row>
    <row r="6287" ht="25.0" customHeight="true">
      <c r="A6287" t="s" s="2">
        <v>13</v>
      </c>
      <c r="B6287" t="s" s="2">
        <f>HYPERLINK("http://ts.21cn.com/tousu/show/id/1366508","360金融互联网消费金融冒充公检法，骚扰亲属，高收高额利息")</f>
      </c>
      <c r="C6287" t="s" s="2">
        <v>15</v>
      </c>
      <c r="D6287" t="s" s="2">
        <v>16</v>
      </c>
      <c r="E6287" t="s" s="2">
        <v>17</v>
      </c>
      <c r="F6287" t="s" s="2">
        <f>HYPERLINK("http://ts.21cn.com/tousu/show/id/1366508","http://ts.21cn.com/tousu/show/id/1366508")</f>
      </c>
      <c r="G6287" t="s" s="2">
        <v>17</v>
      </c>
      <c r="H6287" t="s" s="2">
        <v>19</v>
      </c>
      <c r="I6287" t="s" s="2">
        <v>24327</v>
      </c>
      <c r="J6287" t="s" s="2">
        <v>24328</v>
      </c>
      <c r="K6287" t="s" s="2">
        <v>22</v>
      </c>
      <c r="L6287" t="s" s="2">
        <v>22</v>
      </c>
      <c r="M6287" t="s" s="2">
        <v>22</v>
      </c>
    </row>
    <row r="6288" ht="25.0" customHeight="true">
      <c r="A6288" t="s" s="2">
        <v>13</v>
      </c>
      <c r="B6288" t="s" s="2">
        <f>HYPERLINK("http://ts.21cn.com/tousu/show/id/1366539","钱站高利贷")</f>
      </c>
      <c r="C6288" t="s" s="2">
        <v>15</v>
      </c>
      <c r="D6288" t="s" s="2">
        <v>16</v>
      </c>
      <c r="E6288" t="s" s="2">
        <v>17</v>
      </c>
      <c r="F6288" t="s" s="2">
        <f>HYPERLINK("http://ts.21cn.com/tousu/show/id/1366539","http://ts.21cn.com/tousu/show/id/1366539")</f>
      </c>
      <c r="G6288" t="s" s="2">
        <v>17</v>
      </c>
      <c r="H6288" t="s" s="2">
        <v>19</v>
      </c>
      <c r="I6288" t="s" s="2">
        <v>24330</v>
      </c>
      <c r="J6288" t="s" s="2">
        <v>24331</v>
      </c>
      <c r="K6288" t="s" s="2">
        <v>22</v>
      </c>
      <c r="L6288" t="s" s="2">
        <v>22</v>
      </c>
      <c r="M6288" t="s" s="2">
        <v>22</v>
      </c>
    </row>
    <row r="6289" ht="25.0" customHeight="true">
      <c r="A6289" t="s" s="2">
        <v>13</v>
      </c>
      <c r="B6289" t="s" s="2">
        <f>HYPERLINK("http://ts.21cn.com/tousu/show/id/1366538","程咬金借款高利贷套路贷")</f>
      </c>
      <c r="C6289" t="s" s="2">
        <v>15</v>
      </c>
      <c r="D6289" t="s" s="2">
        <v>16</v>
      </c>
      <c r="E6289" t="s" s="2">
        <v>17</v>
      </c>
      <c r="F6289" t="s" s="2">
        <f>HYPERLINK("http://ts.21cn.com/tousu/show/id/1366538","http://ts.21cn.com/tousu/show/id/1366538")</f>
      </c>
      <c r="G6289" t="s" s="2">
        <v>17</v>
      </c>
      <c r="H6289" t="s" s="2">
        <v>19</v>
      </c>
      <c r="I6289" t="s" s="2">
        <v>24334</v>
      </c>
      <c r="J6289" t="s" s="2">
        <v>24335</v>
      </c>
      <c r="K6289" t="s" s="2">
        <v>22</v>
      </c>
      <c r="L6289" t="s" s="2">
        <v>22</v>
      </c>
      <c r="M6289" t="s" s="2">
        <v>22</v>
      </c>
    </row>
    <row r="6290" ht="25.0" customHeight="true">
      <c r="A6290" t="s" s="2">
        <v>13</v>
      </c>
      <c r="B6290" t="s" s="2">
        <f>HYPERLINK("http://ts.21cn.com/tousu/show/id/1366427","浦发银行信用卡电话轰炸骚扰本人以及家人")</f>
      </c>
      <c r="C6290" t="s" s="2">
        <v>15</v>
      </c>
      <c r="D6290" t="s" s="2">
        <v>16</v>
      </c>
      <c r="E6290" t="s" s="2">
        <v>17</v>
      </c>
      <c r="F6290" t="s" s="2">
        <f>HYPERLINK("http://ts.21cn.com/tousu/show/id/1366427","http://ts.21cn.com/tousu/show/id/1366427")</f>
      </c>
      <c r="G6290" t="s" s="2">
        <v>17</v>
      </c>
      <c r="H6290" t="s" s="2">
        <v>19</v>
      </c>
      <c r="I6290" t="s" s="2">
        <v>24338</v>
      </c>
      <c r="J6290" t="s" s="2">
        <v>24339</v>
      </c>
      <c r="K6290" t="s" s="2">
        <v>22</v>
      </c>
      <c r="L6290" t="s" s="2">
        <v>22</v>
      </c>
      <c r="M6290" t="s" s="2">
        <v>22</v>
      </c>
    </row>
    <row r="6291" ht="25.0" customHeight="true">
      <c r="A6291" t="s" s="2">
        <v>13</v>
      </c>
      <c r="B6291" t="s" s="2">
        <f>HYPERLINK("http://ts.21cn.com/tousu/show/id/1366537","高利贷！变相砍头息")</f>
      </c>
      <c r="C6291" t="s" s="2">
        <v>15</v>
      </c>
      <c r="D6291" t="s" s="2">
        <v>16</v>
      </c>
      <c r="E6291" t="s" s="2">
        <v>17</v>
      </c>
      <c r="F6291" t="s" s="2">
        <f>HYPERLINK("http://ts.21cn.com/tousu/show/id/1366537","http://ts.21cn.com/tousu/show/id/1366537")</f>
      </c>
      <c r="G6291" t="s" s="2">
        <v>17</v>
      </c>
      <c r="H6291" t="s" s="2">
        <v>19</v>
      </c>
      <c r="I6291" t="s" s="2">
        <v>24338</v>
      </c>
      <c r="J6291" t="s" s="2">
        <v>24342</v>
      </c>
      <c r="K6291" t="s" s="2">
        <v>22</v>
      </c>
      <c r="L6291" t="s" s="2">
        <v>22</v>
      </c>
      <c r="M6291" t="s" s="2">
        <v>22</v>
      </c>
    </row>
    <row r="6292" ht="25.0" customHeight="true">
      <c r="A6292" t="s" s="2">
        <v>13</v>
      </c>
      <c r="B6292" t="s" s="2">
        <f>HYPERLINK("http://ts.21cn.com/tousu/show/id/1366536","摇钱花原名小赢钱包欺诈分期利息。")</f>
      </c>
      <c r="C6292" t="s" s="2">
        <v>15</v>
      </c>
      <c r="D6292" t="s" s="2">
        <v>16</v>
      </c>
      <c r="E6292" t="s" s="2">
        <v>17</v>
      </c>
      <c r="F6292" t="s" s="2">
        <f>HYPERLINK("http://ts.21cn.com/tousu/show/id/1366536","http://ts.21cn.com/tousu/show/id/1366536")</f>
      </c>
      <c r="G6292" t="s" s="2">
        <v>17</v>
      </c>
      <c r="H6292" t="s" s="2">
        <v>19</v>
      </c>
      <c r="I6292" t="s" s="2">
        <v>24345</v>
      </c>
      <c r="J6292" t="s" s="2">
        <v>24346</v>
      </c>
      <c r="K6292" t="s" s="2">
        <v>22</v>
      </c>
      <c r="L6292" t="s" s="2">
        <v>22</v>
      </c>
      <c r="M6292" t="s" s="2">
        <v>22</v>
      </c>
    </row>
    <row r="6293" ht="25.0" customHeight="true">
      <c r="A6293" t="s" s="2">
        <v>13</v>
      </c>
      <c r="B6293" t="s" s="2">
        <f>HYPERLINK("http://ts.21cn.com/tousu/show/id/1366535","海尔微波炉不按照时间发货")</f>
      </c>
      <c r="C6293" t="s" s="2">
        <v>52</v>
      </c>
      <c r="D6293" t="s" s="2">
        <v>16</v>
      </c>
      <c r="E6293" t="s" s="2">
        <v>17</v>
      </c>
      <c r="F6293" t="s" s="2">
        <f>HYPERLINK("http://ts.21cn.com/tousu/show/id/1366535","http://ts.21cn.com/tousu/show/id/1366535")</f>
      </c>
      <c r="G6293" t="s" s="2">
        <v>17</v>
      </c>
      <c r="H6293" t="s" s="2">
        <v>19</v>
      </c>
      <c r="I6293" t="s" s="2">
        <v>24349</v>
      </c>
      <c r="J6293" t="s" s="2">
        <v>24350</v>
      </c>
      <c r="K6293" t="s" s="2">
        <v>22</v>
      </c>
      <c r="L6293" t="s" s="2">
        <v>22</v>
      </c>
      <c r="M6293" t="s" s="2">
        <v>22</v>
      </c>
    </row>
    <row r="6294" ht="25.0" customHeight="true">
      <c r="A6294" t="s" s="2">
        <v>13</v>
      </c>
      <c r="B6294" t="s" s="2">
        <f>HYPERLINK("http://ts.21cn.com/tousu/show/id/1366534","闪银")</f>
      </c>
      <c r="C6294" t="s" s="2">
        <v>52</v>
      </c>
      <c r="D6294" t="s" s="2">
        <v>16</v>
      </c>
      <c r="E6294" t="s" s="2">
        <v>17</v>
      </c>
      <c r="F6294" t="s" s="2">
        <f>HYPERLINK("http://ts.21cn.com/tousu/show/id/1366534","http://ts.21cn.com/tousu/show/id/1366534")</f>
      </c>
      <c r="G6294" t="s" s="2">
        <v>17</v>
      </c>
      <c r="H6294" t="s" s="2">
        <v>19</v>
      </c>
      <c r="I6294" t="s" s="2">
        <v>24353</v>
      </c>
      <c r="J6294" t="s" s="2">
        <v>24354</v>
      </c>
      <c r="K6294" t="s" s="2">
        <v>22</v>
      </c>
      <c r="L6294" t="s" s="2">
        <v>22</v>
      </c>
      <c r="M6294" t="s" s="2">
        <v>22</v>
      </c>
    </row>
    <row r="6295" ht="25.0" customHeight="true">
      <c r="A6295" t="s" s="2">
        <v>13</v>
      </c>
      <c r="B6295" t="s" s="2">
        <f>HYPERLINK("http://ts.21cn.com/tousu/show/id/1366533","我已经倾家荡产，家里只有二姐有钱，我们一家求二姐，她一分都没借给我？")</f>
      </c>
      <c r="C6295" t="s" s="2">
        <v>15</v>
      </c>
      <c r="D6295" t="s" s="2">
        <v>16</v>
      </c>
      <c r="E6295" t="s" s="2">
        <v>17</v>
      </c>
      <c r="F6295" t="s" s="2">
        <f>HYPERLINK("http://ts.21cn.com/tousu/show/id/1366533","http://ts.21cn.com/tousu/show/id/1366533")</f>
      </c>
      <c r="G6295" t="s" s="2">
        <v>17</v>
      </c>
      <c r="H6295" t="s" s="2">
        <v>19</v>
      </c>
      <c r="I6295" t="s" s="2">
        <v>24357</v>
      </c>
      <c r="J6295" t="s" s="2">
        <v>24358</v>
      </c>
      <c r="K6295" t="s" s="2">
        <v>22</v>
      </c>
      <c r="L6295" t="s" s="2">
        <v>22</v>
      </c>
      <c r="M6295" t="s" s="2">
        <v>22</v>
      </c>
    </row>
    <row r="6296" ht="25.0" customHeight="true">
      <c r="A6296" t="s" s="2">
        <v>13</v>
      </c>
      <c r="B6296" t="s" s="2">
        <f>HYPERLINK("http://ts.21cn.com/tousu/show/id/1366531","借款金额和实际到账不符，利息太高")</f>
      </c>
      <c r="C6296" t="s" s="2">
        <v>15</v>
      </c>
      <c r="D6296" t="s" s="2">
        <v>16</v>
      </c>
      <c r="E6296" t="s" s="2">
        <v>17</v>
      </c>
      <c r="F6296" t="s" s="2">
        <f>HYPERLINK("http://ts.21cn.com/tousu/show/id/1366531","http://ts.21cn.com/tousu/show/id/1366531")</f>
      </c>
      <c r="G6296" t="s" s="2">
        <v>17</v>
      </c>
      <c r="H6296" t="s" s="2">
        <v>19</v>
      </c>
      <c r="I6296" t="s" s="2">
        <v>24361</v>
      </c>
      <c r="J6296" t="s" s="2">
        <v>24362</v>
      </c>
      <c r="K6296" t="s" s="2">
        <v>22</v>
      </c>
      <c r="L6296" t="s" s="2">
        <v>22</v>
      </c>
      <c r="M6296" t="s" s="2">
        <v>22</v>
      </c>
    </row>
    <row r="6297" ht="25.0" customHeight="true">
      <c r="A6297" t="s" s="2">
        <v>13</v>
      </c>
      <c r="B6297" t="s" s="2">
        <f>HYPERLINK("http://ts.21cn.com/tousu/show/id/1366528","反复借了几次，还的钱比本多了")</f>
      </c>
      <c r="C6297" t="s" s="2">
        <v>52</v>
      </c>
      <c r="D6297" t="s" s="2">
        <v>16</v>
      </c>
      <c r="E6297" t="s" s="2">
        <v>17</v>
      </c>
      <c r="F6297" t="s" s="2">
        <f>HYPERLINK("http://ts.21cn.com/tousu/show/id/1366528","http://ts.21cn.com/tousu/show/id/1366528")</f>
      </c>
      <c r="G6297" t="s" s="2">
        <v>17</v>
      </c>
      <c r="H6297" t="s" s="2">
        <v>19</v>
      </c>
      <c r="I6297" t="s" s="2">
        <v>24365</v>
      </c>
      <c r="J6297" t="s" s="2">
        <v>24366</v>
      </c>
      <c r="K6297" t="s" s="2">
        <v>22</v>
      </c>
      <c r="L6297" t="s" s="2">
        <v>22</v>
      </c>
      <c r="M6297" t="s" s="2">
        <v>22</v>
      </c>
    </row>
    <row r="6298" ht="25.0" customHeight="true">
      <c r="A6298" t="s" s="2">
        <v>13</v>
      </c>
      <c r="B6298" t="s" s="2">
        <f>HYPERLINK("http://ts.21cn.com/tousu/show/id/1366527","拒绝发放离职员工工资")</f>
      </c>
      <c r="C6298" t="s" s="2">
        <v>15</v>
      </c>
      <c r="D6298" t="s" s="2">
        <v>16</v>
      </c>
      <c r="E6298" t="s" s="2">
        <v>17</v>
      </c>
      <c r="F6298" t="s" s="2">
        <f>HYPERLINK("http://ts.21cn.com/tousu/show/id/1366527","http://ts.21cn.com/tousu/show/id/1366527")</f>
      </c>
      <c r="G6298" t="s" s="2">
        <v>17</v>
      </c>
      <c r="H6298" t="s" s="2">
        <v>19</v>
      </c>
      <c r="I6298" t="s" s="2">
        <v>24369</v>
      </c>
      <c r="J6298" t="s" s="2">
        <v>24370</v>
      </c>
      <c r="K6298" t="s" s="2">
        <v>22</v>
      </c>
      <c r="L6298" t="s" s="2">
        <v>22</v>
      </c>
      <c r="M6298" t="s" s="2">
        <v>22</v>
      </c>
    </row>
    <row r="6299" ht="25.0" customHeight="true">
      <c r="A6299" t="s" s="2">
        <v>13</v>
      </c>
      <c r="B6299" t="s" s="2">
        <f>HYPERLINK("http://ts.21cn.com/tousu/show/id/1366525","处理一半后续退款至今没人处理")</f>
      </c>
      <c r="C6299" t="s" s="2">
        <v>15</v>
      </c>
      <c r="D6299" t="s" s="2">
        <v>16</v>
      </c>
      <c r="E6299" t="s" s="2">
        <v>17</v>
      </c>
      <c r="F6299" t="s" s="2">
        <f>HYPERLINK("http://ts.21cn.com/tousu/show/id/1366525","http://ts.21cn.com/tousu/show/id/1366525")</f>
      </c>
      <c r="G6299" t="s" s="2">
        <v>17</v>
      </c>
      <c r="H6299" t="s" s="2">
        <v>19</v>
      </c>
      <c r="I6299" t="s" s="2">
        <v>24373</v>
      </c>
      <c r="J6299" t="s" s="2">
        <v>24374</v>
      </c>
      <c r="K6299" t="s" s="2">
        <v>22</v>
      </c>
      <c r="L6299" t="s" s="2">
        <v>22</v>
      </c>
      <c r="M6299" t="s" s="2">
        <v>22</v>
      </c>
    </row>
    <row r="6300" ht="25.0" customHeight="true">
      <c r="A6300" t="s" s="2">
        <v>13</v>
      </c>
      <c r="B6300" t="s" s="2">
        <f>HYPERLINK("http://ts.21cn.com/tousu/show/id/1366526","分期乐爆通讯录")</f>
      </c>
      <c r="C6300" t="s" s="2">
        <v>15</v>
      </c>
      <c r="D6300" t="s" s="2">
        <v>16</v>
      </c>
      <c r="E6300" t="s" s="2">
        <v>17</v>
      </c>
      <c r="F6300" t="s" s="2">
        <f>HYPERLINK("http://ts.21cn.com/tousu/show/id/1366526","http://ts.21cn.com/tousu/show/id/1366526")</f>
      </c>
      <c r="G6300" t="s" s="2">
        <v>17</v>
      </c>
      <c r="H6300" t="s" s="2">
        <v>19</v>
      </c>
      <c r="I6300" t="s" s="2">
        <v>24377</v>
      </c>
      <c r="J6300" t="s" s="2">
        <v>24378</v>
      </c>
      <c r="K6300" t="s" s="2">
        <v>22</v>
      </c>
      <c r="L6300" t="s" s="2">
        <v>22</v>
      </c>
      <c r="M6300" t="s" s="2">
        <v>22</v>
      </c>
    </row>
    <row r="6301" ht="25.0" customHeight="true">
      <c r="A6301" t="s" s="2">
        <v>13</v>
      </c>
      <c r="B6301" t="s" s="2">
        <f>HYPERLINK("http://ts.21cn.com/tousu/show/id/1366523","投诉南京天丰大厦黑中介红满园置业")</f>
      </c>
      <c r="C6301" t="s" s="2">
        <v>15</v>
      </c>
      <c r="D6301" t="s" s="2">
        <v>16</v>
      </c>
      <c r="E6301" t="s" s="2">
        <v>17</v>
      </c>
      <c r="F6301" t="s" s="2">
        <f>HYPERLINK("http://ts.21cn.com/tousu/show/id/1366523","http://ts.21cn.com/tousu/show/id/1366523")</f>
      </c>
      <c r="G6301" t="s" s="2">
        <v>17</v>
      </c>
      <c r="H6301" t="s" s="2">
        <v>19</v>
      </c>
      <c r="I6301" t="s" s="2">
        <v>24377</v>
      </c>
      <c r="J6301" t="s" s="2">
        <v>24381</v>
      </c>
      <c r="K6301" t="s" s="2">
        <v>22</v>
      </c>
      <c r="L6301" t="s" s="2">
        <v>22</v>
      </c>
      <c r="M6301" t="s" s="2">
        <v>22</v>
      </c>
    </row>
    <row r="6302" ht="25.0" customHeight="true">
      <c r="A6302" t="s" s="2">
        <v>13</v>
      </c>
      <c r="B6302" t="s" s="2">
        <f>HYPERLINK("http://ts.21cn.com/tousu/show/id/1366522","桓昌桓易贷乱扣款，骚扰家人")</f>
      </c>
      <c r="C6302" t="s" s="2">
        <v>15</v>
      </c>
      <c r="D6302" t="s" s="2">
        <v>16</v>
      </c>
      <c r="E6302" t="s" s="2">
        <v>17</v>
      </c>
      <c r="F6302" t="s" s="2">
        <f>HYPERLINK("http://ts.21cn.com/tousu/show/id/1366522","http://ts.21cn.com/tousu/show/id/1366522")</f>
      </c>
      <c r="G6302" t="s" s="2">
        <v>17</v>
      </c>
      <c r="H6302" t="s" s="2">
        <v>19</v>
      </c>
      <c r="I6302" t="s" s="2">
        <v>24384</v>
      </c>
      <c r="J6302" t="s" s="2">
        <v>24385</v>
      </c>
      <c r="K6302" t="s" s="2">
        <v>22</v>
      </c>
      <c r="L6302" t="s" s="2">
        <v>22</v>
      </c>
      <c r="M6302" t="s" s="2">
        <v>22</v>
      </c>
    </row>
    <row r="6303" ht="25.0" customHeight="true">
      <c r="A6303" t="s" s="2">
        <v>13</v>
      </c>
      <c r="B6303" t="s" s="2">
        <f>HYPERLINK("http://ts.21cn.com/tousu/show/id/1366524","圆通快递包裹一直停在一个地方起码有一天半了")</f>
      </c>
      <c r="C6303" t="s" s="2">
        <v>15</v>
      </c>
      <c r="D6303" t="s" s="2">
        <v>16</v>
      </c>
      <c r="E6303" t="s" s="2">
        <v>17</v>
      </c>
      <c r="F6303" t="s" s="2">
        <f>HYPERLINK("http://ts.21cn.com/tousu/show/id/1366524","http://ts.21cn.com/tousu/show/id/1366524")</f>
      </c>
      <c r="G6303" t="s" s="2">
        <v>17</v>
      </c>
      <c r="H6303" t="s" s="2">
        <v>19</v>
      </c>
      <c r="I6303" t="s" s="2">
        <v>24388</v>
      </c>
      <c r="J6303" t="s" s="2">
        <v>24389</v>
      </c>
      <c r="K6303" t="s" s="2">
        <v>22</v>
      </c>
      <c r="L6303" t="s" s="2">
        <v>22</v>
      </c>
      <c r="M6303" t="s" s="2">
        <v>22</v>
      </c>
    </row>
    <row r="6304" ht="25.0" customHeight="true">
      <c r="A6304" t="s" s="2">
        <v>13</v>
      </c>
      <c r="B6304" t="s" s="2">
        <f>HYPERLINK("http://ts.21cn.com/tousu/show/id/1366520","网贷高炮")</f>
      </c>
      <c r="C6304" t="s" s="2">
        <v>52</v>
      </c>
      <c r="D6304" t="s" s="2">
        <v>16</v>
      </c>
      <c r="E6304" t="s" s="2">
        <v>17</v>
      </c>
      <c r="F6304" t="s" s="2">
        <f>HYPERLINK("http://ts.21cn.com/tousu/show/id/1366520","http://ts.21cn.com/tousu/show/id/1366520")</f>
      </c>
      <c r="G6304" t="s" s="2">
        <v>17</v>
      </c>
      <c r="H6304" t="s" s="2">
        <v>19</v>
      </c>
      <c r="I6304" t="s" s="2">
        <v>24392</v>
      </c>
      <c r="J6304" t="s" s="2">
        <v>24393</v>
      </c>
      <c r="K6304" t="s" s="2">
        <v>22</v>
      </c>
      <c r="L6304" t="s" s="2">
        <v>22</v>
      </c>
      <c r="M6304" t="s" s="2">
        <v>22</v>
      </c>
    </row>
    <row r="6305" ht="25.0" customHeight="true">
      <c r="A6305" t="s" s="2">
        <v>13</v>
      </c>
      <c r="B6305" t="s" s="2">
        <f>HYPERLINK("http://ts.21cn.com/tousu/show/id/1366517","盗刷，无故扣款")</f>
      </c>
      <c r="C6305" t="s" s="2">
        <v>15</v>
      </c>
      <c r="D6305" t="s" s="2">
        <v>16</v>
      </c>
      <c r="E6305" t="s" s="2">
        <v>17</v>
      </c>
      <c r="F6305" t="s" s="2">
        <f>HYPERLINK("http://ts.21cn.com/tousu/show/id/1366517","http://ts.21cn.com/tousu/show/id/1366517")</f>
      </c>
      <c r="G6305" t="s" s="2">
        <v>17</v>
      </c>
      <c r="H6305" t="s" s="2">
        <v>19</v>
      </c>
      <c r="I6305" t="s" s="2">
        <v>24396</v>
      </c>
      <c r="J6305" t="s" s="2">
        <v>24397</v>
      </c>
      <c r="K6305" t="s" s="2">
        <v>22</v>
      </c>
      <c r="L6305" t="s" s="2">
        <v>22</v>
      </c>
      <c r="M6305" t="s" s="2">
        <v>22</v>
      </c>
    </row>
    <row r="6306" ht="25.0" customHeight="true">
      <c r="A6306" t="s" s="2">
        <v>13</v>
      </c>
      <c r="B6306" t="s" s="2">
        <f>HYPERLINK("http://ts.21cn.com/tousu/show/id/1366518","钱站就是高利贷")</f>
      </c>
      <c r="C6306" t="s" s="2">
        <v>15</v>
      </c>
      <c r="D6306" t="s" s="2">
        <v>16</v>
      </c>
      <c r="E6306" t="s" s="2">
        <v>17</v>
      </c>
      <c r="F6306" t="s" s="2">
        <f>HYPERLINK("http://ts.21cn.com/tousu/show/id/1366518","http://ts.21cn.com/tousu/show/id/1366518")</f>
      </c>
      <c r="G6306" t="s" s="2">
        <v>17</v>
      </c>
      <c r="H6306" t="s" s="2">
        <v>19</v>
      </c>
      <c r="I6306" t="s" s="2">
        <v>24400</v>
      </c>
      <c r="J6306" t="s" s="2">
        <v>24401</v>
      </c>
      <c r="K6306" t="s" s="2">
        <v>22</v>
      </c>
      <c r="L6306" t="s" s="2">
        <v>22</v>
      </c>
      <c r="M6306" t="s" s="2">
        <v>22</v>
      </c>
    </row>
    <row r="6307" ht="25.0" customHeight="true">
      <c r="A6307" t="s" s="2">
        <v>13</v>
      </c>
      <c r="B6307" t="s" s="2">
        <f>HYPERLINK("http://ts.21cn.com/tousu/show/id/1366516","高利贷，暴力催收")</f>
      </c>
      <c r="C6307" t="s" s="2">
        <v>15</v>
      </c>
      <c r="D6307" t="s" s="2">
        <v>16</v>
      </c>
      <c r="E6307" t="s" s="2">
        <v>17</v>
      </c>
      <c r="F6307" t="s" s="2">
        <f>HYPERLINK("http://ts.21cn.com/tousu/show/id/1366516","http://ts.21cn.com/tousu/show/id/1366516")</f>
      </c>
      <c r="G6307" t="s" s="2">
        <v>17</v>
      </c>
      <c r="H6307" t="s" s="2">
        <v>19</v>
      </c>
      <c r="I6307" t="s" s="2">
        <v>24403</v>
      </c>
      <c r="J6307" t="s" s="2">
        <v>24404</v>
      </c>
      <c r="K6307" t="s" s="2">
        <v>22</v>
      </c>
      <c r="L6307" t="s" s="2">
        <v>22</v>
      </c>
      <c r="M6307" t="s" s="2">
        <v>22</v>
      </c>
    </row>
    <row r="6308" ht="25.0" customHeight="true">
      <c r="A6308" t="s" s="2">
        <v>13</v>
      </c>
      <c r="B6308" t="s" s="2">
        <f>HYPERLINK("http://ts.21cn.com/tousu/show/id/1366515","新橙优品催收联系人")</f>
      </c>
      <c r="C6308" t="s" s="2">
        <v>15</v>
      </c>
      <c r="D6308" t="s" s="2">
        <v>16</v>
      </c>
      <c r="E6308" t="s" s="2">
        <v>17</v>
      </c>
      <c r="F6308" t="s" s="2">
        <f>HYPERLINK("http://ts.21cn.com/tousu/show/id/1366515","http://ts.21cn.com/tousu/show/id/1366515")</f>
      </c>
      <c r="G6308" t="s" s="2">
        <v>17</v>
      </c>
      <c r="H6308" t="s" s="2">
        <v>19</v>
      </c>
      <c r="I6308" t="s" s="2">
        <v>24407</v>
      </c>
      <c r="J6308" t="s" s="2">
        <v>24408</v>
      </c>
      <c r="K6308" t="s" s="2">
        <v>22</v>
      </c>
      <c r="L6308" t="s" s="2">
        <v>22</v>
      </c>
      <c r="M6308" t="s" s="2">
        <v>22</v>
      </c>
    </row>
    <row r="6309" ht="25.0" customHeight="true">
      <c r="A6309" t="s" s="2">
        <v>13</v>
      </c>
      <c r="B6309" t="s" s="2">
        <f>HYPERLINK("http://ts.21cn.com/tousu/show/id/1366514","中国建设银行快贷催收疯狂打电话")</f>
      </c>
      <c r="C6309" t="s" s="2">
        <v>15</v>
      </c>
      <c r="D6309" t="s" s="2">
        <v>16</v>
      </c>
      <c r="E6309" t="s" s="2">
        <v>17</v>
      </c>
      <c r="F6309" t="s" s="2">
        <f>HYPERLINK("http://ts.21cn.com/tousu/show/id/1366514","http://ts.21cn.com/tousu/show/id/1366514")</f>
      </c>
      <c r="G6309" t="s" s="2">
        <v>17</v>
      </c>
      <c r="H6309" t="s" s="2">
        <v>19</v>
      </c>
      <c r="I6309" t="s" s="2">
        <v>24411</v>
      </c>
      <c r="J6309" t="s" s="2">
        <v>24412</v>
      </c>
      <c r="K6309" t="s" s="2">
        <v>22</v>
      </c>
      <c r="L6309" t="s" s="2">
        <v>22</v>
      </c>
      <c r="M6309" t="s" s="2">
        <v>22</v>
      </c>
    </row>
    <row r="6310" ht="25.0" customHeight="true">
      <c r="A6310" t="s" s="2">
        <v>13</v>
      </c>
      <c r="B6310" t="s" s="2">
        <f>HYPERLINK("http://ts.21cn.com/tousu/show/id/1366513","微粒贷不顾本人家里父母情况，不一次性解决就上门")</f>
      </c>
      <c r="C6310" t="s" s="2">
        <v>15</v>
      </c>
      <c r="D6310" t="s" s="2">
        <v>16</v>
      </c>
      <c r="E6310" t="s" s="2">
        <v>17</v>
      </c>
      <c r="F6310" t="s" s="2">
        <f>HYPERLINK("http://ts.21cn.com/tousu/show/id/1366513","http://ts.21cn.com/tousu/show/id/1366513")</f>
      </c>
      <c r="G6310" t="s" s="2">
        <v>17</v>
      </c>
      <c r="H6310" t="s" s="2">
        <v>19</v>
      </c>
      <c r="I6310" t="s" s="2">
        <v>24415</v>
      </c>
      <c r="J6310" t="s" s="2">
        <v>24416</v>
      </c>
      <c r="K6310" t="s" s="2">
        <v>22</v>
      </c>
      <c r="L6310" t="s" s="2">
        <v>22</v>
      </c>
      <c r="M6310" t="s" s="2">
        <v>22</v>
      </c>
    </row>
    <row r="6311" ht="25.0" customHeight="true">
      <c r="A6311" t="s" s="2">
        <v>13</v>
      </c>
      <c r="B6311" t="s" s="2">
        <f>HYPERLINK("http://ts.21cn.com/tousu/show/id/1366512","我来贷虚假合同，且不能提前还款，收取高额利息")</f>
      </c>
      <c r="C6311" t="s" s="2">
        <v>15</v>
      </c>
      <c r="D6311" t="s" s="2">
        <v>16</v>
      </c>
      <c r="E6311" t="s" s="2">
        <v>17</v>
      </c>
      <c r="F6311" t="s" s="2">
        <f>HYPERLINK("http://ts.21cn.com/tousu/show/id/1366512","http://ts.21cn.com/tousu/show/id/1366512")</f>
      </c>
      <c r="G6311" t="s" s="2">
        <v>17</v>
      </c>
      <c r="H6311" t="s" s="2">
        <v>19</v>
      </c>
      <c r="I6311" t="s" s="2">
        <v>24419</v>
      </c>
      <c r="J6311" t="s" s="2">
        <v>24420</v>
      </c>
      <c r="K6311" t="s" s="2">
        <v>22</v>
      </c>
      <c r="L6311" t="s" s="2">
        <v>22</v>
      </c>
      <c r="M6311" t="s" s="2">
        <v>22</v>
      </c>
    </row>
    <row r="6312" ht="25.0" customHeight="true">
      <c r="A6312" t="s" s="2">
        <v>13</v>
      </c>
      <c r="B6312" t="s" s="2">
        <f>HYPERLINK("http://ts.21cn.com/tousu/show/id/1366511","盼达用车不退还押金")</f>
      </c>
      <c r="C6312" t="s" s="2">
        <v>15</v>
      </c>
      <c r="D6312" t="s" s="2">
        <v>16</v>
      </c>
      <c r="E6312" t="s" s="2">
        <v>17</v>
      </c>
      <c r="F6312" t="s" s="2">
        <f>HYPERLINK("http://ts.21cn.com/tousu/show/id/1366511","http://ts.21cn.com/tousu/show/id/1366511")</f>
      </c>
      <c r="G6312" t="s" s="2">
        <v>17</v>
      </c>
      <c r="H6312" t="s" s="2">
        <v>19</v>
      </c>
      <c r="I6312" t="s" s="2">
        <v>24423</v>
      </c>
      <c r="J6312" t="s" s="2">
        <v>24424</v>
      </c>
      <c r="K6312" t="s" s="2">
        <v>22</v>
      </c>
      <c r="L6312" t="s" s="2">
        <v>22</v>
      </c>
      <c r="M6312" t="s" s="2">
        <v>22</v>
      </c>
    </row>
    <row r="6313" ht="25.0" customHeight="true">
      <c r="A6313" t="s" s="2">
        <v>13</v>
      </c>
      <c r="B6313" t="s" s="2">
        <f>HYPERLINK("http://ts.21cn.com/tousu/show/id/1366507","即付宝首刷一百不到账")</f>
      </c>
      <c r="C6313" t="s" s="2">
        <v>52</v>
      </c>
      <c r="D6313" t="s" s="2">
        <v>16</v>
      </c>
      <c r="E6313" t="s" s="2">
        <v>17</v>
      </c>
      <c r="F6313" t="s" s="2">
        <f>HYPERLINK("http://ts.21cn.com/tousu/show/id/1366507","http://ts.21cn.com/tousu/show/id/1366507")</f>
      </c>
      <c r="G6313" t="s" s="2">
        <v>17</v>
      </c>
      <c r="H6313" t="s" s="2">
        <v>19</v>
      </c>
      <c r="I6313" t="s" s="2">
        <v>24427</v>
      </c>
      <c r="J6313" t="s" s="2">
        <v>24428</v>
      </c>
      <c r="K6313" t="s" s="2">
        <v>22</v>
      </c>
      <c r="L6313" t="s" s="2">
        <v>22</v>
      </c>
      <c r="M6313" t="s" s="2">
        <v>22</v>
      </c>
    </row>
    <row r="6314" ht="25.0" customHeight="true">
      <c r="A6314" t="s" s="2">
        <v>13</v>
      </c>
      <c r="B6314" t="s" s="2">
        <f>HYPERLINK("http://ts.21cn.com/tousu/show/id/1366506","马上金融违规获取个人信息")</f>
      </c>
      <c r="C6314" t="s" s="2">
        <v>15</v>
      </c>
      <c r="D6314" t="s" s="2">
        <v>16</v>
      </c>
      <c r="E6314" t="s" s="2">
        <v>17</v>
      </c>
      <c r="F6314" t="s" s="2">
        <f>HYPERLINK("http://ts.21cn.com/tousu/show/id/1366506","http://ts.21cn.com/tousu/show/id/1366506")</f>
      </c>
      <c r="G6314" t="s" s="2">
        <v>17</v>
      </c>
      <c r="H6314" t="s" s="2">
        <v>19</v>
      </c>
      <c r="I6314" t="s" s="2">
        <v>24431</v>
      </c>
      <c r="J6314" t="s" s="2">
        <v>24432</v>
      </c>
      <c r="K6314" t="s" s="2">
        <v>22</v>
      </c>
      <c r="L6314" t="s" s="2">
        <v>22</v>
      </c>
      <c r="M6314" t="s" s="2">
        <v>22</v>
      </c>
    </row>
    <row r="6315" ht="25.0" customHeight="true">
      <c r="A6315" t="s" s="2">
        <v>13</v>
      </c>
      <c r="B6315" t="s" s="2">
        <f>HYPERLINK("http://ts.21cn.com/tousu/show/id/1366504","汇潮支付违规为高利贷，714提供支付通道")</f>
      </c>
      <c r="C6315" t="s" s="2">
        <v>15</v>
      </c>
      <c r="D6315" t="s" s="2">
        <v>16</v>
      </c>
      <c r="E6315" t="s" s="2">
        <v>17</v>
      </c>
      <c r="F6315" t="s" s="2">
        <f>HYPERLINK("http://ts.21cn.com/tousu/show/id/1366504","http://ts.21cn.com/tousu/show/id/1366504")</f>
      </c>
      <c r="G6315" t="s" s="2">
        <v>17</v>
      </c>
      <c r="H6315" t="s" s="2">
        <v>19</v>
      </c>
      <c r="I6315" t="s" s="2">
        <v>24435</v>
      </c>
      <c r="J6315" t="s" s="2">
        <v>24436</v>
      </c>
      <c r="K6315" t="s" s="2">
        <v>22</v>
      </c>
      <c r="L6315" t="s" s="2">
        <v>22</v>
      </c>
      <c r="M6315" t="s" s="2">
        <v>22</v>
      </c>
    </row>
    <row r="6316" ht="25.0" customHeight="true">
      <c r="A6316" t="s" s="2">
        <v>13</v>
      </c>
      <c r="B6316" t="s" s="2">
        <f>HYPERLINK("http://ts.21cn.com/tousu/show/id/1366503","5个工作日内退回押金")</f>
      </c>
      <c r="C6316" t="s" s="2">
        <v>15</v>
      </c>
      <c r="D6316" t="s" s="2">
        <v>16</v>
      </c>
      <c r="E6316" t="s" s="2">
        <v>17</v>
      </c>
      <c r="F6316" t="s" s="2">
        <f>HYPERLINK("http://ts.21cn.com/tousu/show/id/1366503","http://ts.21cn.com/tousu/show/id/1366503")</f>
      </c>
      <c r="G6316" t="s" s="2">
        <v>17</v>
      </c>
      <c r="H6316" t="s" s="2">
        <v>19</v>
      </c>
      <c r="I6316" t="s" s="2">
        <v>24439</v>
      </c>
      <c r="J6316" t="s" s="2">
        <v>24440</v>
      </c>
      <c r="K6316" t="s" s="2">
        <v>22</v>
      </c>
      <c r="L6316" t="s" s="2">
        <v>22</v>
      </c>
      <c r="M6316" t="s" s="2">
        <v>22</v>
      </c>
    </row>
    <row r="6317" ht="25.0" customHeight="true">
      <c r="A6317" t="s" s="2">
        <v>13</v>
      </c>
      <c r="B6317" t="s" s="2">
        <f>HYPERLINK("http://ts.21cn.com/tousu/show/id/1366502","暴力催收")</f>
      </c>
      <c r="C6317" t="s" s="2">
        <v>15</v>
      </c>
      <c r="D6317" t="s" s="2">
        <v>16</v>
      </c>
      <c r="E6317" t="s" s="2">
        <v>17</v>
      </c>
      <c r="F6317" t="s" s="2">
        <f>HYPERLINK("http://ts.21cn.com/tousu/show/id/1366502","http://ts.21cn.com/tousu/show/id/1366502")</f>
      </c>
      <c r="G6317" t="s" s="2">
        <v>17</v>
      </c>
      <c r="H6317" t="s" s="2">
        <v>19</v>
      </c>
      <c r="I6317" t="s" s="2">
        <v>24442</v>
      </c>
      <c r="J6317" t="s" s="2">
        <v>24443</v>
      </c>
      <c r="K6317" t="s" s="2">
        <v>22</v>
      </c>
      <c r="L6317" t="s" s="2">
        <v>22</v>
      </c>
      <c r="M6317" t="s" s="2">
        <v>22</v>
      </c>
    </row>
    <row r="6318" ht="25.0" customHeight="true">
      <c r="A6318" t="s" s="2">
        <v>13</v>
      </c>
      <c r="B6318" t="s" s="2">
        <f>HYPERLINK("http://ts.21cn.com/tousu/show/id/1366500","套路贷")</f>
      </c>
      <c r="C6318" t="s" s="2">
        <v>15</v>
      </c>
      <c r="D6318" t="s" s="2">
        <v>16</v>
      </c>
      <c r="E6318" t="s" s="2">
        <v>17</v>
      </c>
      <c r="F6318" t="s" s="2">
        <f>HYPERLINK("http://ts.21cn.com/tousu/show/id/1366500","http://ts.21cn.com/tousu/show/id/1366500")</f>
      </c>
      <c r="G6318" t="s" s="2">
        <v>17</v>
      </c>
      <c r="H6318" t="s" s="2">
        <v>19</v>
      </c>
      <c r="I6318" t="s" s="2">
        <v>24445</v>
      </c>
      <c r="J6318" t="s" s="2">
        <v>24446</v>
      </c>
      <c r="K6318" t="s" s="2">
        <v>22</v>
      </c>
      <c r="L6318" t="s" s="2">
        <v>22</v>
      </c>
      <c r="M6318" t="s" s="2">
        <v>22</v>
      </c>
    </row>
    <row r="6319" ht="25.0" customHeight="true">
      <c r="A6319" t="s" s="2">
        <v>13</v>
      </c>
      <c r="B6319" t="s" s="2">
        <f>HYPERLINK("http://ts.21cn.com/tousu/show/id/1366501","违规收费")</f>
      </c>
      <c r="C6319" t="s" s="2">
        <v>15</v>
      </c>
      <c r="D6319" t="s" s="2">
        <v>16</v>
      </c>
      <c r="E6319" t="s" s="2">
        <v>17</v>
      </c>
      <c r="F6319" t="s" s="2">
        <f>HYPERLINK("http://ts.21cn.com/tousu/show/id/1366501","http://ts.21cn.com/tousu/show/id/1366501")</f>
      </c>
      <c r="G6319" t="s" s="2">
        <v>17</v>
      </c>
      <c r="H6319" t="s" s="2">
        <v>19</v>
      </c>
      <c r="I6319" t="s" s="2">
        <v>24449</v>
      </c>
      <c r="J6319" t="s" s="2">
        <v>24450</v>
      </c>
      <c r="K6319" t="s" s="2">
        <v>22</v>
      </c>
      <c r="L6319" t="s" s="2">
        <v>22</v>
      </c>
      <c r="M6319" t="s" s="2">
        <v>22</v>
      </c>
    </row>
    <row r="6320" ht="25.0" customHeight="true">
      <c r="A6320" t="s" s="2">
        <v>13</v>
      </c>
      <c r="B6320" t="s" s="2">
        <f>HYPERLINK("http://ts.21cn.com/tousu/show/id/1366333","广州银行信用卡骚扰他人")</f>
      </c>
      <c r="C6320" t="s" s="2">
        <v>15</v>
      </c>
      <c r="D6320" t="s" s="2">
        <v>16</v>
      </c>
      <c r="E6320" t="s" s="2">
        <v>17</v>
      </c>
      <c r="F6320" t="s" s="2">
        <f>HYPERLINK("http://ts.21cn.com/tousu/show/id/1366333","http://ts.21cn.com/tousu/show/id/1366333")</f>
      </c>
      <c r="G6320" t="s" s="2">
        <v>17</v>
      </c>
      <c r="H6320" t="s" s="2">
        <v>19</v>
      </c>
      <c r="I6320" t="s" s="2">
        <v>24453</v>
      </c>
      <c r="J6320" t="s" s="2">
        <v>24454</v>
      </c>
      <c r="K6320" t="s" s="2">
        <v>22</v>
      </c>
      <c r="L6320" t="s" s="2">
        <v>22</v>
      </c>
      <c r="M6320" t="s" s="2">
        <v>22</v>
      </c>
    </row>
    <row r="6321" ht="25.0" customHeight="true">
      <c r="A6321" t="s" s="2">
        <v>13</v>
      </c>
      <c r="B6321" t="s" s="2">
        <f>HYPERLINK("http://ts.21cn.com/tousu/show/id/1366498","网络高利贷非法催收")</f>
      </c>
      <c r="C6321" t="s" s="2">
        <v>15</v>
      </c>
      <c r="D6321" t="s" s="2">
        <v>16</v>
      </c>
      <c r="E6321" t="s" s="2">
        <v>17</v>
      </c>
      <c r="F6321" t="s" s="2">
        <f>HYPERLINK("http://ts.21cn.com/tousu/show/id/1366498","http://ts.21cn.com/tousu/show/id/1366498")</f>
      </c>
      <c r="G6321" t="s" s="2">
        <v>17</v>
      </c>
      <c r="H6321" t="s" s="2">
        <v>19</v>
      </c>
      <c r="I6321" t="s" s="2">
        <v>24457</v>
      </c>
      <c r="J6321" t="s" s="2">
        <v>24458</v>
      </c>
      <c r="K6321" t="s" s="2">
        <v>22</v>
      </c>
      <c r="L6321" t="s" s="2">
        <v>22</v>
      </c>
      <c r="M6321" t="s" s="2">
        <v>22</v>
      </c>
    </row>
    <row r="6322" ht="25.0" customHeight="true">
      <c r="A6322" t="s" s="2">
        <v>13</v>
      </c>
      <c r="B6322" t="s" s="2">
        <f>HYPERLINK("http://ts.21cn.com/tousu/show/id/1366497","骚扰通讯录群发污秽短信")</f>
      </c>
      <c r="C6322" t="s" s="2">
        <v>52</v>
      </c>
      <c r="D6322" t="s" s="2">
        <v>16</v>
      </c>
      <c r="E6322" t="s" s="2">
        <v>17</v>
      </c>
      <c r="F6322" t="s" s="2">
        <f>HYPERLINK("http://ts.21cn.com/tousu/show/id/1366497","http://ts.21cn.com/tousu/show/id/1366497")</f>
      </c>
      <c r="G6322" t="s" s="2">
        <v>17</v>
      </c>
      <c r="H6322" t="s" s="2">
        <v>19</v>
      </c>
      <c r="I6322" t="s" s="2">
        <v>24461</v>
      </c>
      <c r="J6322" t="s" s="2">
        <v>24462</v>
      </c>
      <c r="K6322" t="s" s="2">
        <v>22</v>
      </c>
      <c r="L6322" t="s" s="2">
        <v>22</v>
      </c>
      <c r="M6322" t="s" s="2">
        <v>22</v>
      </c>
    </row>
    <row r="6323" ht="25.0" customHeight="true">
      <c r="A6323" t="s" s="2">
        <v>13</v>
      </c>
      <c r="B6323" t="s" s="2">
        <f>HYPERLINK("http://ts.21cn.com/tousu/show/id/1366495","我会还的，就是能不能宽限到晚上，最晚到明天17号晚上")</f>
      </c>
      <c r="C6323" t="s" s="2">
        <v>15</v>
      </c>
      <c r="D6323" t="s" s="2">
        <v>16</v>
      </c>
      <c r="E6323" t="s" s="2">
        <v>17</v>
      </c>
      <c r="F6323" t="s" s="2">
        <f>HYPERLINK("http://ts.21cn.com/tousu/show/id/1366495","http://ts.21cn.com/tousu/show/id/1366495")</f>
      </c>
      <c r="G6323" t="s" s="2">
        <v>17</v>
      </c>
      <c r="H6323" t="s" s="2">
        <v>19</v>
      </c>
      <c r="I6323" t="s" s="2">
        <v>24465</v>
      </c>
      <c r="J6323" t="s" s="2">
        <v>24466</v>
      </c>
      <c r="K6323" t="s" s="2">
        <v>22</v>
      </c>
      <c r="L6323" t="s" s="2">
        <v>22</v>
      </c>
      <c r="M6323" t="s" s="2">
        <v>22</v>
      </c>
    </row>
    <row r="6324" ht="25.0" customHeight="true">
      <c r="A6324" t="s" s="2">
        <v>13</v>
      </c>
      <c r="B6324" t="s" s="2">
        <f>HYPERLINK("http://ts.21cn.com/tousu/show/id/1366496","恶意扣款")</f>
      </c>
      <c r="C6324" t="s" s="2">
        <v>15</v>
      </c>
      <c r="D6324" t="s" s="2">
        <v>16</v>
      </c>
      <c r="E6324" t="s" s="2">
        <v>17</v>
      </c>
      <c r="F6324" t="s" s="2">
        <f>HYPERLINK("http://ts.21cn.com/tousu/show/id/1366496","http://ts.21cn.com/tousu/show/id/1366496")</f>
      </c>
      <c r="G6324" t="s" s="2">
        <v>17</v>
      </c>
      <c r="H6324" t="s" s="2">
        <v>19</v>
      </c>
      <c r="I6324" t="s" s="2">
        <v>24468</v>
      </c>
      <c r="J6324" t="s" s="2">
        <v>24469</v>
      </c>
      <c r="K6324" t="s" s="2">
        <v>22</v>
      </c>
      <c r="L6324" t="s" s="2">
        <v>22</v>
      </c>
      <c r="M6324" t="s" s="2">
        <v>22</v>
      </c>
    </row>
    <row r="6325" ht="25.0" customHeight="true">
      <c r="A6325" t="s" s="2">
        <v>13</v>
      </c>
      <c r="B6325" t="s" s="2">
        <f>HYPERLINK("http://ts.21cn.com/tousu/show/id/1366494","左右钱包和汇潮支付高利违规")</f>
      </c>
      <c r="C6325" t="s" s="2">
        <v>15</v>
      </c>
      <c r="D6325" t="s" s="2">
        <v>16</v>
      </c>
      <c r="E6325" t="s" s="2">
        <v>17</v>
      </c>
      <c r="F6325" t="s" s="2">
        <f>HYPERLINK("http://ts.21cn.com/tousu/show/id/1366494","http://ts.21cn.com/tousu/show/id/1366494")</f>
      </c>
      <c r="G6325" t="s" s="2">
        <v>17</v>
      </c>
      <c r="H6325" t="s" s="2">
        <v>19</v>
      </c>
      <c r="I6325" t="s" s="2">
        <v>24472</v>
      </c>
      <c r="J6325" t="s" s="2">
        <v>24473</v>
      </c>
      <c r="K6325" t="s" s="2">
        <v>22</v>
      </c>
      <c r="L6325" t="s" s="2">
        <v>22</v>
      </c>
      <c r="M6325" t="s" s="2">
        <v>22</v>
      </c>
    </row>
    <row r="6326" ht="25.0" customHeight="true">
      <c r="A6326" t="s" s="2">
        <v>13</v>
      </c>
      <c r="B6326" t="s" s="2">
        <f>HYPERLINK("http://ts.21cn.com/tousu/show/id/1366493","拼多多扣押商家货款并且随意关店")</f>
      </c>
      <c r="C6326" t="s" s="2">
        <v>15</v>
      </c>
      <c r="D6326" t="s" s="2">
        <v>16</v>
      </c>
      <c r="E6326" t="s" s="2">
        <v>17</v>
      </c>
      <c r="F6326" t="s" s="2">
        <f>HYPERLINK("http://ts.21cn.com/tousu/show/id/1366493","http://ts.21cn.com/tousu/show/id/1366493")</f>
      </c>
      <c r="G6326" t="s" s="2">
        <v>17</v>
      </c>
      <c r="H6326" t="s" s="2">
        <v>19</v>
      </c>
      <c r="I6326" t="s" s="2">
        <v>24476</v>
      </c>
      <c r="J6326" t="s" s="2">
        <v>24477</v>
      </c>
      <c r="K6326" t="s" s="2">
        <v>22</v>
      </c>
      <c r="L6326" t="s" s="2">
        <v>22</v>
      </c>
      <c r="M6326" t="s" s="2">
        <v>22</v>
      </c>
    </row>
    <row r="6327" ht="25.0" customHeight="true">
      <c r="A6327" t="s" s="2">
        <v>13</v>
      </c>
      <c r="B6327" t="s" s="2">
        <f>HYPERLINK("http://ts.21cn.com/tousu/show/id/1366479","拼多多不尊重事实强行把货款退款给客户")</f>
      </c>
      <c r="C6327" t="s" s="2">
        <v>15</v>
      </c>
      <c r="D6327" t="s" s="2">
        <v>16</v>
      </c>
      <c r="E6327" t="s" s="2">
        <v>17</v>
      </c>
      <c r="F6327" t="s" s="2">
        <f>HYPERLINK("http://ts.21cn.com/tousu/show/id/1366479","http://ts.21cn.com/tousu/show/id/1366479")</f>
      </c>
      <c r="G6327" t="s" s="2">
        <v>17</v>
      </c>
      <c r="H6327" t="s" s="2">
        <v>19</v>
      </c>
      <c r="I6327" t="s" s="2">
        <v>24480</v>
      </c>
      <c r="J6327" t="s" s="2">
        <v>24481</v>
      </c>
      <c r="K6327" t="s" s="2">
        <v>22</v>
      </c>
      <c r="L6327" t="s" s="2">
        <v>22</v>
      </c>
      <c r="M6327" t="s" s="2">
        <v>22</v>
      </c>
    </row>
    <row r="6328" ht="25.0" customHeight="true">
      <c r="A6328" t="s" s="2">
        <v>13</v>
      </c>
      <c r="B6328" t="s" s="2">
        <f>HYPERLINK("http://ts.21cn.com/tousu/show/id/1366492","怀疑拼多多客服串通")</f>
      </c>
      <c r="C6328" t="s" s="2">
        <v>15</v>
      </c>
      <c r="D6328" t="s" s="2">
        <v>16</v>
      </c>
      <c r="E6328" t="s" s="2">
        <v>17</v>
      </c>
      <c r="F6328" t="s" s="2">
        <f>HYPERLINK("http://ts.21cn.com/tousu/show/id/1366492","http://ts.21cn.com/tousu/show/id/1366492")</f>
      </c>
      <c r="G6328" t="s" s="2">
        <v>17</v>
      </c>
      <c r="H6328" t="s" s="2">
        <v>19</v>
      </c>
      <c r="I6328" t="s" s="2">
        <v>24484</v>
      </c>
      <c r="J6328" t="s" s="2">
        <v>24485</v>
      </c>
      <c r="K6328" t="s" s="2">
        <v>22</v>
      </c>
      <c r="L6328" t="s" s="2">
        <v>22</v>
      </c>
      <c r="M6328" t="s" s="2">
        <v>22</v>
      </c>
    </row>
    <row r="6329" ht="25.0" customHeight="true">
      <c r="A6329" t="s" s="2">
        <v>13</v>
      </c>
      <c r="B6329" t="s" s="2">
        <f>HYPERLINK("http://ts.21cn.com/tousu/show/id/1366491","爆力催收")</f>
      </c>
      <c r="C6329" t="s" s="2">
        <v>15</v>
      </c>
      <c r="D6329" t="s" s="2">
        <v>16</v>
      </c>
      <c r="E6329" t="s" s="2">
        <v>17</v>
      </c>
      <c r="F6329" t="s" s="2">
        <f>HYPERLINK("http://ts.21cn.com/tousu/show/id/1366491","http://ts.21cn.com/tousu/show/id/1366491")</f>
      </c>
      <c r="G6329" t="s" s="2">
        <v>17</v>
      </c>
      <c r="H6329" t="s" s="2">
        <v>19</v>
      </c>
      <c r="I6329" t="s" s="2">
        <v>24487</v>
      </c>
      <c r="J6329" t="s" s="2">
        <v>24488</v>
      </c>
      <c r="K6329" t="s" s="2">
        <v>22</v>
      </c>
      <c r="L6329" t="s" s="2">
        <v>22</v>
      </c>
      <c r="M6329" t="s" s="2">
        <v>22</v>
      </c>
    </row>
    <row r="6330" ht="25.0" customHeight="true">
      <c r="A6330" t="s" s="2">
        <v>13</v>
      </c>
      <c r="B6330" t="s" s="2">
        <f>HYPERLINK("http://ts.21cn.com/tousu/show/id/1366490","高额砍头息借款2400，到账1800")</f>
      </c>
      <c r="C6330" t="s" s="2">
        <v>52</v>
      </c>
      <c r="D6330" t="s" s="2">
        <v>16</v>
      </c>
      <c r="E6330" t="s" s="2">
        <v>17</v>
      </c>
      <c r="F6330" t="s" s="2">
        <f>HYPERLINK("http://ts.21cn.com/tousu/show/id/1366490","http://ts.21cn.com/tousu/show/id/1366490")</f>
      </c>
      <c r="G6330" t="s" s="2">
        <v>17</v>
      </c>
      <c r="H6330" t="s" s="2">
        <v>19</v>
      </c>
      <c r="I6330" t="s" s="2">
        <v>24491</v>
      </c>
      <c r="J6330" t="s" s="2">
        <v>24492</v>
      </c>
      <c r="K6330" t="s" s="2">
        <v>22</v>
      </c>
      <c r="L6330" t="s" s="2">
        <v>22</v>
      </c>
      <c r="M6330" t="s" s="2">
        <v>22</v>
      </c>
    </row>
    <row r="6331" ht="25.0" customHeight="true">
      <c r="A6331" t="s" s="2">
        <v>13</v>
      </c>
      <c r="B6331" t="s" s="2">
        <f>HYPERLINK("http://ts.21cn.com/tousu/show/id/1366489","魔音钱包利息过高")</f>
      </c>
      <c r="C6331" t="s" s="2">
        <v>15</v>
      </c>
      <c r="D6331" t="s" s="2">
        <v>16</v>
      </c>
      <c r="E6331" t="s" s="2">
        <v>17</v>
      </c>
      <c r="F6331" t="s" s="2">
        <f>HYPERLINK("http://ts.21cn.com/tousu/show/id/1366489","http://ts.21cn.com/tousu/show/id/1366489")</f>
      </c>
      <c r="G6331" t="s" s="2">
        <v>17</v>
      </c>
      <c r="H6331" t="s" s="2">
        <v>19</v>
      </c>
      <c r="I6331" t="s" s="2">
        <v>24495</v>
      </c>
      <c r="J6331" t="s" s="2">
        <v>24496</v>
      </c>
      <c r="K6331" t="s" s="2">
        <v>22</v>
      </c>
      <c r="L6331" t="s" s="2">
        <v>22</v>
      </c>
      <c r="M6331" t="s" s="2">
        <v>22</v>
      </c>
    </row>
    <row r="6332" ht="25.0" customHeight="true">
      <c r="A6332" t="s" s="2">
        <v>13</v>
      </c>
      <c r="B6332" t="s" s="2">
        <f>HYPERLINK("http://ts.21cn.com/tousu/show/id/1366487","中信银行信用卡骚扰通讯录")</f>
      </c>
      <c r="C6332" t="s" s="2">
        <v>15</v>
      </c>
      <c r="D6332" t="s" s="2">
        <v>16</v>
      </c>
      <c r="E6332" t="s" s="2">
        <v>17</v>
      </c>
      <c r="F6332" t="s" s="2">
        <f>HYPERLINK("http://ts.21cn.com/tousu/show/id/1366487","http://ts.21cn.com/tousu/show/id/1366487")</f>
      </c>
      <c r="G6332" t="s" s="2">
        <v>17</v>
      </c>
      <c r="H6332" t="s" s="2">
        <v>19</v>
      </c>
      <c r="I6332" t="s" s="2">
        <v>24499</v>
      </c>
      <c r="J6332" t="s" s="2">
        <v>24500</v>
      </c>
      <c r="K6332" t="s" s="2">
        <v>22</v>
      </c>
      <c r="L6332" t="s" s="2">
        <v>22</v>
      </c>
      <c r="M6332" t="s" s="2">
        <v>22</v>
      </c>
    </row>
    <row r="6333" ht="25.0" customHeight="true">
      <c r="A6333" t="s" s="2">
        <v>13</v>
      </c>
      <c r="B6333" t="s" s="2">
        <f>HYPERLINK("http://ts.21cn.com/tousu/show/id/1366486","光大银行威胁恐吓")</f>
      </c>
      <c r="C6333" t="s" s="2">
        <v>15</v>
      </c>
      <c r="D6333" t="s" s="2">
        <v>16</v>
      </c>
      <c r="E6333" t="s" s="2">
        <v>17</v>
      </c>
      <c r="F6333" t="s" s="2">
        <f>HYPERLINK("http://ts.21cn.com/tousu/show/id/1366486","http://ts.21cn.com/tousu/show/id/1366486")</f>
      </c>
      <c r="G6333" t="s" s="2">
        <v>17</v>
      </c>
      <c r="H6333" t="s" s="2">
        <v>19</v>
      </c>
      <c r="I6333" t="s" s="2">
        <v>24503</v>
      </c>
      <c r="J6333" t="s" s="2">
        <v>24504</v>
      </c>
      <c r="K6333" t="s" s="2">
        <v>22</v>
      </c>
      <c r="L6333" t="s" s="2">
        <v>22</v>
      </c>
      <c r="M6333" t="s" s="2">
        <v>22</v>
      </c>
    </row>
    <row r="6334" ht="25.0" customHeight="true">
      <c r="A6334" t="s" s="2">
        <v>13</v>
      </c>
      <c r="B6334" t="s" s="2">
        <f>HYPERLINK("http://ts.21cn.com/tousu/show/id/1366485","浦发银行和微众银行恶意催收")</f>
      </c>
      <c r="C6334" t="s" s="2">
        <v>15</v>
      </c>
      <c r="D6334" t="s" s="2">
        <v>16</v>
      </c>
      <c r="E6334" t="s" s="2">
        <v>17</v>
      </c>
      <c r="F6334" t="s" s="2">
        <f>HYPERLINK("http://ts.21cn.com/tousu/show/id/1366485","http://ts.21cn.com/tousu/show/id/1366485")</f>
      </c>
      <c r="G6334" t="s" s="2">
        <v>17</v>
      </c>
      <c r="H6334" t="s" s="2">
        <v>19</v>
      </c>
      <c r="I6334" t="s" s="2">
        <v>24507</v>
      </c>
      <c r="J6334" t="s" s="2">
        <v>24508</v>
      </c>
      <c r="K6334" t="s" s="2">
        <v>22</v>
      </c>
      <c r="L6334" t="s" s="2">
        <v>22</v>
      </c>
      <c r="M6334" t="s" s="2">
        <v>22</v>
      </c>
    </row>
    <row r="6335" ht="25.0" customHeight="true">
      <c r="A6335" t="s" s="2">
        <v>13</v>
      </c>
      <c r="B6335" t="s" s="2">
        <f>HYPERLINK("http://ts.21cn.com/tousu/show/id/1366484","太高太高的高利贷")</f>
      </c>
      <c r="C6335" t="s" s="2">
        <v>15</v>
      </c>
      <c r="D6335" t="s" s="2">
        <v>16</v>
      </c>
      <c r="E6335" t="s" s="2">
        <v>17</v>
      </c>
      <c r="F6335" t="s" s="2">
        <f>HYPERLINK("http://ts.21cn.com/tousu/show/id/1366484","http://ts.21cn.com/tousu/show/id/1366484")</f>
      </c>
      <c r="G6335" t="s" s="2">
        <v>17</v>
      </c>
      <c r="H6335" t="s" s="2">
        <v>19</v>
      </c>
      <c r="I6335" t="s" s="2">
        <v>24511</v>
      </c>
      <c r="J6335" t="s" s="2">
        <v>24512</v>
      </c>
      <c r="K6335" t="s" s="2">
        <v>22</v>
      </c>
      <c r="L6335" t="s" s="2">
        <v>22</v>
      </c>
      <c r="M6335" t="s" s="2">
        <v>22</v>
      </c>
    </row>
    <row r="6336" ht="25.0" customHeight="true">
      <c r="A6336" t="s" s="2">
        <v>13</v>
      </c>
      <c r="B6336" t="s" s="2">
        <f>HYPERLINK("http://ts.21cn.com/tousu/show/id/1366483","陕西航携畅行商旅诱导消费者消费")</f>
      </c>
      <c r="C6336" t="s" s="2">
        <v>15</v>
      </c>
      <c r="D6336" t="s" s="2">
        <v>16</v>
      </c>
      <c r="E6336" t="s" s="2">
        <v>17</v>
      </c>
      <c r="F6336" t="s" s="2">
        <f>HYPERLINK("http://ts.21cn.com/tousu/show/id/1366483","http://ts.21cn.com/tousu/show/id/1366483")</f>
      </c>
      <c r="G6336" t="s" s="2">
        <v>17</v>
      </c>
      <c r="H6336" t="s" s="2">
        <v>19</v>
      </c>
      <c r="I6336" t="s" s="2">
        <v>24515</v>
      </c>
      <c r="J6336" t="s" s="2">
        <v>24156</v>
      </c>
      <c r="K6336" t="s" s="2">
        <v>22</v>
      </c>
      <c r="L6336" t="s" s="2">
        <v>22</v>
      </c>
      <c r="M6336" t="s" s="2">
        <v>22</v>
      </c>
    </row>
    <row r="6337" ht="25.0" customHeight="true">
      <c r="A6337" t="s" s="2">
        <v>13</v>
      </c>
      <c r="B6337" t="s" s="2">
        <f>HYPERLINK("http://ts.21cn.com/tousu/show/id/1366482","罗汉分期app不经本人同意乱扣费")</f>
      </c>
      <c r="C6337" t="s" s="2">
        <v>15</v>
      </c>
      <c r="D6337" t="s" s="2">
        <v>16</v>
      </c>
      <c r="E6337" t="s" s="2">
        <v>17</v>
      </c>
      <c r="F6337" t="s" s="2">
        <f>HYPERLINK("http://ts.21cn.com/tousu/show/id/1366482","http://ts.21cn.com/tousu/show/id/1366482")</f>
      </c>
      <c r="G6337" t="s" s="2">
        <v>17</v>
      </c>
      <c r="H6337" t="s" s="2">
        <v>19</v>
      </c>
      <c r="I6337" t="s" s="2">
        <v>24515</v>
      </c>
      <c r="J6337" t="s" s="2">
        <v>24518</v>
      </c>
      <c r="K6337" t="s" s="2">
        <v>22</v>
      </c>
      <c r="L6337" t="s" s="2">
        <v>22</v>
      </c>
      <c r="M6337" t="s" s="2">
        <v>22</v>
      </c>
    </row>
    <row r="6338" ht="25.0" customHeight="true">
      <c r="A6338" t="s" s="2">
        <v>13</v>
      </c>
      <c r="B6338" t="s" s="2">
        <f>HYPERLINK("http://ts.21cn.com/tousu/show/id/1365048","付款后没发货，订单虚假")</f>
      </c>
      <c r="C6338" t="s" s="2">
        <v>15</v>
      </c>
      <c r="D6338" t="s" s="2">
        <v>16</v>
      </c>
      <c r="E6338" t="s" s="2">
        <v>17</v>
      </c>
      <c r="F6338" t="s" s="2">
        <f>HYPERLINK("http://ts.21cn.com/tousu/show/id/1365048","http://ts.21cn.com/tousu/show/id/1365048")</f>
      </c>
      <c r="G6338" t="s" s="2">
        <v>17</v>
      </c>
      <c r="H6338" t="s" s="2">
        <v>19</v>
      </c>
      <c r="I6338" t="s" s="2">
        <v>24521</v>
      </c>
      <c r="J6338" t="s" s="2">
        <v>24522</v>
      </c>
      <c r="K6338" t="s" s="2">
        <v>22</v>
      </c>
      <c r="L6338" t="s" s="2">
        <v>22</v>
      </c>
      <c r="M6338" t="s" s="2">
        <v>22</v>
      </c>
    </row>
    <row r="6339" ht="25.0" customHeight="true">
      <c r="A6339" t="s" s="2">
        <v>13</v>
      </c>
      <c r="B6339" t="s" s="2">
        <f>HYPERLINK("http://ts.21cn.com/tousu/show/id/1366481","平安银行信用卡恶意伪造法律文书，暴利催收")</f>
      </c>
      <c r="C6339" t="s" s="2">
        <v>15</v>
      </c>
      <c r="D6339" t="s" s="2">
        <v>16</v>
      </c>
      <c r="E6339" t="s" s="2">
        <v>17</v>
      </c>
      <c r="F6339" t="s" s="2">
        <f>HYPERLINK("http://ts.21cn.com/tousu/show/id/1366481","http://ts.21cn.com/tousu/show/id/1366481")</f>
      </c>
      <c r="G6339" t="s" s="2">
        <v>17</v>
      </c>
      <c r="H6339" t="s" s="2">
        <v>19</v>
      </c>
      <c r="I6339" t="s" s="2">
        <v>24525</v>
      </c>
      <c r="J6339" t="s" s="2">
        <v>24526</v>
      </c>
      <c r="K6339" t="s" s="2">
        <v>22</v>
      </c>
      <c r="L6339" t="s" s="2">
        <v>22</v>
      </c>
      <c r="M6339" t="s" s="2">
        <v>22</v>
      </c>
    </row>
    <row r="6340" ht="25.0" customHeight="true">
      <c r="A6340" t="s" s="2">
        <v>13</v>
      </c>
      <c r="B6340" t="s" s="2">
        <f>HYPERLINK("http://ts.21cn.com/tousu/show/id/1366480","暴力催收。骚扰通讯录，")</f>
      </c>
      <c r="C6340" t="s" s="2">
        <v>15</v>
      </c>
      <c r="D6340" t="s" s="2">
        <v>16</v>
      </c>
      <c r="E6340" t="s" s="2">
        <v>17</v>
      </c>
      <c r="F6340" t="s" s="2">
        <f>HYPERLINK("http://ts.21cn.com/tousu/show/id/1366480","http://ts.21cn.com/tousu/show/id/1366480")</f>
      </c>
      <c r="G6340" t="s" s="2">
        <v>17</v>
      </c>
      <c r="H6340" t="s" s="2">
        <v>19</v>
      </c>
      <c r="I6340" t="s" s="2">
        <v>24529</v>
      </c>
      <c r="J6340" t="s" s="2">
        <v>24530</v>
      </c>
      <c r="K6340" t="s" s="2">
        <v>22</v>
      </c>
      <c r="L6340" t="s" s="2">
        <v>22</v>
      </c>
      <c r="M6340" t="s" s="2">
        <v>22</v>
      </c>
    </row>
    <row r="6341" ht="25.0" customHeight="true">
      <c r="A6341" t="s" s="2">
        <v>13</v>
      </c>
      <c r="B6341" t="s" s="2">
        <f>HYPERLINK("http://ts.21cn.com/tousu/show/id/1366475","微博借钱泄露我个人银行账户")</f>
      </c>
      <c r="C6341" t="s" s="2">
        <v>15</v>
      </c>
      <c r="D6341" t="s" s="2">
        <v>16</v>
      </c>
      <c r="E6341" t="s" s="2">
        <v>17</v>
      </c>
      <c r="F6341" t="s" s="2">
        <f>HYPERLINK("http://ts.21cn.com/tousu/show/id/1366475","http://ts.21cn.com/tousu/show/id/1366475")</f>
      </c>
      <c r="G6341" t="s" s="2">
        <v>17</v>
      </c>
      <c r="H6341" t="s" s="2">
        <v>19</v>
      </c>
      <c r="I6341" t="s" s="2">
        <v>24533</v>
      </c>
      <c r="J6341" t="s" s="2">
        <v>24534</v>
      </c>
      <c r="K6341" t="s" s="2">
        <v>22</v>
      </c>
      <c r="L6341" t="s" s="2">
        <v>22</v>
      </c>
      <c r="M6341" t="s" s="2">
        <v>22</v>
      </c>
    </row>
    <row r="6342" ht="25.0" customHeight="true">
      <c r="A6342" t="s" s="2">
        <v>13</v>
      </c>
      <c r="B6342" t="s" s="2">
        <f>HYPERLINK("http://ts.21cn.com/tousu/show/id/1366476","提前还清减免利息")</f>
      </c>
      <c r="C6342" t="s" s="2">
        <v>15</v>
      </c>
      <c r="D6342" t="s" s="2">
        <v>16</v>
      </c>
      <c r="E6342" t="s" s="2">
        <v>17</v>
      </c>
      <c r="F6342" t="s" s="2">
        <f>HYPERLINK("http://ts.21cn.com/tousu/show/id/1366476","http://ts.21cn.com/tousu/show/id/1366476")</f>
      </c>
      <c r="G6342" t="s" s="2">
        <v>17</v>
      </c>
      <c r="H6342" t="s" s="2">
        <v>19</v>
      </c>
      <c r="I6342" t="s" s="2">
        <v>24537</v>
      </c>
      <c r="J6342" t="s" s="2">
        <v>24538</v>
      </c>
      <c r="K6342" t="s" s="2">
        <v>22</v>
      </c>
      <c r="L6342" t="s" s="2">
        <v>22</v>
      </c>
      <c r="M6342" t="s" s="2">
        <v>22</v>
      </c>
    </row>
    <row r="6343" ht="25.0" customHeight="true">
      <c r="A6343" t="s" s="2">
        <v>13</v>
      </c>
      <c r="B6343" t="s" s="2">
        <f>HYPERLINK("http://ts.21cn.com/tousu/show/id/1366474","投诉银联为违法平台提供支付通道")</f>
      </c>
      <c r="C6343" t="s" s="2">
        <v>15</v>
      </c>
      <c r="D6343" t="s" s="2">
        <v>16</v>
      </c>
      <c r="E6343" t="s" s="2">
        <v>17</v>
      </c>
      <c r="F6343" t="s" s="2">
        <f>HYPERLINK("http://ts.21cn.com/tousu/show/id/1366474","http://ts.21cn.com/tousu/show/id/1366474")</f>
      </c>
      <c r="G6343" t="s" s="2">
        <v>17</v>
      </c>
      <c r="H6343" t="s" s="2">
        <v>19</v>
      </c>
      <c r="I6343" t="s" s="2">
        <v>24541</v>
      </c>
      <c r="J6343" t="s" s="2">
        <v>24542</v>
      </c>
      <c r="K6343" t="s" s="2">
        <v>22</v>
      </c>
      <c r="L6343" t="s" s="2">
        <v>22</v>
      </c>
      <c r="M6343" t="s" s="2">
        <v>22</v>
      </c>
    </row>
    <row r="6344" ht="25.0" customHeight="true">
      <c r="A6344" t="s" s="2">
        <v>13</v>
      </c>
      <c r="B6344" t="s" s="2">
        <f>HYPERLINK("http://ts.21cn.com/tousu/show/id/1366472","暴力催收，电话骚扰")</f>
      </c>
      <c r="C6344" t="s" s="2">
        <v>15</v>
      </c>
      <c r="D6344" t="s" s="2">
        <v>16</v>
      </c>
      <c r="E6344" t="s" s="2">
        <v>17</v>
      </c>
      <c r="F6344" t="s" s="2">
        <f>HYPERLINK("http://ts.21cn.com/tousu/show/id/1366472","http://ts.21cn.com/tousu/show/id/1366472")</f>
      </c>
      <c r="G6344" t="s" s="2">
        <v>17</v>
      </c>
      <c r="H6344" t="s" s="2">
        <v>19</v>
      </c>
      <c r="I6344" t="s" s="2">
        <v>24544</v>
      </c>
      <c r="J6344" t="s" s="2">
        <v>24545</v>
      </c>
      <c r="K6344" t="s" s="2">
        <v>22</v>
      </c>
      <c r="L6344" t="s" s="2">
        <v>22</v>
      </c>
      <c r="M6344" t="s" s="2">
        <v>22</v>
      </c>
    </row>
    <row r="6345" ht="25.0" customHeight="true">
      <c r="A6345" t="s" s="2">
        <v>13</v>
      </c>
      <c r="B6345" t="s" s="2">
        <f>HYPERLINK("http://ts.21cn.com/tousu/show/id/1366471","群发短信本人身份证号码信息")</f>
      </c>
      <c r="C6345" t="s" s="2">
        <v>15</v>
      </c>
      <c r="D6345" t="s" s="2">
        <v>16</v>
      </c>
      <c r="E6345" t="s" s="2">
        <v>17</v>
      </c>
      <c r="F6345" t="s" s="2">
        <f>HYPERLINK("http://ts.21cn.com/tousu/show/id/1366471","http://ts.21cn.com/tousu/show/id/1366471")</f>
      </c>
      <c r="G6345" t="s" s="2">
        <v>17</v>
      </c>
      <c r="H6345" t="s" s="2">
        <v>19</v>
      </c>
      <c r="I6345" t="s" s="2">
        <v>24548</v>
      </c>
      <c r="J6345" t="s" s="2">
        <v>24549</v>
      </c>
      <c r="K6345" t="s" s="2">
        <v>22</v>
      </c>
      <c r="L6345" t="s" s="2">
        <v>22</v>
      </c>
      <c r="M6345" t="s" s="2">
        <v>22</v>
      </c>
    </row>
    <row r="6346" ht="25.0" customHeight="true">
      <c r="A6346" t="s" s="2">
        <v>13</v>
      </c>
      <c r="B6346" t="s" s="2">
        <f>HYPERLINK("http://ts.21cn.com/tousu/show/id/1366473","窃取个人信息，非法催收")</f>
      </c>
      <c r="C6346" t="s" s="2">
        <v>15</v>
      </c>
      <c r="D6346" t="s" s="2">
        <v>16</v>
      </c>
      <c r="E6346" t="s" s="2">
        <v>17</v>
      </c>
      <c r="F6346" t="s" s="2">
        <f>HYPERLINK("http://ts.21cn.com/tousu/show/id/1366473","http://ts.21cn.com/tousu/show/id/1366473")</f>
      </c>
      <c r="G6346" t="s" s="2">
        <v>17</v>
      </c>
      <c r="H6346" t="s" s="2">
        <v>19</v>
      </c>
      <c r="I6346" t="s" s="2">
        <v>24552</v>
      </c>
      <c r="J6346" t="s" s="2">
        <v>24553</v>
      </c>
      <c r="K6346" t="s" s="2">
        <v>22</v>
      </c>
      <c r="L6346" t="s" s="2">
        <v>22</v>
      </c>
      <c r="M6346" t="s" s="2">
        <v>22</v>
      </c>
    </row>
    <row r="6347" ht="25.0" customHeight="true">
      <c r="A6347" t="s" s="2">
        <v>13</v>
      </c>
      <c r="B6347" t="s" s="2">
        <f>HYPERLINK("http://ts.21cn.com/tousu/show/id/1366469","拼多多恶意扣压货款，冻结资金。解释敷衍")</f>
      </c>
      <c r="C6347" t="s" s="2">
        <v>15</v>
      </c>
      <c r="D6347" t="s" s="2">
        <v>16</v>
      </c>
      <c r="E6347" t="s" s="2">
        <v>17</v>
      </c>
      <c r="F6347" t="s" s="2">
        <f>HYPERLINK("http://ts.21cn.com/tousu/show/id/1366469","http://ts.21cn.com/tousu/show/id/1366469")</f>
      </c>
      <c r="G6347" t="s" s="2">
        <v>17</v>
      </c>
      <c r="H6347" t="s" s="2">
        <v>19</v>
      </c>
      <c r="I6347" t="s" s="2">
        <v>24556</v>
      </c>
      <c r="J6347" t="s" s="2">
        <v>24557</v>
      </c>
      <c r="K6347" t="s" s="2">
        <v>22</v>
      </c>
      <c r="L6347" t="s" s="2">
        <v>22</v>
      </c>
      <c r="M6347" t="s" s="2">
        <v>22</v>
      </c>
    </row>
    <row r="6348" ht="25.0" customHeight="true">
      <c r="A6348" t="s" s="2">
        <v>13</v>
      </c>
      <c r="B6348" t="s" s="2">
        <f>HYPERLINK("http://ts.21cn.com/tousu/show/id/1366470","平台罚款")</f>
      </c>
      <c r="C6348" t="s" s="2">
        <v>15</v>
      </c>
      <c r="D6348" t="s" s="2">
        <v>16</v>
      </c>
      <c r="E6348" t="s" s="2">
        <v>17</v>
      </c>
      <c r="F6348" t="s" s="2">
        <f>HYPERLINK("http://ts.21cn.com/tousu/show/id/1366470","http://ts.21cn.com/tousu/show/id/1366470")</f>
      </c>
      <c r="G6348" t="s" s="2">
        <v>17</v>
      </c>
      <c r="H6348" t="s" s="2">
        <v>19</v>
      </c>
      <c r="I6348" t="s" s="2">
        <v>24560</v>
      </c>
      <c r="J6348" t="s" s="2">
        <v>24561</v>
      </c>
      <c r="K6348" t="s" s="2">
        <v>22</v>
      </c>
      <c r="L6348" t="s" s="2">
        <v>22</v>
      </c>
      <c r="M6348" t="s" s="2">
        <v>22</v>
      </c>
    </row>
    <row r="6349" ht="25.0" customHeight="true">
      <c r="A6349" t="s" s="2">
        <v>13</v>
      </c>
      <c r="B6349" t="s" s="2">
        <f>HYPERLINK("http://ts.21cn.com/tousu/show/id/1366468","今日头条放心借泄露客户隐私骚扰无关人员")</f>
      </c>
      <c r="C6349" t="s" s="2">
        <v>15</v>
      </c>
      <c r="D6349" t="s" s="2">
        <v>16</v>
      </c>
      <c r="E6349" t="s" s="2">
        <v>17</v>
      </c>
      <c r="F6349" t="s" s="2">
        <f>HYPERLINK("http://ts.21cn.com/tousu/show/id/1366468","http://ts.21cn.com/tousu/show/id/1366468")</f>
      </c>
      <c r="G6349" t="s" s="2">
        <v>17</v>
      </c>
      <c r="H6349" t="s" s="2">
        <v>19</v>
      </c>
      <c r="I6349" t="s" s="2">
        <v>24564</v>
      </c>
      <c r="J6349" t="s" s="2">
        <v>24565</v>
      </c>
      <c r="K6349" t="s" s="2">
        <v>22</v>
      </c>
      <c r="L6349" t="s" s="2">
        <v>22</v>
      </c>
      <c r="M6349" t="s" s="2">
        <v>22</v>
      </c>
    </row>
    <row r="6350" ht="25.0" customHeight="true">
      <c r="A6350" t="s" s="2">
        <v>13</v>
      </c>
      <c r="B6350" t="s" s="2">
        <f>HYPERLINK("http://ts.21cn.com/tousu/show/id/1366467","钱包易贷砍头息，高利贷")</f>
      </c>
      <c r="C6350" t="s" s="2">
        <v>15</v>
      </c>
      <c r="D6350" t="s" s="2">
        <v>16</v>
      </c>
      <c r="E6350" t="s" s="2">
        <v>17</v>
      </c>
      <c r="F6350" t="s" s="2">
        <f>HYPERLINK("http://ts.21cn.com/tousu/show/id/1366467","http://ts.21cn.com/tousu/show/id/1366467")</f>
      </c>
      <c r="G6350" t="s" s="2">
        <v>17</v>
      </c>
      <c r="H6350" t="s" s="2">
        <v>19</v>
      </c>
      <c r="I6350" t="s" s="2">
        <v>24568</v>
      </c>
      <c r="J6350" t="s" s="2">
        <v>24569</v>
      </c>
      <c r="K6350" t="s" s="2">
        <v>22</v>
      </c>
      <c r="L6350" t="s" s="2">
        <v>22</v>
      </c>
      <c r="M6350" t="s" s="2">
        <v>22</v>
      </c>
    </row>
    <row r="6351" ht="25.0" customHeight="true">
      <c r="A6351" t="s" s="2">
        <v>13</v>
      </c>
      <c r="B6351" t="s" s="2">
        <f>HYPERLINK("http://ts.21cn.com/tousu/show/id/1366465","天天金钱恶意扣款")</f>
      </c>
      <c r="C6351" t="s" s="2">
        <v>15</v>
      </c>
      <c r="D6351" t="s" s="2">
        <v>16</v>
      </c>
      <c r="E6351" t="s" s="2">
        <v>17</v>
      </c>
      <c r="F6351" t="s" s="2">
        <f>HYPERLINK("http://ts.21cn.com/tousu/show/id/1366465","http://ts.21cn.com/tousu/show/id/1366465")</f>
      </c>
      <c r="G6351" t="s" s="2">
        <v>17</v>
      </c>
      <c r="H6351" t="s" s="2">
        <v>19</v>
      </c>
      <c r="I6351" t="s" s="2">
        <v>24572</v>
      </c>
      <c r="J6351" t="s" s="2">
        <v>24573</v>
      </c>
      <c r="K6351" t="s" s="2">
        <v>22</v>
      </c>
      <c r="L6351" t="s" s="2">
        <v>22</v>
      </c>
      <c r="M6351" t="s" s="2">
        <v>22</v>
      </c>
    </row>
    <row r="6352" ht="25.0" customHeight="true">
      <c r="A6352" t="s" s="2">
        <v>13</v>
      </c>
      <c r="B6352" t="s" s="2">
        <f>HYPERLINK("http://ts.21cn.com/tousu/show/id/1366464","凡普信贷恶心扣钱")</f>
      </c>
      <c r="C6352" t="s" s="2">
        <v>15</v>
      </c>
      <c r="D6352" t="s" s="2">
        <v>16</v>
      </c>
      <c r="E6352" t="s" s="2">
        <v>17</v>
      </c>
      <c r="F6352" t="s" s="2">
        <f>HYPERLINK("http://ts.21cn.com/tousu/show/id/1366464","http://ts.21cn.com/tousu/show/id/1366464")</f>
      </c>
      <c r="G6352" t="s" s="2">
        <v>17</v>
      </c>
      <c r="H6352" t="s" s="2">
        <v>19</v>
      </c>
      <c r="I6352" t="s" s="2">
        <v>24576</v>
      </c>
      <c r="J6352" t="s" s="2">
        <v>24577</v>
      </c>
      <c r="K6352" t="s" s="2">
        <v>22</v>
      </c>
      <c r="L6352" t="s" s="2">
        <v>22</v>
      </c>
      <c r="M6352" t="s" s="2">
        <v>22</v>
      </c>
    </row>
    <row r="6353" ht="25.0" customHeight="true">
      <c r="A6353" t="s" s="2">
        <v>13</v>
      </c>
      <c r="B6353" t="s" s="2">
        <f>HYPERLINK("http://ts.21cn.com/tousu/show/id/1366463","手工定制店被淘宝根据信息层面判定售假扣分封店找不到小二找不到任何平台可联系的人")</f>
      </c>
      <c r="C6353" t="s" s="2">
        <v>15</v>
      </c>
      <c r="D6353" t="s" s="2">
        <v>16</v>
      </c>
      <c r="E6353" t="s" s="2">
        <v>17</v>
      </c>
      <c r="F6353" t="s" s="2">
        <f>HYPERLINK("http://ts.21cn.com/tousu/show/id/1366463","http://ts.21cn.com/tousu/show/id/1366463")</f>
      </c>
      <c r="G6353" t="s" s="2">
        <v>17</v>
      </c>
      <c r="H6353" t="s" s="2">
        <v>19</v>
      </c>
      <c r="I6353" t="s" s="2">
        <v>24580</v>
      </c>
      <c r="J6353" t="s" s="2">
        <v>24581</v>
      </c>
      <c r="K6353" t="s" s="2">
        <v>22</v>
      </c>
      <c r="L6353" t="s" s="2">
        <v>22</v>
      </c>
      <c r="M6353" t="s" s="2">
        <v>22</v>
      </c>
    </row>
    <row r="6354" ht="25.0" customHeight="true">
      <c r="A6354" t="s" s="2">
        <v>13</v>
      </c>
      <c r="B6354" t="s" s="2">
        <f>HYPERLINK("http://ts.21cn.com/tousu/show/id/1366462","现金巴士违规放贷，收取砍头息，逾期费用过高催收不断")</f>
      </c>
      <c r="C6354" t="s" s="2">
        <v>15</v>
      </c>
      <c r="D6354" t="s" s="2">
        <v>16</v>
      </c>
      <c r="E6354" t="s" s="2">
        <v>17</v>
      </c>
      <c r="F6354" t="s" s="2">
        <f>HYPERLINK("http://ts.21cn.com/tousu/show/id/1366462","http://ts.21cn.com/tousu/show/id/1366462")</f>
      </c>
      <c r="G6354" t="s" s="2">
        <v>17</v>
      </c>
      <c r="H6354" t="s" s="2">
        <v>19</v>
      </c>
      <c r="I6354" t="s" s="2">
        <v>24584</v>
      </c>
      <c r="J6354" t="s" s="2">
        <v>24585</v>
      </c>
      <c r="K6354" t="s" s="2">
        <v>22</v>
      </c>
      <c r="L6354" t="s" s="2">
        <v>22</v>
      </c>
      <c r="M6354" t="s" s="2">
        <v>22</v>
      </c>
    </row>
    <row r="6355" ht="25.0" customHeight="true">
      <c r="A6355" t="s" s="2">
        <v>13</v>
      </c>
      <c r="B6355" t="s" s="2">
        <f>HYPERLINK("http://ts.21cn.com/tousu/show/id/1366458","多宝分期高利贷阴阳合同")</f>
      </c>
      <c r="C6355" t="s" s="2">
        <v>15</v>
      </c>
      <c r="D6355" t="s" s="2">
        <v>16</v>
      </c>
      <c r="E6355" t="s" s="2">
        <v>17</v>
      </c>
      <c r="F6355" t="s" s="2">
        <f>HYPERLINK("http://ts.21cn.com/tousu/show/id/1366458","http://ts.21cn.com/tousu/show/id/1366458")</f>
      </c>
      <c r="G6355" t="s" s="2">
        <v>17</v>
      </c>
      <c r="H6355" t="s" s="2">
        <v>19</v>
      </c>
      <c r="I6355" t="s" s="2">
        <v>24588</v>
      </c>
      <c r="J6355" t="s" s="2">
        <v>24589</v>
      </c>
      <c r="K6355" t="s" s="2">
        <v>22</v>
      </c>
      <c r="L6355" t="s" s="2">
        <v>22</v>
      </c>
      <c r="M6355" t="s" s="2">
        <v>22</v>
      </c>
    </row>
    <row r="6356" ht="25.0" customHeight="true">
      <c r="A6356" t="s" s="2">
        <v>13</v>
      </c>
      <c r="B6356" t="s" s="2">
        <f>HYPERLINK("http://ts.21cn.com/tousu/show/id/1366456","广发信用卡高额罚息和违约金")</f>
      </c>
      <c r="C6356" t="s" s="2">
        <v>15</v>
      </c>
      <c r="D6356" t="s" s="2">
        <v>16</v>
      </c>
      <c r="E6356" t="s" s="2">
        <v>17</v>
      </c>
      <c r="F6356" t="s" s="2">
        <f>HYPERLINK("http://ts.21cn.com/tousu/show/id/1366456","http://ts.21cn.com/tousu/show/id/1366456")</f>
      </c>
      <c r="G6356" t="s" s="2">
        <v>17</v>
      </c>
      <c r="H6356" t="s" s="2">
        <v>19</v>
      </c>
      <c r="I6356" t="s" s="2">
        <v>24592</v>
      </c>
      <c r="J6356" t="s" s="2">
        <v>24593</v>
      </c>
      <c r="K6356" t="s" s="2">
        <v>22</v>
      </c>
      <c r="L6356" t="s" s="2">
        <v>22</v>
      </c>
      <c r="M6356" t="s" s="2">
        <v>22</v>
      </c>
    </row>
    <row r="6357" ht="25.0" customHeight="true">
      <c r="A6357" t="s" s="2">
        <v>13</v>
      </c>
      <c r="B6357" t="s" s="2">
        <f>HYPERLINK("http://ts.21cn.com/tousu/show/id/1366454","接8000还11500多！")</f>
      </c>
      <c r="C6357" t="s" s="2">
        <v>52</v>
      </c>
      <c r="D6357" t="s" s="2">
        <v>16</v>
      </c>
      <c r="E6357" t="s" s="2">
        <v>17</v>
      </c>
      <c r="F6357" t="s" s="2">
        <f>HYPERLINK("http://ts.21cn.com/tousu/show/id/1366454","http://ts.21cn.com/tousu/show/id/1366454")</f>
      </c>
      <c r="G6357" t="s" s="2">
        <v>17</v>
      </c>
      <c r="H6357" t="s" s="2">
        <v>19</v>
      </c>
      <c r="I6357" t="s" s="2">
        <v>24596</v>
      </c>
      <c r="J6357" t="s" s="2">
        <v>24597</v>
      </c>
      <c r="K6357" t="s" s="2">
        <v>22</v>
      </c>
      <c r="L6357" t="s" s="2">
        <v>22</v>
      </c>
      <c r="M6357" t="s" s="2">
        <v>22</v>
      </c>
    </row>
    <row r="6358" ht="25.0" customHeight="true">
      <c r="A6358" t="s" s="2">
        <v>13</v>
      </c>
      <c r="B6358" t="s" s="2">
        <f>HYPERLINK("http://ts.21cn.com/tousu/show/id/1366453","你我贷雇佣第三方，威胁恐吓，暴击催收")</f>
      </c>
      <c r="C6358" t="s" s="2">
        <v>15</v>
      </c>
      <c r="D6358" t="s" s="2">
        <v>16</v>
      </c>
      <c r="E6358" t="s" s="2">
        <v>17</v>
      </c>
      <c r="F6358" t="s" s="2">
        <f>HYPERLINK("http://ts.21cn.com/tousu/show/id/1366453","http://ts.21cn.com/tousu/show/id/1366453")</f>
      </c>
      <c r="G6358" t="s" s="2">
        <v>17</v>
      </c>
      <c r="H6358" t="s" s="2">
        <v>19</v>
      </c>
      <c r="I6358" t="s" s="2">
        <v>24600</v>
      </c>
      <c r="J6358" t="s" s="2">
        <v>24601</v>
      </c>
      <c r="K6358" t="s" s="2">
        <v>22</v>
      </c>
      <c r="L6358" t="s" s="2">
        <v>22</v>
      </c>
      <c r="M6358" t="s" s="2">
        <v>22</v>
      </c>
    </row>
    <row r="6359" ht="25.0" customHeight="true">
      <c r="A6359" t="s" s="2">
        <v>13</v>
      </c>
      <c r="B6359" t="s" s="2">
        <f>HYPERLINK("http://ts.21cn.com/tousu/show/id/1366460","百万钱包变相高利贷")</f>
      </c>
      <c r="C6359" t="s" s="2">
        <v>15</v>
      </c>
      <c r="D6359" t="s" s="2">
        <v>16</v>
      </c>
      <c r="E6359" t="s" s="2">
        <v>17</v>
      </c>
      <c r="F6359" t="s" s="2">
        <f>HYPERLINK("http://ts.21cn.com/tousu/show/id/1366460","http://ts.21cn.com/tousu/show/id/1366460")</f>
      </c>
      <c r="G6359" t="s" s="2">
        <v>17</v>
      </c>
      <c r="H6359" t="s" s="2">
        <v>19</v>
      </c>
      <c r="I6359" t="s" s="2">
        <v>24604</v>
      </c>
      <c r="J6359" t="s" s="2">
        <v>24605</v>
      </c>
      <c r="K6359" t="s" s="2">
        <v>22</v>
      </c>
      <c r="L6359" t="s" s="2">
        <v>22</v>
      </c>
      <c r="M6359" t="s" s="2">
        <v>22</v>
      </c>
    </row>
    <row r="6360" ht="25.0" customHeight="true">
      <c r="A6360" t="s" s="2">
        <v>13</v>
      </c>
      <c r="B6360" t="s" s="2">
        <f>HYPERLINK("http://ts.21cn.com/tousu/show/id/1366452","微粒贷催收无辜骚扰通讯录联系人，发下流信息")</f>
      </c>
      <c r="C6360" t="s" s="2">
        <v>15</v>
      </c>
      <c r="D6360" t="s" s="2">
        <v>16</v>
      </c>
      <c r="E6360" t="s" s="2">
        <v>17</v>
      </c>
      <c r="F6360" t="s" s="2">
        <f>HYPERLINK("http://ts.21cn.com/tousu/show/id/1366452","http://ts.21cn.com/tousu/show/id/1366452")</f>
      </c>
      <c r="G6360" t="s" s="2">
        <v>17</v>
      </c>
      <c r="H6360" t="s" s="2">
        <v>19</v>
      </c>
      <c r="I6360" t="s" s="2">
        <v>24604</v>
      </c>
      <c r="J6360" t="s" s="2">
        <v>24608</v>
      </c>
      <c r="K6360" t="s" s="2">
        <v>22</v>
      </c>
      <c r="L6360" t="s" s="2">
        <v>22</v>
      </c>
      <c r="M6360" t="s" s="2">
        <v>22</v>
      </c>
    </row>
    <row r="6361" ht="25.0" customHeight="true">
      <c r="A6361" t="s" s="2">
        <v>13</v>
      </c>
      <c r="B6361" t="s" s="2">
        <f>HYPERLINK("http://ts.21cn.com/tousu/show/id/1366459","捷信金融高利贷服务客户做作、毫无诚信")</f>
      </c>
      <c r="C6361" t="s" s="2">
        <v>15</v>
      </c>
      <c r="D6361" t="s" s="2">
        <v>16</v>
      </c>
      <c r="E6361" t="s" s="2">
        <v>17</v>
      </c>
      <c r="F6361" t="s" s="2">
        <f>HYPERLINK("http://ts.21cn.com/tousu/show/id/1366459","http://ts.21cn.com/tousu/show/id/1366459")</f>
      </c>
      <c r="G6361" t="s" s="2">
        <v>17</v>
      </c>
      <c r="H6361" t="s" s="2">
        <v>19</v>
      </c>
      <c r="I6361" t="s" s="2">
        <v>24604</v>
      </c>
      <c r="J6361" t="s" s="2">
        <v>24611</v>
      </c>
      <c r="K6361" t="s" s="2">
        <v>22</v>
      </c>
      <c r="L6361" t="s" s="2">
        <v>22</v>
      </c>
      <c r="M6361" t="s" s="2">
        <v>22</v>
      </c>
    </row>
    <row r="6362" ht="25.0" customHeight="true">
      <c r="A6362" t="s" s="2">
        <v>13</v>
      </c>
      <c r="B6362" t="s" s="2">
        <f>HYPERLINK("http://ts.21cn.com/tousu/show/id/1366451","豆豆钱恶意爆通讯录，威胁")</f>
      </c>
      <c r="C6362" t="s" s="2">
        <v>15</v>
      </c>
      <c r="D6362" t="s" s="2">
        <v>16</v>
      </c>
      <c r="E6362" t="s" s="2">
        <v>17</v>
      </c>
      <c r="F6362" t="s" s="2">
        <f>HYPERLINK("http://ts.21cn.com/tousu/show/id/1366451","http://ts.21cn.com/tousu/show/id/1366451")</f>
      </c>
      <c r="G6362" t="s" s="2">
        <v>17</v>
      </c>
      <c r="H6362" t="s" s="2">
        <v>19</v>
      </c>
      <c r="I6362" t="s" s="2">
        <v>24614</v>
      </c>
      <c r="J6362" t="s" s="2">
        <v>24615</v>
      </c>
      <c r="K6362" t="s" s="2">
        <v>22</v>
      </c>
      <c r="L6362" t="s" s="2">
        <v>22</v>
      </c>
      <c r="M6362" t="s" s="2">
        <v>22</v>
      </c>
    </row>
    <row r="6363" ht="25.0" customHeight="true">
      <c r="A6363" t="s" s="2">
        <v>13</v>
      </c>
      <c r="B6363" t="s" s="2">
        <f>HYPERLINK("http://ts.21cn.com/tousu/show/id/1366450","中腾信暴力催收爆通讯录")</f>
      </c>
      <c r="C6363" t="s" s="2">
        <v>15</v>
      </c>
      <c r="D6363" t="s" s="2">
        <v>16</v>
      </c>
      <c r="E6363" t="s" s="2">
        <v>17</v>
      </c>
      <c r="F6363" t="s" s="2">
        <f>HYPERLINK("http://ts.21cn.com/tousu/show/id/1366450","http://ts.21cn.com/tousu/show/id/1366450")</f>
      </c>
      <c r="G6363" t="s" s="2">
        <v>17</v>
      </c>
      <c r="H6363" t="s" s="2">
        <v>19</v>
      </c>
      <c r="I6363" t="s" s="2">
        <v>24618</v>
      </c>
      <c r="J6363" t="s" s="2">
        <v>24619</v>
      </c>
      <c r="K6363" t="s" s="2">
        <v>22</v>
      </c>
      <c r="L6363" t="s" s="2">
        <v>22</v>
      </c>
      <c r="M6363" t="s" s="2">
        <v>22</v>
      </c>
    </row>
    <row r="6364" ht="25.0" customHeight="true">
      <c r="A6364" t="s" s="2">
        <v>13</v>
      </c>
      <c r="B6364" t="s" s="2">
        <f>HYPERLINK("http://ts.21cn.com/tousu/show/id/1366448","你我贷借款暴力催收无休止骚扰")</f>
      </c>
      <c r="C6364" t="s" s="2">
        <v>15</v>
      </c>
      <c r="D6364" t="s" s="2">
        <v>16</v>
      </c>
      <c r="E6364" t="s" s="2">
        <v>17</v>
      </c>
      <c r="F6364" t="s" s="2">
        <f>HYPERLINK("http://ts.21cn.com/tousu/show/id/1366448","http://ts.21cn.com/tousu/show/id/1366448")</f>
      </c>
      <c r="G6364" t="s" s="2">
        <v>17</v>
      </c>
      <c r="H6364" t="s" s="2">
        <v>19</v>
      </c>
      <c r="I6364" t="s" s="2">
        <v>24622</v>
      </c>
      <c r="J6364" t="s" s="2">
        <v>24623</v>
      </c>
      <c r="K6364" t="s" s="2">
        <v>22</v>
      </c>
      <c r="L6364" t="s" s="2">
        <v>22</v>
      </c>
      <c r="M6364" t="s" s="2">
        <v>22</v>
      </c>
    </row>
    <row r="6365" ht="25.0" customHeight="true">
      <c r="A6365" t="s" s="2">
        <v>13</v>
      </c>
      <c r="B6365" t="s" s="2">
        <f>HYPERLINK("http://ts.21cn.com/tousu/show/id/1366449","好易借骚扰通讯录")</f>
      </c>
      <c r="C6365" t="s" s="2">
        <v>52</v>
      </c>
      <c r="D6365" t="s" s="2">
        <v>16</v>
      </c>
      <c r="E6365" t="s" s="2">
        <v>17</v>
      </c>
      <c r="F6365" t="s" s="2">
        <f>HYPERLINK("http://ts.21cn.com/tousu/show/id/1366449","http://ts.21cn.com/tousu/show/id/1366449")</f>
      </c>
      <c r="G6365" t="s" s="2">
        <v>17</v>
      </c>
      <c r="H6365" t="s" s="2">
        <v>19</v>
      </c>
      <c r="I6365" t="s" s="2">
        <v>24626</v>
      </c>
      <c r="J6365" t="s" s="2">
        <v>24627</v>
      </c>
      <c r="K6365" t="s" s="2">
        <v>22</v>
      </c>
      <c r="L6365" t="s" s="2">
        <v>22</v>
      </c>
      <c r="M6365" t="s" s="2">
        <v>22</v>
      </c>
    </row>
    <row r="6366" ht="25.0" customHeight="true">
      <c r="A6366" t="s" s="2">
        <v>13</v>
      </c>
      <c r="B6366" t="s" s="2">
        <f>HYPERLINK("http://ts.21cn.com/tousu/show/id/1366447","聚福钱包扣款后无后续应该给的服务")</f>
      </c>
      <c r="C6366" t="s" s="2">
        <v>15</v>
      </c>
      <c r="D6366" t="s" s="2">
        <v>16</v>
      </c>
      <c r="E6366" t="s" s="2">
        <v>17</v>
      </c>
      <c r="F6366" t="s" s="2">
        <f>HYPERLINK("http://ts.21cn.com/tousu/show/id/1366447","http://ts.21cn.com/tousu/show/id/1366447")</f>
      </c>
      <c r="G6366" t="s" s="2">
        <v>17</v>
      </c>
      <c r="H6366" t="s" s="2">
        <v>19</v>
      </c>
      <c r="I6366" t="s" s="2">
        <v>24630</v>
      </c>
      <c r="J6366" t="s" s="2">
        <v>24631</v>
      </c>
      <c r="K6366" t="s" s="2">
        <v>22</v>
      </c>
      <c r="L6366" t="s" s="2">
        <v>22</v>
      </c>
      <c r="M6366" t="s" s="2">
        <v>22</v>
      </c>
    </row>
    <row r="6367" ht="25.0" customHeight="true">
      <c r="A6367" t="s" s="2">
        <v>13</v>
      </c>
      <c r="B6367" t="s" s="2">
        <f>HYPERLINK("http://ts.21cn.com/tousu/show/id/1366446","退回信用卡罚金")</f>
      </c>
      <c r="C6367" t="s" s="2">
        <v>52</v>
      </c>
      <c r="D6367" t="s" s="2">
        <v>16</v>
      </c>
      <c r="E6367" t="s" s="2">
        <v>17</v>
      </c>
      <c r="F6367" t="s" s="2">
        <f>HYPERLINK("http://ts.21cn.com/tousu/show/id/1366446","http://ts.21cn.com/tousu/show/id/1366446")</f>
      </c>
      <c r="G6367" t="s" s="2">
        <v>17</v>
      </c>
      <c r="H6367" t="s" s="2">
        <v>19</v>
      </c>
      <c r="I6367" t="s" s="2">
        <v>24634</v>
      </c>
      <c r="J6367" t="s" s="2">
        <v>24635</v>
      </c>
      <c r="K6367" t="s" s="2">
        <v>22</v>
      </c>
      <c r="L6367" t="s" s="2">
        <v>22</v>
      </c>
      <c r="M6367" t="s" s="2">
        <v>22</v>
      </c>
    </row>
    <row r="6368" ht="25.0" customHeight="true">
      <c r="A6368" t="s" s="2">
        <v>13</v>
      </c>
      <c r="B6368" t="s" s="2">
        <f>HYPERLINK("http://ts.21cn.com/tousu/show/id/1366442","分期乐乱收取综合费用")</f>
      </c>
      <c r="C6368" t="s" s="2">
        <v>15</v>
      </c>
      <c r="D6368" t="s" s="2">
        <v>16</v>
      </c>
      <c r="E6368" t="s" s="2">
        <v>17</v>
      </c>
      <c r="F6368" t="s" s="2">
        <f>HYPERLINK("http://ts.21cn.com/tousu/show/id/1366442","http://ts.21cn.com/tousu/show/id/1366442")</f>
      </c>
      <c r="G6368" t="s" s="2">
        <v>17</v>
      </c>
      <c r="H6368" t="s" s="2">
        <v>19</v>
      </c>
      <c r="I6368" t="s" s="2">
        <v>24638</v>
      </c>
      <c r="J6368" t="s" s="2">
        <v>24639</v>
      </c>
      <c r="K6368" t="s" s="2">
        <v>22</v>
      </c>
      <c r="L6368" t="s" s="2">
        <v>22</v>
      </c>
      <c r="M6368" t="s" s="2">
        <v>22</v>
      </c>
    </row>
    <row r="6369" ht="25.0" customHeight="true">
      <c r="A6369" t="s" s="2">
        <v>13</v>
      </c>
      <c r="B6369" t="s" s="2">
        <f>HYPERLINK("http://ts.21cn.com/tousu/show/id/1366443","读秒")</f>
      </c>
      <c r="C6369" t="s" s="2">
        <v>15</v>
      </c>
      <c r="D6369" t="s" s="2">
        <v>16</v>
      </c>
      <c r="E6369" t="s" s="2">
        <v>17</v>
      </c>
      <c r="F6369" t="s" s="2">
        <f>HYPERLINK("http://ts.21cn.com/tousu/show/id/1366443","http://ts.21cn.com/tousu/show/id/1366443")</f>
      </c>
      <c r="G6369" t="s" s="2">
        <v>17</v>
      </c>
      <c r="H6369" t="s" s="2">
        <v>19</v>
      </c>
      <c r="I6369" t="s" s="2">
        <v>24642</v>
      </c>
      <c r="J6369" t="s" s="2">
        <v>24643</v>
      </c>
      <c r="K6369" t="s" s="2">
        <v>22</v>
      </c>
      <c r="L6369" t="s" s="2">
        <v>22</v>
      </c>
      <c r="M6369" t="s" s="2">
        <v>22</v>
      </c>
    </row>
    <row r="6370" ht="25.0" customHeight="true">
      <c r="A6370" t="s" s="2">
        <v>13</v>
      </c>
      <c r="B6370" t="s" s="2">
        <f>HYPERLINK("http://ts.21cn.com/tousu/show/id/1366441","去哪儿网拿去花威胁暴力催收")</f>
      </c>
      <c r="C6370" t="s" s="2">
        <v>15</v>
      </c>
      <c r="D6370" t="s" s="2">
        <v>16</v>
      </c>
      <c r="E6370" t="s" s="2">
        <v>17</v>
      </c>
      <c r="F6370" t="s" s="2">
        <f>HYPERLINK("http://ts.21cn.com/tousu/show/id/1366441","http://ts.21cn.com/tousu/show/id/1366441")</f>
      </c>
      <c r="G6370" t="s" s="2">
        <v>17</v>
      </c>
      <c r="H6370" t="s" s="2">
        <v>19</v>
      </c>
      <c r="I6370" t="s" s="2">
        <v>24646</v>
      </c>
      <c r="J6370" t="s" s="2">
        <v>24647</v>
      </c>
      <c r="K6370" t="s" s="2">
        <v>22</v>
      </c>
      <c r="L6370" t="s" s="2">
        <v>22</v>
      </c>
      <c r="M6370" t="s" s="2">
        <v>22</v>
      </c>
    </row>
    <row r="6371" ht="25.0" customHeight="true">
      <c r="A6371" t="s" s="2">
        <v>13</v>
      </c>
      <c r="B6371" t="s" s="2">
        <f>HYPERLINK("http://ts.21cn.com/tousu/show/id/1366439","你我贷暴力催收")</f>
      </c>
      <c r="C6371" t="s" s="2">
        <v>15</v>
      </c>
      <c r="D6371" t="s" s="2">
        <v>16</v>
      </c>
      <c r="E6371" t="s" s="2">
        <v>17</v>
      </c>
      <c r="F6371" t="s" s="2">
        <f>HYPERLINK("http://ts.21cn.com/tousu/show/id/1366439","http://ts.21cn.com/tousu/show/id/1366439")</f>
      </c>
      <c r="G6371" t="s" s="2">
        <v>17</v>
      </c>
      <c r="H6371" t="s" s="2">
        <v>19</v>
      </c>
      <c r="I6371" t="s" s="2">
        <v>24649</v>
      </c>
      <c r="J6371" t="s" s="2">
        <v>24650</v>
      </c>
      <c r="K6371" t="s" s="2">
        <v>22</v>
      </c>
      <c r="L6371" t="s" s="2">
        <v>22</v>
      </c>
      <c r="M6371" t="s" s="2">
        <v>22</v>
      </c>
    </row>
    <row r="6372" ht="25.0" customHeight="true">
      <c r="A6372" t="s" s="2">
        <v>13</v>
      </c>
      <c r="B6372" t="s" s="2">
        <f>HYPERLINK("http://ts.21cn.com/tousu/show/id/1366171","网贷时被要求支付6998元")</f>
      </c>
      <c r="C6372" t="s" s="2">
        <v>52</v>
      </c>
      <c r="D6372" t="s" s="2">
        <v>16</v>
      </c>
      <c r="E6372" t="s" s="2">
        <v>17</v>
      </c>
      <c r="F6372" t="s" s="2">
        <f>HYPERLINK("http://ts.21cn.com/tousu/show/id/1366171","http://ts.21cn.com/tousu/show/id/1366171")</f>
      </c>
      <c r="G6372" t="s" s="2">
        <v>17</v>
      </c>
      <c r="H6372" t="s" s="2">
        <v>19</v>
      </c>
      <c r="I6372" t="s" s="2">
        <v>24653</v>
      </c>
      <c r="J6372" t="s" s="2">
        <v>24654</v>
      </c>
      <c r="K6372" t="s" s="2">
        <v>22</v>
      </c>
      <c r="L6372" t="s" s="2">
        <v>22</v>
      </c>
      <c r="M6372" t="s" s="2">
        <v>22</v>
      </c>
    </row>
    <row r="6373" ht="25.0" customHeight="true">
      <c r="A6373" t="s" s="2">
        <v>13</v>
      </c>
      <c r="B6373" t="s" s="2">
        <f>HYPERLINK("http://ts.21cn.com/tousu/show/id/1366440","天津金城随意扣款")</f>
      </c>
      <c r="C6373" t="s" s="2">
        <v>15</v>
      </c>
      <c r="D6373" t="s" s="2">
        <v>16</v>
      </c>
      <c r="E6373" t="s" s="2">
        <v>17</v>
      </c>
      <c r="F6373" t="s" s="2">
        <f>HYPERLINK("http://ts.21cn.com/tousu/show/id/1366440","http://ts.21cn.com/tousu/show/id/1366440")</f>
      </c>
      <c r="G6373" t="s" s="2">
        <v>17</v>
      </c>
      <c r="H6373" t="s" s="2">
        <v>19</v>
      </c>
      <c r="I6373" t="s" s="2">
        <v>24657</v>
      </c>
      <c r="J6373" t="s" s="2">
        <v>24658</v>
      </c>
      <c r="K6373" t="s" s="2">
        <v>22</v>
      </c>
      <c r="L6373" t="s" s="2">
        <v>22</v>
      </c>
      <c r="M6373" t="s" s="2">
        <v>22</v>
      </c>
    </row>
    <row r="6374" ht="25.0" customHeight="true">
      <c r="A6374" t="s" s="2">
        <v>13</v>
      </c>
      <c r="B6374" t="s" s="2">
        <f>HYPERLINK("http://ts.21cn.com/tousu/show/id/1366139","上海寻梦信息科技有限公司划扣银行卡里面的钱扣款不予退款")</f>
      </c>
      <c r="C6374" t="s" s="2">
        <v>15</v>
      </c>
      <c r="D6374" t="s" s="2">
        <v>16</v>
      </c>
      <c r="E6374" t="s" s="2">
        <v>17</v>
      </c>
      <c r="F6374" t="s" s="2">
        <f>HYPERLINK("http://ts.21cn.com/tousu/show/id/1366139","http://ts.21cn.com/tousu/show/id/1366139")</f>
      </c>
      <c r="G6374" t="s" s="2">
        <v>17</v>
      </c>
      <c r="H6374" t="s" s="2">
        <v>19</v>
      </c>
      <c r="I6374" t="s" s="2">
        <v>24661</v>
      </c>
      <c r="J6374" t="s" s="2">
        <v>24662</v>
      </c>
      <c r="K6374" t="s" s="2">
        <v>22</v>
      </c>
      <c r="L6374" t="s" s="2">
        <v>22</v>
      </c>
      <c r="M6374" t="s" s="2">
        <v>22</v>
      </c>
    </row>
    <row r="6375" ht="25.0" customHeight="true">
      <c r="A6375" t="s" s="2">
        <v>13</v>
      </c>
      <c r="B6375" t="s" s="2">
        <f>HYPERLINK("http://ts.21cn.com/tousu/show/id/1366437","钱伴高利贷")</f>
      </c>
      <c r="C6375" t="s" s="2">
        <v>15</v>
      </c>
      <c r="D6375" t="s" s="2">
        <v>16</v>
      </c>
      <c r="E6375" t="s" s="2">
        <v>17</v>
      </c>
      <c r="F6375" t="s" s="2">
        <f>HYPERLINK("http://ts.21cn.com/tousu/show/id/1366437","http://ts.21cn.com/tousu/show/id/1366437")</f>
      </c>
      <c r="G6375" t="s" s="2">
        <v>17</v>
      </c>
      <c r="H6375" t="s" s="2">
        <v>19</v>
      </c>
      <c r="I6375" t="s" s="2">
        <v>24665</v>
      </c>
      <c r="J6375" t="s" s="2">
        <v>24666</v>
      </c>
      <c r="K6375" t="s" s="2">
        <v>22</v>
      </c>
      <c r="L6375" t="s" s="2">
        <v>22</v>
      </c>
      <c r="M6375" t="s" s="2">
        <v>22</v>
      </c>
    </row>
    <row r="6376" ht="25.0" customHeight="true">
      <c r="A6376" t="s" s="2">
        <v>13</v>
      </c>
      <c r="B6376" t="s" s="2">
        <f>HYPERLINK("http://ts.21cn.com/tousu/show/id/1366435","玖富万卡擅自改写合同，变相收取费用，高利贷")</f>
      </c>
      <c r="C6376" t="s" s="2">
        <v>15</v>
      </c>
      <c r="D6376" t="s" s="2">
        <v>16</v>
      </c>
      <c r="E6376" t="s" s="2">
        <v>17</v>
      </c>
      <c r="F6376" t="s" s="2">
        <f>HYPERLINK("http://ts.21cn.com/tousu/show/id/1366435","http://ts.21cn.com/tousu/show/id/1366435")</f>
      </c>
      <c r="G6376" t="s" s="2">
        <v>17</v>
      </c>
      <c r="H6376" t="s" s="2">
        <v>19</v>
      </c>
      <c r="I6376" t="s" s="2">
        <v>24668</v>
      </c>
      <c r="J6376" t="s" s="2">
        <v>24669</v>
      </c>
      <c r="K6376" t="s" s="2">
        <v>22</v>
      </c>
      <c r="L6376" t="s" s="2">
        <v>22</v>
      </c>
      <c r="M6376" t="s" s="2">
        <v>22</v>
      </c>
    </row>
    <row r="6377" ht="25.0" customHeight="true">
      <c r="A6377" t="s" s="2">
        <v>13</v>
      </c>
      <c r="B6377" t="s" s="2">
        <f>HYPERLINK("http://ts.21cn.com/tousu/show/id/1366434","没有在该平台贷款却让我还款")</f>
      </c>
      <c r="C6377" t="s" s="2">
        <v>52</v>
      </c>
      <c r="D6377" t="s" s="2">
        <v>16</v>
      </c>
      <c r="E6377" t="s" s="2">
        <v>17</v>
      </c>
      <c r="F6377" t="s" s="2">
        <f>HYPERLINK("http://ts.21cn.com/tousu/show/id/1366434","http://ts.21cn.com/tousu/show/id/1366434")</f>
      </c>
      <c r="G6377" t="s" s="2">
        <v>17</v>
      </c>
      <c r="H6377" t="s" s="2">
        <v>19</v>
      </c>
      <c r="I6377" t="s" s="2">
        <v>24672</v>
      </c>
      <c r="J6377" t="s" s="2">
        <v>24673</v>
      </c>
      <c r="K6377" t="s" s="2">
        <v>22</v>
      </c>
      <c r="L6377" t="s" s="2">
        <v>22</v>
      </c>
      <c r="M6377" t="s" s="2">
        <v>22</v>
      </c>
    </row>
    <row r="6378" ht="25.0" customHeight="true">
      <c r="A6378" t="s" s="2">
        <v>13</v>
      </c>
      <c r="B6378" t="s" s="2">
        <f>HYPERLINK("http://ts.21cn.com/tousu/show/id/1366432","玖富万卡")</f>
      </c>
      <c r="C6378" t="s" s="2">
        <v>15</v>
      </c>
      <c r="D6378" t="s" s="2">
        <v>16</v>
      </c>
      <c r="E6378" t="s" s="2">
        <v>17</v>
      </c>
      <c r="F6378" t="s" s="2">
        <f>HYPERLINK("http://ts.21cn.com/tousu/show/id/1366432","http://ts.21cn.com/tousu/show/id/1366432")</f>
      </c>
      <c r="G6378" t="s" s="2">
        <v>17</v>
      </c>
      <c r="H6378" t="s" s="2">
        <v>19</v>
      </c>
      <c r="I6378" t="s" s="2">
        <v>24676</v>
      </c>
      <c r="J6378" t="s" s="2">
        <v>24677</v>
      </c>
      <c r="K6378" t="s" s="2">
        <v>22</v>
      </c>
      <c r="L6378" t="s" s="2">
        <v>22</v>
      </c>
      <c r="M6378" t="s" s="2">
        <v>22</v>
      </c>
    </row>
    <row r="6379" ht="25.0" customHeight="true">
      <c r="A6379" t="s" s="2">
        <v>13</v>
      </c>
      <c r="B6379" t="s" s="2">
        <f>HYPERLINK("http://ts.21cn.com/tousu/show/id/1366431","深圳市恒富创融科技有限公司恶意扣我银行卡的钱")</f>
      </c>
      <c r="C6379" t="s" s="2">
        <v>15</v>
      </c>
      <c r="D6379" t="s" s="2">
        <v>16</v>
      </c>
      <c r="E6379" t="s" s="2">
        <v>17</v>
      </c>
      <c r="F6379" t="s" s="2">
        <f>HYPERLINK("http://ts.21cn.com/tousu/show/id/1366431","http://ts.21cn.com/tousu/show/id/1366431")</f>
      </c>
      <c r="G6379" t="s" s="2">
        <v>17</v>
      </c>
      <c r="H6379" t="s" s="2">
        <v>19</v>
      </c>
      <c r="I6379" t="s" s="2">
        <v>24680</v>
      </c>
      <c r="J6379" t="s" s="2">
        <v>24681</v>
      </c>
      <c r="K6379" t="s" s="2">
        <v>22</v>
      </c>
      <c r="L6379" t="s" s="2">
        <v>22</v>
      </c>
      <c r="M6379" t="s" s="2">
        <v>22</v>
      </c>
    </row>
    <row r="6380" ht="25.0" customHeight="true">
      <c r="A6380" t="s" s="2">
        <v>13</v>
      </c>
      <c r="B6380" t="s" s="2">
        <f>HYPERLINK("http://ts.21cn.com/tousu/show/id/1366430","飞贷催收爆通讯录")</f>
      </c>
      <c r="C6380" t="s" s="2">
        <v>15</v>
      </c>
      <c r="D6380" t="s" s="2">
        <v>16</v>
      </c>
      <c r="E6380" t="s" s="2">
        <v>17</v>
      </c>
      <c r="F6380" t="s" s="2">
        <f>HYPERLINK("http://ts.21cn.com/tousu/show/id/1366430","http://ts.21cn.com/tousu/show/id/1366430")</f>
      </c>
      <c r="G6380" t="s" s="2">
        <v>17</v>
      </c>
      <c r="H6380" t="s" s="2">
        <v>19</v>
      </c>
      <c r="I6380" t="s" s="2">
        <v>24684</v>
      </c>
      <c r="J6380" t="s" s="2">
        <v>24685</v>
      </c>
      <c r="K6380" t="s" s="2">
        <v>22</v>
      </c>
      <c r="L6380" t="s" s="2">
        <v>22</v>
      </c>
      <c r="M6380" t="s" s="2">
        <v>22</v>
      </c>
    </row>
    <row r="6381" ht="25.0" customHeight="true">
      <c r="A6381" t="s" s="2">
        <v>13</v>
      </c>
      <c r="B6381" t="s" s="2">
        <f>HYPERLINK("http://ts.21cn.com/tousu/show/id/1366428","快钱支付为多个高利贷平台提供支付业务")</f>
      </c>
      <c r="C6381" t="s" s="2">
        <v>15</v>
      </c>
      <c r="D6381" t="s" s="2">
        <v>16</v>
      </c>
      <c r="E6381" t="s" s="2">
        <v>17</v>
      </c>
      <c r="F6381" t="s" s="2">
        <f>HYPERLINK("http://ts.21cn.com/tousu/show/id/1366428","http://ts.21cn.com/tousu/show/id/1366428")</f>
      </c>
      <c r="G6381" t="s" s="2">
        <v>17</v>
      </c>
      <c r="H6381" t="s" s="2">
        <v>19</v>
      </c>
      <c r="I6381" t="s" s="2">
        <v>24688</v>
      </c>
      <c r="J6381" t="s" s="2">
        <v>24689</v>
      </c>
      <c r="K6381" t="s" s="2">
        <v>22</v>
      </c>
      <c r="L6381" t="s" s="2">
        <v>22</v>
      </c>
      <c r="M6381" t="s" s="2">
        <v>22</v>
      </c>
    </row>
    <row r="6382" ht="25.0" customHeight="true">
      <c r="A6382" t="s" s="2">
        <v>13</v>
      </c>
      <c r="B6382" t="s" s="2">
        <f>HYPERLINK("http://ts.21cn.com/tousu/show/id/1366429","招联金融冻结额度")</f>
      </c>
      <c r="C6382" t="s" s="2">
        <v>52</v>
      </c>
      <c r="D6382" t="s" s="2">
        <v>16</v>
      </c>
      <c r="E6382" t="s" s="2">
        <v>17</v>
      </c>
      <c r="F6382" t="s" s="2">
        <f>HYPERLINK("http://ts.21cn.com/tousu/show/id/1366429","http://ts.21cn.com/tousu/show/id/1366429")</f>
      </c>
      <c r="G6382" t="s" s="2">
        <v>17</v>
      </c>
      <c r="H6382" t="s" s="2">
        <v>19</v>
      </c>
      <c r="I6382" t="s" s="2">
        <v>24688</v>
      </c>
      <c r="J6382" t="s" s="2">
        <v>24692</v>
      </c>
      <c r="K6382" t="s" s="2">
        <v>22</v>
      </c>
      <c r="L6382" t="s" s="2">
        <v>22</v>
      </c>
      <c r="M6382" t="s" s="2">
        <v>22</v>
      </c>
    </row>
    <row r="6383" ht="25.0" customHeight="true">
      <c r="A6383" t="s" s="2">
        <v>13</v>
      </c>
      <c r="B6383" t="s" s="2">
        <f>HYPERLINK("http://ts.21cn.com/tousu/show/id/1366425","宜人贷APP严重违反监管部门下发的《关于规范整顿“现金贷”业务的通知》，收取高额砍头息2.8万余元")</f>
      </c>
      <c r="C6383" t="s" s="2">
        <v>52</v>
      </c>
      <c r="D6383" t="s" s="2">
        <v>16</v>
      </c>
      <c r="E6383" t="s" s="2">
        <v>17</v>
      </c>
      <c r="F6383" t="s" s="2">
        <f>HYPERLINK("http://ts.21cn.com/tousu/show/id/1366425","http://ts.21cn.com/tousu/show/id/1366425")</f>
      </c>
      <c r="G6383" t="s" s="2">
        <v>17</v>
      </c>
      <c r="H6383" t="s" s="2">
        <v>19</v>
      </c>
      <c r="I6383" t="s" s="2">
        <v>24695</v>
      </c>
      <c r="J6383" t="s" s="2">
        <v>24696</v>
      </c>
      <c r="K6383" t="s" s="2">
        <v>22</v>
      </c>
      <c r="L6383" t="s" s="2">
        <v>22</v>
      </c>
      <c r="M6383" t="s" s="2">
        <v>22</v>
      </c>
    </row>
    <row r="6384" ht="25.0" customHeight="true">
      <c r="A6384" t="s" s="2">
        <v>13</v>
      </c>
      <c r="B6384" t="s" s="2">
        <f>HYPERLINK("http://ts.21cn.com/tousu/show/id/1366424","微博借钱骚扰")</f>
      </c>
      <c r="C6384" t="s" s="2">
        <v>15</v>
      </c>
      <c r="D6384" t="s" s="2">
        <v>16</v>
      </c>
      <c r="E6384" t="s" s="2">
        <v>17</v>
      </c>
      <c r="F6384" t="s" s="2">
        <f>HYPERLINK("http://ts.21cn.com/tousu/show/id/1366424","http://ts.21cn.com/tousu/show/id/1366424")</f>
      </c>
      <c r="G6384" t="s" s="2">
        <v>17</v>
      </c>
      <c r="H6384" t="s" s="2">
        <v>19</v>
      </c>
      <c r="I6384" t="s" s="2">
        <v>24699</v>
      </c>
      <c r="J6384" t="s" s="2">
        <v>24700</v>
      </c>
      <c r="K6384" t="s" s="2">
        <v>22</v>
      </c>
      <c r="L6384" t="s" s="2">
        <v>22</v>
      </c>
      <c r="M6384" t="s" s="2">
        <v>22</v>
      </c>
    </row>
    <row r="6385" ht="25.0" customHeight="true">
      <c r="A6385" t="s" s="2">
        <v>13</v>
      </c>
      <c r="B6385" t="s" s="2">
        <f>HYPERLINK("http://ts.21cn.com/tousu/show/id/1366421","恶意群发信息")</f>
      </c>
      <c r="C6385" t="s" s="2">
        <v>15</v>
      </c>
      <c r="D6385" t="s" s="2">
        <v>16</v>
      </c>
      <c r="E6385" t="s" s="2">
        <v>17</v>
      </c>
      <c r="F6385" t="s" s="2">
        <f>HYPERLINK("http://ts.21cn.com/tousu/show/id/1366421","http://ts.21cn.com/tousu/show/id/1366421")</f>
      </c>
      <c r="G6385" t="s" s="2">
        <v>17</v>
      </c>
      <c r="H6385" t="s" s="2">
        <v>19</v>
      </c>
      <c r="I6385" t="s" s="2">
        <v>24703</v>
      </c>
      <c r="J6385" t="s" s="2">
        <v>24704</v>
      </c>
      <c r="K6385" t="s" s="2">
        <v>22</v>
      </c>
      <c r="L6385" t="s" s="2">
        <v>22</v>
      </c>
      <c r="M6385" t="s" s="2">
        <v>22</v>
      </c>
    </row>
    <row r="6386" ht="25.0" customHeight="true">
      <c r="A6386" t="s" s="2">
        <v>13</v>
      </c>
      <c r="B6386" t="s" s="2">
        <f>HYPERLINK("http://ts.21cn.com/tousu/show/id/1366262","遵义湘江投资公司卖房不交房")</f>
      </c>
      <c r="C6386" t="s" s="2">
        <v>15</v>
      </c>
      <c r="D6386" t="s" s="2">
        <v>16</v>
      </c>
      <c r="E6386" t="s" s="2">
        <v>17</v>
      </c>
      <c r="F6386" t="s" s="2">
        <f>HYPERLINK("http://ts.21cn.com/tousu/show/id/1366262","http://ts.21cn.com/tousu/show/id/1366262")</f>
      </c>
      <c r="G6386" t="s" s="2">
        <v>17</v>
      </c>
      <c r="H6386" t="s" s="2">
        <v>19</v>
      </c>
      <c r="I6386" t="s" s="2">
        <v>24706</v>
      </c>
      <c r="J6386" t="s" s="2">
        <v>9866</v>
      </c>
      <c r="K6386" t="s" s="2">
        <v>22</v>
      </c>
      <c r="L6386" t="s" s="2">
        <v>22</v>
      </c>
      <c r="M6386" t="s" s="2">
        <v>22</v>
      </c>
    </row>
    <row r="6387" ht="25.0" customHeight="true">
      <c r="A6387" t="s" s="2">
        <v>13</v>
      </c>
      <c r="B6387" t="s" s="2">
        <f>HYPERLINK("http://ts.21cn.com/tousu/show/id/1366419","花转转平台樱桃小借高利贷协商无果")</f>
      </c>
      <c r="C6387" t="s" s="2">
        <v>15</v>
      </c>
      <c r="D6387" t="s" s="2">
        <v>16</v>
      </c>
      <c r="E6387" t="s" s="2">
        <v>17</v>
      </c>
      <c r="F6387" t="s" s="2">
        <f>HYPERLINK("http://ts.21cn.com/tousu/show/id/1366419","http://ts.21cn.com/tousu/show/id/1366419")</f>
      </c>
      <c r="G6387" t="s" s="2">
        <v>17</v>
      </c>
      <c r="H6387" t="s" s="2">
        <v>19</v>
      </c>
      <c r="I6387" t="s" s="2">
        <v>24709</v>
      </c>
      <c r="J6387" t="s" s="2">
        <v>24710</v>
      </c>
      <c r="K6387" t="s" s="2">
        <v>22</v>
      </c>
      <c r="L6387" t="s" s="2">
        <v>22</v>
      </c>
      <c r="M6387" t="s" s="2">
        <v>22</v>
      </c>
    </row>
    <row r="6388" ht="25.0" customHeight="true">
      <c r="A6388" t="s" s="2">
        <v>13</v>
      </c>
      <c r="B6388" t="s" s="2">
        <f>HYPERLINK("http://ts.21cn.com/tousu/show/id/1366418","发信息侮辱家人")</f>
      </c>
      <c r="C6388" t="s" s="2">
        <v>15</v>
      </c>
      <c r="D6388" t="s" s="2">
        <v>16</v>
      </c>
      <c r="E6388" t="s" s="2">
        <v>17</v>
      </c>
      <c r="F6388" t="s" s="2">
        <f>HYPERLINK("http://ts.21cn.com/tousu/show/id/1366418","http://ts.21cn.com/tousu/show/id/1366418")</f>
      </c>
      <c r="G6388" t="s" s="2">
        <v>17</v>
      </c>
      <c r="H6388" t="s" s="2">
        <v>19</v>
      </c>
      <c r="I6388" t="s" s="2">
        <v>24713</v>
      </c>
      <c r="J6388" t="s" s="2">
        <v>24714</v>
      </c>
      <c r="K6388" t="s" s="2">
        <v>22</v>
      </c>
      <c r="L6388" t="s" s="2">
        <v>22</v>
      </c>
      <c r="M6388" t="s" s="2">
        <v>22</v>
      </c>
    </row>
    <row r="6389" ht="25.0" customHeight="true">
      <c r="A6389" t="s" s="2">
        <v>13</v>
      </c>
      <c r="B6389" t="s" s="2">
        <f>HYPERLINK("http://ts.21cn.com/tousu/show/id/1366416","爆通讯录")</f>
      </c>
      <c r="C6389" t="s" s="2">
        <v>15</v>
      </c>
      <c r="D6389" t="s" s="2">
        <v>16</v>
      </c>
      <c r="E6389" t="s" s="2">
        <v>17</v>
      </c>
      <c r="F6389" t="s" s="2">
        <f>HYPERLINK("http://ts.21cn.com/tousu/show/id/1366416","http://ts.21cn.com/tousu/show/id/1366416")</f>
      </c>
      <c r="G6389" t="s" s="2">
        <v>17</v>
      </c>
      <c r="H6389" t="s" s="2">
        <v>19</v>
      </c>
      <c r="I6389" t="s" s="2">
        <v>24716</v>
      </c>
      <c r="J6389" t="s" s="2">
        <v>24717</v>
      </c>
      <c r="K6389" t="s" s="2">
        <v>22</v>
      </c>
      <c r="L6389" t="s" s="2">
        <v>22</v>
      </c>
      <c r="M6389" t="s" s="2">
        <v>22</v>
      </c>
    </row>
    <row r="6390" ht="25.0" customHeight="true">
      <c r="A6390" t="s" s="2">
        <v>13</v>
      </c>
      <c r="B6390" t="s" s="2">
        <f>HYPERLINK("http://ts.21cn.com/tousu/show/id/1366417","汇收宜欺诈、恶意扣押、全额退款")</f>
      </c>
      <c r="C6390" t="s" s="2">
        <v>15</v>
      </c>
      <c r="D6390" t="s" s="2">
        <v>16</v>
      </c>
      <c r="E6390" t="s" s="2">
        <v>17</v>
      </c>
      <c r="F6390" t="s" s="2">
        <f>HYPERLINK("http://ts.21cn.com/tousu/show/id/1366417","http://ts.21cn.com/tousu/show/id/1366417")</f>
      </c>
      <c r="G6390" t="s" s="2">
        <v>17</v>
      </c>
      <c r="H6390" t="s" s="2">
        <v>19</v>
      </c>
      <c r="I6390" t="s" s="2">
        <v>24720</v>
      </c>
      <c r="J6390" t="s" s="2">
        <v>24721</v>
      </c>
      <c r="K6390" t="s" s="2">
        <v>22</v>
      </c>
      <c r="L6390" t="s" s="2">
        <v>22</v>
      </c>
      <c r="M6390" t="s" s="2">
        <v>22</v>
      </c>
    </row>
    <row r="6391" ht="25.0" customHeight="true">
      <c r="A6391" t="s" s="2">
        <v>13</v>
      </c>
      <c r="B6391" t="s" s="2">
        <f>HYPERLINK("http://ts.21cn.com/tousu/show/id/1366414","高利贷，黑平台")</f>
      </c>
      <c r="C6391" t="s" s="2">
        <v>15</v>
      </c>
      <c r="D6391" t="s" s="2">
        <v>16</v>
      </c>
      <c r="E6391" t="s" s="2">
        <v>17</v>
      </c>
      <c r="F6391" t="s" s="2">
        <f>HYPERLINK("http://ts.21cn.com/tousu/show/id/1366414","http://ts.21cn.com/tousu/show/id/1366414")</f>
      </c>
      <c r="G6391" t="s" s="2">
        <v>17</v>
      </c>
      <c r="H6391" t="s" s="2">
        <v>19</v>
      </c>
      <c r="I6391" t="s" s="2">
        <v>24724</v>
      </c>
      <c r="J6391" t="s" s="2">
        <v>24725</v>
      </c>
      <c r="K6391" t="s" s="2">
        <v>22</v>
      </c>
      <c r="L6391" t="s" s="2">
        <v>22</v>
      </c>
      <c r="M6391" t="s" s="2">
        <v>22</v>
      </c>
    </row>
    <row r="6392" ht="25.0" customHeight="true">
      <c r="A6392" t="s" s="2">
        <v>13</v>
      </c>
      <c r="B6392" t="s" s="2">
        <f>HYPERLINK("http://ts.21cn.com/tousu/show/id/1366399","不按要求随意划扣银行卡资金")</f>
      </c>
      <c r="C6392" t="s" s="2">
        <v>15</v>
      </c>
      <c r="D6392" t="s" s="2">
        <v>16</v>
      </c>
      <c r="E6392" t="s" s="2">
        <v>17</v>
      </c>
      <c r="F6392" t="s" s="2">
        <f>HYPERLINK("http://ts.21cn.com/tousu/show/id/1366399","http://ts.21cn.com/tousu/show/id/1366399")</f>
      </c>
      <c r="G6392" t="s" s="2">
        <v>17</v>
      </c>
      <c r="H6392" t="s" s="2">
        <v>19</v>
      </c>
      <c r="I6392" t="s" s="2">
        <v>24728</v>
      </c>
      <c r="J6392" t="s" s="2">
        <v>24729</v>
      </c>
      <c r="K6392" t="s" s="2">
        <v>22</v>
      </c>
      <c r="L6392" t="s" s="2">
        <v>22</v>
      </c>
      <c r="M6392" t="s" s="2">
        <v>22</v>
      </c>
    </row>
    <row r="6393" ht="25.0" customHeight="true">
      <c r="A6393" t="s" s="2">
        <v>13</v>
      </c>
      <c r="B6393" t="s" s="2">
        <f>HYPERLINK("http://ts.21cn.com/tousu/show/id/1366413","罗汉分期不经本人同意乱扣费")</f>
      </c>
      <c r="C6393" t="s" s="2">
        <v>15</v>
      </c>
      <c r="D6393" t="s" s="2">
        <v>16</v>
      </c>
      <c r="E6393" t="s" s="2">
        <v>17</v>
      </c>
      <c r="F6393" t="s" s="2">
        <f>HYPERLINK("http://ts.21cn.com/tousu/show/id/1366413","http://ts.21cn.com/tousu/show/id/1366413")</f>
      </c>
      <c r="G6393" t="s" s="2">
        <v>17</v>
      </c>
      <c r="H6393" t="s" s="2">
        <v>19</v>
      </c>
      <c r="I6393" t="s" s="2">
        <v>24732</v>
      </c>
      <c r="J6393" t="s" s="2">
        <v>24733</v>
      </c>
      <c r="K6393" t="s" s="2">
        <v>22</v>
      </c>
      <c r="L6393" t="s" s="2">
        <v>22</v>
      </c>
      <c r="M6393" t="s" s="2">
        <v>22</v>
      </c>
    </row>
    <row r="6394" ht="25.0" customHeight="true">
      <c r="A6394" t="s" s="2">
        <v>13</v>
      </c>
      <c r="B6394" t="s" s="2">
        <f>HYPERLINK("http://ts.21cn.com/tousu/show/id/1366412","高利贷，砍头息，阴阳合同")</f>
      </c>
      <c r="C6394" t="s" s="2">
        <v>15</v>
      </c>
      <c r="D6394" t="s" s="2">
        <v>16</v>
      </c>
      <c r="E6394" t="s" s="2">
        <v>17</v>
      </c>
      <c r="F6394" t="s" s="2">
        <f>HYPERLINK("http://ts.21cn.com/tousu/show/id/1366412","http://ts.21cn.com/tousu/show/id/1366412")</f>
      </c>
      <c r="G6394" t="s" s="2">
        <v>17</v>
      </c>
      <c r="H6394" t="s" s="2">
        <v>19</v>
      </c>
      <c r="I6394" t="s" s="2">
        <v>24736</v>
      </c>
      <c r="J6394" t="s" s="2">
        <v>24737</v>
      </c>
      <c r="K6394" t="s" s="2">
        <v>22</v>
      </c>
      <c r="L6394" t="s" s="2">
        <v>22</v>
      </c>
      <c r="M6394" t="s" s="2">
        <v>22</v>
      </c>
    </row>
    <row r="6395" ht="25.0" customHeight="true">
      <c r="A6395" t="s" s="2">
        <v>13</v>
      </c>
      <c r="B6395" t="s" s="2">
        <f>HYPERLINK("http://ts.21cn.com/tousu/show/id/1366410","腾讯会员重复扣费")</f>
      </c>
      <c r="C6395" t="s" s="2">
        <v>52</v>
      </c>
      <c r="D6395" t="s" s="2">
        <v>16</v>
      </c>
      <c r="E6395" t="s" s="2">
        <v>17</v>
      </c>
      <c r="F6395" t="s" s="2">
        <f>HYPERLINK("http://ts.21cn.com/tousu/show/id/1366410","http://ts.21cn.com/tousu/show/id/1366410")</f>
      </c>
      <c r="G6395" t="s" s="2">
        <v>17</v>
      </c>
      <c r="H6395" t="s" s="2">
        <v>19</v>
      </c>
      <c r="I6395" t="s" s="2">
        <v>24740</v>
      </c>
      <c r="J6395" t="s" s="2">
        <v>24741</v>
      </c>
      <c r="K6395" t="s" s="2">
        <v>22</v>
      </c>
      <c r="L6395" t="s" s="2">
        <v>22</v>
      </c>
      <c r="M6395" t="s" s="2">
        <v>22</v>
      </c>
    </row>
    <row r="6396" ht="25.0" customHeight="true">
      <c r="A6396" t="s" s="2">
        <v>13</v>
      </c>
      <c r="B6396" t="s" s="2">
        <f>HYPERLINK("http://ts.21cn.com/tousu/show/id/1366408","拼多多无故冻结店铺资金，不让提现")</f>
      </c>
      <c r="C6396" t="s" s="2">
        <v>15</v>
      </c>
      <c r="D6396" t="s" s="2">
        <v>16</v>
      </c>
      <c r="E6396" t="s" s="2">
        <v>17</v>
      </c>
      <c r="F6396" t="s" s="2">
        <f>HYPERLINK("http://ts.21cn.com/tousu/show/id/1366408","http://ts.21cn.com/tousu/show/id/1366408")</f>
      </c>
      <c r="G6396" t="s" s="2">
        <v>17</v>
      </c>
      <c r="H6396" t="s" s="2">
        <v>19</v>
      </c>
      <c r="I6396" t="s" s="2">
        <v>24744</v>
      </c>
      <c r="J6396" t="s" s="2">
        <v>24745</v>
      </c>
      <c r="K6396" t="s" s="2">
        <v>22</v>
      </c>
      <c r="L6396" t="s" s="2">
        <v>22</v>
      </c>
      <c r="M6396" t="s" s="2">
        <v>22</v>
      </c>
    </row>
    <row r="6397" ht="25.0" customHeight="true">
      <c r="A6397" t="s" s="2">
        <v>13</v>
      </c>
      <c r="B6397" t="s" s="2">
        <f>HYPERLINK("http://ts.21cn.com/tousu/show/id/1366407","暴力催收骚扰通讯录")</f>
      </c>
      <c r="C6397" t="s" s="2">
        <v>15</v>
      </c>
      <c r="D6397" t="s" s="2">
        <v>16</v>
      </c>
      <c r="E6397" t="s" s="2">
        <v>17</v>
      </c>
      <c r="F6397" t="s" s="2">
        <f>HYPERLINK("http://ts.21cn.com/tousu/show/id/1366407","http://ts.21cn.com/tousu/show/id/1366407")</f>
      </c>
      <c r="G6397" t="s" s="2">
        <v>17</v>
      </c>
      <c r="H6397" t="s" s="2">
        <v>19</v>
      </c>
      <c r="I6397" t="s" s="2">
        <v>24747</v>
      </c>
      <c r="J6397" t="s" s="2">
        <v>24748</v>
      </c>
      <c r="K6397" t="s" s="2">
        <v>22</v>
      </c>
      <c r="L6397" t="s" s="2">
        <v>22</v>
      </c>
      <c r="M6397" t="s" s="2">
        <v>22</v>
      </c>
    </row>
    <row r="6398" ht="25.0" customHeight="true">
      <c r="A6398" t="s" s="2">
        <v>13</v>
      </c>
      <c r="B6398" t="s" s="2">
        <f>HYPERLINK("http://ts.21cn.com/tousu/show/id/1366406","我点开会员服务，退出来直接扣款了")</f>
      </c>
      <c r="C6398" t="s" s="2">
        <v>52</v>
      </c>
      <c r="D6398" t="s" s="2">
        <v>16</v>
      </c>
      <c r="E6398" t="s" s="2">
        <v>17</v>
      </c>
      <c r="F6398" t="s" s="2">
        <f>HYPERLINK("http://ts.21cn.com/tousu/show/id/1366406","http://ts.21cn.com/tousu/show/id/1366406")</f>
      </c>
      <c r="G6398" t="s" s="2">
        <v>17</v>
      </c>
      <c r="H6398" t="s" s="2">
        <v>19</v>
      </c>
      <c r="I6398" t="s" s="2">
        <v>24751</v>
      </c>
      <c r="J6398" t="s" s="2">
        <v>24752</v>
      </c>
      <c r="K6398" t="s" s="2">
        <v>22</v>
      </c>
      <c r="L6398" t="s" s="2">
        <v>22</v>
      </c>
      <c r="M6398" t="s" s="2">
        <v>22</v>
      </c>
    </row>
    <row r="6399" ht="25.0" customHeight="true">
      <c r="A6399" t="s" s="2">
        <v>13</v>
      </c>
      <c r="B6399" t="s" s="2">
        <f>HYPERLINK("http://ts.21cn.com/tousu/show/id/1366405","花转转、樱桃小借")</f>
      </c>
      <c r="C6399" t="s" s="2">
        <v>15</v>
      </c>
      <c r="D6399" t="s" s="2">
        <v>16</v>
      </c>
      <c r="E6399" t="s" s="2">
        <v>17</v>
      </c>
      <c r="F6399" t="s" s="2">
        <f>HYPERLINK("http://ts.21cn.com/tousu/show/id/1366405","http://ts.21cn.com/tousu/show/id/1366405")</f>
      </c>
      <c r="G6399" t="s" s="2">
        <v>17</v>
      </c>
      <c r="H6399" t="s" s="2">
        <v>19</v>
      </c>
      <c r="I6399" t="s" s="2">
        <v>24755</v>
      </c>
      <c r="J6399" t="s" s="2">
        <v>24756</v>
      </c>
      <c r="K6399" t="s" s="2">
        <v>22</v>
      </c>
      <c r="L6399" t="s" s="2">
        <v>22</v>
      </c>
      <c r="M6399" t="s" s="2">
        <v>22</v>
      </c>
    </row>
    <row r="6400" ht="25.0" customHeight="true">
      <c r="A6400" t="s" s="2">
        <v>13</v>
      </c>
      <c r="B6400" t="s" s="2">
        <f>HYPERLINK("http://ts.21cn.com/tousu/show/id/1366404","玖富万卡高利贷，阴阳合同")</f>
      </c>
      <c r="C6400" t="s" s="2">
        <v>15</v>
      </c>
      <c r="D6400" t="s" s="2">
        <v>16</v>
      </c>
      <c r="E6400" t="s" s="2">
        <v>17</v>
      </c>
      <c r="F6400" t="s" s="2">
        <f>HYPERLINK("http://ts.21cn.com/tousu/show/id/1366404","http://ts.21cn.com/tousu/show/id/1366404")</f>
      </c>
      <c r="G6400" t="s" s="2">
        <v>17</v>
      </c>
      <c r="H6400" t="s" s="2">
        <v>19</v>
      </c>
      <c r="I6400" t="s" s="2">
        <v>24758</v>
      </c>
      <c r="J6400" t="s" s="2">
        <v>24759</v>
      </c>
      <c r="K6400" t="s" s="2">
        <v>22</v>
      </c>
      <c r="L6400" t="s" s="2">
        <v>22</v>
      </c>
      <c r="M6400" t="s" s="2">
        <v>22</v>
      </c>
    </row>
    <row r="6401" ht="25.0" customHeight="true">
      <c r="A6401" t="s" s="2">
        <v>13</v>
      </c>
      <c r="B6401" t="s" s="2">
        <f>HYPERLINK("http://ts.21cn.com/tousu/show/id/1366402","拖欠员工工资")</f>
      </c>
      <c r="C6401" t="s" s="2">
        <v>15</v>
      </c>
      <c r="D6401" t="s" s="2">
        <v>16</v>
      </c>
      <c r="E6401" t="s" s="2">
        <v>17</v>
      </c>
      <c r="F6401" t="s" s="2">
        <f>HYPERLINK("http://ts.21cn.com/tousu/show/id/1366402","http://ts.21cn.com/tousu/show/id/1366402")</f>
      </c>
      <c r="G6401" t="s" s="2">
        <v>17</v>
      </c>
      <c r="H6401" t="s" s="2">
        <v>19</v>
      </c>
      <c r="I6401" t="s" s="2">
        <v>24762</v>
      </c>
      <c r="J6401" t="s" s="2">
        <v>24763</v>
      </c>
      <c r="K6401" t="s" s="2">
        <v>22</v>
      </c>
      <c r="L6401" t="s" s="2">
        <v>22</v>
      </c>
      <c r="M6401" t="s" s="2">
        <v>22</v>
      </c>
    </row>
    <row r="6402" ht="25.0" customHeight="true">
      <c r="A6402" t="s" s="2">
        <v>13</v>
      </c>
      <c r="B6402" t="s" s="2">
        <f>HYPERLINK("http://ts.21cn.com/tousu/show/id/1366398","智行火车票在不知情况下收入40元服务费要求退费")</f>
      </c>
      <c r="C6402" t="s" s="2">
        <v>15</v>
      </c>
      <c r="D6402" t="s" s="2">
        <v>16</v>
      </c>
      <c r="E6402" t="s" s="2">
        <v>17</v>
      </c>
      <c r="F6402" t="s" s="2">
        <f>HYPERLINK("http://ts.21cn.com/tousu/show/id/1366398","http://ts.21cn.com/tousu/show/id/1366398")</f>
      </c>
      <c r="G6402" t="s" s="2">
        <v>17</v>
      </c>
      <c r="H6402" t="s" s="2">
        <v>19</v>
      </c>
      <c r="I6402" t="s" s="2">
        <v>24766</v>
      </c>
      <c r="J6402" t="s" s="2">
        <v>24767</v>
      </c>
      <c r="K6402" t="s" s="2">
        <v>22</v>
      </c>
      <c r="L6402" t="s" s="2">
        <v>22</v>
      </c>
      <c r="M6402" t="s" s="2">
        <v>22</v>
      </c>
    </row>
    <row r="6403" ht="25.0" customHeight="true">
      <c r="A6403" t="s" s="2">
        <v>13</v>
      </c>
      <c r="B6403" t="s" s="2">
        <f>HYPERLINK("http://ts.21cn.com/tousu/show/id/1366397","铂爵旅拍言不符实虚假宣传")</f>
      </c>
      <c r="C6403" t="s" s="2">
        <v>15</v>
      </c>
      <c r="D6403" t="s" s="2">
        <v>16</v>
      </c>
      <c r="E6403" t="s" s="2">
        <v>17</v>
      </c>
      <c r="F6403" t="s" s="2">
        <f>HYPERLINK("http://ts.21cn.com/tousu/show/id/1366397","http://ts.21cn.com/tousu/show/id/1366397")</f>
      </c>
      <c r="G6403" t="s" s="2">
        <v>17</v>
      </c>
      <c r="H6403" t="s" s="2">
        <v>19</v>
      </c>
      <c r="I6403" t="s" s="2">
        <v>24770</v>
      </c>
      <c r="J6403" t="s" s="2">
        <v>24771</v>
      </c>
      <c r="K6403" t="s" s="2">
        <v>22</v>
      </c>
      <c r="L6403" t="s" s="2">
        <v>22</v>
      </c>
      <c r="M6403" t="s" s="2">
        <v>22</v>
      </c>
    </row>
    <row r="6404" ht="25.0" customHeight="true">
      <c r="A6404" t="s" s="2">
        <v>13</v>
      </c>
      <c r="B6404" t="s" s="2">
        <f>HYPERLINK("http://ts.21cn.com/tousu/show/id/1366395","小花钱包威胁打通讯录")</f>
      </c>
      <c r="C6404" t="s" s="2">
        <v>15</v>
      </c>
      <c r="D6404" t="s" s="2">
        <v>16</v>
      </c>
      <c r="E6404" t="s" s="2">
        <v>17</v>
      </c>
      <c r="F6404" t="s" s="2">
        <f>HYPERLINK("http://ts.21cn.com/tousu/show/id/1366395","http://ts.21cn.com/tousu/show/id/1366395")</f>
      </c>
      <c r="G6404" t="s" s="2">
        <v>17</v>
      </c>
      <c r="H6404" t="s" s="2">
        <v>19</v>
      </c>
      <c r="I6404" t="s" s="2">
        <v>24774</v>
      </c>
      <c r="J6404" t="s" s="2">
        <v>24775</v>
      </c>
      <c r="K6404" t="s" s="2">
        <v>22</v>
      </c>
      <c r="L6404" t="s" s="2">
        <v>22</v>
      </c>
      <c r="M6404" t="s" s="2">
        <v>22</v>
      </c>
    </row>
    <row r="6405" ht="25.0" customHeight="true">
      <c r="A6405" t="s" s="2">
        <v>13</v>
      </c>
      <c r="B6405" t="s" s="2">
        <f>HYPERLINK("http://ts.21cn.com/tousu/show/id/1366396","招商银行威胁不联系本人")</f>
      </c>
      <c r="C6405" t="s" s="2">
        <v>15</v>
      </c>
      <c r="D6405" t="s" s="2">
        <v>16</v>
      </c>
      <c r="E6405" t="s" s="2">
        <v>17</v>
      </c>
      <c r="F6405" t="s" s="2">
        <f>HYPERLINK("http://ts.21cn.com/tousu/show/id/1366396","http://ts.21cn.com/tousu/show/id/1366396")</f>
      </c>
      <c r="G6405" t="s" s="2">
        <v>17</v>
      </c>
      <c r="H6405" t="s" s="2">
        <v>19</v>
      </c>
      <c r="I6405" t="s" s="2">
        <v>24778</v>
      </c>
      <c r="J6405" t="s" s="2">
        <v>24779</v>
      </c>
      <c r="K6405" t="s" s="2">
        <v>22</v>
      </c>
      <c r="L6405" t="s" s="2">
        <v>22</v>
      </c>
      <c r="M6405" t="s" s="2">
        <v>22</v>
      </c>
    </row>
    <row r="6406" ht="25.0" customHeight="true">
      <c r="A6406" t="s" s="2">
        <v>13</v>
      </c>
      <c r="B6406" t="s" s="2">
        <f>HYPERLINK("http://ts.21cn.com/tousu/show/id/1366394","信号不好")</f>
      </c>
      <c r="C6406" t="s" s="2">
        <v>15</v>
      </c>
      <c r="D6406" t="s" s="2">
        <v>16</v>
      </c>
      <c r="E6406" t="s" s="2">
        <v>17</v>
      </c>
      <c r="F6406" t="s" s="2">
        <f>HYPERLINK("http://ts.21cn.com/tousu/show/id/1366394","http://ts.21cn.com/tousu/show/id/1366394")</f>
      </c>
      <c r="G6406" t="s" s="2">
        <v>17</v>
      </c>
      <c r="H6406" t="s" s="2">
        <v>19</v>
      </c>
      <c r="I6406" t="s" s="2">
        <v>24782</v>
      </c>
      <c r="J6406" t="s" s="2">
        <v>24783</v>
      </c>
      <c r="K6406" t="s" s="2">
        <v>22</v>
      </c>
      <c r="L6406" t="s" s="2">
        <v>22</v>
      </c>
      <c r="M6406" t="s" s="2">
        <v>22</v>
      </c>
    </row>
    <row r="6407" ht="25.0" customHeight="true">
      <c r="A6407" t="s" s="2">
        <v>13</v>
      </c>
      <c r="B6407" t="s" s="2">
        <f>HYPERLINK("http://ts.21cn.com/tousu/show/id/1366392","来分期暴力催收，骚扰通讯录，恐吓威胁，态度恶劣")</f>
      </c>
      <c r="C6407" t="s" s="2">
        <v>15</v>
      </c>
      <c r="D6407" t="s" s="2">
        <v>16</v>
      </c>
      <c r="E6407" t="s" s="2">
        <v>17</v>
      </c>
      <c r="F6407" t="s" s="2">
        <f>HYPERLINK("http://ts.21cn.com/tousu/show/id/1366392","http://ts.21cn.com/tousu/show/id/1366392")</f>
      </c>
      <c r="G6407" t="s" s="2">
        <v>17</v>
      </c>
      <c r="H6407" t="s" s="2">
        <v>19</v>
      </c>
      <c r="I6407" t="s" s="2">
        <v>24786</v>
      </c>
      <c r="J6407" t="s" s="2">
        <v>24787</v>
      </c>
      <c r="K6407" t="s" s="2">
        <v>22</v>
      </c>
      <c r="L6407" t="s" s="2">
        <v>22</v>
      </c>
      <c r="M6407" t="s" s="2">
        <v>22</v>
      </c>
    </row>
    <row r="6408" ht="25.0" customHeight="true">
      <c r="A6408" t="s" s="2">
        <v>13</v>
      </c>
      <c r="B6408" t="s" s="2">
        <f>HYPERLINK("http://ts.21cn.com/tousu/show/id/1366391","闪银奇异电话骚扰暴力催收")</f>
      </c>
      <c r="C6408" t="s" s="2">
        <v>15</v>
      </c>
      <c r="D6408" t="s" s="2">
        <v>16</v>
      </c>
      <c r="E6408" t="s" s="2">
        <v>17</v>
      </c>
      <c r="F6408" t="s" s="2">
        <f>HYPERLINK("http://ts.21cn.com/tousu/show/id/1366391","http://ts.21cn.com/tousu/show/id/1366391")</f>
      </c>
      <c r="G6408" t="s" s="2">
        <v>17</v>
      </c>
      <c r="H6408" t="s" s="2">
        <v>19</v>
      </c>
      <c r="I6408" t="s" s="2">
        <v>24790</v>
      </c>
      <c r="J6408" t="s" s="2">
        <v>24791</v>
      </c>
      <c r="K6408" t="s" s="2">
        <v>22</v>
      </c>
      <c r="L6408" t="s" s="2">
        <v>22</v>
      </c>
      <c r="M6408" t="s" s="2">
        <v>22</v>
      </c>
    </row>
    <row r="6409" ht="25.0" customHeight="true">
      <c r="A6409" t="s" s="2">
        <v>13</v>
      </c>
      <c r="B6409" t="s" s="2">
        <f>HYPERLINK("http://ts.21cn.com/tousu/show/id/1366393","随意扣款r欺诈消费者")</f>
      </c>
      <c r="C6409" t="s" s="2">
        <v>15</v>
      </c>
      <c r="D6409" t="s" s="2">
        <v>16</v>
      </c>
      <c r="E6409" t="s" s="2">
        <v>17</v>
      </c>
      <c r="F6409" t="s" s="2">
        <f>HYPERLINK("http://ts.21cn.com/tousu/show/id/1366393","http://ts.21cn.com/tousu/show/id/1366393")</f>
      </c>
      <c r="G6409" t="s" s="2">
        <v>17</v>
      </c>
      <c r="H6409" t="s" s="2">
        <v>19</v>
      </c>
      <c r="I6409" t="s" s="2">
        <v>24794</v>
      </c>
      <c r="J6409" t="s" s="2">
        <v>24795</v>
      </c>
      <c r="K6409" t="s" s="2">
        <v>22</v>
      </c>
      <c r="L6409" t="s" s="2">
        <v>22</v>
      </c>
      <c r="M6409" t="s" s="2">
        <v>22</v>
      </c>
    </row>
    <row r="6410" ht="25.0" customHeight="true">
      <c r="A6410" t="s" s="2">
        <v>13</v>
      </c>
      <c r="B6410" t="s" s="2">
        <f>HYPERLINK("http://ts.21cn.com/tousu/show/id/1366390","投诉中国联合网络通信有限公司给赌博网站提供充值通道")</f>
      </c>
      <c r="C6410" t="s" s="2">
        <v>15</v>
      </c>
      <c r="D6410" t="s" s="2">
        <v>16</v>
      </c>
      <c r="E6410" t="s" s="2">
        <v>17</v>
      </c>
      <c r="F6410" t="s" s="2">
        <f>HYPERLINK("http://ts.21cn.com/tousu/show/id/1366390","http://ts.21cn.com/tousu/show/id/1366390")</f>
      </c>
      <c r="G6410" t="s" s="2">
        <v>17</v>
      </c>
      <c r="H6410" t="s" s="2">
        <v>19</v>
      </c>
      <c r="I6410" t="s" s="2">
        <v>24798</v>
      </c>
      <c r="J6410" t="s" s="2">
        <v>24799</v>
      </c>
      <c r="K6410" t="s" s="2">
        <v>22</v>
      </c>
      <c r="L6410" t="s" s="2">
        <v>22</v>
      </c>
      <c r="M6410" t="s" s="2">
        <v>22</v>
      </c>
    </row>
    <row r="6411" ht="25.0" customHeight="true">
      <c r="A6411" t="s" s="2">
        <v>13</v>
      </c>
      <c r="B6411" t="s" s="2">
        <f>HYPERLINK("http://ts.21cn.com/tousu/show/id/1366387","投诉淘豆分期乱扣钱")</f>
      </c>
      <c r="C6411" t="s" s="2">
        <v>15</v>
      </c>
      <c r="D6411" t="s" s="2">
        <v>16</v>
      </c>
      <c r="E6411" t="s" s="2">
        <v>17</v>
      </c>
      <c r="F6411" t="s" s="2">
        <f>HYPERLINK("http://ts.21cn.com/tousu/show/id/1366387","http://ts.21cn.com/tousu/show/id/1366387")</f>
      </c>
      <c r="G6411" t="s" s="2">
        <v>17</v>
      </c>
      <c r="H6411" t="s" s="2">
        <v>19</v>
      </c>
      <c r="I6411" t="s" s="2">
        <v>24802</v>
      </c>
      <c r="J6411" t="s" s="2">
        <v>24803</v>
      </c>
      <c r="K6411" t="s" s="2">
        <v>22</v>
      </c>
      <c r="L6411" t="s" s="2">
        <v>22</v>
      </c>
      <c r="M6411" t="s" s="2">
        <v>22</v>
      </c>
    </row>
    <row r="6412" ht="25.0" customHeight="true">
      <c r="A6412" t="s" s="2">
        <v>13</v>
      </c>
      <c r="B6412" t="s" s="2">
        <f>HYPERLINK("http://ts.21cn.com/tousu/show/id/1366365","频繁骚扰电话家人，恐吓")</f>
      </c>
      <c r="C6412" t="s" s="2">
        <v>15</v>
      </c>
      <c r="D6412" t="s" s="2">
        <v>16</v>
      </c>
      <c r="E6412" t="s" s="2">
        <v>17</v>
      </c>
      <c r="F6412" t="s" s="2">
        <f>HYPERLINK("http://ts.21cn.com/tousu/show/id/1366365","http://ts.21cn.com/tousu/show/id/1366365")</f>
      </c>
      <c r="G6412" t="s" s="2">
        <v>17</v>
      </c>
      <c r="H6412" t="s" s="2">
        <v>19</v>
      </c>
      <c r="I6412" t="s" s="2">
        <v>24806</v>
      </c>
      <c r="J6412" t="s" s="2">
        <v>24807</v>
      </c>
      <c r="K6412" t="s" s="2">
        <v>22</v>
      </c>
      <c r="L6412" t="s" s="2">
        <v>22</v>
      </c>
      <c r="M6412" t="s" s="2">
        <v>22</v>
      </c>
    </row>
    <row r="6413" ht="25.0" customHeight="true">
      <c r="A6413" t="s" s="2">
        <v>13</v>
      </c>
      <c r="B6413" t="s" s="2">
        <f>HYPERLINK("http://ts.21cn.com/tousu/show/id/1366384","左右钱包5天高利贷砍头息")</f>
      </c>
      <c r="C6413" t="s" s="2">
        <v>15</v>
      </c>
      <c r="D6413" t="s" s="2">
        <v>16</v>
      </c>
      <c r="E6413" t="s" s="2">
        <v>17</v>
      </c>
      <c r="F6413" t="s" s="2">
        <f>HYPERLINK("http://ts.21cn.com/tousu/show/id/1366384","http://ts.21cn.com/tousu/show/id/1366384")</f>
      </c>
      <c r="G6413" t="s" s="2">
        <v>17</v>
      </c>
      <c r="H6413" t="s" s="2">
        <v>19</v>
      </c>
      <c r="I6413" t="s" s="2">
        <v>24810</v>
      </c>
      <c r="J6413" t="s" s="2">
        <v>24811</v>
      </c>
      <c r="K6413" t="s" s="2">
        <v>22</v>
      </c>
      <c r="L6413" t="s" s="2">
        <v>22</v>
      </c>
      <c r="M6413" t="s" s="2">
        <v>22</v>
      </c>
    </row>
    <row r="6414" ht="25.0" customHeight="true">
      <c r="A6414" t="s" s="2">
        <v>13</v>
      </c>
      <c r="B6414" t="s" s="2">
        <f>HYPERLINK("http://ts.21cn.com/tousu/show/id/1366385","微信支付商户平台提现权限关闭")</f>
      </c>
      <c r="C6414" t="s" s="2">
        <v>15</v>
      </c>
      <c r="D6414" t="s" s="2">
        <v>16</v>
      </c>
      <c r="E6414" t="s" s="2">
        <v>17</v>
      </c>
      <c r="F6414" t="s" s="2">
        <f>HYPERLINK("http://ts.21cn.com/tousu/show/id/1366385","http://ts.21cn.com/tousu/show/id/1366385")</f>
      </c>
      <c r="G6414" t="s" s="2">
        <v>17</v>
      </c>
      <c r="H6414" t="s" s="2">
        <v>19</v>
      </c>
      <c r="I6414" t="s" s="2">
        <v>24814</v>
      </c>
      <c r="J6414" t="s" s="2">
        <v>24815</v>
      </c>
      <c r="K6414" t="s" s="2">
        <v>22</v>
      </c>
      <c r="L6414" t="s" s="2">
        <v>22</v>
      </c>
      <c r="M6414" t="s" s="2">
        <v>22</v>
      </c>
    </row>
    <row r="6415" ht="25.0" customHeight="true">
      <c r="A6415" t="s" s="2">
        <v>13</v>
      </c>
      <c r="B6415" t="s" s="2">
        <f>HYPERLINK("http://ts.21cn.com/tousu/show/id/1366386","卡宾男鞋官方旗舰店存在欺诈消费者行为")</f>
      </c>
      <c r="C6415" t="s" s="2">
        <v>15</v>
      </c>
      <c r="D6415" t="s" s="2">
        <v>16</v>
      </c>
      <c r="E6415" t="s" s="2">
        <v>17</v>
      </c>
      <c r="F6415" t="s" s="2">
        <f>HYPERLINK("http://ts.21cn.com/tousu/show/id/1366386","http://ts.21cn.com/tousu/show/id/1366386")</f>
      </c>
      <c r="G6415" t="s" s="2">
        <v>17</v>
      </c>
      <c r="H6415" t="s" s="2">
        <v>19</v>
      </c>
      <c r="I6415" t="s" s="2">
        <v>24814</v>
      </c>
      <c r="J6415" t="s" s="2">
        <v>24818</v>
      </c>
      <c r="K6415" t="s" s="2">
        <v>22</v>
      </c>
      <c r="L6415" t="s" s="2">
        <v>22</v>
      </c>
      <c r="M6415" t="s" s="2">
        <v>22</v>
      </c>
    </row>
    <row r="6416" ht="25.0" customHeight="true">
      <c r="A6416" t="s" s="2">
        <v>13</v>
      </c>
      <c r="B6416" t="s" s="2">
        <f>HYPERLINK("http://ts.21cn.com/tousu/show/id/1366383","无故骚扰无关人员态度差")</f>
      </c>
      <c r="C6416" t="s" s="2">
        <v>15</v>
      </c>
      <c r="D6416" t="s" s="2">
        <v>16</v>
      </c>
      <c r="E6416" t="s" s="2">
        <v>17</v>
      </c>
      <c r="F6416" t="s" s="2">
        <f>HYPERLINK("http://ts.21cn.com/tousu/show/id/1366383","http://ts.21cn.com/tousu/show/id/1366383")</f>
      </c>
      <c r="G6416" t="s" s="2">
        <v>17</v>
      </c>
      <c r="H6416" t="s" s="2">
        <v>19</v>
      </c>
      <c r="I6416" t="s" s="2">
        <v>24821</v>
      </c>
      <c r="J6416" t="s" s="2">
        <v>24822</v>
      </c>
      <c r="K6416" t="s" s="2">
        <v>22</v>
      </c>
      <c r="L6416" t="s" s="2">
        <v>22</v>
      </c>
      <c r="M6416" t="s" s="2">
        <v>22</v>
      </c>
    </row>
    <row r="6417" ht="25.0" customHeight="true">
      <c r="A6417" t="s" s="2">
        <v>13</v>
      </c>
      <c r="B6417" t="s" s="2">
        <f>HYPERLINK("http://ts.21cn.com/tousu/show/id/1366382","闪贷至尊借款暴力催收")</f>
      </c>
      <c r="C6417" t="s" s="2">
        <v>15</v>
      </c>
      <c r="D6417" t="s" s="2">
        <v>16</v>
      </c>
      <c r="E6417" t="s" s="2">
        <v>17</v>
      </c>
      <c r="F6417" t="s" s="2">
        <f>HYPERLINK("http://ts.21cn.com/tousu/show/id/1366382","http://ts.21cn.com/tousu/show/id/1366382")</f>
      </c>
      <c r="G6417" t="s" s="2">
        <v>17</v>
      </c>
      <c r="H6417" t="s" s="2">
        <v>19</v>
      </c>
      <c r="I6417" t="s" s="2">
        <v>24825</v>
      </c>
      <c r="J6417" t="s" s="2">
        <v>24826</v>
      </c>
      <c r="K6417" t="s" s="2">
        <v>22</v>
      </c>
      <c r="L6417" t="s" s="2">
        <v>22</v>
      </c>
      <c r="M6417" t="s" s="2">
        <v>22</v>
      </c>
    </row>
    <row r="6418" ht="25.0" customHeight="true">
      <c r="A6418" t="s" s="2">
        <v>13</v>
      </c>
      <c r="B6418" t="s" s="2">
        <f>HYPERLINK("http://ts.21cn.com/tousu/show/id/1366380","滴滴网约车司机绕路造成化疗手术延误")</f>
      </c>
      <c r="C6418" t="s" s="2">
        <v>15</v>
      </c>
      <c r="D6418" t="s" s="2">
        <v>16</v>
      </c>
      <c r="E6418" t="s" s="2">
        <v>17</v>
      </c>
      <c r="F6418" t="s" s="2">
        <f>HYPERLINK("http://ts.21cn.com/tousu/show/id/1366380","http://ts.21cn.com/tousu/show/id/1366380")</f>
      </c>
      <c r="G6418" t="s" s="2">
        <v>17</v>
      </c>
      <c r="H6418" t="s" s="2">
        <v>19</v>
      </c>
      <c r="I6418" t="s" s="2">
        <v>24829</v>
      </c>
      <c r="J6418" t="s" s="2">
        <v>24830</v>
      </c>
      <c r="K6418" t="s" s="2">
        <v>22</v>
      </c>
      <c r="L6418" t="s" s="2">
        <v>22</v>
      </c>
      <c r="M6418" t="s" s="2">
        <v>22</v>
      </c>
    </row>
    <row r="6419" ht="25.0" customHeight="true">
      <c r="A6419" t="s" s="2">
        <v>13</v>
      </c>
      <c r="B6419" t="s" s="2">
        <f>HYPERLINK("http://ts.21cn.com/tousu/show/id/1366379","薪薪借钱强行扣款199元")</f>
      </c>
      <c r="C6419" t="s" s="2">
        <v>15</v>
      </c>
      <c r="D6419" t="s" s="2">
        <v>16</v>
      </c>
      <c r="E6419" t="s" s="2">
        <v>17</v>
      </c>
      <c r="F6419" t="s" s="2">
        <f>HYPERLINK("http://ts.21cn.com/tousu/show/id/1366379","http://ts.21cn.com/tousu/show/id/1366379")</f>
      </c>
      <c r="G6419" t="s" s="2">
        <v>17</v>
      </c>
      <c r="H6419" t="s" s="2">
        <v>19</v>
      </c>
      <c r="I6419" t="s" s="2">
        <v>24833</v>
      </c>
      <c r="J6419" t="s" s="2">
        <v>24834</v>
      </c>
      <c r="K6419" t="s" s="2">
        <v>22</v>
      </c>
      <c r="L6419" t="s" s="2">
        <v>22</v>
      </c>
      <c r="M6419" t="s" s="2">
        <v>22</v>
      </c>
    </row>
    <row r="6420" ht="25.0" customHeight="true">
      <c r="A6420" t="s" s="2">
        <v>13</v>
      </c>
      <c r="B6420" t="s" s="2">
        <f>HYPERLINK("http://ts.21cn.com/tousu/show/id/1366381","闪银至尊贷高利贷")</f>
      </c>
      <c r="C6420" t="s" s="2">
        <v>15</v>
      </c>
      <c r="D6420" t="s" s="2">
        <v>16</v>
      </c>
      <c r="E6420" t="s" s="2">
        <v>17</v>
      </c>
      <c r="F6420" t="s" s="2">
        <f>HYPERLINK("http://ts.21cn.com/tousu/show/id/1366381","http://ts.21cn.com/tousu/show/id/1366381")</f>
      </c>
      <c r="G6420" t="s" s="2">
        <v>17</v>
      </c>
      <c r="H6420" t="s" s="2">
        <v>19</v>
      </c>
      <c r="I6420" t="s" s="2">
        <v>24837</v>
      </c>
      <c r="J6420" t="s" s="2">
        <v>24838</v>
      </c>
      <c r="K6420" t="s" s="2">
        <v>22</v>
      </c>
      <c r="L6420" t="s" s="2">
        <v>22</v>
      </c>
      <c r="M6420" t="s" s="2">
        <v>22</v>
      </c>
    </row>
    <row r="6421" ht="25.0" customHeight="true">
      <c r="A6421" t="s" s="2">
        <v>13</v>
      </c>
      <c r="B6421" t="s" s="2">
        <f>HYPERLINK("http://ts.21cn.com/tousu/show/id/1366377","花呗暴力催收")</f>
      </c>
      <c r="C6421" t="s" s="2">
        <v>15</v>
      </c>
      <c r="D6421" t="s" s="2">
        <v>16</v>
      </c>
      <c r="E6421" t="s" s="2">
        <v>17</v>
      </c>
      <c r="F6421" t="s" s="2">
        <f>HYPERLINK("http://ts.21cn.com/tousu/show/id/1366377","http://ts.21cn.com/tousu/show/id/1366377")</f>
      </c>
      <c r="G6421" t="s" s="2">
        <v>17</v>
      </c>
      <c r="H6421" t="s" s="2">
        <v>19</v>
      </c>
      <c r="I6421" t="s" s="2">
        <v>24841</v>
      </c>
      <c r="J6421" t="s" s="2">
        <v>24842</v>
      </c>
      <c r="K6421" t="s" s="2">
        <v>22</v>
      </c>
      <c r="L6421" t="s" s="2">
        <v>22</v>
      </c>
      <c r="M6421" t="s" s="2">
        <v>22</v>
      </c>
    </row>
    <row r="6422" ht="25.0" customHeight="true">
      <c r="A6422" t="s" s="2">
        <v>13</v>
      </c>
      <c r="B6422" t="s" s="2">
        <f>HYPERLINK("http://ts.21cn.com/tousu/show/id/1366375","砍头息，威胁。骂人")</f>
      </c>
      <c r="C6422" t="s" s="2">
        <v>15</v>
      </c>
      <c r="D6422" t="s" s="2">
        <v>16</v>
      </c>
      <c r="E6422" t="s" s="2">
        <v>17</v>
      </c>
      <c r="F6422" t="s" s="2">
        <f>HYPERLINK("http://ts.21cn.com/tousu/show/id/1366375","http://ts.21cn.com/tousu/show/id/1366375")</f>
      </c>
      <c r="G6422" t="s" s="2">
        <v>17</v>
      </c>
      <c r="H6422" t="s" s="2">
        <v>19</v>
      </c>
      <c r="I6422" t="s" s="2">
        <v>24845</v>
      </c>
      <c r="J6422" t="s" s="2">
        <v>24846</v>
      </c>
      <c r="K6422" t="s" s="2">
        <v>22</v>
      </c>
      <c r="L6422" t="s" s="2">
        <v>22</v>
      </c>
      <c r="M6422" t="s" s="2">
        <v>22</v>
      </c>
    </row>
    <row r="6423" ht="25.0" customHeight="true">
      <c r="A6423" t="s" s="2">
        <v>13</v>
      </c>
      <c r="B6423" t="s" s="2">
        <f>HYPERLINK("http://ts.21cn.com/tousu/show/id/1366374","微信商用收款码收的款冻结")</f>
      </c>
      <c r="C6423" t="s" s="2">
        <v>52</v>
      </c>
      <c r="D6423" t="s" s="2">
        <v>16</v>
      </c>
      <c r="E6423" t="s" s="2">
        <v>17</v>
      </c>
      <c r="F6423" t="s" s="2">
        <f>HYPERLINK("http://ts.21cn.com/tousu/show/id/1366374","http://ts.21cn.com/tousu/show/id/1366374")</f>
      </c>
      <c r="G6423" t="s" s="2">
        <v>17</v>
      </c>
      <c r="H6423" t="s" s="2">
        <v>19</v>
      </c>
      <c r="I6423" t="s" s="2">
        <v>24849</v>
      </c>
      <c r="J6423" t="s" s="2">
        <v>24850</v>
      </c>
      <c r="K6423" t="s" s="2">
        <v>22</v>
      </c>
      <c r="L6423" t="s" s="2">
        <v>22</v>
      </c>
      <c r="M6423" t="s" s="2">
        <v>22</v>
      </c>
    </row>
    <row r="6424" ht="25.0" customHeight="true">
      <c r="A6424" t="s" s="2">
        <v>13</v>
      </c>
      <c r="B6424" t="s" s="2">
        <f>HYPERLINK("http://ts.21cn.com/tousu/show/id/1366373","退还诺信用计划会员费")</f>
      </c>
      <c r="C6424" t="s" s="2">
        <v>52</v>
      </c>
      <c r="D6424" t="s" s="2">
        <v>16</v>
      </c>
      <c r="E6424" t="s" s="2">
        <v>17</v>
      </c>
      <c r="F6424" t="s" s="2">
        <f>HYPERLINK("http://ts.21cn.com/tousu/show/id/1366373","http://ts.21cn.com/tousu/show/id/1366373")</f>
      </c>
      <c r="G6424" t="s" s="2">
        <v>17</v>
      </c>
      <c r="H6424" t="s" s="2">
        <v>19</v>
      </c>
      <c r="I6424" t="s" s="2">
        <v>24853</v>
      </c>
      <c r="J6424" t="s" s="2">
        <v>24854</v>
      </c>
      <c r="K6424" t="s" s="2">
        <v>22</v>
      </c>
      <c r="L6424" t="s" s="2">
        <v>22</v>
      </c>
      <c r="M6424" t="s" s="2">
        <v>22</v>
      </c>
    </row>
    <row r="6425" ht="25.0" customHeight="true">
      <c r="A6425" t="s" s="2">
        <v>13</v>
      </c>
      <c r="B6425" t="s" s="2">
        <f>HYPERLINK("http://ts.21cn.com/tousu/show/id/1366372","现金巴士会员费变相砍头")</f>
      </c>
      <c r="C6425" t="s" s="2">
        <v>15</v>
      </c>
      <c r="D6425" t="s" s="2">
        <v>16</v>
      </c>
      <c r="E6425" t="s" s="2">
        <v>17</v>
      </c>
      <c r="F6425" t="s" s="2">
        <f>HYPERLINK("http://ts.21cn.com/tousu/show/id/1366372","http://ts.21cn.com/tousu/show/id/1366372")</f>
      </c>
      <c r="G6425" t="s" s="2">
        <v>17</v>
      </c>
      <c r="H6425" t="s" s="2">
        <v>19</v>
      </c>
      <c r="I6425" t="s" s="2">
        <v>24857</v>
      </c>
      <c r="J6425" t="s" s="2">
        <v>24858</v>
      </c>
      <c r="K6425" t="s" s="2">
        <v>22</v>
      </c>
      <c r="L6425" t="s" s="2">
        <v>22</v>
      </c>
      <c r="M6425" t="s" s="2">
        <v>22</v>
      </c>
    </row>
    <row r="6426" ht="25.0" customHeight="true">
      <c r="A6426" t="s" s="2">
        <v>13</v>
      </c>
      <c r="B6426" t="s" s="2">
        <f>HYPERLINK("http://ts.21cn.com/tousu/show/id/1366370","捷信金融电话轰炸")</f>
      </c>
      <c r="C6426" t="s" s="2">
        <v>15</v>
      </c>
      <c r="D6426" t="s" s="2">
        <v>16</v>
      </c>
      <c r="E6426" t="s" s="2">
        <v>17</v>
      </c>
      <c r="F6426" t="s" s="2">
        <f>HYPERLINK("http://ts.21cn.com/tousu/show/id/1366370","http://ts.21cn.com/tousu/show/id/1366370")</f>
      </c>
      <c r="G6426" t="s" s="2">
        <v>17</v>
      </c>
      <c r="H6426" t="s" s="2">
        <v>19</v>
      </c>
      <c r="I6426" t="s" s="2">
        <v>24861</v>
      </c>
      <c r="J6426" t="s" s="2">
        <v>24862</v>
      </c>
      <c r="K6426" t="s" s="2">
        <v>22</v>
      </c>
      <c r="L6426" t="s" s="2">
        <v>22</v>
      </c>
      <c r="M6426" t="s" s="2">
        <v>22</v>
      </c>
    </row>
    <row r="6427" ht="25.0" customHeight="true">
      <c r="A6427" t="s" s="2">
        <v>13</v>
      </c>
      <c r="B6427" t="s" s="2">
        <f>HYPERLINK("http://ts.21cn.com/tousu/show/id/1366369","月光侠分期高利贷，借3200要还5300元")</f>
      </c>
      <c r="C6427" t="s" s="2">
        <v>15</v>
      </c>
      <c r="D6427" t="s" s="2">
        <v>16</v>
      </c>
      <c r="E6427" t="s" s="2">
        <v>17</v>
      </c>
      <c r="F6427" t="s" s="2">
        <f>HYPERLINK("http://ts.21cn.com/tousu/show/id/1366369","http://ts.21cn.com/tousu/show/id/1366369")</f>
      </c>
      <c r="G6427" t="s" s="2">
        <v>17</v>
      </c>
      <c r="H6427" t="s" s="2">
        <v>19</v>
      </c>
      <c r="I6427" t="s" s="2">
        <v>24865</v>
      </c>
      <c r="J6427" t="s" s="2">
        <v>24866</v>
      </c>
      <c r="K6427" t="s" s="2">
        <v>22</v>
      </c>
      <c r="L6427" t="s" s="2">
        <v>22</v>
      </c>
      <c r="M6427" t="s" s="2">
        <v>22</v>
      </c>
    </row>
    <row r="6428" ht="25.0" customHeight="true">
      <c r="A6428" t="s" s="2">
        <v>13</v>
      </c>
      <c r="B6428" t="s" s="2">
        <f>HYPERLINK("http://ts.21cn.com/tousu/show/id/1366368","淘豆分期未经允许私自扣除银行卡内199元")</f>
      </c>
      <c r="C6428" t="s" s="2">
        <v>15</v>
      </c>
      <c r="D6428" t="s" s="2">
        <v>16</v>
      </c>
      <c r="E6428" t="s" s="2">
        <v>17</v>
      </c>
      <c r="F6428" t="s" s="2">
        <f>HYPERLINK("http://ts.21cn.com/tousu/show/id/1366368","http://ts.21cn.com/tousu/show/id/1366368")</f>
      </c>
      <c r="G6428" t="s" s="2">
        <v>17</v>
      </c>
      <c r="H6428" t="s" s="2">
        <v>19</v>
      </c>
      <c r="I6428" t="s" s="2">
        <v>24869</v>
      </c>
      <c r="J6428" t="s" s="2">
        <v>24870</v>
      </c>
      <c r="K6428" t="s" s="2">
        <v>22</v>
      </c>
      <c r="L6428" t="s" s="2">
        <v>22</v>
      </c>
      <c r="M6428" t="s" s="2">
        <v>22</v>
      </c>
    </row>
    <row r="6429" ht="25.0" customHeight="true">
      <c r="A6429" t="s" s="2">
        <v>13</v>
      </c>
      <c r="B6429" t="s" s="2">
        <f>HYPERLINK("http://ts.21cn.com/tousu/show/id/1366366","还款套路")</f>
      </c>
      <c r="C6429" t="s" s="2">
        <v>15</v>
      </c>
      <c r="D6429" t="s" s="2">
        <v>16</v>
      </c>
      <c r="E6429" t="s" s="2">
        <v>17</v>
      </c>
      <c r="F6429" t="s" s="2">
        <f>HYPERLINK("http://ts.21cn.com/tousu/show/id/1366366","http://ts.21cn.com/tousu/show/id/1366366")</f>
      </c>
      <c r="G6429" t="s" s="2">
        <v>17</v>
      </c>
      <c r="H6429" t="s" s="2">
        <v>19</v>
      </c>
      <c r="I6429" t="s" s="2">
        <v>24873</v>
      </c>
      <c r="J6429" t="s" s="2">
        <v>24874</v>
      </c>
      <c r="K6429" t="s" s="2">
        <v>22</v>
      </c>
      <c r="L6429" t="s" s="2">
        <v>22</v>
      </c>
      <c r="M6429" t="s" s="2">
        <v>22</v>
      </c>
    </row>
    <row r="6430" ht="25.0" customHeight="true">
      <c r="A6430" t="s" s="2">
        <v>13</v>
      </c>
      <c r="B6430" t="s" s="2">
        <f>HYPERLINK("http://ts.21cn.com/tousu/show/id/1366364","你我贷利息过高，无法减免提前结清")</f>
      </c>
      <c r="C6430" t="s" s="2">
        <v>15</v>
      </c>
      <c r="D6430" t="s" s="2">
        <v>16</v>
      </c>
      <c r="E6430" t="s" s="2">
        <v>17</v>
      </c>
      <c r="F6430" t="s" s="2">
        <f>HYPERLINK("http://ts.21cn.com/tousu/show/id/1366364","http://ts.21cn.com/tousu/show/id/1366364")</f>
      </c>
      <c r="G6430" t="s" s="2">
        <v>17</v>
      </c>
      <c r="H6430" t="s" s="2">
        <v>19</v>
      </c>
      <c r="I6430" t="s" s="2">
        <v>24877</v>
      </c>
      <c r="J6430" t="s" s="2">
        <v>24878</v>
      </c>
      <c r="K6430" t="s" s="2">
        <v>22</v>
      </c>
      <c r="L6430" t="s" s="2">
        <v>22</v>
      </c>
      <c r="M6430" t="s" s="2">
        <v>22</v>
      </c>
    </row>
    <row r="6431" ht="25.0" customHeight="true">
      <c r="A6431" t="s" s="2">
        <v>13</v>
      </c>
      <c r="B6431" t="s" s="2">
        <f>HYPERLINK("http://ts.21cn.com/tousu/show/id/1366361","王者钱包高利贷砍头息")</f>
      </c>
      <c r="C6431" t="s" s="2">
        <v>15</v>
      </c>
      <c r="D6431" t="s" s="2">
        <v>16</v>
      </c>
      <c r="E6431" t="s" s="2">
        <v>17</v>
      </c>
      <c r="F6431" t="s" s="2">
        <f>HYPERLINK("http://ts.21cn.com/tousu/show/id/1366361","http://ts.21cn.com/tousu/show/id/1366361")</f>
      </c>
      <c r="G6431" t="s" s="2">
        <v>17</v>
      </c>
      <c r="H6431" t="s" s="2">
        <v>19</v>
      </c>
      <c r="I6431" t="s" s="2">
        <v>24881</v>
      </c>
      <c r="J6431" t="s" s="2">
        <v>24882</v>
      </c>
      <c r="K6431" t="s" s="2">
        <v>22</v>
      </c>
      <c r="L6431" t="s" s="2">
        <v>22</v>
      </c>
      <c r="M6431" t="s" s="2">
        <v>22</v>
      </c>
    </row>
    <row r="6432" ht="25.0" customHeight="true">
      <c r="A6432" t="s" s="2">
        <v>13</v>
      </c>
      <c r="B6432" t="s" s="2">
        <f>HYPERLINK("http://ts.21cn.com/tousu/show/id/1366360","给我结清证明")</f>
      </c>
      <c r="C6432" t="s" s="2">
        <v>15</v>
      </c>
      <c r="D6432" t="s" s="2">
        <v>16</v>
      </c>
      <c r="E6432" t="s" s="2">
        <v>17</v>
      </c>
      <c r="F6432" t="s" s="2">
        <f>HYPERLINK("http://ts.21cn.com/tousu/show/id/1366360","http://ts.21cn.com/tousu/show/id/1366360")</f>
      </c>
      <c r="G6432" t="s" s="2">
        <v>17</v>
      </c>
      <c r="H6432" t="s" s="2">
        <v>19</v>
      </c>
      <c r="I6432" t="s" s="2">
        <v>24885</v>
      </c>
      <c r="J6432" t="s" s="2">
        <v>24886</v>
      </c>
      <c r="K6432" t="s" s="2">
        <v>22</v>
      </c>
      <c r="L6432" t="s" s="2">
        <v>22</v>
      </c>
      <c r="M6432" t="s" s="2">
        <v>22</v>
      </c>
    </row>
    <row r="6433" ht="25.0" customHeight="true">
      <c r="A6433" t="s" s="2">
        <v>13</v>
      </c>
      <c r="B6433" t="s" s="2">
        <f>HYPERLINK("http://ts.21cn.com/tousu/show/id/1366362","中邮消费，邮政储蓄银行，泄露个人信息，倒卖个人信息")</f>
      </c>
      <c r="C6433" t="s" s="2">
        <v>15</v>
      </c>
      <c r="D6433" t="s" s="2">
        <v>16</v>
      </c>
      <c r="E6433" t="s" s="2">
        <v>17</v>
      </c>
      <c r="F6433" t="s" s="2">
        <f>HYPERLINK("http://ts.21cn.com/tousu/show/id/1366362","http://ts.21cn.com/tousu/show/id/1366362")</f>
      </c>
      <c r="G6433" t="s" s="2">
        <v>17</v>
      </c>
      <c r="H6433" t="s" s="2">
        <v>19</v>
      </c>
      <c r="I6433" t="s" s="2">
        <v>24889</v>
      </c>
      <c r="J6433" t="s" s="2">
        <v>24890</v>
      </c>
      <c r="K6433" t="s" s="2">
        <v>22</v>
      </c>
      <c r="L6433" t="s" s="2">
        <v>22</v>
      </c>
      <c r="M6433" t="s" s="2">
        <v>22</v>
      </c>
    </row>
    <row r="6434" ht="25.0" customHeight="true">
      <c r="A6434" t="s" s="2">
        <v>13</v>
      </c>
      <c r="B6434" t="s" s="2">
        <f>HYPERLINK("http://ts.21cn.com/tousu/show/id/1366358","恶意操作导致商品中断服务")</f>
      </c>
      <c r="C6434" t="s" s="2">
        <v>15</v>
      </c>
      <c r="D6434" t="s" s="2">
        <v>16</v>
      </c>
      <c r="E6434" t="s" s="2">
        <v>17</v>
      </c>
      <c r="F6434" t="s" s="2">
        <f>HYPERLINK("http://ts.21cn.com/tousu/show/id/1366358","http://ts.21cn.com/tousu/show/id/1366358")</f>
      </c>
      <c r="G6434" t="s" s="2">
        <v>17</v>
      </c>
      <c r="H6434" t="s" s="2">
        <v>19</v>
      </c>
      <c r="I6434" t="s" s="2">
        <v>24893</v>
      </c>
      <c r="J6434" t="s" s="2">
        <v>24894</v>
      </c>
      <c r="K6434" t="s" s="2">
        <v>22</v>
      </c>
      <c r="L6434" t="s" s="2">
        <v>22</v>
      </c>
      <c r="M6434" t="s" s="2">
        <v>22</v>
      </c>
    </row>
    <row r="6435" ht="25.0" customHeight="true">
      <c r="A6435" t="s" s="2">
        <v>13</v>
      </c>
      <c r="B6435" t="s" s="2">
        <f>HYPERLINK("http://ts.21cn.com/tousu/show/id/1366357","爆通讯录")</f>
      </c>
      <c r="C6435" t="s" s="2">
        <v>15</v>
      </c>
      <c r="D6435" t="s" s="2">
        <v>16</v>
      </c>
      <c r="E6435" t="s" s="2">
        <v>17</v>
      </c>
      <c r="F6435" t="s" s="2">
        <f>HYPERLINK("http://ts.21cn.com/tousu/show/id/1366357","http://ts.21cn.com/tousu/show/id/1366357")</f>
      </c>
      <c r="G6435" t="s" s="2">
        <v>17</v>
      </c>
      <c r="H6435" t="s" s="2">
        <v>19</v>
      </c>
      <c r="I6435" t="s" s="2">
        <v>24896</v>
      </c>
      <c r="J6435" t="s" s="2">
        <v>24897</v>
      </c>
      <c r="K6435" t="s" s="2">
        <v>22</v>
      </c>
      <c r="L6435" t="s" s="2">
        <v>22</v>
      </c>
      <c r="M6435" t="s" s="2">
        <v>22</v>
      </c>
    </row>
    <row r="6436" ht="25.0" customHeight="true">
      <c r="A6436" t="s" s="2">
        <v>13</v>
      </c>
      <c r="B6436" t="s" s="2">
        <f>HYPERLINK("http://ts.21cn.com/tousu/show/id/1366355","洋钱灌暴力催收，骚扰通讯录")</f>
      </c>
      <c r="C6436" t="s" s="2">
        <v>15</v>
      </c>
      <c r="D6436" t="s" s="2">
        <v>16</v>
      </c>
      <c r="E6436" t="s" s="2">
        <v>17</v>
      </c>
      <c r="F6436" t="s" s="2">
        <f>HYPERLINK("http://ts.21cn.com/tousu/show/id/1366355","http://ts.21cn.com/tousu/show/id/1366355")</f>
      </c>
      <c r="G6436" t="s" s="2">
        <v>17</v>
      </c>
      <c r="H6436" t="s" s="2">
        <v>19</v>
      </c>
      <c r="I6436" t="s" s="2">
        <v>24900</v>
      </c>
      <c r="J6436" t="s" s="2">
        <v>24901</v>
      </c>
      <c r="K6436" t="s" s="2">
        <v>22</v>
      </c>
      <c r="L6436" t="s" s="2">
        <v>22</v>
      </c>
      <c r="M6436" t="s" s="2">
        <v>22</v>
      </c>
    </row>
    <row r="6437" ht="25.0" customHeight="true">
      <c r="A6437" t="s" s="2">
        <v>13</v>
      </c>
      <c r="B6437" t="s" s="2">
        <f>HYPERLINK("http://ts.21cn.com/tousu/show/id/1366354","轻周转高额手续费及平台方恶意逾期")</f>
      </c>
      <c r="C6437" t="s" s="2">
        <v>15</v>
      </c>
      <c r="D6437" t="s" s="2">
        <v>16</v>
      </c>
      <c r="E6437" t="s" s="2">
        <v>17</v>
      </c>
      <c r="F6437" t="s" s="2">
        <f>HYPERLINK("http://ts.21cn.com/tousu/show/id/1366354","http://ts.21cn.com/tousu/show/id/1366354")</f>
      </c>
      <c r="G6437" t="s" s="2">
        <v>17</v>
      </c>
      <c r="H6437" t="s" s="2">
        <v>19</v>
      </c>
      <c r="I6437" t="s" s="2">
        <v>24904</v>
      </c>
      <c r="J6437" t="s" s="2">
        <v>24905</v>
      </c>
      <c r="K6437" t="s" s="2">
        <v>22</v>
      </c>
      <c r="L6437" t="s" s="2">
        <v>22</v>
      </c>
      <c r="M6437" t="s" s="2">
        <v>22</v>
      </c>
    </row>
    <row r="6438" ht="25.0" customHeight="true">
      <c r="A6438" t="s" s="2">
        <v>13</v>
      </c>
      <c r="B6438" t="s" s="2">
        <f>HYPERLINK("http://ts.21cn.com/tousu/show/id/1366353","有钱花恶意催收")</f>
      </c>
      <c r="C6438" t="s" s="2">
        <v>15</v>
      </c>
      <c r="D6438" t="s" s="2">
        <v>16</v>
      </c>
      <c r="E6438" t="s" s="2">
        <v>17</v>
      </c>
      <c r="F6438" t="s" s="2">
        <f>HYPERLINK("http://ts.21cn.com/tousu/show/id/1366353","http://ts.21cn.com/tousu/show/id/1366353")</f>
      </c>
      <c r="G6438" t="s" s="2">
        <v>17</v>
      </c>
      <c r="H6438" t="s" s="2">
        <v>19</v>
      </c>
      <c r="I6438" t="s" s="2">
        <v>24908</v>
      </c>
      <c r="J6438" t="s" s="2">
        <v>24909</v>
      </c>
      <c r="K6438" t="s" s="2">
        <v>22</v>
      </c>
      <c r="L6438" t="s" s="2">
        <v>22</v>
      </c>
      <c r="M6438" t="s" s="2">
        <v>22</v>
      </c>
    </row>
    <row r="6439" ht="25.0" customHeight="true">
      <c r="A6439" t="s" s="2">
        <v>13</v>
      </c>
      <c r="B6439" t="s" s="2">
        <f>HYPERLINK("http://ts.21cn.com/tousu/show/id/1366351","华夏银行信用卡年费问题")</f>
      </c>
      <c r="C6439" t="s" s="2">
        <v>52</v>
      </c>
      <c r="D6439" t="s" s="2">
        <v>16</v>
      </c>
      <c r="E6439" t="s" s="2">
        <v>17</v>
      </c>
      <c r="F6439" t="s" s="2">
        <f>HYPERLINK("http://ts.21cn.com/tousu/show/id/1366351","http://ts.21cn.com/tousu/show/id/1366351")</f>
      </c>
      <c r="G6439" t="s" s="2">
        <v>17</v>
      </c>
      <c r="H6439" t="s" s="2">
        <v>19</v>
      </c>
      <c r="I6439" t="s" s="2">
        <v>24912</v>
      </c>
      <c r="J6439" t="s" s="2">
        <v>24913</v>
      </c>
      <c r="K6439" t="s" s="2">
        <v>22</v>
      </c>
      <c r="L6439" t="s" s="2">
        <v>22</v>
      </c>
      <c r="M6439" t="s" s="2">
        <v>22</v>
      </c>
    </row>
    <row r="6440" ht="25.0" customHeight="true">
      <c r="A6440" t="s" s="2">
        <v>13</v>
      </c>
      <c r="B6440" t="s" s="2">
        <f>HYPERLINK("http://ts.21cn.com/tousu/show/id/1366350","拇指下款恶意捆绑快捷支付，乱扣钱")</f>
      </c>
      <c r="C6440" t="s" s="2">
        <v>15</v>
      </c>
      <c r="D6440" t="s" s="2">
        <v>16</v>
      </c>
      <c r="E6440" t="s" s="2">
        <v>17</v>
      </c>
      <c r="F6440" t="s" s="2">
        <f>HYPERLINK("http://ts.21cn.com/tousu/show/id/1366350","http://ts.21cn.com/tousu/show/id/1366350")</f>
      </c>
      <c r="G6440" t="s" s="2">
        <v>17</v>
      </c>
      <c r="H6440" t="s" s="2">
        <v>19</v>
      </c>
      <c r="I6440" t="s" s="2">
        <v>24916</v>
      </c>
      <c r="J6440" t="s" s="2">
        <v>24917</v>
      </c>
      <c r="K6440" t="s" s="2">
        <v>22</v>
      </c>
      <c r="L6440" t="s" s="2">
        <v>22</v>
      </c>
      <c r="M6440" t="s" s="2">
        <v>22</v>
      </c>
    </row>
    <row r="6441" ht="25.0" customHeight="true">
      <c r="A6441" t="s" s="2">
        <v>13</v>
      </c>
      <c r="B6441" t="s" s="2">
        <f>HYPERLINK("http://ts.21cn.com/tousu/show/id/1366349","钱包易贷砍头息！")</f>
      </c>
      <c r="C6441" t="s" s="2">
        <v>52</v>
      </c>
      <c r="D6441" t="s" s="2">
        <v>16</v>
      </c>
      <c r="E6441" t="s" s="2">
        <v>17</v>
      </c>
      <c r="F6441" t="s" s="2">
        <f>HYPERLINK("http://ts.21cn.com/tousu/show/id/1366349","http://ts.21cn.com/tousu/show/id/1366349")</f>
      </c>
      <c r="G6441" t="s" s="2">
        <v>17</v>
      </c>
      <c r="H6441" t="s" s="2">
        <v>19</v>
      </c>
      <c r="I6441" t="s" s="2">
        <v>24920</v>
      </c>
      <c r="J6441" t="s" s="2">
        <v>24921</v>
      </c>
      <c r="K6441" t="s" s="2">
        <v>22</v>
      </c>
      <c r="L6441" t="s" s="2">
        <v>22</v>
      </c>
      <c r="M6441" t="s" s="2">
        <v>22</v>
      </c>
    </row>
    <row r="6442" ht="25.0" customHeight="true">
      <c r="A6442" t="s" s="2">
        <v>13</v>
      </c>
      <c r="B6442" t="s" s="2">
        <f>HYPERLINK("http://ts.21cn.com/tousu/show/id/1366348","网商园分销软件不完善")</f>
      </c>
      <c r="C6442" t="s" s="2">
        <v>52</v>
      </c>
      <c r="D6442" t="s" s="2">
        <v>16</v>
      </c>
      <c r="E6442" t="s" s="2">
        <v>17</v>
      </c>
      <c r="F6442" t="s" s="2">
        <f>HYPERLINK("http://ts.21cn.com/tousu/show/id/1366348","http://ts.21cn.com/tousu/show/id/1366348")</f>
      </c>
      <c r="G6442" t="s" s="2">
        <v>17</v>
      </c>
      <c r="H6442" t="s" s="2">
        <v>19</v>
      </c>
      <c r="I6442" t="s" s="2">
        <v>24924</v>
      </c>
      <c r="J6442" t="s" s="2">
        <v>24925</v>
      </c>
      <c r="K6442" t="s" s="2">
        <v>22</v>
      </c>
      <c r="L6442" t="s" s="2">
        <v>22</v>
      </c>
      <c r="M6442" t="s" s="2">
        <v>22</v>
      </c>
    </row>
    <row r="6443" ht="25.0" customHeight="true">
      <c r="A6443" t="s" s="2">
        <v>13</v>
      </c>
      <c r="B6443" t="s" s="2">
        <f>HYPERLINK("http://ts.21cn.com/tousu/show/id/1366347","恢复账户权限，给予补偿")</f>
      </c>
      <c r="C6443" t="s" s="2">
        <v>15</v>
      </c>
      <c r="D6443" t="s" s="2">
        <v>16</v>
      </c>
      <c r="E6443" t="s" s="2">
        <v>17</v>
      </c>
      <c r="F6443" t="s" s="2">
        <f>HYPERLINK("http://ts.21cn.com/tousu/show/id/1366347","http://ts.21cn.com/tousu/show/id/1366347")</f>
      </c>
      <c r="G6443" t="s" s="2">
        <v>17</v>
      </c>
      <c r="H6443" t="s" s="2">
        <v>19</v>
      </c>
      <c r="I6443" t="s" s="2">
        <v>24928</v>
      </c>
      <c r="J6443" t="s" s="2">
        <v>24929</v>
      </c>
      <c r="K6443" t="s" s="2">
        <v>22</v>
      </c>
      <c r="L6443" t="s" s="2">
        <v>22</v>
      </c>
      <c r="M6443" t="s" s="2">
        <v>22</v>
      </c>
    </row>
    <row r="6444" ht="25.0" customHeight="true">
      <c r="A6444" t="s" s="2">
        <v>13</v>
      </c>
      <c r="B6444" t="s" s="2">
        <f>HYPERLINK("http://ts.21cn.com/tousu/show/id/1366344","华泰证券违规开户")</f>
      </c>
      <c r="C6444" t="s" s="2">
        <v>15</v>
      </c>
      <c r="D6444" t="s" s="2">
        <v>16</v>
      </c>
      <c r="E6444" t="s" s="2">
        <v>17</v>
      </c>
      <c r="F6444" t="s" s="2">
        <f>HYPERLINK("http://ts.21cn.com/tousu/show/id/1366344","http://ts.21cn.com/tousu/show/id/1366344")</f>
      </c>
      <c r="G6444" t="s" s="2">
        <v>17</v>
      </c>
      <c r="H6444" t="s" s="2">
        <v>19</v>
      </c>
      <c r="I6444" t="s" s="2">
        <v>24932</v>
      </c>
      <c r="J6444" t="s" s="2">
        <v>24933</v>
      </c>
      <c r="K6444" t="s" s="2">
        <v>22</v>
      </c>
      <c r="L6444" t="s" s="2">
        <v>22</v>
      </c>
      <c r="M6444" t="s" s="2">
        <v>22</v>
      </c>
    </row>
    <row r="6445" ht="25.0" customHeight="true">
      <c r="A6445" t="s" s="2">
        <v>13</v>
      </c>
      <c r="B6445" t="s" s="2">
        <f>HYPERLINK("http://ts.21cn.com/tousu/show/id/1366343","马上消费金融不对客户负责任")</f>
      </c>
      <c r="C6445" t="s" s="2">
        <v>15</v>
      </c>
      <c r="D6445" t="s" s="2">
        <v>16</v>
      </c>
      <c r="E6445" t="s" s="2">
        <v>17</v>
      </c>
      <c r="F6445" t="s" s="2">
        <f>HYPERLINK("http://ts.21cn.com/tousu/show/id/1366343","http://ts.21cn.com/tousu/show/id/1366343")</f>
      </c>
      <c r="G6445" t="s" s="2">
        <v>17</v>
      </c>
      <c r="H6445" t="s" s="2">
        <v>19</v>
      </c>
      <c r="I6445" t="s" s="2">
        <v>24936</v>
      </c>
      <c r="J6445" t="s" s="2">
        <v>24937</v>
      </c>
      <c r="K6445" t="s" s="2">
        <v>22</v>
      </c>
      <c r="L6445" t="s" s="2">
        <v>22</v>
      </c>
      <c r="M6445" t="s" s="2">
        <v>22</v>
      </c>
    </row>
    <row r="6446" ht="25.0" customHeight="true">
      <c r="A6446" t="s" s="2">
        <v>13</v>
      </c>
      <c r="B6446" t="s" s="2">
        <f>HYPERLINK("http://ts.21cn.com/tousu/show/id/1366341","支付宝，为非法网站及商户提供支付接口")</f>
      </c>
      <c r="C6446" t="s" s="2">
        <v>15</v>
      </c>
      <c r="D6446" t="s" s="2">
        <v>16</v>
      </c>
      <c r="E6446" t="s" s="2">
        <v>17</v>
      </c>
      <c r="F6446" t="s" s="2">
        <f>HYPERLINK("http://ts.21cn.com/tousu/show/id/1366341","http://ts.21cn.com/tousu/show/id/1366341")</f>
      </c>
      <c r="G6446" t="s" s="2">
        <v>17</v>
      </c>
      <c r="H6446" t="s" s="2">
        <v>19</v>
      </c>
      <c r="I6446" t="s" s="2">
        <v>24940</v>
      </c>
      <c r="J6446" t="s" s="2">
        <v>24941</v>
      </c>
      <c r="K6446" t="s" s="2">
        <v>22</v>
      </c>
      <c r="L6446" t="s" s="2">
        <v>22</v>
      </c>
      <c r="M6446" t="s" s="2">
        <v>22</v>
      </c>
    </row>
    <row r="6447" ht="25.0" customHeight="true">
      <c r="A6447" t="s" s="2">
        <v>13</v>
      </c>
      <c r="B6447" t="s" s="2">
        <f>HYPERLINK("http://ts.21cn.com/tousu/show/id/1366340","山东企聘人力资源有限公司合作欺诈")</f>
      </c>
      <c r="C6447" t="s" s="2">
        <v>15</v>
      </c>
      <c r="D6447" t="s" s="2">
        <v>16</v>
      </c>
      <c r="E6447" t="s" s="2">
        <v>17</v>
      </c>
      <c r="F6447" t="s" s="2">
        <f>HYPERLINK("http://ts.21cn.com/tousu/show/id/1366340","http://ts.21cn.com/tousu/show/id/1366340")</f>
      </c>
      <c r="G6447" t="s" s="2">
        <v>17</v>
      </c>
      <c r="H6447" t="s" s="2">
        <v>19</v>
      </c>
      <c r="I6447" t="s" s="2">
        <v>24940</v>
      </c>
      <c r="J6447" t="s" s="2">
        <v>24944</v>
      </c>
      <c r="K6447" t="s" s="2">
        <v>22</v>
      </c>
      <c r="L6447" t="s" s="2">
        <v>22</v>
      </c>
      <c r="M6447" t="s" s="2">
        <v>22</v>
      </c>
    </row>
    <row r="6448" ht="25.0" customHeight="true">
      <c r="A6448" t="s" s="2">
        <v>13</v>
      </c>
      <c r="B6448" t="s" s="2">
        <f>HYPERLINK("http://ts.21cn.com/tousu/show/id/1366342","平安银行信用卡收取高额违约金和利息")</f>
      </c>
      <c r="C6448" t="s" s="2">
        <v>15</v>
      </c>
      <c r="D6448" t="s" s="2">
        <v>16</v>
      </c>
      <c r="E6448" t="s" s="2">
        <v>17</v>
      </c>
      <c r="F6448" t="s" s="2">
        <f>HYPERLINK("http://ts.21cn.com/tousu/show/id/1366342","http://ts.21cn.com/tousu/show/id/1366342")</f>
      </c>
      <c r="G6448" t="s" s="2">
        <v>17</v>
      </c>
      <c r="H6448" t="s" s="2">
        <v>19</v>
      </c>
      <c r="I6448" t="s" s="2">
        <v>24947</v>
      </c>
      <c r="J6448" t="s" s="2">
        <v>24948</v>
      </c>
      <c r="K6448" t="s" s="2">
        <v>22</v>
      </c>
      <c r="L6448" t="s" s="2">
        <v>22</v>
      </c>
      <c r="M6448" t="s" s="2">
        <v>22</v>
      </c>
    </row>
    <row r="6449" ht="25.0" customHeight="true">
      <c r="A6449" t="s" s="2">
        <v>13</v>
      </c>
      <c r="B6449" t="s" s="2">
        <f>HYPERLINK("http://ts.21cn.com/tousu/show/id/1366338","随心go暴力催收骚扰通讯录")</f>
      </c>
      <c r="C6449" t="s" s="2">
        <v>15</v>
      </c>
      <c r="D6449" t="s" s="2">
        <v>16</v>
      </c>
      <c r="E6449" t="s" s="2">
        <v>17</v>
      </c>
      <c r="F6449" t="s" s="2">
        <f>HYPERLINK("http://ts.21cn.com/tousu/show/id/1366338","http://ts.21cn.com/tousu/show/id/1366338")</f>
      </c>
      <c r="G6449" t="s" s="2">
        <v>17</v>
      </c>
      <c r="H6449" t="s" s="2">
        <v>19</v>
      </c>
      <c r="I6449" t="s" s="2">
        <v>24951</v>
      </c>
      <c r="J6449" t="s" s="2">
        <v>24952</v>
      </c>
      <c r="K6449" t="s" s="2">
        <v>22</v>
      </c>
      <c r="L6449" t="s" s="2">
        <v>22</v>
      </c>
      <c r="M6449" t="s" s="2">
        <v>22</v>
      </c>
    </row>
    <row r="6450" ht="25.0" customHeight="true">
      <c r="A6450" t="s" s="2">
        <v>13</v>
      </c>
      <c r="B6450" t="s" s="2">
        <f>HYPERLINK("http://ts.21cn.com/tousu/show/id/1366145","宜信宜人贷高额收取代款利息及砍头息5万多元")</f>
      </c>
      <c r="C6450" t="s" s="2">
        <v>15</v>
      </c>
      <c r="D6450" t="s" s="2">
        <v>16</v>
      </c>
      <c r="E6450" t="s" s="2">
        <v>17</v>
      </c>
      <c r="F6450" t="s" s="2">
        <f>HYPERLINK("http://ts.21cn.com/tousu/show/id/1366145","http://ts.21cn.com/tousu/show/id/1366145")</f>
      </c>
      <c r="G6450" t="s" s="2">
        <v>17</v>
      </c>
      <c r="H6450" t="s" s="2">
        <v>19</v>
      </c>
      <c r="I6450" t="s" s="2">
        <v>24951</v>
      </c>
      <c r="J6450" t="s" s="2">
        <v>24954</v>
      </c>
      <c r="K6450" t="s" s="2">
        <v>22</v>
      </c>
      <c r="L6450" t="s" s="2">
        <v>22</v>
      </c>
      <c r="M6450" t="s" s="2">
        <v>22</v>
      </c>
    </row>
    <row r="6451" ht="25.0" customHeight="true">
      <c r="A6451" t="s" s="2">
        <v>13</v>
      </c>
      <c r="B6451" t="s" s="2">
        <f>HYPERLINK("http://ts.21cn.com/tousu/show/id/1366339","快闪卡贷高利贷,砍头息，不解决砍头息的问题")</f>
      </c>
      <c r="C6451" t="s" s="2">
        <v>15</v>
      </c>
      <c r="D6451" t="s" s="2">
        <v>16</v>
      </c>
      <c r="E6451" t="s" s="2">
        <v>17</v>
      </c>
      <c r="F6451" t="s" s="2">
        <f>HYPERLINK("http://ts.21cn.com/tousu/show/id/1366339","http://ts.21cn.com/tousu/show/id/1366339")</f>
      </c>
      <c r="G6451" t="s" s="2">
        <v>17</v>
      </c>
      <c r="H6451" t="s" s="2">
        <v>19</v>
      </c>
      <c r="I6451" t="s" s="2">
        <v>24957</v>
      </c>
      <c r="J6451" t="s" s="2">
        <v>24958</v>
      </c>
      <c r="K6451" t="s" s="2">
        <v>22</v>
      </c>
      <c r="L6451" t="s" s="2">
        <v>22</v>
      </c>
      <c r="M6451" t="s" s="2">
        <v>22</v>
      </c>
    </row>
    <row r="6452" ht="25.0" customHeight="true">
      <c r="A6452" t="s" s="2">
        <v>13</v>
      </c>
      <c r="B6452" t="s" s="2">
        <f>HYPERLINK("http://ts.21cn.com/tousu/show/id/1366337","畅捷支付为高利贷提供放款渠道")</f>
      </c>
      <c r="C6452" t="s" s="2">
        <v>15</v>
      </c>
      <c r="D6452" t="s" s="2">
        <v>16</v>
      </c>
      <c r="E6452" t="s" s="2">
        <v>17</v>
      </c>
      <c r="F6452" t="s" s="2">
        <f>HYPERLINK("http://ts.21cn.com/tousu/show/id/1366337","http://ts.21cn.com/tousu/show/id/1366337")</f>
      </c>
      <c r="G6452" t="s" s="2">
        <v>17</v>
      </c>
      <c r="H6452" t="s" s="2">
        <v>19</v>
      </c>
      <c r="I6452" t="s" s="2">
        <v>24961</v>
      </c>
      <c r="J6452" t="s" s="2">
        <v>24962</v>
      </c>
      <c r="K6452" t="s" s="2">
        <v>22</v>
      </c>
      <c r="L6452" t="s" s="2">
        <v>22</v>
      </c>
      <c r="M6452" t="s" s="2">
        <v>22</v>
      </c>
    </row>
    <row r="6453" ht="25.0" customHeight="true">
      <c r="A6453" t="s" s="2">
        <v>13</v>
      </c>
      <c r="B6453" t="s" s="2">
        <f>HYPERLINK("http://ts.21cn.com/tousu/show/id/1366336","牛牛贷超级利息还恐吓威胁")</f>
      </c>
      <c r="C6453" t="s" s="2">
        <v>15</v>
      </c>
      <c r="D6453" t="s" s="2">
        <v>16</v>
      </c>
      <c r="E6453" t="s" s="2">
        <v>17</v>
      </c>
      <c r="F6453" t="s" s="2">
        <f>HYPERLINK("http://ts.21cn.com/tousu/show/id/1366336","http://ts.21cn.com/tousu/show/id/1366336")</f>
      </c>
      <c r="G6453" t="s" s="2">
        <v>17</v>
      </c>
      <c r="H6453" t="s" s="2">
        <v>19</v>
      </c>
      <c r="I6453" t="s" s="2">
        <v>24965</v>
      </c>
      <c r="J6453" t="s" s="2">
        <v>24966</v>
      </c>
      <c r="K6453" t="s" s="2">
        <v>22</v>
      </c>
      <c r="L6453" t="s" s="2">
        <v>22</v>
      </c>
      <c r="M6453" t="s" s="2">
        <v>22</v>
      </c>
    </row>
    <row r="6454" ht="25.0" customHeight="true">
      <c r="A6454" t="s" s="2">
        <v>13</v>
      </c>
      <c r="B6454" t="s" s="2">
        <f>HYPERLINK("http://ts.21cn.com/tousu/show/id/1366308","拍拍贷暴力催收、冒充公检法")</f>
      </c>
      <c r="C6454" t="s" s="2">
        <v>15</v>
      </c>
      <c r="D6454" t="s" s="2">
        <v>16</v>
      </c>
      <c r="E6454" t="s" s="2">
        <v>17</v>
      </c>
      <c r="F6454" t="s" s="2">
        <f>HYPERLINK("http://ts.21cn.com/tousu/show/id/1366308","http://ts.21cn.com/tousu/show/id/1366308")</f>
      </c>
      <c r="G6454" t="s" s="2">
        <v>17</v>
      </c>
      <c r="H6454" t="s" s="2">
        <v>19</v>
      </c>
      <c r="I6454" t="s" s="2">
        <v>24969</v>
      </c>
      <c r="J6454" t="s" s="2">
        <v>24970</v>
      </c>
      <c r="K6454" t="s" s="2">
        <v>22</v>
      </c>
      <c r="L6454" t="s" s="2">
        <v>22</v>
      </c>
      <c r="M6454" t="s" s="2">
        <v>22</v>
      </c>
    </row>
    <row r="6455" ht="25.0" customHeight="true">
      <c r="A6455" t="s" s="2">
        <v>13</v>
      </c>
      <c r="B6455" t="s" s="2">
        <f>HYPERLINK("http://ts.21cn.com/tousu/show/id/1366332","我来贷借款不能提前还款减息")</f>
      </c>
      <c r="C6455" t="s" s="2">
        <v>15</v>
      </c>
      <c r="D6455" t="s" s="2">
        <v>16</v>
      </c>
      <c r="E6455" t="s" s="2">
        <v>17</v>
      </c>
      <c r="F6455" t="s" s="2">
        <f>HYPERLINK("http://ts.21cn.com/tousu/show/id/1366332","http://ts.21cn.com/tousu/show/id/1366332")</f>
      </c>
      <c r="G6455" t="s" s="2">
        <v>17</v>
      </c>
      <c r="H6455" t="s" s="2">
        <v>19</v>
      </c>
      <c r="I6455" t="s" s="2">
        <v>24973</v>
      </c>
      <c r="J6455" t="s" s="2">
        <v>24974</v>
      </c>
      <c r="K6455" t="s" s="2">
        <v>22</v>
      </c>
      <c r="L6455" t="s" s="2">
        <v>22</v>
      </c>
      <c r="M6455" t="s" s="2">
        <v>22</v>
      </c>
    </row>
    <row r="6456" ht="25.0" customHeight="true">
      <c r="A6456" t="s" s="2">
        <v>13</v>
      </c>
      <c r="B6456" t="s" s="2">
        <f>HYPERLINK("http://ts.21cn.com/tousu/show/id/1366331","美团生意贷请让我分期还款")</f>
      </c>
      <c r="C6456" t="s" s="2">
        <v>15</v>
      </c>
      <c r="D6456" t="s" s="2">
        <v>16</v>
      </c>
      <c r="E6456" t="s" s="2">
        <v>17</v>
      </c>
      <c r="F6456" t="s" s="2">
        <f>HYPERLINK("http://ts.21cn.com/tousu/show/id/1366331","http://ts.21cn.com/tousu/show/id/1366331")</f>
      </c>
      <c r="G6456" t="s" s="2">
        <v>17</v>
      </c>
      <c r="H6456" t="s" s="2">
        <v>19</v>
      </c>
      <c r="I6456" t="s" s="2">
        <v>24977</v>
      </c>
      <c r="J6456" t="s" s="2">
        <v>24978</v>
      </c>
      <c r="K6456" t="s" s="2">
        <v>22</v>
      </c>
      <c r="L6456" t="s" s="2">
        <v>22</v>
      </c>
      <c r="M6456" t="s" s="2">
        <v>22</v>
      </c>
    </row>
    <row r="6457" ht="25.0" customHeight="true">
      <c r="A6457" t="s" s="2">
        <v>13</v>
      </c>
      <c r="B6457" t="s" s="2">
        <f>HYPERLINK("http://ts.21cn.com/tousu/show/id/1366330","分期12期，借款到账第8天要求还款。事先无任何通知已经告知")</f>
      </c>
      <c r="C6457" t="s" s="2">
        <v>15</v>
      </c>
      <c r="D6457" t="s" s="2">
        <v>16</v>
      </c>
      <c r="E6457" t="s" s="2">
        <v>17</v>
      </c>
      <c r="F6457" t="s" s="2">
        <f>HYPERLINK("http://ts.21cn.com/tousu/show/id/1366330","http://ts.21cn.com/tousu/show/id/1366330")</f>
      </c>
      <c r="G6457" t="s" s="2">
        <v>17</v>
      </c>
      <c r="H6457" t="s" s="2">
        <v>19</v>
      </c>
      <c r="I6457" t="s" s="2">
        <v>24981</v>
      </c>
      <c r="J6457" t="s" s="2">
        <v>24982</v>
      </c>
      <c r="K6457" t="s" s="2">
        <v>22</v>
      </c>
      <c r="L6457" t="s" s="2">
        <v>22</v>
      </c>
      <c r="M6457" t="s" s="2">
        <v>22</v>
      </c>
    </row>
    <row r="6458" ht="25.0" customHeight="true">
      <c r="A6458" t="s" s="2">
        <v>13</v>
      </c>
      <c r="B6458" t="s" s="2">
        <f>HYPERLINK("http://ts.21cn.com/tousu/show/id/1366329","北京英龙华辰科技有限公司不发货，且多收费用。")</f>
      </c>
      <c r="C6458" t="s" s="2">
        <v>15</v>
      </c>
      <c r="D6458" t="s" s="2">
        <v>16</v>
      </c>
      <c r="E6458" t="s" s="2">
        <v>17</v>
      </c>
      <c r="F6458" t="s" s="2">
        <f>HYPERLINK("http://ts.21cn.com/tousu/show/id/1366329","http://ts.21cn.com/tousu/show/id/1366329")</f>
      </c>
      <c r="G6458" t="s" s="2">
        <v>17</v>
      </c>
      <c r="H6458" t="s" s="2">
        <v>19</v>
      </c>
      <c r="I6458" t="s" s="2">
        <v>24985</v>
      </c>
      <c r="J6458" t="s" s="2">
        <v>24986</v>
      </c>
      <c r="K6458" t="s" s="2">
        <v>22</v>
      </c>
      <c r="L6458" t="s" s="2">
        <v>22</v>
      </c>
      <c r="M6458" t="s" s="2">
        <v>22</v>
      </c>
    </row>
    <row r="6459" ht="25.0" customHeight="true">
      <c r="A6459" t="s" s="2">
        <v>13</v>
      </c>
      <c r="B6459" t="s" s="2">
        <f>HYPERLINK("http://ts.21cn.com/tousu/show/id/1366328","钱包易贷恶意盗取我的信息私自骚扰通讯录")</f>
      </c>
      <c r="C6459" t="s" s="2">
        <v>15</v>
      </c>
      <c r="D6459" t="s" s="2">
        <v>16</v>
      </c>
      <c r="E6459" t="s" s="2">
        <v>17</v>
      </c>
      <c r="F6459" t="s" s="2">
        <f>HYPERLINK("http://ts.21cn.com/tousu/show/id/1366328","http://ts.21cn.com/tousu/show/id/1366328")</f>
      </c>
      <c r="G6459" t="s" s="2">
        <v>17</v>
      </c>
      <c r="H6459" t="s" s="2">
        <v>19</v>
      </c>
      <c r="I6459" t="s" s="2">
        <v>24989</v>
      </c>
      <c r="J6459" t="s" s="2">
        <v>24990</v>
      </c>
      <c r="K6459" t="s" s="2">
        <v>22</v>
      </c>
      <c r="L6459" t="s" s="2">
        <v>22</v>
      </c>
      <c r="M6459" t="s" s="2">
        <v>22</v>
      </c>
    </row>
    <row r="6460" ht="25.0" customHeight="true">
      <c r="A6460" t="s" s="2">
        <v>13</v>
      </c>
      <c r="B6460" t="s" s="2">
        <f>HYPERLINK("http://ts.21cn.com/tousu/show/id/1366327","来分期厦门银行无法开据结清证明")</f>
      </c>
      <c r="C6460" t="s" s="2">
        <v>15</v>
      </c>
      <c r="D6460" t="s" s="2">
        <v>16</v>
      </c>
      <c r="E6460" t="s" s="2">
        <v>17</v>
      </c>
      <c r="F6460" t="s" s="2">
        <f>HYPERLINK("http://ts.21cn.com/tousu/show/id/1366327","http://ts.21cn.com/tousu/show/id/1366327")</f>
      </c>
      <c r="G6460" t="s" s="2">
        <v>17</v>
      </c>
      <c r="H6460" t="s" s="2">
        <v>19</v>
      </c>
      <c r="I6460" t="s" s="2">
        <v>24993</v>
      </c>
      <c r="J6460" t="s" s="2">
        <v>24994</v>
      </c>
      <c r="K6460" t="s" s="2">
        <v>22</v>
      </c>
      <c r="L6460" t="s" s="2">
        <v>22</v>
      </c>
      <c r="M6460" t="s" s="2">
        <v>22</v>
      </c>
    </row>
    <row r="6461" ht="25.0" customHeight="true">
      <c r="A6461" t="s" s="2">
        <v>13</v>
      </c>
      <c r="B6461" t="s" s="2">
        <f>HYPERLINK("http://ts.21cn.com/tousu/show/id/1366324","高利贷暴力催收威胁")</f>
      </c>
      <c r="C6461" t="s" s="2">
        <v>15</v>
      </c>
      <c r="D6461" t="s" s="2">
        <v>16</v>
      </c>
      <c r="E6461" t="s" s="2">
        <v>17</v>
      </c>
      <c r="F6461" t="s" s="2">
        <f>HYPERLINK("http://ts.21cn.com/tousu/show/id/1366324","http://ts.21cn.com/tousu/show/id/1366324")</f>
      </c>
      <c r="G6461" t="s" s="2">
        <v>17</v>
      </c>
      <c r="H6461" t="s" s="2">
        <v>19</v>
      </c>
      <c r="I6461" t="s" s="2">
        <v>24997</v>
      </c>
      <c r="J6461" t="s" s="2">
        <v>24998</v>
      </c>
      <c r="K6461" t="s" s="2">
        <v>22</v>
      </c>
      <c r="L6461" t="s" s="2">
        <v>22</v>
      </c>
      <c r="M6461" t="s" s="2">
        <v>22</v>
      </c>
    </row>
    <row r="6462" ht="25.0" customHeight="true">
      <c r="A6462" t="s" s="2">
        <v>13</v>
      </c>
      <c r="B6462" t="s" s="2">
        <f>HYPERLINK("http://ts.21cn.com/tousu/show/id/1366326","被法院判决二次贷金额与事时不符")</f>
      </c>
      <c r="C6462" t="s" s="2">
        <v>15</v>
      </c>
      <c r="D6462" t="s" s="2">
        <v>16</v>
      </c>
      <c r="E6462" t="s" s="2">
        <v>17</v>
      </c>
      <c r="F6462" t="s" s="2">
        <f>HYPERLINK("http://ts.21cn.com/tousu/show/id/1366326","http://ts.21cn.com/tousu/show/id/1366326")</f>
      </c>
      <c r="G6462" t="s" s="2">
        <v>17</v>
      </c>
      <c r="H6462" t="s" s="2">
        <v>19</v>
      </c>
      <c r="I6462" t="s" s="2">
        <v>25001</v>
      </c>
      <c r="J6462" t="s" s="2">
        <v>25002</v>
      </c>
      <c r="K6462" t="s" s="2">
        <v>22</v>
      </c>
      <c r="L6462" t="s" s="2">
        <v>22</v>
      </c>
      <c r="M6462" t="s" s="2">
        <v>22</v>
      </c>
    </row>
    <row r="6463" ht="25.0" customHeight="true">
      <c r="A6463" t="s" s="2">
        <v>13</v>
      </c>
      <c r="B6463" t="s" s="2">
        <f>HYPERLINK("http://ts.21cn.com/tousu/show/id/1366322","懒财金服到期不兑付")</f>
      </c>
      <c r="C6463" t="s" s="2">
        <v>15</v>
      </c>
      <c r="D6463" t="s" s="2">
        <v>16</v>
      </c>
      <c r="E6463" t="s" s="2">
        <v>17</v>
      </c>
      <c r="F6463" t="s" s="2">
        <f>HYPERLINK("http://ts.21cn.com/tousu/show/id/1366322","http://ts.21cn.com/tousu/show/id/1366322")</f>
      </c>
      <c r="G6463" t="s" s="2">
        <v>17</v>
      </c>
      <c r="H6463" t="s" s="2">
        <v>19</v>
      </c>
      <c r="I6463" t="s" s="2">
        <v>25005</v>
      </c>
      <c r="J6463" t="s" s="2">
        <v>25006</v>
      </c>
      <c r="K6463" t="s" s="2">
        <v>22</v>
      </c>
      <c r="L6463" t="s" s="2">
        <v>22</v>
      </c>
      <c r="M6463" t="s" s="2">
        <v>22</v>
      </c>
    </row>
    <row r="6464" ht="25.0" customHeight="true">
      <c r="A6464" t="s" s="2">
        <v>13</v>
      </c>
      <c r="B6464" t="s" s="2">
        <f>HYPERLINK("http://ts.21cn.com/tousu/show/id/1366321","浦发银行信用卡违规收取费用")</f>
      </c>
      <c r="C6464" t="s" s="2">
        <v>15</v>
      </c>
      <c r="D6464" t="s" s="2">
        <v>16</v>
      </c>
      <c r="E6464" t="s" s="2">
        <v>17</v>
      </c>
      <c r="F6464" t="s" s="2">
        <f>HYPERLINK("http://ts.21cn.com/tousu/show/id/1366321","http://ts.21cn.com/tousu/show/id/1366321")</f>
      </c>
      <c r="G6464" t="s" s="2">
        <v>17</v>
      </c>
      <c r="H6464" t="s" s="2">
        <v>19</v>
      </c>
      <c r="I6464" t="s" s="2">
        <v>25009</v>
      </c>
      <c r="J6464" t="s" s="2">
        <v>25010</v>
      </c>
      <c r="K6464" t="s" s="2">
        <v>22</v>
      </c>
      <c r="L6464" t="s" s="2">
        <v>22</v>
      </c>
      <c r="M6464" t="s" s="2">
        <v>22</v>
      </c>
    </row>
    <row r="6465" ht="25.0" customHeight="true">
      <c r="A6465" t="s" s="2">
        <v>13</v>
      </c>
      <c r="B6465" t="s" s="2">
        <f>HYPERLINK("http://ts.21cn.com/tousu/show/id/1366320","来分期暴力催收")</f>
      </c>
      <c r="C6465" t="s" s="2">
        <v>15</v>
      </c>
      <c r="D6465" t="s" s="2">
        <v>16</v>
      </c>
      <c r="E6465" t="s" s="2">
        <v>17</v>
      </c>
      <c r="F6465" t="s" s="2">
        <f>HYPERLINK("http://ts.21cn.com/tousu/show/id/1366320","http://ts.21cn.com/tousu/show/id/1366320")</f>
      </c>
      <c r="G6465" t="s" s="2">
        <v>17</v>
      </c>
      <c r="H6465" t="s" s="2">
        <v>19</v>
      </c>
      <c r="I6465" t="s" s="2">
        <v>25012</v>
      </c>
      <c r="J6465" t="s" s="2">
        <v>25013</v>
      </c>
      <c r="K6465" t="s" s="2">
        <v>22</v>
      </c>
      <c r="L6465" t="s" s="2">
        <v>22</v>
      </c>
      <c r="M6465" t="s" s="2">
        <v>22</v>
      </c>
    </row>
    <row r="6466" ht="25.0" customHeight="true">
      <c r="A6466" t="s" s="2">
        <v>13</v>
      </c>
      <c r="B6466" t="s" s="2">
        <f>HYPERLINK("http://ts.21cn.com/tousu/show/id/1366318","活力花暴力催收")</f>
      </c>
      <c r="C6466" t="s" s="2">
        <v>15</v>
      </c>
      <c r="D6466" t="s" s="2">
        <v>16</v>
      </c>
      <c r="E6466" t="s" s="2">
        <v>17</v>
      </c>
      <c r="F6466" t="s" s="2">
        <f>HYPERLINK("http://ts.21cn.com/tousu/show/id/1366318","http://ts.21cn.com/tousu/show/id/1366318")</f>
      </c>
      <c r="G6466" t="s" s="2">
        <v>17</v>
      </c>
      <c r="H6466" t="s" s="2">
        <v>19</v>
      </c>
      <c r="I6466" t="s" s="2">
        <v>25016</v>
      </c>
      <c r="J6466" t="s" s="2">
        <v>25017</v>
      </c>
      <c r="K6466" t="s" s="2">
        <v>22</v>
      </c>
      <c r="L6466" t="s" s="2">
        <v>22</v>
      </c>
      <c r="M6466" t="s" s="2">
        <v>22</v>
      </c>
    </row>
    <row r="6467" ht="25.0" customHeight="true">
      <c r="A6467" t="s" s="2">
        <v>13</v>
      </c>
      <c r="B6467" t="s" s="2">
        <f>HYPERLINK("http://ts.21cn.com/tousu/show/id/1366317","私自爆通讯录，没有任何通知和回复")</f>
      </c>
      <c r="C6467" t="s" s="2">
        <v>15</v>
      </c>
      <c r="D6467" t="s" s="2">
        <v>16</v>
      </c>
      <c r="E6467" t="s" s="2">
        <v>17</v>
      </c>
      <c r="F6467" t="s" s="2">
        <f>HYPERLINK("http://ts.21cn.com/tousu/show/id/1366317","http://ts.21cn.com/tousu/show/id/1366317")</f>
      </c>
      <c r="G6467" t="s" s="2">
        <v>17</v>
      </c>
      <c r="H6467" t="s" s="2">
        <v>19</v>
      </c>
      <c r="I6467" t="s" s="2">
        <v>25016</v>
      </c>
      <c r="J6467" t="s" s="2">
        <v>25019</v>
      </c>
      <c r="K6467" t="s" s="2">
        <v>22</v>
      </c>
      <c r="L6467" t="s" s="2">
        <v>22</v>
      </c>
      <c r="M6467" t="s" s="2">
        <v>22</v>
      </c>
    </row>
    <row r="6468" ht="25.0" customHeight="true">
      <c r="A6468" t="s" s="2">
        <v>13</v>
      </c>
      <c r="B6468" t="s" s="2">
        <f>HYPERLINK("http://ts.21cn.com/tousu/show/id/1366316","汇联汇理财退出不给解释")</f>
      </c>
      <c r="C6468" t="s" s="2">
        <v>15</v>
      </c>
      <c r="D6468" t="s" s="2">
        <v>16</v>
      </c>
      <c r="E6468" t="s" s="2">
        <v>17</v>
      </c>
      <c r="F6468" t="s" s="2">
        <f>HYPERLINK("http://ts.21cn.com/tousu/show/id/1366316","http://ts.21cn.com/tousu/show/id/1366316")</f>
      </c>
      <c r="G6468" t="s" s="2">
        <v>17</v>
      </c>
      <c r="H6468" t="s" s="2">
        <v>19</v>
      </c>
      <c r="I6468" t="s" s="2">
        <v>25022</v>
      </c>
      <c r="J6468" t="s" s="2">
        <v>25023</v>
      </c>
      <c r="K6468" t="s" s="2">
        <v>22</v>
      </c>
      <c r="L6468" t="s" s="2">
        <v>22</v>
      </c>
      <c r="M6468" t="s" s="2">
        <v>22</v>
      </c>
    </row>
    <row r="6469" ht="25.0" customHeight="true">
      <c r="A6469" t="s" s="2">
        <v>13</v>
      </c>
      <c r="B6469" t="s" s="2">
        <f>HYPERLINK("http://ts.21cn.com/tousu/show/id/1366263","光大银行的催收直接可以宣判别人刑事拘留吗？")</f>
      </c>
      <c r="C6469" t="s" s="2">
        <v>15</v>
      </c>
      <c r="D6469" t="s" s="2">
        <v>16</v>
      </c>
      <c r="E6469" t="s" s="2">
        <v>17</v>
      </c>
      <c r="F6469" t="s" s="2">
        <f>HYPERLINK("http://ts.21cn.com/tousu/show/id/1366263","http://ts.21cn.com/tousu/show/id/1366263")</f>
      </c>
      <c r="G6469" t="s" s="2">
        <v>17</v>
      </c>
      <c r="H6469" t="s" s="2">
        <v>19</v>
      </c>
      <c r="I6469" t="s" s="2">
        <v>25026</v>
      </c>
      <c r="J6469" t="s" s="2">
        <v>25027</v>
      </c>
      <c r="K6469" t="s" s="2">
        <v>22</v>
      </c>
      <c r="L6469" t="s" s="2">
        <v>22</v>
      </c>
      <c r="M6469" t="s" s="2">
        <v>22</v>
      </c>
    </row>
    <row r="6470" ht="25.0" customHeight="true">
      <c r="A6470" t="s" s="2">
        <v>13</v>
      </c>
      <c r="B6470" t="s" s="2">
        <f>HYPERLINK("http://ts.21cn.com/tousu/show/id/1366315","无借款，隐形收费")</f>
      </c>
      <c r="C6470" t="s" s="2">
        <v>15</v>
      </c>
      <c r="D6470" t="s" s="2">
        <v>16</v>
      </c>
      <c r="E6470" t="s" s="2">
        <v>17</v>
      </c>
      <c r="F6470" t="s" s="2">
        <f>HYPERLINK("http://ts.21cn.com/tousu/show/id/1366315","http://ts.21cn.com/tousu/show/id/1366315")</f>
      </c>
      <c r="G6470" t="s" s="2">
        <v>17</v>
      </c>
      <c r="H6470" t="s" s="2">
        <v>19</v>
      </c>
      <c r="I6470" t="s" s="2">
        <v>25030</v>
      </c>
      <c r="J6470" t="s" s="2">
        <v>25031</v>
      </c>
      <c r="K6470" t="s" s="2">
        <v>22</v>
      </c>
      <c r="L6470" t="s" s="2">
        <v>22</v>
      </c>
      <c r="M6470" t="s" s="2">
        <v>22</v>
      </c>
    </row>
    <row r="6471" ht="25.0" customHeight="true">
      <c r="A6471" t="s" s="2">
        <v>13</v>
      </c>
      <c r="B6471" t="s" s="2">
        <f>HYPERLINK("http://ts.21cn.com/tousu/show/id/1366314","暴力催收，")</f>
      </c>
      <c r="C6471" t="s" s="2">
        <v>15</v>
      </c>
      <c r="D6471" t="s" s="2">
        <v>16</v>
      </c>
      <c r="E6471" t="s" s="2">
        <v>17</v>
      </c>
      <c r="F6471" t="s" s="2">
        <f>HYPERLINK("http://ts.21cn.com/tousu/show/id/1366314","http://ts.21cn.com/tousu/show/id/1366314")</f>
      </c>
      <c r="G6471" t="s" s="2">
        <v>17</v>
      </c>
      <c r="H6471" t="s" s="2">
        <v>19</v>
      </c>
      <c r="I6471" t="s" s="2">
        <v>25033</v>
      </c>
      <c r="J6471" t="s" s="2">
        <v>25034</v>
      </c>
      <c r="K6471" t="s" s="2">
        <v>22</v>
      </c>
      <c r="L6471" t="s" s="2">
        <v>22</v>
      </c>
      <c r="M6471" t="s" s="2">
        <v>22</v>
      </c>
    </row>
    <row r="6472" ht="25.0" customHeight="true">
      <c r="A6472" t="s" s="2">
        <v>13</v>
      </c>
      <c r="B6472" t="s" s="2">
        <f>HYPERLINK("http://ts.21cn.com/tousu/show/id/1366220","U卡贷误导客户，区别对待胡乱收费")</f>
      </c>
      <c r="C6472" t="s" s="2">
        <v>15</v>
      </c>
      <c r="D6472" t="s" s="2">
        <v>16</v>
      </c>
      <c r="E6472" t="s" s="2">
        <v>17</v>
      </c>
      <c r="F6472" t="s" s="2">
        <f>HYPERLINK("http://ts.21cn.com/tousu/show/id/1366220","http://ts.21cn.com/tousu/show/id/1366220")</f>
      </c>
      <c r="G6472" t="s" s="2">
        <v>17</v>
      </c>
      <c r="H6472" t="s" s="2">
        <v>19</v>
      </c>
      <c r="I6472" t="s" s="2">
        <v>25037</v>
      </c>
      <c r="J6472" t="s" s="2">
        <v>25038</v>
      </c>
      <c r="K6472" t="s" s="2">
        <v>22</v>
      </c>
      <c r="L6472" t="s" s="2">
        <v>22</v>
      </c>
      <c r="M6472" t="s" s="2">
        <v>22</v>
      </c>
    </row>
    <row r="6473" ht="25.0" customHeight="true">
      <c r="A6473" t="s" s="2">
        <v>13</v>
      </c>
      <c r="B6473" t="s" s="2">
        <f>HYPERLINK("http://ts.21cn.com/tousu/show/id/1366313","你我贷暴力催收")</f>
      </c>
      <c r="C6473" t="s" s="2">
        <v>15</v>
      </c>
      <c r="D6473" t="s" s="2">
        <v>16</v>
      </c>
      <c r="E6473" t="s" s="2">
        <v>17</v>
      </c>
      <c r="F6473" t="s" s="2">
        <f>HYPERLINK("http://ts.21cn.com/tousu/show/id/1366313","http://ts.21cn.com/tousu/show/id/1366313")</f>
      </c>
      <c r="G6473" t="s" s="2">
        <v>17</v>
      </c>
      <c r="H6473" t="s" s="2">
        <v>19</v>
      </c>
      <c r="I6473" t="s" s="2">
        <v>25040</v>
      </c>
      <c r="J6473" t="s" s="2">
        <v>25041</v>
      </c>
      <c r="K6473" t="s" s="2">
        <v>22</v>
      </c>
      <c r="L6473" t="s" s="2">
        <v>22</v>
      </c>
      <c r="M6473" t="s" s="2">
        <v>22</v>
      </c>
    </row>
    <row r="6474" ht="25.0" customHeight="true">
      <c r="A6474" t="s" s="2">
        <v>13</v>
      </c>
      <c r="B6474" t="s" s="2">
        <f>HYPERLINK("http://ts.21cn.com/tousu/show/id/1366311","投诉滴滴司机跑路")</f>
      </c>
      <c r="C6474" t="s" s="2">
        <v>15</v>
      </c>
      <c r="D6474" t="s" s="2">
        <v>16</v>
      </c>
      <c r="E6474" t="s" s="2">
        <v>17</v>
      </c>
      <c r="F6474" t="s" s="2">
        <f>HYPERLINK("http://ts.21cn.com/tousu/show/id/1366311","http://ts.21cn.com/tousu/show/id/1366311")</f>
      </c>
      <c r="G6474" t="s" s="2">
        <v>17</v>
      </c>
      <c r="H6474" t="s" s="2">
        <v>19</v>
      </c>
      <c r="I6474" t="s" s="2">
        <v>25044</v>
      </c>
      <c r="J6474" t="s" s="2">
        <v>25045</v>
      </c>
      <c r="K6474" t="s" s="2">
        <v>22</v>
      </c>
      <c r="L6474" t="s" s="2">
        <v>22</v>
      </c>
      <c r="M6474" t="s" s="2">
        <v>22</v>
      </c>
    </row>
    <row r="6475" ht="25.0" customHeight="true">
      <c r="A6475" t="s" s="2">
        <v>13</v>
      </c>
      <c r="B6475" t="s" s="2">
        <f>HYPERLINK("http://ts.21cn.com/tousu/show/id/1366310","浦发银行信用卡中心暴力催收")</f>
      </c>
      <c r="C6475" t="s" s="2">
        <v>15</v>
      </c>
      <c r="D6475" t="s" s="2">
        <v>16</v>
      </c>
      <c r="E6475" t="s" s="2">
        <v>17</v>
      </c>
      <c r="F6475" t="s" s="2">
        <f>HYPERLINK("http://ts.21cn.com/tousu/show/id/1366310","http://ts.21cn.com/tousu/show/id/1366310")</f>
      </c>
      <c r="G6475" t="s" s="2">
        <v>17</v>
      </c>
      <c r="H6475" t="s" s="2">
        <v>19</v>
      </c>
      <c r="I6475" t="s" s="2">
        <v>25048</v>
      </c>
      <c r="J6475" t="s" s="2">
        <v>25049</v>
      </c>
      <c r="K6475" t="s" s="2">
        <v>22</v>
      </c>
      <c r="L6475" t="s" s="2">
        <v>22</v>
      </c>
      <c r="M6475" t="s" s="2">
        <v>22</v>
      </c>
    </row>
    <row r="6476" ht="25.0" customHeight="true">
      <c r="A6476" t="s" s="2">
        <v>13</v>
      </c>
      <c r="B6476" t="s" s="2">
        <f>HYPERLINK("http://ts.21cn.com/tousu/show/id/1366309","已经说好还款时间，电话骚扰通讯录")</f>
      </c>
      <c r="C6476" t="s" s="2">
        <v>15</v>
      </c>
      <c r="D6476" t="s" s="2">
        <v>16</v>
      </c>
      <c r="E6476" t="s" s="2">
        <v>17</v>
      </c>
      <c r="F6476" t="s" s="2">
        <f>HYPERLINK("http://ts.21cn.com/tousu/show/id/1366309","http://ts.21cn.com/tousu/show/id/1366309")</f>
      </c>
      <c r="G6476" t="s" s="2">
        <v>17</v>
      </c>
      <c r="H6476" t="s" s="2">
        <v>19</v>
      </c>
      <c r="I6476" t="s" s="2">
        <v>25052</v>
      </c>
      <c r="J6476" t="s" s="2">
        <v>25053</v>
      </c>
      <c r="K6476" t="s" s="2">
        <v>22</v>
      </c>
      <c r="L6476" t="s" s="2">
        <v>22</v>
      </c>
      <c r="M6476" t="s" s="2">
        <v>22</v>
      </c>
    </row>
    <row r="6477" ht="25.0" customHeight="true">
      <c r="A6477" t="s" s="2">
        <v>13</v>
      </c>
      <c r="B6477" t="s" s="2">
        <f>HYPERLINK("http://ts.21cn.com/tousu/show/id/1366306","众惠财产互相保险社")</f>
      </c>
      <c r="C6477" t="s" s="2">
        <v>15</v>
      </c>
      <c r="D6477" t="s" s="2">
        <v>16</v>
      </c>
      <c r="E6477" t="s" s="2">
        <v>17</v>
      </c>
      <c r="F6477" t="s" s="2">
        <f>HYPERLINK("http://ts.21cn.com/tousu/show/id/1366306","http://ts.21cn.com/tousu/show/id/1366306")</f>
      </c>
      <c r="G6477" t="s" s="2">
        <v>17</v>
      </c>
      <c r="H6477" t="s" s="2">
        <v>19</v>
      </c>
      <c r="I6477" t="s" s="2">
        <v>25056</v>
      </c>
      <c r="J6477" t="s" s="2">
        <v>25057</v>
      </c>
      <c r="K6477" t="s" s="2">
        <v>22</v>
      </c>
      <c r="L6477" t="s" s="2">
        <v>22</v>
      </c>
      <c r="M6477" t="s" s="2">
        <v>22</v>
      </c>
    </row>
    <row r="6478" ht="25.0" customHeight="true">
      <c r="A6478" t="s" s="2">
        <v>13</v>
      </c>
      <c r="B6478" t="s" s="2">
        <f>HYPERLINK("http://ts.21cn.com/tousu/show/id/1366307","退押金500")</f>
      </c>
      <c r="C6478" t="s" s="2">
        <v>15</v>
      </c>
      <c r="D6478" t="s" s="2">
        <v>16</v>
      </c>
      <c r="E6478" t="s" s="2">
        <v>17</v>
      </c>
      <c r="F6478" t="s" s="2">
        <f>HYPERLINK("http://ts.21cn.com/tousu/show/id/1366307","http://ts.21cn.com/tousu/show/id/1366307")</f>
      </c>
      <c r="G6478" t="s" s="2">
        <v>17</v>
      </c>
      <c r="H6478" t="s" s="2">
        <v>19</v>
      </c>
      <c r="I6478" t="s" s="2">
        <v>25060</v>
      </c>
      <c r="J6478" t="s" s="2">
        <v>25061</v>
      </c>
      <c r="K6478" t="s" s="2">
        <v>22</v>
      </c>
      <c r="L6478" t="s" s="2">
        <v>22</v>
      </c>
      <c r="M6478" t="s" s="2">
        <v>22</v>
      </c>
    </row>
    <row r="6479" ht="25.0" customHeight="true">
      <c r="A6479" t="s" s="2">
        <v>13</v>
      </c>
      <c r="B6479" t="s" s="2">
        <f>HYPERLINK("http://ts.21cn.com/tousu/show/id/1366305","速想购（速想惠）平台暴力催收、骚扰亲朋好友，爆通讯录，要求停止骚扰")</f>
      </c>
      <c r="C6479" t="s" s="2">
        <v>15</v>
      </c>
      <c r="D6479" t="s" s="2">
        <v>16</v>
      </c>
      <c r="E6479" t="s" s="2">
        <v>17</v>
      </c>
      <c r="F6479" t="s" s="2">
        <f>HYPERLINK("http://ts.21cn.com/tousu/show/id/1366305","http://ts.21cn.com/tousu/show/id/1366305")</f>
      </c>
      <c r="G6479" t="s" s="2">
        <v>17</v>
      </c>
      <c r="H6479" t="s" s="2">
        <v>19</v>
      </c>
      <c r="I6479" t="s" s="2">
        <v>25064</v>
      </c>
      <c r="J6479" t="s" s="2">
        <v>25065</v>
      </c>
      <c r="K6479" t="s" s="2">
        <v>22</v>
      </c>
      <c r="L6479" t="s" s="2">
        <v>22</v>
      </c>
      <c r="M6479" t="s" s="2">
        <v>22</v>
      </c>
    </row>
    <row r="6480" ht="25.0" customHeight="true">
      <c r="A6480" t="s" s="2">
        <v>13</v>
      </c>
      <c r="B6480" t="s" s="2">
        <f>HYPERLINK("http://ts.21cn.com/tousu/show/id/1366304","立借群发短信")</f>
      </c>
      <c r="C6480" t="s" s="2">
        <v>15</v>
      </c>
      <c r="D6480" t="s" s="2">
        <v>16</v>
      </c>
      <c r="E6480" t="s" s="2">
        <v>17</v>
      </c>
      <c r="F6480" t="s" s="2">
        <f>HYPERLINK("http://ts.21cn.com/tousu/show/id/1366304","http://ts.21cn.com/tousu/show/id/1366304")</f>
      </c>
      <c r="G6480" t="s" s="2">
        <v>17</v>
      </c>
      <c r="H6480" t="s" s="2">
        <v>19</v>
      </c>
      <c r="I6480" t="s" s="2">
        <v>25068</v>
      </c>
      <c r="J6480" t="s" s="2">
        <v>25069</v>
      </c>
      <c r="K6480" t="s" s="2">
        <v>22</v>
      </c>
      <c r="L6480" t="s" s="2">
        <v>22</v>
      </c>
      <c r="M6480" t="s" s="2">
        <v>22</v>
      </c>
    </row>
    <row r="6481" ht="25.0" customHeight="true">
      <c r="A6481" t="s" s="2">
        <v>13</v>
      </c>
      <c r="B6481" t="s" s="2">
        <f>HYPERLINK("http://ts.21cn.com/tousu/show/id/1366303","还款系统异常")</f>
      </c>
      <c r="C6481" t="s" s="2">
        <v>15</v>
      </c>
      <c r="D6481" t="s" s="2">
        <v>16</v>
      </c>
      <c r="E6481" t="s" s="2">
        <v>17</v>
      </c>
      <c r="F6481" t="s" s="2">
        <f>HYPERLINK("http://ts.21cn.com/tousu/show/id/1366303","http://ts.21cn.com/tousu/show/id/1366303")</f>
      </c>
      <c r="G6481" t="s" s="2">
        <v>17</v>
      </c>
      <c r="H6481" t="s" s="2">
        <v>19</v>
      </c>
      <c r="I6481" t="s" s="2">
        <v>25072</v>
      </c>
      <c r="J6481" t="s" s="2">
        <v>25073</v>
      </c>
      <c r="K6481" t="s" s="2">
        <v>22</v>
      </c>
      <c r="L6481" t="s" s="2">
        <v>22</v>
      </c>
      <c r="M6481" t="s" s="2">
        <v>22</v>
      </c>
    </row>
    <row r="6482" ht="25.0" customHeight="true">
      <c r="A6482" t="s" s="2">
        <v>13</v>
      </c>
      <c r="B6482" t="s" s="2">
        <f>HYPERLINK("http://ts.21cn.com/tousu/show/id/1366300","平安普惠贷款隐瞒隐藏并强制收取高额保险费管理费投诉事宜")</f>
      </c>
      <c r="C6482" t="s" s="2">
        <v>15</v>
      </c>
      <c r="D6482" t="s" s="2">
        <v>16</v>
      </c>
      <c r="E6482" t="s" s="2">
        <v>17</v>
      </c>
      <c r="F6482" t="s" s="2">
        <f>HYPERLINK("http://ts.21cn.com/tousu/show/id/1366300","http://ts.21cn.com/tousu/show/id/1366300")</f>
      </c>
      <c r="G6482" t="s" s="2">
        <v>17</v>
      </c>
      <c r="H6482" t="s" s="2">
        <v>19</v>
      </c>
      <c r="I6482" t="s" s="2">
        <v>25075</v>
      </c>
      <c r="J6482" t="s" s="2">
        <v>25076</v>
      </c>
      <c r="K6482" t="s" s="2">
        <v>22</v>
      </c>
      <c r="L6482" t="s" s="2">
        <v>22</v>
      </c>
      <c r="M6482" t="s" s="2">
        <v>22</v>
      </c>
    </row>
    <row r="6483" ht="25.0" customHeight="true">
      <c r="A6483" t="s" s="2">
        <v>13</v>
      </c>
      <c r="B6483" t="s" s="2">
        <f>HYPERLINK("http://ts.21cn.com/tousu/show/id/1366299","360借条暴力催收辱骂。带有黑社会性质")</f>
      </c>
      <c r="C6483" t="s" s="2">
        <v>15</v>
      </c>
      <c r="D6483" t="s" s="2">
        <v>16</v>
      </c>
      <c r="E6483" t="s" s="2">
        <v>17</v>
      </c>
      <c r="F6483" t="s" s="2">
        <f>HYPERLINK("http://ts.21cn.com/tousu/show/id/1366299","http://ts.21cn.com/tousu/show/id/1366299")</f>
      </c>
      <c r="G6483" t="s" s="2">
        <v>17</v>
      </c>
      <c r="H6483" t="s" s="2">
        <v>19</v>
      </c>
      <c r="I6483" t="s" s="2">
        <v>25079</v>
      </c>
      <c r="J6483" t="s" s="2">
        <v>25080</v>
      </c>
      <c r="K6483" t="s" s="2">
        <v>22</v>
      </c>
      <c r="L6483" t="s" s="2">
        <v>22</v>
      </c>
      <c r="M6483" t="s" s="2">
        <v>22</v>
      </c>
    </row>
    <row r="6484" ht="25.0" customHeight="true">
      <c r="A6484" t="s" s="2">
        <v>13</v>
      </c>
      <c r="B6484" t="s" s="2">
        <f>HYPERLINK("http://ts.21cn.com/tousu/show/id/1366298","宝付支付协助高炮扣款")</f>
      </c>
      <c r="C6484" t="s" s="2">
        <v>15</v>
      </c>
      <c r="D6484" t="s" s="2">
        <v>16</v>
      </c>
      <c r="E6484" t="s" s="2">
        <v>17</v>
      </c>
      <c r="F6484" t="s" s="2">
        <f>HYPERLINK("http://ts.21cn.com/tousu/show/id/1366298","http://ts.21cn.com/tousu/show/id/1366298")</f>
      </c>
      <c r="G6484" t="s" s="2">
        <v>17</v>
      </c>
      <c r="H6484" t="s" s="2">
        <v>19</v>
      </c>
      <c r="I6484" t="s" s="2">
        <v>25083</v>
      </c>
      <c r="J6484" t="s" s="2">
        <v>25084</v>
      </c>
      <c r="K6484" t="s" s="2">
        <v>22</v>
      </c>
      <c r="L6484" t="s" s="2">
        <v>22</v>
      </c>
      <c r="M6484" t="s" s="2">
        <v>22</v>
      </c>
    </row>
    <row r="6485" ht="25.0" customHeight="true">
      <c r="A6485" t="s" s="2">
        <v>13</v>
      </c>
      <c r="B6485" t="s" s="2">
        <f>HYPERLINK("http://ts.21cn.com/tousu/show/id/1366297","闪管家威胁")</f>
      </c>
      <c r="C6485" t="s" s="2">
        <v>15</v>
      </c>
      <c r="D6485" t="s" s="2">
        <v>16</v>
      </c>
      <c r="E6485" t="s" s="2">
        <v>17</v>
      </c>
      <c r="F6485" t="s" s="2">
        <f>HYPERLINK("http://ts.21cn.com/tousu/show/id/1366297","http://ts.21cn.com/tousu/show/id/1366297")</f>
      </c>
      <c r="G6485" t="s" s="2">
        <v>17</v>
      </c>
      <c r="H6485" t="s" s="2">
        <v>19</v>
      </c>
      <c r="I6485" t="s" s="2">
        <v>25087</v>
      </c>
      <c r="J6485" t="s" s="2">
        <v>25088</v>
      </c>
      <c r="K6485" t="s" s="2">
        <v>22</v>
      </c>
      <c r="L6485" t="s" s="2">
        <v>22</v>
      </c>
      <c r="M6485" t="s" s="2">
        <v>22</v>
      </c>
    </row>
    <row r="6486" ht="25.0" customHeight="true">
      <c r="A6486" t="s" s="2">
        <v>13</v>
      </c>
      <c r="B6486" t="s" s="2">
        <f>HYPERLINK("http://ts.21cn.com/tousu/show/id/1366295","贷上钱以买游戏豆为由收取高额贷款通过费")</f>
      </c>
      <c r="C6486" t="s" s="2">
        <v>15</v>
      </c>
      <c r="D6486" t="s" s="2">
        <v>16</v>
      </c>
      <c r="E6486" t="s" s="2">
        <v>17</v>
      </c>
      <c r="F6486" t="s" s="2">
        <f>HYPERLINK("http://ts.21cn.com/tousu/show/id/1366295","http://ts.21cn.com/tousu/show/id/1366295")</f>
      </c>
      <c r="G6486" t="s" s="2">
        <v>17</v>
      </c>
      <c r="H6486" t="s" s="2">
        <v>19</v>
      </c>
      <c r="I6486" t="s" s="2">
        <v>25090</v>
      </c>
      <c r="J6486" t="s" s="2">
        <v>25091</v>
      </c>
      <c r="K6486" t="s" s="2">
        <v>22</v>
      </c>
      <c r="L6486" t="s" s="2">
        <v>22</v>
      </c>
      <c r="M6486" t="s" s="2">
        <v>22</v>
      </c>
    </row>
    <row r="6487" ht="25.0" customHeight="true">
      <c r="A6487" t="s" s="2">
        <v>13</v>
      </c>
      <c r="B6487" t="s" s="2">
        <f>HYPERLINK("http://ts.21cn.com/tousu/show/id/1366294","要求携程去哪儿艺龙下线本酒店")</f>
      </c>
      <c r="C6487" t="s" s="2">
        <v>52</v>
      </c>
      <c r="D6487" t="s" s="2">
        <v>16</v>
      </c>
      <c r="E6487" t="s" s="2">
        <v>17</v>
      </c>
      <c r="F6487" t="s" s="2">
        <f>HYPERLINK("http://ts.21cn.com/tousu/show/id/1366294","http://ts.21cn.com/tousu/show/id/1366294")</f>
      </c>
      <c r="G6487" t="s" s="2">
        <v>17</v>
      </c>
      <c r="H6487" t="s" s="2">
        <v>19</v>
      </c>
      <c r="I6487" t="s" s="2">
        <v>25094</v>
      </c>
      <c r="J6487" t="s" s="2">
        <v>25095</v>
      </c>
      <c r="K6487" t="s" s="2">
        <v>22</v>
      </c>
      <c r="L6487" t="s" s="2">
        <v>22</v>
      </c>
      <c r="M6487" t="s" s="2">
        <v>22</v>
      </c>
    </row>
    <row r="6488" ht="25.0" customHeight="true">
      <c r="A6488" t="s" s="2">
        <v>13</v>
      </c>
      <c r="B6488" t="s" s="2">
        <f>HYPERLINK("http://ts.21cn.com/tousu/show/id/1366293","网贷利息太高")</f>
      </c>
      <c r="C6488" t="s" s="2">
        <v>15</v>
      </c>
      <c r="D6488" t="s" s="2">
        <v>16</v>
      </c>
      <c r="E6488" t="s" s="2">
        <v>17</v>
      </c>
      <c r="F6488" t="s" s="2">
        <f>HYPERLINK("http://ts.21cn.com/tousu/show/id/1366293","http://ts.21cn.com/tousu/show/id/1366293")</f>
      </c>
      <c r="G6488" t="s" s="2">
        <v>17</v>
      </c>
      <c r="H6488" t="s" s="2">
        <v>19</v>
      </c>
      <c r="I6488" t="s" s="2">
        <v>25098</v>
      </c>
      <c r="J6488" t="s" s="2">
        <v>25099</v>
      </c>
      <c r="K6488" t="s" s="2">
        <v>22</v>
      </c>
      <c r="L6488" t="s" s="2">
        <v>22</v>
      </c>
      <c r="M6488" t="s" s="2">
        <v>22</v>
      </c>
    </row>
    <row r="6489" ht="25.0" customHeight="true">
      <c r="A6489" t="s" s="2">
        <v>13</v>
      </c>
      <c r="B6489" t="s" s="2">
        <f>HYPERLINK("http://ts.21cn.com/tousu/show/id/1366292","通讯录群发短信，泄露个人隐私")</f>
      </c>
      <c r="C6489" t="s" s="2">
        <v>15</v>
      </c>
      <c r="D6489" t="s" s="2">
        <v>16</v>
      </c>
      <c r="E6489" t="s" s="2">
        <v>17</v>
      </c>
      <c r="F6489" t="s" s="2">
        <f>HYPERLINK("http://ts.21cn.com/tousu/show/id/1366292","http://ts.21cn.com/tousu/show/id/1366292")</f>
      </c>
      <c r="G6489" t="s" s="2">
        <v>17</v>
      </c>
      <c r="H6489" t="s" s="2">
        <v>19</v>
      </c>
      <c r="I6489" t="s" s="2">
        <v>25102</v>
      </c>
      <c r="J6489" t="s" s="2">
        <v>25103</v>
      </c>
      <c r="K6489" t="s" s="2">
        <v>22</v>
      </c>
      <c r="L6489" t="s" s="2">
        <v>22</v>
      </c>
      <c r="M6489" t="s" s="2">
        <v>22</v>
      </c>
    </row>
    <row r="6490" ht="25.0" customHeight="true">
      <c r="A6490" t="s" s="2">
        <v>13</v>
      </c>
      <c r="B6490" t="s" s="2">
        <f>HYPERLINK("http://ts.21cn.com/tousu/show/id/1366290","北京友缘在线科技有限公司涉嫌欺诈用户要求退款")</f>
      </c>
      <c r="C6490" t="s" s="2">
        <v>15</v>
      </c>
      <c r="D6490" t="s" s="2">
        <v>16</v>
      </c>
      <c r="E6490" t="s" s="2">
        <v>17</v>
      </c>
      <c r="F6490" t="s" s="2">
        <f>HYPERLINK("http://ts.21cn.com/tousu/show/id/1366290","http://ts.21cn.com/tousu/show/id/1366290")</f>
      </c>
      <c r="G6490" t="s" s="2">
        <v>17</v>
      </c>
      <c r="H6490" t="s" s="2">
        <v>19</v>
      </c>
      <c r="I6490" t="s" s="2">
        <v>25106</v>
      </c>
      <c r="J6490" t="s" s="2">
        <v>25107</v>
      </c>
      <c r="K6490" t="s" s="2">
        <v>22</v>
      </c>
      <c r="L6490" t="s" s="2">
        <v>22</v>
      </c>
      <c r="M6490" t="s" s="2">
        <v>22</v>
      </c>
    </row>
    <row r="6491" ht="25.0" customHeight="true">
      <c r="A6491" t="s" s="2">
        <v>13</v>
      </c>
      <c r="B6491" t="s" s="2">
        <f>HYPERLINK("http://ts.21cn.com/tousu/show/id/1366288","拼多多恶意扣款")</f>
      </c>
      <c r="C6491" t="s" s="2">
        <v>15</v>
      </c>
      <c r="D6491" t="s" s="2">
        <v>16</v>
      </c>
      <c r="E6491" t="s" s="2">
        <v>17</v>
      </c>
      <c r="F6491" t="s" s="2">
        <f>HYPERLINK("http://ts.21cn.com/tousu/show/id/1366288","http://ts.21cn.com/tousu/show/id/1366288")</f>
      </c>
      <c r="G6491" t="s" s="2">
        <v>17</v>
      </c>
      <c r="H6491" t="s" s="2">
        <v>19</v>
      </c>
      <c r="I6491" t="s" s="2">
        <v>25110</v>
      </c>
      <c r="J6491" t="s" s="2">
        <v>25111</v>
      </c>
      <c r="K6491" t="s" s="2">
        <v>22</v>
      </c>
      <c r="L6491" t="s" s="2">
        <v>22</v>
      </c>
      <c r="M6491" t="s" s="2">
        <v>22</v>
      </c>
    </row>
    <row r="6492" ht="25.0" customHeight="true">
      <c r="A6492" t="s" s="2">
        <v>13</v>
      </c>
      <c r="B6492" t="s" s="2">
        <f>HYPERLINK("http://ts.21cn.com/tousu/show/id/1366289","给我通讯录群发消息骂我母亲暴力催收打电话给我通录讯里的人而且骂人骂人毒恶用呼死你电话轰炸我通录讯里的人")</f>
      </c>
      <c r="C6492" t="s" s="2">
        <v>15</v>
      </c>
      <c r="D6492" t="s" s="2">
        <v>16</v>
      </c>
      <c r="E6492" t="s" s="2">
        <v>17</v>
      </c>
      <c r="F6492" t="s" s="2">
        <f>HYPERLINK("http://ts.21cn.com/tousu/show/id/1366289","http://ts.21cn.com/tousu/show/id/1366289")</f>
      </c>
      <c r="G6492" t="s" s="2">
        <v>17</v>
      </c>
      <c r="H6492" t="s" s="2">
        <v>19</v>
      </c>
      <c r="I6492" t="s" s="2">
        <v>25114</v>
      </c>
      <c r="J6492" t="s" s="2">
        <v>25115</v>
      </c>
      <c r="K6492" t="s" s="2">
        <v>22</v>
      </c>
      <c r="L6492" t="s" s="2">
        <v>22</v>
      </c>
      <c r="M6492" t="s" s="2">
        <v>22</v>
      </c>
    </row>
    <row r="6493" ht="25.0" customHeight="true">
      <c r="A6493" t="s" s="2">
        <v>13</v>
      </c>
      <c r="B6493" t="s" s="2">
        <f>HYPERLINK("http://ts.21cn.com/tousu/show/id/1366287","投诉小象优品高利贷要求一次性结清并减免超出的利息")</f>
      </c>
      <c r="C6493" t="s" s="2">
        <v>15</v>
      </c>
      <c r="D6493" t="s" s="2">
        <v>16</v>
      </c>
      <c r="E6493" t="s" s="2">
        <v>17</v>
      </c>
      <c r="F6493" t="s" s="2">
        <f>HYPERLINK("http://ts.21cn.com/tousu/show/id/1366287","http://ts.21cn.com/tousu/show/id/1366287")</f>
      </c>
      <c r="G6493" t="s" s="2">
        <v>17</v>
      </c>
      <c r="H6493" t="s" s="2">
        <v>19</v>
      </c>
      <c r="I6493" t="s" s="2">
        <v>25118</v>
      </c>
      <c r="J6493" t="s" s="2">
        <v>25119</v>
      </c>
      <c r="K6493" t="s" s="2">
        <v>22</v>
      </c>
      <c r="L6493" t="s" s="2">
        <v>22</v>
      </c>
      <c r="M6493" t="s" s="2">
        <v>22</v>
      </c>
    </row>
    <row r="6494" ht="25.0" customHeight="true">
      <c r="A6494" t="s" s="2">
        <v>13</v>
      </c>
      <c r="B6494" t="s" s="2">
        <f>HYPERLINK("http://ts.21cn.com/tousu/show/id/1366286","暴力催收，超级高利贷，每天不停电话骚扰，严重影响本人工作！")</f>
      </c>
      <c r="C6494" t="s" s="2">
        <v>15</v>
      </c>
      <c r="D6494" t="s" s="2">
        <v>16</v>
      </c>
      <c r="E6494" t="s" s="2">
        <v>17</v>
      </c>
      <c r="F6494" t="s" s="2">
        <f>HYPERLINK("http://ts.21cn.com/tousu/show/id/1366286","http://ts.21cn.com/tousu/show/id/1366286")</f>
      </c>
      <c r="G6494" t="s" s="2">
        <v>17</v>
      </c>
      <c r="H6494" t="s" s="2">
        <v>19</v>
      </c>
      <c r="I6494" t="s" s="2">
        <v>25122</v>
      </c>
      <c r="J6494" t="s" s="2">
        <v>25123</v>
      </c>
      <c r="K6494" t="s" s="2">
        <v>22</v>
      </c>
      <c r="L6494" t="s" s="2">
        <v>22</v>
      </c>
      <c r="M6494" t="s" s="2">
        <v>22</v>
      </c>
    </row>
    <row r="6495" ht="25.0" customHeight="true">
      <c r="A6495" t="s" s="2">
        <v>13</v>
      </c>
      <c r="B6495" t="s" s="2">
        <f>HYPERLINK("http://ts.21cn.com/tousu/show/id/1366283","在5173平台购买账号后被找回客服置之不理不积极帮买家挽回损失")</f>
      </c>
      <c r="C6495" t="s" s="2">
        <v>15</v>
      </c>
      <c r="D6495" t="s" s="2">
        <v>16</v>
      </c>
      <c r="E6495" t="s" s="2">
        <v>17</v>
      </c>
      <c r="F6495" t="s" s="2">
        <f>HYPERLINK("http://ts.21cn.com/tousu/show/id/1366283","http://ts.21cn.com/tousu/show/id/1366283")</f>
      </c>
      <c r="G6495" t="s" s="2">
        <v>17</v>
      </c>
      <c r="H6495" t="s" s="2">
        <v>19</v>
      </c>
      <c r="I6495" t="s" s="2">
        <v>25126</v>
      </c>
      <c r="J6495" t="s" s="2">
        <v>25127</v>
      </c>
      <c r="K6495" t="s" s="2">
        <v>22</v>
      </c>
      <c r="L6495" t="s" s="2">
        <v>22</v>
      </c>
      <c r="M6495" t="s" s="2">
        <v>22</v>
      </c>
    </row>
    <row r="6496" ht="25.0" customHeight="true">
      <c r="A6496" t="s" s="2">
        <v>13</v>
      </c>
      <c r="B6496" t="s" s="2">
        <f>HYPERLINK("http://ts.21cn.com/tousu/show/id/1366285","中腾信金融公司贷款签订阴阳合同")</f>
      </c>
      <c r="C6496" t="s" s="2">
        <v>15</v>
      </c>
      <c r="D6496" t="s" s="2">
        <v>16</v>
      </c>
      <c r="E6496" t="s" s="2">
        <v>17</v>
      </c>
      <c r="F6496" t="s" s="2">
        <f>HYPERLINK("http://ts.21cn.com/tousu/show/id/1366285","http://ts.21cn.com/tousu/show/id/1366285")</f>
      </c>
      <c r="G6496" t="s" s="2">
        <v>17</v>
      </c>
      <c r="H6496" t="s" s="2">
        <v>19</v>
      </c>
      <c r="I6496" t="s" s="2">
        <v>25130</v>
      </c>
      <c r="J6496" t="s" s="2">
        <v>25131</v>
      </c>
      <c r="K6496" t="s" s="2">
        <v>22</v>
      </c>
      <c r="L6496" t="s" s="2">
        <v>22</v>
      </c>
      <c r="M6496" t="s" s="2">
        <v>22</v>
      </c>
    </row>
    <row r="6497" ht="25.0" customHeight="true">
      <c r="A6497" t="s" s="2">
        <v>13</v>
      </c>
      <c r="B6497" t="s" s="2">
        <f>HYPERLINK("http://ts.21cn.com/tousu/show/id/1366282","迅捷视频无法转换视频格式")</f>
      </c>
      <c r="C6497" t="s" s="2">
        <v>52</v>
      </c>
      <c r="D6497" t="s" s="2">
        <v>16</v>
      </c>
      <c r="E6497" t="s" s="2">
        <v>17</v>
      </c>
      <c r="F6497" t="s" s="2">
        <f>HYPERLINK("http://ts.21cn.com/tousu/show/id/1366282","http://ts.21cn.com/tousu/show/id/1366282")</f>
      </c>
      <c r="G6497" t="s" s="2">
        <v>17</v>
      </c>
      <c r="H6497" t="s" s="2">
        <v>19</v>
      </c>
      <c r="I6497" t="s" s="2">
        <v>25134</v>
      </c>
      <c r="J6497" t="s" s="2">
        <v>25135</v>
      </c>
      <c r="K6497" t="s" s="2">
        <v>22</v>
      </c>
      <c r="L6497" t="s" s="2">
        <v>22</v>
      </c>
      <c r="M6497" t="s" s="2">
        <v>22</v>
      </c>
    </row>
    <row r="6498" ht="25.0" customHeight="true">
      <c r="A6498" t="s" s="2">
        <v>13</v>
      </c>
      <c r="B6498" t="s" s="2">
        <f>HYPERLINK("http://ts.21cn.com/tousu/show/id/1366284","小象优品催收态度恶劣，爆通讯录")</f>
      </c>
      <c r="C6498" t="s" s="2">
        <v>15</v>
      </c>
      <c r="D6498" t="s" s="2">
        <v>16</v>
      </c>
      <c r="E6498" t="s" s="2">
        <v>17</v>
      </c>
      <c r="F6498" t="s" s="2">
        <f>HYPERLINK("http://ts.21cn.com/tousu/show/id/1366284","http://ts.21cn.com/tousu/show/id/1366284")</f>
      </c>
      <c r="G6498" t="s" s="2">
        <v>17</v>
      </c>
      <c r="H6498" t="s" s="2">
        <v>19</v>
      </c>
      <c r="I6498" t="s" s="2">
        <v>25138</v>
      </c>
      <c r="J6498" t="s" s="2">
        <v>25139</v>
      </c>
      <c r="K6498" t="s" s="2">
        <v>22</v>
      </c>
      <c r="L6498" t="s" s="2">
        <v>22</v>
      </c>
      <c r="M6498" t="s" s="2">
        <v>22</v>
      </c>
    </row>
    <row r="6499" ht="25.0" customHeight="true">
      <c r="A6499" t="s" s="2">
        <v>13</v>
      </c>
      <c r="B6499" t="s" s="2">
        <f>HYPERLINK("http://ts.21cn.com/tousu/show/id/1366281","投诉滴滴出行和强生出租车司机恶意绕路多收费用")</f>
      </c>
      <c r="C6499" t="s" s="2">
        <v>15</v>
      </c>
      <c r="D6499" t="s" s="2">
        <v>16</v>
      </c>
      <c r="E6499" t="s" s="2">
        <v>17</v>
      </c>
      <c r="F6499" t="s" s="2">
        <f>HYPERLINK("http://ts.21cn.com/tousu/show/id/1366281","http://ts.21cn.com/tousu/show/id/1366281")</f>
      </c>
      <c r="G6499" t="s" s="2">
        <v>17</v>
      </c>
      <c r="H6499" t="s" s="2">
        <v>19</v>
      </c>
      <c r="I6499" t="s" s="2">
        <v>25142</v>
      </c>
      <c r="J6499" t="s" s="2">
        <v>25143</v>
      </c>
      <c r="K6499" t="s" s="2">
        <v>22</v>
      </c>
      <c r="L6499" t="s" s="2">
        <v>22</v>
      </c>
      <c r="M6499" t="s" s="2">
        <v>22</v>
      </c>
    </row>
    <row r="6500" ht="25.0" customHeight="true">
      <c r="A6500" t="s" s="2">
        <v>13</v>
      </c>
      <c r="B6500" t="s" s="2">
        <f>HYPERLINK("http://ts.21cn.com/tousu/show/id/1366197","现金速递说退钱一直不退")</f>
      </c>
      <c r="C6500" t="s" s="2">
        <v>15</v>
      </c>
      <c r="D6500" t="s" s="2">
        <v>16</v>
      </c>
      <c r="E6500" t="s" s="2">
        <v>17</v>
      </c>
      <c r="F6500" t="s" s="2">
        <f>HYPERLINK("http://ts.21cn.com/tousu/show/id/1366197","http://ts.21cn.com/tousu/show/id/1366197")</f>
      </c>
      <c r="G6500" t="s" s="2">
        <v>17</v>
      </c>
      <c r="H6500" t="s" s="2">
        <v>19</v>
      </c>
      <c r="I6500" t="s" s="2">
        <v>25146</v>
      </c>
      <c r="J6500" t="s" s="2">
        <v>25147</v>
      </c>
      <c r="K6500" t="s" s="2">
        <v>22</v>
      </c>
      <c r="L6500" t="s" s="2">
        <v>22</v>
      </c>
      <c r="M6500" t="s" s="2">
        <v>22</v>
      </c>
    </row>
    <row r="6501" ht="25.0" customHeight="true">
      <c r="A6501" t="s" s="2">
        <v>13</v>
      </c>
      <c r="B6501" t="s" s="2">
        <f>HYPERLINK("http://ts.21cn.com/tousu/show/id/1366280","希望该公司尽快退回押金500")</f>
      </c>
      <c r="C6501" t="s" s="2">
        <v>52</v>
      </c>
      <c r="D6501" t="s" s="2">
        <v>16</v>
      </c>
      <c r="E6501" t="s" s="2">
        <v>17</v>
      </c>
      <c r="F6501" t="s" s="2">
        <f>HYPERLINK("http://ts.21cn.com/tousu/show/id/1366280","http://ts.21cn.com/tousu/show/id/1366280")</f>
      </c>
      <c r="G6501" t="s" s="2">
        <v>17</v>
      </c>
      <c r="H6501" t="s" s="2">
        <v>19</v>
      </c>
      <c r="I6501" t="s" s="2">
        <v>25150</v>
      </c>
      <c r="J6501" t="s" s="2">
        <v>25151</v>
      </c>
      <c r="K6501" t="s" s="2">
        <v>22</v>
      </c>
      <c r="L6501" t="s" s="2">
        <v>22</v>
      </c>
      <c r="M6501" t="s" s="2">
        <v>22</v>
      </c>
    </row>
    <row r="6502" ht="25.0" customHeight="true">
      <c r="A6502" t="s" s="2">
        <v>13</v>
      </c>
      <c r="B6502" t="s" s="2">
        <f>HYPERLINK("http://ts.21cn.com/tousu/show/id/1366203","光大信用卡中心")</f>
      </c>
      <c r="C6502" t="s" s="2">
        <v>52</v>
      </c>
      <c r="D6502" t="s" s="2">
        <v>16</v>
      </c>
      <c r="E6502" t="s" s="2">
        <v>17</v>
      </c>
      <c r="F6502" t="s" s="2">
        <f>HYPERLINK("http://ts.21cn.com/tousu/show/id/1366203","http://ts.21cn.com/tousu/show/id/1366203")</f>
      </c>
      <c r="G6502" t="s" s="2">
        <v>17</v>
      </c>
      <c r="H6502" t="s" s="2">
        <v>19</v>
      </c>
      <c r="I6502" t="s" s="2">
        <v>25154</v>
      </c>
      <c r="J6502" t="s" s="2">
        <v>25155</v>
      </c>
      <c r="K6502" t="s" s="2">
        <v>22</v>
      </c>
      <c r="L6502" t="s" s="2">
        <v>22</v>
      </c>
      <c r="M6502" t="s" s="2">
        <v>22</v>
      </c>
    </row>
    <row r="6503" ht="25.0" customHeight="true">
      <c r="A6503" t="s" s="2">
        <v>13</v>
      </c>
      <c r="B6503" t="s" s="2">
        <f>HYPERLINK("http://ts.21cn.com/tousu/show/id/1366278","蜜瓜钱包借款APP是714高利贷平台")</f>
      </c>
      <c r="C6503" t="s" s="2">
        <v>15</v>
      </c>
      <c r="D6503" t="s" s="2">
        <v>16</v>
      </c>
      <c r="E6503" t="s" s="2">
        <v>17</v>
      </c>
      <c r="F6503" t="s" s="2">
        <f>HYPERLINK("http://ts.21cn.com/tousu/show/id/1366278","http://ts.21cn.com/tousu/show/id/1366278")</f>
      </c>
      <c r="G6503" t="s" s="2">
        <v>17</v>
      </c>
      <c r="H6503" t="s" s="2">
        <v>19</v>
      </c>
      <c r="I6503" t="s" s="2">
        <v>25158</v>
      </c>
      <c r="J6503" t="s" s="2">
        <v>25159</v>
      </c>
      <c r="K6503" t="s" s="2">
        <v>22</v>
      </c>
      <c r="L6503" t="s" s="2">
        <v>22</v>
      </c>
      <c r="M6503" t="s" s="2">
        <v>22</v>
      </c>
    </row>
    <row r="6504" ht="25.0" customHeight="true">
      <c r="A6504" t="s" s="2">
        <v>13</v>
      </c>
      <c r="B6504" t="s" s="2">
        <f>HYPERLINK("http://ts.21cn.com/tousu/show/id/1366141","公众号下单后不发货不退款")</f>
      </c>
      <c r="C6504" t="s" s="2">
        <v>15</v>
      </c>
      <c r="D6504" t="s" s="2">
        <v>16</v>
      </c>
      <c r="E6504" t="s" s="2">
        <v>17</v>
      </c>
      <c r="F6504" t="s" s="2">
        <f>HYPERLINK("http://ts.21cn.com/tousu/show/id/1366141","http://ts.21cn.com/tousu/show/id/1366141")</f>
      </c>
      <c r="G6504" t="s" s="2">
        <v>17</v>
      </c>
      <c r="H6504" t="s" s="2">
        <v>19</v>
      </c>
      <c r="I6504" t="s" s="2">
        <v>25162</v>
      </c>
      <c r="J6504" t="s" s="2">
        <v>25163</v>
      </c>
      <c r="K6504" t="s" s="2">
        <v>22</v>
      </c>
      <c r="L6504" t="s" s="2">
        <v>22</v>
      </c>
      <c r="M6504" t="s" s="2">
        <v>22</v>
      </c>
    </row>
    <row r="6505" ht="25.0" customHeight="true">
      <c r="A6505" t="s" s="2">
        <v>13</v>
      </c>
      <c r="B6505" t="s" s="2">
        <f>HYPERLINK("http://ts.21cn.com/tousu/show/id/1366277","在淘集集的2000元保证金退不了")</f>
      </c>
      <c r="C6505" t="s" s="2">
        <v>15</v>
      </c>
      <c r="D6505" t="s" s="2">
        <v>16</v>
      </c>
      <c r="E6505" t="s" s="2">
        <v>17</v>
      </c>
      <c r="F6505" t="s" s="2">
        <f>HYPERLINK("http://ts.21cn.com/tousu/show/id/1366277","http://ts.21cn.com/tousu/show/id/1366277")</f>
      </c>
      <c r="G6505" t="s" s="2">
        <v>17</v>
      </c>
      <c r="H6505" t="s" s="2">
        <v>19</v>
      </c>
      <c r="I6505" t="s" s="2">
        <v>25165</v>
      </c>
      <c r="J6505" t="s" s="2">
        <v>25166</v>
      </c>
      <c r="K6505" t="s" s="2">
        <v>22</v>
      </c>
      <c r="L6505" t="s" s="2">
        <v>22</v>
      </c>
      <c r="M6505" t="s" s="2">
        <v>22</v>
      </c>
    </row>
    <row r="6506" ht="25.0" customHeight="true">
      <c r="A6506" t="s" s="2">
        <v>13</v>
      </c>
      <c r="B6506" t="s" s="2">
        <f>HYPERLINK("http://ts.21cn.com/tousu/show/id/1366276","交通银行信用卡乱扣钱")</f>
      </c>
      <c r="C6506" t="s" s="2">
        <v>15</v>
      </c>
      <c r="D6506" t="s" s="2">
        <v>16</v>
      </c>
      <c r="E6506" t="s" s="2">
        <v>17</v>
      </c>
      <c r="F6506" t="s" s="2">
        <f>HYPERLINK("http://ts.21cn.com/tousu/show/id/1366276","http://ts.21cn.com/tousu/show/id/1366276")</f>
      </c>
      <c r="G6506" t="s" s="2">
        <v>17</v>
      </c>
      <c r="H6506" t="s" s="2">
        <v>19</v>
      </c>
      <c r="I6506" t="s" s="2">
        <v>25169</v>
      </c>
      <c r="J6506" t="s" s="2">
        <v>25170</v>
      </c>
      <c r="K6506" t="s" s="2">
        <v>22</v>
      </c>
      <c r="L6506" t="s" s="2">
        <v>22</v>
      </c>
      <c r="M6506" t="s" s="2">
        <v>22</v>
      </c>
    </row>
    <row r="6507" ht="25.0" customHeight="true">
      <c r="A6507" t="s" s="2">
        <v>13</v>
      </c>
      <c r="B6507" t="s" s="2">
        <f>HYPERLINK("http://ts.21cn.com/tousu/show/id/1366275","网贷催收")</f>
      </c>
      <c r="C6507" t="s" s="2">
        <v>15</v>
      </c>
      <c r="D6507" t="s" s="2">
        <v>16</v>
      </c>
      <c r="E6507" t="s" s="2">
        <v>17</v>
      </c>
      <c r="F6507" t="s" s="2">
        <f>HYPERLINK("http://ts.21cn.com/tousu/show/id/1366275","http://ts.21cn.com/tousu/show/id/1366275")</f>
      </c>
      <c r="G6507" t="s" s="2">
        <v>17</v>
      </c>
      <c r="H6507" t="s" s="2">
        <v>19</v>
      </c>
      <c r="I6507" t="s" s="2">
        <v>25172</v>
      </c>
      <c r="J6507" t="s" s="2">
        <v>25173</v>
      </c>
      <c r="K6507" t="s" s="2">
        <v>22</v>
      </c>
      <c r="L6507" t="s" s="2">
        <v>22</v>
      </c>
      <c r="M6507" t="s" s="2">
        <v>22</v>
      </c>
    </row>
    <row r="6508" ht="25.0" customHeight="true">
      <c r="A6508" t="s" s="2">
        <v>13</v>
      </c>
      <c r="B6508" t="s" s="2">
        <f>HYPERLINK("http://ts.21cn.com/tousu/show/id/1366274","投诉滴滴出行客服应付和拖延问题40多天不处理")</f>
      </c>
      <c r="C6508" t="s" s="2">
        <v>15</v>
      </c>
      <c r="D6508" t="s" s="2">
        <v>16</v>
      </c>
      <c r="E6508" t="s" s="2">
        <v>17</v>
      </c>
      <c r="F6508" t="s" s="2">
        <f>HYPERLINK("http://ts.21cn.com/tousu/show/id/1366274","http://ts.21cn.com/tousu/show/id/1366274")</f>
      </c>
      <c r="G6508" t="s" s="2">
        <v>17</v>
      </c>
      <c r="H6508" t="s" s="2">
        <v>19</v>
      </c>
      <c r="I6508" t="s" s="2">
        <v>25176</v>
      </c>
      <c r="J6508" t="s" s="2">
        <v>25177</v>
      </c>
      <c r="K6508" t="s" s="2">
        <v>22</v>
      </c>
      <c r="L6508" t="s" s="2">
        <v>22</v>
      </c>
      <c r="M6508" t="s" s="2">
        <v>22</v>
      </c>
    </row>
    <row r="6509" ht="25.0" customHeight="true">
      <c r="A6509" t="s" s="2">
        <v>13</v>
      </c>
      <c r="B6509" t="s" s="2">
        <f>HYPERLINK("http://ts.21cn.com/tousu/show/id/1366273","招联金融爆通讯录，发威胁短信")</f>
      </c>
      <c r="C6509" t="s" s="2">
        <v>15</v>
      </c>
      <c r="D6509" t="s" s="2">
        <v>16</v>
      </c>
      <c r="E6509" t="s" s="2">
        <v>17</v>
      </c>
      <c r="F6509" t="s" s="2">
        <f>HYPERLINK("http://ts.21cn.com/tousu/show/id/1366273","http://ts.21cn.com/tousu/show/id/1366273")</f>
      </c>
      <c r="G6509" t="s" s="2">
        <v>17</v>
      </c>
      <c r="H6509" t="s" s="2">
        <v>19</v>
      </c>
      <c r="I6509" t="s" s="2">
        <v>25180</v>
      </c>
      <c r="J6509" t="s" s="2">
        <v>25181</v>
      </c>
      <c r="K6509" t="s" s="2">
        <v>22</v>
      </c>
      <c r="L6509" t="s" s="2">
        <v>22</v>
      </c>
      <c r="M6509" t="s" s="2">
        <v>22</v>
      </c>
    </row>
    <row r="6510" ht="25.0" customHeight="true">
      <c r="A6510" t="s" s="2">
        <v>13</v>
      </c>
      <c r="B6510" t="s" s="2">
        <f>HYPERLINK("http://ts.21cn.com/tousu/show/id/1366272","众惠财产相互保险社黑社会性质？")</f>
      </c>
      <c r="C6510" t="s" s="2">
        <v>15</v>
      </c>
      <c r="D6510" t="s" s="2">
        <v>16</v>
      </c>
      <c r="E6510" t="s" s="2">
        <v>17</v>
      </c>
      <c r="F6510" t="s" s="2">
        <f>HYPERLINK("http://ts.21cn.com/tousu/show/id/1366272","http://ts.21cn.com/tousu/show/id/1366272")</f>
      </c>
      <c r="G6510" t="s" s="2">
        <v>17</v>
      </c>
      <c r="H6510" t="s" s="2">
        <v>19</v>
      </c>
      <c r="I6510" t="s" s="2">
        <v>25184</v>
      </c>
      <c r="J6510" t="s" s="2">
        <v>25185</v>
      </c>
      <c r="K6510" t="s" s="2">
        <v>22</v>
      </c>
      <c r="L6510" t="s" s="2">
        <v>22</v>
      </c>
      <c r="M6510" t="s" s="2">
        <v>22</v>
      </c>
    </row>
    <row r="6511" ht="25.0" customHeight="true">
      <c r="A6511" t="s" s="2">
        <v>13</v>
      </c>
      <c r="B6511" t="s" s="2">
        <f>HYPERLINK("http://ts.21cn.com/tousu/show/id/1366269","网贷被恶意爆通讯录以保险名义收取砍头息！")</f>
      </c>
      <c r="C6511" t="s" s="2">
        <v>15</v>
      </c>
      <c r="D6511" t="s" s="2">
        <v>16</v>
      </c>
      <c r="E6511" t="s" s="2">
        <v>17</v>
      </c>
      <c r="F6511" t="s" s="2">
        <f>HYPERLINK("http://ts.21cn.com/tousu/show/id/1366269","http://ts.21cn.com/tousu/show/id/1366269")</f>
      </c>
      <c r="G6511" t="s" s="2">
        <v>17</v>
      </c>
      <c r="H6511" t="s" s="2">
        <v>19</v>
      </c>
      <c r="I6511" t="s" s="2">
        <v>25188</v>
      </c>
      <c r="J6511" t="s" s="2">
        <v>25189</v>
      </c>
      <c r="K6511" t="s" s="2">
        <v>22</v>
      </c>
      <c r="L6511" t="s" s="2">
        <v>22</v>
      </c>
      <c r="M6511" t="s" s="2">
        <v>22</v>
      </c>
    </row>
    <row r="6512" ht="25.0" customHeight="true">
      <c r="A6512" t="s" s="2">
        <v>13</v>
      </c>
      <c r="B6512" t="s" s="2">
        <f>HYPERLINK("http://ts.21cn.com/tousu/show/id/1366271","浦发银行信用卡和万用金暴力催收")</f>
      </c>
      <c r="C6512" t="s" s="2">
        <v>15</v>
      </c>
      <c r="D6512" t="s" s="2">
        <v>16</v>
      </c>
      <c r="E6512" t="s" s="2">
        <v>17</v>
      </c>
      <c r="F6512" t="s" s="2">
        <f>HYPERLINK("http://ts.21cn.com/tousu/show/id/1366271","http://ts.21cn.com/tousu/show/id/1366271")</f>
      </c>
      <c r="G6512" t="s" s="2">
        <v>17</v>
      </c>
      <c r="H6512" t="s" s="2">
        <v>19</v>
      </c>
      <c r="I6512" t="s" s="2">
        <v>25192</v>
      </c>
      <c r="J6512" t="s" s="2">
        <v>25193</v>
      </c>
      <c r="K6512" t="s" s="2">
        <v>22</v>
      </c>
      <c r="L6512" t="s" s="2">
        <v>22</v>
      </c>
      <c r="M6512" t="s" s="2">
        <v>22</v>
      </c>
    </row>
    <row r="6513" ht="25.0" customHeight="true">
      <c r="A6513" t="s" s="2">
        <v>13</v>
      </c>
      <c r="B6513" t="s" s="2">
        <f>HYPERLINK("http://ts.21cn.com/tousu/show/id/1366270","不知情之下。在维信卡卡贷。给我买了两份保险。")</f>
      </c>
      <c r="C6513" t="s" s="2">
        <v>15</v>
      </c>
      <c r="D6513" t="s" s="2">
        <v>16</v>
      </c>
      <c r="E6513" t="s" s="2">
        <v>17</v>
      </c>
      <c r="F6513" t="s" s="2">
        <f>HYPERLINK("http://ts.21cn.com/tousu/show/id/1366270","http://ts.21cn.com/tousu/show/id/1366270")</f>
      </c>
      <c r="G6513" t="s" s="2">
        <v>17</v>
      </c>
      <c r="H6513" t="s" s="2">
        <v>19</v>
      </c>
      <c r="I6513" t="s" s="2">
        <v>25196</v>
      </c>
      <c r="J6513" t="s" s="2">
        <v>25197</v>
      </c>
      <c r="K6513" t="s" s="2">
        <v>22</v>
      </c>
      <c r="L6513" t="s" s="2">
        <v>22</v>
      </c>
      <c r="M6513" t="s" s="2">
        <v>22</v>
      </c>
    </row>
    <row r="6514" ht="25.0" customHeight="true">
      <c r="A6514" t="s" s="2">
        <v>13</v>
      </c>
      <c r="B6514" t="s" s="2">
        <f>HYPERLINK("http://ts.21cn.com/tousu/show/id/1366267","闪银奇异重复扣款无人解决")</f>
      </c>
      <c r="C6514" t="s" s="2">
        <v>15</v>
      </c>
      <c r="D6514" t="s" s="2">
        <v>16</v>
      </c>
      <c r="E6514" t="s" s="2">
        <v>17</v>
      </c>
      <c r="F6514" t="s" s="2">
        <f>HYPERLINK("http://ts.21cn.com/tousu/show/id/1366267","http://ts.21cn.com/tousu/show/id/1366267")</f>
      </c>
      <c r="G6514" t="s" s="2">
        <v>17</v>
      </c>
      <c r="H6514" t="s" s="2">
        <v>19</v>
      </c>
      <c r="I6514" t="s" s="2">
        <v>25200</v>
      </c>
      <c r="J6514" t="s" s="2">
        <v>25201</v>
      </c>
      <c r="K6514" t="s" s="2">
        <v>22</v>
      </c>
      <c r="L6514" t="s" s="2">
        <v>22</v>
      </c>
      <c r="M6514" t="s" s="2">
        <v>22</v>
      </c>
    </row>
    <row r="6515" ht="25.0" customHeight="true">
      <c r="A6515" t="s" s="2">
        <v>13</v>
      </c>
      <c r="B6515" t="s" s="2">
        <f>HYPERLINK("http://ts.21cn.com/tousu/show/id/1366265","万达优学空间恭睿舞房违规无证教学，要求退回学费")</f>
      </c>
      <c r="C6515" t="s" s="2">
        <v>15</v>
      </c>
      <c r="D6515" t="s" s="2">
        <v>16</v>
      </c>
      <c r="E6515" t="s" s="2">
        <v>17</v>
      </c>
      <c r="F6515" t="s" s="2">
        <f>HYPERLINK("http://ts.21cn.com/tousu/show/id/1366265","http://ts.21cn.com/tousu/show/id/1366265")</f>
      </c>
      <c r="G6515" t="s" s="2">
        <v>17</v>
      </c>
      <c r="H6515" t="s" s="2">
        <v>19</v>
      </c>
      <c r="I6515" t="s" s="2">
        <v>25204</v>
      </c>
      <c r="J6515" t="s" s="2">
        <v>25205</v>
      </c>
      <c r="K6515" t="s" s="2">
        <v>22</v>
      </c>
      <c r="L6515" t="s" s="2">
        <v>22</v>
      </c>
      <c r="M6515" t="s" s="2">
        <v>22</v>
      </c>
    </row>
    <row r="6516" ht="25.0" customHeight="true">
      <c r="A6516" t="s" s="2">
        <v>13</v>
      </c>
      <c r="B6516" t="s" s="2">
        <f>HYPERLINK("http://ts.21cn.com/tousu/show/id/1366266","银行协商还款")</f>
      </c>
      <c r="C6516" t="s" s="2">
        <v>15</v>
      </c>
      <c r="D6516" t="s" s="2">
        <v>16</v>
      </c>
      <c r="E6516" t="s" s="2">
        <v>17</v>
      </c>
      <c r="F6516" t="s" s="2">
        <f>HYPERLINK("http://ts.21cn.com/tousu/show/id/1366266","http://ts.21cn.com/tousu/show/id/1366266")</f>
      </c>
      <c r="G6516" t="s" s="2">
        <v>17</v>
      </c>
      <c r="H6516" t="s" s="2">
        <v>19</v>
      </c>
      <c r="I6516" t="s" s="2">
        <v>25208</v>
      </c>
      <c r="J6516" t="s" s="2">
        <v>25209</v>
      </c>
      <c r="K6516" t="s" s="2">
        <v>22</v>
      </c>
      <c r="L6516" t="s" s="2">
        <v>22</v>
      </c>
      <c r="M6516" t="s" s="2">
        <v>22</v>
      </c>
    </row>
    <row r="6517" ht="25.0" customHeight="true">
      <c r="A6517" t="s" s="2">
        <v>13</v>
      </c>
      <c r="B6517" t="s" s="2">
        <f>HYPERLINK("http://ts.21cn.com/tousu/show/id/1366264","京东金融，360借条，钱站暴力催收")</f>
      </c>
      <c r="C6517" t="s" s="2">
        <v>15</v>
      </c>
      <c r="D6517" t="s" s="2">
        <v>16</v>
      </c>
      <c r="E6517" t="s" s="2">
        <v>17</v>
      </c>
      <c r="F6517" t="s" s="2">
        <f>HYPERLINK("http://ts.21cn.com/tousu/show/id/1366264","http://ts.21cn.com/tousu/show/id/1366264")</f>
      </c>
      <c r="G6517" t="s" s="2">
        <v>17</v>
      </c>
      <c r="H6517" t="s" s="2">
        <v>19</v>
      </c>
      <c r="I6517" t="s" s="2">
        <v>25212</v>
      </c>
      <c r="J6517" t="s" s="2">
        <v>25213</v>
      </c>
      <c r="K6517" t="s" s="2">
        <v>22</v>
      </c>
      <c r="L6517" t="s" s="2">
        <v>22</v>
      </c>
      <c r="M6517" t="s" s="2">
        <v>22</v>
      </c>
    </row>
    <row r="6518" ht="25.0" customHeight="true">
      <c r="A6518" t="s" s="2">
        <v>13</v>
      </c>
      <c r="B6518" t="s" s="2">
        <f>HYPERLINK("http://ts.21cn.com/tousu/show/id/1366261","民生银行信用卡暴力催收不是机主")</f>
      </c>
      <c r="C6518" t="s" s="2">
        <v>15</v>
      </c>
      <c r="D6518" t="s" s="2">
        <v>16</v>
      </c>
      <c r="E6518" t="s" s="2">
        <v>17</v>
      </c>
      <c r="F6518" t="s" s="2">
        <f>HYPERLINK("http://ts.21cn.com/tousu/show/id/1366261","http://ts.21cn.com/tousu/show/id/1366261")</f>
      </c>
      <c r="G6518" t="s" s="2">
        <v>17</v>
      </c>
      <c r="H6518" t="s" s="2">
        <v>19</v>
      </c>
      <c r="I6518" t="s" s="2">
        <v>25216</v>
      </c>
      <c r="J6518" t="s" s="2">
        <v>25217</v>
      </c>
      <c r="K6518" t="s" s="2">
        <v>22</v>
      </c>
      <c r="L6518" t="s" s="2">
        <v>22</v>
      </c>
      <c r="M6518" t="s" s="2">
        <v>22</v>
      </c>
    </row>
    <row r="6519" ht="25.0" customHeight="true">
      <c r="A6519" t="s" s="2">
        <v>13</v>
      </c>
      <c r="B6519" t="s" s="2">
        <f>HYPERLINK("http://ts.21cn.com/tousu/show/id/1366260","深圳国银盛达非法代偿")</f>
      </c>
      <c r="C6519" t="s" s="2">
        <v>15</v>
      </c>
      <c r="D6519" t="s" s="2">
        <v>16</v>
      </c>
      <c r="E6519" t="s" s="2">
        <v>17</v>
      </c>
      <c r="F6519" t="s" s="2">
        <f>HYPERLINK("http://ts.21cn.com/tousu/show/id/1366260","http://ts.21cn.com/tousu/show/id/1366260")</f>
      </c>
      <c r="G6519" t="s" s="2">
        <v>17</v>
      </c>
      <c r="H6519" t="s" s="2">
        <v>19</v>
      </c>
      <c r="I6519" t="s" s="2">
        <v>25220</v>
      </c>
      <c r="J6519" t="s" s="2">
        <v>25221</v>
      </c>
      <c r="K6519" t="s" s="2">
        <v>22</v>
      </c>
      <c r="L6519" t="s" s="2">
        <v>22</v>
      </c>
      <c r="M6519" t="s" s="2">
        <v>22</v>
      </c>
    </row>
    <row r="6520" ht="25.0" customHeight="true">
      <c r="A6520" t="s" s="2">
        <v>13</v>
      </c>
      <c r="B6520" t="s" s="2">
        <f>HYPERLINK("http://ts.21cn.com/tousu/show/id/1366258","暴力催收威胁恐吓")</f>
      </c>
      <c r="C6520" t="s" s="2">
        <v>15</v>
      </c>
      <c r="D6520" t="s" s="2">
        <v>16</v>
      </c>
      <c r="E6520" t="s" s="2">
        <v>17</v>
      </c>
      <c r="F6520" t="s" s="2">
        <f>HYPERLINK("http://ts.21cn.com/tousu/show/id/1366258","http://ts.21cn.com/tousu/show/id/1366258")</f>
      </c>
      <c r="G6520" t="s" s="2">
        <v>17</v>
      </c>
      <c r="H6520" t="s" s="2">
        <v>19</v>
      </c>
      <c r="I6520" t="s" s="2">
        <v>25223</v>
      </c>
      <c r="J6520" t="s" s="2">
        <v>25224</v>
      </c>
      <c r="K6520" t="s" s="2">
        <v>22</v>
      </c>
      <c r="L6520" t="s" s="2">
        <v>22</v>
      </c>
      <c r="M6520" t="s" s="2">
        <v>22</v>
      </c>
    </row>
    <row r="6521" ht="25.0" customHeight="true">
      <c r="A6521" t="s" s="2">
        <v>13</v>
      </c>
      <c r="B6521" t="s" s="2">
        <f>HYPERLINK("http://ts.21cn.com/tousu/show/id/1366259","拼多多无故冻结我资金不让提现")</f>
      </c>
      <c r="C6521" t="s" s="2">
        <v>15</v>
      </c>
      <c r="D6521" t="s" s="2">
        <v>16</v>
      </c>
      <c r="E6521" t="s" s="2">
        <v>17</v>
      </c>
      <c r="F6521" t="s" s="2">
        <f>HYPERLINK("http://ts.21cn.com/tousu/show/id/1366259","http://ts.21cn.com/tousu/show/id/1366259")</f>
      </c>
      <c r="G6521" t="s" s="2">
        <v>17</v>
      </c>
      <c r="H6521" t="s" s="2">
        <v>19</v>
      </c>
      <c r="I6521" t="s" s="2">
        <v>25227</v>
      </c>
      <c r="J6521" t="s" s="2">
        <v>25228</v>
      </c>
      <c r="K6521" t="s" s="2">
        <v>22</v>
      </c>
      <c r="L6521" t="s" s="2">
        <v>22</v>
      </c>
      <c r="M6521" t="s" s="2">
        <v>22</v>
      </c>
    </row>
    <row r="6522" ht="25.0" customHeight="true">
      <c r="A6522" t="s" s="2">
        <v>13</v>
      </c>
      <c r="B6522" t="s" s="2">
        <f>HYPERLINK("http://ts.21cn.com/tousu/show/id/1366257","宝付支付为高利贷平台提供第三方支付服务")</f>
      </c>
      <c r="C6522" t="s" s="2">
        <v>15</v>
      </c>
      <c r="D6522" t="s" s="2">
        <v>16</v>
      </c>
      <c r="E6522" t="s" s="2">
        <v>17</v>
      </c>
      <c r="F6522" t="s" s="2">
        <f>HYPERLINK("http://ts.21cn.com/tousu/show/id/1366257","http://ts.21cn.com/tousu/show/id/1366257")</f>
      </c>
      <c r="G6522" t="s" s="2">
        <v>17</v>
      </c>
      <c r="H6522" t="s" s="2">
        <v>19</v>
      </c>
      <c r="I6522" t="s" s="2">
        <v>25231</v>
      </c>
      <c r="J6522" t="s" s="2">
        <v>25232</v>
      </c>
      <c r="K6522" t="s" s="2">
        <v>22</v>
      </c>
      <c r="L6522" t="s" s="2">
        <v>22</v>
      </c>
      <c r="M6522" t="s" s="2">
        <v>22</v>
      </c>
    </row>
    <row r="6523" ht="25.0" customHeight="true">
      <c r="A6523" t="s" s="2">
        <v>13</v>
      </c>
      <c r="B6523" t="s" s="2">
        <f>HYPERLINK("http://ts.21cn.com/tousu/show/id/1366256","要求拇指下款退还所有服务费")</f>
      </c>
      <c r="C6523" t="s" s="2">
        <v>15</v>
      </c>
      <c r="D6523" t="s" s="2">
        <v>16</v>
      </c>
      <c r="E6523" t="s" s="2">
        <v>17</v>
      </c>
      <c r="F6523" t="s" s="2">
        <f>HYPERLINK("http://ts.21cn.com/tousu/show/id/1366256","http://ts.21cn.com/tousu/show/id/1366256")</f>
      </c>
      <c r="G6523" t="s" s="2">
        <v>17</v>
      </c>
      <c r="H6523" t="s" s="2">
        <v>19</v>
      </c>
      <c r="I6523" t="s" s="2">
        <v>25235</v>
      </c>
      <c r="J6523" t="s" s="2">
        <v>25236</v>
      </c>
      <c r="K6523" t="s" s="2">
        <v>22</v>
      </c>
      <c r="L6523" t="s" s="2">
        <v>22</v>
      </c>
      <c r="M6523" t="s" s="2">
        <v>22</v>
      </c>
    </row>
    <row r="6524" ht="25.0" customHeight="true">
      <c r="A6524" t="s" s="2">
        <v>13</v>
      </c>
      <c r="B6524" t="s" s="2">
        <f>HYPERLINK("http://ts.21cn.com/tousu/show/id/1366255","尚德机构投诉专题")</f>
      </c>
      <c r="C6524" t="s" s="2">
        <v>15</v>
      </c>
      <c r="D6524" t="s" s="2">
        <v>16</v>
      </c>
      <c r="E6524" t="s" s="2">
        <v>17</v>
      </c>
      <c r="F6524" t="s" s="2">
        <f>HYPERLINK("http://ts.21cn.com/tousu/show/id/1366255","http://ts.21cn.com/tousu/show/id/1366255")</f>
      </c>
      <c r="G6524" t="s" s="2">
        <v>17</v>
      </c>
      <c r="H6524" t="s" s="2">
        <v>19</v>
      </c>
      <c r="I6524" t="s" s="2">
        <v>25238</v>
      </c>
      <c r="J6524" t="s" s="2">
        <v>25239</v>
      </c>
      <c r="K6524" t="s" s="2">
        <v>22</v>
      </c>
      <c r="L6524" t="s" s="2">
        <v>22</v>
      </c>
      <c r="M6524" t="s" s="2">
        <v>22</v>
      </c>
    </row>
    <row r="6525" ht="25.0" customHeight="true">
      <c r="A6525" t="s" s="2">
        <v>13</v>
      </c>
      <c r="B6525" t="s" s="2">
        <f>HYPERLINK("http://ts.21cn.com/tousu/show/id/1366254","新生支付通过银联划扣我银行卡两笔84合计168的钱")</f>
      </c>
      <c r="C6525" t="s" s="2">
        <v>15</v>
      </c>
      <c r="D6525" t="s" s="2">
        <v>16</v>
      </c>
      <c r="E6525" t="s" s="2">
        <v>17</v>
      </c>
      <c r="F6525" t="s" s="2">
        <f>HYPERLINK("http://ts.21cn.com/tousu/show/id/1366254","http://ts.21cn.com/tousu/show/id/1366254")</f>
      </c>
      <c r="G6525" t="s" s="2">
        <v>17</v>
      </c>
      <c r="H6525" t="s" s="2">
        <v>19</v>
      </c>
      <c r="I6525" t="s" s="2">
        <v>25242</v>
      </c>
      <c r="J6525" t="s" s="2">
        <v>25243</v>
      </c>
      <c r="K6525" t="s" s="2">
        <v>22</v>
      </c>
      <c r="L6525" t="s" s="2">
        <v>22</v>
      </c>
      <c r="M6525" t="s" s="2">
        <v>22</v>
      </c>
    </row>
    <row r="6526" ht="25.0" customHeight="true">
      <c r="A6526" t="s" s="2">
        <v>13</v>
      </c>
      <c r="B6526" t="s" s="2">
        <f>HYPERLINK("http://ts.21cn.com/tousu/show/id/1366250","世纪佳缘上海静安寺门店已同意全额退款，等待了4个多月仍未退，请极速退款")</f>
      </c>
      <c r="C6526" t="s" s="2">
        <v>52</v>
      </c>
      <c r="D6526" t="s" s="2">
        <v>16</v>
      </c>
      <c r="E6526" t="s" s="2">
        <v>17</v>
      </c>
      <c r="F6526" t="s" s="2">
        <f>HYPERLINK("http://ts.21cn.com/tousu/show/id/1366250","http://ts.21cn.com/tousu/show/id/1366250")</f>
      </c>
      <c r="G6526" t="s" s="2">
        <v>17</v>
      </c>
      <c r="H6526" t="s" s="2">
        <v>19</v>
      </c>
      <c r="I6526" t="s" s="2">
        <v>25246</v>
      </c>
      <c r="J6526" t="s" s="2">
        <v>25247</v>
      </c>
      <c r="K6526" t="s" s="2">
        <v>22</v>
      </c>
      <c r="L6526" t="s" s="2">
        <v>22</v>
      </c>
      <c r="M6526" t="s" s="2">
        <v>22</v>
      </c>
    </row>
    <row r="6527" ht="25.0" customHeight="true">
      <c r="A6527" t="s" s="2">
        <v>13</v>
      </c>
      <c r="B6527" t="s" s="2">
        <f>HYPERLINK("http://ts.21cn.com/tousu/show/id/1366251","催收辱骂")</f>
      </c>
      <c r="C6527" t="s" s="2">
        <v>15</v>
      </c>
      <c r="D6527" t="s" s="2">
        <v>16</v>
      </c>
      <c r="E6527" t="s" s="2">
        <v>17</v>
      </c>
      <c r="F6527" t="s" s="2">
        <f>HYPERLINK("http://ts.21cn.com/tousu/show/id/1366251","http://ts.21cn.com/tousu/show/id/1366251")</f>
      </c>
      <c r="G6527" t="s" s="2">
        <v>17</v>
      </c>
      <c r="H6527" t="s" s="2">
        <v>19</v>
      </c>
      <c r="I6527" t="s" s="2">
        <v>25250</v>
      </c>
      <c r="J6527" t="s" s="2">
        <v>25251</v>
      </c>
      <c r="K6527" t="s" s="2">
        <v>22</v>
      </c>
      <c r="L6527" t="s" s="2">
        <v>22</v>
      </c>
      <c r="M6527" t="s" s="2">
        <v>22</v>
      </c>
    </row>
    <row r="6528" ht="25.0" customHeight="true">
      <c r="A6528" t="s" s="2">
        <v>13</v>
      </c>
      <c r="B6528" t="s" s="2">
        <f>HYPERLINK("http://ts.21cn.com/tousu/show/id/1366249","微粒贷催收人员威胁恐吓")</f>
      </c>
      <c r="C6528" t="s" s="2">
        <v>15</v>
      </c>
      <c r="D6528" t="s" s="2">
        <v>16</v>
      </c>
      <c r="E6528" t="s" s="2">
        <v>17</v>
      </c>
      <c r="F6528" t="s" s="2">
        <f>HYPERLINK("http://ts.21cn.com/tousu/show/id/1366249","http://ts.21cn.com/tousu/show/id/1366249")</f>
      </c>
      <c r="G6528" t="s" s="2">
        <v>17</v>
      </c>
      <c r="H6528" t="s" s="2">
        <v>19</v>
      </c>
      <c r="I6528" t="s" s="2">
        <v>25254</v>
      </c>
      <c r="J6528" t="s" s="2">
        <v>25255</v>
      </c>
      <c r="K6528" t="s" s="2">
        <v>22</v>
      </c>
      <c r="L6528" t="s" s="2">
        <v>22</v>
      </c>
      <c r="M6528" t="s" s="2">
        <v>22</v>
      </c>
    </row>
    <row r="6529" ht="25.0" customHeight="true">
      <c r="A6529" t="s" s="2">
        <v>13</v>
      </c>
      <c r="B6529" t="s" s="2">
        <f>HYPERLINK("http://ts.21cn.com/tousu/show/id/1366248","网络虚假代报名")</f>
      </c>
      <c r="C6529" t="s" s="2">
        <v>15</v>
      </c>
      <c r="D6529" t="s" s="2">
        <v>16</v>
      </c>
      <c r="E6529" t="s" s="2">
        <v>17</v>
      </c>
      <c r="F6529" t="s" s="2">
        <f>HYPERLINK("http://ts.21cn.com/tousu/show/id/1366248","http://ts.21cn.com/tousu/show/id/1366248")</f>
      </c>
      <c r="G6529" t="s" s="2">
        <v>17</v>
      </c>
      <c r="H6529" t="s" s="2">
        <v>19</v>
      </c>
      <c r="I6529" t="s" s="2">
        <v>25258</v>
      </c>
      <c r="J6529" t="s" s="2">
        <v>25259</v>
      </c>
      <c r="K6529" t="s" s="2">
        <v>22</v>
      </c>
      <c r="L6529" t="s" s="2">
        <v>22</v>
      </c>
      <c r="M6529" t="s" s="2">
        <v>22</v>
      </c>
    </row>
    <row r="6530" ht="25.0" customHeight="true">
      <c r="A6530" t="s" s="2">
        <v>13</v>
      </c>
      <c r="B6530" t="s" s="2">
        <f>HYPERLINK("http://ts.21cn.com/tousu/show/id/1366247","爆我通讯录侵犯个人隐私权")</f>
      </c>
      <c r="C6530" t="s" s="2">
        <v>15</v>
      </c>
      <c r="D6530" t="s" s="2">
        <v>16</v>
      </c>
      <c r="E6530" t="s" s="2">
        <v>17</v>
      </c>
      <c r="F6530" t="s" s="2">
        <f>HYPERLINK("http://ts.21cn.com/tousu/show/id/1366247","http://ts.21cn.com/tousu/show/id/1366247")</f>
      </c>
      <c r="G6530" t="s" s="2">
        <v>17</v>
      </c>
      <c r="H6530" t="s" s="2">
        <v>19</v>
      </c>
      <c r="I6530" t="s" s="2">
        <v>25262</v>
      </c>
      <c r="J6530" t="s" s="2">
        <v>25263</v>
      </c>
      <c r="K6530" t="s" s="2">
        <v>22</v>
      </c>
      <c r="L6530" t="s" s="2">
        <v>22</v>
      </c>
      <c r="M6530" t="s" s="2">
        <v>22</v>
      </c>
    </row>
    <row r="6531" ht="25.0" customHeight="true">
      <c r="A6531" t="s" s="2">
        <v>13</v>
      </c>
      <c r="B6531" t="s" s="2">
        <f>HYPERLINK("http://ts.21cn.com/tousu/show/id/1366245","分期乐平台乐黑卡无权益")</f>
      </c>
      <c r="C6531" t="s" s="2">
        <v>52</v>
      </c>
      <c r="D6531" t="s" s="2">
        <v>16</v>
      </c>
      <c r="E6531" t="s" s="2">
        <v>17</v>
      </c>
      <c r="F6531" t="s" s="2">
        <f>HYPERLINK("http://ts.21cn.com/tousu/show/id/1366245","http://ts.21cn.com/tousu/show/id/1366245")</f>
      </c>
      <c r="G6531" t="s" s="2">
        <v>17</v>
      </c>
      <c r="H6531" t="s" s="2">
        <v>19</v>
      </c>
      <c r="I6531" t="s" s="2">
        <v>25266</v>
      </c>
      <c r="J6531" t="s" s="2">
        <v>25267</v>
      </c>
      <c r="K6531" t="s" s="2">
        <v>22</v>
      </c>
      <c r="L6531" t="s" s="2">
        <v>22</v>
      </c>
      <c r="M6531" t="s" s="2">
        <v>22</v>
      </c>
    </row>
    <row r="6532" ht="25.0" customHeight="true">
      <c r="A6532" t="s" s="2">
        <v>13</v>
      </c>
      <c r="B6532" t="s" s="2">
        <f>HYPERLINK("http://ts.21cn.com/tousu/show/id/1366243","微贷网小米金融")</f>
      </c>
      <c r="C6532" t="s" s="2">
        <v>15</v>
      </c>
      <c r="D6532" t="s" s="2">
        <v>16</v>
      </c>
      <c r="E6532" t="s" s="2">
        <v>17</v>
      </c>
      <c r="F6532" t="s" s="2">
        <f>HYPERLINK("http://ts.21cn.com/tousu/show/id/1366243","http://ts.21cn.com/tousu/show/id/1366243")</f>
      </c>
      <c r="G6532" t="s" s="2">
        <v>17</v>
      </c>
      <c r="H6532" t="s" s="2">
        <v>19</v>
      </c>
      <c r="I6532" t="s" s="2">
        <v>25270</v>
      </c>
      <c r="J6532" t="s" s="2">
        <v>25271</v>
      </c>
      <c r="K6532" t="s" s="2">
        <v>22</v>
      </c>
      <c r="L6532" t="s" s="2">
        <v>22</v>
      </c>
      <c r="M6532" t="s" s="2">
        <v>22</v>
      </c>
    </row>
    <row r="6533" ht="25.0" customHeight="true">
      <c r="A6533" t="s" s="2">
        <v>13</v>
      </c>
      <c r="B6533" t="s" s="2">
        <f>HYPERLINK("http://ts.21cn.com/tousu/show/id/1366244","乐宝宝")</f>
      </c>
      <c r="C6533" t="s" s="2">
        <v>15</v>
      </c>
      <c r="D6533" t="s" s="2">
        <v>16</v>
      </c>
      <c r="E6533" t="s" s="2">
        <v>17</v>
      </c>
      <c r="F6533" t="s" s="2">
        <f>HYPERLINK("http://ts.21cn.com/tousu/show/id/1366244","http://ts.21cn.com/tousu/show/id/1366244")</f>
      </c>
      <c r="G6533" t="s" s="2">
        <v>17</v>
      </c>
      <c r="H6533" t="s" s="2">
        <v>19</v>
      </c>
      <c r="I6533" t="s" s="2">
        <v>25274</v>
      </c>
      <c r="J6533" t="s" s="2">
        <v>25275</v>
      </c>
      <c r="K6533" t="s" s="2">
        <v>22</v>
      </c>
      <c r="L6533" t="s" s="2">
        <v>22</v>
      </c>
      <c r="M6533" t="s" s="2">
        <v>22</v>
      </c>
    </row>
    <row r="6534" ht="25.0" customHeight="true">
      <c r="A6534" t="s" s="2">
        <v>13</v>
      </c>
      <c r="B6534" t="s" s="2">
        <f>HYPERLINK("http://ts.21cn.com/tousu/show/id/1366242","嘀嗒出行提交资料多次驳回不通过解释模糊不清")</f>
      </c>
      <c r="C6534" t="s" s="2">
        <v>15</v>
      </c>
      <c r="D6534" t="s" s="2">
        <v>16</v>
      </c>
      <c r="E6534" t="s" s="2">
        <v>17</v>
      </c>
      <c r="F6534" t="s" s="2">
        <f>HYPERLINK("http://ts.21cn.com/tousu/show/id/1366242","http://ts.21cn.com/tousu/show/id/1366242")</f>
      </c>
      <c r="G6534" t="s" s="2">
        <v>17</v>
      </c>
      <c r="H6534" t="s" s="2">
        <v>19</v>
      </c>
      <c r="I6534" t="s" s="2">
        <v>25274</v>
      </c>
      <c r="J6534" t="s" s="2">
        <v>25278</v>
      </c>
      <c r="K6534" t="s" s="2">
        <v>22</v>
      </c>
      <c r="L6534" t="s" s="2">
        <v>22</v>
      </c>
      <c r="M6534" t="s" s="2">
        <v>22</v>
      </c>
    </row>
    <row r="6535" ht="25.0" customHeight="true">
      <c r="A6535" t="s" s="2">
        <v>13</v>
      </c>
      <c r="B6535" t="s" s="2">
        <f>HYPERLINK("http://ts.21cn.com/tousu/show/id/1366186","退钱")</f>
      </c>
      <c r="C6535" t="s" s="2">
        <v>52</v>
      </c>
      <c r="D6535" t="s" s="2">
        <v>16</v>
      </c>
      <c r="E6535" t="s" s="2">
        <v>17</v>
      </c>
      <c r="F6535" t="s" s="2">
        <f>HYPERLINK("http://ts.21cn.com/tousu/show/id/1366186","http://ts.21cn.com/tousu/show/id/1366186")</f>
      </c>
      <c r="G6535" t="s" s="2">
        <v>17</v>
      </c>
      <c r="H6535" t="s" s="2">
        <v>19</v>
      </c>
      <c r="I6535" t="s" s="2">
        <v>25281</v>
      </c>
      <c r="J6535" t="s" s="2">
        <v>25282</v>
      </c>
      <c r="K6535" t="s" s="2">
        <v>22</v>
      </c>
      <c r="L6535" t="s" s="2">
        <v>22</v>
      </c>
      <c r="M6535" t="s" s="2">
        <v>22</v>
      </c>
    </row>
    <row r="6536" ht="25.0" customHeight="true">
      <c r="A6536" t="s" s="2">
        <v>13</v>
      </c>
      <c r="B6536" t="s" s="2">
        <f>HYPERLINK("http://ts.21cn.com/tousu/show/id/1366240","你我贷恶意催收，不给机会，严重骚扰！")</f>
      </c>
      <c r="C6536" t="s" s="2">
        <v>15</v>
      </c>
      <c r="D6536" t="s" s="2">
        <v>16</v>
      </c>
      <c r="E6536" t="s" s="2">
        <v>17</v>
      </c>
      <c r="F6536" t="s" s="2">
        <f>HYPERLINK("http://ts.21cn.com/tousu/show/id/1366240","http://ts.21cn.com/tousu/show/id/1366240")</f>
      </c>
      <c r="G6536" t="s" s="2">
        <v>17</v>
      </c>
      <c r="H6536" t="s" s="2">
        <v>19</v>
      </c>
      <c r="I6536" t="s" s="2">
        <v>25285</v>
      </c>
      <c r="J6536" t="s" s="2">
        <v>25286</v>
      </c>
      <c r="K6536" t="s" s="2">
        <v>22</v>
      </c>
      <c r="L6536" t="s" s="2">
        <v>22</v>
      </c>
      <c r="M6536" t="s" s="2">
        <v>22</v>
      </c>
    </row>
    <row r="6537" ht="25.0" customHeight="true">
      <c r="A6537" t="s" s="2">
        <v>13</v>
      </c>
      <c r="B6537" t="s" s="2">
        <f>HYPERLINK("http://ts.21cn.com/tousu/show/id/1366110","宝付与高炮惠花花合作谋取不当得利，违规提供支付通道，不配合调查，拒不提供流水，赔偿我损失")</f>
      </c>
      <c r="C6537" t="s" s="2">
        <v>15</v>
      </c>
      <c r="D6537" t="s" s="2">
        <v>16</v>
      </c>
      <c r="E6537" t="s" s="2">
        <v>17</v>
      </c>
      <c r="F6537" t="s" s="2">
        <f>HYPERLINK("http://ts.21cn.com/tousu/show/id/1366110","http://ts.21cn.com/tousu/show/id/1366110")</f>
      </c>
      <c r="G6537" t="s" s="2">
        <v>17</v>
      </c>
      <c r="H6537" t="s" s="2">
        <v>19</v>
      </c>
      <c r="I6537" t="s" s="2">
        <v>25289</v>
      </c>
      <c r="J6537" t="s" s="2">
        <v>25290</v>
      </c>
      <c r="K6537" t="s" s="2">
        <v>22</v>
      </c>
      <c r="L6537" t="s" s="2">
        <v>22</v>
      </c>
      <c r="M6537" t="s" s="2">
        <v>22</v>
      </c>
    </row>
    <row r="6538" ht="25.0" customHeight="true">
      <c r="A6538" t="s" s="2">
        <v>13</v>
      </c>
      <c r="B6538" t="s" s="2">
        <f>HYPERLINK("http://ts.21cn.com/tousu/show/id/1366238","拼多多涉嫌虚假引流价格欺诈并擅自退款侵权事件")</f>
      </c>
      <c r="C6538" t="s" s="2">
        <v>15</v>
      </c>
      <c r="D6538" t="s" s="2">
        <v>16</v>
      </c>
      <c r="E6538" t="s" s="2">
        <v>17</v>
      </c>
      <c r="F6538" t="s" s="2">
        <f>HYPERLINK("http://ts.21cn.com/tousu/show/id/1366238","http://ts.21cn.com/tousu/show/id/1366238")</f>
      </c>
      <c r="G6538" t="s" s="2">
        <v>17</v>
      </c>
      <c r="H6538" t="s" s="2">
        <v>19</v>
      </c>
      <c r="I6538" t="s" s="2">
        <v>25293</v>
      </c>
      <c r="J6538" t="s" s="2">
        <v>25294</v>
      </c>
      <c r="K6538" t="s" s="2">
        <v>22</v>
      </c>
      <c r="L6538" t="s" s="2">
        <v>22</v>
      </c>
      <c r="M6538" t="s" s="2">
        <v>22</v>
      </c>
    </row>
    <row r="6539" ht="25.0" customHeight="true">
      <c r="A6539" t="s" s="2">
        <v>13</v>
      </c>
      <c r="B6539" t="s" s="2">
        <f>HYPERLINK("http://ts.21cn.com/tousu/show/id/1366239","翼钱包高利贷，砍头息")</f>
      </c>
      <c r="C6539" t="s" s="2">
        <v>15</v>
      </c>
      <c r="D6539" t="s" s="2">
        <v>16</v>
      </c>
      <c r="E6539" t="s" s="2">
        <v>17</v>
      </c>
      <c r="F6539" t="s" s="2">
        <f>HYPERLINK("http://ts.21cn.com/tousu/show/id/1366239","http://ts.21cn.com/tousu/show/id/1366239")</f>
      </c>
      <c r="G6539" t="s" s="2">
        <v>17</v>
      </c>
      <c r="H6539" t="s" s="2">
        <v>19</v>
      </c>
      <c r="I6539" t="s" s="2">
        <v>25297</v>
      </c>
      <c r="J6539" t="s" s="2">
        <v>25298</v>
      </c>
      <c r="K6539" t="s" s="2">
        <v>22</v>
      </c>
      <c r="L6539" t="s" s="2">
        <v>22</v>
      </c>
      <c r="M6539" t="s" s="2">
        <v>22</v>
      </c>
    </row>
    <row r="6540" ht="25.0" customHeight="true">
      <c r="A6540" t="s" s="2">
        <v>13</v>
      </c>
      <c r="B6540" t="s" s="2">
        <f>HYPERLINK("http://ts.21cn.com/tousu/show/id/1366237","平安普惠隐瞒高额贷款服务费，虚报利息，做长还款周期，")</f>
      </c>
      <c r="C6540" t="s" s="2">
        <v>15</v>
      </c>
      <c r="D6540" t="s" s="2">
        <v>16</v>
      </c>
      <c r="E6540" t="s" s="2">
        <v>17</v>
      </c>
      <c r="F6540" t="s" s="2">
        <f>HYPERLINK("http://ts.21cn.com/tousu/show/id/1366237","http://ts.21cn.com/tousu/show/id/1366237")</f>
      </c>
      <c r="G6540" t="s" s="2">
        <v>17</v>
      </c>
      <c r="H6540" t="s" s="2">
        <v>19</v>
      </c>
      <c r="I6540" t="s" s="2">
        <v>25301</v>
      </c>
      <c r="J6540" t="s" s="2">
        <v>25302</v>
      </c>
      <c r="K6540" t="s" s="2">
        <v>22</v>
      </c>
      <c r="L6540" t="s" s="2">
        <v>22</v>
      </c>
      <c r="M6540" t="s" s="2">
        <v>22</v>
      </c>
    </row>
    <row r="6541" ht="25.0" customHeight="true">
      <c r="A6541" t="s" s="2">
        <v>13</v>
      </c>
      <c r="B6541" t="s" s="2">
        <f>HYPERLINK("http://ts.21cn.com/tousu/show/id/1366193","春夏秋冬商旅VIP卡使用时与宣传不符")</f>
      </c>
      <c r="C6541" t="s" s="2">
        <v>15</v>
      </c>
      <c r="D6541" t="s" s="2">
        <v>16</v>
      </c>
      <c r="E6541" t="s" s="2">
        <v>17</v>
      </c>
      <c r="F6541" t="s" s="2">
        <f>HYPERLINK("http://ts.21cn.com/tousu/show/id/1366193","http://ts.21cn.com/tousu/show/id/1366193")</f>
      </c>
      <c r="G6541" t="s" s="2">
        <v>17</v>
      </c>
      <c r="H6541" t="s" s="2">
        <v>19</v>
      </c>
      <c r="I6541" t="s" s="2">
        <v>25305</v>
      </c>
      <c r="J6541" t="s" s="2">
        <v>25306</v>
      </c>
      <c r="K6541" t="s" s="2">
        <v>22</v>
      </c>
      <c r="L6541" t="s" s="2">
        <v>22</v>
      </c>
      <c r="M6541" t="s" s="2">
        <v>22</v>
      </c>
    </row>
    <row r="6542" ht="25.0" customHeight="true">
      <c r="A6542" t="s" s="2">
        <v>13</v>
      </c>
      <c r="B6542" t="s" s="2">
        <f>HYPERLINK("http://ts.21cn.com/tousu/show/id/1301230","百事普惠恶意扣款")</f>
      </c>
      <c r="C6542" t="s" s="2">
        <v>15</v>
      </c>
      <c r="D6542" t="s" s="2">
        <v>16</v>
      </c>
      <c r="E6542" t="s" s="2">
        <v>17</v>
      </c>
      <c r="F6542" t="s" s="2">
        <f>HYPERLINK("http://ts.21cn.com/tousu/show/id/1301230","http://ts.21cn.com/tousu/show/id/1301230")</f>
      </c>
      <c r="G6542" t="s" s="2">
        <v>17</v>
      </c>
      <c r="H6542" t="s" s="2">
        <v>19</v>
      </c>
      <c r="I6542" t="s" s="2">
        <v>25308</v>
      </c>
      <c r="J6542" t="s" s="2">
        <v>25309</v>
      </c>
      <c r="K6542" t="s" s="2">
        <v>22</v>
      </c>
      <c r="L6542" t="s" s="2">
        <v>22</v>
      </c>
      <c r="M6542" t="s" s="2">
        <v>22</v>
      </c>
    </row>
    <row r="6543" ht="25.0" customHeight="true">
      <c r="A6543" t="s" s="2">
        <v>13</v>
      </c>
      <c r="B6543" t="s" s="2">
        <f>HYPERLINK("http://ts.21cn.com/tousu/show/id/1366236","月光侠分期高利贷恐吓威胁")</f>
      </c>
      <c r="C6543" t="s" s="2">
        <v>15</v>
      </c>
      <c r="D6543" t="s" s="2">
        <v>16</v>
      </c>
      <c r="E6543" t="s" s="2">
        <v>17</v>
      </c>
      <c r="F6543" t="s" s="2">
        <f>HYPERLINK("http://ts.21cn.com/tousu/show/id/1366236","http://ts.21cn.com/tousu/show/id/1366236")</f>
      </c>
      <c r="G6543" t="s" s="2">
        <v>17</v>
      </c>
      <c r="H6543" t="s" s="2">
        <v>19</v>
      </c>
      <c r="I6543" t="s" s="2">
        <v>25312</v>
      </c>
      <c r="J6543" t="s" s="2">
        <v>25313</v>
      </c>
      <c r="K6543" t="s" s="2">
        <v>22</v>
      </c>
      <c r="L6543" t="s" s="2">
        <v>22</v>
      </c>
      <c r="M6543" t="s" s="2">
        <v>22</v>
      </c>
    </row>
    <row r="6544" ht="25.0" customHeight="true">
      <c r="A6544" t="s" s="2">
        <v>13</v>
      </c>
      <c r="B6544" t="s" s="2">
        <f>HYPERLINK("http://ts.21cn.com/tousu/show/id/1366233","活力花暴力催收，严重泄露个人隐私及社交信息")</f>
      </c>
      <c r="C6544" t="s" s="2">
        <v>15</v>
      </c>
      <c r="D6544" t="s" s="2">
        <v>16</v>
      </c>
      <c r="E6544" t="s" s="2">
        <v>17</v>
      </c>
      <c r="F6544" t="s" s="2">
        <f>HYPERLINK("http://ts.21cn.com/tousu/show/id/1366233","http://ts.21cn.com/tousu/show/id/1366233")</f>
      </c>
      <c r="G6544" t="s" s="2">
        <v>17</v>
      </c>
      <c r="H6544" t="s" s="2">
        <v>19</v>
      </c>
      <c r="I6544" t="s" s="2">
        <v>25316</v>
      </c>
      <c r="J6544" t="s" s="2">
        <v>25317</v>
      </c>
      <c r="K6544" t="s" s="2">
        <v>22</v>
      </c>
      <c r="L6544" t="s" s="2">
        <v>22</v>
      </c>
      <c r="M6544" t="s" s="2">
        <v>22</v>
      </c>
    </row>
    <row r="6545" ht="25.0" customHeight="true">
      <c r="A6545" t="s" s="2">
        <v>13</v>
      </c>
      <c r="B6545" t="s" s="2">
        <f>HYPERLINK("http://ts.21cn.com/tousu/show/id/1366232","威胁，打通讯录道歉")</f>
      </c>
      <c r="C6545" t="s" s="2">
        <v>15</v>
      </c>
      <c r="D6545" t="s" s="2">
        <v>16</v>
      </c>
      <c r="E6545" t="s" s="2">
        <v>17</v>
      </c>
      <c r="F6545" t="s" s="2">
        <f>HYPERLINK("http://ts.21cn.com/tousu/show/id/1366232","http://ts.21cn.com/tousu/show/id/1366232")</f>
      </c>
      <c r="G6545" t="s" s="2">
        <v>17</v>
      </c>
      <c r="H6545" t="s" s="2">
        <v>19</v>
      </c>
      <c r="I6545" t="s" s="2">
        <v>25320</v>
      </c>
      <c r="J6545" t="s" s="2">
        <v>25321</v>
      </c>
      <c r="K6545" t="s" s="2">
        <v>22</v>
      </c>
      <c r="L6545" t="s" s="2">
        <v>22</v>
      </c>
      <c r="M6545" t="s" s="2">
        <v>22</v>
      </c>
    </row>
    <row r="6546" ht="25.0" customHeight="true">
      <c r="A6546" t="s" s="2">
        <v>13</v>
      </c>
      <c r="B6546" t="s" s="2">
        <f>HYPERLINK("http://ts.21cn.com/tousu/show/id/1366230","乐刷POS不退押金")</f>
      </c>
      <c r="C6546" t="s" s="2">
        <v>15</v>
      </c>
      <c r="D6546" t="s" s="2">
        <v>16</v>
      </c>
      <c r="E6546" t="s" s="2">
        <v>17</v>
      </c>
      <c r="F6546" t="s" s="2">
        <f>HYPERLINK("http://ts.21cn.com/tousu/show/id/1366230","http://ts.21cn.com/tousu/show/id/1366230")</f>
      </c>
      <c r="G6546" t="s" s="2">
        <v>17</v>
      </c>
      <c r="H6546" t="s" s="2">
        <v>19</v>
      </c>
      <c r="I6546" t="s" s="2">
        <v>25324</v>
      </c>
      <c r="J6546" t="s" s="2">
        <v>25325</v>
      </c>
      <c r="K6546" t="s" s="2">
        <v>22</v>
      </c>
      <c r="L6546" t="s" s="2">
        <v>22</v>
      </c>
      <c r="M6546" t="s" s="2">
        <v>22</v>
      </c>
    </row>
    <row r="6547" ht="25.0" customHeight="true">
      <c r="A6547" t="s" s="2">
        <v>13</v>
      </c>
      <c r="B6547" t="s" s="2">
        <f>HYPERLINK("http://ts.21cn.com/tousu/show/id/1366231","支付宝、中国银联、商银信、中国农业银行为非法网站及商户提供支付接口、支付服务，涉嫌合伙欺诈，导致大量用户蒙受巨大损失。")</f>
      </c>
      <c r="C6547" t="s" s="2">
        <v>15</v>
      </c>
      <c r="D6547" t="s" s="2">
        <v>16</v>
      </c>
      <c r="E6547" t="s" s="2">
        <v>17</v>
      </c>
      <c r="F6547" t="s" s="2">
        <f>HYPERLINK("http://ts.21cn.com/tousu/show/id/1366231","http://ts.21cn.com/tousu/show/id/1366231")</f>
      </c>
      <c r="G6547" t="s" s="2">
        <v>17</v>
      </c>
      <c r="H6547" t="s" s="2">
        <v>19</v>
      </c>
      <c r="I6547" t="s" s="2">
        <v>25328</v>
      </c>
      <c r="J6547" t="s" s="2">
        <v>25329</v>
      </c>
      <c r="K6547" t="s" s="2">
        <v>22</v>
      </c>
      <c r="L6547" t="s" s="2">
        <v>22</v>
      </c>
      <c r="M6547" t="s" s="2">
        <v>22</v>
      </c>
    </row>
    <row r="6548" ht="25.0" customHeight="true">
      <c r="A6548" t="s" s="2">
        <v>13</v>
      </c>
      <c r="B6548" t="s" s="2">
        <f>HYPERLINK("http://ts.21cn.com/tousu/show/id/1366228","黑套路贷")</f>
      </c>
      <c r="C6548" t="s" s="2">
        <v>15</v>
      </c>
      <c r="D6548" t="s" s="2">
        <v>16</v>
      </c>
      <c r="E6548" t="s" s="2">
        <v>17</v>
      </c>
      <c r="F6548" t="s" s="2">
        <f>HYPERLINK("http://ts.21cn.com/tousu/show/id/1366228","http://ts.21cn.com/tousu/show/id/1366228")</f>
      </c>
      <c r="G6548" t="s" s="2">
        <v>17</v>
      </c>
      <c r="H6548" t="s" s="2">
        <v>19</v>
      </c>
      <c r="I6548" t="s" s="2">
        <v>25332</v>
      </c>
      <c r="J6548" t="s" s="2">
        <v>25333</v>
      </c>
      <c r="K6548" t="s" s="2">
        <v>22</v>
      </c>
      <c r="L6548" t="s" s="2">
        <v>22</v>
      </c>
      <c r="M6548" t="s" s="2">
        <v>22</v>
      </c>
    </row>
    <row r="6549" ht="25.0" customHeight="true">
      <c r="A6549" t="s" s="2">
        <v>13</v>
      </c>
      <c r="B6549" t="s" s="2">
        <f>HYPERLINK("http://ts.21cn.com/tousu/show/id/1366227","新兰德开大宣传，虚假宣传")</f>
      </c>
      <c r="C6549" t="s" s="2">
        <v>15</v>
      </c>
      <c r="D6549" t="s" s="2">
        <v>16</v>
      </c>
      <c r="E6549" t="s" s="2">
        <v>17</v>
      </c>
      <c r="F6549" t="s" s="2">
        <f>HYPERLINK("http://ts.21cn.com/tousu/show/id/1366227","http://ts.21cn.com/tousu/show/id/1366227")</f>
      </c>
      <c r="G6549" t="s" s="2">
        <v>17</v>
      </c>
      <c r="H6549" t="s" s="2">
        <v>19</v>
      </c>
      <c r="I6549" t="s" s="2">
        <v>25336</v>
      </c>
      <c r="J6549" t="s" s="2">
        <v>25337</v>
      </c>
      <c r="K6549" t="s" s="2">
        <v>22</v>
      </c>
      <c r="L6549" t="s" s="2">
        <v>22</v>
      </c>
      <c r="M6549" t="s" s="2">
        <v>22</v>
      </c>
    </row>
    <row r="6550" ht="25.0" customHeight="true">
      <c r="A6550" t="s" s="2">
        <v>13</v>
      </c>
      <c r="B6550" t="s" s="2">
        <f>HYPERLINK("http://ts.21cn.com/tousu/show/id/1366225","砍头")</f>
      </c>
      <c r="C6550" t="s" s="2">
        <v>52</v>
      </c>
      <c r="D6550" t="s" s="2">
        <v>16</v>
      </c>
      <c r="E6550" t="s" s="2">
        <v>17</v>
      </c>
      <c r="F6550" t="s" s="2">
        <f>HYPERLINK("http://ts.21cn.com/tousu/show/id/1366225","http://ts.21cn.com/tousu/show/id/1366225")</f>
      </c>
      <c r="G6550" t="s" s="2">
        <v>17</v>
      </c>
      <c r="H6550" t="s" s="2">
        <v>19</v>
      </c>
      <c r="I6550" t="s" s="2">
        <v>25340</v>
      </c>
      <c r="J6550" t="s" s="2">
        <v>25341</v>
      </c>
      <c r="K6550" t="s" s="2">
        <v>22</v>
      </c>
      <c r="L6550" t="s" s="2">
        <v>22</v>
      </c>
      <c r="M6550" t="s" s="2">
        <v>22</v>
      </c>
    </row>
    <row r="6551" ht="25.0" customHeight="true">
      <c r="A6551" t="s" s="2">
        <v>13</v>
      </c>
      <c r="B6551" t="s" s="2">
        <f>HYPERLINK("http://ts.21cn.com/tousu/show/id/1366226","小花钱包高额利息费用，催收说要骚扰家人朋友")</f>
      </c>
      <c r="C6551" t="s" s="2">
        <v>15</v>
      </c>
      <c r="D6551" t="s" s="2">
        <v>16</v>
      </c>
      <c r="E6551" t="s" s="2">
        <v>17</v>
      </c>
      <c r="F6551" t="s" s="2">
        <f>HYPERLINK("http://ts.21cn.com/tousu/show/id/1366226","http://ts.21cn.com/tousu/show/id/1366226")</f>
      </c>
      <c r="G6551" t="s" s="2">
        <v>17</v>
      </c>
      <c r="H6551" t="s" s="2">
        <v>19</v>
      </c>
      <c r="I6551" t="s" s="2">
        <v>25344</v>
      </c>
      <c r="J6551" t="s" s="2">
        <v>25345</v>
      </c>
      <c r="K6551" t="s" s="2">
        <v>22</v>
      </c>
      <c r="L6551" t="s" s="2">
        <v>22</v>
      </c>
      <c r="M6551" t="s" s="2">
        <v>22</v>
      </c>
    </row>
    <row r="6552" ht="25.0" customHeight="true">
      <c r="A6552" t="s" s="2">
        <v>13</v>
      </c>
      <c r="B6552" t="s" s="2">
        <f>HYPERLINK("http://ts.21cn.com/tousu/show/id/1366223","畅捷支付为714套路贷提供清结算通道")</f>
      </c>
      <c r="C6552" t="s" s="2">
        <v>15</v>
      </c>
      <c r="D6552" t="s" s="2">
        <v>16</v>
      </c>
      <c r="E6552" t="s" s="2">
        <v>17</v>
      </c>
      <c r="F6552" t="s" s="2">
        <f>HYPERLINK("http://ts.21cn.com/tousu/show/id/1366223","http://ts.21cn.com/tousu/show/id/1366223")</f>
      </c>
      <c r="G6552" t="s" s="2">
        <v>17</v>
      </c>
      <c r="H6552" t="s" s="2">
        <v>19</v>
      </c>
      <c r="I6552" t="s" s="2">
        <v>25348</v>
      </c>
      <c r="J6552" t="s" s="2">
        <v>25349</v>
      </c>
      <c r="K6552" t="s" s="2">
        <v>22</v>
      </c>
      <c r="L6552" t="s" s="2">
        <v>22</v>
      </c>
      <c r="M6552" t="s" s="2">
        <v>22</v>
      </c>
    </row>
    <row r="6553" ht="25.0" customHeight="true">
      <c r="A6553" t="s" s="2">
        <v>13</v>
      </c>
      <c r="B6553" t="s" s="2">
        <f>HYPERLINK("http://ts.21cn.com/tousu/show/id/1366222","人人花乱扣费")</f>
      </c>
      <c r="C6553" t="s" s="2">
        <v>15</v>
      </c>
      <c r="D6553" t="s" s="2">
        <v>16</v>
      </c>
      <c r="E6553" t="s" s="2">
        <v>17</v>
      </c>
      <c r="F6553" t="s" s="2">
        <f>HYPERLINK("http://ts.21cn.com/tousu/show/id/1366222","http://ts.21cn.com/tousu/show/id/1366222")</f>
      </c>
      <c r="G6553" t="s" s="2">
        <v>17</v>
      </c>
      <c r="H6553" t="s" s="2">
        <v>19</v>
      </c>
      <c r="I6553" t="s" s="2">
        <v>25351</v>
      </c>
      <c r="J6553" t="s" s="2">
        <v>25352</v>
      </c>
      <c r="K6553" t="s" s="2">
        <v>22</v>
      </c>
      <c r="L6553" t="s" s="2">
        <v>22</v>
      </c>
      <c r="M6553" t="s" s="2">
        <v>22</v>
      </c>
    </row>
    <row r="6554" ht="25.0" customHeight="true">
      <c r="A6554" t="s" s="2">
        <v>13</v>
      </c>
      <c r="B6554" t="s" s="2">
        <f>HYPERLINK("http://ts.21cn.com/tousu/show/id/1366221","高额利息，暴力催收疯狂骚扰，短信炸弹")</f>
      </c>
      <c r="C6554" t="s" s="2">
        <v>15</v>
      </c>
      <c r="D6554" t="s" s="2">
        <v>16</v>
      </c>
      <c r="E6554" t="s" s="2">
        <v>17</v>
      </c>
      <c r="F6554" t="s" s="2">
        <f>HYPERLINK("http://ts.21cn.com/tousu/show/id/1366221","http://ts.21cn.com/tousu/show/id/1366221")</f>
      </c>
      <c r="G6554" t="s" s="2">
        <v>17</v>
      </c>
      <c r="H6554" t="s" s="2">
        <v>19</v>
      </c>
      <c r="I6554" t="s" s="2">
        <v>25355</v>
      </c>
      <c r="J6554" t="s" s="2">
        <v>25356</v>
      </c>
      <c r="K6554" t="s" s="2">
        <v>22</v>
      </c>
      <c r="L6554" t="s" s="2">
        <v>22</v>
      </c>
      <c r="M6554" t="s" s="2">
        <v>22</v>
      </c>
    </row>
    <row r="6555" ht="25.0" customHeight="true">
      <c r="A6555" t="s" s="2">
        <v>13</v>
      </c>
      <c r="B6555" t="s" s="2">
        <f>HYPERLINK("http://ts.21cn.com/tousu/show/id/1366219","信用钱包")</f>
      </c>
      <c r="C6555" t="s" s="2">
        <v>52</v>
      </c>
      <c r="D6555" t="s" s="2">
        <v>16</v>
      </c>
      <c r="E6555" t="s" s="2">
        <v>17</v>
      </c>
      <c r="F6555" t="s" s="2">
        <f>HYPERLINK("http://ts.21cn.com/tousu/show/id/1366219","http://ts.21cn.com/tousu/show/id/1366219")</f>
      </c>
      <c r="G6555" t="s" s="2">
        <v>17</v>
      </c>
      <c r="H6555" t="s" s="2">
        <v>19</v>
      </c>
      <c r="I6555" t="s" s="2">
        <v>25359</v>
      </c>
      <c r="J6555" t="s" s="2">
        <v>25360</v>
      </c>
      <c r="K6555" t="s" s="2">
        <v>22</v>
      </c>
      <c r="L6555" t="s" s="2">
        <v>22</v>
      </c>
      <c r="M6555" t="s" s="2">
        <v>22</v>
      </c>
    </row>
    <row r="6556" ht="25.0" customHeight="true">
      <c r="A6556" t="s" s="2">
        <v>13</v>
      </c>
      <c r="B6556" t="s" s="2">
        <f>HYPERLINK("http://ts.21cn.com/tousu/show/id/1366218","银生宝违约不退保证金")</f>
      </c>
      <c r="C6556" t="s" s="2">
        <v>15</v>
      </c>
      <c r="D6556" t="s" s="2">
        <v>16</v>
      </c>
      <c r="E6556" t="s" s="2">
        <v>17</v>
      </c>
      <c r="F6556" t="s" s="2">
        <f>HYPERLINK("http://ts.21cn.com/tousu/show/id/1366218","http://ts.21cn.com/tousu/show/id/1366218")</f>
      </c>
      <c r="G6556" t="s" s="2">
        <v>17</v>
      </c>
      <c r="H6556" t="s" s="2">
        <v>19</v>
      </c>
      <c r="I6556" t="s" s="2">
        <v>25363</v>
      </c>
      <c r="J6556" t="s" s="2">
        <v>25364</v>
      </c>
      <c r="K6556" t="s" s="2">
        <v>22</v>
      </c>
      <c r="L6556" t="s" s="2">
        <v>22</v>
      </c>
      <c r="M6556" t="s" s="2">
        <v>22</v>
      </c>
    </row>
    <row r="6557" ht="25.0" customHeight="true">
      <c r="A6557" t="s" s="2">
        <v>13</v>
      </c>
      <c r="B6557" t="s" s="2">
        <f>HYPERLINK("http://ts.21cn.com/tousu/show/id/1366217","严重骚扰本人工作")</f>
      </c>
      <c r="C6557" t="s" s="2">
        <v>15</v>
      </c>
      <c r="D6557" t="s" s="2">
        <v>16</v>
      </c>
      <c r="E6557" t="s" s="2">
        <v>17</v>
      </c>
      <c r="F6557" t="s" s="2">
        <f>HYPERLINK("http://ts.21cn.com/tousu/show/id/1366217","http://ts.21cn.com/tousu/show/id/1366217")</f>
      </c>
      <c r="G6557" t="s" s="2">
        <v>17</v>
      </c>
      <c r="H6557" t="s" s="2">
        <v>19</v>
      </c>
      <c r="I6557" t="s" s="2">
        <v>25367</v>
      </c>
      <c r="J6557" t="s" s="2">
        <v>25368</v>
      </c>
      <c r="K6557" t="s" s="2">
        <v>22</v>
      </c>
      <c r="L6557" t="s" s="2">
        <v>22</v>
      </c>
      <c r="M6557" t="s" s="2">
        <v>22</v>
      </c>
    </row>
    <row r="6558" ht="25.0" customHeight="true">
      <c r="A6558" t="s" s="2">
        <v>13</v>
      </c>
      <c r="B6558" t="s" s="2">
        <f>HYPERLINK("http://ts.21cn.com/tousu/show/id/1366216","钱水艇app前期没经同意乱收取费用")</f>
      </c>
      <c r="C6558" t="s" s="2">
        <v>15</v>
      </c>
      <c r="D6558" t="s" s="2">
        <v>16</v>
      </c>
      <c r="E6558" t="s" s="2">
        <v>17</v>
      </c>
      <c r="F6558" t="s" s="2">
        <f>HYPERLINK("http://ts.21cn.com/tousu/show/id/1366216","http://ts.21cn.com/tousu/show/id/1366216")</f>
      </c>
      <c r="G6558" t="s" s="2">
        <v>17</v>
      </c>
      <c r="H6558" t="s" s="2">
        <v>19</v>
      </c>
      <c r="I6558" t="s" s="2">
        <v>25371</v>
      </c>
      <c r="J6558" t="s" s="2">
        <v>25372</v>
      </c>
      <c r="K6558" t="s" s="2">
        <v>22</v>
      </c>
      <c r="L6558" t="s" s="2">
        <v>22</v>
      </c>
      <c r="M6558" t="s" s="2">
        <v>22</v>
      </c>
    </row>
    <row r="6559" ht="25.0" customHeight="true">
      <c r="A6559" t="s" s="2">
        <v>13</v>
      </c>
      <c r="B6559" t="s" s="2">
        <f>HYPERLINK("http://ts.21cn.com/tousu/show/id/1366215","微贷网借10万还了一年提前还款还要还94000元，不还就拖车！简直不亚于抢劫！！！")</f>
      </c>
      <c r="C6559" t="s" s="2">
        <v>15</v>
      </c>
      <c r="D6559" t="s" s="2">
        <v>16</v>
      </c>
      <c r="E6559" t="s" s="2">
        <v>17</v>
      </c>
      <c r="F6559" t="s" s="2">
        <f>HYPERLINK("http://ts.21cn.com/tousu/show/id/1366215","http://ts.21cn.com/tousu/show/id/1366215")</f>
      </c>
      <c r="G6559" t="s" s="2">
        <v>17</v>
      </c>
      <c r="H6559" t="s" s="2">
        <v>19</v>
      </c>
      <c r="I6559" t="s" s="2">
        <v>25375</v>
      </c>
      <c r="J6559" t="s" s="2">
        <v>25376</v>
      </c>
      <c r="K6559" t="s" s="2">
        <v>22</v>
      </c>
      <c r="L6559" t="s" s="2">
        <v>22</v>
      </c>
      <c r="M6559" t="s" s="2">
        <v>22</v>
      </c>
    </row>
    <row r="6560" ht="25.0" customHeight="true">
      <c r="A6560" t="s" s="2">
        <v>13</v>
      </c>
      <c r="B6560" t="s" s="2">
        <f>HYPERLINK("http://ts.21cn.com/tousu/show/id/1366214","麦子金服暴力催收强制提前结清")</f>
      </c>
      <c r="C6560" t="s" s="2">
        <v>15</v>
      </c>
      <c r="D6560" t="s" s="2">
        <v>16</v>
      </c>
      <c r="E6560" t="s" s="2">
        <v>17</v>
      </c>
      <c r="F6560" t="s" s="2">
        <f>HYPERLINK("http://ts.21cn.com/tousu/show/id/1366214","http://ts.21cn.com/tousu/show/id/1366214")</f>
      </c>
      <c r="G6560" t="s" s="2">
        <v>17</v>
      </c>
      <c r="H6560" t="s" s="2">
        <v>19</v>
      </c>
      <c r="I6560" t="s" s="2">
        <v>25379</v>
      </c>
      <c r="J6560" t="s" s="2">
        <v>25380</v>
      </c>
      <c r="K6560" t="s" s="2">
        <v>22</v>
      </c>
      <c r="L6560" t="s" s="2">
        <v>22</v>
      </c>
      <c r="M6560" t="s" s="2">
        <v>22</v>
      </c>
    </row>
    <row r="6561" ht="25.0" customHeight="true">
      <c r="A6561" t="s" s="2">
        <v>13</v>
      </c>
      <c r="B6561" t="s" s="2">
        <f>HYPERLINK("http://ts.21cn.com/tousu/show/id/1366212","51人品贷高利贷，暴力催收，侮辱人格")</f>
      </c>
      <c r="C6561" t="s" s="2">
        <v>15</v>
      </c>
      <c r="D6561" t="s" s="2">
        <v>16</v>
      </c>
      <c r="E6561" t="s" s="2">
        <v>17</v>
      </c>
      <c r="F6561" t="s" s="2">
        <f>HYPERLINK("http://ts.21cn.com/tousu/show/id/1366212","http://ts.21cn.com/tousu/show/id/1366212")</f>
      </c>
      <c r="G6561" t="s" s="2">
        <v>17</v>
      </c>
      <c r="H6561" t="s" s="2">
        <v>19</v>
      </c>
      <c r="I6561" t="s" s="2">
        <v>25383</v>
      </c>
      <c r="J6561" t="s" s="2">
        <v>25384</v>
      </c>
      <c r="K6561" t="s" s="2">
        <v>22</v>
      </c>
      <c r="L6561" t="s" s="2">
        <v>22</v>
      </c>
      <c r="M6561" t="s" s="2">
        <v>22</v>
      </c>
    </row>
    <row r="6562" ht="25.0" customHeight="true">
      <c r="A6562" t="s" s="2">
        <v>13</v>
      </c>
      <c r="B6562" t="s" s="2">
        <f>HYPERLINK("http://ts.21cn.com/tousu/show/id/1366211","注销账号")</f>
      </c>
      <c r="C6562" t="s" s="2">
        <v>15</v>
      </c>
      <c r="D6562" t="s" s="2">
        <v>16</v>
      </c>
      <c r="E6562" t="s" s="2">
        <v>17</v>
      </c>
      <c r="F6562" t="s" s="2">
        <f>HYPERLINK("http://ts.21cn.com/tousu/show/id/1366211","http://ts.21cn.com/tousu/show/id/1366211")</f>
      </c>
      <c r="G6562" t="s" s="2">
        <v>17</v>
      </c>
      <c r="H6562" t="s" s="2">
        <v>19</v>
      </c>
      <c r="I6562" t="s" s="2">
        <v>25387</v>
      </c>
      <c r="J6562" t="s" s="2">
        <v>25388</v>
      </c>
      <c r="K6562" t="s" s="2">
        <v>22</v>
      </c>
      <c r="L6562" t="s" s="2">
        <v>22</v>
      </c>
      <c r="M6562" t="s" s="2">
        <v>22</v>
      </c>
    </row>
    <row r="6563" ht="25.0" customHeight="true">
      <c r="A6563" t="s" s="2">
        <v>13</v>
      </c>
      <c r="B6563" t="s" s="2">
        <f>HYPERLINK("http://ts.21cn.com/tousu/show/id/1366210","张飞出行押金退款慢")</f>
      </c>
      <c r="C6563" t="s" s="2">
        <v>52</v>
      </c>
      <c r="D6563" t="s" s="2">
        <v>16</v>
      </c>
      <c r="E6563" t="s" s="2">
        <v>17</v>
      </c>
      <c r="F6563" t="s" s="2">
        <f>HYPERLINK("http://ts.21cn.com/tousu/show/id/1366210","http://ts.21cn.com/tousu/show/id/1366210")</f>
      </c>
      <c r="G6563" t="s" s="2">
        <v>17</v>
      </c>
      <c r="H6563" t="s" s="2">
        <v>19</v>
      </c>
      <c r="I6563" t="s" s="2">
        <v>25391</v>
      </c>
      <c r="J6563" t="s" s="2">
        <v>25392</v>
      </c>
      <c r="K6563" t="s" s="2">
        <v>22</v>
      </c>
      <c r="L6563" t="s" s="2">
        <v>22</v>
      </c>
      <c r="M6563" t="s" s="2">
        <v>22</v>
      </c>
    </row>
    <row r="6564" ht="25.0" customHeight="true">
      <c r="A6564" t="s" s="2">
        <v>13</v>
      </c>
      <c r="B6564" t="s" s="2">
        <f>HYPERLINK("http://ts.21cn.com/tousu/show/id/1366208","拇指下款无故扣费")</f>
      </c>
      <c r="C6564" t="s" s="2">
        <v>15</v>
      </c>
      <c r="D6564" t="s" s="2">
        <v>16</v>
      </c>
      <c r="E6564" t="s" s="2">
        <v>17</v>
      </c>
      <c r="F6564" t="s" s="2">
        <f>HYPERLINK("http://ts.21cn.com/tousu/show/id/1366208","http://ts.21cn.com/tousu/show/id/1366208")</f>
      </c>
      <c r="G6564" t="s" s="2">
        <v>17</v>
      </c>
      <c r="H6564" t="s" s="2">
        <v>19</v>
      </c>
      <c r="I6564" t="s" s="2">
        <v>25395</v>
      </c>
      <c r="J6564" t="s" s="2">
        <v>25396</v>
      </c>
      <c r="K6564" t="s" s="2">
        <v>22</v>
      </c>
      <c r="L6564" t="s" s="2">
        <v>22</v>
      </c>
      <c r="M6564" t="s" s="2">
        <v>22</v>
      </c>
    </row>
    <row r="6565" ht="25.0" customHeight="true">
      <c r="A6565" t="s" s="2">
        <v>13</v>
      </c>
      <c r="B6565" t="s" s="2">
        <f>HYPERLINK("http://ts.21cn.com/tousu/show/id/1366205","软暴力催收骚扰")</f>
      </c>
      <c r="C6565" t="s" s="2">
        <v>15</v>
      </c>
      <c r="D6565" t="s" s="2">
        <v>16</v>
      </c>
      <c r="E6565" t="s" s="2">
        <v>17</v>
      </c>
      <c r="F6565" t="s" s="2">
        <f>HYPERLINK("http://ts.21cn.com/tousu/show/id/1366205","http://ts.21cn.com/tousu/show/id/1366205")</f>
      </c>
      <c r="G6565" t="s" s="2">
        <v>17</v>
      </c>
      <c r="H6565" t="s" s="2">
        <v>19</v>
      </c>
      <c r="I6565" t="s" s="2">
        <v>25399</v>
      </c>
      <c r="J6565" t="s" s="2">
        <v>25400</v>
      </c>
      <c r="K6565" t="s" s="2">
        <v>22</v>
      </c>
      <c r="L6565" t="s" s="2">
        <v>22</v>
      </c>
      <c r="M6565" t="s" s="2">
        <v>22</v>
      </c>
    </row>
    <row r="6566" ht="25.0" customHeight="true">
      <c r="A6566" t="s" s="2">
        <v>13</v>
      </c>
      <c r="B6566" t="s" s="2">
        <f>HYPERLINK("http://ts.21cn.com/tousu/show/id/1366207","交通银行信用卡")</f>
      </c>
      <c r="C6566" t="s" s="2">
        <v>52</v>
      </c>
      <c r="D6566" t="s" s="2">
        <v>16</v>
      </c>
      <c r="E6566" t="s" s="2">
        <v>17</v>
      </c>
      <c r="F6566" t="s" s="2">
        <f>HYPERLINK("http://ts.21cn.com/tousu/show/id/1366207","http://ts.21cn.com/tousu/show/id/1366207")</f>
      </c>
      <c r="G6566" t="s" s="2">
        <v>17</v>
      </c>
      <c r="H6566" t="s" s="2">
        <v>19</v>
      </c>
      <c r="I6566" t="s" s="2">
        <v>25403</v>
      </c>
      <c r="J6566" t="s" s="2">
        <v>25404</v>
      </c>
      <c r="K6566" t="s" s="2">
        <v>22</v>
      </c>
      <c r="L6566" t="s" s="2">
        <v>22</v>
      </c>
      <c r="M6566" t="s" s="2">
        <v>22</v>
      </c>
    </row>
    <row r="6567" ht="25.0" customHeight="true">
      <c r="A6567" t="s" s="2">
        <v>13</v>
      </c>
      <c r="B6567" t="s" s="2">
        <f>HYPERLINK("http://ts.21cn.com/tousu/show/id/1366206","借呗结清证明开具问题")</f>
      </c>
      <c r="C6567" t="s" s="2">
        <v>52</v>
      </c>
      <c r="D6567" t="s" s="2">
        <v>16</v>
      </c>
      <c r="E6567" t="s" s="2">
        <v>17</v>
      </c>
      <c r="F6567" t="s" s="2">
        <f>HYPERLINK("http://ts.21cn.com/tousu/show/id/1366206","http://ts.21cn.com/tousu/show/id/1366206")</f>
      </c>
      <c r="G6567" t="s" s="2">
        <v>17</v>
      </c>
      <c r="H6567" t="s" s="2">
        <v>19</v>
      </c>
      <c r="I6567" t="s" s="2">
        <v>25407</v>
      </c>
      <c r="J6567" t="s" s="2">
        <v>25408</v>
      </c>
      <c r="K6567" t="s" s="2">
        <v>22</v>
      </c>
      <c r="L6567" t="s" s="2">
        <v>22</v>
      </c>
      <c r="M6567" t="s" s="2">
        <v>22</v>
      </c>
    </row>
    <row r="6568" ht="25.0" customHeight="true">
      <c r="A6568" t="s" s="2">
        <v>13</v>
      </c>
      <c r="B6568" t="s" s="2">
        <f>HYPERLINK("http://ts.21cn.com/tousu/show/id/1366201","友信信贷在未逾期的时间内对借款人进行暴力催收")</f>
      </c>
      <c r="C6568" t="s" s="2">
        <v>15</v>
      </c>
      <c r="D6568" t="s" s="2">
        <v>16</v>
      </c>
      <c r="E6568" t="s" s="2">
        <v>17</v>
      </c>
      <c r="F6568" t="s" s="2">
        <f>HYPERLINK("http://ts.21cn.com/tousu/show/id/1366201","http://ts.21cn.com/tousu/show/id/1366201")</f>
      </c>
      <c r="G6568" t="s" s="2">
        <v>17</v>
      </c>
      <c r="H6568" t="s" s="2">
        <v>19</v>
      </c>
      <c r="I6568" t="s" s="2">
        <v>25410</v>
      </c>
      <c r="J6568" t="s" s="2">
        <v>25411</v>
      </c>
      <c r="K6568" t="s" s="2">
        <v>22</v>
      </c>
      <c r="L6568" t="s" s="2">
        <v>22</v>
      </c>
      <c r="M6568" t="s" s="2">
        <v>22</v>
      </c>
    </row>
    <row r="6569" ht="25.0" customHeight="true">
      <c r="A6569" t="s" s="2">
        <v>13</v>
      </c>
      <c r="B6569" t="s" s="2">
        <f>HYPERLINK("http://ts.21cn.com/tousu/show/id/1366127","京东漏洞无人管，消费者屡上当")</f>
      </c>
      <c r="C6569" t="s" s="2">
        <v>15</v>
      </c>
      <c r="D6569" t="s" s="2">
        <v>16</v>
      </c>
      <c r="E6569" t="s" s="2">
        <v>17</v>
      </c>
      <c r="F6569" t="s" s="2">
        <f>HYPERLINK("http://ts.21cn.com/tousu/show/id/1366127","http://ts.21cn.com/tousu/show/id/1366127")</f>
      </c>
      <c r="G6569" t="s" s="2">
        <v>17</v>
      </c>
      <c r="H6569" t="s" s="2">
        <v>19</v>
      </c>
      <c r="I6569" t="s" s="2">
        <v>25414</v>
      </c>
      <c r="J6569" t="s" s="2">
        <v>25415</v>
      </c>
      <c r="K6569" t="s" s="2">
        <v>22</v>
      </c>
      <c r="L6569" t="s" s="2">
        <v>22</v>
      </c>
      <c r="M6569" t="s" s="2">
        <v>22</v>
      </c>
    </row>
    <row r="6570" ht="25.0" customHeight="true">
      <c r="A6570" t="s" s="2">
        <v>13</v>
      </c>
      <c r="B6570" t="s" s="2">
        <f>HYPERLINK("http://ts.21cn.com/tousu/show/id/1366199","广发银行高额利息")</f>
      </c>
      <c r="C6570" t="s" s="2">
        <v>15</v>
      </c>
      <c r="D6570" t="s" s="2">
        <v>16</v>
      </c>
      <c r="E6570" t="s" s="2">
        <v>17</v>
      </c>
      <c r="F6570" t="s" s="2">
        <f>HYPERLINK("http://ts.21cn.com/tousu/show/id/1366199","http://ts.21cn.com/tousu/show/id/1366199")</f>
      </c>
      <c r="G6570" t="s" s="2">
        <v>17</v>
      </c>
      <c r="H6570" t="s" s="2">
        <v>19</v>
      </c>
      <c r="I6570" t="s" s="2">
        <v>25418</v>
      </c>
      <c r="J6570" t="s" s="2">
        <v>25419</v>
      </c>
      <c r="K6570" t="s" s="2">
        <v>22</v>
      </c>
      <c r="L6570" t="s" s="2">
        <v>22</v>
      </c>
      <c r="M6570" t="s" s="2">
        <v>22</v>
      </c>
    </row>
    <row r="6571" ht="25.0" customHeight="true">
      <c r="A6571" t="s" s="2">
        <v>13</v>
      </c>
      <c r="B6571" t="s" s="2">
        <f>HYPERLINK("http://ts.21cn.com/tousu/show/id/1366196","达飞即有分期高利高贷，骚扰，威胁")</f>
      </c>
      <c r="C6571" t="s" s="2">
        <v>15</v>
      </c>
      <c r="D6571" t="s" s="2">
        <v>16</v>
      </c>
      <c r="E6571" t="s" s="2">
        <v>17</v>
      </c>
      <c r="F6571" t="s" s="2">
        <f>HYPERLINK("http://ts.21cn.com/tousu/show/id/1366196","http://ts.21cn.com/tousu/show/id/1366196")</f>
      </c>
      <c r="G6571" t="s" s="2">
        <v>17</v>
      </c>
      <c r="H6571" t="s" s="2">
        <v>19</v>
      </c>
      <c r="I6571" t="s" s="2">
        <v>25422</v>
      </c>
      <c r="J6571" t="s" s="2">
        <v>25423</v>
      </c>
      <c r="K6571" t="s" s="2">
        <v>22</v>
      </c>
      <c r="L6571" t="s" s="2">
        <v>22</v>
      </c>
      <c r="M6571" t="s" s="2">
        <v>22</v>
      </c>
    </row>
    <row r="6572" ht="25.0" customHeight="true">
      <c r="A6572" t="s" s="2">
        <v>13</v>
      </c>
      <c r="B6572" t="s" s="2">
        <f>HYPERLINK("http://ts.21cn.com/tousu/show/id/1366200","威胁恐吓已经严重影响生活")</f>
      </c>
      <c r="C6572" t="s" s="2">
        <v>15</v>
      </c>
      <c r="D6572" t="s" s="2">
        <v>16</v>
      </c>
      <c r="E6572" t="s" s="2">
        <v>17</v>
      </c>
      <c r="F6572" t="s" s="2">
        <f>HYPERLINK("http://ts.21cn.com/tousu/show/id/1366200","http://ts.21cn.com/tousu/show/id/1366200")</f>
      </c>
      <c r="G6572" t="s" s="2">
        <v>17</v>
      </c>
      <c r="H6572" t="s" s="2">
        <v>19</v>
      </c>
      <c r="I6572" t="s" s="2">
        <v>25426</v>
      </c>
      <c r="J6572" t="s" s="2">
        <v>25427</v>
      </c>
      <c r="K6572" t="s" s="2">
        <v>22</v>
      </c>
      <c r="L6572" t="s" s="2">
        <v>22</v>
      </c>
      <c r="M6572" t="s" s="2">
        <v>22</v>
      </c>
    </row>
    <row r="6573" ht="25.0" customHeight="true">
      <c r="A6573" t="s" s="2">
        <v>13</v>
      </c>
      <c r="B6573" t="s" s="2">
        <f>HYPERLINK("http://ts.21cn.com/tousu/show/id/1366198","如期分期还没到还款日就一上午就催收5个电话")</f>
      </c>
      <c r="C6573" t="s" s="2">
        <v>15</v>
      </c>
      <c r="D6573" t="s" s="2">
        <v>16</v>
      </c>
      <c r="E6573" t="s" s="2">
        <v>17</v>
      </c>
      <c r="F6573" t="s" s="2">
        <f>HYPERLINK("http://ts.21cn.com/tousu/show/id/1366198","http://ts.21cn.com/tousu/show/id/1366198")</f>
      </c>
      <c r="G6573" t="s" s="2">
        <v>17</v>
      </c>
      <c r="H6573" t="s" s="2">
        <v>19</v>
      </c>
      <c r="I6573" t="s" s="2">
        <v>25430</v>
      </c>
      <c r="J6573" t="s" s="2">
        <v>25431</v>
      </c>
      <c r="K6573" t="s" s="2">
        <v>22</v>
      </c>
      <c r="L6573" t="s" s="2">
        <v>22</v>
      </c>
      <c r="M6573" t="s" s="2">
        <v>22</v>
      </c>
    </row>
    <row r="6574" ht="25.0" customHeight="true">
      <c r="A6574" t="s" s="2">
        <v>13</v>
      </c>
      <c r="B6574" t="s" s="2">
        <f>HYPERLINK("http://ts.21cn.com/tousu/show/id/1366194","高利贷，砍头息")</f>
      </c>
      <c r="C6574" t="s" s="2">
        <v>15</v>
      </c>
      <c r="D6574" t="s" s="2">
        <v>16</v>
      </c>
      <c r="E6574" t="s" s="2">
        <v>17</v>
      </c>
      <c r="F6574" t="s" s="2">
        <f>HYPERLINK("http://ts.21cn.com/tousu/show/id/1366194","http://ts.21cn.com/tousu/show/id/1366194")</f>
      </c>
      <c r="G6574" t="s" s="2">
        <v>17</v>
      </c>
      <c r="H6574" t="s" s="2">
        <v>19</v>
      </c>
      <c r="I6574" t="s" s="2">
        <v>25433</v>
      </c>
      <c r="J6574" t="s" s="2">
        <v>25434</v>
      </c>
      <c r="K6574" t="s" s="2">
        <v>22</v>
      </c>
      <c r="L6574" t="s" s="2">
        <v>22</v>
      </c>
      <c r="M6574" t="s" s="2">
        <v>22</v>
      </c>
    </row>
    <row r="6575" ht="25.0" customHeight="true">
      <c r="A6575" t="s" s="2">
        <v>13</v>
      </c>
      <c r="B6575" t="s" s="2">
        <f>HYPERLINK("http://ts.21cn.com/tousu/show/id/1366192","投诉钱站爱钱进")</f>
      </c>
      <c r="C6575" t="s" s="2">
        <v>15</v>
      </c>
      <c r="D6575" t="s" s="2">
        <v>16</v>
      </c>
      <c r="E6575" t="s" s="2">
        <v>17</v>
      </c>
      <c r="F6575" t="s" s="2">
        <f>HYPERLINK("http://ts.21cn.com/tousu/show/id/1366192","http://ts.21cn.com/tousu/show/id/1366192")</f>
      </c>
      <c r="G6575" t="s" s="2">
        <v>17</v>
      </c>
      <c r="H6575" t="s" s="2">
        <v>19</v>
      </c>
      <c r="I6575" t="s" s="2">
        <v>25437</v>
      </c>
      <c r="J6575" t="s" s="2">
        <v>25438</v>
      </c>
      <c r="K6575" t="s" s="2">
        <v>22</v>
      </c>
      <c r="L6575" t="s" s="2">
        <v>22</v>
      </c>
      <c r="M6575" t="s" s="2">
        <v>22</v>
      </c>
    </row>
    <row r="6576" ht="25.0" customHeight="true">
      <c r="A6576" t="s" s="2">
        <v>13</v>
      </c>
      <c r="B6576" t="s" s="2">
        <f>HYPERLINK("http://ts.21cn.com/tousu/show/id/1366191","京东白条催收暴力")</f>
      </c>
      <c r="C6576" t="s" s="2">
        <v>15</v>
      </c>
      <c r="D6576" t="s" s="2">
        <v>16</v>
      </c>
      <c r="E6576" t="s" s="2">
        <v>17</v>
      </c>
      <c r="F6576" t="s" s="2">
        <f>HYPERLINK("http://ts.21cn.com/tousu/show/id/1366191","http://ts.21cn.com/tousu/show/id/1366191")</f>
      </c>
      <c r="G6576" t="s" s="2">
        <v>17</v>
      </c>
      <c r="H6576" t="s" s="2">
        <v>19</v>
      </c>
      <c r="I6576" t="s" s="2">
        <v>25441</v>
      </c>
      <c r="J6576" t="s" s="2">
        <v>25442</v>
      </c>
      <c r="K6576" t="s" s="2">
        <v>22</v>
      </c>
      <c r="L6576" t="s" s="2">
        <v>22</v>
      </c>
      <c r="M6576" t="s" s="2">
        <v>22</v>
      </c>
    </row>
    <row r="6577" ht="25.0" customHeight="true">
      <c r="A6577" t="s" s="2">
        <v>13</v>
      </c>
      <c r="B6577" t="s" s="2">
        <f>HYPERLINK("http://ts.21cn.com/tousu/show/id/1366189","强制购买商品才能借款，暴力催收，言语威胁")</f>
      </c>
      <c r="C6577" t="s" s="2">
        <v>15</v>
      </c>
      <c r="D6577" t="s" s="2">
        <v>16</v>
      </c>
      <c r="E6577" t="s" s="2">
        <v>17</v>
      </c>
      <c r="F6577" t="s" s="2">
        <f>HYPERLINK("http://ts.21cn.com/tousu/show/id/1366189","http://ts.21cn.com/tousu/show/id/1366189")</f>
      </c>
      <c r="G6577" t="s" s="2">
        <v>17</v>
      </c>
      <c r="H6577" t="s" s="2">
        <v>19</v>
      </c>
      <c r="I6577" t="s" s="2">
        <v>25445</v>
      </c>
      <c r="J6577" t="s" s="2">
        <v>25446</v>
      </c>
      <c r="K6577" t="s" s="2">
        <v>22</v>
      </c>
      <c r="L6577" t="s" s="2">
        <v>22</v>
      </c>
      <c r="M6577" t="s" s="2">
        <v>22</v>
      </c>
    </row>
    <row r="6578" ht="25.0" customHeight="true">
      <c r="A6578" t="s" s="2">
        <v>13</v>
      </c>
      <c r="B6578" t="s" s="2">
        <f>HYPERLINK("http://ts.21cn.com/tousu/show/id/1366188","无法开具百度有钱花贷款结清证明")</f>
      </c>
      <c r="C6578" t="s" s="2">
        <v>15</v>
      </c>
      <c r="D6578" t="s" s="2">
        <v>16</v>
      </c>
      <c r="E6578" t="s" s="2">
        <v>17</v>
      </c>
      <c r="F6578" t="s" s="2">
        <f>HYPERLINK("http://ts.21cn.com/tousu/show/id/1366188","http://ts.21cn.com/tousu/show/id/1366188")</f>
      </c>
      <c r="G6578" t="s" s="2">
        <v>17</v>
      </c>
      <c r="H6578" t="s" s="2">
        <v>19</v>
      </c>
      <c r="I6578" t="s" s="2">
        <v>25449</v>
      </c>
      <c r="J6578" t="s" s="2">
        <v>25450</v>
      </c>
      <c r="K6578" t="s" s="2">
        <v>22</v>
      </c>
      <c r="L6578" t="s" s="2">
        <v>22</v>
      </c>
      <c r="M6578" t="s" s="2">
        <v>22</v>
      </c>
    </row>
    <row r="6579" ht="25.0" customHeight="true">
      <c r="A6579" t="s" s="2">
        <v>13</v>
      </c>
      <c r="B6579" t="s" s="2">
        <f>HYPERLINK("http://ts.21cn.com/tousu/show/id/1366187","平安银行信用卡短信骚扰")</f>
      </c>
      <c r="C6579" t="s" s="2">
        <v>15</v>
      </c>
      <c r="D6579" t="s" s="2">
        <v>16</v>
      </c>
      <c r="E6579" t="s" s="2">
        <v>17</v>
      </c>
      <c r="F6579" t="s" s="2">
        <f>HYPERLINK("http://ts.21cn.com/tousu/show/id/1366187","http://ts.21cn.com/tousu/show/id/1366187")</f>
      </c>
      <c r="G6579" t="s" s="2">
        <v>17</v>
      </c>
      <c r="H6579" t="s" s="2">
        <v>19</v>
      </c>
      <c r="I6579" t="s" s="2">
        <v>25453</v>
      </c>
      <c r="J6579" t="s" s="2">
        <v>25454</v>
      </c>
      <c r="K6579" t="s" s="2">
        <v>22</v>
      </c>
      <c r="L6579" t="s" s="2">
        <v>22</v>
      </c>
      <c r="M6579" t="s" s="2">
        <v>22</v>
      </c>
    </row>
    <row r="6580" ht="25.0" customHeight="true">
      <c r="A6580" t="s" s="2">
        <v>13</v>
      </c>
      <c r="B6580" t="s" s="2">
        <f>HYPERLINK("http://ts.21cn.com/tousu/show/id/1366184","恐吓，暴力催收，骚扰家人。")</f>
      </c>
      <c r="C6580" t="s" s="2">
        <v>15</v>
      </c>
      <c r="D6580" t="s" s="2">
        <v>16</v>
      </c>
      <c r="E6580" t="s" s="2">
        <v>17</v>
      </c>
      <c r="F6580" t="s" s="2">
        <f>HYPERLINK("http://ts.21cn.com/tousu/show/id/1366184","http://ts.21cn.com/tousu/show/id/1366184")</f>
      </c>
      <c r="G6580" t="s" s="2">
        <v>17</v>
      </c>
      <c r="H6580" t="s" s="2">
        <v>19</v>
      </c>
      <c r="I6580" t="s" s="2">
        <v>25457</v>
      </c>
      <c r="J6580" t="s" s="2">
        <v>25458</v>
      </c>
      <c r="K6580" t="s" s="2">
        <v>22</v>
      </c>
      <c r="L6580" t="s" s="2">
        <v>22</v>
      </c>
      <c r="M6580" t="s" s="2">
        <v>22</v>
      </c>
    </row>
    <row r="6581" ht="25.0" customHeight="true">
      <c r="A6581" t="s" s="2">
        <v>13</v>
      </c>
      <c r="B6581" t="s" s="2">
        <f>HYPERLINK("http://ts.21cn.com/tousu/show/id/1366185","省呗恶意催收")</f>
      </c>
      <c r="C6581" t="s" s="2">
        <v>15</v>
      </c>
      <c r="D6581" t="s" s="2">
        <v>16</v>
      </c>
      <c r="E6581" t="s" s="2">
        <v>17</v>
      </c>
      <c r="F6581" t="s" s="2">
        <f>HYPERLINK("http://ts.21cn.com/tousu/show/id/1366185","http://ts.21cn.com/tousu/show/id/1366185")</f>
      </c>
      <c r="G6581" t="s" s="2">
        <v>17</v>
      </c>
      <c r="H6581" t="s" s="2">
        <v>19</v>
      </c>
      <c r="I6581" t="s" s="2">
        <v>25461</v>
      </c>
      <c r="J6581" t="s" s="2">
        <v>25462</v>
      </c>
      <c r="K6581" t="s" s="2">
        <v>22</v>
      </c>
      <c r="L6581" t="s" s="2">
        <v>22</v>
      </c>
      <c r="M6581" t="s" s="2">
        <v>22</v>
      </c>
    </row>
    <row r="6582" ht="25.0" customHeight="true">
      <c r="A6582" t="s" s="2">
        <v>13</v>
      </c>
      <c r="B6582" t="s" s="2">
        <f>HYPERLINK("http://ts.21cn.com/tousu/show/id/1366183","10月15日20点乱扣款")</f>
      </c>
      <c r="C6582" t="s" s="2">
        <v>15</v>
      </c>
      <c r="D6582" t="s" s="2">
        <v>16</v>
      </c>
      <c r="E6582" t="s" s="2">
        <v>17</v>
      </c>
      <c r="F6582" t="s" s="2">
        <f>HYPERLINK("http://ts.21cn.com/tousu/show/id/1366183","http://ts.21cn.com/tousu/show/id/1366183")</f>
      </c>
      <c r="G6582" t="s" s="2">
        <v>17</v>
      </c>
      <c r="H6582" t="s" s="2">
        <v>19</v>
      </c>
      <c r="I6582" t="s" s="2">
        <v>25465</v>
      </c>
      <c r="J6582" t="s" s="2">
        <v>25466</v>
      </c>
      <c r="K6582" t="s" s="2">
        <v>22</v>
      </c>
      <c r="L6582" t="s" s="2">
        <v>22</v>
      </c>
      <c r="M6582" t="s" s="2">
        <v>22</v>
      </c>
    </row>
    <row r="6583" ht="25.0" customHeight="true">
      <c r="A6583" t="s" s="2">
        <v>13</v>
      </c>
      <c r="B6583" t="s" s="2">
        <f>HYPERLINK("http://ts.21cn.com/tousu/show/id/1366182","新橙分期催收人员恶意预留本人号码作为本部催收号码")</f>
      </c>
      <c r="C6583" t="s" s="2">
        <v>15</v>
      </c>
      <c r="D6583" t="s" s="2">
        <v>16</v>
      </c>
      <c r="E6583" t="s" s="2">
        <v>17</v>
      </c>
      <c r="F6583" t="s" s="2">
        <f>HYPERLINK("http://ts.21cn.com/tousu/show/id/1366182","http://ts.21cn.com/tousu/show/id/1366182")</f>
      </c>
      <c r="G6583" t="s" s="2">
        <v>17</v>
      </c>
      <c r="H6583" t="s" s="2">
        <v>19</v>
      </c>
      <c r="I6583" t="s" s="2">
        <v>25469</v>
      </c>
      <c r="J6583" t="s" s="2">
        <v>25470</v>
      </c>
      <c r="K6583" t="s" s="2">
        <v>22</v>
      </c>
      <c r="L6583" t="s" s="2">
        <v>22</v>
      </c>
      <c r="M6583" t="s" s="2">
        <v>22</v>
      </c>
    </row>
    <row r="6584" ht="25.0" customHeight="true">
      <c r="A6584" t="s" s="2">
        <v>13</v>
      </c>
      <c r="B6584" t="s" s="2">
        <f>HYPERLINK("http://ts.21cn.com/tousu/show/id/1366179","还款完成情况下恶意划转窃取客户卡内资金")</f>
      </c>
      <c r="C6584" t="s" s="2">
        <v>15</v>
      </c>
      <c r="D6584" t="s" s="2">
        <v>16</v>
      </c>
      <c r="E6584" t="s" s="2">
        <v>17</v>
      </c>
      <c r="F6584" t="s" s="2">
        <f>HYPERLINK("http://ts.21cn.com/tousu/show/id/1366179","http://ts.21cn.com/tousu/show/id/1366179")</f>
      </c>
      <c r="G6584" t="s" s="2">
        <v>17</v>
      </c>
      <c r="H6584" t="s" s="2">
        <v>19</v>
      </c>
      <c r="I6584" t="s" s="2">
        <v>25473</v>
      </c>
      <c r="J6584" t="s" s="2">
        <v>25474</v>
      </c>
      <c r="K6584" t="s" s="2">
        <v>22</v>
      </c>
      <c r="L6584" t="s" s="2">
        <v>22</v>
      </c>
      <c r="M6584" t="s" s="2">
        <v>22</v>
      </c>
    </row>
    <row r="6585" ht="25.0" customHeight="true">
      <c r="A6585" t="s" s="2">
        <v>13</v>
      </c>
      <c r="B6585" t="s" s="2">
        <f>HYPERLINK("http://ts.21cn.com/tousu/show/id/1366180","关于美约app乱扣费问题，免费试用后，自动续费会员一年298元")</f>
      </c>
      <c r="C6585" t="s" s="2">
        <v>52</v>
      </c>
      <c r="D6585" t="s" s="2">
        <v>16</v>
      </c>
      <c r="E6585" t="s" s="2">
        <v>17</v>
      </c>
      <c r="F6585" t="s" s="2">
        <f>HYPERLINK("http://ts.21cn.com/tousu/show/id/1366180","http://ts.21cn.com/tousu/show/id/1366180")</f>
      </c>
      <c r="G6585" t="s" s="2">
        <v>17</v>
      </c>
      <c r="H6585" t="s" s="2">
        <v>19</v>
      </c>
      <c r="I6585" t="s" s="2">
        <v>25476</v>
      </c>
      <c r="J6585" t="s" s="2">
        <v>25477</v>
      </c>
      <c r="K6585" t="s" s="2">
        <v>22</v>
      </c>
      <c r="L6585" t="s" s="2">
        <v>22</v>
      </c>
      <c r="M6585" t="s" s="2">
        <v>22</v>
      </c>
    </row>
    <row r="6586" ht="25.0" customHeight="true">
      <c r="A6586" t="s" s="2">
        <v>13</v>
      </c>
      <c r="B6586" t="s" s="2">
        <f>HYPERLINK("http://ts.21cn.com/tousu/show/id/1366178","蓝猫吧APP盗刷信用卡")</f>
      </c>
      <c r="C6586" t="s" s="2">
        <v>15</v>
      </c>
      <c r="D6586" t="s" s="2">
        <v>16</v>
      </c>
      <c r="E6586" t="s" s="2">
        <v>17</v>
      </c>
      <c r="F6586" t="s" s="2">
        <f>HYPERLINK("http://ts.21cn.com/tousu/show/id/1366178","http://ts.21cn.com/tousu/show/id/1366178")</f>
      </c>
      <c r="G6586" t="s" s="2">
        <v>17</v>
      </c>
      <c r="H6586" t="s" s="2">
        <v>19</v>
      </c>
      <c r="I6586" t="s" s="2">
        <v>25480</v>
      </c>
      <c r="J6586" t="s" s="2">
        <v>25481</v>
      </c>
      <c r="K6586" t="s" s="2">
        <v>22</v>
      </c>
      <c r="L6586" t="s" s="2">
        <v>22</v>
      </c>
      <c r="M6586" t="s" s="2">
        <v>22</v>
      </c>
    </row>
    <row r="6587" ht="25.0" customHeight="true">
      <c r="A6587" t="s" s="2">
        <v>13</v>
      </c>
      <c r="B6587" t="s" s="2">
        <f>HYPERLINK("http://ts.21cn.com/tousu/show/id/1366177","360借条爆通讯录故意骚扰第三方")</f>
      </c>
      <c r="C6587" t="s" s="2">
        <v>15</v>
      </c>
      <c r="D6587" t="s" s="2">
        <v>16</v>
      </c>
      <c r="E6587" t="s" s="2">
        <v>17</v>
      </c>
      <c r="F6587" t="s" s="2">
        <f>HYPERLINK("http://ts.21cn.com/tousu/show/id/1366177","http://ts.21cn.com/tousu/show/id/1366177")</f>
      </c>
      <c r="G6587" t="s" s="2">
        <v>17</v>
      </c>
      <c r="H6587" t="s" s="2">
        <v>19</v>
      </c>
      <c r="I6587" t="s" s="2">
        <v>25484</v>
      </c>
      <c r="J6587" t="s" s="2">
        <v>25485</v>
      </c>
      <c r="K6587" t="s" s="2">
        <v>22</v>
      </c>
      <c r="L6587" t="s" s="2">
        <v>22</v>
      </c>
      <c r="M6587" t="s" s="2">
        <v>22</v>
      </c>
    </row>
    <row r="6588" ht="25.0" customHeight="true">
      <c r="A6588" t="s" s="2">
        <v>13</v>
      </c>
      <c r="B6588" t="s" s="2">
        <f>HYPERLINK("http://ts.21cn.com/tousu/show/id/1366176","友信暴力催收，利息不合法，要求减免部分利息")</f>
      </c>
      <c r="C6588" t="s" s="2">
        <v>15</v>
      </c>
      <c r="D6588" t="s" s="2">
        <v>16</v>
      </c>
      <c r="E6588" t="s" s="2">
        <v>17</v>
      </c>
      <c r="F6588" t="s" s="2">
        <f>HYPERLINK("http://ts.21cn.com/tousu/show/id/1366176","http://ts.21cn.com/tousu/show/id/1366176")</f>
      </c>
      <c r="G6588" t="s" s="2">
        <v>17</v>
      </c>
      <c r="H6588" t="s" s="2">
        <v>19</v>
      </c>
      <c r="I6588" t="s" s="2">
        <v>25488</v>
      </c>
      <c r="J6588" t="s" s="2">
        <v>25489</v>
      </c>
      <c r="K6588" t="s" s="2">
        <v>22</v>
      </c>
      <c r="L6588" t="s" s="2">
        <v>22</v>
      </c>
      <c r="M6588" t="s" s="2">
        <v>22</v>
      </c>
    </row>
    <row r="6589" ht="25.0" customHeight="true">
      <c r="A6589" t="s" s="2">
        <v>13</v>
      </c>
      <c r="B6589" t="s" s="2">
        <f>HYPERLINK("http://ts.21cn.com/tousu/show/id/1366128","OYO酒店APP欺诈消费者")</f>
      </c>
      <c r="C6589" t="s" s="2">
        <v>15</v>
      </c>
      <c r="D6589" t="s" s="2">
        <v>16</v>
      </c>
      <c r="E6589" t="s" s="2">
        <v>17</v>
      </c>
      <c r="F6589" t="s" s="2">
        <f>HYPERLINK("http://ts.21cn.com/tousu/show/id/1366128","http://ts.21cn.com/tousu/show/id/1366128")</f>
      </c>
      <c r="G6589" t="s" s="2">
        <v>17</v>
      </c>
      <c r="H6589" t="s" s="2">
        <v>19</v>
      </c>
      <c r="I6589" t="s" s="2">
        <v>25492</v>
      </c>
      <c r="J6589" t="s" s="2">
        <v>25493</v>
      </c>
      <c r="K6589" t="s" s="2">
        <v>22</v>
      </c>
      <c r="L6589" t="s" s="2">
        <v>22</v>
      </c>
      <c r="M6589" t="s" s="2">
        <v>22</v>
      </c>
    </row>
    <row r="6590" ht="25.0" customHeight="true">
      <c r="A6590" t="s" s="2">
        <v>13</v>
      </c>
      <c r="B6590" t="s" s="2">
        <f>HYPERLINK("http://ts.21cn.com/tousu/show/id/1366174","兴业银行信用卡收取逾期费用高")</f>
      </c>
      <c r="C6590" t="s" s="2">
        <v>15</v>
      </c>
      <c r="D6590" t="s" s="2">
        <v>16</v>
      </c>
      <c r="E6590" t="s" s="2">
        <v>17</v>
      </c>
      <c r="F6590" t="s" s="2">
        <f>HYPERLINK("http://ts.21cn.com/tousu/show/id/1366174","http://ts.21cn.com/tousu/show/id/1366174")</f>
      </c>
      <c r="G6590" t="s" s="2">
        <v>17</v>
      </c>
      <c r="H6590" t="s" s="2">
        <v>19</v>
      </c>
      <c r="I6590" t="s" s="2">
        <v>25496</v>
      </c>
      <c r="J6590" t="s" s="2">
        <v>25497</v>
      </c>
      <c r="K6590" t="s" s="2">
        <v>22</v>
      </c>
      <c r="L6590" t="s" s="2">
        <v>22</v>
      </c>
      <c r="M6590" t="s" s="2">
        <v>22</v>
      </c>
    </row>
    <row r="6591" ht="25.0" customHeight="true">
      <c r="A6591" t="s" s="2">
        <v>13</v>
      </c>
      <c r="B6591" t="s" s="2">
        <f>HYPERLINK("http://ts.21cn.com/tousu/show/id/1366173","浦发银行信用卡周周有惊喜活动需要抢兑，发短信误导客户直接领取，导致客户没有领到相关权益")</f>
      </c>
      <c r="C6591" t="s" s="2">
        <v>15</v>
      </c>
      <c r="D6591" t="s" s="2">
        <v>16</v>
      </c>
      <c r="E6591" t="s" s="2">
        <v>17</v>
      </c>
      <c r="F6591" t="s" s="2">
        <f>HYPERLINK("http://ts.21cn.com/tousu/show/id/1366173","http://ts.21cn.com/tousu/show/id/1366173")</f>
      </c>
      <c r="G6591" t="s" s="2">
        <v>17</v>
      </c>
      <c r="H6591" t="s" s="2">
        <v>19</v>
      </c>
      <c r="I6591" t="s" s="2">
        <v>25500</v>
      </c>
      <c r="J6591" t="s" s="2">
        <v>25501</v>
      </c>
      <c r="K6591" t="s" s="2">
        <v>22</v>
      </c>
      <c r="L6591" t="s" s="2">
        <v>22</v>
      </c>
      <c r="M6591" t="s" s="2">
        <v>22</v>
      </c>
    </row>
    <row r="6592" ht="25.0" customHeight="true">
      <c r="A6592" t="s" s="2">
        <v>13</v>
      </c>
      <c r="B6592" t="s" s="2">
        <f>HYPERLINK("http://ts.21cn.com/tousu/show/id/1366172","爆通讯严重影响我得生活")</f>
      </c>
      <c r="C6592" t="s" s="2">
        <v>15</v>
      </c>
      <c r="D6592" t="s" s="2">
        <v>16</v>
      </c>
      <c r="E6592" t="s" s="2">
        <v>17</v>
      </c>
      <c r="F6592" t="s" s="2">
        <f>HYPERLINK("http://ts.21cn.com/tousu/show/id/1366172","http://ts.21cn.com/tousu/show/id/1366172")</f>
      </c>
      <c r="G6592" t="s" s="2">
        <v>17</v>
      </c>
      <c r="H6592" t="s" s="2">
        <v>19</v>
      </c>
      <c r="I6592" t="s" s="2">
        <v>25504</v>
      </c>
      <c r="J6592" t="s" s="2">
        <v>25505</v>
      </c>
      <c r="K6592" t="s" s="2">
        <v>22</v>
      </c>
      <c r="L6592" t="s" s="2">
        <v>22</v>
      </c>
      <c r="M6592" t="s" s="2">
        <v>22</v>
      </c>
    </row>
    <row r="6593" ht="25.0" customHeight="true">
      <c r="A6593" t="s" s="2">
        <v>13</v>
      </c>
      <c r="B6593" t="s" s="2">
        <f>HYPERLINK("http://ts.21cn.com/tousu/show/id/1366170","平安银行暴力催收，上门恐吓威协家人，伪造公函。")</f>
      </c>
      <c r="C6593" t="s" s="2">
        <v>15</v>
      </c>
      <c r="D6593" t="s" s="2">
        <v>16</v>
      </c>
      <c r="E6593" t="s" s="2">
        <v>17</v>
      </c>
      <c r="F6593" t="s" s="2">
        <f>HYPERLINK("http://ts.21cn.com/tousu/show/id/1366170","http://ts.21cn.com/tousu/show/id/1366170")</f>
      </c>
      <c r="G6593" t="s" s="2">
        <v>17</v>
      </c>
      <c r="H6593" t="s" s="2">
        <v>19</v>
      </c>
      <c r="I6593" t="s" s="2">
        <v>25508</v>
      </c>
      <c r="J6593" t="s" s="2">
        <v>25509</v>
      </c>
      <c r="K6593" t="s" s="2">
        <v>22</v>
      </c>
      <c r="L6593" t="s" s="2">
        <v>22</v>
      </c>
      <c r="M6593" t="s" s="2">
        <v>22</v>
      </c>
    </row>
    <row r="6594" ht="25.0" customHeight="true">
      <c r="A6594" t="s" s="2">
        <v>13</v>
      </c>
      <c r="B6594" t="s" s="2">
        <f>HYPERLINK("http://ts.21cn.com/tousu/show/id/1366168","骚扰电话不断")</f>
      </c>
      <c r="C6594" t="s" s="2">
        <v>15</v>
      </c>
      <c r="D6594" t="s" s="2">
        <v>16</v>
      </c>
      <c r="E6594" t="s" s="2">
        <v>17</v>
      </c>
      <c r="F6594" t="s" s="2">
        <f>HYPERLINK("http://ts.21cn.com/tousu/show/id/1366168","http://ts.21cn.com/tousu/show/id/1366168")</f>
      </c>
      <c r="G6594" t="s" s="2">
        <v>17</v>
      </c>
      <c r="H6594" t="s" s="2">
        <v>19</v>
      </c>
      <c r="I6594" t="s" s="2">
        <v>25512</v>
      </c>
      <c r="J6594" t="s" s="2">
        <v>25513</v>
      </c>
      <c r="K6594" t="s" s="2">
        <v>22</v>
      </c>
      <c r="L6594" t="s" s="2">
        <v>22</v>
      </c>
      <c r="M6594" t="s" s="2">
        <v>22</v>
      </c>
    </row>
    <row r="6595" ht="25.0" customHeight="true">
      <c r="A6595" t="s" s="2">
        <v>13</v>
      </c>
      <c r="B6595" t="s" s="2">
        <f>HYPERLINK("http://ts.21cn.com/tousu/show/id/1366167","百事普惠下载软件，只要银行卡有钱就扣款")</f>
      </c>
      <c r="C6595" t="s" s="2">
        <v>52</v>
      </c>
      <c r="D6595" t="s" s="2">
        <v>16</v>
      </c>
      <c r="E6595" t="s" s="2">
        <v>17</v>
      </c>
      <c r="F6595" t="s" s="2">
        <f>HYPERLINK("http://ts.21cn.com/tousu/show/id/1366167","http://ts.21cn.com/tousu/show/id/1366167")</f>
      </c>
      <c r="G6595" t="s" s="2">
        <v>17</v>
      </c>
      <c r="H6595" t="s" s="2">
        <v>19</v>
      </c>
      <c r="I6595" t="s" s="2">
        <v>25516</v>
      </c>
      <c r="J6595" t="s" s="2">
        <v>25517</v>
      </c>
      <c r="K6595" t="s" s="2">
        <v>22</v>
      </c>
      <c r="L6595" t="s" s="2">
        <v>22</v>
      </c>
      <c r="M6595" t="s" s="2">
        <v>22</v>
      </c>
    </row>
    <row r="6596" ht="25.0" customHeight="true">
      <c r="A6596" t="s" s="2">
        <v>13</v>
      </c>
      <c r="B6596" t="s" s="2">
        <f>HYPERLINK("http://ts.21cn.com/tousu/show/id/1366166","逾期八天协商16号还款被爆通讯录")</f>
      </c>
      <c r="C6596" t="s" s="2">
        <v>15</v>
      </c>
      <c r="D6596" t="s" s="2">
        <v>16</v>
      </c>
      <c r="E6596" t="s" s="2">
        <v>17</v>
      </c>
      <c r="F6596" t="s" s="2">
        <f>HYPERLINK("http://ts.21cn.com/tousu/show/id/1366166","http://ts.21cn.com/tousu/show/id/1366166")</f>
      </c>
      <c r="G6596" t="s" s="2">
        <v>17</v>
      </c>
      <c r="H6596" t="s" s="2">
        <v>19</v>
      </c>
      <c r="I6596" t="s" s="2">
        <v>25520</v>
      </c>
      <c r="J6596" t="s" s="2">
        <v>25521</v>
      </c>
      <c r="K6596" t="s" s="2">
        <v>22</v>
      </c>
      <c r="L6596" t="s" s="2">
        <v>22</v>
      </c>
      <c r="M6596" t="s" s="2">
        <v>22</v>
      </c>
    </row>
    <row r="6597" ht="25.0" customHeight="true">
      <c r="A6597" t="s" s="2">
        <v>13</v>
      </c>
      <c r="B6597" t="s" s="2">
        <f>HYPERLINK("http://ts.21cn.com/tousu/show/id/1366165","暴力催收威胁人身安全")</f>
      </c>
      <c r="C6597" t="s" s="2">
        <v>15</v>
      </c>
      <c r="D6597" t="s" s="2">
        <v>16</v>
      </c>
      <c r="E6597" t="s" s="2">
        <v>17</v>
      </c>
      <c r="F6597" t="s" s="2">
        <f>HYPERLINK("http://ts.21cn.com/tousu/show/id/1366165","http://ts.21cn.com/tousu/show/id/1366165")</f>
      </c>
      <c r="G6597" t="s" s="2">
        <v>17</v>
      </c>
      <c r="H6597" t="s" s="2">
        <v>19</v>
      </c>
      <c r="I6597" t="s" s="2">
        <v>25520</v>
      </c>
      <c r="J6597" t="s" s="2">
        <v>25524</v>
      </c>
      <c r="K6597" t="s" s="2">
        <v>22</v>
      </c>
      <c r="L6597" t="s" s="2">
        <v>22</v>
      </c>
      <c r="M6597" t="s" s="2">
        <v>22</v>
      </c>
    </row>
    <row r="6598" ht="25.0" customHeight="true">
      <c r="A6598" t="s" s="2">
        <v>13</v>
      </c>
      <c r="B6598" t="s" s="2">
        <f>HYPERLINK("http://ts.21cn.com/tousu/show/id/1366164","到了还款日链接和App上不去也联系不到客服")</f>
      </c>
      <c r="C6598" t="s" s="2">
        <v>15</v>
      </c>
      <c r="D6598" t="s" s="2">
        <v>16</v>
      </c>
      <c r="E6598" t="s" s="2">
        <v>17</v>
      </c>
      <c r="F6598" t="s" s="2">
        <f>HYPERLINK("http://ts.21cn.com/tousu/show/id/1366164","http://ts.21cn.com/tousu/show/id/1366164")</f>
      </c>
      <c r="G6598" t="s" s="2">
        <v>17</v>
      </c>
      <c r="H6598" t="s" s="2">
        <v>19</v>
      </c>
      <c r="I6598" t="s" s="2">
        <v>25527</v>
      </c>
      <c r="J6598" t="s" s="2">
        <v>25528</v>
      </c>
      <c r="K6598" t="s" s="2">
        <v>22</v>
      </c>
      <c r="L6598" t="s" s="2">
        <v>22</v>
      </c>
      <c r="M6598" t="s" s="2">
        <v>22</v>
      </c>
    </row>
    <row r="6599" ht="25.0" customHeight="true">
      <c r="A6599" t="s" s="2">
        <v>13</v>
      </c>
      <c r="B6599" t="s" s="2">
        <f>HYPERLINK("http://ts.21cn.com/tousu/show/id/1366163","钱包易贷催收员骚扰无关人员散布色情信息")</f>
      </c>
      <c r="C6599" t="s" s="2">
        <v>15</v>
      </c>
      <c r="D6599" t="s" s="2">
        <v>16</v>
      </c>
      <c r="E6599" t="s" s="2">
        <v>17</v>
      </c>
      <c r="F6599" t="s" s="2">
        <f>HYPERLINK("http://ts.21cn.com/tousu/show/id/1366163","http://ts.21cn.com/tousu/show/id/1366163")</f>
      </c>
      <c r="G6599" t="s" s="2">
        <v>17</v>
      </c>
      <c r="H6599" t="s" s="2">
        <v>19</v>
      </c>
      <c r="I6599" t="s" s="2">
        <v>25531</v>
      </c>
      <c r="J6599" t="s" s="2">
        <v>25532</v>
      </c>
      <c r="K6599" t="s" s="2">
        <v>22</v>
      </c>
      <c r="L6599" t="s" s="2">
        <v>22</v>
      </c>
      <c r="M6599" t="s" s="2">
        <v>22</v>
      </c>
    </row>
    <row r="6600" ht="25.0" customHeight="true">
      <c r="A6600" t="s" s="2">
        <v>13</v>
      </c>
      <c r="B6600" t="s" s="2">
        <f>HYPERLINK("http://ts.21cn.com/tousu/show/id/1366162","钱站阴阳霸王合同")</f>
      </c>
      <c r="C6600" t="s" s="2">
        <v>15</v>
      </c>
      <c r="D6600" t="s" s="2">
        <v>16</v>
      </c>
      <c r="E6600" t="s" s="2">
        <v>17</v>
      </c>
      <c r="F6600" t="s" s="2">
        <f>HYPERLINK("http://ts.21cn.com/tousu/show/id/1366162","http://ts.21cn.com/tousu/show/id/1366162")</f>
      </c>
      <c r="G6600" t="s" s="2">
        <v>17</v>
      </c>
      <c r="H6600" t="s" s="2">
        <v>19</v>
      </c>
      <c r="I6600" t="s" s="2">
        <v>25535</v>
      </c>
      <c r="J6600" t="s" s="2">
        <v>25536</v>
      </c>
      <c r="K6600" t="s" s="2">
        <v>22</v>
      </c>
      <c r="L6600" t="s" s="2">
        <v>22</v>
      </c>
      <c r="M6600" t="s" s="2">
        <v>22</v>
      </c>
    </row>
    <row r="6601" ht="25.0" customHeight="true">
      <c r="A6601" t="s" s="2">
        <v>13</v>
      </c>
      <c r="B6601" t="s" s="2">
        <f>HYPERLINK("http://ts.21cn.com/tousu/show/id/1366161","你我贷真恶心")</f>
      </c>
      <c r="C6601" t="s" s="2">
        <v>15</v>
      </c>
      <c r="D6601" t="s" s="2">
        <v>16</v>
      </c>
      <c r="E6601" t="s" s="2">
        <v>17</v>
      </c>
      <c r="F6601" t="s" s="2">
        <f>HYPERLINK("http://ts.21cn.com/tousu/show/id/1366161","http://ts.21cn.com/tousu/show/id/1366161")</f>
      </c>
      <c r="G6601" t="s" s="2">
        <v>17</v>
      </c>
      <c r="H6601" t="s" s="2">
        <v>19</v>
      </c>
      <c r="I6601" t="s" s="2">
        <v>25539</v>
      </c>
      <c r="J6601" t="s" s="2">
        <v>25540</v>
      </c>
      <c r="K6601" t="s" s="2">
        <v>22</v>
      </c>
      <c r="L6601" t="s" s="2">
        <v>22</v>
      </c>
      <c r="M6601" t="s" s="2">
        <v>22</v>
      </c>
    </row>
    <row r="6602" ht="25.0" customHeight="true">
      <c r="A6602" t="s" s="2">
        <v>13</v>
      </c>
      <c r="B6602" t="s" s="2">
        <f>HYPERLINK("http://ts.21cn.com/tousu/show/id/1366160","恶意催收，爆通讯录")</f>
      </c>
      <c r="C6602" t="s" s="2">
        <v>15</v>
      </c>
      <c r="D6602" t="s" s="2">
        <v>16</v>
      </c>
      <c r="E6602" t="s" s="2">
        <v>17</v>
      </c>
      <c r="F6602" t="s" s="2">
        <f>HYPERLINK("http://ts.21cn.com/tousu/show/id/1366160","http://ts.21cn.com/tousu/show/id/1366160")</f>
      </c>
      <c r="G6602" t="s" s="2">
        <v>17</v>
      </c>
      <c r="H6602" t="s" s="2">
        <v>19</v>
      </c>
      <c r="I6602" t="s" s="2">
        <v>25543</v>
      </c>
      <c r="J6602" t="s" s="2">
        <v>25544</v>
      </c>
      <c r="K6602" t="s" s="2">
        <v>22</v>
      </c>
      <c r="L6602" t="s" s="2">
        <v>22</v>
      </c>
      <c r="M6602" t="s" s="2">
        <v>22</v>
      </c>
    </row>
    <row r="6603" ht="25.0" customHeight="true">
      <c r="A6603" t="s" s="2">
        <v>13</v>
      </c>
      <c r="B6603" t="s" s="2">
        <f>HYPERLINK("http://ts.21cn.com/tousu/show/id/1366159","贷上钱高利贷")</f>
      </c>
      <c r="C6603" t="s" s="2">
        <v>15</v>
      </c>
      <c r="D6603" t="s" s="2">
        <v>16</v>
      </c>
      <c r="E6603" t="s" s="2">
        <v>17</v>
      </c>
      <c r="F6603" t="s" s="2">
        <f>HYPERLINK("http://ts.21cn.com/tousu/show/id/1366159","http://ts.21cn.com/tousu/show/id/1366159")</f>
      </c>
      <c r="G6603" t="s" s="2">
        <v>17</v>
      </c>
      <c r="H6603" t="s" s="2">
        <v>19</v>
      </c>
      <c r="I6603" t="s" s="2">
        <v>25546</v>
      </c>
      <c r="J6603" t="s" s="2">
        <v>25547</v>
      </c>
      <c r="K6603" t="s" s="2">
        <v>22</v>
      </c>
      <c r="L6603" t="s" s="2">
        <v>22</v>
      </c>
      <c r="M6603" t="s" s="2">
        <v>22</v>
      </c>
    </row>
    <row r="6604" ht="25.0" customHeight="true">
      <c r="A6604" t="s" s="2">
        <v>13</v>
      </c>
      <c r="B6604" t="s" s="2">
        <f>HYPERLINK("http://ts.21cn.com/tousu/show/id/1366156","恶意消费，让顾客转钱进银行卡里，偷偷摸摸的转到定期还不跟用户说")</f>
      </c>
      <c r="C6604" t="s" s="2">
        <v>15</v>
      </c>
      <c r="D6604" t="s" s="2">
        <v>16</v>
      </c>
      <c r="E6604" t="s" s="2">
        <v>17</v>
      </c>
      <c r="F6604" t="s" s="2">
        <f>HYPERLINK("http://ts.21cn.com/tousu/show/id/1366156","http://ts.21cn.com/tousu/show/id/1366156")</f>
      </c>
      <c r="G6604" t="s" s="2">
        <v>17</v>
      </c>
      <c r="H6604" t="s" s="2">
        <v>19</v>
      </c>
      <c r="I6604" t="s" s="2">
        <v>25550</v>
      </c>
      <c r="J6604" t="s" s="2">
        <v>25551</v>
      </c>
      <c r="K6604" t="s" s="2">
        <v>22</v>
      </c>
      <c r="L6604" t="s" s="2">
        <v>22</v>
      </c>
      <c r="M6604" t="s" s="2">
        <v>22</v>
      </c>
    </row>
    <row r="6605" ht="25.0" customHeight="true">
      <c r="A6605" t="s" s="2">
        <v>13</v>
      </c>
      <c r="B6605" t="s" s="2">
        <f>HYPERLINK("http://ts.21cn.com/tousu/show/id/1366157","网贷方再正常交涉中给通讯录打电话")</f>
      </c>
      <c r="C6605" t="s" s="2">
        <v>15</v>
      </c>
      <c r="D6605" t="s" s="2">
        <v>16</v>
      </c>
      <c r="E6605" t="s" s="2">
        <v>17</v>
      </c>
      <c r="F6605" t="s" s="2">
        <f>HYPERLINK("http://ts.21cn.com/tousu/show/id/1366157","http://ts.21cn.com/tousu/show/id/1366157")</f>
      </c>
      <c r="G6605" t="s" s="2">
        <v>17</v>
      </c>
      <c r="H6605" t="s" s="2">
        <v>19</v>
      </c>
      <c r="I6605" t="s" s="2">
        <v>25554</v>
      </c>
      <c r="J6605" t="s" s="2">
        <v>25555</v>
      </c>
      <c r="K6605" t="s" s="2">
        <v>22</v>
      </c>
      <c r="L6605" t="s" s="2">
        <v>22</v>
      </c>
      <c r="M6605" t="s" s="2">
        <v>22</v>
      </c>
    </row>
    <row r="6606" ht="25.0" customHeight="true">
      <c r="A6606" t="s" s="2">
        <v>13</v>
      </c>
      <c r="B6606" t="s" s="2">
        <f>HYPERLINK("http://ts.21cn.com/tousu/show/id/1366155","剑御飞行")</f>
      </c>
      <c r="C6606" t="s" s="2">
        <v>15</v>
      </c>
      <c r="D6606" t="s" s="2">
        <v>16</v>
      </c>
      <c r="E6606" t="s" s="2">
        <v>17</v>
      </c>
      <c r="F6606" t="s" s="2">
        <f>HYPERLINK("http://ts.21cn.com/tousu/show/id/1366155","http://ts.21cn.com/tousu/show/id/1366155")</f>
      </c>
      <c r="G6606" t="s" s="2">
        <v>17</v>
      </c>
      <c r="H6606" t="s" s="2">
        <v>19</v>
      </c>
      <c r="I6606" t="s" s="2">
        <v>25558</v>
      </c>
      <c r="J6606" t="s" s="2">
        <v>25559</v>
      </c>
      <c r="K6606" t="s" s="2">
        <v>22</v>
      </c>
      <c r="L6606" t="s" s="2">
        <v>22</v>
      </c>
      <c r="M6606" t="s" s="2">
        <v>22</v>
      </c>
    </row>
    <row r="6607" ht="25.0" customHeight="true">
      <c r="A6607" t="s" s="2">
        <v>13</v>
      </c>
      <c r="B6607" t="s" s="2">
        <f>HYPERLINK("http://ts.21cn.com/tousu/show/id/1366154","维信卡卡贷不合理保险费")</f>
      </c>
      <c r="C6607" t="s" s="2">
        <v>15</v>
      </c>
      <c r="D6607" t="s" s="2">
        <v>16</v>
      </c>
      <c r="E6607" t="s" s="2">
        <v>17</v>
      </c>
      <c r="F6607" t="s" s="2">
        <f>HYPERLINK("http://ts.21cn.com/tousu/show/id/1366154","http://ts.21cn.com/tousu/show/id/1366154")</f>
      </c>
      <c r="G6607" t="s" s="2">
        <v>17</v>
      </c>
      <c r="H6607" t="s" s="2">
        <v>19</v>
      </c>
      <c r="I6607" t="s" s="2">
        <v>25562</v>
      </c>
      <c r="J6607" t="s" s="2">
        <v>25563</v>
      </c>
      <c r="K6607" t="s" s="2">
        <v>22</v>
      </c>
      <c r="L6607" t="s" s="2">
        <v>22</v>
      </c>
      <c r="M6607" t="s" s="2">
        <v>22</v>
      </c>
    </row>
    <row r="6608" ht="25.0" customHeight="true">
      <c r="A6608" t="s" s="2">
        <v>13</v>
      </c>
      <c r="B6608" t="s" s="2">
        <f>HYPERLINK("http://ts.21cn.com/tousu/show/id/1366152","来用借款APP砍头息")</f>
      </c>
      <c r="C6608" t="s" s="2">
        <v>15</v>
      </c>
      <c r="D6608" t="s" s="2">
        <v>16</v>
      </c>
      <c r="E6608" t="s" s="2">
        <v>17</v>
      </c>
      <c r="F6608" t="s" s="2">
        <f>HYPERLINK("http://ts.21cn.com/tousu/show/id/1366152","http://ts.21cn.com/tousu/show/id/1366152")</f>
      </c>
      <c r="G6608" t="s" s="2">
        <v>17</v>
      </c>
      <c r="H6608" t="s" s="2">
        <v>19</v>
      </c>
      <c r="I6608" t="s" s="2">
        <v>25566</v>
      </c>
      <c r="J6608" t="s" s="2">
        <v>25567</v>
      </c>
      <c r="K6608" t="s" s="2">
        <v>22</v>
      </c>
      <c r="L6608" t="s" s="2">
        <v>22</v>
      </c>
      <c r="M6608" t="s" s="2">
        <v>22</v>
      </c>
    </row>
    <row r="6609" ht="25.0" customHeight="true">
      <c r="A6609" t="s" s="2">
        <v>13</v>
      </c>
      <c r="B6609" t="s" s="2">
        <f>HYPERLINK("http://ts.21cn.com/tousu/show/id/1366151","天津银行客服无人接听电话")</f>
      </c>
      <c r="C6609" t="s" s="2">
        <v>15</v>
      </c>
      <c r="D6609" t="s" s="2">
        <v>16</v>
      </c>
      <c r="E6609" t="s" s="2">
        <v>17</v>
      </c>
      <c r="F6609" t="s" s="2">
        <f>HYPERLINK("http://ts.21cn.com/tousu/show/id/1366151","http://ts.21cn.com/tousu/show/id/1366151")</f>
      </c>
      <c r="G6609" t="s" s="2">
        <v>17</v>
      </c>
      <c r="H6609" t="s" s="2">
        <v>19</v>
      </c>
      <c r="I6609" t="s" s="2">
        <v>25570</v>
      </c>
      <c r="J6609" t="s" s="2">
        <v>25571</v>
      </c>
      <c r="K6609" t="s" s="2">
        <v>22</v>
      </c>
      <c r="L6609" t="s" s="2">
        <v>22</v>
      </c>
      <c r="M6609" t="s" s="2">
        <v>22</v>
      </c>
    </row>
    <row r="6610" ht="25.0" customHeight="true">
      <c r="A6610" t="s" s="2">
        <v>13</v>
      </c>
      <c r="B6610" t="s" s="2">
        <f>HYPERLINK("http://ts.21cn.com/tousu/show/id/1366150","客服态度不好利息高")</f>
      </c>
      <c r="C6610" t="s" s="2">
        <v>15</v>
      </c>
      <c r="D6610" t="s" s="2">
        <v>16</v>
      </c>
      <c r="E6610" t="s" s="2">
        <v>17</v>
      </c>
      <c r="F6610" t="s" s="2">
        <f>HYPERLINK("http://ts.21cn.com/tousu/show/id/1366150","http://ts.21cn.com/tousu/show/id/1366150")</f>
      </c>
      <c r="G6610" t="s" s="2">
        <v>17</v>
      </c>
      <c r="H6610" t="s" s="2">
        <v>19</v>
      </c>
      <c r="I6610" t="s" s="2">
        <v>25574</v>
      </c>
      <c r="J6610" t="s" s="2">
        <v>25575</v>
      </c>
      <c r="K6610" t="s" s="2">
        <v>22</v>
      </c>
      <c r="L6610" t="s" s="2">
        <v>22</v>
      </c>
      <c r="M6610" t="s" s="2">
        <v>22</v>
      </c>
    </row>
    <row r="6611" ht="25.0" customHeight="true">
      <c r="A6611" t="s" s="2">
        <v>13</v>
      </c>
      <c r="B6611" t="s" s="2">
        <f>HYPERLINK("http://ts.21cn.com/tousu/show/id/1366149","证大小贷公司恶意催收")</f>
      </c>
      <c r="C6611" t="s" s="2">
        <v>15</v>
      </c>
      <c r="D6611" t="s" s="2">
        <v>16</v>
      </c>
      <c r="E6611" t="s" s="2">
        <v>17</v>
      </c>
      <c r="F6611" t="s" s="2">
        <f>HYPERLINK("http://ts.21cn.com/tousu/show/id/1366149","http://ts.21cn.com/tousu/show/id/1366149")</f>
      </c>
      <c r="G6611" t="s" s="2">
        <v>17</v>
      </c>
      <c r="H6611" t="s" s="2">
        <v>19</v>
      </c>
      <c r="I6611" t="s" s="2">
        <v>25578</v>
      </c>
      <c r="J6611" t="s" s="2">
        <v>25579</v>
      </c>
      <c r="K6611" t="s" s="2">
        <v>22</v>
      </c>
      <c r="L6611" t="s" s="2">
        <v>22</v>
      </c>
      <c r="M6611" t="s" s="2">
        <v>22</v>
      </c>
    </row>
    <row r="6612" ht="25.0" customHeight="true">
      <c r="A6612" t="s" s="2">
        <v>13</v>
      </c>
      <c r="B6612" t="s" s="2">
        <f>HYPERLINK("http://ts.21cn.com/tousu/show/id/1366148","你我贷爆我通讯录，还短信验证码轰炸我手机")</f>
      </c>
      <c r="C6612" t="s" s="2">
        <v>15</v>
      </c>
      <c r="D6612" t="s" s="2">
        <v>16</v>
      </c>
      <c r="E6612" t="s" s="2">
        <v>17</v>
      </c>
      <c r="F6612" t="s" s="2">
        <f>HYPERLINK("http://ts.21cn.com/tousu/show/id/1366148","http://ts.21cn.com/tousu/show/id/1366148")</f>
      </c>
      <c r="G6612" t="s" s="2">
        <v>17</v>
      </c>
      <c r="H6612" t="s" s="2">
        <v>19</v>
      </c>
      <c r="I6612" t="s" s="2">
        <v>25582</v>
      </c>
      <c r="J6612" t="s" s="2">
        <v>25583</v>
      </c>
      <c r="K6612" t="s" s="2">
        <v>22</v>
      </c>
      <c r="L6612" t="s" s="2">
        <v>22</v>
      </c>
      <c r="M6612" t="s" s="2">
        <v>22</v>
      </c>
    </row>
    <row r="6613" ht="25.0" customHeight="true">
      <c r="A6613" t="s" s="2">
        <v>13</v>
      </c>
      <c r="B6613" t="s" s="2">
        <f>HYPERLINK("http://ts.21cn.com/tousu/show/id/1366146","平安普惠爆通迅录")</f>
      </c>
      <c r="C6613" t="s" s="2">
        <v>15</v>
      </c>
      <c r="D6613" t="s" s="2">
        <v>16</v>
      </c>
      <c r="E6613" t="s" s="2">
        <v>17</v>
      </c>
      <c r="F6613" t="s" s="2">
        <f>HYPERLINK("http://ts.21cn.com/tousu/show/id/1366146","http://ts.21cn.com/tousu/show/id/1366146")</f>
      </c>
      <c r="G6613" t="s" s="2">
        <v>17</v>
      </c>
      <c r="H6613" t="s" s="2">
        <v>19</v>
      </c>
      <c r="I6613" t="s" s="2">
        <v>25586</v>
      </c>
      <c r="J6613" t="s" s="2">
        <v>25587</v>
      </c>
      <c r="K6613" t="s" s="2">
        <v>22</v>
      </c>
      <c r="L6613" t="s" s="2">
        <v>22</v>
      </c>
      <c r="M6613" t="s" s="2">
        <v>22</v>
      </c>
    </row>
    <row r="6614" ht="25.0" customHeight="true">
      <c r="A6614" t="s" s="2">
        <v>13</v>
      </c>
      <c r="B6614" t="s" s="2">
        <f>HYPERLINK("http://ts.21cn.com/tousu/show/id/1366144","虚假承诺就业，维护权益")</f>
      </c>
      <c r="C6614" t="s" s="2">
        <v>15</v>
      </c>
      <c r="D6614" t="s" s="2">
        <v>16</v>
      </c>
      <c r="E6614" t="s" s="2">
        <v>17</v>
      </c>
      <c r="F6614" t="s" s="2">
        <f>HYPERLINK("http://ts.21cn.com/tousu/show/id/1366144","http://ts.21cn.com/tousu/show/id/1366144")</f>
      </c>
      <c r="G6614" t="s" s="2">
        <v>17</v>
      </c>
      <c r="H6614" t="s" s="2">
        <v>19</v>
      </c>
      <c r="I6614" t="s" s="2">
        <v>25590</v>
      </c>
      <c r="J6614" t="s" s="2">
        <v>25591</v>
      </c>
      <c r="K6614" t="s" s="2">
        <v>22</v>
      </c>
      <c r="L6614" t="s" s="2">
        <v>22</v>
      </c>
      <c r="M6614" t="s" s="2">
        <v>22</v>
      </c>
    </row>
    <row r="6615" ht="25.0" customHeight="true">
      <c r="A6615" t="s" s="2">
        <v>13</v>
      </c>
      <c r="B6615" t="s" s="2">
        <f>HYPERLINK("http://ts.21cn.com/tousu/show/id/1366143","360贷款平台")</f>
      </c>
      <c r="C6615" t="s" s="2">
        <v>15</v>
      </c>
      <c r="D6615" t="s" s="2">
        <v>16</v>
      </c>
      <c r="E6615" t="s" s="2">
        <v>17</v>
      </c>
      <c r="F6615" t="s" s="2">
        <f>HYPERLINK("http://ts.21cn.com/tousu/show/id/1366143","http://ts.21cn.com/tousu/show/id/1366143")</f>
      </c>
      <c r="G6615" t="s" s="2">
        <v>17</v>
      </c>
      <c r="H6615" t="s" s="2">
        <v>19</v>
      </c>
      <c r="I6615" t="s" s="2">
        <v>25594</v>
      </c>
      <c r="J6615" t="s" s="2">
        <v>25595</v>
      </c>
      <c r="K6615" t="s" s="2">
        <v>22</v>
      </c>
      <c r="L6615" t="s" s="2">
        <v>22</v>
      </c>
      <c r="M6615" t="s" s="2">
        <v>22</v>
      </c>
    </row>
    <row r="6616" ht="25.0" customHeight="true">
      <c r="A6616" t="s" s="2">
        <v>13</v>
      </c>
      <c r="B6616" t="s" s="2">
        <f>HYPERLINK("http://ts.21cn.com/tousu/show/id/1366142","滴滴公司不履行承诺")</f>
      </c>
      <c r="C6616" t="s" s="2">
        <v>15</v>
      </c>
      <c r="D6616" t="s" s="2">
        <v>16</v>
      </c>
      <c r="E6616" t="s" s="2">
        <v>17</v>
      </c>
      <c r="F6616" t="s" s="2">
        <f>HYPERLINK("http://ts.21cn.com/tousu/show/id/1366142","http://ts.21cn.com/tousu/show/id/1366142")</f>
      </c>
      <c r="G6616" t="s" s="2">
        <v>17</v>
      </c>
      <c r="H6616" t="s" s="2">
        <v>19</v>
      </c>
      <c r="I6616" t="s" s="2">
        <v>25598</v>
      </c>
      <c r="J6616" t="s" s="2">
        <v>25599</v>
      </c>
      <c r="K6616" t="s" s="2">
        <v>22</v>
      </c>
      <c r="L6616" t="s" s="2">
        <v>22</v>
      </c>
      <c r="M6616" t="s" s="2">
        <v>22</v>
      </c>
    </row>
    <row r="6617" ht="25.0" customHeight="true">
      <c r="A6617" t="s" s="2">
        <v>13</v>
      </c>
      <c r="B6617" t="s" s="2">
        <f>HYPERLINK("http://ts.21cn.com/tousu/show/id/1366140","有一个上海的电话天天打电话骚扰")</f>
      </c>
      <c r="C6617" t="s" s="2">
        <v>15</v>
      </c>
      <c r="D6617" t="s" s="2">
        <v>16</v>
      </c>
      <c r="E6617" t="s" s="2">
        <v>17</v>
      </c>
      <c r="F6617" t="s" s="2">
        <f>HYPERLINK("http://ts.21cn.com/tousu/show/id/1366140","http://ts.21cn.com/tousu/show/id/1366140")</f>
      </c>
      <c r="G6617" t="s" s="2">
        <v>17</v>
      </c>
      <c r="H6617" t="s" s="2">
        <v>19</v>
      </c>
      <c r="I6617" t="s" s="2">
        <v>25602</v>
      </c>
      <c r="J6617" t="s" s="2">
        <v>25603</v>
      </c>
      <c r="K6617" t="s" s="2">
        <v>22</v>
      </c>
      <c r="L6617" t="s" s="2">
        <v>22</v>
      </c>
      <c r="M6617" t="s" s="2">
        <v>22</v>
      </c>
    </row>
    <row r="6618" ht="25.0" customHeight="true">
      <c r="A6618" t="s" s="2">
        <v>13</v>
      </c>
      <c r="B6618" t="s" s="2">
        <f>HYPERLINK("http://ts.21cn.com/tousu/show/id/1366138","维信卡卡贷收取咨询费担保费不合理，年利率已经超过24%")</f>
      </c>
      <c r="C6618" t="s" s="2">
        <v>15</v>
      </c>
      <c r="D6618" t="s" s="2">
        <v>16</v>
      </c>
      <c r="E6618" t="s" s="2">
        <v>17</v>
      </c>
      <c r="F6618" t="s" s="2">
        <f>HYPERLINK("http://ts.21cn.com/tousu/show/id/1366138","http://ts.21cn.com/tousu/show/id/1366138")</f>
      </c>
      <c r="G6618" t="s" s="2">
        <v>17</v>
      </c>
      <c r="H6618" t="s" s="2">
        <v>19</v>
      </c>
      <c r="I6618" t="s" s="2">
        <v>25606</v>
      </c>
      <c r="J6618" t="s" s="2">
        <v>25607</v>
      </c>
      <c r="K6618" t="s" s="2">
        <v>22</v>
      </c>
      <c r="L6618" t="s" s="2">
        <v>22</v>
      </c>
      <c r="M6618" t="s" s="2">
        <v>22</v>
      </c>
    </row>
    <row r="6619" ht="25.0" customHeight="true">
      <c r="A6619" t="s" s="2">
        <v>13</v>
      </c>
      <c r="B6619" t="s" s="2">
        <f>HYPERLINK("http://ts.21cn.com/tousu/show/id/1366137","卡卡贷高利贷，收取高额保险费，高额逾期费用，暴力催收")</f>
      </c>
      <c r="C6619" t="s" s="2">
        <v>15</v>
      </c>
      <c r="D6619" t="s" s="2">
        <v>16</v>
      </c>
      <c r="E6619" t="s" s="2">
        <v>17</v>
      </c>
      <c r="F6619" t="s" s="2">
        <f>HYPERLINK("http://ts.21cn.com/tousu/show/id/1366137","http://ts.21cn.com/tousu/show/id/1366137")</f>
      </c>
      <c r="G6619" t="s" s="2">
        <v>17</v>
      </c>
      <c r="H6619" t="s" s="2">
        <v>19</v>
      </c>
      <c r="I6619" t="s" s="2">
        <v>25610</v>
      </c>
      <c r="J6619" t="s" s="2">
        <v>25611</v>
      </c>
      <c r="K6619" t="s" s="2">
        <v>22</v>
      </c>
      <c r="L6619" t="s" s="2">
        <v>22</v>
      </c>
      <c r="M6619" t="s" s="2">
        <v>22</v>
      </c>
    </row>
    <row r="6620" ht="25.0" customHeight="true">
      <c r="A6620" t="s" s="2">
        <v>13</v>
      </c>
      <c r="B6620" t="s" s="2">
        <f>HYPERLINK("http://ts.21cn.com/tousu/show/id/1366135","上海造艺网络技术有限公司恶意扣款")</f>
      </c>
      <c r="C6620" t="s" s="2">
        <v>15</v>
      </c>
      <c r="D6620" t="s" s="2">
        <v>16</v>
      </c>
      <c r="E6620" t="s" s="2">
        <v>17</v>
      </c>
      <c r="F6620" t="s" s="2">
        <f>HYPERLINK("http://ts.21cn.com/tousu/show/id/1366135","http://ts.21cn.com/tousu/show/id/1366135")</f>
      </c>
      <c r="G6620" t="s" s="2">
        <v>17</v>
      </c>
      <c r="H6620" t="s" s="2">
        <v>19</v>
      </c>
      <c r="I6620" t="s" s="2">
        <v>25614</v>
      </c>
      <c r="J6620" t="s" s="2">
        <v>25615</v>
      </c>
      <c r="K6620" t="s" s="2">
        <v>22</v>
      </c>
      <c r="L6620" t="s" s="2">
        <v>22</v>
      </c>
      <c r="M6620" t="s" s="2">
        <v>22</v>
      </c>
    </row>
    <row r="6621" ht="25.0" customHeight="true">
      <c r="A6621" t="s" s="2">
        <v>13</v>
      </c>
      <c r="B6621" t="s" s="2">
        <f>HYPERLINK("http://ts.21cn.com/tousu/show/id/1366134","放款与实际借款金额不符")</f>
      </c>
      <c r="C6621" t="s" s="2">
        <v>15</v>
      </c>
      <c r="D6621" t="s" s="2">
        <v>16</v>
      </c>
      <c r="E6621" t="s" s="2">
        <v>17</v>
      </c>
      <c r="F6621" t="s" s="2">
        <f>HYPERLINK("http://ts.21cn.com/tousu/show/id/1366134","http://ts.21cn.com/tousu/show/id/1366134")</f>
      </c>
      <c r="G6621" t="s" s="2">
        <v>17</v>
      </c>
      <c r="H6621" t="s" s="2">
        <v>19</v>
      </c>
      <c r="I6621" t="s" s="2">
        <v>25618</v>
      </c>
      <c r="J6621" t="s" s="2">
        <v>25619</v>
      </c>
      <c r="K6621" t="s" s="2">
        <v>22</v>
      </c>
      <c r="L6621" t="s" s="2">
        <v>22</v>
      </c>
      <c r="M6621" t="s" s="2">
        <v>22</v>
      </c>
    </row>
    <row r="6622" ht="25.0" customHeight="true">
      <c r="A6622" t="s" s="2">
        <v>13</v>
      </c>
      <c r="B6622" t="s" s="2">
        <f>HYPERLINK("http://ts.21cn.com/tousu/show/id/1366132","交通银行软暴力催收")</f>
      </c>
      <c r="C6622" t="s" s="2">
        <v>15</v>
      </c>
      <c r="D6622" t="s" s="2">
        <v>16</v>
      </c>
      <c r="E6622" t="s" s="2">
        <v>17</v>
      </c>
      <c r="F6622" t="s" s="2">
        <f>HYPERLINK("http://ts.21cn.com/tousu/show/id/1366132","http://ts.21cn.com/tousu/show/id/1366132")</f>
      </c>
      <c r="G6622" t="s" s="2">
        <v>17</v>
      </c>
      <c r="H6622" t="s" s="2">
        <v>19</v>
      </c>
      <c r="I6622" t="s" s="2">
        <v>25622</v>
      </c>
      <c r="J6622" t="s" s="2">
        <v>25623</v>
      </c>
      <c r="K6622" t="s" s="2">
        <v>22</v>
      </c>
      <c r="L6622" t="s" s="2">
        <v>22</v>
      </c>
      <c r="M6622" t="s" s="2">
        <v>22</v>
      </c>
    </row>
    <row r="6623" ht="25.0" customHeight="true">
      <c r="A6623" t="s" s="2">
        <v>13</v>
      </c>
      <c r="B6623" t="s" s="2">
        <f>HYPERLINK("http://ts.21cn.com/tousu/show/id/1366133","催收人员电话短信骚扰亲戚朋友，打电话到公司骚扰")</f>
      </c>
      <c r="C6623" t="s" s="2">
        <v>15</v>
      </c>
      <c r="D6623" t="s" s="2">
        <v>16</v>
      </c>
      <c r="E6623" t="s" s="2">
        <v>17</v>
      </c>
      <c r="F6623" t="s" s="2">
        <f>HYPERLINK("http://ts.21cn.com/tousu/show/id/1366133","http://ts.21cn.com/tousu/show/id/1366133")</f>
      </c>
      <c r="G6623" t="s" s="2">
        <v>17</v>
      </c>
      <c r="H6623" t="s" s="2">
        <v>19</v>
      </c>
      <c r="I6623" t="s" s="2">
        <v>25626</v>
      </c>
      <c r="J6623" t="s" s="2">
        <v>25627</v>
      </c>
      <c r="K6623" t="s" s="2">
        <v>22</v>
      </c>
      <c r="L6623" t="s" s="2">
        <v>22</v>
      </c>
      <c r="M6623" t="s" s="2">
        <v>22</v>
      </c>
    </row>
    <row r="6624" ht="25.0" customHeight="true">
      <c r="A6624" t="s" s="2">
        <v>13</v>
      </c>
      <c r="B6624" t="s" s="2">
        <f>HYPERLINK("http://ts.21cn.com/tousu/show/id/1366130","欠款逾期5天轰炸骚扰家人朋友")</f>
      </c>
      <c r="C6624" t="s" s="2">
        <v>15</v>
      </c>
      <c r="D6624" t="s" s="2">
        <v>16</v>
      </c>
      <c r="E6624" t="s" s="2">
        <v>17</v>
      </c>
      <c r="F6624" t="s" s="2">
        <f>HYPERLINK("http://ts.21cn.com/tousu/show/id/1366130","http://ts.21cn.com/tousu/show/id/1366130")</f>
      </c>
      <c r="G6624" t="s" s="2">
        <v>17</v>
      </c>
      <c r="H6624" t="s" s="2">
        <v>19</v>
      </c>
      <c r="I6624" t="s" s="2">
        <v>25630</v>
      </c>
      <c r="J6624" t="s" s="2">
        <v>25631</v>
      </c>
      <c r="K6624" t="s" s="2">
        <v>22</v>
      </c>
      <c r="L6624" t="s" s="2">
        <v>22</v>
      </c>
      <c r="M6624" t="s" s="2">
        <v>22</v>
      </c>
    </row>
    <row r="6625" ht="25.0" customHeight="true">
      <c r="A6625" t="s" s="2">
        <v>13</v>
      </c>
      <c r="B6625" t="s" s="2">
        <f>HYPERLINK("http://ts.21cn.com/tousu/show/id/1366126","经常被捷信公司的电话骚扰")</f>
      </c>
      <c r="C6625" t="s" s="2">
        <v>15</v>
      </c>
      <c r="D6625" t="s" s="2">
        <v>16</v>
      </c>
      <c r="E6625" t="s" s="2">
        <v>17</v>
      </c>
      <c r="F6625" t="s" s="2">
        <f>HYPERLINK("http://ts.21cn.com/tousu/show/id/1366126","http://ts.21cn.com/tousu/show/id/1366126")</f>
      </c>
      <c r="G6625" t="s" s="2">
        <v>17</v>
      </c>
      <c r="H6625" t="s" s="2">
        <v>19</v>
      </c>
      <c r="I6625" t="s" s="2">
        <v>25634</v>
      </c>
      <c r="J6625" t="s" s="2">
        <v>25635</v>
      </c>
      <c r="K6625" t="s" s="2">
        <v>22</v>
      </c>
      <c r="L6625" t="s" s="2">
        <v>22</v>
      </c>
      <c r="M6625" t="s" s="2">
        <v>22</v>
      </c>
    </row>
    <row r="6626" ht="25.0" customHeight="true">
      <c r="A6626" t="s" s="2">
        <v>13</v>
      </c>
      <c r="B6626" t="s" s="2">
        <f>HYPERLINK("http://ts.21cn.com/tousu/show/id/1366056","拍拍贷暴力催收，威胁恐吓")</f>
      </c>
      <c r="C6626" t="s" s="2">
        <v>15</v>
      </c>
      <c r="D6626" t="s" s="2">
        <v>16</v>
      </c>
      <c r="E6626" t="s" s="2">
        <v>17</v>
      </c>
      <c r="F6626" t="s" s="2">
        <f>HYPERLINK("http://ts.21cn.com/tousu/show/id/1366056","http://ts.21cn.com/tousu/show/id/1366056")</f>
      </c>
      <c r="G6626" t="s" s="2">
        <v>17</v>
      </c>
      <c r="H6626" t="s" s="2">
        <v>19</v>
      </c>
      <c r="I6626" t="s" s="2">
        <v>25638</v>
      </c>
      <c r="J6626" t="s" s="2">
        <v>25639</v>
      </c>
      <c r="K6626" t="s" s="2">
        <v>22</v>
      </c>
      <c r="L6626" t="s" s="2">
        <v>22</v>
      </c>
      <c r="M6626" t="s" s="2">
        <v>22</v>
      </c>
    </row>
    <row r="6627" ht="25.0" customHeight="true">
      <c r="A6627" t="s" s="2">
        <v>13</v>
      </c>
      <c r="B6627" t="s" s="2">
        <f>HYPERLINK("http://ts.21cn.com/tousu/show/id/1366125","事实不清，理由不足情况下，冻结我的资金出去，要求还我清白，解冻资金")</f>
      </c>
      <c r="C6627" t="s" s="2">
        <v>15</v>
      </c>
      <c r="D6627" t="s" s="2">
        <v>16</v>
      </c>
      <c r="E6627" t="s" s="2">
        <v>17</v>
      </c>
      <c r="F6627" t="s" s="2">
        <f>HYPERLINK("http://ts.21cn.com/tousu/show/id/1366125","http://ts.21cn.com/tousu/show/id/1366125")</f>
      </c>
      <c r="G6627" t="s" s="2">
        <v>17</v>
      </c>
      <c r="H6627" t="s" s="2">
        <v>19</v>
      </c>
      <c r="I6627" t="s" s="2">
        <v>25642</v>
      </c>
      <c r="J6627" t="s" s="2">
        <v>25643</v>
      </c>
      <c r="K6627" t="s" s="2">
        <v>22</v>
      </c>
      <c r="L6627" t="s" s="2">
        <v>22</v>
      </c>
      <c r="M6627" t="s" s="2">
        <v>22</v>
      </c>
    </row>
    <row r="6628" ht="25.0" customHeight="true">
      <c r="A6628" t="s" s="2">
        <v>13</v>
      </c>
      <c r="B6628" t="s" s="2">
        <f>HYPERLINK("http://ts.21cn.com/tousu/show/id/1366124","你我贷套路贷收取高额服务费")</f>
      </c>
      <c r="C6628" t="s" s="2">
        <v>15</v>
      </c>
      <c r="D6628" t="s" s="2">
        <v>16</v>
      </c>
      <c r="E6628" t="s" s="2">
        <v>17</v>
      </c>
      <c r="F6628" t="s" s="2">
        <f>HYPERLINK("http://ts.21cn.com/tousu/show/id/1366124","http://ts.21cn.com/tousu/show/id/1366124")</f>
      </c>
      <c r="G6628" t="s" s="2">
        <v>17</v>
      </c>
      <c r="H6628" t="s" s="2">
        <v>19</v>
      </c>
      <c r="I6628" t="s" s="2">
        <v>25646</v>
      </c>
      <c r="J6628" t="s" s="2">
        <v>25647</v>
      </c>
      <c r="K6628" t="s" s="2">
        <v>22</v>
      </c>
      <c r="L6628" t="s" s="2">
        <v>22</v>
      </c>
      <c r="M6628" t="s" s="2">
        <v>22</v>
      </c>
    </row>
    <row r="6629" ht="25.0" customHeight="true">
      <c r="A6629" t="s" s="2">
        <v>13</v>
      </c>
      <c r="B6629" t="s" s="2">
        <f>HYPERLINK("http://ts.21cn.com/tousu/show/id/1366123","520情感挽回忽悠人，服务态度差没有任何效果")</f>
      </c>
      <c r="C6629" t="s" s="2">
        <v>15</v>
      </c>
      <c r="D6629" t="s" s="2">
        <v>16</v>
      </c>
      <c r="E6629" t="s" s="2">
        <v>17</v>
      </c>
      <c r="F6629" t="s" s="2">
        <f>HYPERLINK("http://ts.21cn.com/tousu/show/id/1366123","http://ts.21cn.com/tousu/show/id/1366123")</f>
      </c>
      <c r="G6629" t="s" s="2">
        <v>17</v>
      </c>
      <c r="H6629" t="s" s="2">
        <v>19</v>
      </c>
      <c r="I6629" t="s" s="2">
        <v>25650</v>
      </c>
      <c r="J6629" t="s" s="2">
        <v>25651</v>
      </c>
      <c r="K6629" t="s" s="2">
        <v>22</v>
      </c>
      <c r="L6629" t="s" s="2">
        <v>22</v>
      </c>
      <c r="M6629" t="s" s="2">
        <v>22</v>
      </c>
    </row>
    <row r="6630" ht="25.0" customHeight="true">
      <c r="A6630" t="s" s="2">
        <v>13</v>
      </c>
      <c r="B6630" t="s" s="2">
        <f>HYPERLINK("http://ts.21cn.com/tousu/show/id/1366122","农行绿森逾期不发货")</f>
      </c>
      <c r="C6630" t="s" s="2">
        <v>15</v>
      </c>
      <c r="D6630" t="s" s="2">
        <v>16</v>
      </c>
      <c r="E6630" t="s" s="2">
        <v>17</v>
      </c>
      <c r="F6630" t="s" s="2">
        <f>HYPERLINK("http://ts.21cn.com/tousu/show/id/1366122","http://ts.21cn.com/tousu/show/id/1366122")</f>
      </c>
      <c r="G6630" t="s" s="2">
        <v>17</v>
      </c>
      <c r="H6630" t="s" s="2">
        <v>19</v>
      </c>
      <c r="I6630" t="s" s="2">
        <v>25654</v>
      </c>
      <c r="J6630" t="s" s="2">
        <v>25655</v>
      </c>
      <c r="K6630" t="s" s="2">
        <v>22</v>
      </c>
      <c r="L6630" t="s" s="2">
        <v>22</v>
      </c>
      <c r="M6630" t="s" s="2">
        <v>22</v>
      </c>
    </row>
    <row r="6631" ht="25.0" customHeight="true">
      <c r="A6631" t="s" s="2">
        <v>13</v>
      </c>
      <c r="B6631" t="s" s="2">
        <f>HYPERLINK("http://ts.21cn.com/tousu/show/id/1366063","玖富万卡保费退还")</f>
      </c>
      <c r="C6631" t="s" s="2">
        <v>15</v>
      </c>
      <c r="D6631" t="s" s="2">
        <v>16</v>
      </c>
      <c r="E6631" t="s" s="2">
        <v>17</v>
      </c>
      <c r="F6631" t="s" s="2">
        <f>HYPERLINK("http://ts.21cn.com/tousu/show/id/1366063","http://ts.21cn.com/tousu/show/id/1366063")</f>
      </c>
      <c r="G6631" t="s" s="2">
        <v>17</v>
      </c>
      <c r="H6631" t="s" s="2">
        <v>19</v>
      </c>
      <c r="I6631" t="s" s="2">
        <v>25658</v>
      </c>
      <c r="J6631" t="s" s="2">
        <v>25659</v>
      </c>
      <c r="K6631" t="s" s="2">
        <v>22</v>
      </c>
      <c r="L6631" t="s" s="2">
        <v>22</v>
      </c>
      <c r="M6631" t="s" s="2">
        <v>22</v>
      </c>
    </row>
    <row r="6632" ht="25.0" customHeight="true">
      <c r="A6632" t="s" s="2">
        <v>13</v>
      </c>
      <c r="B6632" t="s" s="2">
        <f>HYPERLINK("http://ts.21cn.com/tousu/show/id/1366120","小花钱包骚扰")</f>
      </c>
      <c r="C6632" t="s" s="2">
        <v>52</v>
      </c>
      <c r="D6632" t="s" s="2">
        <v>16</v>
      </c>
      <c r="E6632" t="s" s="2">
        <v>17</v>
      </c>
      <c r="F6632" t="s" s="2">
        <f>HYPERLINK("http://ts.21cn.com/tousu/show/id/1366120","http://ts.21cn.com/tousu/show/id/1366120")</f>
      </c>
      <c r="G6632" t="s" s="2">
        <v>17</v>
      </c>
      <c r="H6632" t="s" s="2">
        <v>19</v>
      </c>
      <c r="I6632" t="s" s="2">
        <v>25662</v>
      </c>
      <c r="J6632" t="s" s="2">
        <v>25663</v>
      </c>
      <c r="K6632" t="s" s="2">
        <v>22</v>
      </c>
      <c r="L6632" t="s" s="2">
        <v>22</v>
      </c>
      <c r="M6632" t="s" s="2">
        <v>22</v>
      </c>
    </row>
    <row r="6633" ht="25.0" customHeight="true">
      <c r="A6633" t="s" s="2">
        <v>13</v>
      </c>
      <c r="B6633" t="s" s="2">
        <f>HYPERLINK("http://ts.21cn.com/tousu/show/id/1366118","车主邦app充电收停车费")</f>
      </c>
      <c r="C6633" t="s" s="2">
        <v>15</v>
      </c>
      <c r="D6633" t="s" s="2">
        <v>16</v>
      </c>
      <c r="E6633" t="s" s="2">
        <v>17</v>
      </c>
      <c r="F6633" t="s" s="2">
        <f>HYPERLINK("http://ts.21cn.com/tousu/show/id/1366118","http://ts.21cn.com/tousu/show/id/1366118")</f>
      </c>
      <c r="G6633" t="s" s="2">
        <v>17</v>
      </c>
      <c r="H6633" t="s" s="2">
        <v>19</v>
      </c>
      <c r="I6633" t="s" s="2">
        <v>25666</v>
      </c>
      <c r="J6633" t="s" s="2">
        <v>25667</v>
      </c>
      <c r="K6633" t="s" s="2">
        <v>22</v>
      </c>
      <c r="L6633" t="s" s="2">
        <v>22</v>
      </c>
      <c r="M6633" t="s" s="2">
        <v>22</v>
      </c>
    </row>
    <row r="6634" ht="25.0" customHeight="true">
      <c r="A6634" t="s" s="2">
        <v>13</v>
      </c>
      <c r="B6634" t="s" s="2">
        <f>HYPERLINK("http://ts.21cn.com/tousu/show/id/1366117","小花钱包 暴力催收 骚扰同事家人 高利贷 砍头息")</f>
      </c>
      <c r="C6634" t="s" s="2">
        <v>15</v>
      </c>
      <c r="D6634" t="s" s="2">
        <v>16</v>
      </c>
      <c r="E6634" t="s" s="2">
        <v>17</v>
      </c>
      <c r="F6634" t="s" s="2">
        <f>HYPERLINK("http://ts.21cn.com/tousu/show/id/1366117","http://ts.21cn.com/tousu/show/id/1366117")</f>
      </c>
      <c r="G6634" t="s" s="2">
        <v>17</v>
      </c>
      <c r="H6634" t="s" s="2">
        <v>19</v>
      </c>
      <c r="I6634" t="s" s="2">
        <v>25670</v>
      </c>
      <c r="J6634" t="s" s="2">
        <v>25671</v>
      </c>
      <c r="K6634" t="s" s="2">
        <v>22</v>
      </c>
      <c r="L6634" t="s" s="2">
        <v>22</v>
      </c>
      <c r="M6634" t="s" s="2">
        <v>22</v>
      </c>
    </row>
    <row r="6635" ht="25.0" customHeight="true">
      <c r="A6635" t="s" s="2">
        <v>13</v>
      </c>
      <c r="B6635" t="s" s="2">
        <f>HYPERLINK("http://ts.21cn.com/tousu/show/id/1366116","你我贷借款是高利贷")</f>
      </c>
      <c r="C6635" t="s" s="2">
        <v>15</v>
      </c>
      <c r="D6635" t="s" s="2">
        <v>16</v>
      </c>
      <c r="E6635" t="s" s="2">
        <v>17</v>
      </c>
      <c r="F6635" t="s" s="2">
        <f>HYPERLINK("http://ts.21cn.com/tousu/show/id/1366116","http://ts.21cn.com/tousu/show/id/1366116")</f>
      </c>
      <c r="G6635" t="s" s="2">
        <v>17</v>
      </c>
      <c r="H6635" t="s" s="2">
        <v>19</v>
      </c>
      <c r="I6635" t="s" s="2">
        <v>25674</v>
      </c>
      <c r="J6635" t="s" s="2">
        <v>25675</v>
      </c>
      <c r="K6635" t="s" s="2">
        <v>22</v>
      </c>
      <c r="L6635" t="s" s="2">
        <v>22</v>
      </c>
      <c r="M6635" t="s" s="2">
        <v>22</v>
      </c>
    </row>
    <row r="6636" ht="25.0" customHeight="true">
      <c r="A6636" t="s" s="2">
        <v>13</v>
      </c>
      <c r="B6636" t="s" s="2">
        <f>HYPERLINK("http://ts.21cn.com/tousu/show/id/1366119","骚扰家人，骚扰本人")</f>
      </c>
      <c r="C6636" t="s" s="2">
        <v>15</v>
      </c>
      <c r="D6636" t="s" s="2">
        <v>16</v>
      </c>
      <c r="E6636" t="s" s="2">
        <v>17</v>
      </c>
      <c r="F6636" t="s" s="2">
        <f>HYPERLINK("http://ts.21cn.com/tousu/show/id/1366119","http://ts.21cn.com/tousu/show/id/1366119")</f>
      </c>
      <c r="G6636" t="s" s="2">
        <v>17</v>
      </c>
      <c r="H6636" t="s" s="2">
        <v>19</v>
      </c>
      <c r="I6636" t="s" s="2">
        <v>25678</v>
      </c>
      <c r="J6636" t="s" s="2">
        <v>25679</v>
      </c>
      <c r="K6636" t="s" s="2">
        <v>22</v>
      </c>
      <c r="L6636" t="s" s="2">
        <v>22</v>
      </c>
      <c r="M6636" t="s" s="2">
        <v>22</v>
      </c>
    </row>
    <row r="6637" ht="25.0" customHeight="true">
      <c r="A6637" t="s" s="2">
        <v>13</v>
      </c>
      <c r="B6637" t="s" s="2">
        <f>HYPERLINK("http://ts.21cn.com/tousu/show/id/1366115","永恒优享依然在微信公众号上非法发放高利贷")</f>
      </c>
      <c r="C6637" t="s" s="2">
        <v>15</v>
      </c>
      <c r="D6637" t="s" s="2">
        <v>16</v>
      </c>
      <c r="E6637" t="s" s="2">
        <v>17</v>
      </c>
      <c r="F6637" t="s" s="2">
        <f>HYPERLINK("http://ts.21cn.com/tousu/show/id/1366115","http://ts.21cn.com/tousu/show/id/1366115")</f>
      </c>
      <c r="G6637" t="s" s="2">
        <v>17</v>
      </c>
      <c r="H6637" t="s" s="2">
        <v>19</v>
      </c>
      <c r="I6637" t="s" s="2">
        <v>25682</v>
      </c>
      <c r="J6637" t="s" s="2">
        <v>25683</v>
      </c>
      <c r="K6637" t="s" s="2">
        <v>22</v>
      </c>
      <c r="L6637" t="s" s="2">
        <v>22</v>
      </c>
      <c r="M6637" t="s" s="2">
        <v>22</v>
      </c>
    </row>
    <row r="6638" ht="25.0" customHeight="true">
      <c r="A6638" t="s" s="2">
        <v>13</v>
      </c>
      <c r="B6638" t="s" s="2">
        <f>HYPERLINK("http://ts.21cn.com/tousu/show/id/1366111","浦发信用卡催收")</f>
      </c>
      <c r="C6638" t="s" s="2">
        <v>15</v>
      </c>
      <c r="D6638" t="s" s="2">
        <v>16</v>
      </c>
      <c r="E6638" t="s" s="2">
        <v>17</v>
      </c>
      <c r="F6638" t="s" s="2">
        <f>HYPERLINK("http://ts.21cn.com/tousu/show/id/1366111","http://ts.21cn.com/tousu/show/id/1366111")</f>
      </c>
      <c r="G6638" t="s" s="2">
        <v>17</v>
      </c>
      <c r="H6638" t="s" s="2">
        <v>19</v>
      </c>
      <c r="I6638" t="s" s="2">
        <v>25686</v>
      </c>
      <c r="J6638" t="s" s="2">
        <v>25687</v>
      </c>
      <c r="K6638" t="s" s="2">
        <v>22</v>
      </c>
      <c r="L6638" t="s" s="2">
        <v>22</v>
      </c>
      <c r="M6638" t="s" s="2">
        <v>22</v>
      </c>
    </row>
    <row r="6639" ht="25.0" customHeight="true">
      <c r="A6639" t="s" s="2">
        <v>13</v>
      </c>
      <c r="B6639" t="s" s="2">
        <f>HYPERLINK("http://ts.21cn.com/tousu/show/id/1366112","投诉卡牛信用卡管家套路贷")</f>
      </c>
      <c r="C6639" t="s" s="2">
        <v>15</v>
      </c>
      <c r="D6639" t="s" s="2">
        <v>16</v>
      </c>
      <c r="E6639" t="s" s="2">
        <v>17</v>
      </c>
      <c r="F6639" t="s" s="2">
        <f>HYPERLINK("http://ts.21cn.com/tousu/show/id/1366112","http://ts.21cn.com/tousu/show/id/1366112")</f>
      </c>
      <c r="G6639" t="s" s="2">
        <v>17</v>
      </c>
      <c r="H6639" t="s" s="2">
        <v>19</v>
      </c>
      <c r="I6639" t="s" s="2">
        <v>25690</v>
      </c>
      <c r="J6639" t="s" s="2">
        <v>25691</v>
      </c>
      <c r="K6639" t="s" s="2">
        <v>22</v>
      </c>
      <c r="L6639" t="s" s="2">
        <v>22</v>
      </c>
      <c r="M6639" t="s" s="2">
        <v>22</v>
      </c>
    </row>
    <row r="6640" ht="25.0" customHeight="true">
      <c r="A6640" t="s" s="2">
        <v>13</v>
      </c>
      <c r="B6640" t="s" s="2">
        <f>HYPERLINK("http://ts.21cn.com/tousu/show/id/1366108","好分期暴力催收")</f>
      </c>
      <c r="C6640" t="s" s="2">
        <v>15</v>
      </c>
      <c r="D6640" t="s" s="2">
        <v>16</v>
      </c>
      <c r="E6640" t="s" s="2">
        <v>17</v>
      </c>
      <c r="F6640" t="s" s="2">
        <f>HYPERLINK("http://ts.21cn.com/tousu/show/id/1366108","http://ts.21cn.com/tousu/show/id/1366108")</f>
      </c>
      <c r="G6640" t="s" s="2">
        <v>17</v>
      </c>
      <c r="H6640" t="s" s="2">
        <v>19</v>
      </c>
      <c r="I6640" t="s" s="2">
        <v>25694</v>
      </c>
      <c r="J6640" t="s" s="2">
        <v>25695</v>
      </c>
      <c r="K6640" t="s" s="2">
        <v>22</v>
      </c>
      <c r="L6640" t="s" s="2">
        <v>22</v>
      </c>
      <c r="M6640" t="s" s="2">
        <v>22</v>
      </c>
    </row>
    <row r="6641" ht="25.0" customHeight="true">
      <c r="A6641" t="s" s="2">
        <v>13</v>
      </c>
      <c r="B6641" t="s" s="2">
        <f>HYPERLINK("http://ts.21cn.com/tousu/show/id/1366109","御剑飞行协商还款")</f>
      </c>
      <c r="C6641" t="s" s="2">
        <v>15</v>
      </c>
      <c r="D6641" t="s" s="2">
        <v>16</v>
      </c>
      <c r="E6641" t="s" s="2">
        <v>17</v>
      </c>
      <c r="F6641" t="s" s="2">
        <f>HYPERLINK("http://ts.21cn.com/tousu/show/id/1366109","http://ts.21cn.com/tousu/show/id/1366109")</f>
      </c>
      <c r="G6641" t="s" s="2">
        <v>17</v>
      </c>
      <c r="H6641" t="s" s="2">
        <v>19</v>
      </c>
      <c r="I6641" t="s" s="2">
        <v>25698</v>
      </c>
      <c r="J6641" t="s" s="2">
        <v>25699</v>
      </c>
      <c r="K6641" t="s" s="2">
        <v>22</v>
      </c>
      <c r="L6641" t="s" s="2">
        <v>22</v>
      </c>
      <c r="M6641" t="s" s="2">
        <v>22</v>
      </c>
    </row>
    <row r="6642" ht="25.0" customHeight="true">
      <c r="A6642" t="s" s="2">
        <v>13</v>
      </c>
      <c r="B6642" t="s" s="2">
        <f>HYPERLINK("http://ts.21cn.com/tousu/show/id/1366107","暴力催收阴阳合同砍头息高利贷")</f>
      </c>
      <c r="C6642" t="s" s="2">
        <v>15</v>
      </c>
      <c r="D6642" t="s" s="2">
        <v>16</v>
      </c>
      <c r="E6642" t="s" s="2">
        <v>17</v>
      </c>
      <c r="F6642" t="s" s="2">
        <f>HYPERLINK("http://ts.21cn.com/tousu/show/id/1366107","http://ts.21cn.com/tousu/show/id/1366107")</f>
      </c>
      <c r="G6642" t="s" s="2">
        <v>17</v>
      </c>
      <c r="H6642" t="s" s="2">
        <v>19</v>
      </c>
      <c r="I6642" t="s" s="2">
        <v>25702</v>
      </c>
      <c r="J6642" t="s" s="2">
        <v>25703</v>
      </c>
      <c r="K6642" t="s" s="2">
        <v>22</v>
      </c>
      <c r="L6642" t="s" s="2">
        <v>22</v>
      </c>
      <c r="M6642" t="s" s="2">
        <v>22</v>
      </c>
    </row>
    <row r="6643" ht="25.0" customHeight="true">
      <c r="A6643" t="s" s="2">
        <v>13</v>
      </c>
      <c r="B6643" t="s" s="2">
        <f>HYPERLINK("http://ts.21cn.com/tousu/show/id/1366106","违规催收")</f>
      </c>
      <c r="C6643" t="s" s="2">
        <v>15</v>
      </c>
      <c r="D6643" t="s" s="2">
        <v>16</v>
      </c>
      <c r="E6643" t="s" s="2">
        <v>17</v>
      </c>
      <c r="F6643" t="s" s="2">
        <f>HYPERLINK("http://ts.21cn.com/tousu/show/id/1366106","http://ts.21cn.com/tousu/show/id/1366106")</f>
      </c>
      <c r="G6643" t="s" s="2">
        <v>17</v>
      </c>
      <c r="H6643" t="s" s="2">
        <v>19</v>
      </c>
      <c r="I6643" t="s" s="2">
        <v>25705</v>
      </c>
      <c r="J6643" t="s" s="2">
        <v>25706</v>
      </c>
      <c r="K6643" t="s" s="2">
        <v>22</v>
      </c>
      <c r="L6643" t="s" s="2">
        <v>22</v>
      </c>
      <c r="M6643" t="s" s="2">
        <v>22</v>
      </c>
    </row>
    <row r="6644" ht="25.0" customHeight="true">
      <c r="A6644" t="s" s="2">
        <v>13</v>
      </c>
      <c r="B6644" t="s" s="2">
        <f>HYPERLINK("http://ts.21cn.com/tousu/show/id/1366105","玖富万卡恶意收费，高利贷")</f>
      </c>
      <c r="C6644" t="s" s="2">
        <v>15</v>
      </c>
      <c r="D6644" t="s" s="2">
        <v>16</v>
      </c>
      <c r="E6644" t="s" s="2">
        <v>17</v>
      </c>
      <c r="F6644" t="s" s="2">
        <f>HYPERLINK("http://ts.21cn.com/tousu/show/id/1366105","http://ts.21cn.com/tousu/show/id/1366105")</f>
      </c>
      <c r="G6644" t="s" s="2">
        <v>17</v>
      </c>
      <c r="H6644" t="s" s="2">
        <v>19</v>
      </c>
      <c r="I6644" t="s" s="2">
        <v>25709</v>
      </c>
      <c r="J6644" t="s" s="2">
        <v>25710</v>
      </c>
      <c r="K6644" t="s" s="2">
        <v>22</v>
      </c>
      <c r="L6644" t="s" s="2">
        <v>22</v>
      </c>
      <c r="M6644" t="s" s="2">
        <v>22</v>
      </c>
    </row>
    <row r="6645" ht="25.0" customHeight="true">
      <c r="A6645" t="s" s="2">
        <v>13</v>
      </c>
      <c r="B6645" t="s" s="2">
        <f>HYPERLINK("http://ts.21cn.com/tousu/show/id/1366104","暴力催收")</f>
      </c>
      <c r="C6645" t="s" s="2">
        <v>15</v>
      </c>
      <c r="D6645" t="s" s="2">
        <v>16</v>
      </c>
      <c r="E6645" t="s" s="2">
        <v>17</v>
      </c>
      <c r="F6645" t="s" s="2">
        <f>HYPERLINK("http://ts.21cn.com/tousu/show/id/1366104","http://ts.21cn.com/tousu/show/id/1366104")</f>
      </c>
      <c r="G6645" t="s" s="2">
        <v>17</v>
      </c>
      <c r="H6645" t="s" s="2">
        <v>19</v>
      </c>
      <c r="I6645" t="s" s="2">
        <v>25712</v>
      </c>
      <c r="J6645" t="s" s="2">
        <v>25713</v>
      </c>
      <c r="K6645" t="s" s="2">
        <v>22</v>
      </c>
      <c r="L6645" t="s" s="2">
        <v>22</v>
      </c>
      <c r="M6645" t="s" s="2">
        <v>22</v>
      </c>
    </row>
    <row r="6646" ht="25.0" customHeight="true">
      <c r="A6646" t="s" s="2">
        <v>13</v>
      </c>
      <c r="B6646" t="s" s="2">
        <f>HYPERLINK("http://ts.21cn.com/tousu/show/id/1366102","爆力催收")</f>
      </c>
      <c r="C6646" t="s" s="2">
        <v>15</v>
      </c>
      <c r="D6646" t="s" s="2">
        <v>16</v>
      </c>
      <c r="E6646" t="s" s="2">
        <v>17</v>
      </c>
      <c r="F6646" t="s" s="2">
        <f>HYPERLINK("http://ts.21cn.com/tousu/show/id/1366102","http://ts.21cn.com/tousu/show/id/1366102")</f>
      </c>
      <c r="G6646" t="s" s="2">
        <v>17</v>
      </c>
      <c r="H6646" t="s" s="2">
        <v>19</v>
      </c>
      <c r="I6646" t="s" s="2">
        <v>25715</v>
      </c>
      <c r="J6646" t="s" s="2">
        <v>25716</v>
      </c>
      <c r="K6646" t="s" s="2">
        <v>22</v>
      </c>
      <c r="L6646" t="s" s="2">
        <v>22</v>
      </c>
      <c r="M6646" t="s" s="2">
        <v>22</v>
      </c>
    </row>
    <row r="6647" ht="25.0" customHeight="true">
      <c r="A6647" t="s" s="2">
        <v>13</v>
      </c>
      <c r="B6647" t="s" s="2">
        <f>HYPERLINK("http://ts.21cn.com/tousu/show/id/1366070","支付宝的钱被盗了，付款成功想要追回")</f>
      </c>
      <c r="C6647" t="s" s="2">
        <v>15</v>
      </c>
      <c r="D6647" t="s" s="2">
        <v>16</v>
      </c>
      <c r="E6647" t="s" s="2">
        <v>17</v>
      </c>
      <c r="F6647" t="s" s="2">
        <f>HYPERLINK("http://ts.21cn.com/tousu/show/id/1366070","http://ts.21cn.com/tousu/show/id/1366070")</f>
      </c>
      <c r="G6647" t="s" s="2">
        <v>17</v>
      </c>
      <c r="H6647" t="s" s="2">
        <v>19</v>
      </c>
      <c r="I6647" t="s" s="2">
        <v>25719</v>
      </c>
      <c r="J6647" t="s" s="2">
        <v>25720</v>
      </c>
      <c r="K6647" t="s" s="2">
        <v>22</v>
      </c>
      <c r="L6647" t="s" s="2">
        <v>22</v>
      </c>
      <c r="M6647" t="s" s="2">
        <v>22</v>
      </c>
    </row>
    <row r="6648" ht="25.0" customHeight="true">
      <c r="A6648" t="s" s="2">
        <v>13</v>
      </c>
      <c r="B6648" t="s" s="2">
        <f>HYPERLINK("http://ts.21cn.com/tousu/show/id/1366101","米兔3C儿童电话手表充电故障，更换期内小米拒绝更换")</f>
      </c>
      <c r="C6648" t="s" s="2">
        <v>15</v>
      </c>
      <c r="D6648" t="s" s="2">
        <v>16</v>
      </c>
      <c r="E6648" t="s" s="2">
        <v>17</v>
      </c>
      <c r="F6648" t="s" s="2">
        <f>HYPERLINK("http://ts.21cn.com/tousu/show/id/1366101","http://ts.21cn.com/tousu/show/id/1366101")</f>
      </c>
      <c r="G6648" t="s" s="2">
        <v>17</v>
      </c>
      <c r="H6648" t="s" s="2">
        <v>19</v>
      </c>
      <c r="I6648" t="s" s="2">
        <v>25723</v>
      </c>
      <c r="J6648" t="s" s="2">
        <v>25724</v>
      </c>
      <c r="K6648" t="s" s="2">
        <v>22</v>
      </c>
      <c r="L6648" t="s" s="2">
        <v>22</v>
      </c>
      <c r="M6648" t="s" s="2">
        <v>22</v>
      </c>
    </row>
    <row r="6649" ht="25.0" customHeight="true">
      <c r="A6649" t="s" s="2">
        <v>13</v>
      </c>
      <c r="B6649" t="s" s="2">
        <f>HYPERLINK("http://ts.21cn.com/tousu/show/id/1366100","马上金融威胁上门催收爆通讯录")</f>
      </c>
      <c r="C6649" t="s" s="2">
        <v>15</v>
      </c>
      <c r="D6649" t="s" s="2">
        <v>16</v>
      </c>
      <c r="E6649" t="s" s="2">
        <v>17</v>
      </c>
      <c r="F6649" t="s" s="2">
        <f>HYPERLINK("http://ts.21cn.com/tousu/show/id/1366100","http://ts.21cn.com/tousu/show/id/1366100")</f>
      </c>
      <c r="G6649" t="s" s="2">
        <v>17</v>
      </c>
      <c r="H6649" t="s" s="2">
        <v>19</v>
      </c>
      <c r="I6649" t="s" s="2">
        <v>25727</v>
      </c>
      <c r="J6649" t="s" s="2">
        <v>25728</v>
      </c>
      <c r="K6649" t="s" s="2">
        <v>22</v>
      </c>
      <c r="L6649" t="s" s="2">
        <v>22</v>
      </c>
      <c r="M6649" t="s" s="2">
        <v>22</v>
      </c>
    </row>
    <row r="6650" ht="25.0" customHeight="true">
      <c r="A6650" t="s" s="2">
        <v>13</v>
      </c>
      <c r="B6650" t="s" s="2">
        <f>HYPERLINK("http://ts.21cn.com/tousu/show/id/1366099","铁友APP没有提示性捆绑消费")</f>
      </c>
      <c r="C6650" t="s" s="2">
        <v>15</v>
      </c>
      <c r="D6650" t="s" s="2">
        <v>16</v>
      </c>
      <c r="E6650" t="s" s="2">
        <v>17</v>
      </c>
      <c r="F6650" t="s" s="2">
        <f>HYPERLINK("http://ts.21cn.com/tousu/show/id/1366099","http://ts.21cn.com/tousu/show/id/1366099")</f>
      </c>
      <c r="G6650" t="s" s="2">
        <v>17</v>
      </c>
      <c r="H6650" t="s" s="2">
        <v>19</v>
      </c>
      <c r="I6650" t="s" s="2">
        <v>25731</v>
      </c>
      <c r="J6650" t="s" s="2">
        <v>25732</v>
      </c>
      <c r="K6650" t="s" s="2">
        <v>22</v>
      </c>
      <c r="L6650" t="s" s="2">
        <v>22</v>
      </c>
      <c r="M6650" t="s" s="2">
        <v>22</v>
      </c>
    </row>
    <row r="6651" ht="25.0" customHeight="true">
      <c r="A6651" t="s" s="2">
        <v>13</v>
      </c>
      <c r="B6651" t="s" s="2">
        <f>HYPERLINK("http://ts.21cn.com/tousu/show/id/1366097","农业网点不让领卡")</f>
      </c>
      <c r="C6651" t="s" s="2">
        <v>15</v>
      </c>
      <c r="D6651" t="s" s="2">
        <v>16</v>
      </c>
      <c r="E6651" t="s" s="2">
        <v>17</v>
      </c>
      <c r="F6651" t="s" s="2">
        <f>HYPERLINK("http://ts.21cn.com/tousu/show/id/1366097","http://ts.21cn.com/tousu/show/id/1366097")</f>
      </c>
      <c r="G6651" t="s" s="2">
        <v>17</v>
      </c>
      <c r="H6651" t="s" s="2">
        <v>19</v>
      </c>
      <c r="I6651" t="s" s="2">
        <v>25735</v>
      </c>
      <c r="J6651" t="s" s="2">
        <v>25736</v>
      </c>
      <c r="K6651" t="s" s="2">
        <v>22</v>
      </c>
      <c r="L6651" t="s" s="2">
        <v>22</v>
      </c>
      <c r="M6651" t="s" s="2">
        <v>22</v>
      </c>
    </row>
    <row r="6652" ht="25.0" customHeight="true">
      <c r="A6652" t="s" s="2">
        <v>13</v>
      </c>
      <c r="B6652" t="s" s="2">
        <f>HYPERLINK("http://ts.21cn.com/tousu/show/id/1366098","百事普惠恶意扣款")</f>
      </c>
      <c r="C6652" t="s" s="2">
        <v>15</v>
      </c>
      <c r="D6652" t="s" s="2">
        <v>16</v>
      </c>
      <c r="E6652" t="s" s="2">
        <v>17</v>
      </c>
      <c r="F6652" t="s" s="2">
        <f>HYPERLINK("http://ts.21cn.com/tousu/show/id/1366098","http://ts.21cn.com/tousu/show/id/1366098")</f>
      </c>
      <c r="G6652" t="s" s="2">
        <v>17</v>
      </c>
      <c r="H6652" t="s" s="2">
        <v>19</v>
      </c>
      <c r="I6652" t="s" s="2">
        <v>25738</v>
      </c>
      <c r="J6652" t="s" s="2">
        <v>25739</v>
      </c>
      <c r="K6652" t="s" s="2">
        <v>22</v>
      </c>
      <c r="L6652" t="s" s="2">
        <v>22</v>
      </c>
      <c r="M6652" t="s" s="2">
        <v>22</v>
      </c>
    </row>
    <row r="6653" ht="25.0" customHeight="true">
      <c r="A6653" t="s" s="2">
        <v>13</v>
      </c>
      <c r="B6653" t="s" s="2">
        <f>HYPERLINK("http://ts.21cn.com/tousu/show/id/1366095","骚扰我家里人")</f>
      </c>
      <c r="C6653" t="s" s="2">
        <v>52</v>
      </c>
      <c r="D6653" t="s" s="2">
        <v>16</v>
      </c>
      <c r="E6653" t="s" s="2">
        <v>17</v>
      </c>
      <c r="F6653" t="s" s="2">
        <f>HYPERLINK("http://ts.21cn.com/tousu/show/id/1366095","http://ts.21cn.com/tousu/show/id/1366095")</f>
      </c>
      <c r="G6653" t="s" s="2">
        <v>17</v>
      </c>
      <c r="H6653" t="s" s="2">
        <v>19</v>
      </c>
      <c r="I6653" t="s" s="2">
        <v>25742</v>
      </c>
      <c r="J6653" t="s" s="2">
        <v>25743</v>
      </c>
      <c r="K6653" t="s" s="2">
        <v>22</v>
      </c>
      <c r="L6653" t="s" s="2">
        <v>22</v>
      </c>
      <c r="M6653" t="s" s="2">
        <v>22</v>
      </c>
    </row>
    <row r="6654" ht="25.0" customHeight="true">
      <c r="A6654" t="s" s="2">
        <v>13</v>
      </c>
      <c r="B6654" t="s" s="2">
        <f>HYPERLINK("http://ts.21cn.com/tousu/show/id/1366093","平安银行暴利催收以为威胁人")</f>
      </c>
      <c r="C6654" t="s" s="2">
        <v>15</v>
      </c>
      <c r="D6654" t="s" s="2">
        <v>16</v>
      </c>
      <c r="E6654" t="s" s="2">
        <v>17</v>
      </c>
      <c r="F6654" t="s" s="2">
        <f>HYPERLINK("http://ts.21cn.com/tousu/show/id/1366093","http://ts.21cn.com/tousu/show/id/1366093")</f>
      </c>
      <c r="G6654" t="s" s="2">
        <v>17</v>
      </c>
      <c r="H6654" t="s" s="2">
        <v>19</v>
      </c>
      <c r="I6654" t="s" s="2">
        <v>25746</v>
      </c>
      <c r="J6654" t="s" s="2">
        <v>25747</v>
      </c>
      <c r="K6654" t="s" s="2">
        <v>22</v>
      </c>
      <c r="L6654" t="s" s="2">
        <v>22</v>
      </c>
      <c r="M6654" t="s" s="2">
        <v>22</v>
      </c>
    </row>
    <row r="6655" ht="25.0" customHeight="true">
      <c r="A6655" t="s" s="2">
        <v>13</v>
      </c>
      <c r="B6655" t="s" s="2">
        <f>HYPERLINK("http://ts.21cn.com/tousu/show/id/1366092","农行app绿森商城里购买iphone11promax不发货不退款")</f>
      </c>
      <c r="C6655" t="s" s="2">
        <v>15</v>
      </c>
      <c r="D6655" t="s" s="2">
        <v>16</v>
      </c>
      <c r="E6655" t="s" s="2">
        <v>17</v>
      </c>
      <c r="F6655" t="s" s="2">
        <f>HYPERLINK("http://ts.21cn.com/tousu/show/id/1366092","http://ts.21cn.com/tousu/show/id/1366092")</f>
      </c>
      <c r="G6655" t="s" s="2">
        <v>17</v>
      </c>
      <c r="H6655" t="s" s="2">
        <v>19</v>
      </c>
      <c r="I6655" t="s" s="2">
        <v>25750</v>
      </c>
      <c r="J6655" t="s" s="2">
        <v>25751</v>
      </c>
      <c r="K6655" t="s" s="2">
        <v>22</v>
      </c>
      <c r="L6655" t="s" s="2">
        <v>22</v>
      </c>
      <c r="M6655" t="s" s="2">
        <v>22</v>
      </c>
    </row>
    <row r="6656" ht="25.0" customHeight="true">
      <c r="A6656" t="s" s="2">
        <v>13</v>
      </c>
      <c r="B6656" t="s" s="2">
        <f>HYPERLINK("http://ts.21cn.com/tousu/show/id/1365978","易行商旅工作人员诱导欺诈办卡，申请退卡困难重重")</f>
      </c>
      <c r="C6656" t="s" s="2">
        <v>15</v>
      </c>
      <c r="D6656" t="s" s="2">
        <v>16</v>
      </c>
      <c r="E6656" t="s" s="2">
        <v>17</v>
      </c>
      <c r="F6656" t="s" s="2">
        <f>HYPERLINK("http://ts.21cn.com/tousu/show/id/1365978","http://ts.21cn.com/tousu/show/id/1365978")</f>
      </c>
      <c r="G6656" t="s" s="2">
        <v>17</v>
      </c>
      <c r="H6656" t="s" s="2">
        <v>19</v>
      </c>
      <c r="I6656" t="s" s="2">
        <v>25754</v>
      </c>
      <c r="J6656" t="s" s="2">
        <v>25755</v>
      </c>
      <c r="K6656" t="s" s="2">
        <v>22</v>
      </c>
      <c r="L6656" t="s" s="2">
        <v>22</v>
      </c>
      <c r="M6656" t="s" s="2">
        <v>22</v>
      </c>
    </row>
    <row r="6657" ht="25.0" customHeight="true">
      <c r="A6657" t="s" s="2">
        <v>13</v>
      </c>
      <c r="B6657" t="s" s="2">
        <f>HYPERLINK("http://ts.21cn.com/tousu/show/id/1366090","你我贷高利息")</f>
      </c>
      <c r="C6657" t="s" s="2">
        <v>52</v>
      </c>
      <c r="D6657" t="s" s="2">
        <v>16</v>
      </c>
      <c r="E6657" t="s" s="2">
        <v>17</v>
      </c>
      <c r="F6657" t="s" s="2">
        <f>HYPERLINK("http://ts.21cn.com/tousu/show/id/1366090","http://ts.21cn.com/tousu/show/id/1366090")</f>
      </c>
      <c r="G6657" t="s" s="2">
        <v>17</v>
      </c>
      <c r="H6657" t="s" s="2">
        <v>19</v>
      </c>
      <c r="I6657" t="s" s="2">
        <v>25758</v>
      </c>
      <c r="J6657" t="s" s="2">
        <v>25759</v>
      </c>
      <c r="K6657" t="s" s="2">
        <v>22</v>
      </c>
      <c r="L6657" t="s" s="2">
        <v>22</v>
      </c>
      <c r="M6657" t="s" s="2">
        <v>22</v>
      </c>
    </row>
    <row r="6658" ht="25.0" customHeight="true">
      <c r="A6658" t="s" s="2">
        <v>13</v>
      </c>
      <c r="B6658" t="s" s="2">
        <f>HYPERLINK("http://ts.21cn.com/tousu/show/id/1366089","玖富叮当高利贷，阴阳合同")</f>
      </c>
      <c r="C6658" t="s" s="2">
        <v>15</v>
      </c>
      <c r="D6658" t="s" s="2">
        <v>16</v>
      </c>
      <c r="E6658" t="s" s="2">
        <v>17</v>
      </c>
      <c r="F6658" t="s" s="2">
        <f>HYPERLINK("http://ts.21cn.com/tousu/show/id/1366089","http://ts.21cn.com/tousu/show/id/1366089")</f>
      </c>
      <c r="G6658" t="s" s="2">
        <v>17</v>
      </c>
      <c r="H6658" t="s" s="2">
        <v>19</v>
      </c>
      <c r="I6658" t="s" s="2">
        <v>25762</v>
      </c>
      <c r="J6658" t="s" s="2">
        <v>25763</v>
      </c>
      <c r="K6658" t="s" s="2">
        <v>22</v>
      </c>
      <c r="L6658" t="s" s="2">
        <v>22</v>
      </c>
      <c r="M6658" t="s" s="2">
        <v>22</v>
      </c>
    </row>
    <row r="6659" ht="25.0" customHeight="true">
      <c r="A6659" t="s" s="2">
        <v>13</v>
      </c>
      <c r="B6659" t="s" s="2">
        <f>HYPERLINK("http://ts.21cn.com/tousu/show/id/1366088","前同事借钱填我电话为联系人，你我贷最近一年对我频繁电话骚扰。")</f>
      </c>
      <c r="C6659" t="s" s="2">
        <v>15</v>
      </c>
      <c r="D6659" t="s" s="2">
        <v>16</v>
      </c>
      <c r="E6659" t="s" s="2">
        <v>17</v>
      </c>
      <c r="F6659" t="s" s="2">
        <f>HYPERLINK("http://ts.21cn.com/tousu/show/id/1366088","http://ts.21cn.com/tousu/show/id/1366088")</f>
      </c>
      <c r="G6659" t="s" s="2">
        <v>17</v>
      </c>
      <c r="H6659" t="s" s="2">
        <v>19</v>
      </c>
      <c r="I6659" t="s" s="2">
        <v>25766</v>
      </c>
      <c r="J6659" t="s" s="2">
        <v>25767</v>
      </c>
      <c r="K6659" t="s" s="2">
        <v>22</v>
      </c>
      <c r="L6659" t="s" s="2">
        <v>22</v>
      </c>
      <c r="M6659" t="s" s="2">
        <v>22</v>
      </c>
    </row>
    <row r="6660" ht="25.0" customHeight="true">
      <c r="A6660" t="s" s="2">
        <v>13</v>
      </c>
      <c r="B6660" t="s" s="2">
        <f>HYPERLINK("http://ts.21cn.com/tousu/show/id/1366087","小闪分期原快闪卡贷催收态度恶劣，威胁")</f>
      </c>
      <c r="C6660" t="s" s="2">
        <v>15</v>
      </c>
      <c r="D6660" t="s" s="2">
        <v>16</v>
      </c>
      <c r="E6660" t="s" s="2">
        <v>17</v>
      </c>
      <c r="F6660" t="s" s="2">
        <f>HYPERLINK("http://ts.21cn.com/tousu/show/id/1366087","http://ts.21cn.com/tousu/show/id/1366087")</f>
      </c>
      <c r="G6660" t="s" s="2">
        <v>17</v>
      </c>
      <c r="H6660" t="s" s="2">
        <v>19</v>
      </c>
      <c r="I6660" t="s" s="2">
        <v>25770</v>
      </c>
      <c r="J6660" t="s" s="2">
        <v>25771</v>
      </c>
      <c r="K6660" t="s" s="2">
        <v>22</v>
      </c>
      <c r="L6660" t="s" s="2">
        <v>22</v>
      </c>
      <c r="M6660" t="s" s="2">
        <v>22</v>
      </c>
    </row>
    <row r="6661" ht="25.0" customHeight="true">
      <c r="A6661" t="s" s="2">
        <v>13</v>
      </c>
      <c r="B6661" t="s" s="2">
        <f>HYPERLINK("http://ts.21cn.com/tousu/show/id/1366086","豹子贷恶意扣款299")</f>
      </c>
      <c r="C6661" t="s" s="2">
        <v>15</v>
      </c>
      <c r="D6661" t="s" s="2">
        <v>16</v>
      </c>
      <c r="E6661" t="s" s="2">
        <v>17</v>
      </c>
      <c r="F6661" t="s" s="2">
        <f>HYPERLINK("http://ts.21cn.com/tousu/show/id/1366086","http://ts.21cn.com/tousu/show/id/1366086")</f>
      </c>
      <c r="G6661" t="s" s="2">
        <v>17</v>
      </c>
      <c r="H6661" t="s" s="2">
        <v>19</v>
      </c>
      <c r="I6661" t="s" s="2">
        <v>25774</v>
      </c>
      <c r="J6661" t="s" s="2">
        <v>25775</v>
      </c>
      <c r="K6661" t="s" s="2">
        <v>22</v>
      </c>
      <c r="L6661" t="s" s="2">
        <v>22</v>
      </c>
      <c r="M6661" t="s" s="2">
        <v>22</v>
      </c>
    </row>
    <row r="6662" ht="25.0" customHeight="true">
      <c r="A6662" t="s" s="2">
        <v>13</v>
      </c>
      <c r="B6662" t="s" s="2">
        <f>HYPERLINK("http://ts.21cn.com/tousu/show/id/1366085","高利贷")</f>
      </c>
      <c r="C6662" t="s" s="2">
        <v>15</v>
      </c>
      <c r="D6662" t="s" s="2">
        <v>16</v>
      </c>
      <c r="E6662" t="s" s="2">
        <v>17</v>
      </c>
      <c r="F6662" t="s" s="2">
        <f>HYPERLINK("http://ts.21cn.com/tousu/show/id/1366085","http://ts.21cn.com/tousu/show/id/1366085")</f>
      </c>
      <c r="G6662" t="s" s="2">
        <v>17</v>
      </c>
      <c r="H6662" t="s" s="2">
        <v>19</v>
      </c>
      <c r="I6662" t="s" s="2">
        <v>25777</v>
      </c>
      <c r="J6662" t="s" s="2">
        <v>25778</v>
      </c>
      <c r="K6662" t="s" s="2">
        <v>22</v>
      </c>
      <c r="L6662" t="s" s="2">
        <v>22</v>
      </c>
      <c r="M6662" t="s" s="2">
        <v>22</v>
      </c>
    </row>
    <row r="6663" ht="25.0" customHeight="true">
      <c r="A6663" t="s" s="2">
        <v>13</v>
      </c>
      <c r="B6663" t="s" s="2">
        <f>HYPERLINK("http://ts.21cn.com/tousu/show/id/1366084","万达贷恶意骚扰")</f>
      </c>
      <c r="C6663" t="s" s="2">
        <v>15</v>
      </c>
      <c r="D6663" t="s" s="2">
        <v>16</v>
      </c>
      <c r="E6663" t="s" s="2">
        <v>17</v>
      </c>
      <c r="F6663" t="s" s="2">
        <f>HYPERLINK("http://ts.21cn.com/tousu/show/id/1366084","http://ts.21cn.com/tousu/show/id/1366084")</f>
      </c>
      <c r="G6663" t="s" s="2">
        <v>17</v>
      </c>
      <c r="H6663" t="s" s="2">
        <v>19</v>
      </c>
      <c r="I6663" t="s" s="2">
        <v>25781</v>
      </c>
      <c r="J6663" t="s" s="2">
        <v>25782</v>
      </c>
      <c r="K6663" t="s" s="2">
        <v>22</v>
      </c>
      <c r="L6663" t="s" s="2">
        <v>22</v>
      </c>
      <c r="M6663" t="s" s="2">
        <v>22</v>
      </c>
    </row>
    <row r="6664" ht="25.0" customHeight="true">
      <c r="A6664" t="s" s="2">
        <v>13</v>
      </c>
      <c r="B6664" t="s" s="2">
        <f>HYPERLINK("http://ts.21cn.com/tousu/show/id/1366083","zol商城经销售欺诈消费")</f>
      </c>
      <c r="C6664" t="s" s="2">
        <v>15</v>
      </c>
      <c r="D6664" t="s" s="2">
        <v>16</v>
      </c>
      <c r="E6664" t="s" s="2">
        <v>17</v>
      </c>
      <c r="F6664" t="s" s="2">
        <f>HYPERLINK("http://ts.21cn.com/tousu/show/id/1366083","http://ts.21cn.com/tousu/show/id/1366083")</f>
      </c>
      <c r="G6664" t="s" s="2">
        <v>17</v>
      </c>
      <c r="H6664" t="s" s="2">
        <v>19</v>
      </c>
      <c r="I6664" t="s" s="2">
        <v>25785</v>
      </c>
      <c r="J6664" t="s" s="2">
        <v>25786</v>
      </c>
      <c r="K6664" t="s" s="2">
        <v>22</v>
      </c>
      <c r="L6664" t="s" s="2">
        <v>22</v>
      </c>
      <c r="M6664" t="s" s="2">
        <v>22</v>
      </c>
    </row>
    <row r="6665" ht="25.0" customHeight="true">
      <c r="A6665" t="s" s="2">
        <v>13</v>
      </c>
      <c r="B6665" t="s" s="2">
        <f>HYPERLINK("http://ts.21cn.com/tousu/show/id/1366010","在拼多多月丽莎内衣店买到假货，本人打算法律诉讼，拼多多不提供商家营业执照，并且拼多多让我寄回假货，并且不予退款。")</f>
      </c>
      <c r="C6665" t="s" s="2">
        <v>15</v>
      </c>
      <c r="D6665" t="s" s="2">
        <v>16</v>
      </c>
      <c r="E6665" t="s" s="2">
        <v>17</v>
      </c>
      <c r="F6665" t="s" s="2">
        <f>HYPERLINK("http://ts.21cn.com/tousu/show/id/1366010","http://ts.21cn.com/tousu/show/id/1366010")</f>
      </c>
      <c r="G6665" t="s" s="2">
        <v>17</v>
      </c>
      <c r="H6665" t="s" s="2">
        <v>19</v>
      </c>
      <c r="I6665" t="s" s="2">
        <v>25789</v>
      </c>
      <c r="J6665" t="s" s="2">
        <v>25790</v>
      </c>
      <c r="K6665" t="s" s="2">
        <v>22</v>
      </c>
      <c r="L6665" t="s" s="2">
        <v>22</v>
      </c>
      <c r="M6665" t="s" s="2">
        <v>22</v>
      </c>
    </row>
    <row r="6666" ht="25.0" customHeight="true">
      <c r="A6666" t="s" s="2">
        <v>13</v>
      </c>
      <c r="B6666" t="s" s="2">
        <f>HYPERLINK("http://ts.21cn.com/tousu/show/id/1366082","立借高利贷")</f>
      </c>
      <c r="C6666" t="s" s="2">
        <v>15</v>
      </c>
      <c r="D6666" t="s" s="2">
        <v>16</v>
      </c>
      <c r="E6666" t="s" s="2">
        <v>17</v>
      </c>
      <c r="F6666" t="s" s="2">
        <f>HYPERLINK("http://ts.21cn.com/tousu/show/id/1366082","http://ts.21cn.com/tousu/show/id/1366082")</f>
      </c>
      <c r="G6666" t="s" s="2">
        <v>17</v>
      </c>
      <c r="H6666" t="s" s="2">
        <v>19</v>
      </c>
      <c r="I6666" t="s" s="2">
        <v>25792</v>
      </c>
      <c r="J6666" t="s" s="2">
        <v>25793</v>
      </c>
      <c r="K6666" t="s" s="2">
        <v>22</v>
      </c>
      <c r="L6666" t="s" s="2">
        <v>22</v>
      </c>
      <c r="M6666" t="s" s="2">
        <v>22</v>
      </c>
    </row>
    <row r="6667" ht="25.0" customHeight="true">
      <c r="A6667" t="s" s="2">
        <v>13</v>
      </c>
      <c r="B6667" t="s" s="2">
        <f>HYPERLINK("http://ts.21cn.com/tousu/show/id/1366081","因为小当家链接无法使用，一绑定带扣，到现在也没扣款，导致逾期，本人不承担逾期费用，导致信誉受损，小当家承当全责")</f>
      </c>
      <c r="C6667" t="s" s="2">
        <v>15</v>
      </c>
      <c r="D6667" t="s" s="2">
        <v>16</v>
      </c>
      <c r="E6667" t="s" s="2">
        <v>17</v>
      </c>
      <c r="F6667" t="s" s="2">
        <f>HYPERLINK("http://ts.21cn.com/tousu/show/id/1366081","http://ts.21cn.com/tousu/show/id/1366081")</f>
      </c>
      <c r="G6667" t="s" s="2">
        <v>17</v>
      </c>
      <c r="H6667" t="s" s="2">
        <v>19</v>
      </c>
      <c r="I6667" t="s" s="2">
        <v>25796</v>
      </c>
      <c r="J6667" t="s" s="2">
        <v>25797</v>
      </c>
      <c r="K6667" t="s" s="2">
        <v>22</v>
      </c>
      <c r="L6667" t="s" s="2">
        <v>22</v>
      </c>
      <c r="M6667" t="s" s="2">
        <v>22</v>
      </c>
    </row>
    <row r="6668" ht="25.0" customHeight="true">
      <c r="A6668" t="s" s="2">
        <v>13</v>
      </c>
      <c r="B6668" t="s" s="2">
        <f>HYPERLINK("http://ts.21cn.com/tousu/show/id/1366079","网贷平台骚扰联系人。用呼死你骚扰")</f>
      </c>
      <c r="C6668" t="s" s="2">
        <v>15</v>
      </c>
      <c r="D6668" t="s" s="2">
        <v>16</v>
      </c>
      <c r="E6668" t="s" s="2">
        <v>17</v>
      </c>
      <c r="F6668" t="s" s="2">
        <f>HYPERLINK("http://ts.21cn.com/tousu/show/id/1366079","http://ts.21cn.com/tousu/show/id/1366079")</f>
      </c>
      <c r="G6668" t="s" s="2">
        <v>17</v>
      </c>
      <c r="H6668" t="s" s="2">
        <v>19</v>
      </c>
      <c r="I6668" t="s" s="2">
        <v>25800</v>
      </c>
      <c r="J6668" t="s" s="2">
        <v>25801</v>
      </c>
      <c r="K6668" t="s" s="2">
        <v>22</v>
      </c>
      <c r="L6668" t="s" s="2">
        <v>22</v>
      </c>
      <c r="M6668" t="s" s="2">
        <v>22</v>
      </c>
    </row>
    <row r="6669" ht="25.0" customHeight="true">
      <c r="A6669" t="s" s="2">
        <v>13</v>
      </c>
      <c r="B6669" t="s" s="2">
        <f>HYPERLINK("http://ts.21cn.com/tousu/show/id/1366078","要求工商银行信用卡恢复额度，追回违约金，呆泄金")</f>
      </c>
      <c r="C6669" t="s" s="2">
        <v>15</v>
      </c>
      <c r="D6669" t="s" s="2">
        <v>16</v>
      </c>
      <c r="E6669" t="s" s="2">
        <v>17</v>
      </c>
      <c r="F6669" t="s" s="2">
        <f>HYPERLINK("http://ts.21cn.com/tousu/show/id/1366078","http://ts.21cn.com/tousu/show/id/1366078")</f>
      </c>
      <c r="G6669" t="s" s="2">
        <v>17</v>
      </c>
      <c r="H6669" t="s" s="2">
        <v>19</v>
      </c>
      <c r="I6669" t="s" s="2">
        <v>25804</v>
      </c>
      <c r="J6669" t="s" s="2">
        <v>25805</v>
      </c>
      <c r="K6669" t="s" s="2">
        <v>22</v>
      </c>
      <c r="L6669" t="s" s="2">
        <v>22</v>
      </c>
      <c r="M6669" t="s" s="2">
        <v>22</v>
      </c>
    </row>
    <row r="6670" ht="25.0" customHeight="true">
      <c r="A6670" t="s" s="2">
        <v>13</v>
      </c>
      <c r="B6670" t="s" s="2">
        <f>HYPERLINK("http://ts.21cn.com/tousu/show/id/1365879","快闪卡贷砍头息")</f>
      </c>
      <c r="C6670" t="s" s="2">
        <v>15</v>
      </c>
      <c r="D6670" t="s" s="2">
        <v>16</v>
      </c>
      <c r="E6670" t="s" s="2">
        <v>17</v>
      </c>
      <c r="F6670" t="s" s="2">
        <f>HYPERLINK("http://ts.21cn.com/tousu/show/id/1365879","http://ts.21cn.com/tousu/show/id/1365879")</f>
      </c>
      <c r="G6670" t="s" s="2">
        <v>17</v>
      </c>
      <c r="H6670" t="s" s="2">
        <v>19</v>
      </c>
      <c r="I6670" t="s" s="2">
        <v>25807</v>
      </c>
      <c r="J6670" t="s" s="2">
        <v>25808</v>
      </c>
      <c r="K6670" t="s" s="2">
        <v>22</v>
      </c>
      <c r="L6670" t="s" s="2">
        <v>22</v>
      </c>
      <c r="M6670" t="s" s="2">
        <v>22</v>
      </c>
    </row>
    <row r="6671" ht="25.0" customHeight="true">
      <c r="A6671" t="s" s="2">
        <v>13</v>
      </c>
      <c r="B6671" t="s" s="2">
        <f>HYPERLINK("http://ts.21cn.com/tousu/show/id/1366077","借呗结清证明一直开不出来")</f>
      </c>
      <c r="C6671" t="s" s="2">
        <v>52</v>
      </c>
      <c r="D6671" t="s" s="2">
        <v>16</v>
      </c>
      <c r="E6671" t="s" s="2">
        <v>17</v>
      </c>
      <c r="F6671" t="s" s="2">
        <f>HYPERLINK("http://ts.21cn.com/tousu/show/id/1366077","http://ts.21cn.com/tousu/show/id/1366077")</f>
      </c>
      <c r="G6671" t="s" s="2">
        <v>17</v>
      </c>
      <c r="H6671" t="s" s="2">
        <v>19</v>
      </c>
      <c r="I6671" t="s" s="2">
        <v>25811</v>
      </c>
      <c r="J6671" t="s" s="2">
        <v>25812</v>
      </c>
      <c r="K6671" t="s" s="2">
        <v>22</v>
      </c>
      <c r="L6671" t="s" s="2">
        <v>22</v>
      </c>
      <c r="M6671" t="s" s="2">
        <v>22</v>
      </c>
    </row>
    <row r="6672" ht="25.0" customHeight="true">
      <c r="A6672" t="s" s="2">
        <v>13</v>
      </c>
      <c r="B6672" t="s" s="2">
        <f>HYPERLINK("http://ts.21cn.com/tousu/show/id/1366076","砍头息高利贷")</f>
      </c>
      <c r="C6672" t="s" s="2">
        <v>15</v>
      </c>
      <c r="D6672" t="s" s="2">
        <v>16</v>
      </c>
      <c r="E6672" t="s" s="2">
        <v>17</v>
      </c>
      <c r="F6672" t="s" s="2">
        <f>HYPERLINK("http://ts.21cn.com/tousu/show/id/1366076","http://ts.21cn.com/tousu/show/id/1366076")</f>
      </c>
      <c r="G6672" t="s" s="2">
        <v>17</v>
      </c>
      <c r="H6672" t="s" s="2">
        <v>19</v>
      </c>
      <c r="I6672" t="s" s="2">
        <v>25815</v>
      </c>
      <c r="J6672" t="s" s="2">
        <v>25816</v>
      </c>
      <c r="K6672" t="s" s="2">
        <v>22</v>
      </c>
      <c r="L6672" t="s" s="2">
        <v>22</v>
      </c>
      <c r="M6672" t="s" s="2">
        <v>22</v>
      </c>
    </row>
    <row r="6673" ht="25.0" customHeight="true">
      <c r="A6673" t="s" s="2">
        <v>13</v>
      </c>
      <c r="B6673" t="s" s="2">
        <f>HYPERLINK("http://ts.21cn.com/tousu/show/id/1366074","恐吓催收")</f>
      </c>
      <c r="C6673" t="s" s="2">
        <v>15</v>
      </c>
      <c r="D6673" t="s" s="2">
        <v>16</v>
      </c>
      <c r="E6673" t="s" s="2">
        <v>17</v>
      </c>
      <c r="F6673" t="s" s="2">
        <f>HYPERLINK("http://ts.21cn.com/tousu/show/id/1366074","http://ts.21cn.com/tousu/show/id/1366074")</f>
      </c>
      <c r="G6673" t="s" s="2">
        <v>17</v>
      </c>
      <c r="H6673" t="s" s="2">
        <v>19</v>
      </c>
      <c r="I6673" t="s" s="2">
        <v>25819</v>
      </c>
      <c r="J6673" t="s" s="2">
        <v>25820</v>
      </c>
      <c r="K6673" t="s" s="2">
        <v>22</v>
      </c>
      <c r="L6673" t="s" s="2">
        <v>22</v>
      </c>
      <c r="M6673" t="s" s="2">
        <v>22</v>
      </c>
    </row>
    <row r="6674" ht="25.0" customHeight="true">
      <c r="A6674" t="s" s="2">
        <v>13</v>
      </c>
      <c r="B6674" t="s" s="2">
        <f>HYPERLINK("http://ts.21cn.com/tousu/show/id/1366075","达内教育不给退课退费")</f>
      </c>
      <c r="C6674" t="s" s="2">
        <v>15</v>
      </c>
      <c r="D6674" t="s" s="2">
        <v>16</v>
      </c>
      <c r="E6674" t="s" s="2">
        <v>17</v>
      </c>
      <c r="F6674" t="s" s="2">
        <f>HYPERLINK("http://ts.21cn.com/tousu/show/id/1366075","http://ts.21cn.com/tousu/show/id/1366075")</f>
      </c>
      <c r="G6674" t="s" s="2">
        <v>17</v>
      </c>
      <c r="H6674" t="s" s="2">
        <v>19</v>
      </c>
      <c r="I6674" t="s" s="2">
        <v>25823</v>
      </c>
      <c r="J6674" t="s" s="2">
        <v>25824</v>
      </c>
      <c r="K6674" t="s" s="2">
        <v>22</v>
      </c>
      <c r="L6674" t="s" s="2">
        <v>22</v>
      </c>
      <c r="M6674" t="s" s="2">
        <v>22</v>
      </c>
    </row>
    <row r="6675" ht="25.0" customHeight="true">
      <c r="A6675" t="s" s="2">
        <v>13</v>
      </c>
      <c r="B6675" t="s" s="2">
        <f>HYPERLINK("http://ts.21cn.com/tousu/show/id/1366073","360借条暴力催收，威胁恐吓，不经允许联系我亲朋好友")</f>
      </c>
      <c r="C6675" t="s" s="2">
        <v>15</v>
      </c>
      <c r="D6675" t="s" s="2">
        <v>16</v>
      </c>
      <c r="E6675" t="s" s="2">
        <v>17</v>
      </c>
      <c r="F6675" t="s" s="2">
        <f>HYPERLINK("http://ts.21cn.com/tousu/show/id/1366073","http://ts.21cn.com/tousu/show/id/1366073")</f>
      </c>
      <c r="G6675" t="s" s="2">
        <v>17</v>
      </c>
      <c r="H6675" t="s" s="2">
        <v>19</v>
      </c>
      <c r="I6675" t="s" s="2">
        <v>25827</v>
      </c>
      <c r="J6675" t="s" s="2">
        <v>25828</v>
      </c>
      <c r="K6675" t="s" s="2">
        <v>22</v>
      </c>
      <c r="L6675" t="s" s="2">
        <v>22</v>
      </c>
      <c r="M6675" t="s" s="2">
        <v>22</v>
      </c>
    </row>
    <row r="6676" ht="25.0" customHeight="true">
      <c r="A6676" t="s" s="2">
        <v>13</v>
      </c>
      <c r="B6676" t="s" s="2">
        <f>HYPERLINK("http://ts.21cn.com/tousu/show/id/1366071","宜人贷砍头息，一天内爆通讯录")</f>
      </c>
      <c r="C6676" t="s" s="2">
        <v>15</v>
      </c>
      <c r="D6676" t="s" s="2">
        <v>16</v>
      </c>
      <c r="E6676" t="s" s="2">
        <v>17</v>
      </c>
      <c r="F6676" t="s" s="2">
        <f>HYPERLINK("http://ts.21cn.com/tousu/show/id/1366071","http://ts.21cn.com/tousu/show/id/1366071")</f>
      </c>
      <c r="G6676" t="s" s="2">
        <v>17</v>
      </c>
      <c r="H6676" t="s" s="2">
        <v>19</v>
      </c>
      <c r="I6676" t="s" s="2">
        <v>25831</v>
      </c>
      <c r="J6676" t="s" s="2">
        <v>25832</v>
      </c>
      <c r="K6676" t="s" s="2">
        <v>22</v>
      </c>
      <c r="L6676" t="s" s="2">
        <v>22</v>
      </c>
      <c r="M6676" t="s" s="2">
        <v>22</v>
      </c>
    </row>
    <row r="6677" ht="25.0" customHeight="true">
      <c r="A6677" t="s" s="2">
        <v>13</v>
      </c>
      <c r="B6677" t="s" s="2">
        <f>HYPERLINK("http://ts.21cn.com/tousu/show/id/1366072","本人被魔借平台暴力催收借2000还12000")</f>
      </c>
      <c r="C6677" t="s" s="2">
        <v>15</v>
      </c>
      <c r="D6677" t="s" s="2">
        <v>16</v>
      </c>
      <c r="E6677" t="s" s="2">
        <v>17</v>
      </c>
      <c r="F6677" t="s" s="2">
        <f>HYPERLINK("http://ts.21cn.com/tousu/show/id/1366072","http://ts.21cn.com/tousu/show/id/1366072")</f>
      </c>
      <c r="G6677" t="s" s="2">
        <v>17</v>
      </c>
      <c r="H6677" t="s" s="2">
        <v>19</v>
      </c>
      <c r="I6677" t="s" s="2">
        <v>25835</v>
      </c>
      <c r="J6677" t="s" s="2">
        <v>25836</v>
      </c>
      <c r="K6677" t="s" s="2">
        <v>22</v>
      </c>
      <c r="L6677" t="s" s="2">
        <v>22</v>
      </c>
      <c r="M6677" t="s" s="2">
        <v>22</v>
      </c>
    </row>
    <row r="6678" ht="25.0" customHeight="true">
      <c r="A6678" t="s" s="2">
        <v>13</v>
      </c>
      <c r="B6678" t="s" s="2">
        <f>HYPERLINK("http://ts.21cn.com/tousu/show/id/1366069","好运金砍头息")</f>
      </c>
      <c r="C6678" t="s" s="2">
        <v>52</v>
      </c>
      <c r="D6678" t="s" s="2">
        <v>16</v>
      </c>
      <c r="E6678" t="s" s="2">
        <v>17</v>
      </c>
      <c r="F6678" t="s" s="2">
        <f>HYPERLINK("http://ts.21cn.com/tousu/show/id/1366069","http://ts.21cn.com/tousu/show/id/1366069")</f>
      </c>
      <c r="G6678" t="s" s="2">
        <v>17</v>
      </c>
      <c r="H6678" t="s" s="2">
        <v>19</v>
      </c>
      <c r="I6678" t="s" s="2">
        <v>25839</v>
      </c>
      <c r="J6678" t="s" s="2">
        <v>25840</v>
      </c>
      <c r="K6678" t="s" s="2">
        <v>22</v>
      </c>
      <c r="L6678" t="s" s="2">
        <v>22</v>
      </c>
      <c r="M6678" t="s" s="2">
        <v>22</v>
      </c>
    </row>
    <row r="6679" ht="25.0" customHeight="true">
      <c r="A6679" t="s" s="2">
        <v>13</v>
      </c>
      <c r="B6679" t="s" s="2">
        <f>HYPERLINK("http://ts.21cn.com/tousu/show/id/1366068","成都立刻出行不退押金不接电话")</f>
      </c>
      <c r="C6679" t="s" s="2">
        <v>15</v>
      </c>
      <c r="D6679" t="s" s="2">
        <v>16</v>
      </c>
      <c r="E6679" t="s" s="2">
        <v>17</v>
      </c>
      <c r="F6679" t="s" s="2">
        <f>HYPERLINK("http://ts.21cn.com/tousu/show/id/1366068","http://ts.21cn.com/tousu/show/id/1366068")</f>
      </c>
      <c r="G6679" t="s" s="2">
        <v>17</v>
      </c>
      <c r="H6679" t="s" s="2">
        <v>19</v>
      </c>
      <c r="I6679" t="s" s="2">
        <v>25843</v>
      </c>
      <c r="J6679" t="s" s="2">
        <v>25844</v>
      </c>
      <c r="K6679" t="s" s="2">
        <v>22</v>
      </c>
      <c r="L6679" t="s" s="2">
        <v>22</v>
      </c>
      <c r="M6679" t="s" s="2">
        <v>22</v>
      </c>
    </row>
    <row r="6680" ht="25.0" customHeight="true">
      <c r="A6680" t="s" s="2">
        <v>13</v>
      </c>
      <c r="B6680" t="s" s="2">
        <f>HYPERLINK("http://ts.21cn.com/tousu/show/id/1366067","立借高利贷，提前结清不减免，费用不透明，不合理")</f>
      </c>
      <c r="C6680" t="s" s="2">
        <v>15</v>
      </c>
      <c r="D6680" t="s" s="2">
        <v>16</v>
      </c>
      <c r="E6680" t="s" s="2">
        <v>17</v>
      </c>
      <c r="F6680" t="s" s="2">
        <f>HYPERLINK("http://ts.21cn.com/tousu/show/id/1366067","http://ts.21cn.com/tousu/show/id/1366067")</f>
      </c>
      <c r="G6680" t="s" s="2">
        <v>17</v>
      </c>
      <c r="H6680" t="s" s="2">
        <v>19</v>
      </c>
      <c r="I6680" t="s" s="2">
        <v>25847</v>
      </c>
      <c r="J6680" t="s" s="2">
        <v>25848</v>
      </c>
      <c r="K6680" t="s" s="2">
        <v>22</v>
      </c>
      <c r="L6680" t="s" s="2">
        <v>22</v>
      </c>
      <c r="M6680" t="s" s="2">
        <v>22</v>
      </c>
    </row>
    <row r="6681" ht="25.0" customHeight="true">
      <c r="A6681" t="s" s="2">
        <v>13</v>
      </c>
      <c r="B6681" t="s" s="2">
        <f>HYPERLINK("http://ts.21cn.com/tousu/show/id/1366066","聚福钱包未经许可私自扣款")</f>
      </c>
      <c r="C6681" t="s" s="2">
        <v>15</v>
      </c>
      <c r="D6681" t="s" s="2">
        <v>16</v>
      </c>
      <c r="E6681" t="s" s="2">
        <v>17</v>
      </c>
      <c r="F6681" t="s" s="2">
        <f>HYPERLINK("http://ts.21cn.com/tousu/show/id/1366066","http://ts.21cn.com/tousu/show/id/1366066")</f>
      </c>
      <c r="G6681" t="s" s="2">
        <v>17</v>
      </c>
      <c r="H6681" t="s" s="2">
        <v>19</v>
      </c>
      <c r="I6681" t="s" s="2">
        <v>25850</v>
      </c>
      <c r="J6681" t="s" s="2">
        <v>25851</v>
      </c>
      <c r="K6681" t="s" s="2">
        <v>22</v>
      </c>
      <c r="L6681" t="s" s="2">
        <v>22</v>
      </c>
      <c r="M6681" t="s" s="2">
        <v>22</v>
      </c>
    </row>
    <row r="6682" ht="25.0" customHeight="true">
      <c r="A6682" t="s" s="2">
        <v>13</v>
      </c>
      <c r="B6682" t="s" s="2">
        <f>HYPERLINK("http://ts.21cn.com/tousu/show/id/1366065","高息暴力催收")</f>
      </c>
      <c r="C6682" t="s" s="2">
        <v>15</v>
      </c>
      <c r="D6682" t="s" s="2">
        <v>16</v>
      </c>
      <c r="E6682" t="s" s="2">
        <v>17</v>
      </c>
      <c r="F6682" t="s" s="2">
        <f>HYPERLINK("http://ts.21cn.com/tousu/show/id/1366065","http://ts.21cn.com/tousu/show/id/1366065")</f>
      </c>
      <c r="G6682" t="s" s="2">
        <v>17</v>
      </c>
      <c r="H6682" t="s" s="2">
        <v>19</v>
      </c>
      <c r="I6682" t="s" s="2">
        <v>25854</v>
      </c>
      <c r="J6682" t="s" s="2">
        <v>25855</v>
      </c>
      <c r="K6682" t="s" s="2">
        <v>22</v>
      </c>
      <c r="L6682" t="s" s="2">
        <v>22</v>
      </c>
      <c r="M6682" t="s" s="2">
        <v>22</v>
      </c>
    </row>
    <row r="6683" ht="25.0" customHeight="true">
      <c r="A6683" t="s" s="2">
        <v>13</v>
      </c>
      <c r="B6683" t="s" s="2">
        <f>HYPERLINK("http://ts.21cn.com/tousu/show/id/1366043","支付宝花呗支付16300元打电话给客服冻结，现在石沉大海，了无音讯")</f>
      </c>
      <c r="C6683" t="s" s="2">
        <v>15</v>
      </c>
      <c r="D6683" t="s" s="2">
        <v>16</v>
      </c>
      <c r="E6683" t="s" s="2">
        <v>17</v>
      </c>
      <c r="F6683" t="s" s="2">
        <f>HYPERLINK("http://ts.21cn.com/tousu/show/id/1366043","http://ts.21cn.com/tousu/show/id/1366043")</f>
      </c>
      <c r="G6683" t="s" s="2">
        <v>17</v>
      </c>
      <c r="H6683" t="s" s="2">
        <v>19</v>
      </c>
      <c r="I6683" t="s" s="2">
        <v>25858</v>
      </c>
      <c r="J6683" t="s" s="2">
        <v>25859</v>
      </c>
      <c r="K6683" t="s" s="2">
        <v>22</v>
      </c>
      <c r="L6683" t="s" s="2">
        <v>22</v>
      </c>
      <c r="M6683" t="s" s="2">
        <v>22</v>
      </c>
    </row>
    <row r="6684" ht="25.0" customHeight="true">
      <c r="A6684" t="s" s="2">
        <v>13</v>
      </c>
      <c r="B6684" t="s" s="2">
        <f>HYPERLINK("http://ts.21cn.com/tousu/show/id/1366064","借贷还款问题")</f>
      </c>
      <c r="C6684" t="s" s="2">
        <v>52</v>
      </c>
      <c r="D6684" t="s" s="2">
        <v>16</v>
      </c>
      <c r="E6684" t="s" s="2">
        <v>17</v>
      </c>
      <c r="F6684" t="s" s="2">
        <f>HYPERLINK("http://ts.21cn.com/tousu/show/id/1366064","http://ts.21cn.com/tousu/show/id/1366064")</f>
      </c>
      <c r="G6684" t="s" s="2">
        <v>17</v>
      </c>
      <c r="H6684" t="s" s="2">
        <v>19</v>
      </c>
      <c r="I6684" t="s" s="2">
        <v>25862</v>
      </c>
      <c r="J6684" t="s" s="2">
        <v>25863</v>
      </c>
      <c r="K6684" t="s" s="2">
        <v>22</v>
      </c>
      <c r="L6684" t="s" s="2">
        <v>22</v>
      </c>
      <c r="M6684" t="s" s="2">
        <v>22</v>
      </c>
    </row>
    <row r="6685" ht="25.0" customHeight="true">
      <c r="A6685" t="s" s="2">
        <v>13</v>
      </c>
      <c r="B6685" t="s" s="2">
        <f>HYPERLINK("http://ts.21cn.com/tousu/show/id/1366062","新浪钱包利息高的吓人")</f>
      </c>
      <c r="C6685" t="s" s="2">
        <v>52</v>
      </c>
      <c r="D6685" t="s" s="2">
        <v>16</v>
      </c>
      <c r="E6685" t="s" s="2">
        <v>17</v>
      </c>
      <c r="F6685" t="s" s="2">
        <f>HYPERLINK("http://ts.21cn.com/tousu/show/id/1366062","http://ts.21cn.com/tousu/show/id/1366062")</f>
      </c>
      <c r="G6685" t="s" s="2">
        <v>17</v>
      </c>
      <c r="H6685" t="s" s="2">
        <v>19</v>
      </c>
      <c r="I6685" t="s" s="2">
        <v>25866</v>
      </c>
      <c r="J6685" t="s" s="2">
        <v>25867</v>
      </c>
      <c r="K6685" t="s" s="2">
        <v>22</v>
      </c>
      <c r="L6685" t="s" s="2">
        <v>22</v>
      </c>
      <c r="M6685" t="s" s="2">
        <v>22</v>
      </c>
    </row>
    <row r="6686" ht="25.0" customHeight="true">
      <c r="A6686" t="s" s="2">
        <v>13</v>
      </c>
      <c r="B6686" t="s" s="2">
        <f>HYPERLINK("http://ts.21cn.com/tousu/show/id/1366061","现代金控无故调整费率坑害使用者")</f>
      </c>
      <c r="C6686" t="s" s="2">
        <v>15</v>
      </c>
      <c r="D6686" t="s" s="2">
        <v>16</v>
      </c>
      <c r="E6686" t="s" s="2">
        <v>17</v>
      </c>
      <c r="F6686" t="s" s="2">
        <f>HYPERLINK("http://ts.21cn.com/tousu/show/id/1366061","http://ts.21cn.com/tousu/show/id/1366061")</f>
      </c>
      <c r="G6686" t="s" s="2">
        <v>17</v>
      </c>
      <c r="H6686" t="s" s="2">
        <v>19</v>
      </c>
      <c r="I6686" t="s" s="2">
        <v>25870</v>
      </c>
      <c r="J6686" t="s" s="2">
        <v>25871</v>
      </c>
      <c r="K6686" t="s" s="2">
        <v>22</v>
      </c>
      <c r="L6686" t="s" s="2">
        <v>22</v>
      </c>
      <c r="M6686" t="s" s="2">
        <v>22</v>
      </c>
    </row>
    <row r="6687" ht="25.0" customHeight="true">
      <c r="A6687" t="s" s="2">
        <v>13</v>
      </c>
      <c r="B6687" t="s" s="2">
        <f>HYPERLINK("http://ts.21cn.com/tousu/show/id/1366060","请求借据商行返还账户余额")</f>
      </c>
      <c r="C6687" t="s" s="2">
        <v>15</v>
      </c>
      <c r="D6687" t="s" s="2">
        <v>16</v>
      </c>
      <c r="E6687" t="s" s="2">
        <v>17</v>
      </c>
      <c r="F6687" t="s" s="2">
        <f>HYPERLINK("http://ts.21cn.com/tousu/show/id/1366060","http://ts.21cn.com/tousu/show/id/1366060")</f>
      </c>
      <c r="G6687" t="s" s="2">
        <v>17</v>
      </c>
      <c r="H6687" t="s" s="2">
        <v>19</v>
      </c>
      <c r="I6687" t="s" s="2">
        <v>25874</v>
      </c>
      <c r="J6687" t="s" s="2">
        <v>25875</v>
      </c>
      <c r="K6687" t="s" s="2">
        <v>22</v>
      </c>
      <c r="L6687" t="s" s="2">
        <v>22</v>
      </c>
      <c r="M6687" t="s" s="2">
        <v>22</v>
      </c>
    </row>
    <row r="6688" ht="25.0" customHeight="true">
      <c r="A6688" t="s" s="2">
        <v>13</v>
      </c>
      <c r="B6688" t="s" s="2">
        <f>HYPERLINK("http://ts.21cn.com/tousu/show/id/1366058","阴阳合同")</f>
      </c>
      <c r="C6688" t="s" s="2">
        <v>15</v>
      </c>
      <c r="D6688" t="s" s="2">
        <v>16</v>
      </c>
      <c r="E6688" t="s" s="2">
        <v>17</v>
      </c>
      <c r="F6688" t="s" s="2">
        <f>HYPERLINK("http://ts.21cn.com/tousu/show/id/1366058","http://ts.21cn.com/tousu/show/id/1366058")</f>
      </c>
      <c r="G6688" t="s" s="2">
        <v>17</v>
      </c>
      <c r="H6688" t="s" s="2">
        <v>19</v>
      </c>
      <c r="I6688" t="s" s="2">
        <v>25878</v>
      </c>
      <c r="J6688" t="s" s="2">
        <v>25879</v>
      </c>
      <c r="K6688" t="s" s="2">
        <v>22</v>
      </c>
      <c r="L6688" t="s" s="2">
        <v>22</v>
      </c>
      <c r="M6688" t="s" s="2">
        <v>22</v>
      </c>
    </row>
    <row r="6689" ht="25.0" customHeight="true">
      <c r="A6689" t="s" s="2">
        <v>13</v>
      </c>
      <c r="B6689" t="s" s="2">
        <f>HYPERLINK("http://ts.21cn.com/tousu/show/id/1366057","马上消费金融暴力催收，还要来家里拉横幅")</f>
      </c>
      <c r="C6689" t="s" s="2">
        <v>15</v>
      </c>
      <c r="D6689" t="s" s="2">
        <v>16</v>
      </c>
      <c r="E6689" t="s" s="2">
        <v>17</v>
      </c>
      <c r="F6689" t="s" s="2">
        <f>HYPERLINK("http://ts.21cn.com/tousu/show/id/1366057","http://ts.21cn.com/tousu/show/id/1366057")</f>
      </c>
      <c r="G6689" t="s" s="2">
        <v>17</v>
      </c>
      <c r="H6689" t="s" s="2">
        <v>19</v>
      </c>
      <c r="I6689" t="s" s="2">
        <v>25882</v>
      </c>
      <c r="J6689" t="s" s="2">
        <v>25883</v>
      </c>
      <c r="K6689" t="s" s="2">
        <v>22</v>
      </c>
      <c r="L6689" t="s" s="2">
        <v>22</v>
      </c>
      <c r="M6689" t="s" s="2">
        <v>22</v>
      </c>
    </row>
    <row r="6690" ht="25.0" customHeight="true">
      <c r="A6690" t="s" s="2">
        <v>13</v>
      </c>
      <c r="B6690" t="s" s="2">
        <f>HYPERLINK("http://ts.21cn.com/tousu/show/id/1366055","通联支付宏萨信息科技有限公司恶意扣款")</f>
      </c>
      <c r="C6690" t="s" s="2">
        <v>15</v>
      </c>
      <c r="D6690" t="s" s="2">
        <v>16</v>
      </c>
      <c r="E6690" t="s" s="2">
        <v>17</v>
      </c>
      <c r="F6690" t="s" s="2">
        <f>HYPERLINK("http://ts.21cn.com/tousu/show/id/1366055","http://ts.21cn.com/tousu/show/id/1366055")</f>
      </c>
      <c r="G6690" t="s" s="2">
        <v>17</v>
      </c>
      <c r="H6690" t="s" s="2">
        <v>19</v>
      </c>
      <c r="I6690" t="s" s="2">
        <v>25886</v>
      </c>
      <c r="J6690" t="s" s="2">
        <v>25887</v>
      </c>
      <c r="K6690" t="s" s="2">
        <v>22</v>
      </c>
      <c r="L6690" t="s" s="2">
        <v>22</v>
      </c>
      <c r="M6690" t="s" s="2">
        <v>22</v>
      </c>
    </row>
    <row r="6691" ht="25.0" customHeight="true">
      <c r="A6691" t="s" s="2">
        <v>13</v>
      </c>
      <c r="B6691" t="s" s="2">
        <f>HYPERLINK("http://ts.21cn.com/tousu/show/id/1366054","腾讯会员乱扣费")</f>
      </c>
      <c r="C6691" t="s" s="2">
        <v>15</v>
      </c>
      <c r="D6691" t="s" s="2">
        <v>16</v>
      </c>
      <c r="E6691" t="s" s="2">
        <v>17</v>
      </c>
      <c r="F6691" t="s" s="2">
        <f>HYPERLINK("http://ts.21cn.com/tousu/show/id/1366054","http://ts.21cn.com/tousu/show/id/1366054")</f>
      </c>
      <c r="G6691" t="s" s="2">
        <v>17</v>
      </c>
      <c r="H6691" t="s" s="2">
        <v>19</v>
      </c>
      <c r="I6691" t="s" s="2">
        <v>25890</v>
      </c>
      <c r="J6691" t="s" s="2">
        <v>25891</v>
      </c>
      <c r="K6691" t="s" s="2">
        <v>22</v>
      </c>
      <c r="L6691" t="s" s="2">
        <v>22</v>
      </c>
      <c r="M6691" t="s" s="2">
        <v>22</v>
      </c>
    </row>
    <row r="6692" ht="25.0" customHeight="true">
      <c r="A6692" t="s" s="2">
        <v>13</v>
      </c>
      <c r="B6692" t="s" s="2">
        <f>HYPERLINK("http://ts.21cn.com/tousu/show/id/1366053","没借钱。来一催收上来就要爆通讯录")</f>
      </c>
      <c r="C6692" t="s" s="2">
        <v>15</v>
      </c>
      <c r="D6692" t="s" s="2">
        <v>16</v>
      </c>
      <c r="E6692" t="s" s="2">
        <v>17</v>
      </c>
      <c r="F6692" t="s" s="2">
        <f>HYPERLINK("http://ts.21cn.com/tousu/show/id/1366053","http://ts.21cn.com/tousu/show/id/1366053")</f>
      </c>
      <c r="G6692" t="s" s="2">
        <v>17</v>
      </c>
      <c r="H6692" t="s" s="2">
        <v>19</v>
      </c>
      <c r="I6692" t="s" s="2">
        <v>25894</v>
      </c>
      <c r="J6692" t="s" s="2">
        <v>25895</v>
      </c>
      <c r="K6692" t="s" s="2">
        <v>22</v>
      </c>
      <c r="L6692" t="s" s="2">
        <v>22</v>
      </c>
      <c r="M6692" t="s" s="2">
        <v>22</v>
      </c>
    </row>
    <row r="6693" ht="25.0" customHeight="true">
      <c r="A6693" t="s" s="2">
        <v>13</v>
      </c>
      <c r="B6693" t="s" s="2">
        <f>HYPERLINK("http://ts.21cn.com/tousu/show/id/1366052","申请减免")</f>
      </c>
      <c r="C6693" t="s" s="2">
        <v>15</v>
      </c>
      <c r="D6693" t="s" s="2">
        <v>16</v>
      </c>
      <c r="E6693" t="s" s="2">
        <v>17</v>
      </c>
      <c r="F6693" t="s" s="2">
        <f>HYPERLINK("http://ts.21cn.com/tousu/show/id/1366052","http://ts.21cn.com/tousu/show/id/1366052")</f>
      </c>
      <c r="G6693" t="s" s="2">
        <v>17</v>
      </c>
      <c r="H6693" t="s" s="2">
        <v>19</v>
      </c>
      <c r="I6693" t="s" s="2">
        <v>25898</v>
      </c>
      <c r="J6693" t="s" s="2">
        <v>25899</v>
      </c>
      <c r="K6693" t="s" s="2">
        <v>22</v>
      </c>
      <c r="L6693" t="s" s="2">
        <v>22</v>
      </c>
      <c r="M6693" t="s" s="2">
        <v>22</v>
      </c>
    </row>
    <row r="6694" ht="25.0" customHeight="true">
      <c r="A6694" t="s" s="2">
        <v>13</v>
      </c>
      <c r="B6694" t="s" s="2">
        <f>HYPERLINK("http://ts.21cn.com/tousu/show/id/1366051","投诉泉州银行违规违法为境外博彩平台提供充值通道")</f>
      </c>
      <c r="C6694" t="s" s="2">
        <v>15</v>
      </c>
      <c r="D6694" t="s" s="2">
        <v>16</v>
      </c>
      <c r="E6694" t="s" s="2">
        <v>17</v>
      </c>
      <c r="F6694" t="s" s="2">
        <f>HYPERLINK("http://ts.21cn.com/tousu/show/id/1366051","http://ts.21cn.com/tousu/show/id/1366051")</f>
      </c>
      <c r="G6694" t="s" s="2">
        <v>17</v>
      </c>
      <c r="H6694" t="s" s="2">
        <v>19</v>
      </c>
      <c r="I6694" t="s" s="2">
        <v>25902</v>
      </c>
      <c r="J6694" t="s" s="2">
        <v>14037</v>
      </c>
      <c r="K6694" t="s" s="2">
        <v>22</v>
      </c>
      <c r="L6694" t="s" s="2">
        <v>22</v>
      </c>
      <c r="M6694" t="s" s="2">
        <v>22</v>
      </c>
    </row>
    <row r="6695" ht="25.0" customHeight="true">
      <c r="A6695" t="s" s="2">
        <v>13</v>
      </c>
      <c r="B6695" t="s" s="2">
        <f>HYPERLINK("http://ts.21cn.com/tousu/show/id/1366050","平台处理恶意评价不合理")</f>
      </c>
      <c r="C6695" t="s" s="2">
        <v>15</v>
      </c>
      <c r="D6695" t="s" s="2">
        <v>16</v>
      </c>
      <c r="E6695" t="s" s="2">
        <v>17</v>
      </c>
      <c r="F6695" t="s" s="2">
        <f>HYPERLINK("http://ts.21cn.com/tousu/show/id/1366050","http://ts.21cn.com/tousu/show/id/1366050")</f>
      </c>
      <c r="G6695" t="s" s="2">
        <v>17</v>
      </c>
      <c r="H6695" t="s" s="2">
        <v>19</v>
      </c>
      <c r="I6695" t="s" s="2">
        <v>25905</v>
      </c>
      <c r="J6695" t="s" s="2">
        <v>25906</v>
      </c>
      <c r="K6695" t="s" s="2">
        <v>22</v>
      </c>
      <c r="L6695" t="s" s="2">
        <v>22</v>
      </c>
      <c r="M6695" t="s" s="2">
        <v>22</v>
      </c>
    </row>
    <row r="6696" ht="25.0" customHeight="true">
      <c r="A6696" t="s" s="2">
        <v>13</v>
      </c>
      <c r="B6696" t="s" s="2">
        <f>HYPERLINK("http://ts.21cn.com/tousu/show/id/1366045","钱站威胁还款")</f>
      </c>
      <c r="C6696" t="s" s="2">
        <v>15</v>
      </c>
      <c r="D6696" t="s" s="2">
        <v>16</v>
      </c>
      <c r="E6696" t="s" s="2">
        <v>17</v>
      </c>
      <c r="F6696" t="s" s="2">
        <f>HYPERLINK("http://ts.21cn.com/tousu/show/id/1366045","http://ts.21cn.com/tousu/show/id/1366045")</f>
      </c>
      <c r="G6696" t="s" s="2">
        <v>17</v>
      </c>
      <c r="H6696" t="s" s="2">
        <v>19</v>
      </c>
      <c r="I6696" t="s" s="2">
        <v>25909</v>
      </c>
      <c r="J6696" t="s" s="2">
        <v>25910</v>
      </c>
      <c r="K6696" t="s" s="2">
        <v>22</v>
      </c>
      <c r="L6696" t="s" s="2">
        <v>22</v>
      </c>
      <c r="M6696" t="s" s="2">
        <v>22</v>
      </c>
    </row>
    <row r="6697" ht="25.0" customHeight="true">
      <c r="A6697" t="s" s="2">
        <v>13</v>
      </c>
      <c r="B6697" t="s" s="2">
        <f>HYPERLINK("http://ts.21cn.com/tousu/show/id/1366044","闪银协商处理")</f>
      </c>
      <c r="C6697" t="s" s="2">
        <v>15</v>
      </c>
      <c r="D6697" t="s" s="2">
        <v>16</v>
      </c>
      <c r="E6697" t="s" s="2">
        <v>17</v>
      </c>
      <c r="F6697" t="s" s="2">
        <f>HYPERLINK("http://ts.21cn.com/tousu/show/id/1366044","http://ts.21cn.com/tousu/show/id/1366044")</f>
      </c>
      <c r="G6697" t="s" s="2">
        <v>17</v>
      </c>
      <c r="H6697" t="s" s="2">
        <v>19</v>
      </c>
      <c r="I6697" t="s" s="2">
        <v>25913</v>
      </c>
      <c r="J6697" t="s" s="2">
        <v>25914</v>
      </c>
      <c r="K6697" t="s" s="2">
        <v>22</v>
      </c>
      <c r="L6697" t="s" s="2">
        <v>22</v>
      </c>
      <c r="M6697" t="s" s="2">
        <v>22</v>
      </c>
    </row>
    <row r="6698" ht="25.0" customHeight="true">
      <c r="A6698" t="s" s="2">
        <v>13</v>
      </c>
      <c r="B6698" t="s" s="2">
        <f>HYPERLINK("http://ts.21cn.com/tousu/show/id/1366041","骚扰我的朋友侵犯个人信息高利贷")</f>
      </c>
      <c r="C6698" t="s" s="2">
        <v>15</v>
      </c>
      <c r="D6698" t="s" s="2">
        <v>16</v>
      </c>
      <c r="E6698" t="s" s="2">
        <v>17</v>
      </c>
      <c r="F6698" t="s" s="2">
        <f>HYPERLINK("http://ts.21cn.com/tousu/show/id/1366041","http://ts.21cn.com/tousu/show/id/1366041")</f>
      </c>
      <c r="G6698" t="s" s="2">
        <v>17</v>
      </c>
      <c r="H6698" t="s" s="2">
        <v>19</v>
      </c>
      <c r="I6698" t="s" s="2">
        <v>25917</v>
      </c>
      <c r="J6698" t="s" s="2">
        <v>25918</v>
      </c>
      <c r="K6698" t="s" s="2">
        <v>22</v>
      </c>
      <c r="L6698" t="s" s="2">
        <v>22</v>
      </c>
      <c r="M6698" t="s" s="2">
        <v>22</v>
      </c>
    </row>
    <row r="6699" ht="25.0" customHeight="true">
      <c r="A6699" t="s" s="2">
        <v>13</v>
      </c>
      <c r="B6699" t="s" s="2">
        <f>HYPERLINK("http://ts.21cn.com/tousu/show/id/1366042","平安普惠i贷还款难")</f>
      </c>
      <c r="C6699" t="s" s="2">
        <v>52</v>
      </c>
      <c r="D6699" t="s" s="2">
        <v>16</v>
      </c>
      <c r="E6699" t="s" s="2">
        <v>17</v>
      </c>
      <c r="F6699" t="s" s="2">
        <f>HYPERLINK("http://ts.21cn.com/tousu/show/id/1366042","http://ts.21cn.com/tousu/show/id/1366042")</f>
      </c>
      <c r="G6699" t="s" s="2">
        <v>17</v>
      </c>
      <c r="H6699" t="s" s="2">
        <v>19</v>
      </c>
      <c r="I6699" t="s" s="2">
        <v>25921</v>
      </c>
      <c r="J6699" t="s" s="2">
        <v>25922</v>
      </c>
      <c r="K6699" t="s" s="2">
        <v>22</v>
      </c>
      <c r="L6699" t="s" s="2">
        <v>22</v>
      </c>
      <c r="M6699" t="s" s="2">
        <v>22</v>
      </c>
    </row>
    <row r="6700" ht="25.0" customHeight="true">
      <c r="A6700" t="s" s="2">
        <v>13</v>
      </c>
      <c r="B6700" t="s" s="2">
        <f>HYPERLINK("http://ts.21cn.com/tousu/show/id/1366040","闪电借款暴力催收")</f>
      </c>
      <c r="C6700" t="s" s="2">
        <v>15</v>
      </c>
      <c r="D6700" t="s" s="2">
        <v>16</v>
      </c>
      <c r="E6700" t="s" s="2">
        <v>17</v>
      </c>
      <c r="F6700" t="s" s="2">
        <f>HYPERLINK("http://ts.21cn.com/tousu/show/id/1366040","http://ts.21cn.com/tousu/show/id/1366040")</f>
      </c>
      <c r="G6700" t="s" s="2">
        <v>17</v>
      </c>
      <c r="H6700" t="s" s="2">
        <v>19</v>
      </c>
      <c r="I6700" t="s" s="2">
        <v>25924</v>
      </c>
      <c r="J6700" t="s" s="2">
        <v>25925</v>
      </c>
      <c r="K6700" t="s" s="2">
        <v>22</v>
      </c>
      <c r="L6700" t="s" s="2">
        <v>22</v>
      </c>
      <c r="M6700" t="s" s="2">
        <v>22</v>
      </c>
    </row>
    <row r="6701" ht="25.0" customHeight="true">
      <c r="A6701" t="s" s="2">
        <v>13</v>
      </c>
      <c r="B6701" t="s" s="2">
        <f>HYPERLINK("http://ts.21cn.com/tousu/show/id/1366039","骚扰")</f>
      </c>
      <c r="C6701" t="s" s="2">
        <v>15</v>
      </c>
      <c r="D6701" t="s" s="2">
        <v>16</v>
      </c>
      <c r="E6701" t="s" s="2">
        <v>17</v>
      </c>
      <c r="F6701" t="s" s="2">
        <f>HYPERLINK("http://ts.21cn.com/tousu/show/id/1366039","http://ts.21cn.com/tousu/show/id/1366039")</f>
      </c>
      <c r="G6701" t="s" s="2">
        <v>17</v>
      </c>
      <c r="H6701" t="s" s="2">
        <v>19</v>
      </c>
      <c r="I6701" t="s" s="2">
        <v>25927</v>
      </c>
      <c r="J6701" t="s" s="2">
        <v>25928</v>
      </c>
      <c r="K6701" t="s" s="2">
        <v>22</v>
      </c>
      <c r="L6701" t="s" s="2">
        <v>22</v>
      </c>
      <c r="M6701" t="s" s="2">
        <v>22</v>
      </c>
    </row>
    <row r="6702" ht="25.0" customHeight="true">
      <c r="A6702" t="s" s="2">
        <v>13</v>
      </c>
      <c r="B6702" t="s" s="2">
        <f>HYPERLINK("http://ts.21cn.com/tousu/show/id/1366038","我想退学，尚德机构他们不予许")</f>
      </c>
      <c r="C6702" t="s" s="2">
        <v>15</v>
      </c>
      <c r="D6702" t="s" s="2">
        <v>16</v>
      </c>
      <c r="E6702" t="s" s="2">
        <v>17</v>
      </c>
      <c r="F6702" t="s" s="2">
        <f>HYPERLINK("http://ts.21cn.com/tousu/show/id/1366038","http://ts.21cn.com/tousu/show/id/1366038")</f>
      </c>
      <c r="G6702" t="s" s="2">
        <v>17</v>
      </c>
      <c r="H6702" t="s" s="2">
        <v>19</v>
      </c>
      <c r="I6702" t="s" s="2">
        <v>25931</v>
      </c>
      <c r="J6702" t="s" s="2">
        <v>25932</v>
      </c>
      <c r="K6702" t="s" s="2">
        <v>22</v>
      </c>
      <c r="L6702" t="s" s="2">
        <v>22</v>
      </c>
      <c r="M6702" t="s" s="2">
        <v>22</v>
      </c>
    </row>
    <row r="6703" ht="25.0" customHeight="true">
      <c r="A6703" t="s" s="2">
        <v>13</v>
      </c>
      <c r="B6703" t="s" s="2">
        <f>HYPERLINK("http://ts.21cn.com/tousu/show/id/1366036","暴力催收，电话辱骂，短信轰炸")</f>
      </c>
      <c r="C6703" t="s" s="2">
        <v>15</v>
      </c>
      <c r="D6703" t="s" s="2">
        <v>16</v>
      </c>
      <c r="E6703" t="s" s="2">
        <v>17</v>
      </c>
      <c r="F6703" t="s" s="2">
        <f>HYPERLINK("http://ts.21cn.com/tousu/show/id/1366036","http://ts.21cn.com/tousu/show/id/1366036")</f>
      </c>
      <c r="G6703" t="s" s="2">
        <v>17</v>
      </c>
      <c r="H6703" t="s" s="2">
        <v>19</v>
      </c>
      <c r="I6703" t="s" s="2">
        <v>25935</v>
      </c>
      <c r="J6703" t="s" s="2">
        <v>25936</v>
      </c>
      <c r="K6703" t="s" s="2">
        <v>22</v>
      </c>
      <c r="L6703" t="s" s="2">
        <v>22</v>
      </c>
      <c r="M6703" t="s" s="2">
        <v>22</v>
      </c>
    </row>
    <row r="6704" ht="25.0" customHeight="true">
      <c r="A6704" t="s" s="2">
        <v>13</v>
      </c>
      <c r="B6704" t="s" s="2">
        <f>HYPERLINK("http://ts.21cn.com/tousu/show/id/1366035","玖富万卡擅自改写合同，变相收取费用，高利贷")</f>
      </c>
      <c r="C6704" t="s" s="2">
        <v>15</v>
      </c>
      <c r="D6704" t="s" s="2">
        <v>16</v>
      </c>
      <c r="E6704" t="s" s="2">
        <v>17</v>
      </c>
      <c r="F6704" t="s" s="2">
        <f>HYPERLINK("http://ts.21cn.com/tousu/show/id/1366035","http://ts.21cn.com/tousu/show/id/1366035")</f>
      </c>
      <c r="G6704" t="s" s="2">
        <v>17</v>
      </c>
      <c r="H6704" t="s" s="2">
        <v>19</v>
      </c>
      <c r="I6704" t="s" s="2">
        <v>25938</v>
      </c>
      <c r="J6704" t="s" s="2">
        <v>25939</v>
      </c>
      <c r="K6704" t="s" s="2">
        <v>22</v>
      </c>
      <c r="L6704" t="s" s="2">
        <v>22</v>
      </c>
      <c r="M6704" t="s" s="2">
        <v>22</v>
      </c>
    </row>
    <row r="6705" ht="25.0" customHeight="true">
      <c r="A6705" t="s" s="2">
        <v>13</v>
      </c>
      <c r="B6705" t="s" s="2">
        <f>HYPERLINK("http://ts.21cn.com/tousu/show/id/1366033","中信银行乱扣费")</f>
      </c>
      <c r="C6705" t="s" s="2">
        <v>15</v>
      </c>
      <c r="D6705" t="s" s="2">
        <v>16</v>
      </c>
      <c r="E6705" t="s" s="2">
        <v>17</v>
      </c>
      <c r="F6705" t="s" s="2">
        <f>HYPERLINK("http://ts.21cn.com/tousu/show/id/1366033","http://ts.21cn.com/tousu/show/id/1366033")</f>
      </c>
      <c r="G6705" t="s" s="2">
        <v>17</v>
      </c>
      <c r="H6705" t="s" s="2">
        <v>19</v>
      </c>
      <c r="I6705" t="s" s="2">
        <v>25942</v>
      </c>
      <c r="J6705" t="s" s="2">
        <v>25943</v>
      </c>
      <c r="K6705" t="s" s="2">
        <v>22</v>
      </c>
      <c r="L6705" t="s" s="2">
        <v>22</v>
      </c>
      <c r="M6705" t="s" s="2">
        <v>22</v>
      </c>
    </row>
    <row r="6706" ht="25.0" customHeight="true">
      <c r="A6706" t="s" s="2">
        <v>13</v>
      </c>
      <c r="B6706" t="s" s="2">
        <f>HYPERLINK("http://ts.21cn.com/tousu/show/id/1366034","投诉白领贷超高利息，请求退还多支付的利息钱。")</f>
      </c>
      <c r="C6706" t="s" s="2">
        <v>15</v>
      </c>
      <c r="D6706" t="s" s="2">
        <v>16</v>
      </c>
      <c r="E6706" t="s" s="2">
        <v>17</v>
      </c>
      <c r="F6706" t="s" s="2">
        <f>HYPERLINK("http://ts.21cn.com/tousu/show/id/1366034","http://ts.21cn.com/tousu/show/id/1366034")</f>
      </c>
      <c r="G6706" t="s" s="2">
        <v>17</v>
      </c>
      <c r="H6706" t="s" s="2">
        <v>19</v>
      </c>
      <c r="I6706" t="s" s="2">
        <v>25946</v>
      </c>
      <c r="J6706" t="s" s="2">
        <v>25947</v>
      </c>
      <c r="K6706" t="s" s="2">
        <v>22</v>
      </c>
      <c r="L6706" t="s" s="2">
        <v>22</v>
      </c>
      <c r="M6706" t="s" s="2">
        <v>22</v>
      </c>
    </row>
    <row r="6707" ht="25.0" customHeight="true">
      <c r="A6707" t="s" s="2">
        <v>13</v>
      </c>
      <c r="B6707" t="s" s="2">
        <f>HYPERLINK("http://ts.21cn.com/tousu/show/id/1366032","新橙优品高利贷砍头息")</f>
      </c>
      <c r="C6707" t="s" s="2">
        <v>15</v>
      </c>
      <c r="D6707" t="s" s="2">
        <v>16</v>
      </c>
      <c r="E6707" t="s" s="2">
        <v>17</v>
      </c>
      <c r="F6707" t="s" s="2">
        <f>HYPERLINK("http://ts.21cn.com/tousu/show/id/1366032","http://ts.21cn.com/tousu/show/id/1366032")</f>
      </c>
      <c r="G6707" t="s" s="2">
        <v>17</v>
      </c>
      <c r="H6707" t="s" s="2">
        <v>19</v>
      </c>
      <c r="I6707" t="s" s="2">
        <v>25950</v>
      </c>
      <c r="J6707" t="s" s="2">
        <v>25951</v>
      </c>
      <c r="K6707" t="s" s="2">
        <v>22</v>
      </c>
      <c r="L6707" t="s" s="2">
        <v>22</v>
      </c>
      <c r="M6707" t="s" s="2">
        <v>22</v>
      </c>
    </row>
    <row r="6708" ht="25.0" customHeight="true">
      <c r="A6708" t="s" s="2">
        <v>13</v>
      </c>
      <c r="B6708" t="s" s="2">
        <f>HYPERLINK("http://ts.21cn.com/tousu/show/id/1366031","神马借套路贷收取高额逾期费并威胁、暴力催收")</f>
      </c>
      <c r="C6708" t="s" s="2">
        <v>15</v>
      </c>
      <c r="D6708" t="s" s="2">
        <v>16</v>
      </c>
      <c r="E6708" t="s" s="2">
        <v>17</v>
      </c>
      <c r="F6708" t="s" s="2">
        <f>HYPERLINK("http://ts.21cn.com/tousu/show/id/1366031","http://ts.21cn.com/tousu/show/id/1366031")</f>
      </c>
      <c r="G6708" t="s" s="2">
        <v>17</v>
      </c>
      <c r="H6708" t="s" s="2">
        <v>19</v>
      </c>
      <c r="I6708" t="s" s="2">
        <v>25954</v>
      </c>
      <c r="J6708" t="s" s="2">
        <v>25955</v>
      </c>
      <c r="K6708" t="s" s="2">
        <v>22</v>
      </c>
      <c r="L6708" t="s" s="2">
        <v>22</v>
      </c>
      <c r="M6708" t="s" s="2">
        <v>22</v>
      </c>
    </row>
    <row r="6709" ht="25.0" customHeight="true">
      <c r="A6709" t="s" s="2">
        <v>13</v>
      </c>
      <c r="B6709" t="s" s="2">
        <f>HYPERLINK("http://ts.21cn.com/tousu/show/id/1366030","投诉人人贷阴阳合同")</f>
      </c>
      <c r="C6709" t="s" s="2">
        <v>15</v>
      </c>
      <c r="D6709" t="s" s="2">
        <v>16</v>
      </c>
      <c r="E6709" t="s" s="2">
        <v>17</v>
      </c>
      <c r="F6709" t="s" s="2">
        <f>HYPERLINK("http://ts.21cn.com/tousu/show/id/1366030","http://ts.21cn.com/tousu/show/id/1366030")</f>
      </c>
      <c r="G6709" t="s" s="2">
        <v>17</v>
      </c>
      <c r="H6709" t="s" s="2">
        <v>19</v>
      </c>
      <c r="I6709" t="s" s="2">
        <v>25958</v>
      </c>
      <c r="J6709" t="s" s="2">
        <v>25959</v>
      </c>
      <c r="K6709" t="s" s="2">
        <v>22</v>
      </c>
      <c r="L6709" t="s" s="2">
        <v>22</v>
      </c>
      <c r="M6709" t="s" s="2">
        <v>22</v>
      </c>
    </row>
    <row r="6710" ht="25.0" customHeight="true">
      <c r="A6710" t="s" s="2">
        <v>13</v>
      </c>
      <c r="B6710" t="s" s="2">
        <f>HYPERLINK("http://ts.21cn.com/tousu/show/id/1365969","我在点点来钱APP绑定了银行卡莫名被扣了90这个变相非法集资")</f>
      </c>
      <c r="C6710" t="s" s="2">
        <v>15</v>
      </c>
      <c r="D6710" t="s" s="2">
        <v>16</v>
      </c>
      <c r="E6710" t="s" s="2">
        <v>17</v>
      </c>
      <c r="F6710" t="s" s="2">
        <f>HYPERLINK("http://ts.21cn.com/tousu/show/id/1365969","http://ts.21cn.com/tousu/show/id/1365969")</f>
      </c>
      <c r="G6710" t="s" s="2">
        <v>17</v>
      </c>
      <c r="H6710" t="s" s="2">
        <v>19</v>
      </c>
      <c r="I6710" t="s" s="2">
        <v>25962</v>
      </c>
      <c r="J6710" t="s" s="2">
        <v>25963</v>
      </c>
      <c r="K6710" t="s" s="2">
        <v>22</v>
      </c>
      <c r="L6710" t="s" s="2">
        <v>22</v>
      </c>
      <c r="M6710" t="s" s="2">
        <v>22</v>
      </c>
    </row>
    <row r="6711" ht="25.0" customHeight="true">
      <c r="A6711" t="s" s="2">
        <v>13</v>
      </c>
      <c r="B6711" t="s" s="2">
        <f>HYPERLINK("http://ts.21cn.com/tousu/show/id/1366029","在信用管家并没有没结清的贷款，收到催收电话让我还款")</f>
      </c>
      <c r="C6711" t="s" s="2">
        <v>52</v>
      </c>
      <c r="D6711" t="s" s="2">
        <v>16</v>
      </c>
      <c r="E6711" t="s" s="2">
        <v>17</v>
      </c>
      <c r="F6711" t="s" s="2">
        <f>HYPERLINK("http://ts.21cn.com/tousu/show/id/1366029","http://ts.21cn.com/tousu/show/id/1366029")</f>
      </c>
      <c r="G6711" t="s" s="2">
        <v>17</v>
      </c>
      <c r="H6711" t="s" s="2">
        <v>19</v>
      </c>
      <c r="I6711" t="s" s="2">
        <v>25966</v>
      </c>
      <c r="J6711" t="s" s="2">
        <v>25967</v>
      </c>
      <c r="K6711" t="s" s="2">
        <v>22</v>
      </c>
      <c r="L6711" t="s" s="2">
        <v>22</v>
      </c>
      <c r="M6711" t="s" s="2">
        <v>22</v>
      </c>
    </row>
    <row r="6712" ht="25.0" customHeight="true">
      <c r="A6712" t="s" s="2">
        <v>13</v>
      </c>
      <c r="B6712" t="s" s="2">
        <f>HYPERLINK("http://ts.21cn.com/tousu/show/id/1366028","有用分期，高利贷，威胁，恐吓")</f>
      </c>
      <c r="C6712" t="s" s="2">
        <v>15</v>
      </c>
      <c r="D6712" t="s" s="2">
        <v>16</v>
      </c>
      <c r="E6712" t="s" s="2">
        <v>17</v>
      </c>
      <c r="F6712" t="s" s="2">
        <f>HYPERLINK("http://ts.21cn.com/tousu/show/id/1366028","http://ts.21cn.com/tousu/show/id/1366028")</f>
      </c>
      <c r="G6712" t="s" s="2">
        <v>17</v>
      </c>
      <c r="H6712" t="s" s="2">
        <v>19</v>
      </c>
      <c r="I6712" t="s" s="2">
        <v>25970</v>
      </c>
      <c r="J6712" t="s" s="2">
        <v>25971</v>
      </c>
      <c r="K6712" t="s" s="2">
        <v>22</v>
      </c>
      <c r="L6712" t="s" s="2">
        <v>22</v>
      </c>
      <c r="M6712" t="s" s="2">
        <v>22</v>
      </c>
    </row>
    <row r="6713" ht="25.0" customHeight="true">
      <c r="A6713" t="s" s="2">
        <v>13</v>
      </c>
      <c r="B6713" t="s" s="2">
        <f>HYPERLINK("http://ts.21cn.com/tousu/show/id/1366025","你我贷暴力催收高利贷")</f>
      </c>
      <c r="C6713" t="s" s="2">
        <v>15</v>
      </c>
      <c r="D6713" t="s" s="2">
        <v>16</v>
      </c>
      <c r="E6713" t="s" s="2">
        <v>17</v>
      </c>
      <c r="F6713" t="s" s="2">
        <f>HYPERLINK("http://ts.21cn.com/tousu/show/id/1366025","http://ts.21cn.com/tousu/show/id/1366025")</f>
      </c>
      <c r="G6713" t="s" s="2">
        <v>17</v>
      </c>
      <c r="H6713" t="s" s="2">
        <v>19</v>
      </c>
      <c r="I6713" t="s" s="2">
        <v>25973</v>
      </c>
      <c r="J6713" t="s" s="2">
        <v>25974</v>
      </c>
      <c r="K6713" t="s" s="2">
        <v>22</v>
      </c>
      <c r="L6713" t="s" s="2">
        <v>22</v>
      </c>
      <c r="M6713" t="s" s="2">
        <v>22</v>
      </c>
    </row>
    <row r="6714" ht="25.0" customHeight="true">
      <c r="A6714" t="s" s="2">
        <v>13</v>
      </c>
      <c r="B6714" t="s" s="2">
        <f>HYPERLINK("http://ts.21cn.com/tousu/show/id/1366024","交通银行暴力催收，恶意骚扰亲朋好友")</f>
      </c>
      <c r="C6714" t="s" s="2">
        <v>15</v>
      </c>
      <c r="D6714" t="s" s="2">
        <v>16</v>
      </c>
      <c r="E6714" t="s" s="2">
        <v>17</v>
      </c>
      <c r="F6714" t="s" s="2">
        <f>HYPERLINK("http://ts.21cn.com/tousu/show/id/1366024","http://ts.21cn.com/tousu/show/id/1366024")</f>
      </c>
      <c r="G6714" t="s" s="2">
        <v>17</v>
      </c>
      <c r="H6714" t="s" s="2">
        <v>19</v>
      </c>
      <c r="I6714" t="s" s="2">
        <v>25977</v>
      </c>
      <c r="J6714" t="s" s="2">
        <v>25978</v>
      </c>
      <c r="K6714" t="s" s="2">
        <v>22</v>
      </c>
      <c r="L6714" t="s" s="2">
        <v>22</v>
      </c>
      <c r="M6714" t="s" s="2">
        <v>22</v>
      </c>
    </row>
    <row r="6715" ht="25.0" customHeight="true">
      <c r="A6715" t="s" s="2">
        <v>13</v>
      </c>
      <c r="B6715" t="s" s="2">
        <f>HYPERLINK("http://ts.21cn.com/tousu/show/id/1366023","3年10万公里减震漏油不给换")</f>
      </c>
      <c r="C6715" t="s" s="2">
        <v>52</v>
      </c>
      <c r="D6715" t="s" s="2">
        <v>16</v>
      </c>
      <c r="E6715" t="s" s="2">
        <v>17</v>
      </c>
      <c r="F6715" t="s" s="2">
        <f>HYPERLINK("http://ts.21cn.com/tousu/show/id/1366023","http://ts.21cn.com/tousu/show/id/1366023")</f>
      </c>
      <c r="G6715" t="s" s="2">
        <v>17</v>
      </c>
      <c r="H6715" t="s" s="2">
        <v>19</v>
      </c>
      <c r="I6715" t="s" s="2">
        <v>25981</v>
      </c>
      <c r="J6715" t="s" s="2">
        <v>25982</v>
      </c>
      <c r="K6715" t="s" s="2">
        <v>22</v>
      </c>
      <c r="L6715" t="s" s="2">
        <v>22</v>
      </c>
      <c r="M6715" t="s" s="2">
        <v>22</v>
      </c>
    </row>
    <row r="6716" ht="25.0" customHeight="true">
      <c r="A6716" t="s" s="2">
        <v>13</v>
      </c>
      <c r="B6716" t="s" s="2">
        <f>HYPERLINK("http://ts.21cn.com/tousu/show/id/1366022","爱钱进高利贷")</f>
      </c>
      <c r="C6716" t="s" s="2">
        <v>15</v>
      </c>
      <c r="D6716" t="s" s="2">
        <v>16</v>
      </c>
      <c r="E6716" t="s" s="2">
        <v>17</v>
      </c>
      <c r="F6716" t="s" s="2">
        <f>HYPERLINK("http://ts.21cn.com/tousu/show/id/1366022","http://ts.21cn.com/tousu/show/id/1366022")</f>
      </c>
      <c r="G6716" t="s" s="2">
        <v>17</v>
      </c>
      <c r="H6716" t="s" s="2">
        <v>19</v>
      </c>
      <c r="I6716" t="s" s="2">
        <v>25985</v>
      </c>
      <c r="J6716" t="s" s="2">
        <v>25986</v>
      </c>
      <c r="K6716" t="s" s="2">
        <v>22</v>
      </c>
      <c r="L6716" t="s" s="2">
        <v>22</v>
      </c>
      <c r="M6716" t="s" s="2">
        <v>22</v>
      </c>
    </row>
    <row r="6717" ht="25.0" customHeight="true">
      <c r="A6717" t="s" s="2">
        <v>13</v>
      </c>
      <c r="B6717" t="s" s="2">
        <f>HYPERLINK("http://ts.21cn.com/tousu/show/id/1366021","快贷钱伴高利贷爆通讯录")</f>
      </c>
      <c r="C6717" t="s" s="2">
        <v>15</v>
      </c>
      <c r="D6717" t="s" s="2">
        <v>16</v>
      </c>
      <c r="E6717" t="s" s="2">
        <v>17</v>
      </c>
      <c r="F6717" t="s" s="2">
        <f>HYPERLINK("http://ts.21cn.com/tousu/show/id/1366021","http://ts.21cn.com/tousu/show/id/1366021")</f>
      </c>
      <c r="G6717" t="s" s="2">
        <v>17</v>
      </c>
      <c r="H6717" t="s" s="2">
        <v>19</v>
      </c>
      <c r="I6717" t="s" s="2">
        <v>25989</v>
      </c>
      <c r="J6717" t="s" s="2">
        <v>25990</v>
      </c>
      <c r="K6717" t="s" s="2">
        <v>22</v>
      </c>
      <c r="L6717" t="s" s="2">
        <v>22</v>
      </c>
      <c r="M6717" t="s" s="2">
        <v>22</v>
      </c>
    </row>
    <row r="6718" ht="25.0" customHeight="true">
      <c r="A6718" t="s" s="2">
        <v>13</v>
      </c>
      <c r="B6718" t="s" s="2">
        <f>HYPERLINK("http://ts.21cn.com/tousu/show/id/1366020","桔子分期交了会员费不能借款")</f>
      </c>
      <c r="C6718" t="s" s="2">
        <v>52</v>
      </c>
      <c r="D6718" t="s" s="2">
        <v>16</v>
      </c>
      <c r="E6718" t="s" s="2">
        <v>17</v>
      </c>
      <c r="F6718" t="s" s="2">
        <f>HYPERLINK("http://ts.21cn.com/tousu/show/id/1366020","http://ts.21cn.com/tousu/show/id/1366020")</f>
      </c>
      <c r="G6718" t="s" s="2">
        <v>17</v>
      </c>
      <c r="H6718" t="s" s="2">
        <v>19</v>
      </c>
      <c r="I6718" t="s" s="2">
        <v>25993</v>
      </c>
      <c r="J6718" t="s" s="2">
        <v>25994</v>
      </c>
      <c r="K6718" t="s" s="2">
        <v>22</v>
      </c>
      <c r="L6718" t="s" s="2">
        <v>22</v>
      </c>
      <c r="M6718" t="s" s="2">
        <v>22</v>
      </c>
    </row>
    <row r="6719" ht="25.0" customHeight="true">
      <c r="A6719" t="s" s="2">
        <v>13</v>
      </c>
      <c r="B6719" t="s" s="2">
        <f>HYPERLINK("http://ts.21cn.com/tousu/show/id/1366019","淘发卡跑路不结算")</f>
      </c>
      <c r="C6719" t="s" s="2">
        <v>15</v>
      </c>
      <c r="D6719" t="s" s="2">
        <v>16</v>
      </c>
      <c r="E6719" t="s" s="2">
        <v>17</v>
      </c>
      <c r="F6719" t="s" s="2">
        <f>HYPERLINK("http://ts.21cn.com/tousu/show/id/1366019","http://ts.21cn.com/tousu/show/id/1366019")</f>
      </c>
      <c r="G6719" t="s" s="2">
        <v>17</v>
      </c>
      <c r="H6719" t="s" s="2">
        <v>19</v>
      </c>
      <c r="I6719" t="s" s="2">
        <v>25997</v>
      </c>
      <c r="J6719" t="s" s="2">
        <v>25998</v>
      </c>
      <c r="K6719" t="s" s="2">
        <v>22</v>
      </c>
      <c r="L6719" t="s" s="2">
        <v>22</v>
      </c>
      <c r="M6719" t="s" s="2">
        <v>22</v>
      </c>
    </row>
    <row r="6720" ht="25.0" customHeight="true">
      <c r="A6720" t="s" s="2">
        <v>13</v>
      </c>
      <c r="B6720" t="s" s="2">
        <f>HYPERLINK("http://ts.21cn.com/tousu/show/id/1366017","卖假货，质量问题不给换")</f>
      </c>
      <c r="C6720" t="s" s="2">
        <v>15</v>
      </c>
      <c r="D6720" t="s" s="2">
        <v>16</v>
      </c>
      <c r="E6720" t="s" s="2">
        <v>17</v>
      </c>
      <c r="F6720" t="s" s="2">
        <f>HYPERLINK("http://ts.21cn.com/tousu/show/id/1366017","http://ts.21cn.com/tousu/show/id/1366017")</f>
      </c>
      <c r="G6720" t="s" s="2">
        <v>17</v>
      </c>
      <c r="H6720" t="s" s="2">
        <v>19</v>
      </c>
      <c r="I6720" t="s" s="2">
        <v>26001</v>
      </c>
      <c r="J6720" t="s" s="2">
        <v>26002</v>
      </c>
      <c r="K6720" t="s" s="2">
        <v>22</v>
      </c>
      <c r="L6720" t="s" s="2">
        <v>22</v>
      </c>
      <c r="M6720" t="s" s="2">
        <v>22</v>
      </c>
    </row>
    <row r="6721" ht="25.0" customHeight="true">
      <c r="A6721" t="s" s="2">
        <v>13</v>
      </c>
      <c r="B6721" t="s" s="2">
        <f>HYPERLINK("http://ts.21cn.com/tousu/show/id/1366016","拍拍贷骚扰通讯录")</f>
      </c>
      <c r="C6721" t="s" s="2">
        <v>15</v>
      </c>
      <c r="D6721" t="s" s="2">
        <v>16</v>
      </c>
      <c r="E6721" t="s" s="2">
        <v>17</v>
      </c>
      <c r="F6721" t="s" s="2">
        <f>HYPERLINK("http://ts.21cn.com/tousu/show/id/1366016","http://ts.21cn.com/tousu/show/id/1366016")</f>
      </c>
      <c r="G6721" t="s" s="2">
        <v>17</v>
      </c>
      <c r="H6721" t="s" s="2">
        <v>19</v>
      </c>
      <c r="I6721" t="s" s="2">
        <v>26005</v>
      </c>
      <c r="J6721" t="s" s="2">
        <v>26006</v>
      </c>
      <c r="K6721" t="s" s="2">
        <v>22</v>
      </c>
      <c r="L6721" t="s" s="2">
        <v>22</v>
      </c>
      <c r="M6721" t="s" s="2">
        <v>22</v>
      </c>
    </row>
    <row r="6722" ht="25.0" customHeight="true">
      <c r="A6722" t="s" s="2">
        <v>13</v>
      </c>
      <c r="B6722" t="s" s="2">
        <f>HYPERLINK("http://ts.21cn.com/tousu/show/id/1366014","钱站暴力催收")</f>
      </c>
      <c r="C6722" t="s" s="2">
        <v>15</v>
      </c>
      <c r="D6722" t="s" s="2">
        <v>16</v>
      </c>
      <c r="E6722" t="s" s="2">
        <v>17</v>
      </c>
      <c r="F6722" t="s" s="2">
        <f>HYPERLINK("http://ts.21cn.com/tousu/show/id/1366014","http://ts.21cn.com/tousu/show/id/1366014")</f>
      </c>
      <c r="G6722" t="s" s="2">
        <v>17</v>
      </c>
      <c r="H6722" t="s" s="2">
        <v>19</v>
      </c>
      <c r="I6722" t="s" s="2">
        <v>26008</v>
      </c>
      <c r="J6722" t="s" s="2">
        <v>26009</v>
      </c>
      <c r="K6722" t="s" s="2">
        <v>22</v>
      </c>
      <c r="L6722" t="s" s="2">
        <v>22</v>
      </c>
      <c r="M6722" t="s" s="2">
        <v>22</v>
      </c>
    </row>
    <row r="6723" ht="25.0" customHeight="true">
      <c r="A6723" t="s" s="2">
        <v>13</v>
      </c>
      <c r="B6723" t="s" s="2">
        <f>HYPERLINK("http://ts.21cn.com/tousu/show/id/1366013","恶意爆通讯录")</f>
      </c>
      <c r="C6723" t="s" s="2">
        <v>15</v>
      </c>
      <c r="D6723" t="s" s="2">
        <v>16</v>
      </c>
      <c r="E6723" t="s" s="2">
        <v>17</v>
      </c>
      <c r="F6723" t="s" s="2">
        <f>HYPERLINK("http://ts.21cn.com/tousu/show/id/1366013","http://ts.21cn.com/tousu/show/id/1366013")</f>
      </c>
      <c r="G6723" t="s" s="2">
        <v>17</v>
      </c>
      <c r="H6723" t="s" s="2">
        <v>19</v>
      </c>
      <c r="I6723" t="s" s="2">
        <v>26012</v>
      </c>
      <c r="J6723" t="s" s="2">
        <v>26013</v>
      </c>
      <c r="K6723" t="s" s="2">
        <v>22</v>
      </c>
      <c r="L6723" t="s" s="2">
        <v>22</v>
      </c>
      <c r="M6723" t="s" s="2">
        <v>22</v>
      </c>
    </row>
    <row r="6724" ht="25.0" customHeight="true">
      <c r="A6724" t="s" s="2">
        <v>13</v>
      </c>
      <c r="B6724" t="s" s="2">
        <f>HYPERLINK("http://ts.21cn.com/tousu/show/id/1366012","要钱快平台收取高额砍头息，套路贷")</f>
      </c>
      <c r="C6724" t="s" s="2">
        <v>15</v>
      </c>
      <c r="D6724" t="s" s="2">
        <v>16</v>
      </c>
      <c r="E6724" t="s" s="2">
        <v>17</v>
      </c>
      <c r="F6724" t="s" s="2">
        <f>HYPERLINK("http://ts.21cn.com/tousu/show/id/1366012","http://ts.21cn.com/tousu/show/id/1366012")</f>
      </c>
      <c r="G6724" t="s" s="2">
        <v>17</v>
      </c>
      <c r="H6724" t="s" s="2">
        <v>19</v>
      </c>
      <c r="I6724" t="s" s="2">
        <v>26016</v>
      </c>
      <c r="J6724" t="s" s="2">
        <v>26017</v>
      </c>
      <c r="K6724" t="s" s="2">
        <v>22</v>
      </c>
      <c r="L6724" t="s" s="2">
        <v>22</v>
      </c>
      <c r="M6724" t="s" s="2">
        <v>22</v>
      </c>
    </row>
    <row r="6725" ht="25.0" customHeight="true">
      <c r="A6725" t="s" s="2">
        <v>13</v>
      </c>
      <c r="B6725" t="s" s="2">
        <f>HYPERLINK("http://ts.21cn.com/tousu/show/id/1366011","没上课，达内不退款，特别坑")</f>
      </c>
      <c r="C6725" t="s" s="2">
        <v>15</v>
      </c>
      <c r="D6725" t="s" s="2">
        <v>16</v>
      </c>
      <c r="E6725" t="s" s="2">
        <v>17</v>
      </c>
      <c r="F6725" t="s" s="2">
        <f>HYPERLINK("http://ts.21cn.com/tousu/show/id/1366011","http://ts.21cn.com/tousu/show/id/1366011")</f>
      </c>
      <c r="G6725" t="s" s="2">
        <v>17</v>
      </c>
      <c r="H6725" t="s" s="2">
        <v>19</v>
      </c>
      <c r="I6725" t="s" s="2">
        <v>26020</v>
      </c>
      <c r="J6725" t="s" s="2">
        <v>26021</v>
      </c>
      <c r="K6725" t="s" s="2">
        <v>22</v>
      </c>
      <c r="L6725" t="s" s="2">
        <v>22</v>
      </c>
      <c r="M6725" t="s" s="2">
        <v>22</v>
      </c>
    </row>
    <row r="6726" ht="25.0" customHeight="true">
      <c r="A6726" t="s" s="2">
        <v>13</v>
      </c>
      <c r="B6726" t="s" s="2">
        <f>HYPERLINK("http://ts.21cn.com/tousu/show/id/1366009","苹果极速id贷高炮")</f>
      </c>
      <c r="C6726" t="s" s="2">
        <v>15</v>
      </c>
      <c r="D6726" t="s" s="2">
        <v>16</v>
      </c>
      <c r="E6726" t="s" s="2">
        <v>17</v>
      </c>
      <c r="F6726" t="s" s="2">
        <f>HYPERLINK("http://ts.21cn.com/tousu/show/id/1366009","http://ts.21cn.com/tousu/show/id/1366009")</f>
      </c>
      <c r="G6726" t="s" s="2">
        <v>17</v>
      </c>
      <c r="H6726" t="s" s="2">
        <v>19</v>
      </c>
      <c r="I6726" t="s" s="2">
        <v>26024</v>
      </c>
      <c r="J6726" t="s" s="2">
        <v>26025</v>
      </c>
      <c r="K6726" t="s" s="2">
        <v>22</v>
      </c>
      <c r="L6726" t="s" s="2">
        <v>22</v>
      </c>
      <c r="M6726" t="s" s="2">
        <v>22</v>
      </c>
    </row>
    <row r="6727" ht="25.0" customHeight="true">
      <c r="A6727" t="s" s="2">
        <v>13</v>
      </c>
      <c r="B6727" t="s" s="2">
        <f>HYPERLINK("http://ts.21cn.com/tousu/show/id/1366008","上海翰银科技为赌博平台收单，请求瀚银为我退款挽回经济损失")</f>
      </c>
      <c r="C6727" t="s" s="2">
        <v>15</v>
      </c>
      <c r="D6727" t="s" s="2">
        <v>16</v>
      </c>
      <c r="E6727" t="s" s="2">
        <v>17</v>
      </c>
      <c r="F6727" t="s" s="2">
        <f>HYPERLINK("http://ts.21cn.com/tousu/show/id/1366008","http://ts.21cn.com/tousu/show/id/1366008")</f>
      </c>
      <c r="G6727" t="s" s="2">
        <v>17</v>
      </c>
      <c r="H6727" t="s" s="2">
        <v>19</v>
      </c>
      <c r="I6727" t="s" s="2">
        <v>26027</v>
      </c>
      <c r="J6727" t="s" s="2">
        <v>26028</v>
      </c>
      <c r="K6727" t="s" s="2">
        <v>22</v>
      </c>
      <c r="L6727" t="s" s="2">
        <v>22</v>
      </c>
      <c r="M6727" t="s" s="2">
        <v>22</v>
      </c>
    </row>
    <row r="6728" ht="25.0" customHeight="true">
      <c r="A6728" t="s" s="2">
        <v>13</v>
      </c>
      <c r="B6728" t="s" s="2">
        <f>HYPERLINK("http://ts.21cn.com/tousu/show/id/1366007","学慧网霸王条款，维权无门")</f>
      </c>
      <c r="C6728" t="s" s="2">
        <v>15</v>
      </c>
      <c r="D6728" t="s" s="2">
        <v>16</v>
      </c>
      <c r="E6728" t="s" s="2">
        <v>17</v>
      </c>
      <c r="F6728" t="s" s="2">
        <f>HYPERLINK("http://ts.21cn.com/tousu/show/id/1366007","http://ts.21cn.com/tousu/show/id/1366007")</f>
      </c>
      <c r="G6728" t="s" s="2">
        <v>17</v>
      </c>
      <c r="H6728" t="s" s="2">
        <v>19</v>
      </c>
      <c r="I6728" t="s" s="2">
        <v>26031</v>
      </c>
      <c r="J6728" t="s" s="2">
        <v>26032</v>
      </c>
      <c r="K6728" t="s" s="2">
        <v>22</v>
      </c>
      <c r="L6728" t="s" s="2">
        <v>22</v>
      </c>
      <c r="M6728" t="s" s="2">
        <v>22</v>
      </c>
    </row>
    <row r="6729" ht="25.0" customHeight="true">
      <c r="A6729" t="s" s="2">
        <v>13</v>
      </c>
      <c r="B6729" t="s" s="2">
        <f>HYPERLINK("http://ts.21cn.com/tousu/show/id/1366005","黑网贷")</f>
      </c>
      <c r="C6729" t="s" s="2">
        <v>15</v>
      </c>
      <c r="D6729" t="s" s="2">
        <v>16</v>
      </c>
      <c r="E6729" t="s" s="2">
        <v>17</v>
      </c>
      <c r="F6729" t="s" s="2">
        <f>HYPERLINK("http://ts.21cn.com/tousu/show/id/1366005","http://ts.21cn.com/tousu/show/id/1366005")</f>
      </c>
      <c r="G6729" t="s" s="2">
        <v>17</v>
      </c>
      <c r="H6729" t="s" s="2">
        <v>19</v>
      </c>
      <c r="I6729" t="s" s="2">
        <v>26035</v>
      </c>
      <c r="J6729" t="s" s="2">
        <v>26036</v>
      </c>
      <c r="K6729" t="s" s="2">
        <v>22</v>
      </c>
      <c r="L6729" t="s" s="2">
        <v>22</v>
      </c>
      <c r="M6729" t="s" s="2">
        <v>22</v>
      </c>
    </row>
    <row r="6730" ht="25.0" customHeight="true">
      <c r="A6730" t="s" s="2">
        <v>13</v>
      </c>
      <c r="B6730" t="s" s="2">
        <f>HYPERLINK("http://ts.21cn.com/tousu/show/id/1366002","高利贷，砍头息")</f>
      </c>
      <c r="C6730" t="s" s="2">
        <v>15</v>
      </c>
      <c r="D6730" t="s" s="2">
        <v>16</v>
      </c>
      <c r="E6730" t="s" s="2">
        <v>17</v>
      </c>
      <c r="F6730" t="s" s="2">
        <f>HYPERLINK("http://ts.21cn.com/tousu/show/id/1366002","http://ts.21cn.com/tousu/show/id/1366002")</f>
      </c>
      <c r="G6730" t="s" s="2">
        <v>17</v>
      </c>
      <c r="H6730" t="s" s="2">
        <v>19</v>
      </c>
      <c r="I6730" t="s" s="2">
        <v>26038</v>
      </c>
      <c r="J6730" t="s" s="2">
        <v>26039</v>
      </c>
      <c r="K6730" t="s" s="2">
        <v>22</v>
      </c>
      <c r="L6730" t="s" s="2">
        <v>22</v>
      </c>
      <c r="M6730" t="s" s="2">
        <v>22</v>
      </c>
    </row>
    <row r="6731" ht="25.0" customHeight="true">
      <c r="A6731" t="s" s="2">
        <v>13</v>
      </c>
      <c r="B6731" t="s" s="2">
        <f>HYPERLINK("http://ts.21cn.com/tousu/show/id/1366000","未经允许私自扣钱")</f>
      </c>
      <c r="C6731" t="s" s="2">
        <v>15</v>
      </c>
      <c r="D6731" t="s" s="2">
        <v>16</v>
      </c>
      <c r="E6731" t="s" s="2">
        <v>17</v>
      </c>
      <c r="F6731" t="s" s="2">
        <f>HYPERLINK("http://ts.21cn.com/tousu/show/id/1366000","http://ts.21cn.com/tousu/show/id/1366000")</f>
      </c>
      <c r="G6731" t="s" s="2">
        <v>17</v>
      </c>
      <c r="H6731" t="s" s="2">
        <v>19</v>
      </c>
      <c r="I6731" t="s" s="2">
        <v>26042</v>
      </c>
      <c r="J6731" t="s" s="2">
        <v>26043</v>
      </c>
      <c r="K6731" t="s" s="2">
        <v>22</v>
      </c>
      <c r="L6731" t="s" s="2">
        <v>22</v>
      </c>
      <c r="M6731" t="s" s="2">
        <v>22</v>
      </c>
    </row>
    <row r="6732" ht="25.0" customHeight="true">
      <c r="A6732" t="s" s="2">
        <v>13</v>
      </c>
      <c r="B6732" t="s" s="2">
        <f>HYPERLINK("http://ts.21cn.com/tousu/show/id/1366003","小赢卡贷利息逆天")</f>
      </c>
      <c r="C6732" t="s" s="2">
        <v>15</v>
      </c>
      <c r="D6732" t="s" s="2">
        <v>16</v>
      </c>
      <c r="E6732" t="s" s="2">
        <v>17</v>
      </c>
      <c r="F6732" t="s" s="2">
        <f>HYPERLINK("http://ts.21cn.com/tousu/show/id/1366003","http://ts.21cn.com/tousu/show/id/1366003")</f>
      </c>
      <c r="G6732" t="s" s="2">
        <v>17</v>
      </c>
      <c r="H6732" t="s" s="2">
        <v>19</v>
      </c>
      <c r="I6732" t="s" s="2">
        <v>26046</v>
      </c>
      <c r="J6732" t="s" s="2">
        <v>26047</v>
      </c>
      <c r="K6732" t="s" s="2">
        <v>22</v>
      </c>
      <c r="L6732" t="s" s="2">
        <v>22</v>
      </c>
      <c r="M6732" t="s" s="2">
        <v>22</v>
      </c>
    </row>
    <row r="6733" ht="25.0" customHeight="true">
      <c r="A6733" t="s" s="2">
        <v>13</v>
      </c>
      <c r="B6733" t="s" s="2">
        <f>HYPERLINK("http://ts.21cn.com/tousu/show/id/1365999","钱伴高利贷，砍头息，暴力催收，威胁骚扰")</f>
      </c>
      <c r="C6733" t="s" s="2">
        <v>15</v>
      </c>
      <c r="D6733" t="s" s="2">
        <v>16</v>
      </c>
      <c r="E6733" t="s" s="2">
        <v>17</v>
      </c>
      <c r="F6733" t="s" s="2">
        <f>HYPERLINK("http://ts.21cn.com/tousu/show/id/1365999","http://ts.21cn.com/tousu/show/id/1365999")</f>
      </c>
      <c r="G6733" t="s" s="2">
        <v>17</v>
      </c>
      <c r="H6733" t="s" s="2">
        <v>19</v>
      </c>
      <c r="I6733" t="s" s="2">
        <v>26050</v>
      </c>
      <c r="J6733" t="s" s="2">
        <v>26051</v>
      </c>
      <c r="K6733" t="s" s="2">
        <v>22</v>
      </c>
      <c r="L6733" t="s" s="2">
        <v>22</v>
      </c>
      <c r="M6733" t="s" s="2">
        <v>22</v>
      </c>
    </row>
    <row r="6734" ht="25.0" customHeight="true">
      <c r="A6734" t="s" s="2">
        <v>13</v>
      </c>
      <c r="B6734" t="s" s="2">
        <f>HYPERLINK("http://ts.21cn.com/tousu/show/id/1366001","导致逾期，易秒分期没有还款渠道，没有客服电话，导致逾期")</f>
      </c>
      <c r="C6734" t="s" s="2">
        <v>15</v>
      </c>
      <c r="D6734" t="s" s="2">
        <v>16</v>
      </c>
      <c r="E6734" t="s" s="2">
        <v>17</v>
      </c>
      <c r="F6734" t="s" s="2">
        <f>HYPERLINK("http://ts.21cn.com/tousu/show/id/1366001","http://ts.21cn.com/tousu/show/id/1366001")</f>
      </c>
      <c r="G6734" t="s" s="2">
        <v>17</v>
      </c>
      <c r="H6734" t="s" s="2">
        <v>19</v>
      </c>
      <c r="I6734" t="s" s="2">
        <v>26054</v>
      </c>
      <c r="J6734" t="s" s="2">
        <v>26055</v>
      </c>
      <c r="K6734" t="s" s="2">
        <v>22</v>
      </c>
      <c r="L6734" t="s" s="2">
        <v>22</v>
      </c>
      <c r="M6734" t="s" s="2">
        <v>22</v>
      </c>
    </row>
    <row r="6735" ht="25.0" customHeight="true">
      <c r="A6735" t="s" s="2">
        <v>13</v>
      </c>
      <c r="B6735" t="s" s="2">
        <f>HYPERLINK("http://ts.21cn.com/tousu/show/id/1365997","恶意扣款")</f>
      </c>
      <c r="C6735" t="s" s="2">
        <v>15</v>
      </c>
      <c r="D6735" t="s" s="2">
        <v>16</v>
      </c>
      <c r="E6735" t="s" s="2">
        <v>17</v>
      </c>
      <c r="F6735" t="s" s="2">
        <f>HYPERLINK("http://ts.21cn.com/tousu/show/id/1365997","http://ts.21cn.com/tousu/show/id/1365997")</f>
      </c>
      <c r="G6735" t="s" s="2">
        <v>17</v>
      </c>
      <c r="H6735" t="s" s="2">
        <v>19</v>
      </c>
      <c r="I6735" t="s" s="2">
        <v>26057</v>
      </c>
      <c r="J6735" t="s" s="2">
        <v>26058</v>
      </c>
      <c r="K6735" t="s" s="2">
        <v>22</v>
      </c>
      <c r="L6735" t="s" s="2">
        <v>22</v>
      </c>
      <c r="M6735" t="s" s="2">
        <v>22</v>
      </c>
    </row>
    <row r="6736" ht="25.0" customHeight="true">
      <c r="A6736" t="s" s="2">
        <v>13</v>
      </c>
      <c r="B6736" t="s" s="2">
        <f>HYPERLINK("http://ts.21cn.com/tousu/show/id/1365996","投诉我来贷还款还不上导致逾期")</f>
      </c>
      <c r="C6736" t="s" s="2">
        <v>15</v>
      </c>
      <c r="D6736" t="s" s="2">
        <v>16</v>
      </c>
      <c r="E6736" t="s" s="2">
        <v>17</v>
      </c>
      <c r="F6736" t="s" s="2">
        <f>HYPERLINK("http://ts.21cn.com/tousu/show/id/1365996","http://ts.21cn.com/tousu/show/id/1365996")</f>
      </c>
      <c r="G6736" t="s" s="2">
        <v>17</v>
      </c>
      <c r="H6736" t="s" s="2">
        <v>19</v>
      </c>
      <c r="I6736" t="s" s="2">
        <v>26061</v>
      </c>
      <c r="J6736" t="s" s="2">
        <v>26062</v>
      </c>
      <c r="K6736" t="s" s="2">
        <v>22</v>
      </c>
      <c r="L6736" t="s" s="2">
        <v>22</v>
      </c>
      <c r="M6736" t="s" s="2">
        <v>22</v>
      </c>
    </row>
    <row r="6737" ht="25.0" customHeight="true">
      <c r="A6737" t="s" s="2">
        <v>13</v>
      </c>
      <c r="B6737" t="s" s="2">
        <f>HYPERLINK("http://ts.21cn.com/tousu/show/id/1365994","网贷公司暴力催收")</f>
      </c>
      <c r="C6737" t="s" s="2">
        <v>15</v>
      </c>
      <c r="D6737" t="s" s="2">
        <v>16</v>
      </c>
      <c r="E6737" t="s" s="2">
        <v>17</v>
      </c>
      <c r="F6737" t="s" s="2">
        <f>HYPERLINK("http://ts.21cn.com/tousu/show/id/1365994","http://ts.21cn.com/tousu/show/id/1365994")</f>
      </c>
      <c r="G6737" t="s" s="2">
        <v>17</v>
      </c>
      <c r="H6737" t="s" s="2">
        <v>19</v>
      </c>
      <c r="I6737" t="s" s="2">
        <v>26065</v>
      </c>
      <c r="J6737" t="s" s="2">
        <v>26066</v>
      </c>
      <c r="K6737" t="s" s="2">
        <v>22</v>
      </c>
      <c r="L6737" t="s" s="2">
        <v>22</v>
      </c>
      <c r="M6737" t="s" s="2">
        <v>22</v>
      </c>
    </row>
    <row r="6738" ht="25.0" customHeight="true">
      <c r="A6738" t="s" s="2">
        <v>13</v>
      </c>
      <c r="B6738" t="s" s="2">
        <f>HYPERLINK("http://ts.21cn.com/tousu/show/id/1365995","桔子分期，借款不到20天就要求还款，")</f>
      </c>
      <c r="C6738" t="s" s="2">
        <v>52</v>
      </c>
      <c r="D6738" t="s" s="2">
        <v>16</v>
      </c>
      <c r="E6738" t="s" s="2">
        <v>17</v>
      </c>
      <c r="F6738" t="s" s="2">
        <f>HYPERLINK("http://ts.21cn.com/tousu/show/id/1365995","http://ts.21cn.com/tousu/show/id/1365995")</f>
      </c>
      <c r="G6738" t="s" s="2">
        <v>17</v>
      </c>
      <c r="H6738" t="s" s="2">
        <v>19</v>
      </c>
      <c r="I6738" t="s" s="2">
        <v>26069</v>
      </c>
      <c r="J6738" t="s" s="2">
        <v>26070</v>
      </c>
      <c r="K6738" t="s" s="2">
        <v>22</v>
      </c>
      <c r="L6738" t="s" s="2">
        <v>22</v>
      </c>
      <c r="M6738" t="s" s="2">
        <v>22</v>
      </c>
    </row>
    <row r="6739" ht="25.0" customHeight="true">
      <c r="A6739" t="s" s="2">
        <v>13</v>
      </c>
      <c r="B6739" t="s" s="2">
        <f>HYPERLINK("http://ts.21cn.com/tousu/show/id/1365992","立借阴阳合同、高利贷")</f>
      </c>
      <c r="C6739" t="s" s="2">
        <v>15</v>
      </c>
      <c r="D6739" t="s" s="2">
        <v>16</v>
      </c>
      <c r="E6739" t="s" s="2">
        <v>17</v>
      </c>
      <c r="F6739" t="s" s="2">
        <f>HYPERLINK("http://ts.21cn.com/tousu/show/id/1365992","http://ts.21cn.com/tousu/show/id/1365992")</f>
      </c>
      <c r="G6739" t="s" s="2">
        <v>17</v>
      </c>
      <c r="H6739" t="s" s="2">
        <v>19</v>
      </c>
      <c r="I6739" t="s" s="2">
        <v>26073</v>
      </c>
      <c r="J6739" t="s" s="2">
        <v>26074</v>
      </c>
      <c r="K6739" t="s" s="2">
        <v>22</v>
      </c>
      <c r="L6739" t="s" s="2">
        <v>22</v>
      </c>
      <c r="M6739" t="s" s="2">
        <v>22</v>
      </c>
    </row>
    <row r="6740" ht="25.0" customHeight="true">
      <c r="A6740" t="s" s="2">
        <v>13</v>
      </c>
      <c r="B6740" t="s" s="2">
        <f>HYPERLINK("http://ts.21cn.com/tousu/show/id/1365991","平安银行信用卡扰乱我生活和上班")</f>
      </c>
      <c r="C6740" t="s" s="2">
        <v>15</v>
      </c>
      <c r="D6740" t="s" s="2">
        <v>16</v>
      </c>
      <c r="E6740" t="s" s="2">
        <v>17</v>
      </c>
      <c r="F6740" t="s" s="2">
        <f>HYPERLINK("http://ts.21cn.com/tousu/show/id/1365991","http://ts.21cn.com/tousu/show/id/1365991")</f>
      </c>
      <c r="G6740" t="s" s="2">
        <v>17</v>
      </c>
      <c r="H6740" t="s" s="2">
        <v>19</v>
      </c>
      <c r="I6740" t="s" s="2">
        <v>26077</v>
      </c>
      <c r="J6740" t="s" s="2">
        <v>26078</v>
      </c>
      <c r="K6740" t="s" s="2">
        <v>22</v>
      </c>
      <c r="L6740" t="s" s="2">
        <v>22</v>
      </c>
      <c r="M6740" t="s" s="2">
        <v>22</v>
      </c>
    </row>
    <row r="6741" ht="25.0" customHeight="true">
      <c r="A6741" t="s" s="2">
        <v>13</v>
      </c>
      <c r="B6741" t="s" s="2">
        <f>HYPERLINK("http://ts.21cn.com/tousu/show/id/1365989","小花钱包暴力催收、砍头息、高利贷")</f>
      </c>
      <c r="C6741" t="s" s="2">
        <v>15</v>
      </c>
      <c r="D6741" t="s" s="2">
        <v>16</v>
      </c>
      <c r="E6741" t="s" s="2">
        <v>17</v>
      </c>
      <c r="F6741" t="s" s="2">
        <f>HYPERLINK("http://ts.21cn.com/tousu/show/id/1365989","http://ts.21cn.com/tousu/show/id/1365989")</f>
      </c>
      <c r="G6741" t="s" s="2">
        <v>17</v>
      </c>
      <c r="H6741" t="s" s="2">
        <v>19</v>
      </c>
      <c r="I6741" t="s" s="2">
        <v>26081</v>
      </c>
      <c r="J6741" t="s" s="2">
        <v>26082</v>
      </c>
      <c r="K6741" t="s" s="2">
        <v>22</v>
      </c>
      <c r="L6741" t="s" s="2">
        <v>22</v>
      </c>
      <c r="M6741" t="s" s="2">
        <v>22</v>
      </c>
    </row>
    <row r="6742" ht="25.0" customHeight="true">
      <c r="A6742" t="s" s="2">
        <v>13</v>
      </c>
      <c r="B6742" t="s" s="2">
        <f>HYPERLINK("http://ts.21cn.com/tousu/show/id/1365988","希望与拍拍贷协商还款")</f>
      </c>
      <c r="C6742" t="s" s="2">
        <v>52</v>
      </c>
      <c r="D6742" t="s" s="2">
        <v>16</v>
      </c>
      <c r="E6742" t="s" s="2">
        <v>17</v>
      </c>
      <c r="F6742" t="s" s="2">
        <f>HYPERLINK("http://ts.21cn.com/tousu/show/id/1365988","http://ts.21cn.com/tousu/show/id/1365988")</f>
      </c>
      <c r="G6742" t="s" s="2">
        <v>17</v>
      </c>
      <c r="H6742" t="s" s="2">
        <v>19</v>
      </c>
      <c r="I6742" t="s" s="2">
        <v>26085</v>
      </c>
      <c r="J6742" t="s" s="2">
        <v>26086</v>
      </c>
      <c r="K6742" t="s" s="2">
        <v>22</v>
      </c>
      <c r="L6742" t="s" s="2">
        <v>22</v>
      </c>
      <c r="M6742" t="s" s="2">
        <v>22</v>
      </c>
    </row>
    <row r="6743" ht="25.0" customHeight="true">
      <c r="A6743" t="s" s="2">
        <v>13</v>
      </c>
      <c r="B6743" t="s" s="2">
        <f>HYPERLINK("http://ts.21cn.com/tousu/show/id/1365987","爆通讯录恐吓")</f>
      </c>
      <c r="C6743" t="s" s="2">
        <v>15</v>
      </c>
      <c r="D6743" t="s" s="2">
        <v>16</v>
      </c>
      <c r="E6743" t="s" s="2">
        <v>17</v>
      </c>
      <c r="F6743" t="s" s="2">
        <f>HYPERLINK("http://ts.21cn.com/tousu/show/id/1365987","http://ts.21cn.com/tousu/show/id/1365987")</f>
      </c>
      <c r="G6743" t="s" s="2">
        <v>17</v>
      </c>
      <c r="H6743" t="s" s="2">
        <v>19</v>
      </c>
      <c r="I6743" t="s" s="2">
        <v>26089</v>
      </c>
      <c r="J6743" t="s" s="2">
        <v>26090</v>
      </c>
      <c r="K6743" t="s" s="2">
        <v>22</v>
      </c>
      <c r="L6743" t="s" s="2">
        <v>22</v>
      </c>
      <c r="M6743" t="s" s="2">
        <v>22</v>
      </c>
    </row>
    <row r="6744" ht="25.0" customHeight="true">
      <c r="A6744" t="s" s="2">
        <v>13</v>
      </c>
      <c r="B6744" t="s" s="2">
        <f>HYPERLINK("http://ts.21cn.com/tousu/show/id/1365985","宝付支付，快钱支付为白鲸信用里的全民现金现金提供支付通道")</f>
      </c>
      <c r="C6744" t="s" s="2">
        <v>52</v>
      </c>
      <c r="D6744" t="s" s="2">
        <v>16</v>
      </c>
      <c r="E6744" t="s" s="2">
        <v>17</v>
      </c>
      <c r="F6744" t="s" s="2">
        <f>HYPERLINK("http://ts.21cn.com/tousu/show/id/1365985","http://ts.21cn.com/tousu/show/id/1365985")</f>
      </c>
      <c r="G6744" t="s" s="2">
        <v>17</v>
      </c>
      <c r="H6744" t="s" s="2">
        <v>19</v>
      </c>
      <c r="I6744" t="s" s="2">
        <v>26093</v>
      </c>
      <c r="J6744" t="s" s="2">
        <v>26094</v>
      </c>
      <c r="K6744" t="s" s="2">
        <v>22</v>
      </c>
      <c r="L6744" t="s" s="2">
        <v>22</v>
      </c>
      <c r="M6744" t="s" s="2">
        <v>22</v>
      </c>
    </row>
    <row r="6745" ht="25.0" customHeight="true">
      <c r="A6745" t="s" s="2">
        <v>13</v>
      </c>
      <c r="B6745" t="s" s="2">
        <f>HYPERLINK("http://ts.21cn.com/tousu/show/id/1365984","拍拍贷高利息超过国家标准4000变20000多")</f>
      </c>
      <c r="C6745" t="s" s="2">
        <v>15</v>
      </c>
      <c r="D6745" t="s" s="2">
        <v>16</v>
      </c>
      <c r="E6745" t="s" s="2">
        <v>17</v>
      </c>
      <c r="F6745" t="s" s="2">
        <f>HYPERLINK("http://ts.21cn.com/tousu/show/id/1365984","http://ts.21cn.com/tousu/show/id/1365984")</f>
      </c>
      <c r="G6745" t="s" s="2">
        <v>17</v>
      </c>
      <c r="H6745" t="s" s="2">
        <v>19</v>
      </c>
      <c r="I6745" t="s" s="2">
        <v>26097</v>
      </c>
      <c r="J6745" t="s" s="2">
        <v>26098</v>
      </c>
      <c r="K6745" t="s" s="2">
        <v>22</v>
      </c>
      <c r="L6745" t="s" s="2">
        <v>22</v>
      </c>
      <c r="M6745" t="s" s="2">
        <v>22</v>
      </c>
    </row>
    <row r="6746" ht="25.0" customHeight="true">
      <c r="A6746" t="s" s="2">
        <v>13</v>
      </c>
      <c r="B6746" t="s" s="2">
        <f>HYPERLINK("http://ts.21cn.com/tousu/show/id/1365983","梧桐诚选大肆折让老百姓血汗钱")</f>
      </c>
      <c r="C6746" t="s" s="2">
        <v>15</v>
      </c>
      <c r="D6746" t="s" s="2">
        <v>16</v>
      </c>
      <c r="E6746" t="s" s="2">
        <v>17</v>
      </c>
      <c r="F6746" t="s" s="2">
        <f>HYPERLINK("http://ts.21cn.com/tousu/show/id/1365983","http://ts.21cn.com/tousu/show/id/1365983")</f>
      </c>
      <c r="G6746" t="s" s="2">
        <v>17</v>
      </c>
      <c r="H6746" t="s" s="2">
        <v>19</v>
      </c>
      <c r="I6746" t="s" s="2">
        <v>26100</v>
      </c>
      <c r="J6746" t="s" s="2">
        <v>26101</v>
      </c>
      <c r="K6746" t="s" s="2">
        <v>22</v>
      </c>
      <c r="L6746" t="s" s="2">
        <v>22</v>
      </c>
      <c r="M6746" t="s" s="2">
        <v>22</v>
      </c>
    </row>
    <row r="6747" ht="25.0" customHeight="true">
      <c r="A6747" t="s" s="2">
        <v>13</v>
      </c>
      <c r="B6747" t="s" s="2">
        <f>HYPERLINK("http://ts.21cn.com/tousu/show/id/1365981","支付宝转账功能被限制")</f>
      </c>
      <c r="C6747" t="s" s="2">
        <v>15</v>
      </c>
      <c r="D6747" t="s" s="2">
        <v>16</v>
      </c>
      <c r="E6747" t="s" s="2">
        <v>17</v>
      </c>
      <c r="F6747" t="s" s="2">
        <f>HYPERLINK("http://ts.21cn.com/tousu/show/id/1365981","http://ts.21cn.com/tousu/show/id/1365981")</f>
      </c>
      <c r="G6747" t="s" s="2">
        <v>17</v>
      </c>
      <c r="H6747" t="s" s="2">
        <v>19</v>
      </c>
      <c r="I6747" t="s" s="2">
        <v>26104</v>
      </c>
      <c r="J6747" t="s" s="2">
        <v>26105</v>
      </c>
      <c r="K6747" t="s" s="2">
        <v>22</v>
      </c>
      <c r="L6747" t="s" s="2">
        <v>22</v>
      </c>
      <c r="M6747" t="s" s="2">
        <v>22</v>
      </c>
    </row>
    <row r="6748" ht="25.0" customHeight="true">
      <c r="A6748" t="s" s="2">
        <v>13</v>
      </c>
      <c r="B6748" t="s" s="2">
        <f>HYPERLINK("http://ts.21cn.com/tousu/show/id/1365980","利息太高还不起了")</f>
      </c>
      <c r="C6748" t="s" s="2">
        <v>15</v>
      </c>
      <c r="D6748" t="s" s="2">
        <v>16</v>
      </c>
      <c r="E6748" t="s" s="2">
        <v>17</v>
      </c>
      <c r="F6748" t="s" s="2">
        <f>HYPERLINK("http://ts.21cn.com/tousu/show/id/1365980","http://ts.21cn.com/tousu/show/id/1365980")</f>
      </c>
      <c r="G6748" t="s" s="2">
        <v>17</v>
      </c>
      <c r="H6748" t="s" s="2">
        <v>19</v>
      </c>
      <c r="I6748" t="s" s="2">
        <v>26108</v>
      </c>
      <c r="J6748" t="s" s="2">
        <v>26109</v>
      </c>
      <c r="K6748" t="s" s="2">
        <v>22</v>
      </c>
      <c r="L6748" t="s" s="2">
        <v>22</v>
      </c>
      <c r="M6748" t="s" s="2">
        <v>22</v>
      </c>
    </row>
    <row r="6749" ht="25.0" customHeight="true">
      <c r="A6749" t="s" s="2">
        <v>13</v>
      </c>
      <c r="B6749" t="s" s="2">
        <f>HYPERLINK("http://ts.21cn.com/tousu/show/id/1365979","速金服借款合同与实际到账不符")</f>
      </c>
      <c r="C6749" t="s" s="2">
        <v>52</v>
      </c>
      <c r="D6749" t="s" s="2">
        <v>16</v>
      </c>
      <c r="E6749" t="s" s="2">
        <v>17</v>
      </c>
      <c r="F6749" t="s" s="2">
        <f>HYPERLINK("http://ts.21cn.com/tousu/show/id/1365979","http://ts.21cn.com/tousu/show/id/1365979")</f>
      </c>
      <c r="G6749" t="s" s="2">
        <v>17</v>
      </c>
      <c r="H6749" t="s" s="2">
        <v>19</v>
      </c>
      <c r="I6749" t="s" s="2">
        <v>26112</v>
      </c>
      <c r="J6749" t="s" s="2">
        <v>26113</v>
      </c>
      <c r="K6749" t="s" s="2">
        <v>22</v>
      </c>
      <c r="L6749" t="s" s="2">
        <v>22</v>
      </c>
      <c r="M6749" t="s" s="2">
        <v>22</v>
      </c>
    </row>
    <row r="6750" ht="25.0" customHeight="true">
      <c r="A6750" t="s" s="2">
        <v>13</v>
      </c>
      <c r="B6750" t="s" s="2">
        <f>HYPERLINK("http://ts.21cn.com/tousu/show/id/1365977","好易贷高利贷催收威胁通讯录")</f>
      </c>
      <c r="C6750" t="s" s="2">
        <v>15</v>
      </c>
      <c r="D6750" t="s" s="2">
        <v>16</v>
      </c>
      <c r="E6750" t="s" s="2">
        <v>17</v>
      </c>
      <c r="F6750" t="s" s="2">
        <f>HYPERLINK("http://ts.21cn.com/tousu/show/id/1365977","http://ts.21cn.com/tousu/show/id/1365977")</f>
      </c>
      <c r="G6750" t="s" s="2">
        <v>17</v>
      </c>
      <c r="H6750" t="s" s="2">
        <v>19</v>
      </c>
      <c r="I6750" t="s" s="2">
        <v>26116</v>
      </c>
      <c r="J6750" t="s" s="2">
        <v>26117</v>
      </c>
      <c r="K6750" t="s" s="2">
        <v>22</v>
      </c>
      <c r="L6750" t="s" s="2">
        <v>22</v>
      </c>
      <c r="M6750" t="s" s="2">
        <v>22</v>
      </c>
    </row>
    <row r="6751" ht="25.0" customHeight="true">
      <c r="A6751" t="s" s="2">
        <v>13</v>
      </c>
      <c r="B6751" t="s" s="2">
        <f>HYPERLINK("http://ts.21cn.com/tousu/show/id/1365976","转转签收三天不验机")</f>
      </c>
      <c r="C6751" t="s" s="2">
        <v>15</v>
      </c>
      <c r="D6751" t="s" s="2">
        <v>16</v>
      </c>
      <c r="E6751" t="s" s="2">
        <v>17</v>
      </c>
      <c r="F6751" t="s" s="2">
        <f>HYPERLINK("http://ts.21cn.com/tousu/show/id/1365976","http://ts.21cn.com/tousu/show/id/1365976")</f>
      </c>
      <c r="G6751" t="s" s="2">
        <v>17</v>
      </c>
      <c r="H6751" t="s" s="2">
        <v>19</v>
      </c>
      <c r="I6751" t="s" s="2">
        <v>26120</v>
      </c>
      <c r="J6751" t="s" s="2">
        <v>26121</v>
      </c>
      <c r="K6751" t="s" s="2">
        <v>22</v>
      </c>
      <c r="L6751" t="s" s="2">
        <v>22</v>
      </c>
      <c r="M6751" t="s" s="2">
        <v>22</v>
      </c>
    </row>
    <row r="6752" ht="25.0" customHeight="true">
      <c r="A6752" t="s" s="2">
        <v>13</v>
      </c>
      <c r="B6752" t="s" s="2">
        <f>HYPERLINK("http://ts.21cn.com/tousu/show/id/1365975","立刻出行退押金")</f>
      </c>
      <c r="C6752" t="s" s="2">
        <v>15</v>
      </c>
      <c r="D6752" t="s" s="2">
        <v>16</v>
      </c>
      <c r="E6752" t="s" s="2">
        <v>17</v>
      </c>
      <c r="F6752" t="s" s="2">
        <f>HYPERLINK("http://ts.21cn.com/tousu/show/id/1365975","http://ts.21cn.com/tousu/show/id/1365975")</f>
      </c>
      <c r="G6752" t="s" s="2">
        <v>17</v>
      </c>
      <c r="H6752" t="s" s="2">
        <v>19</v>
      </c>
      <c r="I6752" t="s" s="2">
        <v>26124</v>
      </c>
      <c r="J6752" t="s" s="2">
        <v>26125</v>
      </c>
      <c r="K6752" t="s" s="2">
        <v>22</v>
      </c>
      <c r="L6752" t="s" s="2">
        <v>22</v>
      </c>
      <c r="M6752" t="s" s="2">
        <v>22</v>
      </c>
    </row>
    <row r="6753" ht="25.0" customHeight="true">
      <c r="A6753" t="s" s="2">
        <v>13</v>
      </c>
      <c r="B6753" t="s" s="2">
        <f>HYPERLINK("http://ts.21cn.com/tousu/show/id/1365973","玖富万卡擅自改写合同，变相收取费用，高利贷")</f>
      </c>
      <c r="C6753" t="s" s="2">
        <v>15</v>
      </c>
      <c r="D6753" t="s" s="2">
        <v>16</v>
      </c>
      <c r="E6753" t="s" s="2">
        <v>17</v>
      </c>
      <c r="F6753" t="s" s="2">
        <f>HYPERLINK("http://ts.21cn.com/tousu/show/id/1365973","http://ts.21cn.com/tousu/show/id/1365973")</f>
      </c>
      <c r="G6753" t="s" s="2">
        <v>17</v>
      </c>
      <c r="H6753" t="s" s="2">
        <v>19</v>
      </c>
      <c r="I6753" t="s" s="2">
        <v>26127</v>
      </c>
      <c r="J6753" t="s" s="2">
        <v>26128</v>
      </c>
      <c r="K6753" t="s" s="2">
        <v>22</v>
      </c>
      <c r="L6753" t="s" s="2">
        <v>22</v>
      </c>
      <c r="M6753" t="s" s="2">
        <v>22</v>
      </c>
    </row>
    <row r="6754" ht="25.0" customHeight="true">
      <c r="A6754" t="s" s="2">
        <v>13</v>
      </c>
      <c r="B6754" t="s" s="2">
        <f>HYPERLINK("http://ts.21cn.com/tousu/show/id/1365712","钱站套路贷")</f>
      </c>
      <c r="C6754" t="s" s="2">
        <v>15</v>
      </c>
      <c r="D6754" t="s" s="2">
        <v>16</v>
      </c>
      <c r="E6754" t="s" s="2">
        <v>17</v>
      </c>
      <c r="F6754" t="s" s="2">
        <f>HYPERLINK("http://ts.21cn.com/tousu/show/id/1365712","http://ts.21cn.com/tousu/show/id/1365712")</f>
      </c>
      <c r="G6754" t="s" s="2">
        <v>17</v>
      </c>
      <c r="H6754" t="s" s="2">
        <v>19</v>
      </c>
      <c r="I6754" t="s" s="2">
        <v>26130</v>
      </c>
      <c r="J6754" t="s" s="2">
        <v>26131</v>
      </c>
      <c r="K6754" t="s" s="2">
        <v>22</v>
      </c>
      <c r="L6754" t="s" s="2">
        <v>22</v>
      </c>
      <c r="M6754" t="s" s="2">
        <v>22</v>
      </c>
    </row>
    <row r="6755" ht="25.0" customHeight="true">
      <c r="A6755" t="s" s="2">
        <v>13</v>
      </c>
      <c r="B6755" t="s" s="2">
        <f>HYPERLINK("http://ts.21cn.com/tousu/show/id/1365972","中银e贷协商还款")</f>
      </c>
      <c r="C6755" t="s" s="2">
        <v>52</v>
      </c>
      <c r="D6755" t="s" s="2">
        <v>16</v>
      </c>
      <c r="E6755" t="s" s="2">
        <v>17</v>
      </c>
      <c r="F6755" t="s" s="2">
        <f>HYPERLINK("http://ts.21cn.com/tousu/show/id/1365972","http://ts.21cn.com/tousu/show/id/1365972")</f>
      </c>
      <c r="G6755" t="s" s="2">
        <v>17</v>
      </c>
      <c r="H6755" t="s" s="2">
        <v>19</v>
      </c>
      <c r="I6755" t="s" s="2">
        <v>26134</v>
      </c>
      <c r="J6755" t="s" s="2">
        <v>26135</v>
      </c>
      <c r="K6755" t="s" s="2">
        <v>22</v>
      </c>
      <c r="L6755" t="s" s="2">
        <v>22</v>
      </c>
      <c r="M6755" t="s" s="2">
        <v>22</v>
      </c>
    </row>
    <row r="6756" ht="25.0" customHeight="true">
      <c r="A6756" t="s" s="2">
        <v>13</v>
      </c>
      <c r="B6756" t="s" s="2">
        <f>HYPERLINK("http://ts.21cn.com/tousu/show/id/1365967","拖欠工资")</f>
      </c>
      <c r="C6756" t="s" s="2">
        <v>15</v>
      </c>
      <c r="D6756" t="s" s="2">
        <v>16</v>
      </c>
      <c r="E6756" t="s" s="2">
        <v>17</v>
      </c>
      <c r="F6756" t="s" s="2">
        <f>HYPERLINK("http://ts.21cn.com/tousu/show/id/1365967","http://ts.21cn.com/tousu/show/id/1365967")</f>
      </c>
      <c r="G6756" t="s" s="2">
        <v>17</v>
      </c>
      <c r="H6756" t="s" s="2">
        <v>19</v>
      </c>
      <c r="I6756" t="s" s="2">
        <v>26137</v>
      </c>
      <c r="J6756" t="s" s="2">
        <v>26138</v>
      </c>
      <c r="K6756" t="s" s="2">
        <v>22</v>
      </c>
      <c r="L6756" t="s" s="2">
        <v>22</v>
      </c>
      <c r="M6756" t="s" s="2">
        <v>22</v>
      </c>
    </row>
    <row r="6757" ht="25.0" customHeight="true">
      <c r="A6757" t="s" s="2">
        <v>13</v>
      </c>
      <c r="B6757" t="s" s="2">
        <f>HYPERLINK("http://ts.21cn.com/tousu/show/id/1365968","乱收费用")</f>
      </c>
      <c r="C6757" t="s" s="2">
        <v>15</v>
      </c>
      <c r="D6757" t="s" s="2">
        <v>16</v>
      </c>
      <c r="E6757" t="s" s="2">
        <v>17</v>
      </c>
      <c r="F6757" t="s" s="2">
        <f>HYPERLINK("http://ts.21cn.com/tousu/show/id/1365968","http://ts.21cn.com/tousu/show/id/1365968")</f>
      </c>
      <c r="G6757" t="s" s="2">
        <v>17</v>
      </c>
      <c r="H6757" t="s" s="2">
        <v>19</v>
      </c>
      <c r="I6757" t="s" s="2">
        <v>26141</v>
      </c>
      <c r="J6757" t="s" s="2">
        <v>26142</v>
      </c>
      <c r="K6757" t="s" s="2">
        <v>22</v>
      </c>
      <c r="L6757" t="s" s="2">
        <v>22</v>
      </c>
      <c r="M6757" t="s" s="2">
        <v>22</v>
      </c>
    </row>
    <row r="6758" ht="25.0" customHeight="true">
      <c r="A6758" t="s" s="2">
        <v>13</v>
      </c>
      <c r="B6758" t="s" s="2">
        <f>HYPERLINK("http://ts.21cn.com/tousu/show/id/1365966","小蜂鸟借款砍头息")</f>
      </c>
      <c r="C6758" t="s" s="2">
        <v>52</v>
      </c>
      <c r="D6758" t="s" s="2">
        <v>16</v>
      </c>
      <c r="E6758" t="s" s="2">
        <v>17</v>
      </c>
      <c r="F6758" t="s" s="2">
        <f>HYPERLINK("http://ts.21cn.com/tousu/show/id/1365966","http://ts.21cn.com/tousu/show/id/1365966")</f>
      </c>
      <c r="G6758" t="s" s="2">
        <v>17</v>
      </c>
      <c r="H6758" t="s" s="2">
        <v>19</v>
      </c>
      <c r="I6758" t="s" s="2">
        <v>26145</v>
      </c>
      <c r="J6758" t="s" s="2">
        <v>26146</v>
      </c>
      <c r="K6758" t="s" s="2">
        <v>22</v>
      </c>
      <c r="L6758" t="s" s="2">
        <v>22</v>
      </c>
      <c r="M6758" t="s" s="2">
        <v>22</v>
      </c>
    </row>
    <row r="6759" ht="25.0" customHeight="true">
      <c r="A6759" t="s" s="2">
        <v>13</v>
      </c>
      <c r="B6759" t="s" s="2">
        <f>HYPERLINK("http://ts.21cn.com/tousu/show/id/1365963","新浪趣用分期暴力催收")</f>
      </c>
      <c r="C6759" t="s" s="2">
        <v>15</v>
      </c>
      <c r="D6759" t="s" s="2">
        <v>16</v>
      </c>
      <c r="E6759" t="s" s="2">
        <v>17</v>
      </c>
      <c r="F6759" t="s" s="2">
        <f>HYPERLINK("http://ts.21cn.com/tousu/show/id/1365963","http://ts.21cn.com/tousu/show/id/1365963")</f>
      </c>
      <c r="G6759" t="s" s="2">
        <v>17</v>
      </c>
      <c r="H6759" t="s" s="2">
        <v>19</v>
      </c>
      <c r="I6759" t="s" s="2">
        <v>26149</v>
      </c>
      <c r="J6759" t="s" s="2">
        <v>26150</v>
      </c>
      <c r="K6759" t="s" s="2">
        <v>22</v>
      </c>
      <c r="L6759" t="s" s="2">
        <v>22</v>
      </c>
      <c r="M6759" t="s" s="2">
        <v>22</v>
      </c>
    </row>
    <row r="6760" ht="25.0" customHeight="true">
      <c r="A6760" t="s" s="2">
        <v>13</v>
      </c>
      <c r="B6760" t="s" s="2">
        <f>HYPERLINK("http://ts.21cn.com/tousu/show/id/1365965","马上金融高利贷借一天就100多利息提前结清还要100手续费合法吗？")</f>
      </c>
      <c r="C6760" t="s" s="2">
        <v>15</v>
      </c>
      <c r="D6760" t="s" s="2">
        <v>16</v>
      </c>
      <c r="E6760" t="s" s="2">
        <v>17</v>
      </c>
      <c r="F6760" t="s" s="2">
        <f>HYPERLINK("http://ts.21cn.com/tousu/show/id/1365965","http://ts.21cn.com/tousu/show/id/1365965")</f>
      </c>
      <c r="G6760" t="s" s="2">
        <v>17</v>
      </c>
      <c r="H6760" t="s" s="2">
        <v>19</v>
      </c>
      <c r="I6760" t="s" s="2">
        <v>26149</v>
      </c>
      <c r="J6760" t="s" s="2">
        <v>26152</v>
      </c>
      <c r="K6760" t="s" s="2">
        <v>22</v>
      </c>
      <c r="L6760" t="s" s="2">
        <v>22</v>
      </c>
      <c r="M6760" t="s" s="2">
        <v>22</v>
      </c>
    </row>
    <row r="6761" ht="25.0" customHeight="true">
      <c r="A6761" t="s" s="2">
        <v>13</v>
      </c>
      <c r="B6761" t="s" s="2">
        <f>HYPERLINK("http://ts.21cn.com/tousu/show/id/1365962","套路贷乱扣费退款！")</f>
      </c>
      <c r="C6761" t="s" s="2">
        <v>15</v>
      </c>
      <c r="D6761" t="s" s="2">
        <v>16</v>
      </c>
      <c r="E6761" t="s" s="2">
        <v>17</v>
      </c>
      <c r="F6761" t="s" s="2">
        <f>HYPERLINK("http://ts.21cn.com/tousu/show/id/1365962","http://ts.21cn.com/tousu/show/id/1365962")</f>
      </c>
      <c r="G6761" t="s" s="2">
        <v>17</v>
      </c>
      <c r="H6761" t="s" s="2">
        <v>19</v>
      </c>
      <c r="I6761" t="s" s="2">
        <v>26155</v>
      </c>
      <c r="J6761" t="s" s="2">
        <v>26156</v>
      </c>
      <c r="K6761" t="s" s="2">
        <v>22</v>
      </c>
      <c r="L6761" t="s" s="2">
        <v>22</v>
      </c>
      <c r="M6761" t="s" s="2">
        <v>22</v>
      </c>
    </row>
    <row r="6762" ht="25.0" customHeight="true">
      <c r="A6762" t="s" s="2">
        <v>13</v>
      </c>
      <c r="B6762" t="s" s="2">
        <f>HYPERLINK("http://ts.21cn.com/tousu/show/id/1365961","无故扣我银行卡里的钱")</f>
      </c>
      <c r="C6762" t="s" s="2">
        <v>15</v>
      </c>
      <c r="D6762" t="s" s="2">
        <v>16</v>
      </c>
      <c r="E6762" t="s" s="2">
        <v>17</v>
      </c>
      <c r="F6762" t="s" s="2">
        <f>HYPERLINK("http://ts.21cn.com/tousu/show/id/1365961","http://ts.21cn.com/tousu/show/id/1365961")</f>
      </c>
      <c r="G6762" t="s" s="2">
        <v>17</v>
      </c>
      <c r="H6762" t="s" s="2">
        <v>19</v>
      </c>
      <c r="I6762" t="s" s="2">
        <v>26159</v>
      </c>
      <c r="J6762" t="s" s="2">
        <v>26160</v>
      </c>
      <c r="K6762" t="s" s="2">
        <v>22</v>
      </c>
      <c r="L6762" t="s" s="2">
        <v>22</v>
      </c>
      <c r="M6762" t="s" s="2">
        <v>22</v>
      </c>
    </row>
    <row r="6763" ht="25.0" customHeight="true">
      <c r="A6763" t="s" s="2">
        <v>13</v>
      </c>
      <c r="B6763" t="s" s="2">
        <f>HYPERLINK("http://ts.21cn.com/tousu/show/id/1365959","套路催收")</f>
      </c>
      <c r="C6763" t="s" s="2">
        <v>15</v>
      </c>
      <c r="D6763" t="s" s="2">
        <v>16</v>
      </c>
      <c r="E6763" t="s" s="2">
        <v>17</v>
      </c>
      <c r="F6763" t="s" s="2">
        <f>HYPERLINK("http://ts.21cn.com/tousu/show/id/1365959","http://ts.21cn.com/tousu/show/id/1365959")</f>
      </c>
      <c r="G6763" t="s" s="2">
        <v>17</v>
      </c>
      <c r="H6763" t="s" s="2">
        <v>19</v>
      </c>
      <c r="I6763" t="s" s="2">
        <v>26163</v>
      </c>
      <c r="J6763" t="s" s="2">
        <v>26164</v>
      </c>
      <c r="K6763" t="s" s="2">
        <v>22</v>
      </c>
      <c r="L6763" t="s" s="2">
        <v>22</v>
      </c>
      <c r="M6763" t="s" s="2">
        <v>22</v>
      </c>
    </row>
    <row r="6764" ht="25.0" customHeight="true">
      <c r="A6764" t="s" s="2">
        <v>13</v>
      </c>
      <c r="B6764" t="s" s="2">
        <f>HYPERLINK("http://ts.21cn.com/tousu/show/id/1365958","骚扰，恐吓")</f>
      </c>
      <c r="C6764" t="s" s="2">
        <v>15</v>
      </c>
      <c r="D6764" t="s" s="2">
        <v>16</v>
      </c>
      <c r="E6764" t="s" s="2">
        <v>17</v>
      </c>
      <c r="F6764" t="s" s="2">
        <f>HYPERLINK("http://ts.21cn.com/tousu/show/id/1365958","http://ts.21cn.com/tousu/show/id/1365958")</f>
      </c>
      <c r="G6764" t="s" s="2">
        <v>17</v>
      </c>
      <c r="H6764" t="s" s="2">
        <v>19</v>
      </c>
      <c r="I6764" t="s" s="2">
        <v>26167</v>
      </c>
      <c r="J6764" t="s" s="2">
        <v>26168</v>
      </c>
      <c r="K6764" t="s" s="2">
        <v>22</v>
      </c>
      <c r="L6764" t="s" s="2">
        <v>22</v>
      </c>
      <c r="M6764" t="s" s="2">
        <v>22</v>
      </c>
    </row>
    <row r="6765" ht="25.0" customHeight="true">
      <c r="A6765" t="s" s="2">
        <v>13</v>
      </c>
      <c r="B6765" t="s" s="2">
        <f>HYPERLINK("http://ts.21cn.com/tousu/show/id/1365932","恶意刷流水扣我钱")</f>
      </c>
      <c r="C6765" t="s" s="2">
        <v>15</v>
      </c>
      <c r="D6765" t="s" s="2">
        <v>16</v>
      </c>
      <c r="E6765" t="s" s="2">
        <v>17</v>
      </c>
      <c r="F6765" t="s" s="2">
        <f>HYPERLINK("http://ts.21cn.com/tousu/show/id/1365932","http://ts.21cn.com/tousu/show/id/1365932")</f>
      </c>
      <c r="G6765" t="s" s="2">
        <v>17</v>
      </c>
      <c r="H6765" t="s" s="2">
        <v>19</v>
      </c>
      <c r="I6765" t="s" s="2">
        <v>26171</v>
      </c>
      <c r="J6765" t="s" s="2">
        <v>26172</v>
      </c>
      <c r="K6765" t="s" s="2">
        <v>22</v>
      </c>
      <c r="L6765" t="s" s="2">
        <v>22</v>
      </c>
      <c r="M6765" t="s" s="2">
        <v>22</v>
      </c>
    </row>
    <row r="6766" ht="25.0" customHeight="true">
      <c r="A6766" t="s" s="2">
        <v>13</v>
      </c>
      <c r="B6766" t="s" s="2">
        <f>HYPERLINK("http://ts.21cn.com/tousu/show/id/1365956","平安银行信用卡催收态度恶劣")</f>
      </c>
      <c r="C6766" t="s" s="2">
        <v>15</v>
      </c>
      <c r="D6766" t="s" s="2">
        <v>16</v>
      </c>
      <c r="E6766" t="s" s="2">
        <v>17</v>
      </c>
      <c r="F6766" t="s" s="2">
        <f>HYPERLINK("http://ts.21cn.com/tousu/show/id/1365956","http://ts.21cn.com/tousu/show/id/1365956")</f>
      </c>
      <c r="G6766" t="s" s="2">
        <v>17</v>
      </c>
      <c r="H6766" t="s" s="2">
        <v>19</v>
      </c>
      <c r="I6766" t="s" s="2">
        <v>26175</v>
      </c>
      <c r="J6766" t="s" s="2">
        <v>26176</v>
      </c>
      <c r="K6766" t="s" s="2">
        <v>22</v>
      </c>
      <c r="L6766" t="s" s="2">
        <v>22</v>
      </c>
      <c r="M6766" t="s" s="2">
        <v>22</v>
      </c>
    </row>
    <row r="6767" ht="25.0" customHeight="true">
      <c r="A6767" t="s" s="2">
        <v>13</v>
      </c>
      <c r="B6767" t="s" s="2">
        <f>HYPERLINK("http://ts.21cn.com/tousu/show/id/1365957","合理协商，不要一味恐吓威胁")</f>
      </c>
      <c r="C6767" t="s" s="2">
        <v>15</v>
      </c>
      <c r="D6767" t="s" s="2">
        <v>16</v>
      </c>
      <c r="E6767" t="s" s="2">
        <v>17</v>
      </c>
      <c r="F6767" t="s" s="2">
        <f>HYPERLINK("http://ts.21cn.com/tousu/show/id/1365957","http://ts.21cn.com/tousu/show/id/1365957")</f>
      </c>
      <c r="G6767" t="s" s="2">
        <v>17</v>
      </c>
      <c r="H6767" t="s" s="2">
        <v>19</v>
      </c>
      <c r="I6767" t="s" s="2">
        <v>26175</v>
      </c>
      <c r="J6767" t="s" s="2">
        <v>26179</v>
      </c>
      <c r="K6767" t="s" s="2">
        <v>22</v>
      </c>
      <c r="L6767" t="s" s="2">
        <v>22</v>
      </c>
      <c r="M6767" t="s" s="2">
        <v>22</v>
      </c>
    </row>
    <row r="6768" ht="25.0" customHeight="true">
      <c r="A6768" t="s" s="2">
        <v>13</v>
      </c>
      <c r="B6768" t="s" s="2">
        <f>HYPERLINK("http://ts.21cn.com/tousu/show/id/1365955","来分期电话骚扰严重")</f>
      </c>
      <c r="C6768" t="s" s="2">
        <v>15</v>
      </c>
      <c r="D6768" t="s" s="2">
        <v>16</v>
      </c>
      <c r="E6768" t="s" s="2">
        <v>17</v>
      </c>
      <c r="F6768" t="s" s="2">
        <f>HYPERLINK("http://ts.21cn.com/tousu/show/id/1365955","http://ts.21cn.com/tousu/show/id/1365955")</f>
      </c>
      <c r="G6768" t="s" s="2">
        <v>17</v>
      </c>
      <c r="H6768" t="s" s="2">
        <v>19</v>
      </c>
      <c r="I6768" t="s" s="2">
        <v>26182</v>
      </c>
      <c r="J6768" t="s" s="2">
        <v>26183</v>
      </c>
      <c r="K6768" t="s" s="2">
        <v>22</v>
      </c>
      <c r="L6768" t="s" s="2">
        <v>22</v>
      </c>
      <c r="M6768" t="s" s="2">
        <v>22</v>
      </c>
    </row>
    <row r="6769" ht="25.0" customHeight="true">
      <c r="A6769" t="s" s="2">
        <v>13</v>
      </c>
      <c r="B6769" t="s" s="2">
        <f>HYPERLINK("http://ts.21cn.com/tousu/show/id/1365954","好分期阴阳合同，高利贷，提前催收")</f>
      </c>
      <c r="C6769" t="s" s="2">
        <v>15</v>
      </c>
      <c r="D6769" t="s" s="2">
        <v>16</v>
      </c>
      <c r="E6769" t="s" s="2">
        <v>17</v>
      </c>
      <c r="F6769" t="s" s="2">
        <f>HYPERLINK("http://ts.21cn.com/tousu/show/id/1365954","http://ts.21cn.com/tousu/show/id/1365954")</f>
      </c>
      <c r="G6769" t="s" s="2">
        <v>17</v>
      </c>
      <c r="H6769" t="s" s="2">
        <v>19</v>
      </c>
      <c r="I6769" t="s" s="2">
        <v>26186</v>
      </c>
      <c r="J6769" t="s" s="2">
        <v>26187</v>
      </c>
      <c r="K6769" t="s" s="2">
        <v>22</v>
      </c>
      <c r="L6769" t="s" s="2">
        <v>22</v>
      </c>
      <c r="M6769" t="s" s="2">
        <v>22</v>
      </c>
    </row>
    <row r="6770" ht="25.0" customHeight="true">
      <c r="A6770" t="s" s="2">
        <v>13</v>
      </c>
      <c r="B6770" t="s" s="2">
        <f>HYPERLINK("http://ts.21cn.com/tousu/show/id/1365953","协商分期付款")</f>
      </c>
      <c r="C6770" t="s" s="2">
        <v>52</v>
      </c>
      <c r="D6770" t="s" s="2">
        <v>16</v>
      </c>
      <c r="E6770" t="s" s="2">
        <v>17</v>
      </c>
      <c r="F6770" t="s" s="2">
        <f>HYPERLINK("http://ts.21cn.com/tousu/show/id/1365953","http://ts.21cn.com/tousu/show/id/1365953")</f>
      </c>
      <c r="G6770" t="s" s="2">
        <v>17</v>
      </c>
      <c r="H6770" t="s" s="2">
        <v>19</v>
      </c>
      <c r="I6770" t="s" s="2">
        <v>26190</v>
      </c>
      <c r="J6770" t="s" s="2">
        <v>26191</v>
      </c>
      <c r="K6770" t="s" s="2">
        <v>22</v>
      </c>
      <c r="L6770" t="s" s="2">
        <v>22</v>
      </c>
      <c r="M6770" t="s" s="2">
        <v>22</v>
      </c>
    </row>
    <row r="6771" ht="25.0" customHeight="true">
      <c r="A6771" t="s" s="2">
        <v>13</v>
      </c>
      <c r="B6771" t="s" s="2">
        <f>HYPERLINK("http://ts.21cn.com/tousu/show/id/1365952","捷信暴力催收上门威胁，严重影响生活")</f>
      </c>
      <c r="C6771" t="s" s="2">
        <v>15</v>
      </c>
      <c r="D6771" t="s" s="2">
        <v>16</v>
      </c>
      <c r="E6771" t="s" s="2">
        <v>17</v>
      </c>
      <c r="F6771" t="s" s="2">
        <f>HYPERLINK("http://ts.21cn.com/tousu/show/id/1365952","http://ts.21cn.com/tousu/show/id/1365952")</f>
      </c>
      <c r="G6771" t="s" s="2">
        <v>17</v>
      </c>
      <c r="H6771" t="s" s="2">
        <v>19</v>
      </c>
      <c r="I6771" t="s" s="2">
        <v>26194</v>
      </c>
      <c r="J6771" t="s" s="2">
        <v>26195</v>
      </c>
      <c r="K6771" t="s" s="2">
        <v>22</v>
      </c>
      <c r="L6771" t="s" s="2">
        <v>22</v>
      </c>
      <c r="M6771" t="s" s="2">
        <v>22</v>
      </c>
    </row>
    <row r="6772" ht="25.0" customHeight="true">
      <c r="A6772" t="s" s="2">
        <v>13</v>
      </c>
      <c r="B6772" t="s" s="2">
        <f>HYPERLINK("http://ts.21cn.com/tousu/show/id/1365951","中腾信暴力催收")</f>
      </c>
      <c r="C6772" t="s" s="2">
        <v>15</v>
      </c>
      <c r="D6772" t="s" s="2">
        <v>16</v>
      </c>
      <c r="E6772" t="s" s="2">
        <v>17</v>
      </c>
      <c r="F6772" t="s" s="2">
        <f>HYPERLINK("http://ts.21cn.com/tousu/show/id/1365951","http://ts.21cn.com/tousu/show/id/1365951")</f>
      </c>
      <c r="G6772" t="s" s="2">
        <v>17</v>
      </c>
      <c r="H6772" t="s" s="2">
        <v>19</v>
      </c>
      <c r="I6772" t="s" s="2">
        <v>26198</v>
      </c>
      <c r="J6772" t="s" s="2">
        <v>26199</v>
      </c>
      <c r="K6772" t="s" s="2">
        <v>22</v>
      </c>
      <c r="L6772" t="s" s="2">
        <v>22</v>
      </c>
      <c r="M6772" t="s" s="2">
        <v>22</v>
      </c>
    </row>
    <row r="6773" ht="25.0" customHeight="true">
      <c r="A6773" t="s" s="2">
        <v>13</v>
      </c>
      <c r="B6773" t="s" s="2">
        <f>HYPERLINK("http://ts.21cn.com/tousu/show/id/1365948","微博钱包公然威胁恐吓我")</f>
      </c>
      <c r="C6773" t="s" s="2">
        <v>15</v>
      </c>
      <c r="D6773" t="s" s="2">
        <v>16</v>
      </c>
      <c r="E6773" t="s" s="2">
        <v>17</v>
      </c>
      <c r="F6773" t="s" s="2">
        <f>HYPERLINK("http://ts.21cn.com/tousu/show/id/1365948","http://ts.21cn.com/tousu/show/id/1365948")</f>
      </c>
      <c r="G6773" t="s" s="2">
        <v>17</v>
      </c>
      <c r="H6773" t="s" s="2">
        <v>19</v>
      </c>
      <c r="I6773" t="s" s="2">
        <v>26202</v>
      </c>
      <c r="J6773" t="s" s="2">
        <v>26203</v>
      </c>
      <c r="K6773" t="s" s="2">
        <v>22</v>
      </c>
      <c r="L6773" t="s" s="2">
        <v>22</v>
      </c>
      <c r="M6773" t="s" s="2">
        <v>22</v>
      </c>
    </row>
    <row r="6774" ht="25.0" customHeight="true">
      <c r="A6774" t="s" s="2">
        <v>13</v>
      </c>
      <c r="B6774" t="s" s="2">
        <f>HYPERLINK("http://ts.21cn.com/tousu/show/id/1365947","威胁恐吓")</f>
      </c>
      <c r="C6774" t="s" s="2">
        <v>15</v>
      </c>
      <c r="D6774" t="s" s="2">
        <v>16</v>
      </c>
      <c r="E6774" t="s" s="2">
        <v>17</v>
      </c>
      <c r="F6774" t="s" s="2">
        <f>HYPERLINK("http://ts.21cn.com/tousu/show/id/1365947","http://ts.21cn.com/tousu/show/id/1365947")</f>
      </c>
      <c r="G6774" t="s" s="2">
        <v>17</v>
      </c>
      <c r="H6774" t="s" s="2">
        <v>19</v>
      </c>
      <c r="I6774" t="s" s="2">
        <v>26205</v>
      </c>
      <c r="J6774" t="s" s="2">
        <v>26206</v>
      </c>
      <c r="K6774" t="s" s="2">
        <v>22</v>
      </c>
      <c r="L6774" t="s" s="2">
        <v>22</v>
      </c>
      <c r="M6774" t="s" s="2">
        <v>22</v>
      </c>
    </row>
    <row r="6775" ht="25.0" customHeight="true">
      <c r="A6775" t="s" s="2">
        <v>13</v>
      </c>
      <c r="B6775" t="s" s="2">
        <f>HYPERLINK("http://ts.21cn.com/tousu/show/id/1365946","芒果筹自身平台原因造成客户无法还款造成逾期")</f>
      </c>
      <c r="C6775" t="s" s="2">
        <v>15</v>
      </c>
      <c r="D6775" t="s" s="2">
        <v>16</v>
      </c>
      <c r="E6775" t="s" s="2">
        <v>17</v>
      </c>
      <c r="F6775" t="s" s="2">
        <f>HYPERLINK("http://ts.21cn.com/tousu/show/id/1365946","http://ts.21cn.com/tousu/show/id/1365946")</f>
      </c>
      <c r="G6775" t="s" s="2">
        <v>17</v>
      </c>
      <c r="H6775" t="s" s="2">
        <v>19</v>
      </c>
      <c r="I6775" t="s" s="2">
        <v>26205</v>
      </c>
      <c r="J6775" t="s" s="2">
        <v>26209</v>
      </c>
      <c r="K6775" t="s" s="2">
        <v>22</v>
      </c>
      <c r="L6775" t="s" s="2">
        <v>22</v>
      </c>
      <c r="M6775" t="s" s="2">
        <v>22</v>
      </c>
    </row>
    <row r="6776" ht="25.0" customHeight="true">
      <c r="A6776" t="s" s="2">
        <v>13</v>
      </c>
      <c r="B6776" t="s" s="2">
        <f>HYPERLINK("http://ts.21cn.com/tousu/show/id/1365945","退还费用")</f>
      </c>
      <c r="C6776" t="s" s="2">
        <v>52</v>
      </c>
      <c r="D6776" t="s" s="2">
        <v>16</v>
      </c>
      <c r="E6776" t="s" s="2">
        <v>17</v>
      </c>
      <c r="F6776" t="s" s="2">
        <f>HYPERLINK("http://ts.21cn.com/tousu/show/id/1365945","http://ts.21cn.com/tousu/show/id/1365945")</f>
      </c>
      <c r="G6776" t="s" s="2">
        <v>17</v>
      </c>
      <c r="H6776" t="s" s="2">
        <v>19</v>
      </c>
      <c r="I6776" t="s" s="2">
        <v>26212</v>
      </c>
      <c r="J6776" t="s" s="2">
        <v>26213</v>
      </c>
      <c r="K6776" t="s" s="2">
        <v>22</v>
      </c>
      <c r="L6776" t="s" s="2">
        <v>22</v>
      </c>
      <c r="M6776" t="s" s="2">
        <v>22</v>
      </c>
    </row>
    <row r="6777" ht="25.0" customHeight="true">
      <c r="A6777" t="s" s="2">
        <v>13</v>
      </c>
      <c r="B6777" t="s" s="2">
        <f>HYPERLINK("http://ts.21cn.com/tousu/show/id/1365943","软暴力催收")</f>
      </c>
      <c r="C6777" t="s" s="2">
        <v>15</v>
      </c>
      <c r="D6777" t="s" s="2">
        <v>16</v>
      </c>
      <c r="E6777" t="s" s="2">
        <v>17</v>
      </c>
      <c r="F6777" t="s" s="2">
        <f>HYPERLINK("http://ts.21cn.com/tousu/show/id/1365943","http://ts.21cn.com/tousu/show/id/1365943")</f>
      </c>
      <c r="G6777" t="s" s="2">
        <v>17</v>
      </c>
      <c r="H6777" t="s" s="2">
        <v>19</v>
      </c>
      <c r="I6777" t="s" s="2">
        <v>26215</v>
      </c>
      <c r="J6777" t="s" s="2">
        <v>26216</v>
      </c>
      <c r="K6777" t="s" s="2">
        <v>22</v>
      </c>
      <c r="L6777" t="s" s="2">
        <v>22</v>
      </c>
      <c r="M6777" t="s" s="2">
        <v>22</v>
      </c>
    </row>
    <row r="6778" ht="25.0" customHeight="true">
      <c r="A6778" t="s" s="2">
        <v>13</v>
      </c>
      <c r="B6778" t="s" s="2">
        <f>HYPERLINK("http://ts.21cn.com/tousu/show/id/1365944","高利贷")</f>
      </c>
      <c r="C6778" t="s" s="2">
        <v>15</v>
      </c>
      <c r="D6778" t="s" s="2">
        <v>16</v>
      </c>
      <c r="E6778" t="s" s="2">
        <v>17</v>
      </c>
      <c r="F6778" t="s" s="2">
        <f>HYPERLINK("http://ts.21cn.com/tousu/show/id/1365944","http://ts.21cn.com/tousu/show/id/1365944")</f>
      </c>
      <c r="G6778" t="s" s="2">
        <v>17</v>
      </c>
      <c r="H6778" t="s" s="2">
        <v>19</v>
      </c>
      <c r="I6778" t="s" s="2">
        <v>26218</v>
      </c>
      <c r="J6778" t="s" s="2">
        <v>26219</v>
      </c>
      <c r="K6778" t="s" s="2">
        <v>22</v>
      </c>
      <c r="L6778" t="s" s="2">
        <v>22</v>
      </c>
      <c r="M6778" t="s" s="2">
        <v>22</v>
      </c>
    </row>
    <row r="6779" ht="25.0" customHeight="true">
      <c r="A6779" t="s" s="2">
        <v>13</v>
      </c>
      <c r="B6779" t="s" s="2">
        <f>HYPERLINK("http://ts.21cn.com/tousu/show/id/1365942","农业银行ATM现金存款不到账")</f>
      </c>
      <c r="C6779" t="s" s="2">
        <v>15</v>
      </c>
      <c r="D6779" t="s" s="2">
        <v>16</v>
      </c>
      <c r="E6779" t="s" s="2">
        <v>17</v>
      </c>
      <c r="F6779" t="s" s="2">
        <f>HYPERLINK("http://ts.21cn.com/tousu/show/id/1365942","http://ts.21cn.com/tousu/show/id/1365942")</f>
      </c>
      <c r="G6779" t="s" s="2">
        <v>17</v>
      </c>
      <c r="H6779" t="s" s="2">
        <v>19</v>
      </c>
      <c r="I6779" t="s" s="2">
        <v>26222</v>
      </c>
      <c r="J6779" t="s" s="2">
        <v>26223</v>
      </c>
      <c r="K6779" t="s" s="2">
        <v>22</v>
      </c>
      <c r="L6779" t="s" s="2">
        <v>22</v>
      </c>
      <c r="M6779" t="s" s="2">
        <v>22</v>
      </c>
    </row>
    <row r="6780" ht="25.0" customHeight="true">
      <c r="A6780" t="s" s="2">
        <v>13</v>
      </c>
      <c r="B6780" t="s" s="2">
        <f>HYPERLINK("http://ts.21cn.com/tousu/show/id/1365745","充值后注销账户，不给退款。")</f>
      </c>
      <c r="C6780" t="s" s="2">
        <v>15</v>
      </c>
      <c r="D6780" t="s" s="2">
        <v>16</v>
      </c>
      <c r="E6780" t="s" s="2">
        <v>17</v>
      </c>
      <c r="F6780" t="s" s="2">
        <f>HYPERLINK("http://ts.21cn.com/tousu/show/id/1365745","http://ts.21cn.com/tousu/show/id/1365745")</f>
      </c>
      <c r="G6780" t="s" s="2">
        <v>17</v>
      </c>
      <c r="H6780" t="s" s="2">
        <v>19</v>
      </c>
      <c r="I6780" t="s" s="2">
        <v>26226</v>
      </c>
      <c r="J6780" t="s" s="2">
        <v>26227</v>
      </c>
      <c r="K6780" t="s" s="2">
        <v>22</v>
      </c>
      <c r="L6780" t="s" s="2">
        <v>22</v>
      </c>
      <c r="M6780" t="s" s="2">
        <v>22</v>
      </c>
    </row>
    <row r="6781" ht="25.0" customHeight="true">
      <c r="A6781" t="s" s="2">
        <v>13</v>
      </c>
      <c r="B6781" t="s" s="2">
        <f>HYPERLINK("http://ts.21cn.com/tousu/show/id/1365941","砍头息714高利贷")</f>
      </c>
      <c r="C6781" t="s" s="2">
        <v>15</v>
      </c>
      <c r="D6781" t="s" s="2">
        <v>16</v>
      </c>
      <c r="E6781" t="s" s="2">
        <v>17</v>
      </c>
      <c r="F6781" t="s" s="2">
        <f>HYPERLINK("http://ts.21cn.com/tousu/show/id/1365941","http://ts.21cn.com/tousu/show/id/1365941")</f>
      </c>
      <c r="G6781" t="s" s="2">
        <v>17</v>
      </c>
      <c r="H6781" t="s" s="2">
        <v>19</v>
      </c>
      <c r="I6781" t="s" s="2">
        <v>26230</v>
      </c>
      <c r="J6781" t="s" s="2">
        <v>26231</v>
      </c>
      <c r="K6781" t="s" s="2">
        <v>22</v>
      </c>
      <c r="L6781" t="s" s="2">
        <v>22</v>
      </c>
      <c r="M6781" t="s" s="2">
        <v>22</v>
      </c>
    </row>
    <row r="6782" ht="25.0" customHeight="true">
      <c r="A6782" t="s" s="2">
        <v>13</v>
      </c>
      <c r="B6782" t="s" s="2">
        <f>HYPERLINK("http://ts.21cn.com/tousu/show/id/1365940","暴力催收，阴阳合同")</f>
      </c>
      <c r="C6782" t="s" s="2">
        <v>15</v>
      </c>
      <c r="D6782" t="s" s="2">
        <v>16</v>
      </c>
      <c r="E6782" t="s" s="2">
        <v>17</v>
      </c>
      <c r="F6782" t="s" s="2">
        <f>HYPERLINK("http://ts.21cn.com/tousu/show/id/1365940","http://ts.21cn.com/tousu/show/id/1365940")</f>
      </c>
      <c r="G6782" t="s" s="2">
        <v>17</v>
      </c>
      <c r="H6782" t="s" s="2">
        <v>19</v>
      </c>
      <c r="I6782" t="s" s="2">
        <v>26234</v>
      </c>
      <c r="J6782" t="s" s="2">
        <v>26235</v>
      </c>
      <c r="K6782" t="s" s="2">
        <v>22</v>
      </c>
      <c r="L6782" t="s" s="2">
        <v>22</v>
      </c>
      <c r="M6782" t="s" s="2">
        <v>22</v>
      </c>
    </row>
    <row r="6783" ht="25.0" customHeight="true">
      <c r="A6783" t="s" s="2">
        <v>13</v>
      </c>
      <c r="B6783" t="s" s="2">
        <f>HYPERLINK("http://ts.21cn.com/tousu/show/id/1365938","国美易卡暴力催收态度恶劣并且盗取个人信息，希望给予相应的处理。")</f>
      </c>
      <c r="C6783" t="s" s="2">
        <v>15</v>
      </c>
      <c r="D6783" t="s" s="2">
        <v>16</v>
      </c>
      <c r="E6783" t="s" s="2">
        <v>17</v>
      </c>
      <c r="F6783" t="s" s="2">
        <f>HYPERLINK("http://ts.21cn.com/tousu/show/id/1365938","http://ts.21cn.com/tousu/show/id/1365938")</f>
      </c>
      <c r="G6783" t="s" s="2">
        <v>17</v>
      </c>
      <c r="H6783" t="s" s="2">
        <v>19</v>
      </c>
      <c r="I6783" t="s" s="2">
        <v>26238</v>
      </c>
      <c r="J6783" t="s" s="2">
        <v>26239</v>
      </c>
      <c r="K6783" t="s" s="2">
        <v>22</v>
      </c>
      <c r="L6783" t="s" s="2">
        <v>22</v>
      </c>
      <c r="M6783" t="s" s="2">
        <v>22</v>
      </c>
    </row>
    <row r="6784" ht="25.0" customHeight="true">
      <c r="A6784" t="s" s="2">
        <v>13</v>
      </c>
      <c r="B6784" t="s" s="2">
        <f>HYPERLINK("http://ts.21cn.com/tousu/show/id/1365935","兴业银行未经本人允许，将个人信息出售")</f>
      </c>
      <c r="C6784" t="s" s="2">
        <v>15</v>
      </c>
      <c r="D6784" t="s" s="2">
        <v>16</v>
      </c>
      <c r="E6784" t="s" s="2">
        <v>17</v>
      </c>
      <c r="F6784" t="s" s="2">
        <f>HYPERLINK("http://ts.21cn.com/tousu/show/id/1365935","http://ts.21cn.com/tousu/show/id/1365935")</f>
      </c>
      <c r="G6784" t="s" s="2">
        <v>17</v>
      </c>
      <c r="H6784" t="s" s="2">
        <v>19</v>
      </c>
      <c r="I6784" t="s" s="2">
        <v>26242</v>
      </c>
      <c r="J6784" t="s" s="2">
        <v>26243</v>
      </c>
      <c r="K6784" t="s" s="2">
        <v>22</v>
      </c>
      <c r="L6784" t="s" s="2">
        <v>22</v>
      </c>
      <c r="M6784" t="s" s="2">
        <v>22</v>
      </c>
    </row>
    <row r="6785" ht="25.0" customHeight="true">
      <c r="A6785" t="s" s="2">
        <v>13</v>
      </c>
      <c r="B6785" t="s" s="2">
        <f>HYPERLINK("http://ts.21cn.com/tousu/show/id/1365936","花转转高利贷，平台恶意逾期，协商不处理问题")</f>
      </c>
      <c r="C6785" t="s" s="2">
        <v>15</v>
      </c>
      <c r="D6785" t="s" s="2">
        <v>16</v>
      </c>
      <c r="E6785" t="s" s="2">
        <v>17</v>
      </c>
      <c r="F6785" t="s" s="2">
        <f>HYPERLINK("http://ts.21cn.com/tousu/show/id/1365936","http://ts.21cn.com/tousu/show/id/1365936")</f>
      </c>
      <c r="G6785" t="s" s="2">
        <v>17</v>
      </c>
      <c r="H6785" t="s" s="2">
        <v>19</v>
      </c>
      <c r="I6785" t="s" s="2">
        <v>26246</v>
      </c>
      <c r="J6785" t="s" s="2">
        <v>26247</v>
      </c>
      <c r="K6785" t="s" s="2">
        <v>22</v>
      </c>
      <c r="L6785" t="s" s="2">
        <v>22</v>
      </c>
      <c r="M6785" t="s" s="2">
        <v>22</v>
      </c>
    </row>
    <row r="6786" ht="25.0" customHeight="true">
      <c r="A6786" t="s" s="2">
        <v>13</v>
      </c>
      <c r="B6786" t="s" s="2">
        <f>HYPERLINK("http://ts.21cn.com/tousu/show/id/1365934","凡普电话轰炸严重影响正常工作生活")</f>
      </c>
      <c r="C6786" t="s" s="2">
        <v>15</v>
      </c>
      <c r="D6786" t="s" s="2">
        <v>16</v>
      </c>
      <c r="E6786" t="s" s="2">
        <v>17</v>
      </c>
      <c r="F6786" t="s" s="2">
        <f>HYPERLINK("http://ts.21cn.com/tousu/show/id/1365934","http://ts.21cn.com/tousu/show/id/1365934")</f>
      </c>
      <c r="G6786" t="s" s="2">
        <v>17</v>
      </c>
      <c r="H6786" t="s" s="2">
        <v>19</v>
      </c>
      <c r="I6786" t="s" s="2">
        <v>26250</v>
      </c>
      <c r="J6786" t="s" s="2">
        <v>26251</v>
      </c>
      <c r="K6786" t="s" s="2">
        <v>22</v>
      </c>
      <c r="L6786" t="s" s="2">
        <v>22</v>
      </c>
      <c r="M6786" t="s" s="2">
        <v>22</v>
      </c>
    </row>
    <row r="6787" ht="25.0" customHeight="true">
      <c r="A6787" t="s" s="2">
        <v>13</v>
      </c>
      <c r="B6787" t="s" s="2">
        <f>HYPERLINK("http://ts.21cn.com/tousu/show/id/1365931","高利息罚金")</f>
      </c>
      <c r="C6787" t="s" s="2">
        <v>15</v>
      </c>
      <c r="D6787" t="s" s="2">
        <v>16</v>
      </c>
      <c r="E6787" t="s" s="2">
        <v>17</v>
      </c>
      <c r="F6787" t="s" s="2">
        <f>HYPERLINK("http://ts.21cn.com/tousu/show/id/1365931","http://ts.21cn.com/tousu/show/id/1365931")</f>
      </c>
      <c r="G6787" t="s" s="2">
        <v>17</v>
      </c>
      <c r="H6787" t="s" s="2">
        <v>19</v>
      </c>
      <c r="I6787" t="s" s="2">
        <v>26254</v>
      </c>
      <c r="J6787" t="s" s="2">
        <v>26255</v>
      </c>
      <c r="K6787" t="s" s="2">
        <v>22</v>
      </c>
      <c r="L6787" t="s" s="2">
        <v>22</v>
      </c>
      <c r="M6787" t="s" s="2">
        <v>22</v>
      </c>
    </row>
    <row r="6788" ht="25.0" customHeight="true">
      <c r="A6788" t="s" s="2">
        <v>13</v>
      </c>
      <c r="B6788" t="s" s="2">
        <f>HYPERLINK("http://ts.21cn.com/tousu/show/id/1365933","前程无忧无故擅自扣我银行卡钱，我又没借钱")</f>
      </c>
      <c r="C6788" t="s" s="2">
        <v>15</v>
      </c>
      <c r="D6788" t="s" s="2">
        <v>16</v>
      </c>
      <c r="E6788" t="s" s="2">
        <v>17</v>
      </c>
      <c r="F6788" t="s" s="2">
        <f>HYPERLINK("http://ts.21cn.com/tousu/show/id/1365933","http://ts.21cn.com/tousu/show/id/1365933")</f>
      </c>
      <c r="G6788" t="s" s="2">
        <v>17</v>
      </c>
      <c r="H6788" t="s" s="2">
        <v>19</v>
      </c>
      <c r="I6788" t="s" s="2">
        <v>26258</v>
      </c>
      <c r="J6788" t="s" s="2">
        <v>26259</v>
      </c>
      <c r="K6788" t="s" s="2">
        <v>22</v>
      </c>
      <c r="L6788" t="s" s="2">
        <v>22</v>
      </c>
      <c r="M6788" t="s" s="2">
        <v>22</v>
      </c>
    </row>
    <row r="6789" ht="25.0" customHeight="true">
      <c r="A6789" t="s" s="2">
        <v>13</v>
      </c>
      <c r="B6789" t="s" s="2">
        <f>HYPERLINK("http://ts.21cn.com/tousu/show/id/1365930","盛京银行海航卡积分被清零")</f>
      </c>
      <c r="C6789" t="s" s="2">
        <v>15</v>
      </c>
      <c r="D6789" t="s" s="2">
        <v>16</v>
      </c>
      <c r="E6789" t="s" s="2">
        <v>17</v>
      </c>
      <c r="F6789" t="s" s="2">
        <f>HYPERLINK("http://ts.21cn.com/tousu/show/id/1365930","http://ts.21cn.com/tousu/show/id/1365930")</f>
      </c>
      <c r="G6789" t="s" s="2">
        <v>17</v>
      </c>
      <c r="H6789" t="s" s="2">
        <v>19</v>
      </c>
      <c r="I6789" t="s" s="2">
        <v>26262</v>
      </c>
      <c r="J6789" t="s" s="2">
        <v>26263</v>
      </c>
      <c r="K6789" t="s" s="2">
        <v>22</v>
      </c>
      <c r="L6789" t="s" s="2">
        <v>22</v>
      </c>
      <c r="M6789" t="s" s="2">
        <v>22</v>
      </c>
    </row>
    <row r="6790" ht="25.0" customHeight="true">
      <c r="A6790" t="s" s="2">
        <v>13</v>
      </c>
      <c r="B6790" t="s" s="2">
        <f>HYPERLINK("http://ts.21cn.com/tousu/show/id/1365929","上海翰银为赌博输平台提供收款渠道导致个人损失60余万，请求瀚银为我退款挽回经济损失")</f>
      </c>
      <c r="C6790" t="s" s="2">
        <v>15</v>
      </c>
      <c r="D6790" t="s" s="2">
        <v>16</v>
      </c>
      <c r="E6790" t="s" s="2">
        <v>17</v>
      </c>
      <c r="F6790" t="s" s="2">
        <f>HYPERLINK("http://ts.21cn.com/tousu/show/id/1365929","http://ts.21cn.com/tousu/show/id/1365929")</f>
      </c>
      <c r="G6790" t="s" s="2">
        <v>17</v>
      </c>
      <c r="H6790" t="s" s="2">
        <v>19</v>
      </c>
      <c r="I6790" t="s" s="2">
        <v>26266</v>
      </c>
      <c r="J6790" t="s" s="2">
        <v>26267</v>
      </c>
      <c r="K6790" t="s" s="2">
        <v>22</v>
      </c>
      <c r="L6790" t="s" s="2">
        <v>22</v>
      </c>
      <c r="M6790" t="s" s="2">
        <v>22</v>
      </c>
    </row>
    <row r="6791" ht="25.0" customHeight="true">
      <c r="A6791" t="s" s="2">
        <v>13</v>
      </c>
      <c r="B6791" t="s" s="2">
        <f>HYPERLINK("http://ts.21cn.com/tousu/show/id/1365927","一点钱分期骚扰家人及朋友，恐吓家人")</f>
      </c>
      <c r="C6791" t="s" s="2">
        <v>15</v>
      </c>
      <c r="D6791" t="s" s="2">
        <v>16</v>
      </c>
      <c r="E6791" t="s" s="2">
        <v>17</v>
      </c>
      <c r="F6791" t="s" s="2">
        <f>HYPERLINK("http://ts.21cn.com/tousu/show/id/1365927","http://ts.21cn.com/tousu/show/id/1365927")</f>
      </c>
      <c r="G6791" t="s" s="2">
        <v>17</v>
      </c>
      <c r="H6791" t="s" s="2">
        <v>19</v>
      </c>
      <c r="I6791" t="s" s="2">
        <v>26270</v>
      </c>
      <c r="J6791" t="s" s="2">
        <v>26271</v>
      </c>
      <c r="K6791" t="s" s="2">
        <v>22</v>
      </c>
      <c r="L6791" t="s" s="2">
        <v>22</v>
      </c>
      <c r="M6791" t="s" s="2">
        <v>22</v>
      </c>
    </row>
    <row r="6792" ht="25.0" customHeight="true">
      <c r="A6792" t="s" s="2">
        <v>13</v>
      </c>
      <c r="B6792" t="s" s="2">
        <f>HYPERLINK("http://ts.21cn.com/tousu/show/id/1365926","微信买手机，寄了配件给我，没手机")</f>
      </c>
      <c r="C6792" t="s" s="2">
        <v>15</v>
      </c>
      <c r="D6792" t="s" s="2">
        <v>16</v>
      </c>
      <c r="E6792" t="s" s="2">
        <v>17</v>
      </c>
      <c r="F6792" t="s" s="2">
        <f>HYPERLINK("http://ts.21cn.com/tousu/show/id/1365926","http://ts.21cn.com/tousu/show/id/1365926")</f>
      </c>
      <c r="G6792" t="s" s="2">
        <v>17</v>
      </c>
      <c r="H6792" t="s" s="2">
        <v>19</v>
      </c>
      <c r="I6792" t="s" s="2">
        <v>26274</v>
      </c>
      <c r="J6792" t="s" s="2">
        <v>26275</v>
      </c>
      <c r="K6792" t="s" s="2">
        <v>22</v>
      </c>
      <c r="L6792" t="s" s="2">
        <v>22</v>
      </c>
      <c r="M6792" t="s" s="2">
        <v>22</v>
      </c>
    </row>
    <row r="6793" ht="25.0" customHeight="true">
      <c r="A6793" t="s" s="2">
        <v>13</v>
      </c>
      <c r="B6793" t="s" s="2">
        <f>HYPERLINK("http://ts.21cn.com/tousu/show/id/1365924","京东金融暴力催收出卖个人信息给第三方")</f>
      </c>
      <c r="C6793" t="s" s="2">
        <v>15</v>
      </c>
      <c r="D6793" t="s" s="2">
        <v>16</v>
      </c>
      <c r="E6793" t="s" s="2">
        <v>17</v>
      </c>
      <c r="F6793" t="s" s="2">
        <f>HYPERLINK("http://ts.21cn.com/tousu/show/id/1365924","http://ts.21cn.com/tousu/show/id/1365924")</f>
      </c>
      <c r="G6793" t="s" s="2">
        <v>17</v>
      </c>
      <c r="H6793" t="s" s="2">
        <v>19</v>
      </c>
      <c r="I6793" t="s" s="2">
        <v>26278</v>
      </c>
      <c r="J6793" t="s" s="2">
        <v>26279</v>
      </c>
      <c r="K6793" t="s" s="2">
        <v>22</v>
      </c>
      <c r="L6793" t="s" s="2">
        <v>22</v>
      </c>
      <c r="M6793" t="s" s="2">
        <v>22</v>
      </c>
    </row>
    <row r="6794" ht="25.0" customHeight="true">
      <c r="A6794" t="s" s="2">
        <v>13</v>
      </c>
      <c r="B6794" t="s" s="2">
        <f>HYPERLINK("http://ts.21cn.com/tousu/show/id/1365923","宜人贷砍头费，超高利息")</f>
      </c>
      <c r="C6794" t="s" s="2">
        <v>15</v>
      </c>
      <c r="D6794" t="s" s="2">
        <v>16</v>
      </c>
      <c r="E6794" t="s" s="2">
        <v>17</v>
      </c>
      <c r="F6794" t="s" s="2">
        <f>HYPERLINK("http://ts.21cn.com/tousu/show/id/1365923","http://ts.21cn.com/tousu/show/id/1365923")</f>
      </c>
      <c r="G6794" t="s" s="2">
        <v>17</v>
      </c>
      <c r="H6794" t="s" s="2">
        <v>19</v>
      </c>
      <c r="I6794" t="s" s="2">
        <v>26282</v>
      </c>
      <c r="J6794" t="s" s="2">
        <v>26283</v>
      </c>
      <c r="K6794" t="s" s="2">
        <v>22</v>
      </c>
      <c r="L6794" t="s" s="2">
        <v>22</v>
      </c>
      <c r="M6794" t="s" s="2">
        <v>22</v>
      </c>
    </row>
    <row r="6795" ht="25.0" customHeight="true">
      <c r="A6795" t="s" s="2">
        <v>13</v>
      </c>
      <c r="B6795" t="s" s="2">
        <f>HYPERLINK("http://ts.21cn.com/tousu/show/id/1365922","希望尽快退款重新下单")</f>
      </c>
      <c r="C6795" t="s" s="2">
        <v>15</v>
      </c>
      <c r="D6795" t="s" s="2">
        <v>16</v>
      </c>
      <c r="E6795" t="s" s="2">
        <v>17</v>
      </c>
      <c r="F6795" t="s" s="2">
        <f>HYPERLINK("http://ts.21cn.com/tousu/show/id/1365922","http://ts.21cn.com/tousu/show/id/1365922")</f>
      </c>
      <c r="G6795" t="s" s="2">
        <v>17</v>
      </c>
      <c r="H6795" t="s" s="2">
        <v>19</v>
      </c>
      <c r="I6795" t="s" s="2">
        <v>26286</v>
      </c>
      <c r="J6795" t="s" s="2">
        <v>26287</v>
      </c>
      <c r="K6795" t="s" s="2">
        <v>22</v>
      </c>
      <c r="L6795" t="s" s="2">
        <v>22</v>
      </c>
      <c r="M6795" t="s" s="2">
        <v>22</v>
      </c>
    </row>
    <row r="6796" ht="25.0" customHeight="true">
      <c r="A6796" t="s" s="2">
        <v>13</v>
      </c>
      <c r="B6796" t="s" s="2">
        <f>HYPERLINK("http://ts.21cn.com/tousu/show/id/1365920","华夏银行不协商还款")</f>
      </c>
      <c r="C6796" t="s" s="2">
        <v>15</v>
      </c>
      <c r="D6796" t="s" s="2">
        <v>16</v>
      </c>
      <c r="E6796" t="s" s="2">
        <v>17</v>
      </c>
      <c r="F6796" t="s" s="2">
        <f>HYPERLINK("http://ts.21cn.com/tousu/show/id/1365920","http://ts.21cn.com/tousu/show/id/1365920")</f>
      </c>
      <c r="G6796" t="s" s="2">
        <v>17</v>
      </c>
      <c r="H6796" t="s" s="2">
        <v>19</v>
      </c>
      <c r="I6796" t="s" s="2">
        <v>26290</v>
      </c>
      <c r="J6796" t="s" s="2">
        <v>26291</v>
      </c>
      <c r="K6796" t="s" s="2">
        <v>22</v>
      </c>
      <c r="L6796" t="s" s="2">
        <v>22</v>
      </c>
      <c r="M6796" t="s" s="2">
        <v>22</v>
      </c>
    </row>
    <row r="6797" ht="25.0" customHeight="true">
      <c r="A6797" t="s" s="2">
        <v>13</v>
      </c>
      <c r="B6797" t="s" s="2">
        <f>HYPERLINK("http://ts.21cn.com/tousu/show/id/1365919","暴力催收，恐吓，威胁，骚扰")</f>
      </c>
      <c r="C6797" t="s" s="2">
        <v>15</v>
      </c>
      <c r="D6797" t="s" s="2">
        <v>16</v>
      </c>
      <c r="E6797" t="s" s="2">
        <v>17</v>
      </c>
      <c r="F6797" t="s" s="2">
        <f>HYPERLINK("http://ts.21cn.com/tousu/show/id/1365919","http://ts.21cn.com/tousu/show/id/1365919")</f>
      </c>
      <c r="G6797" t="s" s="2">
        <v>17</v>
      </c>
      <c r="H6797" t="s" s="2">
        <v>19</v>
      </c>
      <c r="I6797" t="s" s="2">
        <v>26294</v>
      </c>
      <c r="J6797" t="s" s="2">
        <v>26295</v>
      </c>
      <c r="K6797" t="s" s="2">
        <v>22</v>
      </c>
      <c r="L6797" t="s" s="2">
        <v>22</v>
      </c>
      <c r="M6797" t="s" s="2">
        <v>22</v>
      </c>
    </row>
    <row r="6798" ht="25.0" customHeight="true">
      <c r="A6798" t="s" s="2">
        <v>13</v>
      </c>
      <c r="B6798" t="s" s="2">
        <f>HYPERLINK("http://ts.21cn.com/tousu/show/id/1365918","畅捷支付协助高炮扣款")</f>
      </c>
      <c r="C6798" t="s" s="2">
        <v>15</v>
      </c>
      <c r="D6798" t="s" s="2">
        <v>16</v>
      </c>
      <c r="E6798" t="s" s="2">
        <v>17</v>
      </c>
      <c r="F6798" t="s" s="2">
        <f>HYPERLINK("http://ts.21cn.com/tousu/show/id/1365918","http://ts.21cn.com/tousu/show/id/1365918")</f>
      </c>
      <c r="G6798" t="s" s="2">
        <v>17</v>
      </c>
      <c r="H6798" t="s" s="2">
        <v>19</v>
      </c>
      <c r="I6798" t="s" s="2">
        <v>26298</v>
      </c>
      <c r="J6798" t="s" s="2">
        <v>26299</v>
      </c>
      <c r="K6798" t="s" s="2">
        <v>22</v>
      </c>
      <c r="L6798" t="s" s="2">
        <v>22</v>
      </c>
      <c r="M6798" t="s" s="2">
        <v>22</v>
      </c>
    </row>
    <row r="6799" ht="25.0" customHeight="true">
      <c r="A6799" t="s" s="2">
        <v>13</v>
      </c>
      <c r="B6799" t="s" s="2">
        <f>HYPERLINK("http://ts.21cn.com/tousu/show/id/1365917","锁定帐户骚扰威胁")</f>
      </c>
      <c r="C6799" t="s" s="2">
        <v>15</v>
      </c>
      <c r="D6799" t="s" s="2">
        <v>16</v>
      </c>
      <c r="E6799" t="s" s="2">
        <v>17</v>
      </c>
      <c r="F6799" t="s" s="2">
        <f>HYPERLINK("http://ts.21cn.com/tousu/show/id/1365917","http://ts.21cn.com/tousu/show/id/1365917")</f>
      </c>
      <c r="G6799" t="s" s="2">
        <v>17</v>
      </c>
      <c r="H6799" t="s" s="2">
        <v>19</v>
      </c>
      <c r="I6799" t="s" s="2">
        <v>26302</v>
      </c>
      <c r="J6799" t="s" s="2">
        <v>26303</v>
      </c>
      <c r="K6799" t="s" s="2">
        <v>22</v>
      </c>
      <c r="L6799" t="s" s="2">
        <v>22</v>
      </c>
      <c r="M6799" t="s" s="2">
        <v>22</v>
      </c>
    </row>
    <row r="6800" ht="25.0" customHeight="true">
      <c r="A6800" t="s" s="2">
        <v>13</v>
      </c>
      <c r="B6800" t="s" s="2">
        <f>HYPERLINK("http://ts.21cn.com/tousu/show/id/1365806","凤凰智信喜鹊快贷暴力催收阴阳合同高利贷")</f>
      </c>
      <c r="C6800" t="s" s="2">
        <v>15</v>
      </c>
      <c r="D6800" t="s" s="2">
        <v>16</v>
      </c>
      <c r="E6800" t="s" s="2">
        <v>17</v>
      </c>
      <c r="F6800" t="s" s="2">
        <f>HYPERLINK("http://ts.21cn.com/tousu/show/id/1365806","http://ts.21cn.com/tousu/show/id/1365806")</f>
      </c>
      <c r="G6800" t="s" s="2">
        <v>17</v>
      </c>
      <c r="H6800" t="s" s="2">
        <v>19</v>
      </c>
      <c r="I6800" t="s" s="2">
        <v>26306</v>
      </c>
      <c r="J6800" t="s" s="2">
        <v>26307</v>
      </c>
      <c r="K6800" t="s" s="2">
        <v>22</v>
      </c>
      <c r="L6800" t="s" s="2">
        <v>22</v>
      </c>
      <c r="M6800" t="s" s="2">
        <v>22</v>
      </c>
    </row>
    <row r="6801" ht="25.0" customHeight="true">
      <c r="A6801" t="s" s="2">
        <v>13</v>
      </c>
      <c r="B6801" t="s" s="2">
        <f>HYPERLINK("http://ts.21cn.com/tousu/show/id/1365916","要求取消订单")</f>
      </c>
      <c r="C6801" t="s" s="2">
        <v>15</v>
      </c>
      <c r="D6801" t="s" s="2">
        <v>16</v>
      </c>
      <c r="E6801" t="s" s="2">
        <v>17</v>
      </c>
      <c r="F6801" t="s" s="2">
        <f>HYPERLINK("http://ts.21cn.com/tousu/show/id/1365916","http://ts.21cn.com/tousu/show/id/1365916")</f>
      </c>
      <c r="G6801" t="s" s="2">
        <v>17</v>
      </c>
      <c r="H6801" t="s" s="2">
        <v>19</v>
      </c>
      <c r="I6801" t="s" s="2">
        <v>26310</v>
      </c>
      <c r="J6801" t="s" s="2">
        <v>26311</v>
      </c>
      <c r="K6801" t="s" s="2">
        <v>22</v>
      </c>
      <c r="L6801" t="s" s="2">
        <v>22</v>
      </c>
      <c r="M6801" t="s" s="2">
        <v>22</v>
      </c>
    </row>
    <row r="6802" ht="25.0" customHeight="true">
      <c r="A6802" t="s" s="2">
        <v>13</v>
      </c>
      <c r="B6802" t="s" s="2">
        <f>HYPERLINK("http://ts.21cn.com/tousu/show/id/1365915","合利宝违规为第三方发放高利贷")</f>
      </c>
      <c r="C6802" t="s" s="2">
        <v>15</v>
      </c>
      <c r="D6802" t="s" s="2">
        <v>16</v>
      </c>
      <c r="E6802" t="s" s="2">
        <v>17</v>
      </c>
      <c r="F6802" t="s" s="2">
        <f>HYPERLINK("http://ts.21cn.com/tousu/show/id/1365915","http://ts.21cn.com/tousu/show/id/1365915")</f>
      </c>
      <c r="G6802" t="s" s="2">
        <v>17</v>
      </c>
      <c r="H6802" t="s" s="2">
        <v>19</v>
      </c>
      <c r="I6802" t="s" s="2">
        <v>26314</v>
      </c>
      <c r="J6802" t="s" s="2">
        <v>26315</v>
      </c>
      <c r="K6802" t="s" s="2">
        <v>22</v>
      </c>
      <c r="L6802" t="s" s="2">
        <v>22</v>
      </c>
      <c r="M6802" t="s" s="2">
        <v>22</v>
      </c>
    </row>
    <row r="6803" ht="25.0" customHeight="true">
      <c r="A6803" t="s" s="2">
        <v>13</v>
      </c>
      <c r="B6803" t="s" s="2">
        <f>HYPERLINK("http://ts.21cn.com/tousu/show/id/1365914","平安普惠不予注销账号")</f>
      </c>
      <c r="C6803" t="s" s="2">
        <v>52</v>
      </c>
      <c r="D6803" t="s" s="2">
        <v>16</v>
      </c>
      <c r="E6803" t="s" s="2">
        <v>17</v>
      </c>
      <c r="F6803" t="s" s="2">
        <f>HYPERLINK("http://ts.21cn.com/tousu/show/id/1365914","http://ts.21cn.com/tousu/show/id/1365914")</f>
      </c>
      <c r="G6803" t="s" s="2">
        <v>17</v>
      </c>
      <c r="H6803" t="s" s="2">
        <v>19</v>
      </c>
      <c r="I6803" t="s" s="2">
        <v>26318</v>
      </c>
      <c r="J6803" t="s" s="2">
        <v>26319</v>
      </c>
      <c r="K6803" t="s" s="2">
        <v>22</v>
      </c>
      <c r="L6803" t="s" s="2">
        <v>22</v>
      </c>
      <c r="M6803" t="s" s="2">
        <v>22</v>
      </c>
    </row>
    <row r="6804" ht="25.0" customHeight="true">
      <c r="A6804" t="s" s="2">
        <v>13</v>
      </c>
      <c r="B6804" t="s" s="2">
        <f>HYPERLINK("http://ts.21cn.com/tousu/show/id/1365913","多米贷胡律师真是业务多电话号码也多到数不清")</f>
      </c>
      <c r="C6804" t="s" s="2">
        <v>15</v>
      </c>
      <c r="D6804" t="s" s="2">
        <v>16</v>
      </c>
      <c r="E6804" t="s" s="2">
        <v>17</v>
      </c>
      <c r="F6804" t="s" s="2">
        <f>HYPERLINK("http://ts.21cn.com/tousu/show/id/1365913","http://ts.21cn.com/tousu/show/id/1365913")</f>
      </c>
      <c r="G6804" t="s" s="2">
        <v>17</v>
      </c>
      <c r="H6804" t="s" s="2">
        <v>19</v>
      </c>
      <c r="I6804" t="s" s="2">
        <v>26322</v>
      </c>
      <c r="J6804" t="s" s="2">
        <v>26323</v>
      </c>
      <c r="K6804" t="s" s="2">
        <v>22</v>
      </c>
      <c r="L6804" t="s" s="2">
        <v>22</v>
      </c>
      <c r="M6804" t="s" s="2">
        <v>22</v>
      </c>
    </row>
    <row r="6805" ht="25.0" customHeight="true">
      <c r="A6805" t="s" s="2">
        <v>13</v>
      </c>
      <c r="B6805" t="s" s="2">
        <f>HYPERLINK("http://ts.21cn.com/tousu/show/id/1365866","白条分期套路")</f>
      </c>
      <c r="C6805" t="s" s="2">
        <v>15</v>
      </c>
      <c r="D6805" t="s" s="2">
        <v>16</v>
      </c>
      <c r="E6805" t="s" s="2">
        <v>17</v>
      </c>
      <c r="F6805" t="s" s="2">
        <f>HYPERLINK("http://ts.21cn.com/tousu/show/id/1365866","http://ts.21cn.com/tousu/show/id/1365866")</f>
      </c>
      <c r="G6805" t="s" s="2">
        <v>17</v>
      </c>
      <c r="H6805" t="s" s="2">
        <v>19</v>
      </c>
      <c r="I6805" t="s" s="2">
        <v>26326</v>
      </c>
      <c r="J6805" t="s" s="2">
        <v>26327</v>
      </c>
      <c r="K6805" t="s" s="2">
        <v>22</v>
      </c>
      <c r="L6805" t="s" s="2">
        <v>22</v>
      </c>
      <c r="M6805" t="s" s="2">
        <v>22</v>
      </c>
    </row>
    <row r="6806" ht="25.0" customHeight="true">
      <c r="A6806" t="s" s="2">
        <v>13</v>
      </c>
      <c r="B6806" t="s" s="2">
        <f>HYPERLINK("http://ts.21cn.com/tousu/show/id/1365911","拇指下款未经允许私自从银行卡里面扣钱")</f>
      </c>
      <c r="C6806" t="s" s="2">
        <v>15</v>
      </c>
      <c r="D6806" t="s" s="2">
        <v>16</v>
      </c>
      <c r="E6806" t="s" s="2">
        <v>17</v>
      </c>
      <c r="F6806" t="s" s="2">
        <f>HYPERLINK("http://ts.21cn.com/tousu/show/id/1365911","http://ts.21cn.com/tousu/show/id/1365911")</f>
      </c>
      <c r="G6806" t="s" s="2">
        <v>17</v>
      </c>
      <c r="H6806" t="s" s="2">
        <v>19</v>
      </c>
      <c r="I6806" t="s" s="2">
        <v>26330</v>
      </c>
      <c r="J6806" t="s" s="2">
        <v>26331</v>
      </c>
      <c r="K6806" t="s" s="2">
        <v>22</v>
      </c>
      <c r="L6806" t="s" s="2">
        <v>22</v>
      </c>
      <c r="M6806" t="s" s="2">
        <v>22</v>
      </c>
    </row>
    <row r="6807" ht="25.0" customHeight="true">
      <c r="A6807" t="s" s="2">
        <v>13</v>
      </c>
      <c r="B6807" t="s" s="2">
        <f>HYPERLINK("http://ts.21cn.com/tousu/show/id/1365910","尚德机构不予退款")</f>
      </c>
      <c r="C6807" t="s" s="2">
        <v>15</v>
      </c>
      <c r="D6807" t="s" s="2">
        <v>16</v>
      </c>
      <c r="E6807" t="s" s="2">
        <v>17</v>
      </c>
      <c r="F6807" t="s" s="2">
        <f>HYPERLINK("http://ts.21cn.com/tousu/show/id/1365910","http://ts.21cn.com/tousu/show/id/1365910")</f>
      </c>
      <c r="G6807" t="s" s="2">
        <v>17</v>
      </c>
      <c r="H6807" t="s" s="2">
        <v>19</v>
      </c>
      <c r="I6807" t="s" s="2">
        <v>26334</v>
      </c>
      <c r="J6807" t="s" s="2">
        <v>26335</v>
      </c>
      <c r="K6807" t="s" s="2">
        <v>22</v>
      </c>
      <c r="L6807" t="s" s="2">
        <v>22</v>
      </c>
      <c r="M6807" t="s" s="2">
        <v>22</v>
      </c>
    </row>
    <row r="6808" ht="25.0" customHeight="true">
      <c r="A6808" t="s" s="2">
        <v>13</v>
      </c>
      <c r="B6808" t="s" s="2">
        <f>HYPERLINK("http://ts.21cn.com/tousu/show/id/1365908","广发信用卡分期突然不占额度超额使用账单有异")</f>
      </c>
      <c r="C6808" t="s" s="2">
        <v>15</v>
      </c>
      <c r="D6808" t="s" s="2">
        <v>16</v>
      </c>
      <c r="E6808" t="s" s="2">
        <v>17</v>
      </c>
      <c r="F6808" t="s" s="2">
        <f>HYPERLINK("http://ts.21cn.com/tousu/show/id/1365908","http://ts.21cn.com/tousu/show/id/1365908")</f>
      </c>
      <c r="G6808" t="s" s="2">
        <v>17</v>
      </c>
      <c r="H6808" t="s" s="2">
        <v>19</v>
      </c>
      <c r="I6808" t="s" s="2">
        <v>26338</v>
      </c>
      <c r="J6808" t="s" s="2">
        <v>26339</v>
      </c>
      <c r="K6808" t="s" s="2">
        <v>22</v>
      </c>
      <c r="L6808" t="s" s="2">
        <v>22</v>
      </c>
      <c r="M6808" t="s" s="2">
        <v>22</v>
      </c>
    </row>
    <row r="6809" ht="25.0" customHeight="true">
      <c r="A6809" t="s" s="2">
        <v>13</v>
      </c>
      <c r="B6809" t="s" s="2">
        <f>HYPERLINK("http://ts.21cn.com/tousu/show/id/1365909","信用管家神马借之前通过聚投诉协商一致不执行。")</f>
      </c>
      <c r="C6809" t="s" s="2">
        <v>15</v>
      </c>
      <c r="D6809" t="s" s="2">
        <v>16</v>
      </c>
      <c r="E6809" t="s" s="2">
        <v>17</v>
      </c>
      <c r="F6809" t="s" s="2">
        <f>HYPERLINK("http://ts.21cn.com/tousu/show/id/1365909","http://ts.21cn.com/tousu/show/id/1365909")</f>
      </c>
      <c r="G6809" t="s" s="2">
        <v>17</v>
      </c>
      <c r="H6809" t="s" s="2">
        <v>19</v>
      </c>
      <c r="I6809" t="s" s="2">
        <v>26338</v>
      </c>
      <c r="J6809" t="s" s="2">
        <v>26342</v>
      </c>
      <c r="K6809" t="s" s="2">
        <v>22</v>
      </c>
      <c r="L6809" t="s" s="2">
        <v>22</v>
      </c>
      <c r="M6809" t="s" s="2">
        <v>22</v>
      </c>
    </row>
    <row r="6810" ht="25.0" customHeight="true">
      <c r="A6810" t="s" s="2">
        <v>13</v>
      </c>
      <c r="B6810" t="s" s="2">
        <f>HYPERLINK("http://ts.21cn.com/tousu/show/id/1365907","嗨包app借款平台畸高利息及滞纳金，暴击催收，威胁恐吓")</f>
      </c>
      <c r="C6810" t="s" s="2">
        <v>15</v>
      </c>
      <c r="D6810" t="s" s="2">
        <v>16</v>
      </c>
      <c r="E6810" t="s" s="2">
        <v>17</v>
      </c>
      <c r="F6810" t="s" s="2">
        <f>HYPERLINK("http://ts.21cn.com/tousu/show/id/1365907","http://ts.21cn.com/tousu/show/id/1365907")</f>
      </c>
      <c r="G6810" t="s" s="2">
        <v>17</v>
      </c>
      <c r="H6810" t="s" s="2">
        <v>19</v>
      </c>
      <c r="I6810" t="s" s="2">
        <v>26345</v>
      </c>
      <c r="J6810" t="s" s="2">
        <v>26346</v>
      </c>
      <c r="K6810" t="s" s="2">
        <v>22</v>
      </c>
      <c r="L6810" t="s" s="2">
        <v>22</v>
      </c>
      <c r="M6810" t="s" s="2">
        <v>22</v>
      </c>
    </row>
    <row r="6811" ht="25.0" customHeight="true">
      <c r="A6811" t="s" s="2">
        <v>13</v>
      </c>
      <c r="B6811" t="s" s="2">
        <f>HYPERLINK("http://ts.21cn.com/tousu/show/id/1365912","人人车速卖宝服务费 拖延退款 未到账")</f>
      </c>
      <c r="C6811" t="s" s="2">
        <v>15</v>
      </c>
      <c r="D6811" t="s" s="2">
        <v>16</v>
      </c>
      <c r="E6811" t="s" s="2">
        <v>17</v>
      </c>
      <c r="F6811" t="s" s="2">
        <f>HYPERLINK("http://ts.21cn.com/tousu/show/id/1365912","http://ts.21cn.com/tousu/show/id/1365912")</f>
      </c>
      <c r="G6811" t="s" s="2">
        <v>17</v>
      </c>
      <c r="H6811" t="s" s="2">
        <v>19</v>
      </c>
      <c r="I6811" t="s" s="2">
        <v>26349</v>
      </c>
      <c r="J6811" t="s" s="2">
        <v>26350</v>
      </c>
      <c r="K6811" t="s" s="2">
        <v>22</v>
      </c>
      <c r="L6811" t="s" s="2">
        <v>22</v>
      </c>
      <c r="M6811" t="s" s="2">
        <v>22</v>
      </c>
    </row>
    <row r="6812" ht="25.0" customHeight="true">
      <c r="A6812" t="s" s="2">
        <v>13</v>
      </c>
      <c r="B6812" t="s" s="2">
        <f>HYPERLINK("http://ts.21cn.com/tousu/show/id/1365905","催收人打电话到公司骚扰，给亲友打电话发短信骚扰")</f>
      </c>
      <c r="C6812" t="s" s="2">
        <v>15</v>
      </c>
      <c r="D6812" t="s" s="2">
        <v>16</v>
      </c>
      <c r="E6812" t="s" s="2">
        <v>17</v>
      </c>
      <c r="F6812" t="s" s="2">
        <f>HYPERLINK("http://ts.21cn.com/tousu/show/id/1365905","http://ts.21cn.com/tousu/show/id/1365905")</f>
      </c>
      <c r="G6812" t="s" s="2">
        <v>17</v>
      </c>
      <c r="H6812" t="s" s="2">
        <v>19</v>
      </c>
      <c r="I6812" t="s" s="2">
        <v>26353</v>
      </c>
      <c r="J6812" t="s" s="2">
        <v>26354</v>
      </c>
      <c r="K6812" t="s" s="2">
        <v>22</v>
      </c>
      <c r="L6812" t="s" s="2">
        <v>22</v>
      </c>
      <c r="M6812" t="s" s="2">
        <v>22</v>
      </c>
    </row>
    <row r="6813" ht="25.0" customHeight="true">
      <c r="A6813" t="s" s="2">
        <v>13</v>
      </c>
      <c r="B6813" t="s" s="2">
        <f>HYPERLINK("http://ts.21cn.com/tousu/show/id/1365903","严重骚扰我的亲朋好友")</f>
      </c>
      <c r="C6813" t="s" s="2">
        <v>52</v>
      </c>
      <c r="D6813" t="s" s="2">
        <v>16</v>
      </c>
      <c r="E6813" t="s" s="2">
        <v>17</v>
      </c>
      <c r="F6813" t="s" s="2">
        <f>HYPERLINK("http://ts.21cn.com/tousu/show/id/1365903","http://ts.21cn.com/tousu/show/id/1365903")</f>
      </c>
      <c r="G6813" t="s" s="2">
        <v>17</v>
      </c>
      <c r="H6813" t="s" s="2">
        <v>19</v>
      </c>
      <c r="I6813" t="s" s="2">
        <v>26357</v>
      </c>
      <c r="J6813" t="s" s="2">
        <v>26358</v>
      </c>
      <c r="K6813" t="s" s="2">
        <v>22</v>
      </c>
      <c r="L6813" t="s" s="2">
        <v>22</v>
      </c>
      <c r="M6813" t="s" s="2">
        <v>22</v>
      </c>
    </row>
    <row r="6814" ht="25.0" customHeight="true">
      <c r="A6814" t="s" s="2">
        <v>13</v>
      </c>
      <c r="B6814" t="s" s="2">
        <f>HYPERLINK("http://ts.21cn.com/tousu/show/id/1365901","我来贷高利贷")</f>
      </c>
      <c r="C6814" t="s" s="2">
        <v>15</v>
      </c>
      <c r="D6814" t="s" s="2">
        <v>16</v>
      </c>
      <c r="E6814" t="s" s="2">
        <v>17</v>
      </c>
      <c r="F6814" t="s" s="2">
        <f>HYPERLINK("http://ts.21cn.com/tousu/show/id/1365901","http://ts.21cn.com/tousu/show/id/1365901")</f>
      </c>
      <c r="G6814" t="s" s="2">
        <v>17</v>
      </c>
      <c r="H6814" t="s" s="2">
        <v>19</v>
      </c>
      <c r="I6814" t="s" s="2">
        <v>26360</v>
      </c>
      <c r="J6814" t="s" s="2">
        <v>26361</v>
      </c>
      <c r="K6814" t="s" s="2">
        <v>22</v>
      </c>
      <c r="L6814" t="s" s="2">
        <v>22</v>
      </c>
      <c r="M6814" t="s" s="2">
        <v>22</v>
      </c>
    </row>
    <row r="6815" ht="25.0" customHeight="true">
      <c r="A6815" t="s" s="2">
        <v>13</v>
      </c>
      <c r="B6815" t="s" s="2">
        <f>HYPERLINK("http://ts.21cn.com/tousu/show/id/1365899","恒昌公司通过黑社会暴力催收")</f>
      </c>
      <c r="C6815" t="s" s="2">
        <v>15</v>
      </c>
      <c r="D6815" t="s" s="2">
        <v>16</v>
      </c>
      <c r="E6815" t="s" s="2">
        <v>17</v>
      </c>
      <c r="F6815" t="s" s="2">
        <f>HYPERLINK("http://ts.21cn.com/tousu/show/id/1365899","http://ts.21cn.com/tousu/show/id/1365899")</f>
      </c>
      <c r="G6815" t="s" s="2">
        <v>17</v>
      </c>
      <c r="H6815" t="s" s="2">
        <v>19</v>
      </c>
      <c r="I6815" t="s" s="2">
        <v>26364</v>
      </c>
      <c r="J6815" t="s" s="2">
        <v>26365</v>
      </c>
      <c r="K6815" t="s" s="2">
        <v>22</v>
      </c>
      <c r="L6815" t="s" s="2">
        <v>22</v>
      </c>
      <c r="M6815" t="s" s="2">
        <v>22</v>
      </c>
    </row>
    <row r="6816" ht="25.0" customHeight="true">
      <c r="A6816" t="s" s="2">
        <v>13</v>
      </c>
      <c r="B6816" t="s" s="2">
        <f>HYPERLINK("http://ts.21cn.com/tousu/show/id/1365902","故意让消费者逾期")</f>
      </c>
      <c r="C6816" t="s" s="2">
        <v>15</v>
      </c>
      <c r="D6816" t="s" s="2">
        <v>16</v>
      </c>
      <c r="E6816" t="s" s="2">
        <v>17</v>
      </c>
      <c r="F6816" t="s" s="2">
        <f>HYPERLINK("http://ts.21cn.com/tousu/show/id/1365902","http://ts.21cn.com/tousu/show/id/1365902")</f>
      </c>
      <c r="G6816" t="s" s="2">
        <v>17</v>
      </c>
      <c r="H6816" t="s" s="2">
        <v>19</v>
      </c>
      <c r="I6816" t="s" s="2">
        <v>26368</v>
      </c>
      <c r="J6816" t="s" s="2">
        <v>26369</v>
      </c>
      <c r="K6816" t="s" s="2">
        <v>22</v>
      </c>
      <c r="L6816" t="s" s="2">
        <v>22</v>
      </c>
      <c r="M6816" t="s" s="2">
        <v>22</v>
      </c>
    </row>
    <row r="6817" ht="25.0" customHeight="true">
      <c r="A6817" t="s" s="2">
        <v>13</v>
      </c>
      <c r="B6817" t="s" s="2">
        <f>HYPERLINK("http://ts.21cn.com/tousu/show/id/1365898","平安普惠暴力催收无视监管，爆通讯录")</f>
      </c>
      <c r="C6817" t="s" s="2">
        <v>15</v>
      </c>
      <c r="D6817" t="s" s="2">
        <v>16</v>
      </c>
      <c r="E6817" t="s" s="2">
        <v>17</v>
      </c>
      <c r="F6817" t="s" s="2">
        <f>HYPERLINK("http://ts.21cn.com/tousu/show/id/1365898","http://ts.21cn.com/tousu/show/id/1365898")</f>
      </c>
      <c r="G6817" t="s" s="2">
        <v>17</v>
      </c>
      <c r="H6817" t="s" s="2">
        <v>19</v>
      </c>
      <c r="I6817" t="s" s="2">
        <v>26372</v>
      </c>
      <c r="J6817" t="s" s="2">
        <v>26373</v>
      </c>
      <c r="K6817" t="s" s="2">
        <v>22</v>
      </c>
      <c r="L6817" t="s" s="2">
        <v>22</v>
      </c>
      <c r="M6817" t="s" s="2">
        <v>22</v>
      </c>
    </row>
    <row r="6818" ht="25.0" customHeight="true">
      <c r="A6818" t="s" s="2">
        <v>13</v>
      </c>
      <c r="B6818" t="s" s="2">
        <f>HYPERLINK("http://ts.21cn.com/tousu/show/id/1365897","牛人有品骚扰电话")</f>
      </c>
      <c r="C6818" t="s" s="2">
        <v>15</v>
      </c>
      <c r="D6818" t="s" s="2">
        <v>16</v>
      </c>
      <c r="E6818" t="s" s="2">
        <v>17</v>
      </c>
      <c r="F6818" t="s" s="2">
        <f>HYPERLINK("http://ts.21cn.com/tousu/show/id/1365897","http://ts.21cn.com/tousu/show/id/1365897")</f>
      </c>
      <c r="G6818" t="s" s="2">
        <v>17</v>
      </c>
      <c r="H6818" t="s" s="2">
        <v>19</v>
      </c>
      <c r="I6818" t="s" s="2">
        <v>26376</v>
      </c>
      <c r="J6818" t="s" s="2">
        <v>26377</v>
      </c>
      <c r="K6818" t="s" s="2">
        <v>22</v>
      </c>
      <c r="L6818" t="s" s="2">
        <v>22</v>
      </c>
      <c r="M6818" t="s" s="2">
        <v>22</v>
      </c>
    </row>
    <row r="6819" ht="25.0" customHeight="true">
      <c r="A6819" t="s" s="2">
        <v>13</v>
      </c>
      <c r="B6819" t="s" s="2">
        <f>HYPERLINK("http://ts.21cn.com/tousu/show/id/1365895","投诉淘宝身份信息被盗用开通店铺，多次联系客服不予处理")</f>
      </c>
      <c r="C6819" t="s" s="2">
        <v>15</v>
      </c>
      <c r="D6819" t="s" s="2">
        <v>16</v>
      </c>
      <c r="E6819" t="s" s="2">
        <v>17</v>
      </c>
      <c r="F6819" t="s" s="2">
        <f>HYPERLINK("http://ts.21cn.com/tousu/show/id/1365895","http://ts.21cn.com/tousu/show/id/1365895")</f>
      </c>
      <c r="G6819" t="s" s="2">
        <v>17</v>
      </c>
      <c r="H6819" t="s" s="2">
        <v>19</v>
      </c>
      <c r="I6819" t="s" s="2">
        <v>26380</v>
      </c>
      <c r="J6819" t="s" s="2">
        <v>26381</v>
      </c>
      <c r="K6819" t="s" s="2">
        <v>22</v>
      </c>
      <c r="L6819" t="s" s="2">
        <v>22</v>
      </c>
      <c r="M6819" t="s" s="2">
        <v>22</v>
      </c>
    </row>
    <row r="6820" ht="25.0" customHeight="true">
      <c r="A6820" t="s" s="2">
        <v>13</v>
      </c>
      <c r="B6820" t="s" s="2">
        <f>HYPERLINK("http://ts.21cn.com/tousu/show/id/1365893","畅捷支付现控达人套路贷")</f>
      </c>
      <c r="C6820" t="s" s="2">
        <v>15</v>
      </c>
      <c r="D6820" t="s" s="2">
        <v>16</v>
      </c>
      <c r="E6820" t="s" s="2">
        <v>17</v>
      </c>
      <c r="F6820" t="s" s="2">
        <f>HYPERLINK("http://ts.21cn.com/tousu/show/id/1365893","http://ts.21cn.com/tousu/show/id/1365893")</f>
      </c>
      <c r="G6820" t="s" s="2">
        <v>17</v>
      </c>
      <c r="H6820" t="s" s="2">
        <v>19</v>
      </c>
      <c r="I6820" t="s" s="2">
        <v>26384</v>
      </c>
      <c r="J6820" t="s" s="2">
        <v>26385</v>
      </c>
      <c r="K6820" t="s" s="2">
        <v>22</v>
      </c>
      <c r="L6820" t="s" s="2">
        <v>22</v>
      </c>
      <c r="M6820" t="s" s="2">
        <v>22</v>
      </c>
    </row>
    <row r="6821" ht="25.0" customHeight="true">
      <c r="A6821" t="s" s="2">
        <v>13</v>
      </c>
      <c r="B6821" t="s" s="2">
        <f>HYPERLINK("http://ts.21cn.com/tousu/show/id/1365892","骚扰我的家人，恶意诽谤，让我无法安心工作生理的心理都受到了伤害")</f>
      </c>
      <c r="C6821" t="s" s="2">
        <v>52</v>
      </c>
      <c r="D6821" t="s" s="2">
        <v>16</v>
      </c>
      <c r="E6821" t="s" s="2">
        <v>17</v>
      </c>
      <c r="F6821" t="s" s="2">
        <f>HYPERLINK("http://ts.21cn.com/tousu/show/id/1365892","http://ts.21cn.com/tousu/show/id/1365892")</f>
      </c>
      <c r="G6821" t="s" s="2">
        <v>17</v>
      </c>
      <c r="H6821" t="s" s="2">
        <v>19</v>
      </c>
      <c r="I6821" t="s" s="2">
        <v>26388</v>
      </c>
      <c r="J6821" t="s" s="2">
        <v>26389</v>
      </c>
      <c r="K6821" t="s" s="2">
        <v>22</v>
      </c>
      <c r="L6821" t="s" s="2">
        <v>22</v>
      </c>
      <c r="M6821" t="s" s="2">
        <v>22</v>
      </c>
    </row>
    <row r="6822" ht="25.0" customHeight="true">
      <c r="A6822" t="s" s="2">
        <v>13</v>
      </c>
      <c r="B6822" t="s" s="2">
        <f>HYPERLINK("http://ts.21cn.com/tousu/show/id/1365890","宜人贷黑社会本质，恐吓、敲诈")</f>
      </c>
      <c r="C6822" t="s" s="2">
        <v>15</v>
      </c>
      <c r="D6822" t="s" s="2">
        <v>16</v>
      </c>
      <c r="E6822" t="s" s="2">
        <v>17</v>
      </c>
      <c r="F6822" t="s" s="2">
        <f>HYPERLINK("http://ts.21cn.com/tousu/show/id/1365890","http://ts.21cn.com/tousu/show/id/1365890")</f>
      </c>
      <c r="G6822" t="s" s="2">
        <v>17</v>
      </c>
      <c r="H6822" t="s" s="2">
        <v>19</v>
      </c>
      <c r="I6822" t="s" s="2">
        <v>26392</v>
      </c>
      <c r="J6822" t="s" s="2">
        <v>26393</v>
      </c>
      <c r="K6822" t="s" s="2">
        <v>22</v>
      </c>
      <c r="L6822" t="s" s="2">
        <v>22</v>
      </c>
      <c r="M6822" t="s" s="2">
        <v>22</v>
      </c>
    </row>
    <row r="6823" ht="25.0" customHeight="true">
      <c r="A6823" t="s" s="2">
        <v>13</v>
      </c>
      <c r="B6823" t="s" s="2">
        <f>HYPERLINK("http://ts.21cn.com/tousu/show/id/1365891","情人花恶意扣款")</f>
      </c>
      <c r="C6823" t="s" s="2">
        <v>15</v>
      </c>
      <c r="D6823" t="s" s="2">
        <v>16</v>
      </c>
      <c r="E6823" t="s" s="2">
        <v>17</v>
      </c>
      <c r="F6823" t="s" s="2">
        <f>HYPERLINK("http://ts.21cn.com/tousu/show/id/1365891","http://ts.21cn.com/tousu/show/id/1365891")</f>
      </c>
      <c r="G6823" t="s" s="2">
        <v>17</v>
      </c>
      <c r="H6823" t="s" s="2">
        <v>19</v>
      </c>
      <c r="I6823" t="s" s="2">
        <v>26396</v>
      </c>
      <c r="J6823" t="s" s="2">
        <v>26397</v>
      </c>
      <c r="K6823" t="s" s="2">
        <v>22</v>
      </c>
      <c r="L6823" t="s" s="2">
        <v>22</v>
      </c>
      <c r="M6823" t="s" s="2">
        <v>22</v>
      </c>
    </row>
    <row r="6824" ht="25.0" customHeight="true">
      <c r="A6824" t="s" s="2">
        <v>13</v>
      </c>
      <c r="B6824" t="s" s="2">
        <f>HYPERLINK("http://ts.21cn.com/tousu/show/id/1365889","蛋壳公寓手持身份证照片")</f>
      </c>
      <c r="C6824" t="s" s="2">
        <v>52</v>
      </c>
      <c r="D6824" t="s" s="2">
        <v>16</v>
      </c>
      <c r="E6824" t="s" s="2">
        <v>17</v>
      </c>
      <c r="F6824" t="s" s="2">
        <f>HYPERLINK("http://ts.21cn.com/tousu/show/id/1365889","http://ts.21cn.com/tousu/show/id/1365889")</f>
      </c>
      <c r="G6824" t="s" s="2">
        <v>17</v>
      </c>
      <c r="H6824" t="s" s="2">
        <v>19</v>
      </c>
      <c r="I6824" t="s" s="2">
        <v>26400</v>
      </c>
      <c r="J6824" t="s" s="2">
        <v>26401</v>
      </c>
      <c r="K6824" t="s" s="2">
        <v>22</v>
      </c>
      <c r="L6824" t="s" s="2">
        <v>22</v>
      </c>
      <c r="M6824" t="s" s="2">
        <v>22</v>
      </c>
    </row>
    <row r="6825" ht="25.0" customHeight="true">
      <c r="A6825" t="s" s="2">
        <v>13</v>
      </c>
      <c r="B6825" t="s" s="2">
        <f>HYPERLINK("http://ts.21cn.com/tousu/show/id/1365888","喜鹊快贷")</f>
      </c>
      <c r="C6825" t="s" s="2">
        <v>15</v>
      </c>
      <c r="D6825" t="s" s="2">
        <v>16</v>
      </c>
      <c r="E6825" t="s" s="2">
        <v>17</v>
      </c>
      <c r="F6825" t="s" s="2">
        <f>HYPERLINK("http://ts.21cn.com/tousu/show/id/1365888","http://ts.21cn.com/tousu/show/id/1365888")</f>
      </c>
      <c r="G6825" t="s" s="2">
        <v>17</v>
      </c>
      <c r="H6825" t="s" s="2">
        <v>19</v>
      </c>
      <c r="I6825" t="s" s="2">
        <v>26404</v>
      </c>
      <c r="J6825" t="s" s="2">
        <v>26405</v>
      </c>
      <c r="K6825" t="s" s="2">
        <v>22</v>
      </c>
      <c r="L6825" t="s" s="2">
        <v>22</v>
      </c>
      <c r="M6825" t="s" s="2">
        <v>22</v>
      </c>
    </row>
    <row r="6826" ht="25.0" customHeight="true">
      <c r="A6826" t="s" s="2">
        <v>13</v>
      </c>
      <c r="B6826" t="s" s="2">
        <f>HYPERLINK("http://ts.21cn.com/tousu/show/id/1365886","玖富万卡提前结清后说余款退还到富有金账户，至今没有收到退款")</f>
      </c>
      <c r="C6826" t="s" s="2">
        <v>15</v>
      </c>
      <c r="D6826" t="s" s="2">
        <v>16</v>
      </c>
      <c r="E6826" t="s" s="2">
        <v>17</v>
      </c>
      <c r="F6826" t="s" s="2">
        <f>HYPERLINK("http://ts.21cn.com/tousu/show/id/1365886","http://ts.21cn.com/tousu/show/id/1365886")</f>
      </c>
      <c r="G6826" t="s" s="2">
        <v>17</v>
      </c>
      <c r="H6826" t="s" s="2">
        <v>19</v>
      </c>
      <c r="I6826" t="s" s="2">
        <v>26408</v>
      </c>
      <c r="J6826" t="s" s="2">
        <v>26409</v>
      </c>
      <c r="K6826" t="s" s="2">
        <v>22</v>
      </c>
      <c r="L6826" t="s" s="2">
        <v>22</v>
      </c>
      <c r="M6826" t="s" s="2">
        <v>22</v>
      </c>
    </row>
    <row r="6827" ht="25.0" customHeight="true">
      <c r="A6827" t="s" s="2">
        <v>13</v>
      </c>
      <c r="B6827" t="s" s="2">
        <f>HYPERLINK("http://ts.21cn.com/tousu/show/id/1365885","阿里妈妈乱扣淘宝卖家佣金，虽承诺返还实际一直推诿拖延违背承诺")</f>
      </c>
      <c r="C6827" t="s" s="2">
        <v>15</v>
      </c>
      <c r="D6827" t="s" s="2">
        <v>16</v>
      </c>
      <c r="E6827" t="s" s="2">
        <v>17</v>
      </c>
      <c r="F6827" t="s" s="2">
        <f>HYPERLINK("http://ts.21cn.com/tousu/show/id/1365885","http://ts.21cn.com/tousu/show/id/1365885")</f>
      </c>
      <c r="G6827" t="s" s="2">
        <v>17</v>
      </c>
      <c r="H6827" t="s" s="2">
        <v>19</v>
      </c>
      <c r="I6827" t="s" s="2">
        <v>26412</v>
      </c>
      <c r="J6827" t="s" s="2">
        <v>26413</v>
      </c>
      <c r="K6827" t="s" s="2">
        <v>22</v>
      </c>
      <c r="L6827" t="s" s="2">
        <v>22</v>
      </c>
      <c r="M6827" t="s" s="2">
        <v>22</v>
      </c>
    </row>
    <row r="6828" ht="25.0" customHeight="true">
      <c r="A6828" t="s" s="2">
        <v>13</v>
      </c>
      <c r="B6828" t="s" s="2">
        <f>HYPERLINK("http://ts.21cn.com/tousu/show/id/1365887","联动云租车押金不能提前退还，本人急需用钱")</f>
      </c>
      <c r="C6828" t="s" s="2">
        <v>15</v>
      </c>
      <c r="D6828" t="s" s="2">
        <v>16</v>
      </c>
      <c r="E6828" t="s" s="2">
        <v>17</v>
      </c>
      <c r="F6828" t="s" s="2">
        <f>HYPERLINK("http://ts.21cn.com/tousu/show/id/1365887","http://ts.21cn.com/tousu/show/id/1365887")</f>
      </c>
      <c r="G6828" t="s" s="2">
        <v>17</v>
      </c>
      <c r="H6828" t="s" s="2">
        <v>19</v>
      </c>
      <c r="I6828" t="s" s="2">
        <v>26416</v>
      </c>
      <c r="J6828" t="s" s="2">
        <v>26417</v>
      </c>
      <c r="K6828" t="s" s="2">
        <v>22</v>
      </c>
      <c r="L6828" t="s" s="2">
        <v>22</v>
      </c>
      <c r="M6828" t="s" s="2">
        <v>22</v>
      </c>
    </row>
    <row r="6829" ht="25.0" customHeight="true">
      <c r="A6829" t="s" s="2">
        <v>13</v>
      </c>
      <c r="B6829" t="s" s="2">
        <f>HYPERLINK("http://ts.21cn.com/tousu/show/id/1365884","保费没退")</f>
      </c>
      <c r="C6829" t="s" s="2">
        <v>52</v>
      </c>
      <c r="D6829" t="s" s="2">
        <v>16</v>
      </c>
      <c r="E6829" t="s" s="2">
        <v>17</v>
      </c>
      <c r="F6829" t="s" s="2">
        <f>HYPERLINK("http://ts.21cn.com/tousu/show/id/1365884","http://ts.21cn.com/tousu/show/id/1365884")</f>
      </c>
      <c r="G6829" t="s" s="2">
        <v>17</v>
      </c>
      <c r="H6829" t="s" s="2">
        <v>19</v>
      </c>
      <c r="I6829" t="s" s="2">
        <v>26420</v>
      </c>
      <c r="J6829" t="s" s="2">
        <v>26421</v>
      </c>
      <c r="K6829" t="s" s="2">
        <v>22</v>
      </c>
      <c r="L6829" t="s" s="2">
        <v>22</v>
      </c>
      <c r="M6829" t="s" s="2">
        <v>22</v>
      </c>
    </row>
    <row r="6830" ht="25.0" customHeight="true">
      <c r="A6830" t="s" s="2">
        <v>13</v>
      </c>
      <c r="B6830" t="s" s="2">
        <f>HYPERLINK("http://ts.21cn.com/tousu/show/id/1365727","现控达人app故意致人逾期索要高额逾期费")</f>
      </c>
      <c r="C6830" t="s" s="2">
        <v>15</v>
      </c>
      <c r="D6830" t="s" s="2">
        <v>16</v>
      </c>
      <c r="E6830" t="s" s="2">
        <v>17</v>
      </c>
      <c r="F6830" t="s" s="2">
        <f>HYPERLINK("http://ts.21cn.com/tousu/show/id/1365727","http://ts.21cn.com/tousu/show/id/1365727")</f>
      </c>
      <c r="G6830" t="s" s="2">
        <v>17</v>
      </c>
      <c r="H6830" t="s" s="2">
        <v>19</v>
      </c>
      <c r="I6830" t="s" s="2">
        <v>26424</v>
      </c>
      <c r="J6830" t="s" s="2">
        <v>26425</v>
      </c>
      <c r="K6830" t="s" s="2">
        <v>22</v>
      </c>
      <c r="L6830" t="s" s="2">
        <v>22</v>
      </c>
      <c r="M6830" t="s" s="2">
        <v>22</v>
      </c>
    </row>
    <row r="6831" ht="25.0" customHeight="true">
      <c r="A6831" t="s" s="2">
        <v>13</v>
      </c>
      <c r="B6831" t="s" s="2">
        <f>HYPERLINK("http://ts.21cn.com/tousu/show/id/1365882","被网贷爆通讯录")</f>
      </c>
      <c r="C6831" t="s" s="2">
        <v>15</v>
      </c>
      <c r="D6831" t="s" s="2">
        <v>16</v>
      </c>
      <c r="E6831" t="s" s="2">
        <v>17</v>
      </c>
      <c r="F6831" t="s" s="2">
        <f>HYPERLINK("http://ts.21cn.com/tousu/show/id/1365882","http://ts.21cn.com/tousu/show/id/1365882")</f>
      </c>
      <c r="G6831" t="s" s="2">
        <v>17</v>
      </c>
      <c r="H6831" t="s" s="2">
        <v>19</v>
      </c>
      <c r="I6831" t="s" s="2">
        <v>26428</v>
      </c>
      <c r="J6831" t="s" s="2">
        <v>26429</v>
      </c>
      <c r="K6831" t="s" s="2">
        <v>22</v>
      </c>
      <c r="L6831" t="s" s="2">
        <v>22</v>
      </c>
      <c r="M6831" t="s" s="2">
        <v>22</v>
      </c>
    </row>
    <row r="6832" ht="25.0" customHeight="true">
      <c r="A6832" t="s" s="2">
        <v>13</v>
      </c>
      <c r="B6832" t="s" s="2">
        <f>HYPERLINK("http://ts.21cn.com/tousu/show/id/1365881","保险费以交说是没交又私自交纳不给客户通知，先全款交清就索要保险费")</f>
      </c>
      <c r="C6832" t="s" s="2">
        <v>15</v>
      </c>
      <c r="D6832" t="s" s="2">
        <v>16</v>
      </c>
      <c r="E6832" t="s" s="2">
        <v>17</v>
      </c>
      <c r="F6832" t="s" s="2">
        <f>HYPERLINK("http://ts.21cn.com/tousu/show/id/1365881","http://ts.21cn.com/tousu/show/id/1365881")</f>
      </c>
      <c r="G6832" t="s" s="2">
        <v>17</v>
      </c>
      <c r="H6832" t="s" s="2">
        <v>19</v>
      </c>
      <c r="I6832" t="s" s="2">
        <v>26432</v>
      </c>
      <c r="J6832" t="s" s="2">
        <v>26433</v>
      </c>
      <c r="K6832" t="s" s="2">
        <v>22</v>
      </c>
      <c r="L6832" t="s" s="2">
        <v>22</v>
      </c>
      <c r="M6832" t="s" s="2">
        <v>22</v>
      </c>
    </row>
    <row r="6833" ht="25.0" customHeight="true">
      <c r="A6833" t="s" s="2">
        <v>13</v>
      </c>
      <c r="B6833" t="s" s="2">
        <f>HYPERLINK("http://ts.21cn.com/tousu/show/id/1113226","快闪卡贷砍头息、高额利息")</f>
      </c>
      <c r="C6833" t="s" s="2">
        <v>15</v>
      </c>
      <c r="D6833" t="s" s="2">
        <v>16</v>
      </c>
      <c r="E6833" t="s" s="2">
        <v>17</v>
      </c>
      <c r="F6833" t="s" s="2">
        <f>HYPERLINK("http://ts.21cn.com/tousu/show/id/1113226","http://ts.21cn.com/tousu/show/id/1113226")</f>
      </c>
      <c r="G6833" t="s" s="2">
        <v>17</v>
      </c>
      <c r="H6833" t="s" s="2">
        <v>19</v>
      </c>
      <c r="I6833" t="s" s="2">
        <v>26436</v>
      </c>
      <c r="J6833" t="s" s="2">
        <v>26437</v>
      </c>
      <c r="K6833" t="s" s="2">
        <v>22</v>
      </c>
      <c r="L6833" t="s" s="2">
        <v>22</v>
      </c>
      <c r="M6833" t="s" s="2">
        <v>22</v>
      </c>
    </row>
    <row r="6834" ht="25.0" customHeight="true">
      <c r="A6834" t="s" s="2">
        <v>13</v>
      </c>
      <c r="B6834" t="s" s="2">
        <f>HYPERLINK("http://ts.21cn.com/tousu/show/id/1365800","钱币币")</f>
      </c>
      <c r="C6834" t="s" s="2">
        <v>52</v>
      </c>
      <c r="D6834" t="s" s="2">
        <v>16</v>
      </c>
      <c r="E6834" t="s" s="2">
        <v>17</v>
      </c>
      <c r="F6834" t="s" s="2">
        <f>HYPERLINK("http://ts.21cn.com/tousu/show/id/1365800","http://ts.21cn.com/tousu/show/id/1365800")</f>
      </c>
      <c r="G6834" t="s" s="2">
        <v>17</v>
      </c>
      <c r="H6834" t="s" s="2">
        <v>19</v>
      </c>
      <c r="I6834" t="s" s="2">
        <v>26440</v>
      </c>
      <c r="J6834" t="s" s="2">
        <v>26441</v>
      </c>
      <c r="K6834" t="s" s="2">
        <v>22</v>
      </c>
      <c r="L6834" t="s" s="2">
        <v>22</v>
      </c>
      <c r="M6834" t="s" s="2">
        <v>22</v>
      </c>
    </row>
    <row r="6835" ht="25.0" customHeight="true">
      <c r="A6835" t="s" s="2">
        <v>13</v>
      </c>
      <c r="B6835" t="s" s="2">
        <f>HYPERLINK("http://ts.21cn.com/tousu/show/id/1365880","苏宁金融不合理保险费")</f>
      </c>
      <c r="C6835" t="s" s="2">
        <v>15</v>
      </c>
      <c r="D6835" t="s" s="2">
        <v>16</v>
      </c>
      <c r="E6835" t="s" s="2">
        <v>17</v>
      </c>
      <c r="F6835" t="s" s="2">
        <f>HYPERLINK("http://ts.21cn.com/tousu/show/id/1365880","http://ts.21cn.com/tousu/show/id/1365880")</f>
      </c>
      <c r="G6835" t="s" s="2">
        <v>17</v>
      </c>
      <c r="H6835" t="s" s="2">
        <v>19</v>
      </c>
      <c r="I6835" t="s" s="2">
        <v>26444</v>
      </c>
      <c r="J6835" t="s" s="2">
        <v>26445</v>
      </c>
      <c r="K6835" t="s" s="2">
        <v>22</v>
      </c>
      <c r="L6835" t="s" s="2">
        <v>22</v>
      </c>
      <c r="M6835" t="s" s="2">
        <v>22</v>
      </c>
    </row>
    <row r="6836" ht="25.0" customHeight="true">
      <c r="A6836" t="s" s="2">
        <v>13</v>
      </c>
      <c r="B6836" t="s" s="2">
        <f>HYPERLINK("http://ts.21cn.com/tousu/show/id/1365878","用银行资金放贷收取高息")</f>
      </c>
      <c r="C6836" t="s" s="2">
        <v>15</v>
      </c>
      <c r="D6836" t="s" s="2">
        <v>16</v>
      </c>
      <c r="E6836" t="s" s="2">
        <v>17</v>
      </c>
      <c r="F6836" t="s" s="2">
        <f>HYPERLINK("http://ts.21cn.com/tousu/show/id/1365878","http://ts.21cn.com/tousu/show/id/1365878")</f>
      </c>
      <c r="G6836" t="s" s="2">
        <v>17</v>
      </c>
      <c r="H6836" t="s" s="2">
        <v>19</v>
      </c>
      <c r="I6836" t="s" s="2">
        <v>26448</v>
      </c>
      <c r="J6836" t="s" s="2">
        <v>26449</v>
      </c>
      <c r="K6836" t="s" s="2">
        <v>22</v>
      </c>
      <c r="L6836" t="s" s="2">
        <v>22</v>
      </c>
      <c r="M6836" t="s" s="2">
        <v>22</v>
      </c>
    </row>
    <row r="6837" ht="25.0" customHeight="true">
      <c r="A6837" t="s" s="2">
        <v>13</v>
      </c>
      <c r="B6837" t="s" s="2">
        <f>HYPERLINK("http://ts.21cn.com/tousu/show/id/1365877","凡普金科钱站暴利催收高利贷")</f>
      </c>
      <c r="C6837" t="s" s="2">
        <v>15</v>
      </c>
      <c r="D6837" t="s" s="2">
        <v>16</v>
      </c>
      <c r="E6837" t="s" s="2">
        <v>17</v>
      </c>
      <c r="F6837" t="s" s="2">
        <f>HYPERLINK("http://ts.21cn.com/tousu/show/id/1365877","http://ts.21cn.com/tousu/show/id/1365877")</f>
      </c>
      <c r="G6837" t="s" s="2">
        <v>17</v>
      </c>
      <c r="H6837" t="s" s="2">
        <v>19</v>
      </c>
      <c r="I6837" t="s" s="2">
        <v>26452</v>
      </c>
      <c r="J6837" t="s" s="2">
        <v>26453</v>
      </c>
      <c r="K6837" t="s" s="2">
        <v>22</v>
      </c>
      <c r="L6837" t="s" s="2">
        <v>22</v>
      </c>
      <c r="M6837" t="s" s="2">
        <v>22</v>
      </c>
    </row>
    <row r="6838" ht="25.0" customHeight="true">
      <c r="A6838" t="s" s="2">
        <v>13</v>
      </c>
      <c r="B6838" t="s" s="2">
        <f>HYPERLINK("http://ts.21cn.com/tousu/show/id/1365876","微粒贷外包催债公司对我工作单位骚扰")</f>
      </c>
      <c r="C6838" t="s" s="2">
        <v>15</v>
      </c>
      <c r="D6838" t="s" s="2">
        <v>16</v>
      </c>
      <c r="E6838" t="s" s="2">
        <v>17</v>
      </c>
      <c r="F6838" t="s" s="2">
        <f>HYPERLINK("http://ts.21cn.com/tousu/show/id/1365876","http://ts.21cn.com/tousu/show/id/1365876")</f>
      </c>
      <c r="G6838" t="s" s="2">
        <v>17</v>
      </c>
      <c r="H6838" t="s" s="2">
        <v>19</v>
      </c>
      <c r="I6838" t="s" s="2">
        <v>26456</v>
      </c>
      <c r="J6838" t="s" s="2">
        <v>26457</v>
      </c>
      <c r="K6838" t="s" s="2">
        <v>22</v>
      </c>
      <c r="L6838" t="s" s="2">
        <v>22</v>
      </c>
      <c r="M6838" t="s" s="2">
        <v>22</v>
      </c>
    </row>
    <row r="6839" ht="25.0" customHeight="true">
      <c r="A6839" t="s" s="2">
        <v>13</v>
      </c>
      <c r="B6839" t="s" s="2">
        <f>HYPERLINK("http://ts.21cn.com/tousu/show/id/1365874","把还多了钱给我退回来")</f>
      </c>
      <c r="C6839" t="s" s="2">
        <v>52</v>
      </c>
      <c r="D6839" t="s" s="2">
        <v>16</v>
      </c>
      <c r="E6839" t="s" s="2">
        <v>17</v>
      </c>
      <c r="F6839" t="s" s="2">
        <f>HYPERLINK("http://ts.21cn.com/tousu/show/id/1365874","http://ts.21cn.com/tousu/show/id/1365874")</f>
      </c>
      <c r="G6839" t="s" s="2">
        <v>17</v>
      </c>
      <c r="H6839" t="s" s="2">
        <v>19</v>
      </c>
      <c r="I6839" t="s" s="2">
        <v>26460</v>
      </c>
      <c r="J6839" t="s" s="2">
        <v>26461</v>
      </c>
      <c r="K6839" t="s" s="2">
        <v>22</v>
      </c>
      <c r="L6839" t="s" s="2">
        <v>22</v>
      </c>
      <c r="M6839" t="s" s="2">
        <v>22</v>
      </c>
    </row>
    <row r="6840" ht="25.0" customHeight="true">
      <c r="A6840" t="s" s="2">
        <v>13</v>
      </c>
      <c r="B6840" t="s" s="2">
        <f>HYPERLINK("http://ts.21cn.com/tousu/show/id/1365875","闪银哼哼瞬瞬强制购物，变相收取砍头息")</f>
      </c>
      <c r="C6840" t="s" s="2">
        <v>15</v>
      </c>
      <c r="D6840" t="s" s="2">
        <v>16</v>
      </c>
      <c r="E6840" t="s" s="2">
        <v>17</v>
      </c>
      <c r="F6840" t="s" s="2">
        <f>HYPERLINK("http://ts.21cn.com/tousu/show/id/1365875","http://ts.21cn.com/tousu/show/id/1365875")</f>
      </c>
      <c r="G6840" t="s" s="2">
        <v>17</v>
      </c>
      <c r="H6840" t="s" s="2">
        <v>19</v>
      </c>
      <c r="I6840" t="s" s="2">
        <v>26464</v>
      </c>
      <c r="J6840" t="s" s="2">
        <v>26465</v>
      </c>
      <c r="K6840" t="s" s="2">
        <v>22</v>
      </c>
      <c r="L6840" t="s" s="2">
        <v>22</v>
      </c>
      <c r="M6840" t="s" s="2">
        <v>22</v>
      </c>
    </row>
    <row r="6841" ht="25.0" customHeight="true">
      <c r="A6841" t="s" s="2">
        <v>13</v>
      </c>
      <c r="B6841" t="s" s="2">
        <f>HYPERLINK("http://ts.21cn.com/tousu/show/id/1365873","闪电借款够买了黑卡却不能借款")</f>
      </c>
      <c r="C6841" t="s" s="2">
        <v>52</v>
      </c>
      <c r="D6841" t="s" s="2">
        <v>16</v>
      </c>
      <c r="E6841" t="s" s="2">
        <v>17</v>
      </c>
      <c r="F6841" t="s" s="2">
        <f>HYPERLINK("http://ts.21cn.com/tousu/show/id/1365873","http://ts.21cn.com/tousu/show/id/1365873")</f>
      </c>
      <c r="G6841" t="s" s="2">
        <v>17</v>
      </c>
      <c r="H6841" t="s" s="2">
        <v>19</v>
      </c>
      <c r="I6841" t="s" s="2">
        <v>26468</v>
      </c>
      <c r="J6841" t="s" s="2">
        <v>26469</v>
      </c>
      <c r="K6841" t="s" s="2">
        <v>22</v>
      </c>
      <c r="L6841" t="s" s="2">
        <v>22</v>
      </c>
      <c r="M6841" t="s" s="2">
        <v>22</v>
      </c>
    </row>
    <row r="6842" ht="25.0" customHeight="true">
      <c r="A6842" t="s" s="2">
        <v>13</v>
      </c>
      <c r="B6842" t="s" s="2">
        <f>HYPERLINK("http://ts.21cn.com/tousu/show/id/1365870","好易借砍头息严重，不到7天900多")</f>
      </c>
      <c r="C6842" t="s" s="2">
        <v>15</v>
      </c>
      <c r="D6842" t="s" s="2">
        <v>16</v>
      </c>
      <c r="E6842" t="s" s="2">
        <v>17</v>
      </c>
      <c r="F6842" t="s" s="2">
        <f>HYPERLINK("http://ts.21cn.com/tousu/show/id/1365870","http://ts.21cn.com/tousu/show/id/1365870")</f>
      </c>
      <c r="G6842" t="s" s="2">
        <v>17</v>
      </c>
      <c r="H6842" t="s" s="2">
        <v>19</v>
      </c>
      <c r="I6842" t="s" s="2">
        <v>26472</v>
      </c>
      <c r="J6842" t="s" s="2">
        <v>26473</v>
      </c>
      <c r="K6842" t="s" s="2">
        <v>22</v>
      </c>
      <c r="L6842" t="s" s="2">
        <v>22</v>
      </c>
      <c r="M6842" t="s" s="2">
        <v>22</v>
      </c>
    </row>
    <row r="6843" ht="25.0" customHeight="true">
      <c r="A6843" t="s" s="2">
        <v>13</v>
      </c>
      <c r="B6843" t="s" s="2">
        <f>HYPERLINK("http://ts.21cn.com/tousu/show/id/1365869","金东暴力催收")</f>
      </c>
      <c r="C6843" t="s" s="2">
        <v>15</v>
      </c>
      <c r="D6843" t="s" s="2">
        <v>16</v>
      </c>
      <c r="E6843" t="s" s="2">
        <v>17</v>
      </c>
      <c r="F6843" t="s" s="2">
        <f>HYPERLINK("http://ts.21cn.com/tousu/show/id/1365869","http://ts.21cn.com/tousu/show/id/1365869")</f>
      </c>
      <c r="G6843" t="s" s="2">
        <v>17</v>
      </c>
      <c r="H6843" t="s" s="2">
        <v>19</v>
      </c>
      <c r="I6843" t="s" s="2">
        <v>26476</v>
      </c>
      <c r="J6843" t="s" s="2">
        <v>26477</v>
      </c>
      <c r="K6843" t="s" s="2">
        <v>22</v>
      </c>
      <c r="L6843" t="s" s="2">
        <v>22</v>
      </c>
      <c r="M6843" t="s" s="2">
        <v>22</v>
      </c>
    </row>
    <row r="6844" ht="25.0" customHeight="true">
      <c r="A6844" t="s" s="2">
        <v>13</v>
      </c>
      <c r="B6844" t="s" s="2">
        <f>HYPERLINK("http://ts.21cn.com/tousu/show/id/1365867","小树贷款")</f>
      </c>
      <c r="C6844" t="s" s="2">
        <v>52</v>
      </c>
      <c r="D6844" t="s" s="2">
        <v>16</v>
      </c>
      <c r="E6844" t="s" s="2">
        <v>17</v>
      </c>
      <c r="F6844" t="s" s="2">
        <f>HYPERLINK("http://ts.21cn.com/tousu/show/id/1365867","http://ts.21cn.com/tousu/show/id/1365867")</f>
      </c>
      <c r="G6844" t="s" s="2">
        <v>17</v>
      </c>
      <c r="H6844" t="s" s="2">
        <v>19</v>
      </c>
      <c r="I6844" t="s" s="2">
        <v>26480</v>
      </c>
      <c r="J6844" t="s" s="2">
        <v>26481</v>
      </c>
      <c r="K6844" t="s" s="2">
        <v>22</v>
      </c>
      <c r="L6844" t="s" s="2">
        <v>22</v>
      </c>
      <c r="M6844" t="s" s="2">
        <v>22</v>
      </c>
    </row>
    <row r="6845" ht="25.0" customHeight="true">
      <c r="A6845" t="s" s="2">
        <v>13</v>
      </c>
      <c r="B6845" t="s" s="2">
        <f>HYPERLINK("http://ts.21cn.com/tousu/show/id/1365865","拖欠工资")</f>
      </c>
      <c r="C6845" t="s" s="2">
        <v>15</v>
      </c>
      <c r="D6845" t="s" s="2">
        <v>16</v>
      </c>
      <c r="E6845" t="s" s="2">
        <v>17</v>
      </c>
      <c r="F6845" t="s" s="2">
        <f>HYPERLINK("http://ts.21cn.com/tousu/show/id/1365865","http://ts.21cn.com/tousu/show/id/1365865")</f>
      </c>
      <c r="G6845" t="s" s="2">
        <v>17</v>
      </c>
      <c r="H6845" t="s" s="2">
        <v>19</v>
      </c>
      <c r="I6845" t="s" s="2">
        <v>26483</v>
      </c>
      <c r="J6845" t="s" s="2">
        <v>26484</v>
      </c>
      <c r="K6845" t="s" s="2">
        <v>22</v>
      </c>
      <c r="L6845" t="s" s="2">
        <v>22</v>
      </c>
      <c r="M6845" t="s" s="2">
        <v>22</v>
      </c>
    </row>
    <row r="6846" ht="25.0" customHeight="true">
      <c r="A6846" t="s" s="2">
        <v>13</v>
      </c>
      <c r="B6846" t="s" s="2">
        <f>HYPERLINK("http://ts.21cn.com/tousu/show/id/1365864","珍爱网胁迫办理线下会员")</f>
      </c>
      <c r="C6846" t="s" s="2">
        <v>15</v>
      </c>
      <c r="D6846" t="s" s="2">
        <v>16</v>
      </c>
      <c r="E6846" t="s" s="2">
        <v>17</v>
      </c>
      <c r="F6846" t="s" s="2">
        <f>HYPERLINK("http://ts.21cn.com/tousu/show/id/1365864","http://ts.21cn.com/tousu/show/id/1365864")</f>
      </c>
      <c r="G6846" t="s" s="2">
        <v>17</v>
      </c>
      <c r="H6846" t="s" s="2">
        <v>19</v>
      </c>
      <c r="I6846" t="s" s="2">
        <v>26487</v>
      </c>
      <c r="J6846" t="s" s="2">
        <v>26488</v>
      </c>
      <c r="K6846" t="s" s="2">
        <v>22</v>
      </c>
      <c r="L6846" t="s" s="2">
        <v>22</v>
      </c>
      <c r="M6846" t="s" s="2">
        <v>22</v>
      </c>
    </row>
    <row r="6847" ht="25.0" customHeight="true">
      <c r="A6847" t="s" s="2">
        <v>13</v>
      </c>
      <c r="B6847" t="s" s="2">
        <f>HYPERLINK("http://ts.21cn.com/tousu/show/id/1365863","莫名扣款")</f>
      </c>
      <c r="C6847" t="s" s="2">
        <v>15</v>
      </c>
      <c r="D6847" t="s" s="2">
        <v>16</v>
      </c>
      <c r="E6847" t="s" s="2">
        <v>17</v>
      </c>
      <c r="F6847" t="s" s="2">
        <f>HYPERLINK("http://ts.21cn.com/tousu/show/id/1365863","http://ts.21cn.com/tousu/show/id/1365863")</f>
      </c>
      <c r="G6847" t="s" s="2">
        <v>17</v>
      </c>
      <c r="H6847" t="s" s="2">
        <v>19</v>
      </c>
      <c r="I6847" t="s" s="2">
        <v>26491</v>
      </c>
      <c r="J6847" t="s" s="2">
        <v>26492</v>
      </c>
      <c r="K6847" t="s" s="2">
        <v>22</v>
      </c>
      <c r="L6847" t="s" s="2">
        <v>22</v>
      </c>
      <c r="M6847" t="s" s="2">
        <v>22</v>
      </c>
    </row>
    <row r="6848" ht="25.0" customHeight="true">
      <c r="A6848" t="s" s="2">
        <v>13</v>
      </c>
      <c r="B6848" t="s" s="2">
        <f>HYPERLINK("http://ts.21cn.com/tousu/show/id/1365862","招商银行委托第三方上门骚扰")</f>
      </c>
      <c r="C6848" t="s" s="2">
        <v>15</v>
      </c>
      <c r="D6848" t="s" s="2">
        <v>16</v>
      </c>
      <c r="E6848" t="s" s="2">
        <v>17</v>
      </c>
      <c r="F6848" t="s" s="2">
        <f>HYPERLINK("http://ts.21cn.com/tousu/show/id/1365862","http://ts.21cn.com/tousu/show/id/1365862")</f>
      </c>
      <c r="G6848" t="s" s="2">
        <v>17</v>
      </c>
      <c r="H6848" t="s" s="2">
        <v>19</v>
      </c>
      <c r="I6848" t="s" s="2">
        <v>26495</v>
      </c>
      <c r="J6848" t="s" s="2">
        <v>26496</v>
      </c>
      <c r="K6848" t="s" s="2">
        <v>22</v>
      </c>
      <c r="L6848" t="s" s="2">
        <v>22</v>
      </c>
      <c r="M6848" t="s" s="2">
        <v>22</v>
      </c>
    </row>
    <row r="6849" ht="25.0" customHeight="true">
      <c r="A6849" t="s" s="2">
        <v>13</v>
      </c>
      <c r="B6849" t="s" s="2">
        <f>HYPERLINK("http://ts.21cn.com/tousu/show/id/1365860","滴滴出行忽视车主不同的问题，合并处理。")</f>
      </c>
      <c r="C6849" t="s" s="2">
        <v>52</v>
      </c>
      <c r="D6849" t="s" s="2">
        <v>16</v>
      </c>
      <c r="E6849" t="s" s="2">
        <v>17</v>
      </c>
      <c r="F6849" t="s" s="2">
        <f>HYPERLINK("http://ts.21cn.com/tousu/show/id/1365860","http://ts.21cn.com/tousu/show/id/1365860")</f>
      </c>
      <c r="G6849" t="s" s="2">
        <v>17</v>
      </c>
      <c r="H6849" t="s" s="2">
        <v>19</v>
      </c>
      <c r="I6849" t="s" s="2">
        <v>26499</v>
      </c>
      <c r="J6849" t="s" s="2">
        <v>26500</v>
      </c>
      <c r="K6849" t="s" s="2">
        <v>22</v>
      </c>
      <c r="L6849" t="s" s="2">
        <v>22</v>
      </c>
      <c r="M6849" t="s" s="2">
        <v>22</v>
      </c>
    </row>
    <row r="6850" ht="25.0" customHeight="true">
      <c r="A6850" t="s" s="2">
        <v>13</v>
      </c>
      <c r="B6850" t="s" s="2">
        <f>HYPERLINK("http://ts.21cn.com/tousu/show/id/1365858","我要维权，小二误判，判决买家全额退款！我要维权！定制商品在没有质量问题下，无理由申请退款")</f>
      </c>
      <c r="C6850" t="s" s="2">
        <v>15</v>
      </c>
      <c r="D6850" t="s" s="2">
        <v>16</v>
      </c>
      <c r="E6850" t="s" s="2">
        <v>17</v>
      </c>
      <c r="F6850" t="s" s="2">
        <f>HYPERLINK("http://ts.21cn.com/tousu/show/id/1365858","http://ts.21cn.com/tousu/show/id/1365858")</f>
      </c>
      <c r="G6850" t="s" s="2">
        <v>17</v>
      </c>
      <c r="H6850" t="s" s="2">
        <v>19</v>
      </c>
      <c r="I6850" t="s" s="2">
        <v>26503</v>
      </c>
      <c r="J6850" t="s" s="2">
        <v>26504</v>
      </c>
      <c r="K6850" t="s" s="2">
        <v>22</v>
      </c>
      <c r="L6850" t="s" s="2">
        <v>22</v>
      </c>
      <c r="M6850" t="s" s="2">
        <v>22</v>
      </c>
    </row>
    <row r="6851" ht="25.0" customHeight="true">
      <c r="A6851" t="s" s="2">
        <v>13</v>
      </c>
      <c r="B6851" t="s" s="2">
        <f>HYPERLINK("http://ts.21cn.com/tousu/show/id/1365859","恒昌公司旗下恒易贷暴力催收")</f>
      </c>
      <c r="C6851" t="s" s="2">
        <v>15</v>
      </c>
      <c r="D6851" t="s" s="2">
        <v>16</v>
      </c>
      <c r="E6851" t="s" s="2">
        <v>17</v>
      </c>
      <c r="F6851" t="s" s="2">
        <f>HYPERLINK("http://ts.21cn.com/tousu/show/id/1365859","http://ts.21cn.com/tousu/show/id/1365859")</f>
      </c>
      <c r="G6851" t="s" s="2">
        <v>17</v>
      </c>
      <c r="H6851" t="s" s="2">
        <v>19</v>
      </c>
      <c r="I6851" t="s" s="2">
        <v>26507</v>
      </c>
      <c r="J6851" t="s" s="2">
        <v>26508</v>
      </c>
      <c r="K6851" t="s" s="2">
        <v>22</v>
      </c>
      <c r="L6851" t="s" s="2">
        <v>22</v>
      </c>
      <c r="M6851" t="s" s="2">
        <v>22</v>
      </c>
    </row>
    <row r="6852" ht="25.0" customHeight="true">
      <c r="A6852" t="s" s="2">
        <v>13</v>
      </c>
      <c r="B6852" t="s" s="2">
        <f>HYPERLINK("http://ts.21cn.com/tousu/show/id/1365857","小米金融打电话给我家里人直接说我知道你家地址进行威胁")</f>
      </c>
      <c r="C6852" t="s" s="2">
        <v>15</v>
      </c>
      <c r="D6852" t="s" s="2">
        <v>16</v>
      </c>
      <c r="E6852" t="s" s="2">
        <v>17</v>
      </c>
      <c r="F6852" t="s" s="2">
        <f>HYPERLINK("http://ts.21cn.com/tousu/show/id/1365857","http://ts.21cn.com/tousu/show/id/1365857")</f>
      </c>
      <c r="G6852" t="s" s="2">
        <v>17</v>
      </c>
      <c r="H6852" t="s" s="2">
        <v>19</v>
      </c>
      <c r="I6852" t="s" s="2">
        <v>26511</v>
      </c>
      <c r="J6852" t="s" s="2">
        <v>26512</v>
      </c>
      <c r="K6852" t="s" s="2">
        <v>22</v>
      </c>
      <c r="L6852" t="s" s="2">
        <v>22</v>
      </c>
      <c r="M6852" t="s" s="2">
        <v>22</v>
      </c>
    </row>
    <row r="6853" ht="25.0" customHeight="true">
      <c r="A6853" t="s" s="2">
        <v>13</v>
      </c>
      <c r="B6853" t="s" s="2">
        <f>HYPERLINK("http://ts.21cn.com/tousu/show/id/1365856","快闪卡带高利贷砍头息")</f>
      </c>
      <c r="C6853" t="s" s="2">
        <v>15</v>
      </c>
      <c r="D6853" t="s" s="2">
        <v>16</v>
      </c>
      <c r="E6853" t="s" s="2">
        <v>17</v>
      </c>
      <c r="F6853" t="s" s="2">
        <f>HYPERLINK("http://ts.21cn.com/tousu/show/id/1365856","http://ts.21cn.com/tousu/show/id/1365856")</f>
      </c>
      <c r="G6853" t="s" s="2">
        <v>17</v>
      </c>
      <c r="H6853" t="s" s="2">
        <v>19</v>
      </c>
      <c r="I6853" t="s" s="2">
        <v>26515</v>
      </c>
      <c r="J6853" t="s" s="2">
        <v>26516</v>
      </c>
      <c r="K6853" t="s" s="2">
        <v>22</v>
      </c>
      <c r="L6853" t="s" s="2">
        <v>22</v>
      </c>
      <c r="M6853" t="s" s="2">
        <v>22</v>
      </c>
    </row>
    <row r="6854" ht="25.0" customHeight="true">
      <c r="A6854" t="s" s="2">
        <v>13</v>
      </c>
      <c r="B6854" t="s" s="2">
        <f>HYPERLINK("http://ts.21cn.com/tousu/show/id/1365855","高利贷")</f>
      </c>
      <c r="C6854" t="s" s="2">
        <v>15</v>
      </c>
      <c r="D6854" t="s" s="2">
        <v>16</v>
      </c>
      <c r="E6854" t="s" s="2">
        <v>17</v>
      </c>
      <c r="F6854" t="s" s="2">
        <f>HYPERLINK("http://ts.21cn.com/tousu/show/id/1365855","http://ts.21cn.com/tousu/show/id/1365855")</f>
      </c>
      <c r="G6854" t="s" s="2">
        <v>17</v>
      </c>
      <c r="H6854" t="s" s="2">
        <v>19</v>
      </c>
      <c r="I6854" t="s" s="2">
        <v>26518</v>
      </c>
      <c r="J6854" t="s" s="2">
        <v>26519</v>
      </c>
      <c r="K6854" t="s" s="2">
        <v>22</v>
      </c>
      <c r="L6854" t="s" s="2">
        <v>22</v>
      </c>
      <c r="M6854" t="s" s="2">
        <v>22</v>
      </c>
    </row>
    <row r="6855" ht="25.0" customHeight="true">
      <c r="A6855" t="s" s="2">
        <v>13</v>
      </c>
      <c r="B6855" t="s" s="2">
        <f>HYPERLINK("http://ts.21cn.com/tousu/show/id/1365854","骚扰暴力催收")</f>
      </c>
      <c r="C6855" t="s" s="2">
        <v>15</v>
      </c>
      <c r="D6855" t="s" s="2">
        <v>16</v>
      </c>
      <c r="E6855" t="s" s="2">
        <v>17</v>
      </c>
      <c r="F6855" t="s" s="2">
        <f>HYPERLINK("http://ts.21cn.com/tousu/show/id/1365854","http://ts.21cn.com/tousu/show/id/1365854")</f>
      </c>
      <c r="G6855" t="s" s="2">
        <v>17</v>
      </c>
      <c r="H6855" t="s" s="2">
        <v>19</v>
      </c>
      <c r="I6855" t="s" s="2">
        <v>26518</v>
      </c>
      <c r="J6855" t="s" s="2">
        <v>26522</v>
      </c>
      <c r="K6855" t="s" s="2">
        <v>22</v>
      </c>
      <c r="L6855" t="s" s="2">
        <v>22</v>
      </c>
      <c r="M6855" t="s" s="2">
        <v>22</v>
      </c>
    </row>
    <row r="6856" ht="25.0" customHeight="true">
      <c r="A6856" t="s" s="2">
        <v>13</v>
      </c>
      <c r="B6856" t="s" s="2">
        <f>HYPERLINK("http://ts.21cn.com/tousu/show/id/1365852","新意花小木钱包高利贷")</f>
      </c>
      <c r="C6856" t="s" s="2">
        <v>15</v>
      </c>
      <c r="D6856" t="s" s="2">
        <v>16</v>
      </c>
      <c r="E6856" t="s" s="2">
        <v>17</v>
      </c>
      <c r="F6856" t="s" s="2">
        <f>HYPERLINK("http://ts.21cn.com/tousu/show/id/1365852","http://ts.21cn.com/tousu/show/id/1365852")</f>
      </c>
      <c r="G6856" t="s" s="2">
        <v>17</v>
      </c>
      <c r="H6856" t="s" s="2">
        <v>19</v>
      </c>
      <c r="I6856" t="s" s="2">
        <v>26525</v>
      </c>
      <c r="J6856" t="s" s="2">
        <v>26526</v>
      </c>
      <c r="K6856" t="s" s="2">
        <v>22</v>
      </c>
      <c r="L6856" t="s" s="2">
        <v>22</v>
      </c>
      <c r="M6856" t="s" s="2">
        <v>22</v>
      </c>
    </row>
    <row r="6857" ht="25.0" customHeight="true">
      <c r="A6857" t="s" s="2">
        <v>13</v>
      </c>
      <c r="B6857" t="s" s="2">
        <f>HYPERLINK("http://ts.21cn.com/tousu/show/id/1365853","投诉翼勋暴力催收")</f>
      </c>
      <c r="C6857" t="s" s="2">
        <v>15</v>
      </c>
      <c r="D6857" t="s" s="2">
        <v>16</v>
      </c>
      <c r="E6857" t="s" s="2">
        <v>17</v>
      </c>
      <c r="F6857" t="s" s="2">
        <f>HYPERLINK("http://ts.21cn.com/tousu/show/id/1365853","http://ts.21cn.com/tousu/show/id/1365853")</f>
      </c>
      <c r="G6857" t="s" s="2">
        <v>17</v>
      </c>
      <c r="H6857" t="s" s="2">
        <v>19</v>
      </c>
      <c r="I6857" t="s" s="2">
        <v>26529</v>
      </c>
      <c r="J6857" t="s" s="2">
        <v>26530</v>
      </c>
      <c r="K6857" t="s" s="2">
        <v>22</v>
      </c>
      <c r="L6857" t="s" s="2">
        <v>22</v>
      </c>
      <c r="M6857" t="s" s="2">
        <v>22</v>
      </c>
    </row>
    <row r="6858" ht="25.0" customHeight="true">
      <c r="A6858" t="s" s="2">
        <v>13</v>
      </c>
      <c r="B6858" t="s" s="2">
        <f>HYPERLINK("http://ts.21cn.com/tousu/show/id/1365851","钱橙无忧恶意从银行卡扣款")</f>
      </c>
      <c r="C6858" t="s" s="2">
        <v>15</v>
      </c>
      <c r="D6858" t="s" s="2">
        <v>16</v>
      </c>
      <c r="E6858" t="s" s="2">
        <v>17</v>
      </c>
      <c r="F6858" t="s" s="2">
        <f>HYPERLINK("http://ts.21cn.com/tousu/show/id/1365851","http://ts.21cn.com/tousu/show/id/1365851")</f>
      </c>
      <c r="G6858" t="s" s="2">
        <v>17</v>
      </c>
      <c r="H6858" t="s" s="2">
        <v>19</v>
      </c>
      <c r="I6858" t="s" s="2">
        <v>26533</v>
      </c>
      <c r="J6858" t="s" s="2">
        <v>26534</v>
      </c>
      <c r="K6858" t="s" s="2">
        <v>22</v>
      </c>
      <c r="L6858" t="s" s="2">
        <v>22</v>
      </c>
      <c r="M6858" t="s" s="2">
        <v>22</v>
      </c>
    </row>
    <row r="6859" ht="25.0" customHeight="true">
      <c r="A6859" t="s" s="2">
        <v>13</v>
      </c>
      <c r="B6859" t="s" s="2">
        <f>HYPERLINK("http://ts.21cn.com/tousu/show/id/1365590","滴滴出行虚假宣传！！")</f>
      </c>
      <c r="C6859" t="s" s="2">
        <v>15</v>
      </c>
      <c r="D6859" t="s" s="2">
        <v>16</v>
      </c>
      <c r="E6859" t="s" s="2">
        <v>17</v>
      </c>
      <c r="F6859" t="s" s="2">
        <f>HYPERLINK("http://ts.21cn.com/tousu/show/id/1365590","http://ts.21cn.com/tousu/show/id/1365590")</f>
      </c>
      <c r="G6859" t="s" s="2">
        <v>17</v>
      </c>
      <c r="H6859" t="s" s="2">
        <v>19</v>
      </c>
      <c r="I6859" t="s" s="2">
        <v>26537</v>
      </c>
      <c r="J6859" t="s" s="2">
        <v>26538</v>
      </c>
      <c r="K6859" t="s" s="2">
        <v>22</v>
      </c>
      <c r="L6859" t="s" s="2">
        <v>22</v>
      </c>
      <c r="M6859" t="s" s="2">
        <v>22</v>
      </c>
    </row>
    <row r="6860" ht="25.0" customHeight="true">
      <c r="A6860" t="s" s="2">
        <v>13</v>
      </c>
      <c r="B6860" t="s" s="2">
        <f>HYPERLINK("http://ts.21cn.com/tousu/show/id/1365849","百度有钱花骚扰")</f>
      </c>
      <c r="C6860" t="s" s="2">
        <v>15</v>
      </c>
      <c r="D6860" t="s" s="2">
        <v>16</v>
      </c>
      <c r="E6860" t="s" s="2">
        <v>17</v>
      </c>
      <c r="F6860" t="s" s="2">
        <f>HYPERLINK("http://ts.21cn.com/tousu/show/id/1365849","http://ts.21cn.com/tousu/show/id/1365849")</f>
      </c>
      <c r="G6860" t="s" s="2">
        <v>17</v>
      </c>
      <c r="H6860" t="s" s="2">
        <v>19</v>
      </c>
      <c r="I6860" t="s" s="2">
        <v>26541</v>
      </c>
      <c r="J6860" t="s" s="2">
        <v>26542</v>
      </c>
      <c r="K6860" t="s" s="2">
        <v>22</v>
      </c>
      <c r="L6860" t="s" s="2">
        <v>22</v>
      </c>
      <c r="M6860" t="s" s="2">
        <v>22</v>
      </c>
    </row>
    <row r="6861" ht="25.0" customHeight="true">
      <c r="A6861" t="s" s="2">
        <v>13</v>
      </c>
      <c r="B6861" t="s" s="2">
        <f>HYPERLINK("http://ts.21cn.com/tousu/show/id/1365848","超高利息的网贷")</f>
      </c>
      <c r="C6861" t="s" s="2">
        <v>52</v>
      </c>
      <c r="D6861" t="s" s="2">
        <v>16</v>
      </c>
      <c r="E6861" t="s" s="2">
        <v>17</v>
      </c>
      <c r="F6861" t="s" s="2">
        <f>HYPERLINK("http://ts.21cn.com/tousu/show/id/1365848","http://ts.21cn.com/tousu/show/id/1365848")</f>
      </c>
      <c r="G6861" t="s" s="2">
        <v>17</v>
      </c>
      <c r="H6861" t="s" s="2">
        <v>19</v>
      </c>
      <c r="I6861" t="s" s="2">
        <v>26541</v>
      </c>
      <c r="J6861" t="s" s="2">
        <v>26545</v>
      </c>
      <c r="K6861" t="s" s="2">
        <v>22</v>
      </c>
      <c r="L6861" t="s" s="2">
        <v>22</v>
      </c>
      <c r="M6861" t="s" s="2">
        <v>22</v>
      </c>
    </row>
    <row r="6862" ht="25.0" customHeight="true">
      <c r="A6862" t="s" s="2">
        <v>13</v>
      </c>
      <c r="B6862" t="s" s="2">
        <f>HYPERLINK("http://ts.21cn.com/tousu/show/id/1365847","蟹老弟借款砍头息套路贷")</f>
      </c>
      <c r="C6862" t="s" s="2">
        <v>15</v>
      </c>
      <c r="D6862" t="s" s="2">
        <v>16</v>
      </c>
      <c r="E6862" t="s" s="2">
        <v>17</v>
      </c>
      <c r="F6862" t="s" s="2">
        <f>HYPERLINK("http://ts.21cn.com/tousu/show/id/1365847","http://ts.21cn.com/tousu/show/id/1365847")</f>
      </c>
      <c r="G6862" t="s" s="2">
        <v>17</v>
      </c>
      <c r="H6862" t="s" s="2">
        <v>19</v>
      </c>
      <c r="I6862" t="s" s="2">
        <v>26548</v>
      </c>
      <c r="J6862" t="s" s="2">
        <v>26549</v>
      </c>
      <c r="K6862" t="s" s="2">
        <v>22</v>
      </c>
      <c r="L6862" t="s" s="2">
        <v>22</v>
      </c>
      <c r="M6862" t="s" s="2">
        <v>22</v>
      </c>
    </row>
    <row r="6863" ht="25.0" customHeight="true">
      <c r="A6863" t="s" s="2">
        <v>13</v>
      </c>
      <c r="B6863" t="s" s="2">
        <f>HYPERLINK("http://ts.21cn.com/tousu/show/id/1365846","西安银行")</f>
      </c>
      <c r="C6863" t="s" s="2">
        <v>15</v>
      </c>
      <c r="D6863" t="s" s="2">
        <v>16</v>
      </c>
      <c r="E6863" t="s" s="2">
        <v>17</v>
      </c>
      <c r="F6863" t="s" s="2">
        <f>HYPERLINK("http://ts.21cn.com/tousu/show/id/1365846","http://ts.21cn.com/tousu/show/id/1365846")</f>
      </c>
      <c r="G6863" t="s" s="2">
        <v>17</v>
      </c>
      <c r="H6863" t="s" s="2">
        <v>19</v>
      </c>
      <c r="I6863" t="s" s="2">
        <v>26552</v>
      </c>
      <c r="J6863" t="s" s="2">
        <v>26553</v>
      </c>
      <c r="K6863" t="s" s="2">
        <v>22</v>
      </c>
      <c r="L6863" t="s" s="2">
        <v>22</v>
      </c>
      <c r="M6863" t="s" s="2">
        <v>22</v>
      </c>
    </row>
    <row r="6864" ht="25.0" customHeight="true">
      <c r="A6864" t="s" s="2">
        <v>13</v>
      </c>
      <c r="B6864" t="s" s="2">
        <f>HYPERLINK("http://ts.21cn.com/tousu/show/id/1365845","要求退我买保险的钱")</f>
      </c>
      <c r="C6864" t="s" s="2">
        <v>52</v>
      </c>
      <c r="D6864" t="s" s="2">
        <v>16</v>
      </c>
      <c r="E6864" t="s" s="2">
        <v>17</v>
      </c>
      <c r="F6864" t="s" s="2">
        <f>HYPERLINK("http://ts.21cn.com/tousu/show/id/1365845","http://ts.21cn.com/tousu/show/id/1365845")</f>
      </c>
      <c r="G6864" t="s" s="2">
        <v>17</v>
      </c>
      <c r="H6864" t="s" s="2">
        <v>19</v>
      </c>
      <c r="I6864" t="s" s="2">
        <v>26556</v>
      </c>
      <c r="J6864" t="s" s="2">
        <v>26557</v>
      </c>
      <c r="K6864" t="s" s="2">
        <v>22</v>
      </c>
      <c r="L6864" t="s" s="2">
        <v>22</v>
      </c>
      <c r="M6864" t="s" s="2">
        <v>22</v>
      </c>
    </row>
    <row r="6865" ht="25.0" customHeight="true">
      <c r="A6865" t="s" s="2">
        <v>13</v>
      </c>
      <c r="B6865" t="s" s="2">
        <f>HYPERLINK("http://ts.21cn.com/tousu/show/id/1365843","微粒贷诱导还款不履行承诺")</f>
      </c>
      <c r="C6865" t="s" s="2">
        <v>15</v>
      </c>
      <c r="D6865" t="s" s="2">
        <v>16</v>
      </c>
      <c r="E6865" t="s" s="2">
        <v>17</v>
      </c>
      <c r="F6865" t="s" s="2">
        <f>HYPERLINK("http://ts.21cn.com/tousu/show/id/1365843","http://ts.21cn.com/tousu/show/id/1365843")</f>
      </c>
      <c r="G6865" t="s" s="2">
        <v>17</v>
      </c>
      <c r="H6865" t="s" s="2">
        <v>19</v>
      </c>
      <c r="I6865" t="s" s="2">
        <v>26560</v>
      </c>
      <c r="J6865" t="s" s="2">
        <v>26561</v>
      </c>
      <c r="K6865" t="s" s="2">
        <v>22</v>
      </c>
      <c r="L6865" t="s" s="2">
        <v>22</v>
      </c>
      <c r="M6865" t="s" s="2">
        <v>22</v>
      </c>
    </row>
    <row r="6866" ht="25.0" customHeight="true">
      <c r="A6866" t="s" s="2">
        <v>13</v>
      </c>
      <c r="B6866" t="s" s="2">
        <f>HYPERLINK("http://ts.21cn.com/tousu/show/id/1365841","石榴快袋借款利息过高超过国家规定")</f>
      </c>
      <c r="C6866" t="s" s="2">
        <v>52</v>
      </c>
      <c r="D6866" t="s" s="2">
        <v>16</v>
      </c>
      <c r="E6866" t="s" s="2">
        <v>17</v>
      </c>
      <c r="F6866" t="s" s="2">
        <f>HYPERLINK("http://ts.21cn.com/tousu/show/id/1365841","http://ts.21cn.com/tousu/show/id/1365841")</f>
      </c>
      <c r="G6866" t="s" s="2">
        <v>17</v>
      </c>
      <c r="H6866" t="s" s="2">
        <v>19</v>
      </c>
      <c r="I6866" t="s" s="2">
        <v>26564</v>
      </c>
      <c r="J6866" t="s" s="2">
        <v>26565</v>
      </c>
      <c r="K6866" t="s" s="2">
        <v>22</v>
      </c>
      <c r="L6866" t="s" s="2">
        <v>22</v>
      </c>
      <c r="M6866" t="s" s="2">
        <v>22</v>
      </c>
    </row>
    <row r="6867" ht="25.0" customHeight="true">
      <c r="A6867" t="s" s="2">
        <v>13</v>
      </c>
      <c r="B6867" t="s" s="2">
        <f>HYPERLINK("http://ts.21cn.com/tousu/show/id/1365842","广发信用卡整天打电话骚扰，也不接受协商还款")</f>
      </c>
      <c r="C6867" t="s" s="2">
        <v>15</v>
      </c>
      <c r="D6867" t="s" s="2">
        <v>16</v>
      </c>
      <c r="E6867" t="s" s="2">
        <v>17</v>
      </c>
      <c r="F6867" t="s" s="2">
        <f>HYPERLINK("http://ts.21cn.com/tousu/show/id/1365842","http://ts.21cn.com/tousu/show/id/1365842")</f>
      </c>
      <c r="G6867" t="s" s="2">
        <v>17</v>
      </c>
      <c r="H6867" t="s" s="2">
        <v>19</v>
      </c>
      <c r="I6867" t="s" s="2">
        <v>26568</v>
      </c>
      <c r="J6867" t="s" s="2">
        <v>26569</v>
      </c>
      <c r="K6867" t="s" s="2">
        <v>22</v>
      </c>
      <c r="L6867" t="s" s="2">
        <v>22</v>
      </c>
      <c r="M6867" t="s" s="2">
        <v>22</v>
      </c>
    </row>
    <row r="6868" ht="25.0" customHeight="true">
      <c r="A6868" t="s" s="2">
        <v>13</v>
      </c>
      <c r="B6868" t="s" s="2">
        <f>HYPERLINK("http://ts.21cn.com/tousu/show/id/1365840","无法提前结清所有欠款，且工作人员回复无法处理。")</f>
      </c>
      <c r="C6868" t="s" s="2">
        <v>52</v>
      </c>
      <c r="D6868" t="s" s="2">
        <v>16</v>
      </c>
      <c r="E6868" t="s" s="2">
        <v>17</v>
      </c>
      <c r="F6868" t="s" s="2">
        <f>HYPERLINK("http://ts.21cn.com/tousu/show/id/1365840","http://ts.21cn.com/tousu/show/id/1365840")</f>
      </c>
      <c r="G6868" t="s" s="2">
        <v>17</v>
      </c>
      <c r="H6868" t="s" s="2">
        <v>19</v>
      </c>
      <c r="I6868" t="s" s="2">
        <v>26572</v>
      </c>
      <c r="J6868" t="s" s="2">
        <v>26573</v>
      </c>
      <c r="K6868" t="s" s="2">
        <v>22</v>
      </c>
      <c r="L6868" t="s" s="2">
        <v>22</v>
      </c>
      <c r="M6868" t="s" s="2">
        <v>22</v>
      </c>
    </row>
    <row r="6869" ht="25.0" customHeight="true">
      <c r="A6869" t="s" s="2">
        <v>13</v>
      </c>
      <c r="B6869" t="s" s="2">
        <f>HYPERLINK("http://ts.21cn.com/tousu/show/id/1365838","投诉滴滴")</f>
      </c>
      <c r="C6869" t="s" s="2">
        <v>15</v>
      </c>
      <c r="D6869" t="s" s="2">
        <v>16</v>
      </c>
      <c r="E6869" t="s" s="2">
        <v>17</v>
      </c>
      <c r="F6869" t="s" s="2">
        <f>HYPERLINK("http://ts.21cn.com/tousu/show/id/1365838","http://ts.21cn.com/tousu/show/id/1365838")</f>
      </c>
      <c r="G6869" t="s" s="2">
        <v>17</v>
      </c>
      <c r="H6869" t="s" s="2">
        <v>19</v>
      </c>
      <c r="I6869" t="s" s="2">
        <v>26576</v>
      </c>
      <c r="J6869" t="s" s="2">
        <v>26577</v>
      </c>
      <c r="K6869" t="s" s="2">
        <v>22</v>
      </c>
      <c r="L6869" t="s" s="2">
        <v>22</v>
      </c>
      <c r="M6869" t="s" s="2">
        <v>22</v>
      </c>
    </row>
    <row r="6870" ht="25.0" customHeight="true">
      <c r="A6870" t="s" s="2">
        <v>13</v>
      </c>
      <c r="B6870" t="s" s="2">
        <f>HYPERLINK("http://ts.21cn.com/tousu/show/id/1365839","苏宁易购任性付催收问题")</f>
      </c>
      <c r="C6870" t="s" s="2">
        <v>15</v>
      </c>
      <c r="D6870" t="s" s="2">
        <v>16</v>
      </c>
      <c r="E6870" t="s" s="2">
        <v>17</v>
      </c>
      <c r="F6870" t="s" s="2">
        <f>HYPERLINK("http://ts.21cn.com/tousu/show/id/1365839","http://ts.21cn.com/tousu/show/id/1365839")</f>
      </c>
      <c r="G6870" t="s" s="2">
        <v>17</v>
      </c>
      <c r="H6870" t="s" s="2">
        <v>19</v>
      </c>
      <c r="I6870" t="s" s="2">
        <v>26580</v>
      </c>
      <c r="J6870" t="s" s="2">
        <v>26581</v>
      </c>
      <c r="K6870" t="s" s="2">
        <v>22</v>
      </c>
      <c r="L6870" t="s" s="2">
        <v>22</v>
      </c>
      <c r="M6870" t="s" s="2">
        <v>22</v>
      </c>
    </row>
    <row r="6871" ht="25.0" customHeight="true">
      <c r="A6871" t="s" s="2">
        <v>13</v>
      </c>
      <c r="B6871" t="s" s="2">
        <f>HYPERLINK("http://ts.21cn.com/tousu/show/id/1365836","拍拍贷逾期费用高得吓人")</f>
      </c>
      <c r="C6871" t="s" s="2">
        <v>52</v>
      </c>
      <c r="D6871" t="s" s="2">
        <v>16</v>
      </c>
      <c r="E6871" t="s" s="2">
        <v>17</v>
      </c>
      <c r="F6871" t="s" s="2">
        <f>HYPERLINK("http://ts.21cn.com/tousu/show/id/1365836","http://ts.21cn.com/tousu/show/id/1365836")</f>
      </c>
      <c r="G6871" t="s" s="2">
        <v>17</v>
      </c>
      <c r="H6871" t="s" s="2">
        <v>19</v>
      </c>
      <c r="I6871" t="s" s="2">
        <v>26584</v>
      </c>
      <c r="J6871" t="s" s="2">
        <v>26585</v>
      </c>
      <c r="K6871" t="s" s="2">
        <v>22</v>
      </c>
      <c r="L6871" t="s" s="2">
        <v>22</v>
      </c>
      <c r="M6871" t="s" s="2">
        <v>22</v>
      </c>
    </row>
    <row r="6872" ht="25.0" customHeight="true">
      <c r="A6872" t="s" s="2">
        <v>13</v>
      </c>
      <c r="B6872" t="s" s="2">
        <f>HYPERLINK("http://ts.21cn.com/tousu/show/id/1365835","暴力催收合同欺诈高利贷")</f>
      </c>
      <c r="C6872" t="s" s="2">
        <v>15</v>
      </c>
      <c r="D6872" t="s" s="2">
        <v>16</v>
      </c>
      <c r="E6872" t="s" s="2">
        <v>17</v>
      </c>
      <c r="F6872" t="s" s="2">
        <f>HYPERLINK("http://ts.21cn.com/tousu/show/id/1365835","http://ts.21cn.com/tousu/show/id/1365835")</f>
      </c>
      <c r="G6872" t="s" s="2">
        <v>17</v>
      </c>
      <c r="H6872" t="s" s="2">
        <v>19</v>
      </c>
      <c r="I6872" t="s" s="2">
        <v>26588</v>
      </c>
      <c r="J6872" t="s" s="2">
        <v>26589</v>
      </c>
      <c r="K6872" t="s" s="2">
        <v>22</v>
      </c>
      <c r="L6872" t="s" s="2">
        <v>22</v>
      </c>
      <c r="M6872" t="s" s="2">
        <v>22</v>
      </c>
    </row>
    <row r="6873" ht="25.0" customHeight="true">
      <c r="A6873" t="s" s="2">
        <v>13</v>
      </c>
      <c r="B6873" t="s" s="2">
        <f>HYPERLINK("http://ts.21cn.com/tousu/show/id/1365832","淘集集货款钱")</f>
      </c>
      <c r="C6873" t="s" s="2">
        <v>52</v>
      </c>
      <c r="D6873" t="s" s="2">
        <v>16</v>
      </c>
      <c r="E6873" t="s" s="2">
        <v>17</v>
      </c>
      <c r="F6873" t="s" s="2">
        <f>HYPERLINK("http://ts.21cn.com/tousu/show/id/1365832","http://ts.21cn.com/tousu/show/id/1365832")</f>
      </c>
      <c r="G6873" t="s" s="2">
        <v>17</v>
      </c>
      <c r="H6873" t="s" s="2">
        <v>19</v>
      </c>
      <c r="I6873" t="s" s="2">
        <v>26592</v>
      </c>
      <c r="J6873" t="s" s="2">
        <v>26593</v>
      </c>
      <c r="K6873" t="s" s="2">
        <v>22</v>
      </c>
      <c r="L6873" t="s" s="2">
        <v>22</v>
      </c>
      <c r="M6873" t="s" s="2">
        <v>22</v>
      </c>
    </row>
    <row r="6874" ht="25.0" customHeight="true">
      <c r="A6874" t="s" s="2">
        <v>13</v>
      </c>
      <c r="B6874" t="s" s="2">
        <f>HYPERLINK("http://ts.21cn.com/tousu/show/id/1365834","拼多多平台商户误导宣传虚假信息获取钱财在赌博网站赌博")</f>
      </c>
      <c r="C6874" t="s" s="2">
        <v>15</v>
      </c>
      <c r="D6874" t="s" s="2">
        <v>16</v>
      </c>
      <c r="E6874" t="s" s="2">
        <v>17</v>
      </c>
      <c r="F6874" t="s" s="2">
        <f>HYPERLINK("http://ts.21cn.com/tousu/show/id/1365834","http://ts.21cn.com/tousu/show/id/1365834")</f>
      </c>
      <c r="G6874" t="s" s="2">
        <v>17</v>
      </c>
      <c r="H6874" t="s" s="2">
        <v>19</v>
      </c>
      <c r="I6874" t="s" s="2">
        <v>26596</v>
      </c>
      <c r="J6874" t="s" s="2">
        <v>26597</v>
      </c>
      <c r="K6874" t="s" s="2">
        <v>22</v>
      </c>
      <c r="L6874" t="s" s="2">
        <v>22</v>
      </c>
      <c r="M6874" t="s" s="2">
        <v>22</v>
      </c>
    </row>
    <row r="6875" ht="25.0" customHeight="true">
      <c r="A6875" t="s" s="2">
        <v>13</v>
      </c>
      <c r="B6875" t="s" s="2">
        <f>HYPERLINK("http://ts.21cn.com/tousu/show/id/1365830","中信银行委托第三方可使用带有威胁催收")</f>
      </c>
      <c r="C6875" t="s" s="2">
        <v>15</v>
      </c>
      <c r="D6875" t="s" s="2">
        <v>16</v>
      </c>
      <c r="E6875" t="s" s="2">
        <v>17</v>
      </c>
      <c r="F6875" t="s" s="2">
        <f>HYPERLINK("http://ts.21cn.com/tousu/show/id/1365830","http://ts.21cn.com/tousu/show/id/1365830")</f>
      </c>
      <c r="G6875" t="s" s="2">
        <v>17</v>
      </c>
      <c r="H6875" t="s" s="2">
        <v>19</v>
      </c>
      <c r="I6875" t="s" s="2">
        <v>26600</v>
      </c>
      <c r="J6875" t="s" s="2">
        <v>26601</v>
      </c>
      <c r="K6875" t="s" s="2">
        <v>22</v>
      </c>
      <c r="L6875" t="s" s="2">
        <v>22</v>
      </c>
      <c r="M6875" t="s" s="2">
        <v>22</v>
      </c>
    </row>
    <row r="6876" ht="25.0" customHeight="true">
      <c r="A6876" t="s" s="2">
        <v>13</v>
      </c>
      <c r="B6876" t="s" s="2">
        <f>HYPERLINK("http://ts.21cn.com/tousu/show/id/1365828","花转转樱桃小借套路贷")</f>
      </c>
      <c r="C6876" t="s" s="2">
        <v>15</v>
      </c>
      <c r="D6876" t="s" s="2">
        <v>16</v>
      </c>
      <c r="E6876" t="s" s="2">
        <v>17</v>
      </c>
      <c r="F6876" t="s" s="2">
        <f>HYPERLINK("http://ts.21cn.com/tousu/show/id/1365828","http://ts.21cn.com/tousu/show/id/1365828")</f>
      </c>
      <c r="G6876" t="s" s="2">
        <v>17</v>
      </c>
      <c r="H6876" t="s" s="2">
        <v>19</v>
      </c>
      <c r="I6876" t="s" s="2">
        <v>26604</v>
      </c>
      <c r="J6876" t="s" s="2">
        <v>26605</v>
      </c>
      <c r="K6876" t="s" s="2">
        <v>22</v>
      </c>
      <c r="L6876" t="s" s="2">
        <v>22</v>
      </c>
      <c r="M6876" t="s" s="2">
        <v>22</v>
      </c>
    </row>
    <row r="6877" ht="25.0" customHeight="true">
      <c r="A6877" t="s" s="2">
        <v>13</v>
      </c>
      <c r="B6877" t="s" s="2">
        <f>HYPERLINK("http://ts.21cn.com/tousu/show/id/1365827","请退机票差价")</f>
      </c>
      <c r="C6877" t="s" s="2">
        <v>15</v>
      </c>
      <c r="D6877" t="s" s="2">
        <v>16</v>
      </c>
      <c r="E6877" t="s" s="2">
        <v>17</v>
      </c>
      <c r="F6877" t="s" s="2">
        <f>HYPERLINK("http://ts.21cn.com/tousu/show/id/1365827","http://ts.21cn.com/tousu/show/id/1365827")</f>
      </c>
      <c r="G6877" t="s" s="2">
        <v>17</v>
      </c>
      <c r="H6877" t="s" s="2">
        <v>19</v>
      </c>
      <c r="I6877" t="s" s="2">
        <v>26608</v>
      </c>
      <c r="J6877" t="s" s="2">
        <v>26609</v>
      </c>
      <c r="K6877" t="s" s="2">
        <v>22</v>
      </c>
      <c r="L6877" t="s" s="2">
        <v>22</v>
      </c>
      <c r="M6877" t="s" s="2">
        <v>22</v>
      </c>
    </row>
    <row r="6878" ht="25.0" customHeight="true">
      <c r="A6878" t="s" s="2">
        <v>13</v>
      </c>
      <c r="B6878" t="s" s="2">
        <f>HYPERLINK("http://ts.21cn.com/tousu/show/id/1365826","小黑鱼科技代你还要求我带着身份证复印件，户口本，照片，去我当地分局，我到了，联系不到他们")</f>
      </c>
      <c r="C6878" t="s" s="2">
        <v>15</v>
      </c>
      <c r="D6878" t="s" s="2">
        <v>16</v>
      </c>
      <c r="E6878" t="s" s="2">
        <v>17</v>
      </c>
      <c r="F6878" t="s" s="2">
        <f>HYPERLINK("http://ts.21cn.com/tousu/show/id/1365826","http://ts.21cn.com/tousu/show/id/1365826")</f>
      </c>
      <c r="G6878" t="s" s="2">
        <v>17</v>
      </c>
      <c r="H6878" t="s" s="2">
        <v>19</v>
      </c>
      <c r="I6878" t="s" s="2">
        <v>26612</v>
      </c>
      <c r="J6878" t="s" s="2">
        <v>26613</v>
      </c>
      <c r="K6878" t="s" s="2">
        <v>22</v>
      </c>
      <c r="L6878" t="s" s="2">
        <v>22</v>
      </c>
      <c r="M6878" t="s" s="2">
        <v>22</v>
      </c>
    </row>
    <row r="6879" ht="25.0" customHeight="true">
      <c r="A6879" t="s" s="2">
        <v>13</v>
      </c>
      <c r="B6879" t="s" s="2">
        <f>HYPERLINK("http://ts.21cn.com/tousu/show/id/1365825","被京东金融电话骚扰")</f>
      </c>
      <c r="C6879" t="s" s="2">
        <v>15</v>
      </c>
      <c r="D6879" t="s" s="2">
        <v>16</v>
      </c>
      <c r="E6879" t="s" s="2">
        <v>17</v>
      </c>
      <c r="F6879" t="s" s="2">
        <f>HYPERLINK("http://ts.21cn.com/tousu/show/id/1365825","http://ts.21cn.com/tousu/show/id/1365825")</f>
      </c>
      <c r="G6879" t="s" s="2">
        <v>17</v>
      </c>
      <c r="H6879" t="s" s="2">
        <v>19</v>
      </c>
      <c r="I6879" t="s" s="2">
        <v>26616</v>
      </c>
      <c r="J6879" t="s" s="2">
        <v>26617</v>
      </c>
      <c r="K6879" t="s" s="2">
        <v>22</v>
      </c>
      <c r="L6879" t="s" s="2">
        <v>22</v>
      </c>
      <c r="M6879" t="s" s="2">
        <v>22</v>
      </c>
    </row>
    <row r="6880" ht="25.0" customHeight="true">
      <c r="A6880" t="s" s="2">
        <v>13</v>
      </c>
      <c r="B6880" t="s" s="2">
        <f>HYPERLINK("http://ts.21cn.com/tousu/show/id/1365824","银生宝袒护非法商户，为境外赌博网站提供支付清算渠道")</f>
      </c>
      <c r="C6880" t="s" s="2">
        <v>15</v>
      </c>
      <c r="D6880" t="s" s="2">
        <v>16</v>
      </c>
      <c r="E6880" t="s" s="2">
        <v>17</v>
      </c>
      <c r="F6880" t="s" s="2">
        <f>HYPERLINK("http://ts.21cn.com/tousu/show/id/1365824","http://ts.21cn.com/tousu/show/id/1365824")</f>
      </c>
      <c r="G6880" t="s" s="2">
        <v>17</v>
      </c>
      <c r="H6880" t="s" s="2">
        <v>19</v>
      </c>
      <c r="I6880" t="s" s="2">
        <v>26620</v>
      </c>
      <c r="J6880" t="s" s="2">
        <v>26621</v>
      </c>
      <c r="K6880" t="s" s="2">
        <v>22</v>
      </c>
      <c r="L6880" t="s" s="2">
        <v>22</v>
      </c>
      <c r="M6880" t="s" s="2">
        <v>22</v>
      </c>
    </row>
    <row r="6881" ht="25.0" customHeight="true">
      <c r="A6881" t="s" s="2">
        <v>13</v>
      </c>
      <c r="B6881" t="s" s="2">
        <f>HYPERLINK("http://ts.21cn.com/tousu/show/id/1365823","自由魔卡贷款砍头费套路贷")</f>
      </c>
      <c r="C6881" t="s" s="2">
        <v>15</v>
      </c>
      <c r="D6881" t="s" s="2">
        <v>16</v>
      </c>
      <c r="E6881" t="s" s="2">
        <v>17</v>
      </c>
      <c r="F6881" t="s" s="2">
        <f>HYPERLINK("http://ts.21cn.com/tousu/show/id/1365823","http://ts.21cn.com/tousu/show/id/1365823")</f>
      </c>
      <c r="G6881" t="s" s="2">
        <v>17</v>
      </c>
      <c r="H6881" t="s" s="2">
        <v>19</v>
      </c>
      <c r="I6881" t="s" s="2">
        <v>26624</v>
      </c>
      <c r="J6881" t="s" s="2">
        <v>26625</v>
      </c>
      <c r="K6881" t="s" s="2">
        <v>22</v>
      </c>
      <c r="L6881" t="s" s="2">
        <v>22</v>
      </c>
      <c r="M6881" t="s" s="2">
        <v>22</v>
      </c>
    </row>
    <row r="6882" ht="25.0" customHeight="true">
      <c r="A6882" t="s" s="2">
        <v>13</v>
      </c>
      <c r="B6882" t="s" s="2">
        <f>HYPERLINK("http://ts.21cn.com/tousu/show/id/1365820","交通银行暴力催收恐吓")</f>
      </c>
      <c r="C6882" t="s" s="2">
        <v>15</v>
      </c>
      <c r="D6882" t="s" s="2">
        <v>16</v>
      </c>
      <c r="E6882" t="s" s="2">
        <v>17</v>
      </c>
      <c r="F6882" t="s" s="2">
        <f>HYPERLINK("http://ts.21cn.com/tousu/show/id/1365820","http://ts.21cn.com/tousu/show/id/1365820")</f>
      </c>
      <c r="G6882" t="s" s="2">
        <v>17</v>
      </c>
      <c r="H6882" t="s" s="2">
        <v>19</v>
      </c>
      <c r="I6882" t="s" s="2">
        <v>26628</v>
      </c>
      <c r="J6882" t="s" s="2">
        <v>26629</v>
      </c>
      <c r="K6882" t="s" s="2">
        <v>22</v>
      </c>
      <c r="L6882" t="s" s="2">
        <v>22</v>
      </c>
      <c r="M6882" t="s" s="2">
        <v>22</v>
      </c>
    </row>
    <row r="6883" ht="25.0" customHeight="true">
      <c r="A6883" t="s" s="2">
        <v>13</v>
      </c>
      <c r="B6883" t="s" s="2">
        <f>HYPERLINK("http://ts.21cn.com/tousu/show/id/1365821","小当家能不能出现！！！！")</f>
      </c>
      <c r="C6883" t="s" s="2">
        <v>15</v>
      </c>
      <c r="D6883" t="s" s="2">
        <v>16</v>
      </c>
      <c r="E6883" t="s" s="2">
        <v>17</v>
      </c>
      <c r="F6883" t="s" s="2">
        <f>HYPERLINK("http://ts.21cn.com/tousu/show/id/1365821","http://ts.21cn.com/tousu/show/id/1365821")</f>
      </c>
      <c r="G6883" t="s" s="2">
        <v>17</v>
      </c>
      <c r="H6883" t="s" s="2">
        <v>19</v>
      </c>
      <c r="I6883" t="s" s="2">
        <v>26628</v>
      </c>
      <c r="J6883" t="s" s="2">
        <v>26632</v>
      </c>
      <c r="K6883" t="s" s="2">
        <v>22</v>
      </c>
      <c r="L6883" t="s" s="2">
        <v>22</v>
      </c>
      <c r="M6883" t="s" s="2">
        <v>22</v>
      </c>
    </row>
    <row r="6884" ht="25.0" customHeight="true">
      <c r="A6884" t="s" s="2">
        <v>13</v>
      </c>
      <c r="B6884" t="s" s="2">
        <f>HYPERLINK("http://ts.21cn.com/tousu/show/id/1365822","马上金融安逸花暴力催收严重骚扰")</f>
      </c>
      <c r="C6884" t="s" s="2">
        <v>15</v>
      </c>
      <c r="D6884" t="s" s="2">
        <v>16</v>
      </c>
      <c r="E6884" t="s" s="2">
        <v>17</v>
      </c>
      <c r="F6884" t="s" s="2">
        <f>HYPERLINK("http://ts.21cn.com/tousu/show/id/1365822","http://ts.21cn.com/tousu/show/id/1365822")</f>
      </c>
      <c r="G6884" t="s" s="2">
        <v>17</v>
      </c>
      <c r="H6884" t="s" s="2">
        <v>19</v>
      </c>
      <c r="I6884" t="s" s="2">
        <v>26635</v>
      </c>
      <c r="J6884" t="s" s="2">
        <v>26636</v>
      </c>
      <c r="K6884" t="s" s="2">
        <v>22</v>
      </c>
      <c r="L6884" t="s" s="2">
        <v>22</v>
      </c>
      <c r="M6884" t="s" s="2">
        <v>22</v>
      </c>
    </row>
    <row r="6885" ht="25.0" customHeight="true">
      <c r="A6885" t="s" s="2">
        <v>13</v>
      </c>
      <c r="B6885" t="s" s="2">
        <f>HYPERLINK("http://ts.21cn.com/tousu/show/id/1365819","信而富无端扣款183.94，本人无任何操作")</f>
      </c>
      <c r="C6885" t="s" s="2">
        <v>52</v>
      </c>
      <c r="D6885" t="s" s="2">
        <v>16</v>
      </c>
      <c r="E6885" t="s" s="2">
        <v>17</v>
      </c>
      <c r="F6885" t="s" s="2">
        <f>HYPERLINK("http://ts.21cn.com/tousu/show/id/1365819","http://ts.21cn.com/tousu/show/id/1365819")</f>
      </c>
      <c r="G6885" t="s" s="2">
        <v>17</v>
      </c>
      <c r="H6885" t="s" s="2">
        <v>19</v>
      </c>
      <c r="I6885" t="s" s="2">
        <v>26639</v>
      </c>
      <c r="J6885" t="s" s="2">
        <v>26640</v>
      </c>
      <c r="K6885" t="s" s="2">
        <v>22</v>
      </c>
      <c r="L6885" t="s" s="2">
        <v>22</v>
      </c>
      <c r="M6885" t="s" s="2">
        <v>22</v>
      </c>
    </row>
    <row r="6886" ht="25.0" customHeight="true">
      <c r="A6886" t="s" s="2">
        <v>13</v>
      </c>
      <c r="B6886" t="s" s="2">
        <f>HYPERLINK("http://ts.21cn.com/tousu/show/id/1365817","融360伙同短贷王收取高额砍头息")</f>
      </c>
      <c r="C6886" t="s" s="2">
        <v>15</v>
      </c>
      <c r="D6886" t="s" s="2">
        <v>16</v>
      </c>
      <c r="E6886" t="s" s="2">
        <v>17</v>
      </c>
      <c r="F6886" t="s" s="2">
        <f>HYPERLINK("http://ts.21cn.com/tousu/show/id/1365817","http://ts.21cn.com/tousu/show/id/1365817")</f>
      </c>
      <c r="G6886" t="s" s="2">
        <v>17</v>
      </c>
      <c r="H6886" t="s" s="2">
        <v>19</v>
      </c>
      <c r="I6886" t="s" s="2">
        <v>26643</v>
      </c>
      <c r="J6886" t="s" s="2">
        <v>26644</v>
      </c>
      <c r="K6886" t="s" s="2">
        <v>22</v>
      </c>
      <c r="L6886" t="s" s="2">
        <v>22</v>
      </c>
      <c r="M6886" t="s" s="2">
        <v>22</v>
      </c>
    </row>
    <row r="6887" ht="25.0" customHeight="true">
      <c r="A6887" t="s" s="2">
        <v>13</v>
      </c>
      <c r="B6887" t="s" s="2">
        <f>HYPERLINK("http://ts.21cn.com/tousu/show/id/1365815","贷上钱以购买游戏豆为由收取高额费用，并且骚扰家人")</f>
      </c>
      <c r="C6887" t="s" s="2">
        <v>15</v>
      </c>
      <c r="D6887" t="s" s="2">
        <v>16</v>
      </c>
      <c r="E6887" t="s" s="2">
        <v>17</v>
      </c>
      <c r="F6887" t="s" s="2">
        <f>HYPERLINK("http://ts.21cn.com/tousu/show/id/1365815","http://ts.21cn.com/tousu/show/id/1365815")</f>
      </c>
      <c r="G6887" t="s" s="2">
        <v>17</v>
      </c>
      <c r="H6887" t="s" s="2">
        <v>19</v>
      </c>
      <c r="I6887" t="s" s="2">
        <v>26647</v>
      </c>
      <c r="J6887" t="s" s="2">
        <v>26648</v>
      </c>
      <c r="K6887" t="s" s="2">
        <v>22</v>
      </c>
      <c r="L6887" t="s" s="2">
        <v>22</v>
      </c>
      <c r="M6887" t="s" s="2">
        <v>22</v>
      </c>
    </row>
    <row r="6888" ht="25.0" customHeight="true">
      <c r="A6888" t="s" s="2">
        <v>13</v>
      </c>
      <c r="B6888" t="s" s="2">
        <f>HYPERLINK("http://ts.21cn.com/tousu/show/id/1365816","闪银哼哼瞬瞬强制购物")</f>
      </c>
      <c r="C6888" t="s" s="2">
        <v>15</v>
      </c>
      <c r="D6888" t="s" s="2">
        <v>16</v>
      </c>
      <c r="E6888" t="s" s="2">
        <v>17</v>
      </c>
      <c r="F6888" t="s" s="2">
        <f>HYPERLINK("http://ts.21cn.com/tousu/show/id/1365816","http://ts.21cn.com/tousu/show/id/1365816")</f>
      </c>
      <c r="G6888" t="s" s="2">
        <v>17</v>
      </c>
      <c r="H6888" t="s" s="2">
        <v>19</v>
      </c>
      <c r="I6888" t="s" s="2">
        <v>26651</v>
      </c>
      <c r="J6888" t="s" s="2">
        <v>26652</v>
      </c>
      <c r="K6888" t="s" s="2">
        <v>22</v>
      </c>
      <c r="L6888" t="s" s="2">
        <v>22</v>
      </c>
      <c r="M6888" t="s" s="2">
        <v>22</v>
      </c>
    </row>
    <row r="6889" ht="25.0" customHeight="true">
      <c r="A6889" t="s" s="2">
        <v>13</v>
      </c>
      <c r="B6889" t="s" s="2">
        <f>HYPERLINK("http://ts.21cn.com/tousu/show/id/1365814","客服不处理，不反馈，无视投诉，敷衍对待")</f>
      </c>
      <c r="C6889" t="s" s="2">
        <v>15</v>
      </c>
      <c r="D6889" t="s" s="2">
        <v>16</v>
      </c>
      <c r="E6889" t="s" s="2">
        <v>17</v>
      </c>
      <c r="F6889" t="s" s="2">
        <f>HYPERLINK("http://ts.21cn.com/tousu/show/id/1365814","http://ts.21cn.com/tousu/show/id/1365814")</f>
      </c>
      <c r="G6889" t="s" s="2">
        <v>17</v>
      </c>
      <c r="H6889" t="s" s="2">
        <v>19</v>
      </c>
      <c r="I6889" t="s" s="2">
        <v>26655</v>
      </c>
      <c r="J6889" t="s" s="2">
        <v>26656</v>
      </c>
      <c r="K6889" t="s" s="2">
        <v>22</v>
      </c>
      <c r="L6889" t="s" s="2">
        <v>22</v>
      </c>
      <c r="M6889" t="s" s="2">
        <v>22</v>
      </c>
    </row>
    <row r="6890" ht="25.0" customHeight="true">
      <c r="A6890" t="s" s="2">
        <v>13</v>
      </c>
      <c r="B6890" t="s" s="2">
        <f>HYPERLINK("http://ts.21cn.com/tousu/show/id/1365813","快闪卡贷（小闪分期）与中国人保合作，以借款名义兜售保险，收取高额砍头息费用")</f>
      </c>
      <c r="C6890" t="s" s="2">
        <v>15</v>
      </c>
      <c r="D6890" t="s" s="2">
        <v>16</v>
      </c>
      <c r="E6890" t="s" s="2">
        <v>17</v>
      </c>
      <c r="F6890" t="s" s="2">
        <f>HYPERLINK("http://ts.21cn.com/tousu/show/id/1365813","http://ts.21cn.com/tousu/show/id/1365813")</f>
      </c>
      <c r="G6890" t="s" s="2">
        <v>17</v>
      </c>
      <c r="H6890" t="s" s="2">
        <v>19</v>
      </c>
      <c r="I6890" t="s" s="2">
        <v>26659</v>
      </c>
      <c r="J6890" t="s" s="2">
        <v>26660</v>
      </c>
      <c r="K6890" t="s" s="2">
        <v>22</v>
      </c>
      <c r="L6890" t="s" s="2">
        <v>22</v>
      </c>
      <c r="M6890" t="s" s="2">
        <v>22</v>
      </c>
    </row>
    <row r="6891" ht="25.0" customHeight="true">
      <c r="A6891" t="s" s="2">
        <v>13</v>
      </c>
      <c r="B6891" t="s" s="2">
        <f>HYPERLINK("http://ts.21cn.com/tousu/show/id/1365812","高额利息")</f>
      </c>
      <c r="C6891" t="s" s="2">
        <v>15</v>
      </c>
      <c r="D6891" t="s" s="2">
        <v>16</v>
      </c>
      <c r="E6891" t="s" s="2">
        <v>17</v>
      </c>
      <c r="F6891" t="s" s="2">
        <f>HYPERLINK("http://ts.21cn.com/tousu/show/id/1365812","http://ts.21cn.com/tousu/show/id/1365812")</f>
      </c>
      <c r="G6891" t="s" s="2">
        <v>17</v>
      </c>
      <c r="H6891" t="s" s="2">
        <v>19</v>
      </c>
      <c r="I6891" t="s" s="2">
        <v>26662</v>
      </c>
      <c r="J6891" t="s" s="2">
        <v>26663</v>
      </c>
      <c r="K6891" t="s" s="2">
        <v>22</v>
      </c>
      <c r="L6891" t="s" s="2">
        <v>22</v>
      </c>
      <c r="M6891" t="s" s="2">
        <v>22</v>
      </c>
    </row>
    <row r="6892" ht="25.0" customHeight="true">
      <c r="A6892" t="s" s="2">
        <v>13</v>
      </c>
      <c r="B6892" t="s" s="2">
        <f>HYPERLINK("http://ts.21cn.com/tousu/show/id/1365811","软件问题造成预期客服电话打不通")</f>
      </c>
      <c r="C6892" t="s" s="2">
        <v>15</v>
      </c>
      <c r="D6892" t="s" s="2">
        <v>16</v>
      </c>
      <c r="E6892" t="s" s="2">
        <v>17</v>
      </c>
      <c r="F6892" t="s" s="2">
        <f>HYPERLINK("http://ts.21cn.com/tousu/show/id/1365811","http://ts.21cn.com/tousu/show/id/1365811")</f>
      </c>
      <c r="G6892" t="s" s="2">
        <v>17</v>
      </c>
      <c r="H6892" t="s" s="2">
        <v>19</v>
      </c>
      <c r="I6892" t="s" s="2">
        <v>26666</v>
      </c>
      <c r="J6892" t="s" s="2">
        <v>26667</v>
      </c>
      <c r="K6892" t="s" s="2">
        <v>22</v>
      </c>
      <c r="L6892" t="s" s="2">
        <v>22</v>
      </c>
      <c r="M6892" t="s" s="2">
        <v>22</v>
      </c>
    </row>
    <row r="6893" ht="25.0" customHeight="true">
      <c r="A6893" t="s" s="2">
        <v>13</v>
      </c>
      <c r="B6893" t="s" s="2">
        <f>HYPERLINK("http://ts.21cn.com/tousu/show/id/1365810","快递损坏不处理")</f>
      </c>
      <c r="C6893" t="s" s="2">
        <v>15</v>
      </c>
      <c r="D6893" t="s" s="2">
        <v>16</v>
      </c>
      <c r="E6893" t="s" s="2">
        <v>17</v>
      </c>
      <c r="F6893" t="s" s="2">
        <f>HYPERLINK("http://ts.21cn.com/tousu/show/id/1365810","http://ts.21cn.com/tousu/show/id/1365810")</f>
      </c>
      <c r="G6893" t="s" s="2">
        <v>17</v>
      </c>
      <c r="H6893" t="s" s="2">
        <v>19</v>
      </c>
      <c r="I6893" t="s" s="2">
        <v>26670</v>
      </c>
      <c r="J6893" t="s" s="2">
        <v>26671</v>
      </c>
      <c r="K6893" t="s" s="2">
        <v>22</v>
      </c>
      <c r="L6893" t="s" s="2">
        <v>22</v>
      </c>
      <c r="M6893" t="s" s="2">
        <v>22</v>
      </c>
    </row>
    <row r="6894" ht="25.0" customHeight="true">
      <c r="A6894" t="s" s="2">
        <v>13</v>
      </c>
      <c r="B6894" t="s" s="2">
        <f>HYPERLINK("http://ts.21cn.com/tousu/show/id/1365809","伪造律师函，群发律师函")</f>
      </c>
      <c r="C6894" t="s" s="2">
        <v>15</v>
      </c>
      <c r="D6894" t="s" s="2">
        <v>16</v>
      </c>
      <c r="E6894" t="s" s="2">
        <v>17</v>
      </c>
      <c r="F6894" t="s" s="2">
        <f>HYPERLINK("http://ts.21cn.com/tousu/show/id/1365809","http://ts.21cn.com/tousu/show/id/1365809")</f>
      </c>
      <c r="G6894" t="s" s="2">
        <v>17</v>
      </c>
      <c r="H6894" t="s" s="2">
        <v>19</v>
      </c>
      <c r="I6894" t="s" s="2">
        <v>26674</v>
      </c>
      <c r="J6894" t="s" s="2">
        <v>26675</v>
      </c>
      <c r="K6894" t="s" s="2">
        <v>22</v>
      </c>
      <c r="L6894" t="s" s="2">
        <v>22</v>
      </c>
      <c r="M6894" t="s" s="2">
        <v>22</v>
      </c>
    </row>
    <row r="6895" ht="25.0" customHeight="true">
      <c r="A6895" t="s" s="2">
        <v>13</v>
      </c>
      <c r="B6895" t="s" s="2">
        <f>HYPERLINK("http://ts.21cn.com/tousu/show/id/1365808","360放款确认/拒绝短信凌晨发送，损害个人利益！")</f>
      </c>
      <c r="C6895" t="s" s="2">
        <v>15</v>
      </c>
      <c r="D6895" t="s" s="2">
        <v>16</v>
      </c>
      <c r="E6895" t="s" s="2">
        <v>17</v>
      </c>
      <c r="F6895" t="s" s="2">
        <f>HYPERLINK("http://ts.21cn.com/tousu/show/id/1365808","http://ts.21cn.com/tousu/show/id/1365808")</f>
      </c>
      <c r="G6895" t="s" s="2">
        <v>17</v>
      </c>
      <c r="H6895" t="s" s="2">
        <v>19</v>
      </c>
      <c r="I6895" t="s" s="2">
        <v>26678</v>
      </c>
      <c r="J6895" t="s" s="2">
        <v>26679</v>
      </c>
      <c r="K6895" t="s" s="2">
        <v>22</v>
      </c>
      <c r="L6895" t="s" s="2">
        <v>22</v>
      </c>
      <c r="M6895" t="s" s="2">
        <v>22</v>
      </c>
    </row>
    <row r="6896" ht="25.0" customHeight="true">
      <c r="A6896" t="s" s="2">
        <v>13</v>
      </c>
      <c r="B6896" t="s" s="2">
        <f>HYPERLINK("http://ts.21cn.com/tousu/show/id/1365805","申请与洋钱罐协商还款")</f>
      </c>
      <c r="C6896" t="s" s="2">
        <v>52</v>
      </c>
      <c r="D6896" t="s" s="2">
        <v>16</v>
      </c>
      <c r="E6896" t="s" s="2">
        <v>17</v>
      </c>
      <c r="F6896" t="s" s="2">
        <f>HYPERLINK("http://ts.21cn.com/tousu/show/id/1365805","http://ts.21cn.com/tousu/show/id/1365805")</f>
      </c>
      <c r="G6896" t="s" s="2">
        <v>17</v>
      </c>
      <c r="H6896" t="s" s="2">
        <v>19</v>
      </c>
      <c r="I6896" t="s" s="2">
        <v>26682</v>
      </c>
      <c r="J6896" t="s" s="2">
        <v>26683</v>
      </c>
      <c r="K6896" t="s" s="2">
        <v>22</v>
      </c>
      <c r="L6896" t="s" s="2">
        <v>22</v>
      </c>
      <c r="M6896" t="s" s="2">
        <v>22</v>
      </c>
    </row>
    <row r="6897" ht="25.0" customHeight="true">
      <c r="A6897" t="s" s="2">
        <v>13</v>
      </c>
      <c r="B6897" t="s" s="2">
        <f>HYPERLINK("http://ts.21cn.com/tousu/show/id/1365804","马上金融说我恶意拖欠还款")</f>
      </c>
      <c r="C6897" t="s" s="2">
        <v>15</v>
      </c>
      <c r="D6897" t="s" s="2">
        <v>16</v>
      </c>
      <c r="E6897" t="s" s="2">
        <v>17</v>
      </c>
      <c r="F6897" t="s" s="2">
        <f>HYPERLINK("http://ts.21cn.com/tousu/show/id/1365804","http://ts.21cn.com/tousu/show/id/1365804")</f>
      </c>
      <c r="G6897" t="s" s="2">
        <v>17</v>
      </c>
      <c r="H6897" t="s" s="2">
        <v>19</v>
      </c>
      <c r="I6897" t="s" s="2">
        <v>26686</v>
      </c>
      <c r="J6897" t="s" s="2">
        <v>26687</v>
      </c>
      <c r="K6897" t="s" s="2">
        <v>22</v>
      </c>
      <c r="L6897" t="s" s="2">
        <v>22</v>
      </c>
      <c r="M6897" t="s" s="2">
        <v>22</v>
      </c>
    </row>
    <row r="6898" ht="25.0" customHeight="true">
      <c r="A6898" t="s" s="2">
        <v>13</v>
      </c>
      <c r="B6898" t="s" s="2">
        <f>HYPERLINK("http://ts.21cn.com/tousu/show/id/1365802","上海微客来侵占客户后台充值红包金额")</f>
      </c>
      <c r="C6898" t="s" s="2">
        <v>15</v>
      </c>
      <c r="D6898" t="s" s="2">
        <v>16</v>
      </c>
      <c r="E6898" t="s" s="2">
        <v>17</v>
      </c>
      <c r="F6898" t="s" s="2">
        <f>HYPERLINK("http://ts.21cn.com/tousu/show/id/1365802","http://ts.21cn.com/tousu/show/id/1365802")</f>
      </c>
      <c r="G6898" t="s" s="2">
        <v>17</v>
      </c>
      <c r="H6898" t="s" s="2">
        <v>19</v>
      </c>
      <c r="I6898" t="s" s="2">
        <v>26690</v>
      </c>
      <c r="J6898" t="s" s="2">
        <v>26691</v>
      </c>
      <c r="K6898" t="s" s="2">
        <v>22</v>
      </c>
      <c r="L6898" t="s" s="2">
        <v>22</v>
      </c>
      <c r="M6898" t="s" s="2">
        <v>22</v>
      </c>
    </row>
    <row r="6899" ht="25.0" customHeight="true">
      <c r="A6899" t="s" s="2">
        <v>13</v>
      </c>
      <c r="B6899" t="s" s="2">
        <f>HYPERLINK("http://ts.21cn.com/tousu/show/id/1365803","信息骚扰")</f>
      </c>
      <c r="C6899" t="s" s="2">
        <v>15</v>
      </c>
      <c r="D6899" t="s" s="2">
        <v>16</v>
      </c>
      <c r="E6899" t="s" s="2">
        <v>17</v>
      </c>
      <c r="F6899" t="s" s="2">
        <f>HYPERLINK("http://ts.21cn.com/tousu/show/id/1365803","http://ts.21cn.com/tousu/show/id/1365803")</f>
      </c>
      <c r="G6899" t="s" s="2">
        <v>17</v>
      </c>
      <c r="H6899" t="s" s="2">
        <v>19</v>
      </c>
      <c r="I6899" t="s" s="2">
        <v>26694</v>
      </c>
      <c r="J6899" t="s" s="2">
        <v>26695</v>
      </c>
      <c r="K6899" t="s" s="2">
        <v>22</v>
      </c>
      <c r="L6899" t="s" s="2">
        <v>22</v>
      </c>
      <c r="M6899" t="s" s="2">
        <v>22</v>
      </c>
    </row>
    <row r="6900" ht="25.0" customHeight="true">
      <c r="A6900" t="s" s="2">
        <v>13</v>
      </c>
      <c r="B6900" t="s" s="2">
        <f>HYPERLINK("http://ts.21cn.com/tousu/show/id/1365801","玖富万卡不合理保险费")</f>
      </c>
      <c r="C6900" t="s" s="2">
        <v>15</v>
      </c>
      <c r="D6900" t="s" s="2">
        <v>16</v>
      </c>
      <c r="E6900" t="s" s="2">
        <v>17</v>
      </c>
      <c r="F6900" t="s" s="2">
        <f>HYPERLINK("http://ts.21cn.com/tousu/show/id/1365801","http://ts.21cn.com/tousu/show/id/1365801")</f>
      </c>
      <c r="G6900" t="s" s="2">
        <v>17</v>
      </c>
      <c r="H6900" t="s" s="2">
        <v>19</v>
      </c>
      <c r="I6900" t="s" s="2">
        <v>26698</v>
      </c>
      <c r="J6900" t="s" s="2">
        <v>26699</v>
      </c>
      <c r="K6900" t="s" s="2">
        <v>22</v>
      </c>
      <c r="L6900" t="s" s="2">
        <v>22</v>
      </c>
      <c r="M6900" t="s" s="2">
        <v>22</v>
      </c>
    </row>
    <row r="6901" ht="25.0" customHeight="true">
      <c r="A6901" t="s" s="2">
        <v>13</v>
      </c>
      <c r="B6901" t="s" s="2">
        <f>HYPERLINK("http://ts.21cn.com/tousu/show/id/1365799","松紧贷恐吓短信暴力催收")</f>
      </c>
      <c r="C6901" t="s" s="2">
        <v>15</v>
      </c>
      <c r="D6901" t="s" s="2">
        <v>16</v>
      </c>
      <c r="E6901" t="s" s="2">
        <v>17</v>
      </c>
      <c r="F6901" t="s" s="2">
        <f>HYPERLINK("http://ts.21cn.com/tousu/show/id/1365799","http://ts.21cn.com/tousu/show/id/1365799")</f>
      </c>
      <c r="G6901" t="s" s="2">
        <v>17</v>
      </c>
      <c r="H6901" t="s" s="2">
        <v>19</v>
      </c>
      <c r="I6901" t="s" s="2">
        <v>26702</v>
      </c>
      <c r="J6901" t="s" s="2">
        <v>26703</v>
      </c>
      <c r="K6901" t="s" s="2">
        <v>22</v>
      </c>
      <c r="L6901" t="s" s="2">
        <v>22</v>
      </c>
      <c r="M6901" t="s" s="2">
        <v>22</v>
      </c>
    </row>
    <row r="6902" ht="25.0" customHeight="true">
      <c r="A6902" t="s" s="2">
        <v>13</v>
      </c>
      <c r="B6902" t="s" s="2">
        <f>HYPERLINK("http://ts.21cn.com/tousu/show/id/1365796","投诉麦子金服不退咨询费")</f>
      </c>
      <c r="C6902" t="s" s="2">
        <v>15</v>
      </c>
      <c r="D6902" t="s" s="2">
        <v>16</v>
      </c>
      <c r="E6902" t="s" s="2">
        <v>17</v>
      </c>
      <c r="F6902" t="s" s="2">
        <f>HYPERLINK("http://ts.21cn.com/tousu/show/id/1365796","http://ts.21cn.com/tousu/show/id/1365796")</f>
      </c>
      <c r="G6902" t="s" s="2">
        <v>17</v>
      </c>
      <c r="H6902" t="s" s="2">
        <v>19</v>
      </c>
      <c r="I6902" t="s" s="2">
        <v>26706</v>
      </c>
      <c r="J6902" t="s" s="2">
        <v>26707</v>
      </c>
      <c r="K6902" t="s" s="2">
        <v>22</v>
      </c>
      <c r="L6902" t="s" s="2">
        <v>22</v>
      </c>
      <c r="M6902" t="s" s="2">
        <v>22</v>
      </c>
    </row>
    <row r="6903" ht="25.0" customHeight="true">
      <c r="A6903" t="s" s="2">
        <v>13</v>
      </c>
      <c r="B6903" t="s" s="2">
        <f>HYPERLINK("http://ts.21cn.com/tousu/show/id/1365798","MY钱包提前还款")</f>
      </c>
      <c r="C6903" t="s" s="2">
        <v>52</v>
      </c>
      <c r="D6903" t="s" s="2">
        <v>16</v>
      </c>
      <c r="E6903" t="s" s="2">
        <v>17</v>
      </c>
      <c r="F6903" t="s" s="2">
        <f>HYPERLINK("http://ts.21cn.com/tousu/show/id/1365798","http://ts.21cn.com/tousu/show/id/1365798")</f>
      </c>
      <c r="G6903" t="s" s="2">
        <v>17</v>
      </c>
      <c r="H6903" t="s" s="2">
        <v>19</v>
      </c>
      <c r="I6903" t="s" s="2">
        <v>26710</v>
      </c>
      <c r="J6903" t="s" s="2">
        <v>26711</v>
      </c>
      <c r="K6903" t="s" s="2">
        <v>22</v>
      </c>
      <c r="L6903" t="s" s="2">
        <v>22</v>
      </c>
      <c r="M6903" t="s" s="2">
        <v>22</v>
      </c>
    </row>
    <row r="6904" ht="25.0" customHeight="true">
      <c r="A6904" t="s" s="2">
        <v>13</v>
      </c>
      <c r="B6904" t="s" s="2">
        <f>HYPERLINK("http://ts.21cn.com/tousu/show/id/1365797","汇中超高利贷，阴阳合同，贷款欺诈，天价砍头息")</f>
      </c>
      <c r="C6904" t="s" s="2">
        <v>15</v>
      </c>
      <c r="D6904" t="s" s="2">
        <v>16</v>
      </c>
      <c r="E6904" t="s" s="2">
        <v>17</v>
      </c>
      <c r="F6904" t="s" s="2">
        <f>HYPERLINK("http://ts.21cn.com/tousu/show/id/1365797","http://ts.21cn.com/tousu/show/id/1365797")</f>
      </c>
      <c r="G6904" t="s" s="2">
        <v>17</v>
      </c>
      <c r="H6904" t="s" s="2">
        <v>19</v>
      </c>
      <c r="I6904" t="s" s="2">
        <v>26714</v>
      </c>
      <c r="J6904" t="s" s="2">
        <v>26715</v>
      </c>
      <c r="K6904" t="s" s="2">
        <v>22</v>
      </c>
      <c r="L6904" t="s" s="2">
        <v>22</v>
      </c>
      <c r="M6904" t="s" s="2">
        <v>22</v>
      </c>
    </row>
    <row r="6905" ht="25.0" customHeight="true">
      <c r="A6905" t="s" s="2">
        <v>13</v>
      </c>
      <c r="B6905" t="s" s="2">
        <f>HYPERLINK("http://ts.21cn.com/tousu/show/id/1365794","希望可以债务重组，分期还款")</f>
      </c>
      <c r="C6905" t="s" s="2">
        <v>15</v>
      </c>
      <c r="D6905" t="s" s="2">
        <v>16</v>
      </c>
      <c r="E6905" t="s" s="2">
        <v>17</v>
      </c>
      <c r="F6905" t="s" s="2">
        <f>HYPERLINK("http://ts.21cn.com/tousu/show/id/1365794","http://ts.21cn.com/tousu/show/id/1365794")</f>
      </c>
      <c r="G6905" t="s" s="2">
        <v>17</v>
      </c>
      <c r="H6905" t="s" s="2">
        <v>19</v>
      </c>
      <c r="I6905" t="s" s="2">
        <v>26718</v>
      </c>
      <c r="J6905" t="s" s="2">
        <v>26719</v>
      </c>
      <c r="K6905" t="s" s="2">
        <v>22</v>
      </c>
      <c r="L6905" t="s" s="2">
        <v>22</v>
      </c>
      <c r="M6905" t="s" s="2">
        <v>22</v>
      </c>
    </row>
    <row r="6906" ht="25.0" customHeight="true">
      <c r="A6906" t="s" s="2">
        <v>13</v>
      </c>
      <c r="B6906" t="s" s="2">
        <f>HYPERLINK("http://ts.21cn.com/tousu/show/id/1365792","暴力催收")</f>
      </c>
      <c r="C6906" t="s" s="2">
        <v>15</v>
      </c>
      <c r="D6906" t="s" s="2">
        <v>16</v>
      </c>
      <c r="E6906" t="s" s="2">
        <v>17</v>
      </c>
      <c r="F6906" t="s" s="2">
        <f>HYPERLINK("http://ts.21cn.com/tousu/show/id/1365792","http://ts.21cn.com/tousu/show/id/1365792")</f>
      </c>
      <c r="G6906" t="s" s="2">
        <v>17</v>
      </c>
      <c r="H6906" t="s" s="2">
        <v>19</v>
      </c>
      <c r="I6906" t="s" s="2">
        <v>26721</v>
      </c>
      <c r="J6906" t="s" s="2">
        <v>26722</v>
      </c>
      <c r="K6906" t="s" s="2">
        <v>22</v>
      </c>
      <c r="L6906" t="s" s="2">
        <v>22</v>
      </c>
      <c r="M6906" t="s" s="2">
        <v>22</v>
      </c>
    </row>
    <row r="6907" ht="25.0" customHeight="true">
      <c r="A6907" t="s" s="2">
        <v>13</v>
      </c>
      <c r="B6907" t="s" s="2">
        <f>HYPERLINK("http://ts.21cn.com/tousu/show/id/1365793","杭银消费金融金利贷骚扰家人")</f>
      </c>
      <c r="C6907" t="s" s="2">
        <v>15</v>
      </c>
      <c r="D6907" t="s" s="2">
        <v>16</v>
      </c>
      <c r="E6907" t="s" s="2">
        <v>17</v>
      </c>
      <c r="F6907" t="s" s="2">
        <f>HYPERLINK("http://ts.21cn.com/tousu/show/id/1365793","http://ts.21cn.com/tousu/show/id/1365793")</f>
      </c>
      <c r="G6907" t="s" s="2">
        <v>17</v>
      </c>
      <c r="H6907" t="s" s="2">
        <v>19</v>
      </c>
      <c r="I6907" t="s" s="2">
        <v>26725</v>
      </c>
      <c r="J6907" t="s" s="2">
        <v>26726</v>
      </c>
      <c r="K6907" t="s" s="2">
        <v>22</v>
      </c>
      <c r="L6907" t="s" s="2">
        <v>22</v>
      </c>
      <c r="M6907" t="s" s="2">
        <v>22</v>
      </c>
    </row>
    <row r="6908" ht="25.0" customHeight="true">
      <c r="A6908" t="s" s="2">
        <v>13</v>
      </c>
      <c r="B6908" t="s" s="2">
        <f>HYPERLINK("http://ts.21cn.com/tousu/show/id/1365790","浦发银行信用卡电话轰炸")</f>
      </c>
      <c r="C6908" t="s" s="2">
        <v>15</v>
      </c>
      <c r="D6908" t="s" s="2">
        <v>16</v>
      </c>
      <c r="E6908" t="s" s="2">
        <v>17</v>
      </c>
      <c r="F6908" t="s" s="2">
        <f>HYPERLINK("http://ts.21cn.com/tousu/show/id/1365790","http://ts.21cn.com/tousu/show/id/1365790")</f>
      </c>
      <c r="G6908" t="s" s="2">
        <v>17</v>
      </c>
      <c r="H6908" t="s" s="2">
        <v>19</v>
      </c>
      <c r="I6908" t="s" s="2">
        <v>26729</v>
      </c>
      <c r="J6908" t="s" s="2">
        <v>26730</v>
      </c>
      <c r="K6908" t="s" s="2">
        <v>22</v>
      </c>
      <c r="L6908" t="s" s="2">
        <v>22</v>
      </c>
      <c r="M6908" t="s" s="2">
        <v>22</v>
      </c>
    </row>
    <row r="6909" ht="25.0" customHeight="true">
      <c r="A6909" t="s" s="2">
        <v>13</v>
      </c>
      <c r="B6909" t="s" s="2">
        <f>HYPERLINK("http://ts.21cn.com/tousu/show/id/1365789","闪银至尊借款暴力催收")</f>
      </c>
      <c r="C6909" t="s" s="2">
        <v>15</v>
      </c>
      <c r="D6909" t="s" s="2">
        <v>16</v>
      </c>
      <c r="E6909" t="s" s="2">
        <v>17</v>
      </c>
      <c r="F6909" t="s" s="2">
        <f>HYPERLINK("http://ts.21cn.com/tousu/show/id/1365789","http://ts.21cn.com/tousu/show/id/1365789")</f>
      </c>
      <c r="G6909" t="s" s="2">
        <v>17</v>
      </c>
      <c r="H6909" t="s" s="2">
        <v>19</v>
      </c>
      <c r="I6909" t="s" s="2">
        <v>26733</v>
      </c>
      <c r="J6909" t="s" s="2">
        <v>26734</v>
      </c>
      <c r="K6909" t="s" s="2">
        <v>22</v>
      </c>
      <c r="L6909" t="s" s="2">
        <v>22</v>
      </c>
      <c r="M6909" t="s" s="2">
        <v>22</v>
      </c>
    </row>
    <row r="6910" ht="25.0" customHeight="true">
      <c r="A6910" t="s" s="2">
        <v>13</v>
      </c>
      <c r="B6910" t="s" s="2">
        <f>HYPERLINK("http://ts.21cn.com/tousu/show/id/1365787","暴力催收，骚扰亲朋好友")</f>
      </c>
      <c r="C6910" t="s" s="2">
        <v>15</v>
      </c>
      <c r="D6910" t="s" s="2">
        <v>16</v>
      </c>
      <c r="E6910" t="s" s="2">
        <v>17</v>
      </c>
      <c r="F6910" t="s" s="2">
        <f>HYPERLINK("http://ts.21cn.com/tousu/show/id/1365787","http://ts.21cn.com/tousu/show/id/1365787")</f>
      </c>
      <c r="G6910" t="s" s="2">
        <v>17</v>
      </c>
      <c r="H6910" t="s" s="2">
        <v>19</v>
      </c>
      <c r="I6910" t="s" s="2">
        <v>26737</v>
      </c>
      <c r="J6910" t="s" s="2">
        <v>26738</v>
      </c>
      <c r="K6910" t="s" s="2">
        <v>22</v>
      </c>
      <c r="L6910" t="s" s="2">
        <v>22</v>
      </c>
      <c r="M6910" t="s" s="2">
        <v>22</v>
      </c>
    </row>
    <row r="6911" ht="25.0" customHeight="true">
      <c r="A6911" t="s" s="2">
        <v>13</v>
      </c>
      <c r="B6911" t="s" s="2">
        <f>HYPERLINK("http://ts.21cn.com/tousu/show/id/1365788","爆通讯录，恐吓威胁")</f>
      </c>
      <c r="C6911" t="s" s="2">
        <v>15</v>
      </c>
      <c r="D6911" t="s" s="2">
        <v>16</v>
      </c>
      <c r="E6911" t="s" s="2">
        <v>17</v>
      </c>
      <c r="F6911" t="s" s="2">
        <f>HYPERLINK("http://ts.21cn.com/tousu/show/id/1365788","http://ts.21cn.com/tousu/show/id/1365788")</f>
      </c>
      <c r="G6911" t="s" s="2">
        <v>17</v>
      </c>
      <c r="H6911" t="s" s="2">
        <v>19</v>
      </c>
      <c r="I6911" t="s" s="2">
        <v>26741</v>
      </c>
      <c r="J6911" t="s" s="2">
        <v>26742</v>
      </c>
      <c r="K6911" t="s" s="2">
        <v>22</v>
      </c>
      <c r="L6911" t="s" s="2">
        <v>22</v>
      </c>
      <c r="M6911" t="s" s="2">
        <v>22</v>
      </c>
    </row>
    <row r="6912" ht="25.0" customHeight="true">
      <c r="A6912" t="s" s="2">
        <v>13</v>
      </c>
      <c r="B6912" t="s" s="2">
        <f>HYPERLINK("http://ts.21cn.com/tousu/show/id/1365786","饿了吗食品安全问题赔偿不合理")</f>
      </c>
      <c r="C6912" t="s" s="2">
        <v>15</v>
      </c>
      <c r="D6912" t="s" s="2">
        <v>16</v>
      </c>
      <c r="E6912" t="s" s="2">
        <v>17</v>
      </c>
      <c r="F6912" t="s" s="2">
        <f>HYPERLINK("http://ts.21cn.com/tousu/show/id/1365786","http://ts.21cn.com/tousu/show/id/1365786")</f>
      </c>
      <c r="G6912" t="s" s="2">
        <v>17</v>
      </c>
      <c r="H6912" t="s" s="2">
        <v>19</v>
      </c>
      <c r="I6912" t="s" s="2">
        <v>26745</v>
      </c>
      <c r="J6912" t="s" s="2">
        <v>26746</v>
      </c>
      <c r="K6912" t="s" s="2">
        <v>22</v>
      </c>
      <c r="L6912" t="s" s="2">
        <v>22</v>
      </c>
      <c r="M6912" t="s" s="2">
        <v>22</v>
      </c>
    </row>
    <row r="6913" ht="25.0" customHeight="true">
      <c r="A6913" t="s" s="2">
        <v>13</v>
      </c>
      <c r="B6913" t="s" s="2">
        <f>HYPERLINK("http://ts.21cn.com/tousu/show/id/1365785","京东白条外包催收公司态度恶劣威胁")</f>
      </c>
      <c r="C6913" t="s" s="2">
        <v>15</v>
      </c>
      <c r="D6913" t="s" s="2">
        <v>16</v>
      </c>
      <c r="E6913" t="s" s="2">
        <v>17</v>
      </c>
      <c r="F6913" t="s" s="2">
        <f>HYPERLINK("http://ts.21cn.com/tousu/show/id/1365785","http://ts.21cn.com/tousu/show/id/1365785")</f>
      </c>
      <c r="G6913" t="s" s="2">
        <v>17</v>
      </c>
      <c r="H6913" t="s" s="2">
        <v>19</v>
      </c>
      <c r="I6913" t="s" s="2">
        <v>26749</v>
      </c>
      <c r="J6913" t="s" s="2">
        <v>26750</v>
      </c>
      <c r="K6913" t="s" s="2">
        <v>22</v>
      </c>
      <c r="L6913" t="s" s="2">
        <v>22</v>
      </c>
      <c r="M6913" t="s" s="2">
        <v>22</v>
      </c>
    </row>
    <row r="6914" ht="25.0" customHeight="true">
      <c r="A6914" t="s" s="2">
        <v>13</v>
      </c>
      <c r="B6914" t="s" s="2">
        <f>HYPERLINK("http://ts.21cn.com/tousu/show/id/1365783","信用钱包提前还款要求减免一些")</f>
      </c>
      <c r="C6914" t="s" s="2">
        <v>52</v>
      </c>
      <c r="D6914" t="s" s="2">
        <v>16</v>
      </c>
      <c r="E6914" t="s" s="2">
        <v>17</v>
      </c>
      <c r="F6914" t="s" s="2">
        <f>HYPERLINK("http://ts.21cn.com/tousu/show/id/1365783","http://ts.21cn.com/tousu/show/id/1365783")</f>
      </c>
      <c r="G6914" t="s" s="2">
        <v>17</v>
      </c>
      <c r="H6914" t="s" s="2">
        <v>19</v>
      </c>
      <c r="I6914" t="s" s="2">
        <v>26753</v>
      </c>
      <c r="J6914" t="s" s="2">
        <v>26754</v>
      </c>
      <c r="K6914" t="s" s="2">
        <v>22</v>
      </c>
      <c r="L6914" t="s" s="2">
        <v>22</v>
      </c>
      <c r="M6914" t="s" s="2">
        <v>22</v>
      </c>
    </row>
    <row r="6915" ht="25.0" customHeight="true">
      <c r="A6915" t="s" s="2">
        <v>13</v>
      </c>
      <c r="B6915" t="s" s="2">
        <f>HYPERLINK("http://ts.21cn.com/tousu/show/id/1365781","乱意扣款")</f>
      </c>
      <c r="C6915" t="s" s="2">
        <v>15</v>
      </c>
      <c r="D6915" t="s" s="2">
        <v>16</v>
      </c>
      <c r="E6915" t="s" s="2">
        <v>17</v>
      </c>
      <c r="F6915" t="s" s="2">
        <f>HYPERLINK("http://ts.21cn.com/tousu/show/id/1365781","http://ts.21cn.com/tousu/show/id/1365781")</f>
      </c>
      <c r="G6915" t="s" s="2">
        <v>17</v>
      </c>
      <c r="H6915" t="s" s="2">
        <v>19</v>
      </c>
      <c r="I6915" t="s" s="2">
        <v>26757</v>
      </c>
      <c r="J6915" t="s" s="2">
        <v>26758</v>
      </c>
      <c r="K6915" t="s" s="2">
        <v>22</v>
      </c>
      <c r="L6915" t="s" s="2">
        <v>22</v>
      </c>
      <c r="M6915" t="s" s="2">
        <v>22</v>
      </c>
    </row>
    <row r="6916" ht="25.0" customHeight="true">
      <c r="A6916" t="s" s="2">
        <v>13</v>
      </c>
      <c r="B6916" t="s" s="2">
        <f>HYPERLINK("http://ts.21cn.com/tousu/show/id/1365780","闪管家停止骚扰，退还借款砍头息")</f>
      </c>
      <c r="C6916" t="s" s="2">
        <v>15</v>
      </c>
      <c r="D6916" t="s" s="2">
        <v>16</v>
      </c>
      <c r="E6916" t="s" s="2">
        <v>17</v>
      </c>
      <c r="F6916" t="s" s="2">
        <f>HYPERLINK("http://ts.21cn.com/tousu/show/id/1365780","http://ts.21cn.com/tousu/show/id/1365780")</f>
      </c>
      <c r="G6916" t="s" s="2">
        <v>17</v>
      </c>
      <c r="H6916" t="s" s="2">
        <v>19</v>
      </c>
      <c r="I6916" t="s" s="2">
        <v>26761</v>
      </c>
      <c r="J6916" t="s" s="2">
        <v>26762</v>
      </c>
      <c r="K6916" t="s" s="2">
        <v>22</v>
      </c>
      <c r="L6916" t="s" s="2">
        <v>22</v>
      </c>
      <c r="M6916" t="s" s="2">
        <v>22</v>
      </c>
    </row>
    <row r="6917" ht="25.0" customHeight="true">
      <c r="A6917" t="s" s="2">
        <v>13</v>
      </c>
      <c r="B6917" t="s" s="2">
        <f>HYPERLINK("http://ts.21cn.com/tousu/show/id/1365779","买买乐购套路贷")</f>
      </c>
      <c r="C6917" t="s" s="2">
        <v>15</v>
      </c>
      <c r="D6917" t="s" s="2">
        <v>16</v>
      </c>
      <c r="E6917" t="s" s="2">
        <v>17</v>
      </c>
      <c r="F6917" t="s" s="2">
        <f>HYPERLINK("http://ts.21cn.com/tousu/show/id/1365779","http://ts.21cn.com/tousu/show/id/1365779")</f>
      </c>
      <c r="G6917" t="s" s="2">
        <v>17</v>
      </c>
      <c r="H6917" t="s" s="2">
        <v>19</v>
      </c>
      <c r="I6917" t="s" s="2">
        <v>26765</v>
      </c>
      <c r="J6917" t="s" s="2">
        <v>26766</v>
      </c>
      <c r="K6917" t="s" s="2">
        <v>22</v>
      </c>
      <c r="L6917" t="s" s="2">
        <v>22</v>
      </c>
      <c r="M6917" t="s" s="2">
        <v>22</v>
      </c>
    </row>
    <row r="6918" ht="25.0" customHeight="true">
      <c r="A6918" t="s" s="2">
        <v>13</v>
      </c>
      <c r="B6918" t="s" s="2">
        <f>HYPERLINK("http://ts.21cn.com/tousu/show/id/1365778","投诉小黑鱼")</f>
      </c>
      <c r="C6918" t="s" s="2">
        <v>15</v>
      </c>
      <c r="D6918" t="s" s="2">
        <v>16</v>
      </c>
      <c r="E6918" t="s" s="2">
        <v>17</v>
      </c>
      <c r="F6918" t="s" s="2">
        <f>HYPERLINK("http://ts.21cn.com/tousu/show/id/1365778","http://ts.21cn.com/tousu/show/id/1365778")</f>
      </c>
      <c r="G6918" t="s" s="2">
        <v>17</v>
      </c>
      <c r="H6918" t="s" s="2">
        <v>19</v>
      </c>
      <c r="I6918" t="s" s="2">
        <v>26769</v>
      </c>
      <c r="J6918" t="s" s="2">
        <v>26770</v>
      </c>
      <c r="K6918" t="s" s="2">
        <v>22</v>
      </c>
      <c r="L6918" t="s" s="2">
        <v>22</v>
      </c>
      <c r="M6918" t="s" s="2">
        <v>22</v>
      </c>
    </row>
    <row r="6919" ht="25.0" customHeight="true">
      <c r="A6919" t="s" s="2">
        <v>13</v>
      </c>
      <c r="B6919" t="s" s="2">
        <f>HYPERLINK("http://ts.21cn.com/tousu/show/id/1298565","立马进钱属于套路贷而且账单还款日无法还款，导致用户逾期。")</f>
      </c>
      <c r="C6919" t="s" s="2">
        <v>15</v>
      </c>
      <c r="D6919" t="s" s="2">
        <v>16</v>
      </c>
      <c r="E6919" t="s" s="2">
        <v>17</v>
      </c>
      <c r="F6919" t="s" s="2">
        <f>HYPERLINK("http://ts.21cn.com/tousu/show/id/1298565","http://ts.21cn.com/tousu/show/id/1298565")</f>
      </c>
      <c r="G6919" t="s" s="2">
        <v>17</v>
      </c>
      <c r="H6919" t="s" s="2">
        <v>19</v>
      </c>
      <c r="I6919" t="s" s="2">
        <v>26773</v>
      </c>
      <c r="J6919" t="s" s="2">
        <v>26774</v>
      </c>
      <c r="K6919" t="s" s="2">
        <v>22</v>
      </c>
      <c r="L6919" t="s" s="2">
        <v>22</v>
      </c>
      <c r="M6919" t="s" s="2">
        <v>22</v>
      </c>
    </row>
    <row r="6920" ht="25.0" customHeight="true">
      <c r="A6920" t="s" s="2">
        <v>13</v>
      </c>
      <c r="B6920" t="s" s="2">
        <f>HYPERLINK("http://ts.21cn.com/tousu/show/id/1365774","白领贷不合理保险")</f>
      </c>
      <c r="C6920" t="s" s="2">
        <v>52</v>
      </c>
      <c r="D6920" t="s" s="2">
        <v>16</v>
      </c>
      <c r="E6920" t="s" s="2">
        <v>17</v>
      </c>
      <c r="F6920" t="s" s="2">
        <f>HYPERLINK("http://ts.21cn.com/tousu/show/id/1365774","http://ts.21cn.com/tousu/show/id/1365774")</f>
      </c>
      <c r="G6920" t="s" s="2">
        <v>17</v>
      </c>
      <c r="H6920" t="s" s="2">
        <v>19</v>
      </c>
      <c r="I6920" t="s" s="2">
        <v>26777</v>
      </c>
      <c r="J6920" t="s" s="2">
        <v>26778</v>
      </c>
      <c r="K6920" t="s" s="2">
        <v>22</v>
      </c>
      <c r="L6920" t="s" s="2">
        <v>22</v>
      </c>
      <c r="M6920" t="s" s="2">
        <v>22</v>
      </c>
    </row>
    <row r="6921" ht="25.0" customHeight="true">
      <c r="A6921" t="s" s="2">
        <v>13</v>
      </c>
      <c r="B6921" t="s" s="2">
        <f>HYPERLINK("http://ts.21cn.com/tousu/show/id/1365777","玖富万卡")</f>
      </c>
      <c r="C6921" t="s" s="2">
        <v>52</v>
      </c>
      <c r="D6921" t="s" s="2">
        <v>16</v>
      </c>
      <c r="E6921" t="s" s="2">
        <v>17</v>
      </c>
      <c r="F6921" t="s" s="2">
        <f>HYPERLINK("http://ts.21cn.com/tousu/show/id/1365777","http://ts.21cn.com/tousu/show/id/1365777")</f>
      </c>
      <c r="G6921" t="s" s="2">
        <v>17</v>
      </c>
      <c r="H6921" t="s" s="2">
        <v>19</v>
      </c>
      <c r="I6921" t="s" s="2">
        <v>26780</v>
      </c>
      <c r="J6921" t="s" s="2">
        <v>26781</v>
      </c>
      <c r="K6921" t="s" s="2">
        <v>22</v>
      </c>
      <c r="L6921" t="s" s="2">
        <v>22</v>
      </c>
      <c r="M6921" t="s" s="2">
        <v>22</v>
      </c>
    </row>
    <row r="6922" ht="25.0" customHeight="true">
      <c r="A6922" t="s" s="2">
        <v>13</v>
      </c>
      <c r="B6922" t="s" s="2">
        <f>HYPERLINK("http://ts.21cn.com/tousu/show/id/1365776","银行卡无缘无故被恶意扣款")</f>
      </c>
      <c r="C6922" t="s" s="2">
        <v>15</v>
      </c>
      <c r="D6922" t="s" s="2">
        <v>16</v>
      </c>
      <c r="E6922" t="s" s="2">
        <v>17</v>
      </c>
      <c r="F6922" t="s" s="2">
        <f>HYPERLINK("http://ts.21cn.com/tousu/show/id/1365776","http://ts.21cn.com/tousu/show/id/1365776")</f>
      </c>
      <c r="G6922" t="s" s="2">
        <v>17</v>
      </c>
      <c r="H6922" t="s" s="2">
        <v>19</v>
      </c>
      <c r="I6922" t="s" s="2">
        <v>26784</v>
      </c>
      <c r="J6922" t="s" s="2">
        <v>26785</v>
      </c>
      <c r="K6922" t="s" s="2">
        <v>22</v>
      </c>
      <c r="L6922" t="s" s="2">
        <v>22</v>
      </c>
      <c r="M6922" t="s" s="2">
        <v>22</v>
      </c>
    </row>
    <row r="6923" ht="25.0" customHeight="true">
      <c r="A6923" t="s" s="2">
        <v>13</v>
      </c>
      <c r="B6923" t="s" s="2">
        <f>HYPERLINK("http://ts.21cn.com/tousu/show/id/1365772","骚扰加威胁，严重扰乱正常生活")</f>
      </c>
      <c r="C6923" t="s" s="2">
        <v>15</v>
      </c>
      <c r="D6923" t="s" s="2">
        <v>16</v>
      </c>
      <c r="E6923" t="s" s="2">
        <v>17</v>
      </c>
      <c r="F6923" t="s" s="2">
        <f>HYPERLINK("http://ts.21cn.com/tousu/show/id/1365772","http://ts.21cn.com/tousu/show/id/1365772")</f>
      </c>
      <c r="G6923" t="s" s="2">
        <v>17</v>
      </c>
      <c r="H6923" t="s" s="2">
        <v>19</v>
      </c>
      <c r="I6923" t="s" s="2">
        <v>26788</v>
      </c>
      <c r="J6923" t="s" s="2">
        <v>26789</v>
      </c>
      <c r="K6923" t="s" s="2">
        <v>22</v>
      </c>
      <c r="L6923" t="s" s="2">
        <v>22</v>
      </c>
      <c r="M6923" t="s" s="2">
        <v>22</v>
      </c>
    </row>
    <row r="6924" ht="25.0" customHeight="true">
      <c r="A6924" t="s" s="2">
        <v>13</v>
      </c>
      <c r="B6924" t="s" s="2">
        <f>HYPERLINK("http://ts.21cn.com/tousu/show/id/1365775","心寒啊，我需要结清证明")</f>
      </c>
      <c r="C6924" t="s" s="2">
        <v>15</v>
      </c>
      <c r="D6924" t="s" s="2">
        <v>16</v>
      </c>
      <c r="E6924" t="s" s="2">
        <v>17</v>
      </c>
      <c r="F6924" t="s" s="2">
        <f>HYPERLINK("http://ts.21cn.com/tousu/show/id/1365775","http://ts.21cn.com/tousu/show/id/1365775")</f>
      </c>
      <c r="G6924" t="s" s="2">
        <v>17</v>
      </c>
      <c r="H6924" t="s" s="2">
        <v>19</v>
      </c>
      <c r="I6924" t="s" s="2">
        <v>26792</v>
      </c>
      <c r="J6924" t="s" s="2">
        <v>26793</v>
      </c>
      <c r="K6924" t="s" s="2">
        <v>22</v>
      </c>
      <c r="L6924" t="s" s="2">
        <v>22</v>
      </c>
      <c r="M6924" t="s" s="2">
        <v>22</v>
      </c>
    </row>
    <row r="6925" ht="25.0" customHeight="true">
      <c r="A6925" t="s" s="2">
        <v>13</v>
      </c>
      <c r="B6925" t="s" s="2">
        <f>HYPERLINK("http://ts.21cn.com/tousu/show/id/1365771","高利贷，恶意催收拒不沟通")</f>
      </c>
      <c r="C6925" t="s" s="2">
        <v>15</v>
      </c>
      <c r="D6925" t="s" s="2">
        <v>16</v>
      </c>
      <c r="E6925" t="s" s="2">
        <v>17</v>
      </c>
      <c r="F6925" t="s" s="2">
        <f>HYPERLINK("http://ts.21cn.com/tousu/show/id/1365771","http://ts.21cn.com/tousu/show/id/1365771")</f>
      </c>
      <c r="G6925" t="s" s="2">
        <v>17</v>
      </c>
      <c r="H6925" t="s" s="2">
        <v>19</v>
      </c>
      <c r="I6925" t="s" s="2">
        <v>26796</v>
      </c>
      <c r="J6925" t="s" s="2">
        <v>26797</v>
      </c>
      <c r="K6925" t="s" s="2">
        <v>22</v>
      </c>
      <c r="L6925" t="s" s="2">
        <v>22</v>
      </c>
      <c r="M6925" t="s" s="2">
        <v>22</v>
      </c>
    </row>
    <row r="6926" ht="25.0" customHeight="true">
      <c r="A6926" t="s" s="2">
        <v>13</v>
      </c>
      <c r="B6926" t="s" s="2">
        <f>HYPERLINK("http://ts.21cn.com/tousu/show/id/1365770","恶意扣款")</f>
      </c>
      <c r="C6926" t="s" s="2">
        <v>15</v>
      </c>
      <c r="D6926" t="s" s="2">
        <v>16</v>
      </c>
      <c r="E6926" t="s" s="2">
        <v>17</v>
      </c>
      <c r="F6926" t="s" s="2">
        <f>HYPERLINK("http://ts.21cn.com/tousu/show/id/1365770","http://ts.21cn.com/tousu/show/id/1365770")</f>
      </c>
      <c r="G6926" t="s" s="2">
        <v>17</v>
      </c>
      <c r="H6926" t="s" s="2">
        <v>19</v>
      </c>
      <c r="I6926" t="s" s="2">
        <v>26799</v>
      </c>
      <c r="J6926" t="s" s="2">
        <v>26800</v>
      </c>
      <c r="K6926" t="s" s="2">
        <v>22</v>
      </c>
      <c r="L6926" t="s" s="2">
        <v>22</v>
      </c>
      <c r="M6926" t="s" s="2">
        <v>22</v>
      </c>
    </row>
    <row r="6927" ht="25.0" customHeight="true">
      <c r="A6927" t="s" s="2">
        <v>13</v>
      </c>
      <c r="B6927" t="s" s="2">
        <f>HYPERLINK("http://ts.21cn.com/tousu/show/id/1365769","大麦网张杰演唱会取消不退钱")</f>
      </c>
      <c r="C6927" t="s" s="2">
        <v>52</v>
      </c>
      <c r="D6927" t="s" s="2">
        <v>16</v>
      </c>
      <c r="E6927" t="s" s="2">
        <v>17</v>
      </c>
      <c r="F6927" t="s" s="2">
        <f>HYPERLINK("http://ts.21cn.com/tousu/show/id/1365769","http://ts.21cn.com/tousu/show/id/1365769")</f>
      </c>
      <c r="G6927" t="s" s="2">
        <v>17</v>
      </c>
      <c r="H6927" t="s" s="2">
        <v>19</v>
      </c>
      <c r="I6927" t="s" s="2">
        <v>26803</v>
      </c>
      <c r="J6927" t="s" s="2">
        <v>26804</v>
      </c>
      <c r="K6927" t="s" s="2">
        <v>22</v>
      </c>
      <c r="L6927" t="s" s="2">
        <v>22</v>
      </c>
      <c r="M6927" t="s" s="2">
        <v>22</v>
      </c>
    </row>
    <row r="6928" ht="25.0" customHeight="true">
      <c r="A6928" t="s" s="2">
        <v>13</v>
      </c>
      <c r="B6928" t="s" s="2">
        <f>HYPERLINK("http://ts.21cn.com/tousu/show/id/1365768","快贷平台阻碍注销账户")</f>
      </c>
      <c r="C6928" t="s" s="2">
        <v>52</v>
      </c>
      <c r="D6928" t="s" s="2">
        <v>16</v>
      </c>
      <c r="E6928" t="s" s="2">
        <v>17</v>
      </c>
      <c r="F6928" t="s" s="2">
        <f>HYPERLINK("http://ts.21cn.com/tousu/show/id/1365768","http://ts.21cn.com/tousu/show/id/1365768")</f>
      </c>
      <c r="G6928" t="s" s="2">
        <v>17</v>
      </c>
      <c r="H6928" t="s" s="2">
        <v>19</v>
      </c>
      <c r="I6928" t="s" s="2">
        <v>26807</v>
      </c>
      <c r="J6928" t="s" s="2">
        <v>26808</v>
      </c>
      <c r="K6928" t="s" s="2">
        <v>22</v>
      </c>
      <c r="L6928" t="s" s="2">
        <v>22</v>
      </c>
      <c r="M6928" t="s" s="2">
        <v>22</v>
      </c>
    </row>
    <row r="6929" ht="25.0" customHeight="true">
      <c r="A6929" t="s" s="2">
        <v>13</v>
      </c>
      <c r="B6929" t="s" s="2">
        <f>HYPERLINK("http://ts.21cn.com/tousu/show/id/1365765","薪薪借钱恶意扣费")</f>
      </c>
      <c r="C6929" t="s" s="2">
        <v>15</v>
      </c>
      <c r="D6929" t="s" s="2">
        <v>16</v>
      </c>
      <c r="E6929" t="s" s="2">
        <v>17</v>
      </c>
      <c r="F6929" t="s" s="2">
        <f>HYPERLINK("http://ts.21cn.com/tousu/show/id/1365765","http://ts.21cn.com/tousu/show/id/1365765")</f>
      </c>
      <c r="G6929" t="s" s="2">
        <v>17</v>
      </c>
      <c r="H6929" t="s" s="2">
        <v>19</v>
      </c>
      <c r="I6929" t="s" s="2">
        <v>26810</v>
      </c>
      <c r="J6929" t="s" s="2">
        <v>26811</v>
      </c>
      <c r="K6929" t="s" s="2">
        <v>22</v>
      </c>
      <c r="L6929" t="s" s="2">
        <v>22</v>
      </c>
      <c r="M6929" t="s" s="2">
        <v>22</v>
      </c>
    </row>
    <row r="6930" ht="25.0" customHeight="true">
      <c r="A6930" t="s" s="2">
        <v>13</v>
      </c>
      <c r="B6930" t="s" s="2">
        <f>HYPERLINK("http://ts.21cn.com/tousu/show/id/1365767","聚福钱包扣款298.5元，不退还！")</f>
      </c>
      <c r="C6930" t="s" s="2">
        <v>15</v>
      </c>
      <c r="D6930" t="s" s="2">
        <v>16</v>
      </c>
      <c r="E6930" t="s" s="2">
        <v>17</v>
      </c>
      <c r="F6930" t="s" s="2">
        <f>HYPERLINK("http://ts.21cn.com/tousu/show/id/1365767","http://ts.21cn.com/tousu/show/id/1365767")</f>
      </c>
      <c r="G6930" t="s" s="2">
        <v>17</v>
      </c>
      <c r="H6930" t="s" s="2">
        <v>19</v>
      </c>
      <c r="I6930" t="s" s="2">
        <v>26814</v>
      </c>
      <c r="J6930" t="s" s="2">
        <v>26815</v>
      </c>
      <c r="K6930" t="s" s="2">
        <v>22</v>
      </c>
      <c r="L6930" t="s" s="2">
        <v>22</v>
      </c>
      <c r="M6930" t="s" s="2">
        <v>22</v>
      </c>
    </row>
    <row r="6931" ht="25.0" customHeight="true">
      <c r="A6931" t="s" s="2">
        <v>13</v>
      </c>
      <c r="B6931" t="s" s="2">
        <f>HYPERLINK("http://ts.21cn.com/tousu/show/id/1365766","平安银行恶意毁谤")</f>
      </c>
      <c r="C6931" t="s" s="2">
        <v>15</v>
      </c>
      <c r="D6931" t="s" s="2">
        <v>16</v>
      </c>
      <c r="E6931" t="s" s="2">
        <v>17</v>
      </c>
      <c r="F6931" t="s" s="2">
        <f>HYPERLINK("http://ts.21cn.com/tousu/show/id/1365766","http://ts.21cn.com/tousu/show/id/1365766")</f>
      </c>
      <c r="G6931" t="s" s="2">
        <v>17</v>
      </c>
      <c r="H6931" t="s" s="2">
        <v>19</v>
      </c>
      <c r="I6931" t="s" s="2">
        <v>26818</v>
      </c>
      <c r="J6931" t="s" s="2">
        <v>26819</v>
      </c>
      <c r="K6931" t="s" s="2">
        <v>22</v>
      </c>
      <c r="L6931" t="s" s="2">
        <v>22</v>
      </c>
      <c r="M6931" t="s" s="2">
        <v>22</v>
      </c>
    </row>
    <row r="6932" ht="25.0" customHeight="true">
      <c r="A6932" t="s" s="2">
        <v>13</v>
      </c>
      <c r="B6932" t="s" s="2">
        <f>HYPERLINK("http://ts.21cn.com/tousu/show/id/1365764","正合普惠要求强制结清暴力催收")</f>
      </c>
      <c r="C6932" t="s" s="2">
        <v>15</v>
      </c>
      <c r="D6932" t="s" s="2">
        <v>16</v>
      </c>
      <c r="E6932" t="s" s="2">
        <v>17</v>
      </c>
      <c r="F6932" t="s" s="2">
        <f>HYPERLINK("http://ts.21cn.com/tousu/show/id/1365764","http://ts.21cn.com/tousu/show/id/1365764")</f>
      </c>
      <c r="G6932" t="s" s="2">
        <v>17</v>
      </c>
      <c r="H6932" t="s" s="2">
        <v>19</v>
      </c>
      <c r="I6932" t="s" s="2">
        <v>26822</v>
      </c>
      <c r="J6932" t="s" s="2">
        <v>26823</v>
      </c>
      <c r="K6932" t="s" s="2">
        <v>22</v>
      </c>
      <c r="L6932" t="s" s="2">
        <v>22</v>
      </c>
      <c r="M6932" t="s" s="2">
        <v>22</v>
      </c>
    </row>
    <row r="6933" ht="25.0" customHeight="true">
      <c r="A6933" t="s" s="2">
        <v>13</v>
      </c>
      <c r="B6933" t="s" s="2">
        <f>HYPERLINK("http://ts.21cn.com/tousu/show/id/1365763","钱站高利贷阴阳合同恶意催收")</f>
      </c>
      <c r="C6933" t="s" s="2">
        <v>15</v>
      </c>
      <c r="D6933" t="s" s="2">
        <v>16</v>
      </c>
      <c r="E6933" t="s" s="2">
        <v>17</v>
      </c>
      <c r="F6933" t="s" s="2">
        <f>HYPERLINK("http://ts.21cn.com/tousu/show/id/1365763","http://ts.21cn.com/tousu/show/id/1365763")</f>
      </c>
      <c r="G6933" t="s" s="2">
        <v>17</v>
      </c>
      <c r="H6933" t="s" s="2">
        <v>19</v>
      </c>
      <c r="I6933" t="s" s="2">
        <v>26826</v>
      </c>
      <c r="J6933" t="s" s="2">
        <v>26827</v>
      </c>
      <c r="K6933" t="s" s="2">
        <v>22</v>
      </c>
      <c r="L6933" t="s" s="2">
        <v>22</v>
      </c>
      <c r="M6933" t="s" s="2">
        <v>22</v>
      </c>
    </row>
    <row r="6934" ht="25.0" customHeight="true">
      <c r="A6934" t="s" s="2">
        <v>13</v>
      </c>
      <c r="B6934" t="s" s="2">
        <f>HYPERLINK("http://ts.21cn.com/tousu/show/id/1365744","狗移动天天短信骚扰人")</f>
      </c>
      <c r="C6934" t="s" s="2">
        <v>15</v>
      </c>
      <c r="D6934" t="s" s="2">
        <v>16</v>
      </c>
      <c r="E6934" t="s" s="2">
        <v>17</v>
      </c>
      <c r="F6934" t="s" s="2">
        <f>HYPERLINK("http://ts.21cn.com/tousu/show/id/1365744","http://ts.21cn.com/tousu/show/id/1365744")</f>
      </c>
      <c r="G6934" t="s" s="2">
        <v>17</v>
      </c>
      <c r="H6934" t="s" s="2">
        <v>19</v>
      </c>
      <c r="I6934" t="s" s="2">
        <v>26830</v>
      </c>
      <c r="J6934" t="s" s="2">
        <v>26831</v>
      </c>
      <c r="K6934" t="s" s="2">
        <v>22</v>
      </c>
      <c r="L6934" t="s" s="2">
        <v>22</v>
      </c>
      <c r="M6934" t="s" s="2">
        <v>22</v>
      </c>
    </row>
    <row r="6935" ht="25.0" customHeight="true">
      <c r="A6935" t="s" s="2">
        <v>13</v>
      </c>
      <c r="B6935" t="s" s="2">
        <f>HYPERLINK("http://ts.21cn.com/tousu/show/id/1365760","暴力催收，骚扰亲朋好友")</f>
      </c>
      <c r="C6935" t="s" s="2">
        <v>15</v>
      </c>
      <c r="D6935" t="s" s="2">
        <v>16</v>
      </c>
      <c r="E6935" t="s" s="2">
        <v>17</v>
      </c>
      <c r="F6935" t="s" s="2">
        <f>HYPERLINK("http://ts.21cn.com/tousu/show/id/1365760","http://ts.21cn.com/tousu/show/id/1365760")</f>
      </c>
      <c r="G6935" t="s" s="2">
        <v>17</v>
      </c>
      <c r="H6935" t="s" s="2">
        <v>19</v>
      </c>
      <c r="I6935" t="s" s="2">
        <v>26833</v>
      </c>
      <c r="J6935" t="s" s="2">
        <v>26738</v>
      </c>
      <c r="K6935" t="s" s="2">
        <v>22</v>
      </c>
      <c r="L6935" t="s" s="2">
        <v>22</v>
      </c>
      <c r="M6935" t="s" s="2">
        <v>22</v>
      </c>
    </row>
    <row r="6936" ht="25.0" customHeight="true">
      <c r="A6936" t="s" s="2">
        <v>13</v>
      </c>
      <c r="B6936" t="s" s="2">
        <f>HYPERLINK("http://ts.21cn.com/tousu/show/id/1365759","暴力催收爆通讯录威胁恐吓")</f>
      </c>
      <c r="C6936" t="s" s="2">
        <v>15</v>
      </c>
      <c r="D6936" t="s" s="2">
        <v>16</v>
      </c>
      <c r="E6936" t="s" s="2">
        <v>17</v>
      </c>
      <c r="F6936" t="s" s="2">
        <f>HYPERLINK("http://ts.21cn.com/tousu/show/id/1365759","http://ts.21cn.com/tousu/show/id/1365759")</f>
      </c>
      <c r="G6936" t="s" s="2">
        <v>17</v>
      </c>
      <c r="H6936" t="s" s="2">
        <v>19</v>
      </c>
      <c r="I6936" t="s" s="2">
        <v>26836</v>
      </c>
      <c r="J6936" t="s" s="2">
        <v>26837</v>
      </c>
      <c r="K6936" t="s" s="2">
        <v>22</v>
      </c>
      <c r="L6936" t="s" s="2">
        <v>22</v>
      </c>
      <c r="M6936" t="s" s="2">
        <v>22</v>
      </c>
    </row>
    <row r="6937" ht="25.0" customHeight="true">
      <c r="A6937" t="s" s="2">
        <v>13</v>
      </c>
      <c r="B6937" t="s" s="2">
        <f>HYPERLINK("http://ts.21cn.com/tousu/show/id/1365701","瓜子二手车恶意影响消费者正常生活")</f>
      </c>
      <c r="C6937" t="s" s="2">
        <v>15</v>
      </c>
      <c r="D6937" t="s" s="2">
        <v>16</v>
      </c>
      <c r="E6937" t="s" s="2">
        <v>17</v>
      </c>
      <c r="F6937" t="s" s="2">
        <f>HYPERLINK("http://ts.21cn.com/tousu/show/id/1365701","http://ts.21cn.com/tousu/show/id/1365701")</f>
      </c>
      <c r="G6937" t="s" s="2">
        <v>17</v>
      </c>
      <c r="H6937" t="s" s="2">
        <v>19</v>
      </c>
      <c r="I6937" t="s" s="2">
        <v>26840</v>
      </c>
      <c r="J6937" t="s" s="2">
        <v>26841</v>
      </c>
      <c r="K6937" t="s" s="2">
        <v>22</v>
      </c>
      <c r="L6937" t="s" s="2">
        <v>22</v>
      </c>
      <c r="M6937" t="s" s="2">
        <v>22</v>
      </c>
    </row>
    <row r="6938" ht="25.0" customHeight="true">
      <c r="A6938" t="s" s="2">
        <v>13</v>
      </c>
      <c r="B6938" t="s" s="2">
        <f>HYPERLINK("http://ts.21cn.com/tousu/show/id/1365757","砍头息高利贷")</f>
      </c>
      <c r="C6938" t="s" s="2">
        <v>15</v>
      </c>
      <c r="D6938" t="s" s="2">
        <v>16</v>
      </c>
      <c r="E6938" t="s" s="2">
        <v>17</v>
      </c>
      <c r="F6938" t="s" s="2">
        <f>HYPERLINK("http://ts.21cn.com/tousu/show/id/1365757","http://ts.21cn.com/tousu/show/id/1365757")</f>
      </c>
      <c r="G6938" t="s" s="2">
        <v>17</v>
      </c>
      <c r="H6938" t="s" s="2">
        <v>19</v>
      </c>
      <c r="I6938" t="s" s="2">
        <v>26843</v>
      </c>
      <c r="J6938" t="s" s="2">
        <v>26844</v>
      </c>
      <c r="K6938" t="s" s="2">
        <v>22</v>
      </c>
      <c r="L6938" t="s" s="2">
        <v>22</v>
      </c>
      <c r="M6938" t="s" s="2">
        <v>22</v>
      </c>
    </row>
    <row r="6939" ht="25.0" customHeight="true">
      <c r="A6939" t="s" s="2">
        <v>13</v>
      </c>
      <c r="B6939" t="s" s="2">
        <f>HYPERLINK("http://ts.21cn.com/tousu/show/id/1365758","小米钱包存在欺诈行为")</f>
      </c>
      <c r="C6939" t="s" s="2">
        <v>15</v>
      </c>
      <c r="D6939" t="s" s="2">
        <v>16</v>
      </c>
      <c r="E6939" t="s" s="2">
        <v>17</v>
      </c>
      <c r="F6939" t="s" s="2">
        <f>HYPERLINK("http://ts.21cn.com/tousu/show/id/1365758","http://ts.21cn.com/tousu/show/id/1365758")</f>
      </c>
      <c r="G6939" t="s" s="2">
        <v>17</v>
      </c>
      <c r="H6939" t="s" s="2">
        <v>19</v>
      </c>
      <c r="I6939" t="s" s="2">
        <v>26847</v>
      </c>
      <c r="J6939" t="s" s="2">
        <v>26848</v>
      </c>
      <c r="K6939" t="s" s="2">
        <v>22</v>
      </c>
      <c r="L6939" t="s" s="2">
        <v>22</v>
      </c>
      <c r="M6939" t="s" s="2">
        <v>22</v>
      </c>
    </row>
    <row r="6940" ht="25.0" customHeight="true">
      <c r="A6940" t="s" s="2">
        <v>13</v>
      </c>
      <c r="B6940" t="s" s="2">
        <f>HYPERLINK("http://ts.21cn.com/tousu/show/id/1365756","你我贷")</f>
      </c>
      <c r="C6940" t="s" s="2">
        <v>52</v>
      </c>
      <c r="D6940" t="s" s="2">
        <v>16</v>
      </c>
      <c r="E6940" t="s" s="2">
        <v>17</v>
      </c>
      <c r="F6940" t="s" s="2">
        <f>HYPERLINK("http://ts.21cn.com/tousu/show/id/1365756","http://ts.21cn.com/tousu/show/id/1365756")</f>
      </c>
      <c r="G6940" t="s" s="2">
        <v>17</v>
      </c>
      <c r="H6940" t="s" s="2">
        <v>19</v>
      </c>
      <c r="I6940" t="s" s="2">
        <v>26850</v>
      </c>
      <c r="J6940" t="s" s="2">
        <v>26851</v>
      </c>
      <c r="K6940" t="s" s="2">
        <v>22</v>
      </c>
      <c r="L6940" t="s" s="2">
        <v>22</v>
      </c>
      <c r="M6940" t="s" s="2">
        <v>22</v>
      </c>
    </row>
    <row r="6941" ht="25.0" customHeight="true">
      <c r="A6941" t="s" s="2">
        <v>13</v>
      </c>
      <c r="B6941" t="s" s="2">
        <f>HYPERLINK("http://ts.21cn.com/tousu/show/id/1365755","你我贷高利贷暴力威胁催收")</f>
      </c>
      <c r="C6941" t="s" s="2">
        <v>15</v>
      </c>
      <c r="D6941" t="s" s="2">
        <v>16</v>
      </c>
      <c r="E6941" t="s" s="2">
        <v>17</v>
      </c>
      <c r="F6941" t="s" s="2">
        <f>HYPERLINK("http://ts.21cn.com/tousu/show/id/1365755","http://ts.21cn.com/tousu/show/id/1365755")</f>
      </c>
      <c r="G6941" t="s" s="2">
        <v>17</v>
      </c>
      <c r="H6941" t="s" s="2">
        <v>19</v>
      </c>
      <c r="I6941" t="s" s="2">
        <v>26854</v>
      </c>
      <c r="J6941" t="s" s="2">
        <v>26855</v>
      </c>
      <c r="K6941" t="s" s="2">
        <v>22</v>
      </c>
      <c r="L6941" t="s" s="2">
        <v>22</v>
      </c>
      <c r="M6941" t="s" s="2">
        <v>22</v>
      </c>
    </row>
    <row r="6942" ht="25.0" customHeight="true">
      <c r="A6942" t="s" s="2">
        <v>13</v>
      </c>
      <c r="B6942" t="s" s="2">
        <f>HYPERLINK("http://ts.21cn.com/tousu/show/id/1365754","得仕杉德为境外博彩网站提供充值通道")</f>
      </c>
      <c r="C6942" t="s" s="2">
        <v>15</v>
      </c>
      <c r="D6942" t="s" s="2">
        <v>16</v>
      </c>
      <c r="E6942" t="s" s="2">
        <v>17</v>
      </c>
      <c r="F6942" t="s" s="2">
        <f>HYPERLINK("http://ts.21cn.com/tousu/show/id/1365754","http://ts.21cn.com/tousu/show/id/1365754")</f>
      </c>
      <c r="G6942" t="s" s="2">
        <v>17</v>
      </c>
      <c r="H6942" t="s" s="2">
        <v>19</v>
      </c>
      <c r="I6942" t="s" s="2">
        <v>26858</v>
      </c>
      <c r="J6942" t="s" s="2">
        <v>26859</v>
      </c>
      <c r="K6942" t="s" s="2">
        <v>22</v>
      </c>
      <c r="L6942" t="s" s="2">
        <v>22</v>
      </c>
      <c r="M6942" t="s" s="2">
        <v>22</v>
      </c>
    </row>
    <row r="6943" ht="25.0" customHeight="true">
      <c r="A6943" t="s" s="2">
        <v>13</v>
      </c>
      <c r="B6943" t="s" s="2">
        <f>HYPERLINK("http://ts.21cn.com/tousu/show/id/1365753","京东白条威胁性催收")</f>
      </c>
      <c r="C6943" t="s" s="2">
        <v>15</v>
      </c>
      <c r="D6943" t="s" s="2">
        <v>16</v>
      </c>
      <c r="E6943" t="s" s="2">
        <v>17</v>
      </c>
      <c r="F6943" t="s" s="2">
        <f>HYPERLINK("http://ts.21cn.com/tousu/show/id/1365753","http://ts.21cn.com/tousu/show/id/1365753")</f>
      </c>
      <c r="G6943" t="s" s="2">
        <v>17</v>
      </c>
      <c r="H6943" t="s" s="2">
        <v>19</v>
      </c>
      <c r="I6943" t="s" s="2">
        <v>26862</v>
      </c>
      <c r="J6943" t="s" s="2">
        <v>26863</v>
      </c>
      <c r="K6943" t="s" s="2">
        <v>22</v>
      </c>
      <c r="L6943" t="s" s="2">
        <v>22</v>
      </c>
      <c r="M6943" t="s" s="2">
        <v>22</v>
      </c>
    </row>
    <row r="6944" ht="25.0" customHeight="true">
      <c r="A6944" t="s" s="2">
        <v>13</v>
      </c>
      <c r="B6944" t="s" s="2">
        <f>HYPERLINK("http://ts.21cn.com/tousu/show/id/1365752","乱扣费用")</f>
      </c>
      <c r="C6944" t="s" s="2">
        <v>15</v>
      </c>
      <c r="D6944" t="s" s="2">
        <v>16</v>
      </c>
      <c r="E6944" t="s" s="2">
        <v>17</v>
      </c>
      <c r="F6944" t="s" s="2">
        <f>HYPERLINK("http://ts.21cn.com/tousu/show/id/1365752","http://ts.21cn.com/tousu/show/id/1365752")</f>
      </c>
      <c r="G6944" t="s" s="2">
        <v>17</v>
      </c>
      <c r="H6944" t="s" s="2">
        <v>19</v>
      </c>
      <c r="I6944" t="s" s="2">
        <v>26866</v>
      </c>
      <c r="J6944" t="s" s="2">
        <v>26867</v>
      </c>
      <c r="K6944" t="s" s="2">
        <v>22</v>
      </c>
      <c r="L6944" t="s" s="2">
        <v>22</v>
      </c>
      <c r="M6944" t="s" s="2">
        <v>22</v>
      </c>
    </row>
    <row r="6945" ht="25.0" customHeight="true">
      <c r="A6945" t="s" s="2">
        <v>13</v>
      </c>
      <c r="B6945" t="s" s="2">
        <f>HYPERLINK("http://ts.21cn.com/tousu/show/id/1365632","被投诉对象认定为低价而遭知识产权投诉")</f>
      </c>
      <c r="C6945" t="s" s="2">
        <v>15</v>
      </c>
      <c r="D6945" t="s" s="2">
        <v>16</v>
      </c>
      <c r="E6945" t="s" s="2">
        <v>17</v>
      </c>
      <c r="F6945" t="s" s="2">
        <f>HYPERLINK("http://ts.21cn.com/tousu/show/id/1365632","http://ts.21cn.com/tousu/show/id/1365632")</f>
      </c>
      <c r="G6945" t="s" s="2">
        <v>17</v>
      </c>
      <c r="H6945" t="s" s="2">
        <v>19</v>
      </c>
      <c r="I6945" t="s" s="2">
        <v>26870</v>
      </c>
      <c r="J6945" t="s" s="2">
        <v>26871</v>
      </c>
      <c r="K6945" t="s" s="2">
        <v>22</v>
      </c>
      <c r="L6945" t="s" s="2">
        <v>22</v>
      </c>
      <c r="M6945" t="s" s="2">
        <v>22</v>
      </c>
    </row>
    <row r="6946" ht="25.0" customHeight="true">
      <c r="A6946" t="s" s="2">
        <v>13</v>
      </c>
      <c r="B6946" t="s" s="2">
        <f>HYPERLINK("http://ts.21cn.com/tousu/show/id/1365749","钱橙无忧未经客户同意随意扣费")</f>
      </c>
      <c r="C6946" t="s" s="2">
        <v>15</v>
      </c>
      <c r="D6946" t="s" s="2">
        <v>16</v>
      </c>
      <c r="E6946" t="s" s="2">
        <v>17</v>
      </c>
      <c r="F6946" t="s" s="2">
        <f>HYPERLINK("http://ts.21cn.com/tousu/show/id/1365749","http://ts.21cn.com/tousu/show/id/1365749")</f>
      </c>
      <c r="G6946" t="s" s="2">
        <v>17</v>
      </c>
      <c r="H6946" t="s" s="2">
        <v>19</v>
      </c>
      <c r="I6946" t="s" s="2">
        <v>26874</v>
      </c>
      <c r="J6946" t="s" s="2">
        <v>26875</v>
      </c>
      <c r="K6946" t="s" s="2">
        <v>22</v>
      </c>
      <c r="L6946" t="s" s="2">
        <v>22</v>
      </c>
      <c r="M6946" t="s" s="2">
        <v>22</v>
      </c>
    </row>
    <row r="6947" ht="25.0" customHeight="true">
      <c r="A6947" t="s" s="2">
        <v>13</v>
      </c>
      <c r="B6947" t="s" s="2">
        <f>HYPERLINK("http://ts.21cn.com/tousu/show/id/1365750","李万一欠款，发短信到我手机上面，致电客服说会反馈专员与我联系，专员否认有这么一个客户叫李万一")</f>
      </c>
      <c r="C6947" t="s" s="2">
        <v>15</v>
      </c>
      <c r="D6947" t="s" s="2">
        <v>16</v>
      </c>
      <c r="E6947" t="s" s="2">
        <v>17</v>
      </c>
      <c r="F6947" t="s" s="2">
        <f>HYPERLINK("http://ts.21cn.com/tousu/show/id/1365750","http://ts.21cn.com/tousu/show/id/1365750")</f>
      </c>
      <c r="G6947" t="s" s="2">
        <v>17</v>
      </c>
      <c r="H6947" t="s" s="2">
        <v>19</v>
      </c>
      <c r="I6947" t="s" s="2">
        <v>26878</v>
      </c>
      <c r="J6947" t="s" s="2">
        <v>26879</v>
      </c>
      <c r="K6947" t="s" s="2">
        <v>22</v>
      </c>
      <c r="L6947" t="s" s="2">
        <v>22</v>
      </c>
      <c r="M6947" t="s" s="2">
        <v>22</v>
      </c>
    </row>
    <row r="6948" ht="25.0" customHeight="true">
      <c r="A6948" t="s" s="2">
        <v>13</v>
      </c>
      <c r="B6948" t="s" s="2">
        <f>HYPERLINK("http://ts.21cn.com/tousu/show/id/1365748","微粒贷外包催贷公司骚扰工作单位")</f>
      </c>
      <c r="C6948" t="s" s="2">
        <v>15</v>
      </c>
      <c r="D6948" t="s" s="2">
        <v>16</v>
      </c>
      <c r="E6948" t="s" s="2">
        <v>17</v>
      </c>
      <c r="F6948" t="s" s="2">
        <f>HYPERLINK("http://ts.21cn.com/tousu/show/id/1365748","http://ts.21cn.com/tousu/show/id/1365748")</f>
      </c>
      <c r="G6948" t="s" s="2">
        <v>17</v>
      </c>
      <c r="H6948" t="s" s="2">
        <v>19</v>
      </c>
      <c r="I6948" t="s" s="2">
        <v>26882</v>
      </c>
      <c r="J6948" t="s" s="2">
        <v>26883</v>
      </c>
      <c r="K6948" t="s" s="2">
        <v>22</v>
      </c>
      <c r="L6948" t="s" s="2">
        <v>22</v>
      </c>
      <c r="M6948" t="s" s="2">
        <v>22</v>
      </c>
    </row>
    <row r="6949" ht="25.0" customHeight="true">
      <c r="A6949" t="s" s="2">
        <v>13</v>
      </c>
      <c r="B6949" t="s" s="2">
        <f>HYPERLINK("http://ts.21cn.com/tousu/show/id/1365747","众安保险在投保人不知情的情况捆绑销售保险")</f>
      </c>
      <c r="C6949" t="s" s="2">
        <v>15</v>
      </c>
      <c r="D6949" t="s" s="2">
        <v>16</v>
      </c>
      <c r="E6949" t="s" s="2">
        <v>17</v>
      </c>
      <c r="F6949" t="s" s="2">
        <f>HYPERLINK("http://ts.21cn.com/tousu/show/id/1365747","http://ts.21cn.com/tousu/show/id/1365747")</f>
      </c>
      <c r="G6949" t="s" s="2">
        <v>17</v>
      </c>
      <c r="H6949" t="s" s="2">
        <v>19</v>
      </c>
      <c r="I6949" t="s" s="2">
        <v>26885</v>
      </c>
      <c r="J6949" t="s" s="2">
        <v>26886</v>
      </c>
      <c r="K6949" t="s" s="2">
        <v>22</v>
      </c>
      <c r="L6949" t="s" s="2">
        <v>22</v>
      </c>
      <c r="M6949" t="s" s="2">
        <v>22</v>
      </c>
    </row>
    <row r="6950" ht="25.0" customHeight="true">
      <c r="A6950" t="s" s="2">
        <v>13</v>
      </c>
      <c r="B6950" t="s" s="2">
        <f>HYPERLINK("http://ts.21cn.com/tousu/show/id/1365742","易安保险联合高利贷捆绑销售保险")</f>
      </c>
      <c r="C6950" t="s" s="2">
        <v>15</v>
      </c>
      <c r="D6950" t="s" s="2">
        <v>16</v>
      </c>
      <c r="E6950" t="s" s="2">
        <v>17</v>
      </c>
      <c r="F6950" t="s" s="2">
        <f>HYPERLINK("http://ts.21cn.com/tousu/show/id/1365742","http://ts.21cn.com/tousu/show/id/1365742")</f>
      </c>
      <c r="G6950" t="s" s="2">
        <v>17</v>
      </c>
      <c r="H6950" t="s" s="2">
        <v>19</v>
      </c>
      <c r="I6950" t="s" s="2">
        <v>26889</v>
      </c>
      <c r="J6950" t="s" s="2">
        <v>26890</v>
      </c>
      <c r="K6950" t="s" s="2">
        <v>22</v>
      </c>
      <c r="L6950" t="s" s="2">
        <v>22</v>
      </c>
      <c r="M6950" t="s" s="2">
        <v>22</v>
      </c>
    </row>
    <row r="6951" ht="25.0" customHeight="true">
      <c r="A6951" t="s" s="2">
        <v>13</v>
      </c>
      <c r="B6951" t="s" s="2">
        <f>HYPERLINK("http://ts.21cn.com/tousu/show/id/1365743","收取高额服务费")</f>
      </c>
      <c r="C6951" t="s" s="2">
        <v>52</v>
      </c>
      <c r="D6951" t="s" s="2">
        <v>16</v>
      </c>
      <c r="E6951" t="s" s="2">
        <v>17</v>
      </c>
      <c r="F6951" t="s" s="2">
        <f>HYPERLINK("http://ts.21cn.com/tousu/show/id/1365743","http://ts.21cn.com/tousu/show/id/1365743")</f>
      </c>
      <c r="G6951" t="s" s="2">
        <v>17</v>
      </c>
      <c r="H6951" t="s" s="2">
        <v>19</v>
      </c>
      <c r="I6951" t="s" s="2">
        <v>26893</v>
      </c>
      <c r="J6951" t="s" s="2">
        <v>26894</v>
      </c>
      <c r="K6951" t="s" s="2">
        <v>22</v>
      </c>
      <c r="L6951" t="s" s="2">
        <v>22</v>
      </c>
      <c r="M6951" t="s" s="2">
        <v>22</v>
      </c>
    </row>
    <row r="6952" ht="25.0" customHeight="true">
      <c r="A6952" t="s" s="2">
        <v>13</v>
      </c>
      <c r="B6952" t="s" s="2">
        <f>HYPERLINK("http://ts.21cn.com/tousu/show/id/1365740","樱桃小借套路贷，高额砍头息，巨额逾期费")</f>
      </c>
      <c r="C6952" t="s" s="2">
        <v>15</v>
      </c>
      <c r="D6952" t="s" s="2">
        <v>16</v>
      </c>
      <c r="E6952" t="s" s="2">
        <v>17</v>
      </c>
      <c r="F6952" t="s" s="2">
        <f>HYPERLINK("http://ts.21cn.com/tousu/show/id/1365740","http://ts.21cn.com/tousu/show/id/1365740")</f>
      </c>
      <c r="G6952" t="s" s="2">
        <v>17</v>
      </c>
      <c r="H6952" t="s" s="2">
        <v>19</v>
      </c>
      <c r="I6952" t="s" s="2">
        <v>26897</v>
      </c>
      <c r="J6952" t="s" s="2">
        <v>26898</v>
      </c>
      <c r="K6952" t="s" s="2">
        <v>22</v>
      </c>
      <c r="L6952" t="s" s="2">
        <v>22</v>
      </c>
      <c r="M6952" t="s" s="2">
        <v>22</v>
      </c>
    </row>
    <row r="6953" ht="25.0" customHeight="true">
      <c r="A6953" t="s" s="2">
        <v>13</v>
      </c>
      <c r="B6953" t="s" s="2">
        <f>HYPERLINK("http://ts.21cn.com/tousu/show/id/1365739","新网银行自己的问题，造成逾期，推卸责任")</f>
      </c>
      <c r="C6953" t="s" s="2">
        <v>15</v>
      </c>
      <c r="D6953" t="s" s="2">
        <v>16</v>
      </c>
      <c r="E6953" t="s" s="2">
        <v>17</v>
      </c>
      <c r="F6953" t="s" s="2">
        <f>HYPERLINK("http://ts.21cn.com/tousu/show/id/1365739","http://ts.21cn.com/tousu/show/id/1365739")</f>
      </c>
      <c r="G6953" t="s" s="2">
        <v>17</v>
      </c>
      <c r="H6953" t="s" s="2">
        <v>19</v>
      </c>
      <c r="I6953" t="s" s="2">
        <v>26901</v>
      </c>
      <c r="J6953" t="s" s="2">
        <v>26902</v>
      </c>
      <c r="K6953" t="s" s="2">
        <v>22</v>
      </c>
      <c r="L6953" t="s" s="2">
        <v>22</v>
      </c>
      <c r="M6953" t="s" s="2">
        <v>22</v>
      </c>
    </row>
    <row r="6954" ht="25.0" customHeight="true">
      <c r="A6954" t="s" s="2">
        <v>13</v>
      </c>
      <c r="B6954" t="s" s="2">
        <f>HYPERLINK("http://ts.21cn.com/tousu/show/id/1365665","玖富万卡高利贷，阴阳合同")</f>
      </c>
      <c r="C6954" t="s" s="2">
        <v>15</v>
      </c>
      <c r="D6954" t="s" s="2">
        <v>16</v>
      </c>
      <c r="E6954" t="s" s="2">
        <v>17</v>
      </c>
      <c r="F6954" t="s" s="2">
        <f>HYPERLINK("http://ts.21cn.com/tousu/show/id/1365665","http://ts.21cn.com/tousu/show/id/1365665")</f>
      </c>
      <c r="G6954" t="s" s="2">
        <v>17</v>
      </c>
      <c r="H6954" t="s" s="2">
        <v>19</v>
      </c>
      <c r="I6954" t="s" s="2">
        <v>26904</v>
      </c>
      <c r="J6954" t="s" s="2">
        <v>26905</v>
      </c>
      <c r="K6954" t="s" s="2">
        <v>22</v>
      </c>
      <c r="L6954" t="s" s="2">
        <v>22</v>
      </c>
      <c r="M6954" t="s" s="2">
        <v>22</v>
      </c>
    </row>
    <row r="6955" ht="25.0" customHeight="true">
      <c r="A6955" t="s" s="2">
        <v>13</v>
      </c>
      <c r="B6955" t="s" s="2">
        <f>HYPERLINK("http://ts.21cn.com/tousu/show/id/1365737","小花钱包逾期暴力催收")</f>
      </c>
      <c r="C6955" t="s" s="2">
        <v>15</v>
      </c>
      <c r="D6955" t="s" s="2">
        <v>16</v>
      </c>
      <c r="E6955" t="s" s="2">
        <v>17</v>
      </c>
      <c r="F6955" t="s" s="2">
        <f>HYPERLINK("http://ts.21cn.com/tousu/show/id/1365737","http://ts.21cn.com/tousu/show/id/1365737")</f>
      </c>
      <c r="G6955" t="s" s="2">
        <v>17</v>
      </c>
      <c r="H6955" t="s" s="2">
        <v>19</v>
      </c>
      <c r="I6955" t="s" s="2">
        <v>26908</v>
      </c>
      <c r="J6955" t="s" s="2">
        <v>26909</v>
      </c>
      <c r="K6955" t="s" s="2">
        <v>22</v>
      </c>
      <c r="L6955" t="s" s="2">
        <v>22</v>
      </c>
      <c r="M6955" t="s" s="2">
        <v>22</v>
      </c>
    </row>
    <row r="6956" ht="25.0" customHeight="true">
      <c r="A6956" t="s" s="2">
        <v>13</v>
      </c>
      <c r="B6956" t="s" s="2">
        <f>HYPERLINK("http://ts.21cn.com/tousu/show/id/1365738","兴业信用卡暴力催收")</f>
      </c>
      <c r="C6956" t="s" s="2">
        <v>15</v>
      </c>
      <c r="D6956" t="s" s="2">
        <v>16</v>
      </c>
      <c r="E6956" t="s" s="2">
        <v>17</v>
      </c>
      <c r="F6956" t="s" s="2">
        <f>HYPERLINK("http://ts.21cn.com/tousu/show/id/1365738","http://ts.21cn.com/tousu/show/id/1365738")</f>
      </c>
      <c r="G6956" t="s" s="2">
        <v>17</v>
      </c>
      <c r="H6956" t="s" s="2">
        <v>19</v>
      </c>
      <c r="I6956" t="s" s="2">
        <v>26912</v>
      </c>
      <c r="J6956" t="s" s="2">
        <v>26913</v>
      </c>
      <c r="K6956" t="s" s="2">
        <v>22</v>
      </c>
      <c r="L6956" t="s" s="2">
        <v>22</v>
      </c>
      <c r="M6956" t="s" s="2">
        <v>22</v>
      </c>
    </row>
    <row r="6957" ht="25.0" customHeight="true">
      <c r="A6957" t="s" s="2">
        <v>13</v>
      </c>
      <c r="B6957" t="s" s="2">
        <f>HYPERLINK("http://ts.21cn.com/tousu/show/id/1365736","钱站高利贷阴阳合同")</f>
      </c>
      <c r="C6957" t="s" s="2">
        <v>15</v>
      </c>
      <c r="D6957" t="s" s="2">
        <v>16</v>
      </c>
      <c r="E6957" t="s" s="2">
        <v>17</v>
      </c>
      <c r="F6957" t="s" s="2">
        <f>HYPERLINK("http://ts.21cn.com/tousu/show/id/1365736","http://ts.21cn.com/tousu/show/id/1365736")</f>
      </c>
      <c r="G6957" t="s" s="2">
        <v>17</v>
      </c>
      <c r="H6957" t="s" s="2">
        <v>19</v>
      </c>
      <c r="I6957" t="s" s="2">
        <v>26915</v>
      </c>
      <c r="J6957" t="s" s="2">
        <v>26916</v>
      </c>
      <c r="K6957" t="s" s="2">
        <v>22</v>
      </c>
      <c r="L6957" t="s" s="2">
        <v>22</v>
      </c>
      <c r="M6957" t="s" s="2">
        <v>22</v>
      </c>
    </row>
    <row r="6958" ht="25.0" customHeight="true">
      <c r="A6958" t="s" s="2">
        <v>13</v>
      </c>
      <c r="B6958" t="s" s="2">
        <f>HYPERLINK("http://ts.21cn.com/tousu/show/id/1365735","投诉度小满金融")</f>
      </c>
      <c r="C6958" t="s" s="2">
        <v>15</v>
      </c>
      <c r="D6958" t="s" s="2">
        <v>16</v>
      </c>
      <c r="E6958" t="s" s="2">
        <v>17</v>
      </c>
      <c r="F6958" t="s" s="2">
        <f>HYPERLINK("http://ts.21cn.com/tousu/show/id/1365735","http://ts.21cn.com/tousu/show/id/1365735")</f>
      </c>
      <c r="G6958" t="s" s="2">
        <v>17</v>
      </c>
      <c r="H6958" t="s" s="2">
        <v>19</v>
      </c>
      <c r="I6958" t="s" s="2">
        <v>26919</v>
      </c>
      <c r="J6958" t="s" s="2">
        <v>26920</v>
      </c>
      <c r="K6958" t="s" s="2">
        <v>22</v>
      </c>
      <c r="L6958" t="s" s="2">
        <v>22</v>
      </c>
      <c r="M6958" t="s" s="2">
        <v>22</v>
      </c>
    </row>
    <row r="6959" ht="25.0" customHeight="true">
      <c r="A6959" t="s" s="2">
        <v>13</v>
      </c>
      <c r="B6959" t="s" s="2">
        <f>HYPERLINK("http://ts.21cn.com/tousu/show/id/1365733","信用钱包骚扰家人")</f>
      </c>
      <c r="C6959" t="s" s="2">
        <v>15</v>
      </c>
      <c r="D6959" t="s" s="2">
        <v>16</v>
      </c>
      <c r="E6959" t="s" s="2">
        <v>17</v>
      </c>
      <c r="F6959" t="s" s="2">
        <f>HYPERLINK("http://ts.21cn.com/tousu/show/id/1365733","http://ts.21cn.com/tousu/show/id/1365733")</f>
      </c>
      <c r="G6959" t="s" s="2">
        <v>17</v>
      </c>
      <c r="H6959" t="s" s="2">
        <v>19</v>
      </c>
      <c r="I6959" t="s" s="2">
        <v>26923</v>
      </c>
      <c r="J6959" t="s" s="2">
        <v>26924</v>
      </c>
      <c r="K6959" t="s" s="2">
        <v>22</v>
      </c>
      <c r="L6959" t="s" s="2">
        <v>22</v>
      </c>
      <c r="M6959" t="s" s="2">
        <v>22</v>
      </c>
    </row>
    <row r="6960" ht="25.0" customHeight="true">
      <c r="A6960" t="s" s="2">
        <v>13</v>
      </c>
      <c r="B6960" t="s" s="2">
        <f>HYPERLINK("http://ts.21cn.com/tousu/show/id/1365734","通联支付，分付君恶意扣款")</f>
      </c>
      <c r="C6960" t="s" s="2">
        <v>15</v>
      </c>
      <c r="D6960" t="s" s="2">
        <v>16</v>
      </c>
      <c r="E6960" t="s" s="2">
        <v>17</v>
      </c>
      <c r="F6960" t="s" s="2">
        <f>HYPERLINK("http://ts.21cn.com/tousu/show/id/1365734","http://ts.21cn.com/tousu/show/id/1365734")</f>
      </c>
      <c r="G6960" t="s" s="2">
        <v>17</v>
      </c>
      <c r="H6960" t="s" s="2">
        <v>19</v>
      </c>
      <c r="I6960" t="s" s="2">
        <v>26927</v>
      </c>
      <c r="J6960" t="s" s="2">
        <v>26928</v>
      </c>
      <c r="K6960" t="s" s="2">
        <v>22</v>
      </c>
      <c r="L6960" t="s" s="2">
        <v>22</v>
      </c>
      <c r="M6960" t="s" s="2">
        <v>22</v>
      </c>
    </row>
    <row r="6961" ht="25.0" customHeight="true">
      <c r="A6961" t="s" s="2">
        <v>13</v>
      </c>
      <c r="B6961" t="s" s="2">
        <f>HYPERLINK("http://ts.21cn.com/tousu/show/id/1365730","不能提前结清，借款利息高于24%")</f>
      </c>
      <c r="C6961" t="s" s="2">
        <v>15</v>
      </c>
      <c r="D6961" t="s" s="2">
        <v>16</v>
      </c>
      <c r="E6961" t="s" s="2">
        <v>17</v>
      </c>
      <c r="F6961" t="s" s="2">
        <f>HYPERLINK("http://ts.21cn.com/tousu/show/id/1365730","http://ts.21cn.com/tousu/show/id/1365730")</f>
      </c>
      <c r="G6961" t="s" s="2">
        <v>17</v>
      </c>
      <c r="H6961" t="s" s="2">
        <v>19</v>
      </c>
      <c r="I6961" t="s" s="2">
        <v>26931</v>
      </c>
      <c r="J6961" t="s" s="2">
        <v>26932</v>
      </c>
      <c r="K6961" t="s" s="2">
        <v>22</v>
      </c>
      <c r="L6961" t="s" s="2">
        <v>22</v>
      </c>
      <c r="M6961" t="s" s="2">
        <v>22</v>
      </c>
    </row>
    <row r="6962" ht="25.0" customHeight="true">
      <c r="A6962" t="s" s="2">
        <v>13</v>
      </c>
      <c r="B6962" t="s" s="2">
        <f>HYPERLINK("http://ts.21cn.com/tousu/show/id/1365729","宜信普惠恶意催收")</f>
      </c>
      <c r="C6962" t="s" s="2">
        <v>15</v>
      </c>
      <c r="D6962" t="s" s="2">
        <v>16</v>
      </c>
      <c r="E6962" t="s" s="2">
        <v>17</v>
      </c>
      <c r="F6962" t="s" s="2">
        <f>HYPERLINK("http://ts.21cn.com/tousu/show/id/1365729","http://ts.21cn.com/tousu/show/id/1365729")</f>
      </c>
      <c r="G6962" t="s" s="2">
        <v>17</v>
      </c>
      <c r="H6962" t="s" s="2">
        <v>19</v>
      </c>
      <c r="I6962" t="s" s="2">
        <v>26935</v>
      </c>
      <c r="J6962" t="s" s="2">
        <v>26936</v>
      </c>
      <c r="K6962" t="s" s="2">
        <v>22</v>
      </c>
      <c r="L6962" t="s" s="2">
        <v>22</v>
      </c>
      <c r="M6962" t="s" s="2">
        <v>22</v>
      </c>
    </row>
    <row r="6963" ht="25.0" customHeight="true">
      <c r="A6963" t="s" s="2">
        <v>13</v>
      </c>
      <c r="B6963" t="s" s="2">
        <f>HYPERLINK("http://ts.21cn.com/tousu/show/id/1365728","交通银行暴力催收")</f>
      </c>
      <c r="C6963" t="s" s="2">
        <v>15</v>
      </c>
      <c r="D6963" t="s" s="2">
        <v>16</v>
      </c>
      <c r="E6963" t="s" s="2">
        <v>17</v>
      </c>
      <c r="F6963" t="s" s="2">
        <f>HYPERLINK("http://ts.21cn.com/tousu/show/id/1365728","http://ts.21cn.com/tousu/show/id/1365728")</f>
      </c>
      <c r="G6963" t="s" s="2">
        <v>17</v>
      </c>
      <c r="H6963" t="s" s="2">
        <v>19</v>
      </c>
      <c r="I6963" t="s" s="2">
        <v>26938</v>
      </c>
      <c r="J6963" t="s" s="2">
        <v>26939</v>
      </c>
      <c r="K6963" t="s" s="2">
        <v>22</v>
      </c>
      <c r="L6963" t="s" s="2">
        <v>22</v>
      </c>
      <c r="M6963" t="s" s="2">
        <v>22</v>
      </c>
    </row>
    <row r="6964" ht="25.0" customHeight="true">
      <c r="A6964" t="s" s="2">
        <v>13</v>
      </c>
      <c r="B6964" t="s" s="2">
        <f>HYPERLINK("http://ts.21cn.com/tousu/show/id/1365702","情人花借款app")</f>
      </c>
      <c r="C6964" t="s" s="2">
        <v>15</v>
      </c>
      <c r="D6964" t="s" s="2">
        <v>16</v>
      </c>
      <c r="E6964" t="s" s="2">
        <v>17</v>
      </c>
      <c r="F6964" t="s" s="2">
        <f>HYPERLINK("http://ts.21cn.com/tousu/show/id/1365702","http://ts.21cn.com/tousu/show/id/1365702")</f>
      </c>
      <c r="G6964" t="s" s="2">
        <v>17</v>
      </c>
      <c r="H6964" t="s" s="2">
        <v>19</v>
      </c>
      <c r="I6964" t="s" s="2">
        <v>26938</v>
      </c>
      <c r="J6964" t="s" s="2">
        <v>26942</v>
      </c>
      <c r="K6964" t="s" s="2">
        <v>22</v>
      </c>
      <c r="L6964" t="s" s="2">
        <v>22</v>
      </c>
      <c r="M6964" t="s" s="2">
        <v>22</v>
      </c>
    </row>
    <row r="6965" ht="25.0" customHeight="true">
      <c r="A6965" t="s" s="2">
        <v>13</v>
      </c>
      <c r="B6965" t="s" s="2">
        <f>HYPERLINK("http://ts.21cn.com/tousu/show/id/1365726","我来贷2天预期费用200元")</f>
      </c>
      <c r="C6965" t="s" s="2">
        <v>52</v>
      </c>
      <c r="D6965" t="s" s="2">
        <v>16</v>
      </c>
      <c r="E6965" t="s" s="2">
        <v>17</v>
      </c>
      <c r="F6965" t="s" s="2">
        <f>HYPERLINK("http://ts.21cn.com/tousu/show/id/1365726","http://ts.21cn.com/tousu/show/id/1365726")</f>
      </c>
      <c r="G6965" t="s" s="2">
        <v>17</v>
      </c>
      <c r="H6965" t="s" s="2">
        <v>19</v>
      </c>
      <c r="I6965" t="s" s="2">
        <v>26945</v>
      </c>
      <c r="J6965" t="s" s="2">
        <v>26946</v>
      </c>
      <c r="K6965" t="s" s="2">
        <v>22</v>
      </c>
      <c r="L6965" t="s" s="2">
        <v>22</v>
      </c>
      <c r="M6965" t="s" s="2">
        <v>22</v>
      </c>
    </row>
    <row r="6966" ht="25.0" customHeight="true">
      <c r="A6966" t="s" s="2">
        <v>13</v>
      </c>
      <c r="B6966" t="s" s="2">
        <f>HYPERLINK("http://ts.21cn.com/tousu/show/id/1365725","爱又米高利贷")</f>
      </c>
      <c r="C6966" t="s" s="2">
        <v>15</v>
      </c>
      <c r="D6966" t="s" s="2">
        <v>16</v>
      </c>
      <c r="E6966" t="s" s="2">
        <v>17</v>
      </c>
      <c r="F6966" t="s" s="2">
        <f>HYPERLINK("http://ts.21cn.com/tousu/show/id/1365725","http://ts.21cn.com/tousu/show/id/1365725")</f>
      </c>
      <c r="G6966" t="s" s="2">
        <v>17</v>
      </c>
      <c r="H6966" t="s" s="2">
        <v>19</v>
      </c>
      <c r="I6966" t="s" s="2">
        <v>26949</v>
      </c>
      <c r="J6966" t="s" s="2">
        <v>26950</v>
      </c>
      <c r="K6966" t="s" s="2">
        <v>22</v>
      </c>
      <c r="L6966" t="s" s="2">
        <v>22</v>
      </c>
      <c r="M6966" t="s" s="2">
        <v>22</v>
      </c>
    </row>
    <row r="6967" ht="25.0" customHeight="true">
      <c r="A6967" t="s" s="2">
        <v>13</v>
      </c>
      <c r="B6967" t="s" s="2">
        <f>HYPERLINK("http://ts.21cn.com/tousu/show/id/1365724","大量用户无法退还立刻出行499元押金")</f>
      </c>
      <c r="C6967" t="s" s="2">
        <v>15</v>
      </c>
      <c r="D6967" t="s" s="2">
        <v>16</v>
      </c>
      <c r="E6967" t="s" s="2">
        <v>17</v>
      </c>
      <c r="F6967" t="s" s="2">
        <f>HYPERLINK("http://ts.21cn.com/tousu/show/id/1365724","http://ts.21cn.com/tousu/show/id/1365724")</f>
      </c>
      <c r="G6967" t="s" s="2">
        <v>17</v>
      </c>
      <c r="H6967" t="s" s="2">
        <v>19</v>
      </c>
      <c r="I6967" t="s" s="2">
        <v>26952</v>
      </c>
      <c r="J6967" t="s" s="2">
        <v>26953</v>
      </c>
      <c r="K6967" t="s" s="2">
        <v>22</v>
      </c>
      <c r="L6967" t="s" s="2">
        <v>22</v>
      </c>
      <c r="M6967" t="s" s="2">
        <v>22</v>
      </c>
    </row>
    <row r="6968" ht="25.0" customHeight="true">
      <c r="A6968" t="s" s="2">
        <v>13</v>
      </c>
      <c r="B6968" t="s" s="2">
        <f>HYPERLINK("http://ts.21cn.com/tousu/show/id/1365617","轻松贷是套路贷")</f>
      </c>
      <c r="C6968" t="s" s="2">
        <v>15</v>
      </c>
      <c r="D6968" t="s" s="2">
        <v>16</v>
      </c>
      <c r="E6968" t="s" s="2">
        <v>17</v>
      </c>
      <c r="F6968" t="s" s="2">
        <f>HYPERLINK("http://ts.21cn.com/tousu/show/id/1365617","http://ts.21cn.com/tousu/show/id/1365617")</f>
      </c>
      <c r="G6968" t="s" s="2">
        <v>17</v>
      </c>
      <c r="H6968" t="s" s="2">
        <v>19</v>
      </c>
      <c r="I6968" t="s" s="2">
        <v>26956</v>
      </c>
      <c r="J6968" t="s" s="2">
        <v>26957</v>
      </c>
      <c r="K6968" t="s" s="2">
        <v>22</v>
      </c>
      <c r="L6968" t="s" s="2">
        <v>22</v>
      </c>
      <c r="M6968" t="s" s="2">
        <v>22</v>
      </c>
    </row>
    <row r="6969" ht="25.0" customHeight="true">
      <c r="A6969" t="s" s="2">
        <v>13</v>
      </c>
      <c r="B6969" t="s" s="2">
        <f>HYPERLINK("http://ts.21cn.com/tousu/show/id/1365722","平安普惠协商")</f>
      </c>
      <c r="C6969" t="s" s="2">
        <v>52</v>
      </c>
      <c r="D6969" t="s" s="2">
        <v>16</v>
      </c>
      <c r="E6969" t="s" s="2">
        <v>17</v>
      </c>
      <c r="F6969" t="s" s="2">
        <f>HYPERLINK("http://ts.21cn.com/tousu/show/id/1365722","http://ts.21cn.com/tousu/show/id/1365722")</f>
      </c>
      <c r="G6969" t="s" s="2">
        <v>17</v>
      </c>
      <c r="H6969" t="s" s="2">
        <v>19</v>
      </c>
      <c r="I6969" t="s" s="2">
        <v>26960</v>
      </c>
      <c r="J6969" t="s" s="2">
        <v>26961</v>
      </c>
      <c r="K6969" t="s" s="2">
        <v>22</v>
      </c>
      <c r="L6969" t="s" s="2">
        <v>22</v>
      </c>
      <c r="M6969" t="s" s="2">
        <v>22</v>
      </c>
    </row>
    <row r="6970" ht="25.0" customHeight="true">
      <c r="A6970" t="s" s="2">
        <v>13</v>
      </c>
      <c r="B6970" t="s" s="2">
        <f>HYPERLINK("http://ts.21cn.com/tousu/show/id/1365721","众安保险未经本人同意私自上保险")</f>
      </c>
      <c r="C6970" t="s" s="2">
        <v>15</v>
      </c>
      <c r="D6970" t="s" s="2">
        <v>16</v>
      </c>
      <c r="E6970" t="s" s="2">
        <v>17</v>
      </c>
      <c r="F6970" t="s" s="2">
        <f>HYPERLINK("http://ts.21cn.com/tousu/show/id/1365721","http://ts.21cn.com/tousu/show/id/1365721")</f>
      </c>
      <c r="G6970" t="s" s="2">
        <v>17</v>
      </c>
      <c r="H6970" t="s" s="2">
        <v>19</v>
      </c>
      <c r="I6970" t="s" s="2">
        <v>26964</v>
      </c>
      <c r="J6970" t="s" s="2">
        <v>26965</v>
      </c>
      <c r="K6970" t="s" s="2">
        <v>22</v>
      </c>
      <c r="L6970" t="s" s="2">
        <v>22</v>
      </c>
      <c r="M6970" t="s" s="2">
        <v>22</v>
      </c>
    </row>
    <row r="6971" ht="25.0" customHeight="true">
      <c r="A6971" t="s" s="2">
        <v>13</v>
      </c>
      <c r="B6971" t="s" s="2">
        <f>HYPERLINK("http://ts.21cn.com/tousu/show/id/1365546","淘宝系统售假误判，申诉材料齐全居然依然处罚")</f>
      </c>
      <c r="C6971" t="s" s="2">
        <v>15</v>
      </c>
      <c r="D6971" t="s" s="2">
        <v>16</v>
      </c>
      <c r="E6971" t="s" s="2">
        <v>17</v>
      </c>
      <c r="F6971" t="s" s="2">
        <f>HYPERLINK("http://ts.21cn.com/tousu/show/id/1365546","http://ts.21cn.com/tousu/show/id/1365546")</f>
      </c>
      <c r="G6971" t="s" s="2">
        <v>17</v>
      </c>
      <c r="H6971" t="s" s="2">
        <v>19</v>
      </c>
      <c r="I6971" t="s" s="2">
        <v>26968</v>
      </c>
      <c r="J6971" t="s" s="2">
        <v>26969</v>
      </c>
      <c r="K6971" t="s" s="2">
        <v>22</v>
      </c>
      <c r="L6971" t="s" s="2">
        <v>22</v>
      </c>
      <c r="M6971" t="s" s="2">
        <v>22</v>
      </c>
    </row>
    <row r="6972" ht="25.0" customHeight="true">
      <c r="A6972" t="s" s="2">
        <v>13</v>
      </c>
      <c r="B6972" t="s" s="2">
        <f>HYPERLINK("http://ts.21cn.com/tousu/show/id/1365719","威胁辱骂，上门崔收，还要打人")</f>
      </c>
      <c r="C6972" t="s" s="2">
        <v>15</v>
      </c>
      <c r="D6972" t="s" s="2">
        <v>16</v>
      </c>
      <c r="E6972" t="s" s="2">
        <v>17</v>
      </c>
      <c r="F6972" t="s" s="2">
        <f>HYPERLINK("http://ts.21cn.com/tousu/show/id/1365719","http://ts.21cn.com/tousu/show/id/1365719")</f>
      </c>
      <c r="G6972" t="s" s="2">
        <v>17</v>
      </c>
      <c r="H6972" t="s" s="2">
        <v>19</v>
      </c>
      <c r="I6972" t="s" s="2">
        <v>26972</v>
      </c>
      <c r="J6972" t="s" s="2">
        <v>26973</v>
      </c>
      <c r="K6972" t="s" s="2">
        <v>22</v>
      </c>
      <c r="L6972" t="s" s="2">
        <v>22</v>
      </c>
      <c r="M6972" t="s" s="2">
        <v>22</v>
      </c>
    </row>
    <row r="6973" ht="25.0" customHeight="true">
      <c r="A6973" t="s" s="2">
        <v>13</v>
      </c>
      <c r="B6973" t="s" s="2">
        <f>HYPERLINK("http://ts.21cn.com/tousu/show/id/1365720","暴力威胁催收")</f>
      </c>
      <c r="C6973" t="s" s="2">
        <v>15</v>
      </c>
      <c r="D6973" t="s" s="2">
        <v>16</v>
      </c>
      <c r="E6973" t="s" s="2">
        <v>17</v>
      </c>
      <c r="F6973" t="s" s="2">
        <f>HYPERLINK("http://ts.21cn.com/tousu/show/id/1365720","http://ts.21cn.com/tousu/show/id/1365720")</f>
      </c>
      <c r="G6973" t="s" s="2">
        <v>17</v>
      </c>
      <c r="H6973" t="s" s="2">
        <v>19</v>
      </c>
      <c r="I6973" t="s" s="2">
        <v>26975</v>
      </c>
      <c r="J6973" t="s" s="2">
        <v>26976</v>
      </c>
      <c r="K6973" t="s" s="2">
        <v>22</v>
      </c>
      <c r="L6973" t="s" s="2">
        <v>22</v>
      </c>
      <c r="M6973" t="s" s="2">
        <v>22</v>
      </c>
    </row>
    <row r="6974" ht="25.0" customHeight="true">
      <c r="A6974" t="s" s="2">
        <v>13</v>
      </c>
      <c r="B6974" t="s" s="2">
        <f>HYPERLINK("http://ts.21cn.com/tousu/show/id/1365718","联动pos押金不退")</f>
      </c>
      <c r="C6974" t="s" s="2">
        <v>15</v>
      </c>
      <c r="D6974" t="s" s="2">
        <v>16</v>
      </c>
      <c r="E6974" t="s" s="2">
        <v>17</v>
      </c>
      <c r="F6974" t="s" s="2">
        <f>HYPERLINK("http://ts.21cn.com/tousu/show/id/1365718","http://ts.21cn.com/tousu/show/id/1365718")</f>
      </c>
      <c r="G6974" t="s" s="2">
        <v>17</v>
      </c>
      <c r="H6974" t="s" s="2">
        <v>19</v>
      </c>
      <c r="I6974" t="s" s="2">
        <v>26979</v>
      </c>
      <c r="J6974" t="s" s="2">
        <v>26980</v>
      </c>
      <c r="K6974" t="s" s="2">
        <v>22</v>
      </c>
      <c r="L6974" t="s" s="2">
        <v>22</v>
      </c>
      <c r="M6974" t="s" s="2">
        <v>22</v>
      </c>
    </row>
    <row r="6975" ht="25.0" customHeight="true">
      <c r="A6975" t="s" s="2">
        <v>13</v>
      </c>
      <c r="B6975" t="s" s="2">
        <f>HYPERLINK("http://ts.21cn.com/tousu/show/id/1365717","凡普信催收恐吓，威胁")</f>
      </c>
      <c r="C6975" t="s" s="2">
        <v>15</v>
      </c>
      <c r="D6975" t="s" s="2">
        <v>16</v>
      </c>
      <c r="E6975" t="s" s="2">
        <v>17</v>
      </c>
      <c r="F6975" t="s" s="2">
        <f>HYPERLINK("http://ts.21cn.com/tousu/show/id/1365717","http://ts.21cn.com/tousu/show/id/1365717")</f>
      </c>
      <c r="G6975" t="s" s="2">
        <v>17</v>
      </c>
      <c r="H6975" t="s" s="2">
        <v>19</v>
      </c>
      <c r="I6975" t="s" s="2">
        <v>26983</v>
      </c>
      <c r="J6975" t="s" s="2">
        <v>26984</v>
      </c>
      <c r="K6975" t="s" s="2">
        <v>22</v>
      </c>
      <c r="L6975" t="s" s="2">
        <v>22</v>
      </c>
      <c r="M6975" t="s" s="2">
        <v>22</v>
      </c>
    </row>
    <row r="6976" ht="25.0" customHeight="true">
      <c r="A6976" t="s" s="2">
        <v>13</v>
      </c>
      <c r="B6976" t="s" s="2">
        <f>HYPERLINK("http://ts.21cn.com/tousu/show/id/1365714","火鸟教育腾讯课堂旗下鼎晟商学院虚假宣传课程质量差不完整霸王条款不予退款")</f>
      </c>
      <c r="C6976" t="s" s="2">
        <v>15</v>
      </c>
      <c r="D6976" t="s" s="2">
        <v>16</v>
      </c>
      <c r="E6976" t="s" s="2">
        <v>17</v>
      </c>
      <c r="F6976" t="s" s="2">
        <f>HYPERLINK("http://ts.21cn.com/tousu/show/id/1365714","http://ts.21cn.com/tousu/show/id/1365714")</f>
      </c>
      <c r="G6976" t="s" s="2">
        <v>17</v>
      </c>
      <c r="H6976" t="s" s="2">
        <v>19</v>
      </c>
      <c r="I6976" t="s" s="2">
        <v>26987</v>
      </c>
      <c r="J6976" t="s" s="2">
        <v>26988</v>
      </c>
      <c r="K6976" t="s" s="2">
        <v>22</v>
      </c>
      <c r="L6976" t="s" s="2">
        <v>22</v>
      </c>
      <c r="M6976" t="s" s="2">
        <v>22</v>
      </c>
    </row>
    <row r="6977" ht="25.0" customHeight="true">
      <c r="A6977" t="s" s="2">
        <v>13</v>
      </c>
      <c r="B6977" t="s" s="2">
        <f>HYPERLINK("http://ts.21cn.com/tousu/show/id/1365713","无故扣取银行卡168元")</f>
      </c>
      <c r="C6977" t="s" s="2">
        <v>52</v>
      </c>
      <c r="D6977" t="s" s="2">
        <v>16</v>
      </c>
      <c r="E6977" t="s" s="2">
        <v>17</v>
      </c>
      <c r="F6977" t="s" s="2">
        <f>HYPERLINK("http://ts.21cn.com/tousu/show/id/1365713","http://ts.21cn.com/tousu/show/id/1365713")</f>
      </c>
      <c r="G6977" t="s" s="2">
        <v>17</v>
      </c>
      <c r="H6977" t="s" s="2">
        <v>19</v>
      </c>
      <c r="I6977" t="s" s="2">
        <v>26991</v>
      </c>
      <c r="J6977" t="s" s="2">
        <v>26992</v>
      </c>
      <c r="K6977" t="s" s="2">
        <v>22</v>
      </c>
      <c r="L6977" t="s" s="2">
        <v>22</v>
      </c>
      <c r="M6977" t="s" s="2">
        <v>22</v>
      </c>
    </row>
    <row r="6978" ht="25.0" customHeight="true">
      <c r="A6978" t="s" s="2">
        <v>13</v>
      </c>
      <c r="B6978" t="s" s="2">
        <f>HYPERLINK("http://ts.21cn.com/tousu/show/id/1365715","恶意骚扰")</f>
      </c>
      <c r="C6978" t="s" s="2">
        <v>15</v>
      </c>
      <c r="D6978" t="s" s="2">
        <v>16</v>
      </c>
      <c r="E6978" t="s" s="2">
        <v>17</v>
      </c>
      <c r="F6978" t="s" s="2">
        <f>HYPERLINK("http://ts.21cn.com/tousu/show/id/1365715","http://ts.21cn.com/tousu/show/id/1365715")</f>
      </c>
      <c r="G6978" t="s" s="2">
        <v>17</v>
      </c>
      <c r="H6978" t="s" s="2">
        <v>19</v>
      </c>
      <c r="I6978" t="s" s="2">
        <v>26994</v>
      </c>
      <c r="J6978" t="s" s="2">
        <v>26995</v>
      </c>
      <c r="K6978" t="s" s="2">
        <v>22</v>
      </c>
      <c r="L6978" t="s" s="2">
        <v>22</v>
      </c>
      <c r="M6978" t="s" s="2">
        <v>22</v>
      </c>
    </row>
    <row r="6979" ht="25.0" customHeight="true">
      <c r="A6979" t="s" s="2">
        <v>13</v>
      </c>
      <c r="B6979" t="s" s="2">
        <f>HYPERLINK("http://ts.21cn.com/tousu/show/id/1365711","御剑飞行恶意欺诈高利贷")</f>
      </c>
      <c r="C6979" t="s" s="2">
        <v>15</v>
      </c>
      <c r="D6979" t="s" s="2">
        <v>16</v>
      </c>
      <c r="E6979" t="s" s="2">
        <v>17</v>
      </c>
      <c r="F6979" t="s" s="2">
        <f>HYPERLINK("http://ts.21cn.com/tousu/show/id/1365711","http://ts.21cn.com/tousu/show/id/1365711")</f>
      </c>
      <c r="G6979" t="s" s="2">
        <v>17</v>
      </c>
      <c r="H6979" t="s" s="2">
        <v>19</v>
      </c>
      <c r="I6979" t="s" s="2">
        <v>26998</v>
      </c>
      <c r="J6979" t="s" s="2">
        <v>26999</v>
      </c>
      <c r="K6979" t="s" s="2">
        <v>22</v>
      </c>
      <c r="L6979" t="s" s="2">
        <v>22</v>
      </c>
      <c r="M6979" t="s" s="2">
        <v>22</v>
      </c>
    </row>
    <row r="6980" ht="25.0" customHeight="true">
      <c r="A6980" t="s" s="2">
        <v>13</v>
      </c>
      <c r="B6980" t="s" s="2">
        <f>HYPERLINK("http://ts.21cn.com/tousu/show/id/1365710","消除纠纷产生的逾期记录")</f>
      </c>
      <c r="C6980" t="s" s="2">
        <v>15</v>
      </c>
      <c r="D6980" t="s" s="2">
        <v>16</v>
      </c>
      <c r="E6980" t="s" s="2">
        <v>17</v>
      </c>
      <c r="F6980" t="s" s="2">
        <f>HYPERLINK("http://ts.21cn.com/tousu/show/id/1365710","http://ts.21cn.com/tousu/show/id/1365710")</f>
      </c>
      <c r="G6980" t="s" s="2">
        <v>17</v>
      </c>
      <c r="H6980" t="s" s="2">
        <v>19</v>
      </c>
      <c r="I6980" t="s" s="2">
        <v>27002</v>
      </c>
      <c r="J6980" t="s" s="2">
        <v>27003</v>
      </c>
      <c r="K6980" t="s" s="2">
        <v>22</v>
      </c>
      <c r="L6980" t="s" s="2">
        <v>22</v>
      </c>
      <c r="M6980" t="s" s="2">
        <v>22</v>
      </c>
    </row>
    <row r="6981" ht="25.0" customHeight="true">
      <c r="A6981" t="s" s="2">
        <v>13</v>
      </c>
      <c r="B6981" t="s" s="2">
        <f>HYPERLINK("http://ts.21cn.com/tousu/show/id/1365709","淘宝售假违规，按照淘宝规则提供真实有效凭证，然而申诉不成立")</f>
      </c>
      <c r="C6981" t="s" s="2">
        <v>15</v>
      </c>
      <c r="D6981" t="s" s="2">
        <v>16</v>
      </c>
      <c r="E6981" t="s" s="2">
        <v>17</v>
      </c>
      <c r="F6981" t="s" s="2">
        <f>HYPERLINK("http://ts.21cn.com/tousu/show/id/1365709","http://ts.21cn.com/tousu/show/id/1365709")</f>
      </c>
      <c r="G6981" t="s" s="2">
        <v>17</v>
      </c>
      <c r="H6981" t="s" s="2">
        <v>19</v>
      </c>
      <c r="I6981" t="s" s="2">
        <v>27006</v>
      </c>
      <c r="J6981" t="s" s="2">
        <v>27007</v>
      </c>
      <c r="K6981" t="s" s="2">
        <v>22</v>
      </c>
      <c r="L6981" t="s" s="2">
        <v>22</v>
      </c>
      <c r="M6981" t="s" s="2">
        <v>22</v>
      </c>
    </row>
    <row r="6982" ht="25.0" customHeight="true">
      <c r="A6982" t="s" s="2">
        <v>13</v>
      </c>
      <c r="B6982" t="s" s="2">
        <f>HYPERLINK("http://ts.21cn.com/tousu/show/id/1365708","你我贷")</f>
      </c>
      <c r="C6982" t="s" s="2">
        <v>52</v>
      </c>
      <c r="D6982" t="s" s="2">
        <v>16</v>
      </c>
      <c r="E6982" t="s" s="2">
        <v>17</v>
      </c>
      <c r="F6982" t="s" s="2">
        <f>HYPERLINK("http://ts.21cn.com/tousu/show/id/1365708","http://ts.21cn.com/tousu/show/id/1365708")</f>
      </c>
      <c r="G6982" t="s" s="2">
        <v>17</v>
      </c>
      <c r="H6982" t="s" s="2">
        <v>19</v>
      </c>
      <c r="I6982" t="s" s="2">
        <v>27009</v>
      </c>
      <c r="J6982" t="s" s="2">
        <v>27010</v>
      </c>
      <c r="K6982" t="s" s="2">
        <v>22</v>
      </c>
      <c r="L6982" t="s" s="2">
        <v>22</v>
      </c>
      <c r="M6982" t="s" s="2">
        <v>22</v>
      </c>
    </row>
    <row r="6983" ht="25.0" customHeight="true">
      <c r="A6983" t="s" s="2">
        <v>13</v>
      </c>
      <c r="B6983" t="s" s="2">
        <f>HYPERLINK("http://ts.21cn.com/tousu/show/id/1365679","京东购买的手机卡")</f>
      </c>
      <c r="C6983" t="s" s="2">
        <v>52</v>
      </c>
      <c r="D6983" t="s" s="2">
        <v>16</v>
      </c>
      <c r="E6983" t="s" s="2">
        <v>17</v>
      </c>
      <c r="F6983" t="s" s="2">
        <f>HYPERLINK("http://ts.21cn.com/tousu/show/id/1365679","http://ts.21cn.com/tousu/show/id/1365679")</f>
      </c>
      <c r="G6983" t="s" s="2">
        <v>17</v>
      </c>
      <c r="H6983" t="s" s="2">
        <v>19</v>
      </c>
      <c r="I6983" t="s" s="2">
        <v>27013</v>
      </c>
      <c r="J6983" t="s" s="2">
        <v>27014</v>
      </c>
      <c r="K6983" t="s" s="2">
        <v>22</v>
      </c>
      <c r="L6983" t="s" s="2">
        <v>22</v>
      </c>
      <c r="M6983" t="s" s="2">
        <v>22</v>
      </c>
    </row>
    <row r="6984" ht="25.0" customHeight="true">
      <c r="A6984" t="s" s="2">
        <v>13</v>
      </c>
      <c r="B6984" t="s" s="2">
        <f>HYPERLINK("http://ts.21cn.com/tousu/show/id/1365707","拼多多无故冻结资金和店铺不让提现")</f>
      </c>
      <c r="C6984" t="s" s="2">
        <v>15</v>
      </c>
      <c r="D6984" t="s" s="2">
        <v>16</v>
      </c>
      <c r="E6984" t="s" s="2">
        <v>17</v>
      </c>
      <c r="F6984" t="s" s="2">
        <f>HYPERLINK("http://ts.21cn.com/tousu/show/id/1365707","http://ts.21cn.com/tousu/show/id/1365707")</f>
      </c>
      <c r="G6984" t="s" s="2">
        <v>17</v>
      </c>
      <c r="H6984" t="s" s="2">
        <v>19</v>
      </c>
      <c r="I6984" t="s" s="2">
        <v>27017</v>
      </c>
      <c r="J6984" t="s" s="2">
        <v>27018</v>
      </c>
      <c r="K6984" t="s" s="2">
        <v>22</v>
      </c>
      <c r="L6984" t="s" s="2">
        <v>22</v>
      </c>
      <c r="M6984" t="s" s="2">
        <v>22</v>
      </c>
    </row>
    <row r="6985" ht="25.0" customHeight="true">
      <c r="A6985" t="s" s="2">
        <v>13</v>
      </c>
      <c r="B6985" t="s" s="2">
        <f>HYPERLINK("http://ts.21cn.com/tousu/show/id/1365705","牛牛贷砍头息高利贷暴力催收威胁恐吓")</f>
      </c>
      <c r="C6985" t="s" s="2">
        <v>15</v>
      </c>
      <c r="D6985" t="s" s="2">
        <v>16</v>
      </c>
      <c r="E6985" t="s" s="2">
        <v>17</v>
      </c>
      <c r="F6985" t="s" s="2">
        <f>HYPERLINK("http://ts.21cn.com/tousu/show/id/1365705","http://ts.21cn.com/tousu/show/id/1365705")</f>
      </c>
      <c r="G6985" t="s" s="2">
        <v>17</v>
      </c>
      <c r="H6985" t="s" s="2">
        <v>19</v>
      </c>
      <c r="I6985" t="s" s="2">
        <v>27021</v>
      </c>
      <c r="J6985" t="s" s="2">
        <v>27022</v>
      </c>
      <c r="K6985" t="s" s="2">
        <v>22</v>
      </c>
      <c r="L6985" t="s" s="2">
        <v>22</v>
      </c>
      <c r="M6985" t="s" s="2">
        <v>22</v>
      </c>
    </row>
    <row r="6986" ht="25.0" customHeight="true">
      <c r="A6986" t="s" s="2">
        <v>13</v>
      </c>
      <c r="B6986" t="s" s="2">
        <f>HYPERLINK("http://ts.21cn.com/tousu/show/id/1365704","立即贷改名为立即借，高利贷")</f>
      </c>
      <c r="C6986" t="s" s="2">
        <v>15</v>
      </c>
      <c r="D6986" t="s" s="2">
        <v>16</v>
      </c>
      <c r="E6986" t="s" s="2">
        <v>17</v>
      </c>
      <c r="F6986" t="s" s="2">
        <f>HYPERLINK("http://ts.21cn.com/tousu/show/id/1365704","http://ts.21cn.com/tousu/show/id/1365704")</f>
      </c>
      <c r="G6986" t="s" s="2">
        <v>17</v>
      </c>
      <c r="H6986" t="s" s="2">
        <v>19</v>
      </c>
      <c r="I6986" t="s" s="2">
        <v>27025</v>
      </c>
      <c r="J6986" t="s" s="2">
        <v>27026</v>
      </c>
      <c r="K6986" t="s" s="2">
        <v>22</v>
      </c>
      <c r="L6986" t="s" s="2">
        <v>22</v>
      </c>
      <c r="M6986" t="s" s="2">
        <v>22</v>
      </c>
    </row>
    <row r="6987" ht="25.0" customHeight="true">
      <c r="A6987" t="s" s="2">
        <v>13</v>
      </c>
      <c r="B6987" t="s" s="2">
        <f>HYPERLINK("http://ts.21cn.com/tousu/show/id/1365703","非法网贷")</f>
      </c>
      <c r="C6987" t="s" s="2">
        <v>15</v>
      </c>
      <c r="D6987" t="s" s="2">
        <v>16</v>
      </c>
      <c r="E6987" t="s" s="2">
        <v>17</v>
      </c>
      <c r="F6987" t="s" s="2">
        <f>HYPERLINK("http://ts.21cn.com/tousu/show/id/1365703","http://ts.21cn.com/tousu/show/id/1365703")</f>
      </c>
      <c r="G6987" t="s" s="2">
        <v>17</v>
      </c>
      <c r="H6987" t="s" s="2">
        <v>19</v>
      </c>
      <c r="I6987" t="s" s="2">
        <v>27029</v>
      </c>
      <c r="J6987" t="s" s="2">
        <v>27030</v>
      </c>
      <c r="K6987" t="s" s="2">
        <v>22</v>
      </c>
      <c r="L6987" t="s" s="2">
        <v>22</v>
      </c>
      <c r="M6987" t="s" s="2">
        <v>22</v>
      </c>
    </row>
    <row r="6988" ht="25.0" customHeight="true">
      <c r="A6988" t="s" s="2">
        <v>13</v>
      </c>
      <c r="B6988" t="s" s="2">
        <f>HYPERLINK("http://ts.21cn.com/tousu/show/id/1365700","华夏信用卡软暴力催收")</f>
      </c>
      <c r="C6988" t="s" s="2">
        <v>15</v>
      </c>
      <c r="D6988" t="s" s="2">
        <v>16</v>
      </c>
      <c r="E6988" t="s" s="2">
        <v>17</v>
      </c>
      <c r="F6988" t="s" s="2">
        <f>HYPERLINK("http://ts.21cn.com/tousu/show/id/1365700","http://ts.21cn.com/tousu/show/id/1365700")</f>
      </c>
      <c r="G6988" t="s" s="2">
        <v>17</v>
      </c>
      <c r="H6988" t="s" s="2">
        <v>19</v>
      </c>
      <c r="I6988" t="s" s="2">
        <v>27033</v>
      </c>
      <c r="J6988" t="s" s="2">
        <v>27034</v>
      </c>
      <c r="K6988" t="s" s="2">
        <v>22</v>
      </c>
      <c r="L6988" t="s" s="2">
        <v>22</v>
      </c>
      <c r="M6988" t="s" s="2">
        <v>22</v>
      </c>
    </row>
    <row r="6989" ht="25.0" customHeight="true">
      <c r="A6989" t="s" s="2">
        <v>13</v>
      </c>
      <c r="B6989" t="s" s="2">
        <f>HYPERLINK("http://ts.21cn.com/tousu/show/id/1365699","马上消费金融，暴力催收，群发短信，恐吓催收")</f>
      </c>
      <c r="C6989" t="s" s="2">
        <v>15</v>
      </c>
      <c r="D6989" t="s" s="2">
        <v>16</v>
      </c>
      <c r="E6989" t="s" s="2">
        <v>17</v>
      </c>
      <c r="F6989" t="s" s="2">
        <f>HYPERLINK("http://ts.21cn.com/tousu/show/id/1365699","http://ts.21cn.com/tousu/show/id/1365699")</f>
      </c>
      <c r="G6989" t="s" s="2">
        <v>17</v>
      </c>
      <c r="H6989" t="s" s="2">
        <v>19</v>
      </c>
      <c r="I6989" t="s" s="2">
        <v>27036</v>
      </c>
      <c r="J6989" t="s" s="2">
        <v>27037</v>
      </c>
      <c r="K6989" t="s" s="2">
        <v>22</v>
      </c>
      <c r="L6989" t="s" s="2">
        <v>22</v>
      </c>
      <c r="M6989" t="s" s="2">
        <v>22</v>
      </c>
    </row>
    <row r="6990" ht="25.0" customHeight="true">
      <c r="A6990" t="s" s="2">
        <v>13</v>
      </c>
      <c r="B6990" t="s" s="2">
        <f>HYPERLINK("http://ts.21cn.com/tousu/show/id/1365698","情人花网络贷款app胡乱扣款")</f>
      </c>
      <c r="C6990" t="s" s="2">
        <v>15</v>
      </c>
      <c r="D6990" t="s" s="2">
        <v>16</v>
      </c>
      <c r="E6990" t="s" s="2">
        <v>17</v>
      </c>
      <c r="F6990" t="s" s="2">
        <f>HYPERLINK("http://ts.21cn.com/tousu/show/id/1365698","http://ts.21cn.com/tousu/show/id/1365698")</f>
      </c>
      <c r="G6990" t="s" s="2">
        <v>17</v>
      </c>
      <c r="H6990" t="s" s="2">
        <v>19</v>
      </c>
      <c r="I6990" t="s" s="2">
        <v>27040</v>
      </c>
      <c r="J6990" t="s" s="2">
        <v>27041</v>
      </c>
      <c r="K6990" t="s" s="2">
        <v>22</v>
      </c>
      <c r="L6990" t="s" s="2">
        <v>22</v>
      </c>
      <c r="M6990" t="s" s="2">
        <v>22</v>
      </c>
    </row>
    <row r="6991" ht="25.0" customHeight="true">
      <c r="A6991" t="s" s="2">
        <v>13</v>
      </c>
      <c r="B6991" t="s" s="2">
        <f>HYPERLINK("http://ts.21cn.com/tousu/show/id/1365697","闪到、米融长期无法登录也无法还款，APP好了请通知我下载还款")</f>
      </c>
      <c r="C6991" t="s" s="2">
        <v>15</v>
      </c>
      <c r="D6991" t="s" s="2">
        <v>16</v>
      </c>
      <c r="E6991" t="s" s="2">
        <v>17</v>
      </c>
      <c r="F6991" t="s" s="2">
        <f>HYPERLINK("http://ts.21cn.com/tousu/show/id/1365697","http://ts.21cn.com/tousu/show/id/1365697")</f>
      </c>
      <c r="G6991" t="s" s="2">
        <v>17</v>
      </c>
      <c r="H6991" t="s" s="2">
        <v>19</v>
      </c>
      <c r="I6991" t="s" s="2">
        <v>27044</v>
      </c>
      <c r="J6991" t="s" s="2">
        <v>27045</v>
      </c>
      <c r="K6991" t="s" s="2">
        <v>22</v>
      </c>
      <c r="L6991" t="s" s="2">
        <v>22</v>
      </c>
      <c r="M6991" t="s" s="2">
        <v>22</v>
      </c>
    </row>
    <row r="6992" ht="25.0" customHeight="true">
      <c r="A6992" t="s" s="2">
        <v>13</v>
      </c>
      <c r="B6992" t="s" s="2">
        <f>HYPERLINK("http://ts.21cn.com/tousu/show/id/1365694","高炮太坑人")</f>
      </c>
      <c r="C6992" t="s" s="2">
        <v>15</v>
      </c>
      <c r="D6992" t="s" s="2">
        <v>16</v>
      </c>
      <c r="E6992" t="s" s="2">
        <v>17</v>
      </c>
      <c r="F6992" t="s" s="2">
        <f>HYPERLINK("http://ts.21cn.com/tousu/show/id/1365694","http://ts.21cn.com/tousu/show/id/1365694")</f>
      </c>
      <c r="G6992" t="s" s="2">
        <v>17</v>
      </c>
      <c r="H6992" t="s" s="2">
        <v>19</v>
      </c>
      <c r="I6992" t="s" s="2">
        <v>27048</v>
      </c>
      <c r="J6992" t="s" s="2">
        <v>27049</v>
      </c>
      <c r="K6992" t="s" s="2">
        <v>22</v>
      </c>
      <c r="L6992" t="s" s="2">
        <v>22</v>
      </c>
      <c r="M6992" t="s" s="2">
        <v>22</v>
      </c>
    </row>
    <row r="6993" ht="25.0" customHeight="true">
      <c r="A6993" t="s" s="2">
        <v>13</v>
      </c>
      <c r="B6993" t="s" s="2">
        <f>HYPERLINK("http://ts.21cn.com/tousu/show/id/1365693","拼多多商家未按约定时间发货")</f>
      </c>
      <c r="C6993" t="s" s="2">
        <v>52</v>
      </c>
      <c r="D6993" t="s" s="2">
        <v>16</v>
      </c>
      <c r="E6993" t="s" s="2">
        <v>17</v>
      </c>
      <c r="F6993" t="s" s="2">
        <f>HYPERLINK("http://ts.21cn.com/tousu/show/id/1365693","http://ts.21cn.com/tousu/show/id/1365693")</f>
      </c>
      <c r="G6993" t="s" s="2">
        <v>17</v>
      </c>
      <c r="H6993" t="s" s="2">
        <v>19</v>
      </c>
      <c r="I6993" t="s" s="2">
        <v>27052</v>
      </c>
      <c r="J6993" t="s" s="2">
        <v>27053</v>
      </c>
      <c r="K6993" t="s" s="2">
        <v>22</v>
      </c>
      <c r="L6993" t="s" s="2">
        <v>22</v>
      </c>
      <c r="M6993" t="s" s="2">
        <v>22</v>
      </c>
    </row>
    <row r="6994" ht="25.0" customHeight="true">
      <c r="A6994" t="s" s="2">
        <v>13</v>
      </c>
      <c r="B6994" t="s" s="2">
        <f>HYPERLINK("http://ts.21cn.com/tousu/show/id/1365692","深圳市桔子创意有限公司欺诈消费者忽然失联找不到任何可以联系的方式")</f>
      </c>
      <c r="C6994" t="s" s="2">
        <v>15</v>
      </c>
      <c r="D6994" t="s" s="2">
        <v>16</v>
      </c>
      <c r="E6994" t="s" s="2">
        <v>17</v>
      </c>
      <c r="F6994" t="s" s="2">
        <f>HYPERLINK("http://ts.21cn.com/tousu/show/id/1365692","http://ts.21cn.com/tousu/show/id/1365692")</f>
      </c>
      <c r="G6994" t="s" s="2">
        <v>17</v>
      </c>
      <c r="H6994" t="s" s="2">
        <v>19</v>
      </c>
      <c r="I6994" t="s" s="2">
        <v>27056</v>
      </c>
      <c r="J6994" t="s" s="2">
        <v>27057</v>
      </c>
      <c r="K6994" t="s" s="2">
        <v>22</v>
      </c>
      <c r="L6994" t="s" s="2">
        <v>22</v>
      </c>
      <c r="M6994" t="s" s="2">
        <v>22</v>
      </c>
    </row>
    <row r="6995" ht="25.0" customHeight="true">
      <c r="A6995" t="s" s="2">
        <v>13</v>
      </c>
      <c r="B6995" t="s" s="2">
        <f>HYPERLINK("http://ts.21cn.com/tousu/show/id/1365690","你我贷逾期一天爆通讯录")</f>
      </c>
      <c r="C6995" t="s" s="2">
        <v>15</v>
      </c>
      <c r="D6995" t="s" s="2">
        <v>16</v>
      </c>
      <c r="E6995" t="s" s="2">
        <v>17</v>
      </c>
      <c r="F6995" t="s" s="2">
        <f>HYPERLINK("http://ts.21cn.com/tousu/show/id/1365690","http://ts.21cn.com/tousu/show/id/1365690")</f>
      </c>
      <c r="G6995" t="s" s="2">
        <v>17</v>
      </c>
      <c r="H6995" t="s" s="2">
        <v>19</v>
      </c>
      <c r="I6995" t="s" s="2">
        <v>27060</v>
      </c>
      <c r="J6995" t="s" s="2">
        <v>27061</v>
      </c>
      <c r="K6995" t="s" s="2">
        <v>22</v>
      </c>
      <c r="L6995" t="s" s="2">
        <v>22</v>
      </c>
      <c r="M6995" t="s" s="2">
        <v>22</v>
      </c>
    </row>
    <row r="6996" ht="25.0" customHeight="true">
      <c r="A6996" t="s" s="2">
        <v>13</v>
      </c>
      <c r="B6996" t="s" s="2">
        <f>HYPERLINK("http://ts.21cn.com/tousu/show/id/1365689","农村取暖问题")</f>
      </c>
      <c r="C6996" t="s" s="2">
        <v>15</v>
      </c>
      <c r="D6996" t="s" s="2">
        <v>16</v>
      </c>
      <c r="E6996" t="s" s="2">
        <v>17</v>
      </c>
      <c r="F6996" t="s" s="2">
        <f>HYPERLINK("http://ts.21cn.com/tousu/show/id/1365689","http://ts.21cn.com/tousu/show/id/1365689")</f>
      </c>
      <c r="G6996" t="s" s="2">
        <v>17</v>
      </c>
      <c r="H6996" t="s" s="2">
        <v>19</v>
      </c>
      <c r="I6996" t="s" s="2">
        <v>27064</v>
      </c>
      <c r="J6996" t="s" s="2">
        <v>27065</v>
      </c>
      <c r="K6996" t="s" s="2">
        <v>22</v>
      </c>
      <c r="L6996" t="s" s="2">
        <v>22</v>
      </c>
      <c r="M6996" t="s" s="2">
        <v>22</v>
      </c>
    </row>
    <row r="6997" ht="25.0" customHeight="true">
      <c r="A6997" t="s" s="2">
        <v>13</v>
      </c>
      <c r="B6997" t="s" s="2">
        <f>HYPERLINK("http://ts.21cn.com/tousu/show/id/1365532","途虎订单取消不退款")</f>
      </c>
      <c r="C6997" t="s" s="2">
        <v>15</v>
      </c>
      <c r="D6997" t="s" s="2">
        <v>16</v>
      </c>
      <c r="E6997" t="s" s="2">
        <v>17</v>
      </c>
      <c r="F6997" t="s" s="2">
        <f>HYPERLINK("http://ts.21cn.com/tousu/show/id/1365532","http://ts.21cn.com/tousu/show/id/1365532")</f>
      </c>
      <c r="G6997" t="s" s="2">
        <v>17</v>
      </c>
      <c r="H6997" t="s" s="2">
        <v>19</v>
      </c>
      <c r="I6997" t="s" s="2">
        <v>27068</v>
      </c>
      <c r="J6997" t="s" s="2">
        <v>27069</v>
      </c>
      <c r="K6997" t="s" s="2">
        <v>22</v>
      </c>
      <c r="L6997" t="s" s="2">
        <v>22</v>
      </c>
      <c r="M6997" t="s" s="2">
        <v>22</v>
      </c>
    </row>
    <row r="6998" ht="25.0" customHeight="true">
      <c r="A6998" t="s" s="2">
        <v>13</v>
      </c>
      <c r="B6998" t="s" s="2">
        <f>HYPERLINK("http://ts.21cn.com/tousu/show/id/1365688","714高炮")</f>
      </c>
      <c r="C6998" t="s" s="2">
        <v>15</v>
      </c>
      <c r="D6998" t="s" s="2">
        <v>16</v>
      </c>
      <c r="E6998" t="s" s="2">
        <v>17</v>
      </c>
      <c r="F6998" t="s" s="2">
        <f>HYPERLINK("http://ts.21cn.com/tousu/show/id/1365688","http://ts.21cn.com/tousu/show/id/1365688")</f>
      </c>
      <c r="G6998" t="s" s="2">
        <v>17</v>
      </c>
      <c r="H6998" t="s" s="2">
        <v>19</v>
      </c>
      <c r="I6998" t="s" s="2">
        <v>27071</v>
      </c>
      <c r="J6998" t="s" s="2">
        <v>27072</v>
      </c>
      <c r="K6998" t="s" s="2">
        <v>22</v>
      </c>
      <c r="L6998" t="s" s="2">
        <v>22</v>
      </c>
      <c r="M6998" t="s" s="2">
        <v>22</v>
      </c>
    </row>
    <row r="6999" ht="25.0" customHeight="true">
      <c r="A6999" t="s" s="2">
        <v>13</v>
      </c>
      <c r="B6999" t="s" s="2">
        <f>HYPERLINK("http://ts.21cn.com/tousu/show/id/1365687","垃圾货拉拉，坑钱")</f>
      </c>
      <c r="C6999" t="s" s="2">
        <v>15</v>
      </c>
      <c r="D6999" t="s" s="2">
        <v>16</v>
      </c>
      <c r="E6999" t="s" s="2">
        <v>17</v>
      </c>
      <c r="F6999" t="s" s="2">
        <f>HYPERLINK("http://ts.21cn.com/tousu/show/id/1365687","http://ts.21cn.com/tousu/show/id/1365687")</f>
      </c>
      <c r="G6999" t="s" s="2">
        <v>17</v>
      </c>
      <c r="H6999" t="s" s="2">
        <v>19</v>
      </c>
      <c r="I6999" t="s" s="2">
        <v>27075</v>
      </c>
      <c r="J6999" t="s" s="2">
        <v>27076</v>
      </c>
      <c r="K6999" t="s" s="2">
        <v>22</v>
      </c>
      <c r="L6999" t="s" s="2">
        <v>22</v>
      </c>
      <c r="M6999" t="s" s="2">
        <v>22</v>
      </c>
    </row>
    <row r="7000" ht="25.0" customHeight="true">
      <c r="A7000" t="s" s="2">
        <v>13</v>
      </c>
      <c r="B7000" t="s" s="2">
        <f>HYPERLINK("http://ts.21cn.com/tousu/show/id/1365686","马上金融暴力催收")</f>
      </c>
      <c r="C7000" t="s" s="2">
        <v>15</v>
      </c>
      <c r="D7000" t="s" s="2">
        <v>16</v>
      </c>
      <c r="E7000" t="s" s="2">
        <v>17</v>
      </c>
      <c r="F7000" t="s" s="2">
        <f>HYPERLINK("http://ts.21cn.com/tousu/show/id/1365686","http://ts.21cn.com/tousu/show/id/1365686")</f>
      </c>
      <c r="G7000" t="s" s="2">
        <v>17</v>
      </c>
      <c r="H7000" t="s" s="2">
        <v>19</v>
      </c>
      <c r="I7000" t="s" s="2">
        <v>27078</v>
      </c>
      <c r="J7000" t="s" s="2">
        <v>27079</v>
      </c>
      <c r="K7000" t="s" s="2">
        <v>22</v>
      </c>
      <c r="L7000" t="s" s="2">
        <v>22</v>
      </c>
      <c r="M7000" t="s" s="2">
        <v>22</v>
      </c>
    </row>
    <row r="7001" ht="25.0" customHeight="true">
      <c r="A7001" t="s" s="2">
        <v>13</v>
      </c>
      <c r="B7001" t="s" s="2">
        <f>HYPERLINK("http://ts.21cn.com/tousu/show/id/1365683","众安保险在我不知情下给我投保了份保单")</f>
      </c>
      <c r="C7001" t="s" s="2">
        <v>15</v>
      </c>
      <c r="D7001" t="s" s="2">
        <v>16</v>
      </c>
      <c r="E7001" t="s" s="2">
        <v>17</v>
      </c>
      <c r="F7001" t="s" s="2">
        <f>HYPERLINK("http://ts.21cn.com/tousu/show/id/1365683","http://ts.21cn.com/tousu/show/id/1365683")</f>
      </c>
      <c r="G7001" t="s" s="2">
        <v>17</v>
      </c>
      <c r="H7001" t="s" s="2">
        <v>19</v>
      </c>
      <c r="I7001" t="s" s="2">
        <v>27082</v>
      </c>
      <c r="J7001" t="s" s="2">
        <v>27083</v>
      </c>
      <c r="K7001" t="s" s="2">
        <v>22</v>
      </c>
      <c r="L7001" t="s" s="2">
        <v>22</v>
      </c>
      <c r="M7001" t="s" s="2">
        <v>22</v>
      </c>
    </row>
    <row r="7002" ht="25.0" customHeight="true">
      <c r="A7002" t="s" s="2">
        <v>13</v>
      </c>
      <c r="B7002" t="s" s="2">
        <f>HYPERLINK("http://ts.21cn.com/tousu/show/id/1365684","饿了么平台反馈无果，不想解决我的账号异常问题")</f>
      </c>
      <c r="C7002" t="s" s="2">
        <v>15</v>
      </c>
      <c r="D7002" t="s" s="2">
        <v>16</v>
      </c>
      <c r="E7002" t="s" s="2">
        <v>17</v>
      </c>
      <c r="F7002" t="s" s="2">
        <f>HYPERLINK("http://ts.21cn.com/tousu/show/id/1365684","http://ts.21cn.com/tousu/show/id/1365684")</f>
      </c>
      <c r="G7002" t="s" s="2">
        <v>17</v>
      </c>
      <c r="H7002" t="s" s="2">
        <v>19</v>
      </c>
      <c r="I7002" t="s" s="2">
        <v>27086</v>
      </c>
      <c r="J7002" t="s" s="2">
        <v>27087</v>
      </c>
      <c r="K7002" t="s" s="2">
        <v>22</v>
      </c>
      <c r="L7002" t="s" s="2">
        <v>22</v>
      </c>
      <c r="M7002" t="s" s="2">
        <v>22</v>
      </c>
    </row>
    <row r="7003" ht="25.0" customHeight="true">
      <c r="A7003" t="s" s="2">
        <v>13</v>
      </c>
      <c r="B7003" t="s" s="2">
        <f>HYPERLINK("http://ts.21cn.com/tousu/show/id/1365682","闪银催收态度差不可协商")</f>
      </c>
      <c r="C7003" t="s" s="2">
        <v>15</v>
      </c>
      <c r="D7003" t="s" s="2">
        <v>16</v>
      </c>
      <c r="E7003" t="s" s="2">
        <v>17</v>
      </c>
      <c r="F7003" t="s" s="2">
        <f>HYPERLINK("http://ts.21cn.com/tousu/show/id/1365682","http://ts.21cn.com/tousu/show/id/1365682")</f>
      </c>
      <c r="G7003" t="s" s="2">
        <v>17</v>
      </c>
      <c r="H7003" t="s" s="2">
        <v>19</v>
      </c>
      <c r="I7003" t="s" s="2">
        <v>27090</v>
      </c>
      <c r="J7003" t="s" s="2">
        <v>27091</v>
      </c>
      <c r="K7003" t="s" s="2">
        <v>22</v>
      </c>
      <c r="L7003" t="s" s="2">
        <v>22</v>
      </c>
      <c r="M7003" t="s" s="2">
        <v>22</v>
      </c>
    </row>
    <row r="7004" ht="25.0" customHeight="true">
      <c r="A7004" t="s" s="2">
        <v>13</v>
      </c>
      <c r="B7004" t="s" s="2">
        <f>HYPERLINK("http://ts.21cn.com/tousu/show/id/1365681","回收宝检测手机申请退回，手机麦克风坏了，不负责")</f>
      </c>
      <c r="C7004" t="s" s="2">
        <v>15</v>
      </c>
      <c r="D7004" t="s" s="2">
        <v>16</v>
      </c>
      <c r="E7004" t="s" s="2">
        <v>17</v>
      </c>
      <c r="F7004" t="s" s="2">
        <f>HYPERLINK("http://ts.21cn.com/tousu/show/id/1365681","http://ts.21cn.com/tousu/show/id/1365681")</f>
      </c>
      <c r="G7004" t="s" s="2">
        <v>17</v>
      </c>
      <c r="H7004" t="s" s="2">
        <v>19</v>
      </c>
      <c r="I7004" t="s" s="2">
        <v>27094</v>
      </c>
      <c r="J7004" t="s" s="2">
        <v>27095</v>
      </c>
      <c r="K7004" t="s" s="2">
        <v>22</v>
      </c>
      <c r="L7004" t="s" s="2">
        <v>22</v>
      </c>
      <c r="M7004" t="s" s="2">
        <v>22</v>
      </c>
    </row>
    <row r="7005" ht="25.0" customHeight="true">
      <c r="A7005" t="s" s="2">
        <v>13</v>
      </c>
      <c r="B7005" t="s" s="2">
        <f>HYPERLINK("http://ts.21cn.com/tousu/show/id/1365680","信用星球套路贷")</f>
      </c>
      <c r="C7005" t="s" s="2">
        <v>15</v>
      </c>
      <c r="D7005" t="s" s="2">
        <v>16</v>
      </c>
      <c r="E7005" t="s" s="2">
        <v>17</v>
      </c>
      <c r="F7005" t="s" s="2">
        <f>HYPERLINK("http://ts.21cn.com/tousu/show/id/1365680","http://ts.21cn.com/tousu/show/id/1365680")</f>
      </c>
      <c r="G7005" t="s" s="2">
        <v>17</v>
      </c>
      <c r="H7005" t="s" s="2">
        <v>19</v>
      </c>
      <c r="I7005" t="s" s="2">
        <v>27098</v>
      </c>
      <c r="J7005" t="s" s="2">
        <v>27099</v>
      </c>
      <c r="K7005" t="s" s="2">
        <v>22</v>
      </c>
      <c r="L7005" t="s" s="2">
        <v>22</v>
      </c>
      <c r="M7005" t="s" s="2">
        <v>22</v>
      </c>
    </row>
    <row r="7006" ht="25.0" customHeight="true">
      <c r="A7006" t="s" s="2">
        <v>13</v>
      </c>
      <c r="B7006" t="s" s="2">
        <f>HYPERLINK("http://ts.21cn.com/tousu/show/id/1365678","要求中金支付四川分公司给我个扣款理由")</f>
      </c>
      <c r="C7006" t="s" s="2">
        <v>15</v>
      </c>
      <c r="D7006" t="s" s="2">
        <v>16</v>
      </c>
      <c r="E7006" t="s" s="2">
        <v>17</v>
      </c>
      <c r="F7006" t="s" s="2">
        <f>HYPERLINK("http://ts.21cn.com/tousu/show/id/1365678","http://ts.21cn.com/tousu/show/id/1365678")</f>
      </c>
      <c r="G7006" t="s" s="2">
        <v>17</v>
      </c>
      <c r="H7006" t="s" s="2">
        <v>19</v>
      </c>
      <c r="I7006" t="s" s="2">
        <v>27102</v>
      </c>
      <c r="J7006" t="s" s="2">
        <v>27103</v>
      </c>
      <c r="K7006" t="s" s="2">
        <v>22</v>
      </c>
      <c r="L7006" t="s" s="2">
        <v>22</v>
      </c>
      <c r="M7006" t="s" s="2">
        <v>22</v>
      </c>
    </row>
    <row r="7007" ht="25.0" customHeight="true">
      <c r="A7007" t="s" s="2">
        <v>13</v>
      </c>
      <c r="B7007" t="s" s="2">
        <f>HYPERLINK("http://ts.21cn.com/tousu/show/id/1365677","平安银行外包公司")</f>
      </c>
      <c r="C7007" t="s" s="2">
        <v>15</v>
      </c>
      <c r="D7007" t="s" s="2">
        <v>16</v>
      </c>
      <c r="E7007" t="s" s="2">
        <v>17</v>
      </c>
      <c r="F7007" t="s" s="2">
        <f>HYPERLINK("http://ts.21cn.com/tousu/show/id/1365677","http://ts.21cn.com/tousu/show/id/1365677")</f>
      </c>
      <c r="G7007" t="s" s="2">
        <v>17</v>
      </c>
      <c r="H7007" t="s" s="2">
        <v>19</v>
      </c>
      <c r="I7007" t="s" s="2">
        <v>27106</v>
      </c>
      <c r="J7007" t="s" s="2">
        <v>27107</v>
      </c>
      <c r="K7007" t="s" s="2">
        <v>22</v>
      </c>
      <c r="L7007" t="s" s="2">
        <v>22</v>
      </c>
      <c r="M7007" t="s" s="2">
        <v>22</v>
      </c>
    </row>
    <row r="7008" ht="25.0" customHeight="true">
      <c r="A7008" t="s" s="2">
        <v>13</v>
      </c>
      <c r="B7008" t="s" s="2">
        <f>HYPERLINK("http://ts.21cn.com/tousu/show/id/1365676","玖富旗下蜡笔超卡超级高利贷")</f>
      </c>
      <c r="C7008" t="s" s="2">
        <v>15</v>
      </c>
      <c r="D7008" t="s" s="2">
        <v>16</v>
      </c>
      <c r="E7008" t="s" s="2">
        <v>17</v>
      </c>
      <c r="F7008" t="s" s="2">
        <f>HYPERLINK("http://ts.21cn.com/tousu/show/id/1365676","http://ts.21cn.com/tousu/show/id/1365676")</f>
      </c>
      <c r="G7008" t="s" s="2">
        <v>17</v>
      </c>
      <c r="H7008" t="s" s="2">
        <v>19</v>
      </c>
      <c r="I7008" t="s" s="2">
        <v>27110</v>
      </c>
      <c r="J7008" t="s" s="2">
        <v>27111</v>
      </c>
      <c r="K7008" t="s" s="2">
        <v>22</v>
      </c>
      <c r="L7008" t="s" s="2">
        <v>22</v>
      </c>
      <c r="M7008" t="s" s="2">
        <v>22</v>
      </c>
    </row>
    <row r="7009" ht="25.0" customHeight="true">
      <c r="A7009" t="s" s="2">
        <v>13</v>
      </c>
      <c r="B7009" t="s" s="2">
        <f>HYPERLINK("http://ts.21cn.com/tousu/show/id/1365473","哆米黑卡恶意扣费没有任何前提私自扣费")</f>
      </c>
      <c r="C7009" t="s" s="2">
        <v>15</v>
      </c>
      <c r="D7009" t="s" s="2">
        <v>16</v>
      </c>
      <c r="E7009" t="s" s="2">
        <v>17</v>
      </c>
      <c r="F7009" t="s" s="2">
        <f>HYPERLINK("http://ts.21cn.com/tousu/show/id/1365473","http://ts.21cn.com/tousu/show/id/1365473")</f>
      </c>
      <c r="G7009" t="s" s="2">
        <v>17</v>
      </c>
      <c r="H7009" t="s" s="2">
        <v>19</v>
      </c>
      <c r="I7009" t="s" s="2">
        <v>27114</v>
      </c>
      <c r="J7009" t="s" s="2">
        <v>27115</v>
      </c>
      <c r="K7009" t="s" s="2">
        <v>22</v>
      </c>
      <c r="L7009" t="s" s="2">
        <v>22</v>
      </c>
      <c r="M7009" t="s" s="2">
        <v>22</v>
      </c>
    </row>
    <row r="7010" ht="25.0" customHeight="true">
      <c r="A7010" t="s" s="2">
        <v>13</v>
      </c>
      <c r="B7010" t="s" s="2">
        <f>HYPERLINK("http://ts.21cn.com/tousu/show/id/1365675","Redmi小米手机出故障导致本人损失极大")</f>
      </c>
      <c r="C7010" t="s" s="2">
        <v>15</v>
      </c>
      <c r="D7010" t="s" s="2">
        <v>16</v>
      </c>
      <c r="E7010" t="s" s="2">
        <v>17</v>
      </c>
      <c r="F7010" t="s" s="2">
        <f>HYPERLINK("http://ts.21cn.com/tousu/show/id/1365675","http://ts.21cn.com/tousu/show/id/1365675")</f>
      </c>
      <c r="G7010" t="s" s="2">
        <v>17</v>
      </c>
      <c r="H7010" t="s" s="2">
        <v>19</v>
      </c>
      <c r="I7010" t="s" s="2">
        <v>27118</v>
      </c>
      <c r="J7010" t="s" s="2">
        <v>27119</v>
      </c>
      <c r="K7010" t="s" s="2">
        <v>22</v>
      </c>
      <c r="L7010" t="s" s="2">
        <v>22</v>
      </c>
      <c r="M7010" t="s" s="2">
        <v>22</v>
      </c>
    </row>
    <row r="7011" ht="25.0" customHeight="true">
      <c r="A7011" t="s" s="2">
        <v>13</v>
      </c>
      <c r="B7011" t="s" s="2">
        <f>HYPERLINK("http://ts.21cn.com/tousu/show/id/1365674","轻周转芒果筹故意让人逾期，收取高额逾期费，变相高利贷")</f>
      </c>
      <c r="C7011" t="s" s="2">
        <v>15</v>
      </c>
      <c r="D7011" t="s" s="2">
        <v>16</v>
      </c>
      <c r="E7011" t="s" s="2">
        <v>17</v>
      </c>
      <c r="F7011" t="s" s="2">
        <f>HYPERLINK("http://ts.21cn.com/tousu/show/id/1365674","http://ts.21cn.com/tousu/show/id/1365674")</f>
      </c>
      <c r="G7011" t="s" s="2">
        <v>17</v>
      </c>
      <c r="H7011" t="s" s="2">
        <v>19</v>
      </c>
      <c r="I7011" t="s" s="2">
        <v>27122</v>
      </c>
      <c r="J7011" t="s" s="2">
        <v>27123</v>
      </c>
      <c r="K7011" t="s" s="2">
        <v>22</v>
      </c>
      <c r="L7011" t="s" s="2">
        <v>22</v>
      </c>
      <c r="M7011" t="s" s="2">
        <v>22</v>
      </c>
    </row>
    <row r="7012" ht="25.0" customHeight="true">
      <c r="A7012" t="s" s="2">
        <v>13</v>
      </c>
      <c r="B7012" t="s" s="2">
        <f>HYPERLINK("http://ts.21cn.com/tousu/show/id/1365673","受到威胁骚扰")</f>
      </c>
      <c r="C7012" t="s" s="2">
        <v>15</v>
      </c>
      <c r="D7012" t="s" s="2">
        <v>16</v>
      </c>
      <c r="E7012" t="s" s="2">
        <v>17</v>
      </c>
      <c r="F7012" t="s" s="2">
        <f>HYPERLINK("http://ts.21cn.com/tousu/show/id/1365673","http://ts.21cn.com/tousu/show/id/1365673")</f>
      </c>
      <c r="G7012" t="s" s="2">
        <v>17</v>
      </c>
      <c r="H7012" t="s" s="2">
        <v>19</v>
      </c>
      <c r="I7012" t="s" s="2">
        <v>27126</v>
      </c>
      <c r="J7012" t="s" s="2">
        <v>27127</v>
      </c>
      <c r="K7012" t="s" s="2">
        <v>22</v>
      </c>
      <c r="L7012" t="s" s="2">
        <v>22</v>
      </c>
      <c r="M7012" t="s" s="2">
        <v>22</v>
      </c>
    </row>
    <row r="7013" ht="25.0" customHeight="true">
      <c r="A7013" t="s" s="2">
        <v>13</v>
      </c>
      <c r="B7013" t="s" s="2">
        <f>HYPERLINK("http://ts.21cn.com/tousu/show/id/1365672","贷上钱以买游戏豆为由收取高额贷款通过费")</f>
      </c>
      <c r="C7013" t="s" s="2">
        <v>15</v>
      </c>
      <c r="D7013" t="s" s="2">
        <v>16</v>
      </c>
      <c r="E7013" t="s" s="2">
        <v>17</v>
      </c>
      <c r="F7013" t="s" s="2">
        <f>HYPERLINK("http://ts.21cn.com/tousu/show/id/1365672","http://ts.21cn.com/tousu/show/id/1365672")</f>
      </c>
      <c r="G7013" t="s" s="2">
        <v>17</v>
      </c>
      <c r="H7013" t="s" s="2">
        <v>19</v>
      </c>
      <c r="I7013" t="s" s="2">
        <v>27129</v>
      </c>
      <c r="J7013" t="s" s="2">
        <v>27130</v>
      </c>
      <c r="K7013" t="s" s="2">
        <v>22</v>
      </c>
      <c r="L7013" t="s" s="2">
        <v>22</v>
      </c>
      <c r="M7013" t="s" s="2">
        <v>22</v>
      </c>
    </row>
    <row r="7014" ht="25.0" customHeight="true">
      <c r="A7014" t="s" s="2">
        <v>13</v>
      </c>
      <c r="B7014" t="s" s="2">
        <f>HYPERLINK("http://ts.21cn.com/tousu/show/id/1365671","闪银奇异高利贷，高额逾期费")</f>
      </c>
      <c r="C7014" t="s" s="2">
        <v>15</v>
      </c>
      <c r="D7014" t="s" s="2">
        <v>16</v>
      </c>
      <c r="E7014" t="s" s="2">
        <v>17</v>
      </c>
      <c r="F7014" t="s" s="2">
        <f>HYPERLINK("http://ts.21cn.com/tousu/show/id/1365671","http://ts.21cn.com/tousu/show/id/1365671")</f>
      </c>
      <c r="G7014" t="s" s="2">
        <v>17</v>
      </c>
      <c r="H7014" t="s" s="2">
        <v>19</v>
      </c>
      <c r="I7014" t="s" s="2">
        <v>27133</v>
      </c>
      <c r="J7014" t="s" s="2">
        <v>27134</v>
      </c>
      <c r="K7014" t="s" s="2">
        <v>22</v>
      </c>
      <c r="L7014" t="s" s="2">
        <v>22</v>
      </c>
      <c r="M7014" t="s" s="2">
        <v>22</v>
      </c>
    </row>
    <row r="7015" ht="25.0" customHeight="true">
      <c r="A7015" t="s" s="2">
        <v>13</v>
      </c>
      <c r="B7015" t="s" s="2">
        <f>HYPERLINK("http://ts.21cn.com/tousu/show/id/1365669","投诉爱白条")</f>
      </c>
      <c r="C7015" t="s" s="2">
        <v>15</v>
      </c>
      <c r="D7015" t="s" s="2">
        <v>16</v>
      </c>
      <c r="E7015" t="s" s="2">
        <v>17</v>
      </c>
      <c r="F7015" t="s" s="2">
        <f>HYPERLINK("http://ts.21cn.com/tousu/show/id/1365669","http://ts.21cn.com/tousu/show/id/1365669")</f>
      </c>
      <c r="G7015" t="s" s="2">
        <v>17</v>
      </c>
      <c r="H7015" t="s" s="2">
        <v>19</v>
      </c>
      <c r="I7015" t="s" s="2">
        <v>27137</v>
      </c>
      <c r="J7015" t="s" s="2">
        <v>27138</v>
      </c>
      <c r="K7015" t="s" s="2">
        <v>22</v>
      </c>
      <c r="L7015" t="s" s="2">
        <v>22</v>
      </c>
      <c r="M7015" t="s" s="2">
        <v>22</v>
      </c>
    </row>
    <row r="7016" ht="25.0" customHeight="true">
      <c r="A7016" t="s" s="2">
        <v>13</v>
      </c>
      <c r="B7016" t="s" s="2">
        <f>HYPERLINK("http://ts.21cn.com/tousu/show/id/1365668","退钱")</f>
      </c>
      <c r="C7016" t="s" s="2">
        <v>15</v>
      </c>
      <c r="D7016" t="s" s="2">
        <v>16</v>
      </c>
      <c r="E7016" t="s" s="2">
        <v>17</v>
      </c>
      <c r="F7016" t="s" s="2">
        <f>HYPERLINK("http://ts.21cn.com/tousu/show/id/1365668","http://ts.21cn.com/tousu/show/id/1365668")</f>
      </c>
      <c r="G7016" t="s" s="2">
        <v>17</v>
      </c>
      <c r="H7016" t="s" s="2">
        <v>19</v>
      </c>
      <c r="I7016" t="s" s="2">
        <v>27140</v>
      </c>
      <c r="J7016" t="s" s="2">
        <v>27141</v>
      </c>
      <c r="K7016" t="s" s="2">
        <v>22</v>
      </c>
      <c r="L7016" t="s" s="2">
        <v>22</v>
      </c>
      <c r="M7016" t="s" s="2">
        <v>22</v>
      </c>
    </row>
    <row r="7017" ht="25.0" customHeight="true">
      <c r="A7017" t="s" s="2">
        <v>13</v>
      </c>
      <c r="B7017" t="s" s="2">
        <f>HYPERLINK("http://ts.21cn.com/tousu/show/id/1365670","我充值会员卡并没有在会员里体现")</f>
      </c>
      <c r="C7017" t="s" s="2">
        <v>15</v>
      </c>
      <c r="D7017" t="s" s="2">
        <v>16</v>
      </c>
      <c r="E7017" t="s" s="2">
        <v>17</v>
      </c>
      <c r="F7017" t="s" s="2">
        <f>HYPERLINK("http://ts.21cn.com/tousu/show/id/1365670","http://ts.21cn.com/tousu/show/id/1365670")</f>
      </c>
      <c r="G7017" t="s" s="2">
        <v>17</v>
      </c>
      <c r="H7017" t="s" s="2">
        <v>19</v>
      </c>
      <c r="I7017" t="s" s="2">
        <v>27144</v>
      </c>
      <c r="J7017" t="s" s="2">
        <v>27145</v>
      </c>
      <c r="K7017" t="s" s="2">
        <v>22</v>
      </c>
      <c r="L7017" t="s" s="2">
        <v>22</v>
      </c>
      <c r="M7017" t="s" s="2">
        <v>22</v>
      </c>
    </row>
    <row r="7018" ht="25.0" customHeight="true">
      <c r="A7018" t="s" s="2">
        <v>13</v>
      </c>
      <c r="B7018" t="s" s="2">
        <f>HYPERLINK("http://ts.21cn.com/tousu/show/id/1365666","利率过高")</f>
      </c>
      <c r="C7018" t="s" s="2">
        <v>52</v>
      </c>
      <c r="D7018" t="s" s="2">
        <v>16</v>
      </c>
      <c r="E7018" t="s" s="2">
        <v>17</v>
      </c>
      <c r="F7018" t="s" s="2">
        <f>HYPERLINK("http://ts.21cn.com/tousu/show/id/1365666","http://ts.21cn.com/tousu/show/id/1365666")</f>
      </c>
      <c r="G7018" t="s" s="2">
        <v>17</v>
      </c>
      <c r="H7018" t="s" s="2">
        <v>19</v>
      </c>
      <c r="I7018" t="s" s="2">
        <v>27148</v>
      </c>
      <c r="J7018" t="s" s="2">
        <v>27149</v>
      </c>
      <c r="K7018" t="s" s="2">
        <v>22</v>
      </c>
      <c r="L7018" t="s" s="2">
        <v>22</v>
      </c>
      <c r="M7018" t="s" s="2">
        <v>22</v>
      </c>
    </row>
    <row r="7019" ht="25.0" customHeight="true">
      <c r="A7019" t="s" s="2">
        <v>13</v>
      </c>
      <c r="B7019" t="s" s="2">
        <f>HYPERLINK("http://ts.21cn.com/tousu/show/id/1365667","高额砍头息")</f>
      </c>
      <c r="C7019" t="s" s="2">
        <v>52</v>
      </c>
      <c r="D7019" t="s" s="2">
        <v>16</v>
      </c>
      <c r="E7019" t="s" s="2">
        <v>17</v>
      </c>
      <c r="F7019" t="s" s="2">
        <f>HYPERLINK("http://ts.21cn.com/tousu/show/id/1365667","http://ts.21cn.com/tousu/show/id/1365667")</f>
      </c>
      <c r="G7019" t="s" s="2">
        <v>17</v>
      </c>
      <c r="H7019" t="s" s="2">
        <v>19</v>
      </c>
      <c r="I7019" t="s" s="2">
        <v>27148</v>
      </c>
      <c r="J7019" t="s" s="2">
        <v>27152</v>
      </c>
      <c r="K7019" t="s" s="2">
        <v>22</v>
      </c>
      <c r="L7019" t="s" s="2">
        <v>22</v>
      </c>
      <c r="M7019" t="s" s="2">
        <v>22</v>
      </c>
    </row>
    <row r="7020" ht="25.0" customHeight="true">
      <c r="A7020" t="s" s="2">
        <v>13</v>
      </c>
      <c r="B7020" t="s" s="2">
        <f>HYPERLINK("http://ts.21cn.com/tousu/show/id/1365664","催收打电话去公司进行骚扰")</f>
      </c>
      <c r="C7020" t="s" s="2">
        <v>15</v>
      </c>
      <c r="D7020" t="s" s="2">
        <v>16</v>
      </c>
      <c r="E7020" t="s" s="2">
        <v>17</v>
      </c>
      <c r="F7020" t="s" s="2">
        <f>HYPERLINK("http://ts.21cn.com/tousu/show/id/1365664","http://ts.21cn.com/tousu/show/id/1365664")</f>
      </c>
      <c r="G7020" t="s" s="2">
        <v>17</v>
      </c>
      <c r="H7020" t="s" s="2">
        <v>19</v>
      </c>
      <c r="I7020" t="s" s="2">
        <v>27155</v>
      </c>
      <c r="J7020" t="s" s="2">
        <v>27156</v>
      </c>
      <c r="K7020" t="s" s="2">
        <v>22</v>
      </c>
      <c r="L7020" t="s" s="2">
        <v>22</v>
      </c>
      <c r="M7020" t="s" s="2">
        <v>22</v>
      </c>
    </row>
    <row r="7021" ht="25.0" customHeight="true">
      <c r="A7021" t="s" s="2">
        <v>13</v>
      </c>
      <c r="B7021" t="s" s="2">
        <f>HYPERLINK("http://ts.21cn.com/tousu/show/id/1365661","宜信宜人贷高额收取代款利息及砍头息5万多元")</f>
      </c>
      <c r="C7021" t="s" s="2">
        <v>15</v>
      </c>
      <c r="D7021" t="s" s="2">
        <v>16</v>
      </c>
      <c r="E7021" t="s" s="2">
        <v>17</v>
      </c>
      <c r="F7021" t="s" s="2">
        <f>HYPERLINK("http://ts.21cn.com/tousu/show/id/1365661","http://ts.21cn.com/tousu/show/id/1365661")</f>
      </c>
      <c r="G7021" t="s" s="2">
        <v>17</v>
      </c>
      <c r="H7021" t="s" s="2">
        <v>19</v>
      </c>
      <c r="I7021" t="s" s="2">
        <v>27158</v>
      </c>
      <c r="J7021" t="s" s="2">
        <v>27159</v>
      </c>
      <c r="K7021" t="s" s="2">
        <v>22</v>
      </c>
      <c r="L7021" t="s" s="2">
        <v>22</v>
      </c>
      <c r="M7021" t="s" s="2">
        <v>22</v>
      </c>
    </row>
    <row r="7022" ht="25.0" customHeight="true">
      <c r="A7022" t="s" s="2">
        <v>13</v>
      </c>
      <c r="B7022" t="s" s="2">
        <f>HYPERLINK("http://ts.21cn.com/tousu/show/id/1365662","众安保险违规捆绑销售保险")</f>
      </c>
      <c r="C7022" t="s" s="2">
        <v>15</v>
      </c>
      <c r="D7022" t="s" s="2">
        <v>16</v>
      </c>
      <c r="E7022" t="s" s="2">
        <v>17</v>
      </c>
      <c r="F7022" t="s" s="2">
        <f>HYPERLINK("http://ts.21cn.com/tousu/show/id/1365662","http://ts.21cn.com/tousu/show/id/1365662")</f>
      </c>
      <c r="G7022" t="s" s="2">
        <v>17</v>
      </c>
      <c r="H7022" t="s" s="2">
        <v>19</v>
      </c>
      <c r="I7022" t="s" s="2">
        <v>27162</v>
      </c>
      <c r="J7022" t="s" s="2">
        <v>27163</v>
      </c>
      <c r="K7022" t="s" s="2">
        <v>22</v>
      </c>
      <c r="L7022" t="s" s="2">
        <v>22</v>
      </c>
      <c r="M7022" t="s" s="2">
        <v>22</v>
      </c>
    </row>
    <row r="7023" ht="25.0" customHeight="true">
      <c r="A7023" t="s" s="2">
        <v>13</v>
      </c>
      <c r="B7023" t="s" s="2">
        <f>HYPERLINK("http://ts.21cn.com/tousu/show/id/1365660","广发银行严重恶意搔扰我的家人和朋友")</f>
      </c>
      <c r="C7023" t="s" s="2">
        <v>15</v>
      </c>
      <c r="D7023" t="s" s="2">
        <v>16</v>
      </c>
      <c r="E7023" t="s" s="2">
        <v>17</v>
      </c>
      <c r="F7023" t="s" s="2">
        <f>HYPERLINK("http://ts.21cn.com/tousu/show/id/1365660","http://ts.21cn.com/tousu/show/id/1365660")</f>
      </c>
      <c r="G7023" t="s" s="2">
        <v>17</v>
      </c>
      <c r="H7023" t="s" s="2">
        <v>19</v>
      </c>
      <c r="I7023" t="s" s="2">
        <v>27166</v>
      </c>
      <c r="J7023" t="s" s="2">
        <v>27167</v>
      </c>
      <c r="K7023" t="s" s="2">
        <v>22</v>
      </c>
      <c r="L7023" t="s" s="2">
        <v>22</v>
      </c>
      <c r="M7023" t="s" s="2">
        <v>22</v>
      </c>
    </row>
    <row r="7024" ht="25.0" customHeight="true">
      <c r="A7024" t="s" s="2">
        <v>13</v>
      </c>
      <c r="B7024" t="s" s="2">
        <f>HYPERLINK("http://ts.21cn.com/tousu/show/id/1365659","贷上钱逾期一天骚扰家人暴力催收")</f>
      </c>
      <c r="C7024" t="s" s="2">
        <v>15</v>
      </c>
      <c r="D7024" t="s" s="2">
        <v>16</v>
      </c>
      <c r="E7024" t="s" s="2">
        <v>17</v>
      </c>
      <c r="F7024" t="s" s="2">
        <f>HYPERLINK("http://ts.21cn.com/tousu/show/id/1365659","http://ts.21cn.com/tousu/show/id/1365659")</f>
      </c>
      <c r="G7024" t="s" s="2">
        <v>17</v>
      </c>
      <c r="H7024" t="s" s="2">
        <v>19</v>
      </c>
      <c r="I7024" t="s" s="2">
        <v>27170</v>
      </c>
      <c r="J7024" t="s" s="2">
        <v>27171</v>
      </c>
      <c r="K7024" t="s" s="2">
        <v>22</v>
      </c>
      <c r="L7024" t="s" s="2">
        <v>22</v>
      </c>
      <c r="M7024" t="s" s="2">
        <v>22</v>
      </c>
    </row>
    <row r="7025" ht="25.0" customHeight="true">
      <c r="A7025" t="s" s="2">
        <v>13</v>
      </c>
      <c r="B7025" t="s" s="2">
        <f>HYPERLINK("http://ts.21cn.com/tousu/show/id/1365658","威胁暴力辱骂")</f>
      </c>
      <c r="C7025" t="s" s="2">
        <v>15</v>
      </c>
      <c r="D7025" t="s" s="2">
        <v>16</v>
      </c>
      <c r="E7025" t="s" s="2">
        <v>17</v>
      </c>
      <c r="F7025" t="s" s="2">
        <f>HYPERLINK("http://ts.21cn.com/tousu/show/id/1365658","http://ts.21cn.com/tousu/show/id/1365658")</f>
      </c>
      <c r="G7025" t="s" s="2">
        <v>17</v>
      </c>
      <c r="H7025" t="s" s="2">
        <v>19</v>
      </c>
      <c r="I7025" t="s" s="2">
        <v>27174</v>
      </c>
      <c r="J7025" t="s" s="2">
        <v>27175</v>
      </c>
      <c r="K7025" t="s" s="2">
        <v>22</v>
      </c>
      <c r="L7025" t="s" s="2">
        <v>22</v>
      </c>
      <c r="M7025" t="s" s="2">
        <v>22</v>
      </c>
    </row>
    <row r="7026" ht="25.0" customHeight="true">
      <c r="A7026" t="s" s="2">
        <v>13</v>
      </c>
      <c r="B7026" t="s" s="2">
        <f>HYPERLINK("http://ts.21cn.com/tousu/show/id/1365657","平安银行骚扰联系人")</f>
      </c>
      <c r="C7026" t="s" s="2">
        <v>15</v>
      </c>
      <c r="D7026" t="s" s="2">
        <v>16</v>
      </c>
      <c r="E7026" t="s" s="2">
        <v>17</v>
      </c>
      <c r="F7026" t="s" s="2">
        <f>HYPERLINK("http://ts.21cn.com/tousu/show/id/1365657","http://ts.21cn.com/tousu/show/id/1365657")</f>
      </c>
      <c r="G7026" t="s" s="2">
        <v>17</v>
      </c>
      <c r="H7026" t="s" s="2">
        <v>19</v>
      </c>
      <c r="I7026" t="s" s="2">
        <v>27178</v>
      </c>
      <c r="J7026" t="s" s="2">
        <v>27179</v>
      </c>
      <c r="K7026" t="s" s="2">
        <v>22</v>
      </c>
      <c r="L7026" t="s" s="2">
        <v>22</v>
      </c>
      <c r="M7026" t="s" s="2">
        <v>22</v>
      </c>
    </row>
    <row r="7027" ht="25.0" customHeight="true">
      <c r="A7027" t="s" s="2">
        <v>13</v>
      </c>
      <c r="B7027" t="s" s="2">
        <f>HYPERLINK("http://ts.21cn.com/tousu/show/id/1365656","收取砍头息，高利息")</f>
      </c>
      <c r="C7027" t="s" s="2">
        <v>52</v>
      </c>
      <c r="D7027" t="s" s="2">
        <v>16</v>
      </c>
      <c r="E7027" t="s" s="2">
        <v>17</v>
      </c>
      <c r="F7027" t="s" s="2">
        <f>HYPERLINK("http://ts.21cn.com/tousu/show/id/1365656","http://ts.21cn.com/tousu/show/id/1365656")</f>
      </c>
      <c r="G7027" t="s" s="2">
        <v>17</v>
      </c>
      <c r="H7027" t="s" s="2">
        <v>19</v>
      </c>
      <c r="I7027" t="s" s="2">
        <v>27182</v>
      </c>
      <c r="J7027" t="s" s="2">
        <v>27183</v>
      </c>
      <c r="K7027" t="s" s="2">
        <v>22</v>
      </c>
      <c r="L7027" t="s" s="2">
        <v>22</v>
      </c>
      <c r="M7027" t="s" s="2">
        <v>22</v>
      </c>
    </row>
    <row r="7028" ht="25.0" customHeight="true">
      <c r="A7028" t="s" s="2">
        <v>13</v>
      </c>
      <c r="B7028" t="s" s="2">
        <f>HYPERLINK("http://ts.21cn.com/tousu/show/id/1365655","威胁，恐吓，骚扰")</f>
      </c>
      <c r="C7028" t="s" s="2">
        <v>15</v>
      </c>
      <c r="D7028" t="s" s="2">
        <v>16</v>
      </c>
      <c r="E7028" t="s" s="2">
        <v>17</v>
      </c>
      <c r="F7028" t="s" s="2">
        <f>HYPERLINK("http://ts.21cn.com/tousu/show/id/1365655","http://ts.21cn.com/tousu/show/id/1365655")</f>
      </c>
      <c r="G7028" t="s" s="2">
        <v>17</v>
      </c>
      <c r="H7028" t="s" s="2">
        <v>19</v>
      </c>
      <c r="I7028" t="s" s="2">
        <v>27186</v>
      </c>
      <c r="J7028" t="s" s="2">
        <v>27187</v>
      </c>
      <c r="K7028" t="s" s="2">
        <v>22</v>
      </c>
      <c r="L7028" t="s" s="2">
        <v>22</v>
      </c>
      <c r="M7028" t="s" s="2">
        <v>22</v>
      </c>
    </row>
    <row r="7029" ht="25.0" customHeight="true">
      <c r="A7029" t="s" s="2">
        <v>13</v>
      </c>
      <c r="B7029" t="s" s="2">
        <f>HYPERLINK("http://ts.21cn.com/tousu/show/id/1365654","恶意扣款，")</f>
      </c>
      <c r="C7029" t="s" s="2">
        <v>15</v>
      </c>
      <c r="D7029" t="s" s="2">
        <v>16</v>
      </c>
      <c r="E7029" t="s" s="2">
        <v>17</v>
      </c>
      <c r="F7029" t="s" s="2">
        <f>HYPERLINK("http://ts.21cn.com/tousu/show/id/1365654","http://ts.21cn.com/tousu/show/id/1365654")</f>
      </c>
      <c r="G7029" t="s" s="2">
        <v>17</v>
      </c>
      <c r="H7029" t="s" s="2">
        <v>19</v>
      </c>
      <c r="I7029" t="s" s="2">
        <v>27190</v>
      </c>
      <c r="J7029" t="s" s="2">
        <v>27191</v>
      </c>
      <c r="K7029" t="s" s="2">
        <v>22</v>
      </c>
      <c r="L7029" t="s" s="2">
        <v>22</v>
      </c>
      <c r="M7029" t="s" s="2">
        <v>22</v>
      </c>
    </row>
    <row r="7030" ht="25.0" customHeight="true">
      <c r="A7030" t="s" s="2">
        <v>13</v>
      </c>
      <c r="B7030" t="s" s="2">
        <f>HYPERLINK("http://ts.21cn.com/tousu/show/id/1365653","后宫娴妃传对于玩家没有限定管理不严格，微信随意充值")</f>
      </c>
      <c r="C7030" t="s" s="2">
        <v>15</v>
      </c>
      <c r="D7030" t="s" s="2">
        <v>16</v>
      </c>
      <c r="E7030" t="s" s="2">
        <v>17</v>
      </c>
      <c r="F7030" t="s" s="2">
        <f>HYPERLINK("http://ts.21cn.com/tousu/show/id/1365653","http://ts.21cn.com/tousu/show/id/1365653")</f>
      </c>
      <c r="G7030" t="s" s="2">
        <v>17</v>
      </c>
      <c r="H7030" t="s" s="2">
        <v>19</v>
      </c>
      <c r="I7030" t="s" s="2">
        <v>27194</v>
      </c>
      <c r="J7030" t="s" s="2">
        <v>27195</v>
      </c>
      <c r="K7030" t="s" s="2">
        <v>22</v>
      </c>
      <c r="L7030" t="s" s="2">
        <v>22</v>
      </c>
      <c r="M7030" t="s" s="2">
        <v>22</v>
      </c>
    </row>
    <row r="7031" ht="25.0" customHeight="true">
      <c r="A7031" t="s" s="2">
        <v>13</v>
      </c>
      <c r="B7031" t="s" s="2">
        <f>HYPERLINK("http://ts.21cn.com/tousu/show/id/1365513","9月19号联通王卡助手里买的手机，9月25日申请退款到现在联通华盛电商一直不退款")</f>
      </c>
      <c r="C7031" t="s" s="2">
        <v>15</v>
      </c>
      <c r="D7031" t="s" s="2">
        <v>16</v>
      </c>
      <c r="E7031" t="s" s="2">
        <v>17</v>
      </c>
      <c r="F7031" t="s" s="2">
        <f>HYPERLINK("http://ts.21cn.com/tousu/show/id/1365513","http://ts.21cn.com/tousu/show/id/1365513")</f>
      </c>
      <c r="G7031" t="s" s="2">
        <v>17</v>
      </c>
      <c r="H7031" t="s" s="2">
        <v>19</v>
      </c>
      <c r="I7031" t="s" s="2">
        <v>27198</v>
      </c>
      <c r="J7031" t="s" s="2">
        <v>27199</v>
      </c>
      <c r="K7031" t="s" s="2">
        <v>22</v>
      </c>
      <c r="L7031" t="s" s="2">
        <v>22</v>
      </c>
      <c r="M7031" t="s" s="2">
        <v>22</v>
      </c>
    </row>
    <row r="7032" ht="25.0" customHeight="true">
      <c r="A7032" t="s" s="2">
        <v>13</v>
      </c>
      <c r="B7032" t="s" s="2">
        <f>HYPERLINK("http://ts.21cn.com/tousu/show/id/1365651","快闪卡贷")</f>
      </c>
      <c r="C7032" t="s" s="2">
        <v>15</v>
      </c>
      <c r="D7032" t="s" s="2">
        <v>16</v>
      </c>
      <c r="E7032" t="s" s="2">
        <v>17</v>
      </c>
      <c r="F7032" t="s" s="2">
        <f>HYPERLINK("http://ts.21cn.com/tousu/show/id/1365651","http://ts.21cn.com/tousu/show/id/1365651")</f>
      </c>
      <c r="G7032" t="s" s="2">
        <v>17</v>
      </c>
      <c r="H7032" t="s" s="2">
        <v>19</v>
      </c>
      <c r="I7032" t="s" s="2">
        <v>27201</v>
      </c>
      <c r="J7032" t="s" s="2">
        <v>27202</v>
      </c>
      <c r="K7032" t="s" s="2">
        <v>22</v>
      </c>
      <c r="L7032" t="s" s="2">
        <v>22</v>
      </c>
      <c r="M7032" t="s" s="2">
        <v>22</v>
      </c>
    </row>
    <row r="7033" ht="25.0" customHeight="true">
      <c r="A7033" t="s" s="2">
        <v>13</v>
      </c>
      <c r="B7033" t="s" s="2">
        <f>HYPERLINK("http://ts.21cn.com/tousu/show/id/1365650","汇潮支付平台给6天高炮左右钱包，违规提供支付渠道，高利贷，砍头息！")</f>
      </c>
      <c r="C7033" t="s" s="2">
        <v>15</v>
      </c>
      <c r="D7033" t="s" s="2">
        <v>16</v>
      </c>
      <c r="E7033" t="s" s="2">
        <v>17</v>
      </c>
      <c r="F7033" t="s" s="2">
        <f>HYPERLINK("http://ts.21cn.com/tousu/show/id/1365650","http://ts.21cn.com/tousu/show/id/1365650")</f>
      </c>
      <c r="G7033" t="s" s="2">
        <v>17</v>
      </c>
      <c r="H7033" t="s" s="2">
        <v>19</v>
      </c>
      <c r="I7033" t="s" s="2">
        <v>27205</v>
      </c>
      <c r="J7033" t="s" s="2">
        <v>27206</v>
      </c>
      <c r="K7033" t="s" s="2">
        <v>22</v>
      </c>
      <c r="L7033" t="s" s="2">
        <v>22</v>
      </c>
      <c r="M7033" t="s" s="2">
        <v>22</v>
      </c>
    </row>
    <row r="7034" ht="25.0" customHeight="true">
      <c r="A7034" t="s" s="2">
        <v>13</v>
      </c>
      <c r="B7034" t="s" s="2">
        <f>HYPERLINK("http://ts.21cn.com/tousu/show/id/1365489","求尚德还一个公道8880元还回来吧")</f>
      </c>
      <c r="C7034" t="s" s="2">
        <v>15</v>
      </c>
      <c r="D7034" t="s" s="2">
        <v>16</v>
      </c>
      <c r="E7034" t="s" s="2">
        <v>17</v>
      </c>
      <c r="F7034" t="s" s="2">
        <f>HYPERLINK("http://ts.21cn.com/tousu/show/id/1365489","http://ts.21cn.com/tousu/show/id/1365489")</f>
      </c>
      <c r="G7034" t="s" s="2">
        <v>17</v>
      </c>
      <c r="H7034" t="s" s="2">
        <v>19</v>
      </c>
      <c r="I7034" t="s" s="2">
        <v>27209</v>
      </c>
      <c r="J7034" t="s" s="2">
        <v>27210</v>
      </c>
      <c r="K7034" t="s" s="2">
        <v>22</v>
      </c>
      <c r="L7034" t="s" s="2">
        <v>22</v>
      </c>
      <c r="M7034" t="s" s="2">
        <v>22</v>
      </c>
    </row>
    <row r="7035" ht="25.0" customHeight="true">
      <c r="A7035" t="s" s="2">
        <v>13</v>
      </c>
      <c r="B7035" t="s" s="2">
        <f>HYPERLINK("http://ts.21cn.com/tousu/show/id/1365649","中国银联为多个714高利贷平台提供支付渠道")</f>
      </c>
      <c r="C7035" t="s" s="2">
        <v>15</v>
      </c>
      <c r="D7035" t="s" s="2">
        <v>16</v>
      </c>
      <c r="E7035" t="s" s="2">
        <v>17</v>
      </c>
      <c r="F7035" t="s" s="2">
        <f>HYPERLINK("http://ts.21cn.com/tousu/show/id/1365649","http://ts.21cn.com/tousu/show/id/1365649")</f>
      </c>
      <c r="G7035" t="s" s="2">
        <v>17</v>
      </c>
      <c r="H7035" t="s" s="2">
        <v>19</v>
      </c>
      <c r="I7035" t="s" s="2">
        <v>27213</v>
      </c>
      <c r="J7035" t="s" s="2">
        <v>27214</v>
      </c>
      <c r="K7035" t="s" s="2">
        <v>22</v>
      </c>
      <c r="L7035" t="s" s="2">
        <v>22</v>
      </c>
      <c r="M7035" t="s" s="2">
        <v>22</v>
      </c>
    </row>
    <row r="7036" ht="25.0" customHeight="true">
      <c r="A7036" t="s" s="2">
        <v>13</v>
      </c>
      <c r="B7036" t="s" s="2">
        <f>HYPERLINK("http://ts.21cn.com/tousu/show/id/1365647","京东金融骚扰通讯录联系人")</f>
      </c>
      <c r="C7036" t="s" s="2">
        <v>15</v>
      </c>
      <c r="D7036" t="s" s="2">
        <v>16</v>
      </c>
      <c r="E7036" t="s" s="2">
        <v>17</v>
      </c>
      <c r="F7036" t="s" s="2">
        <f>HYPERLINK("http://ts.21cn.com/tousu/show/id/1365647","http://ts.21cn.com/tousu/show/id/1365647")</f>
      </c>
      <c r="G7036" t="s" s="2">
        <v>17</v>
      </c>
      <c r="H7036" t="s" s="2">
        <v>19</v>
      </c>
      <c r="I7036" t="s" s="2">
        <v>27217</v>
      </c>
      <c r="J7036" t="s" s="2">
        <v>27218</v>
      </c>
      <c r="K7036" t="s" s="2">
        <v>22</v>
      </c>
      <c r="L7036" t="s" s="2">
        <v>22</v>
      </c>
      <c r="M7036" t="s" s="2">
        <v>22</v>
      </c>
    </row>
    <row r="7037" ht="25.0" customHeight="true">
      <c r="A7037" t="s" s="2">
        <v>13</v>
      </c>
      <c r="B7037" t="s" s="2">
        <f>HYPERLINK("http://ts.21cn.com/tousu/show/id/1365646","来电充电宝不提醒用户")</f>
      </c>
      <c r="C7037" t="s" s="2">
        <v>15</v>
      </c>
      <c r="D7037" t="s" s="2">
        <v>16</v>
      </c>
      <c r="E7037" t="s" s="2">
        <v>17</v>
      </c>
      <c r="F7037" t="s" s="2">
        <f>HYPERLINK("http://ts.21cn.com/tousu/show/id/1365646","http://ts.21cn.com/tousu/show/id/1365646")</f>
      </c>
      <c r="G7037" t="s" s="2">
        <v>17</v>
      </c>
      <c r="H7037" t="s" s="2">
        <v>19</v>
      </c>
      <c r="I7037" t="s" s="2">
        <v>27221</v>
      </c>
      <c r="J7037" t="s" s="2">
        <v>27222</v>
      </c>
      <c r="K7037" t="s" s="2">
        <v>22</v>
      </c>
      <c r="L7037" t="s" s="2">
        <v>22</v>
      </c>
      <c r="M7037" t="s" s="2">
        <v>22</v>
      </c>
    </row>
    <row r="7038" ht="25.0" customHeight="true">
      <c r="A7038" t="s" s="2">
        <v>13</v>
      </c>
      <c r="B7038" t="s" s="2">
        <f>HYPERLINK("http://ts.21cn.com/tousu/show/id/1365648","钱伴高利贷请求结清调整利率")</f>
      </c>
      <c r="C7038" t="s" s="2">
        <v>15</v>
      </c>
      <c r="D7038" t="s" s="2">
        <v>16</v>
      </c>
      <c r="E7038" t="s" s="2">
        <v>17</v>
      </c>
      <c r="F7038" t="s" s="2">
        <f>HYPERLINK("http://ts.21cn.com/tousu/show/id/1365648","http://ts.21cn.com/tousu/show/id/1365648")</f>
      </c>
      <c r="G7038" t="s" s="2">
        <v>17</v>
      </c>
      <c r="H7038" t="s" s="2">
        <v>19</v>
      </c>
      <c r="I7038" t="s" s="2">
        <v>27225</v>
      </c>
      <c r="J7038" t="s" s="2">
        <v>27226</v>
      </c>
      <c r="K7038" t="s" s="2">
        <v>22</v>
      </c>
      <c r="L7038" t="s" s="2">
        <v>22</v>
      </c>
      <c r="M7038" t="s" s="2">
        <v>22</v>
      </c>
    </row>
    <row r="7039" ht="25.0" customHeight="true">
      <c r="A7039" t="s" s="2">
        <v>13</v>
      </c>
      <c r="B7039" t="s" s="2">
        <f>HYPERLINK("http://ts.21cn.com/tousu/show/id/1365644","拼趣多平台保证金不给退还霸王条例只退一半还威胁以后打三折退款")</f>
      </c>
      <c r="C7039" t="s" s="2">
        <v>15</v>
      </c>
      <c r="D7039" t="s" s="2">
        <v>16</v>
      </c>
      <c r="E7039" t="s" s="2">
        <v>17</v>
      </c>
      <c r="F7039" t="s" s="2">
        <f>HYPERLINK("http://ts.21cn.com/tousu/show/id/1365644","http://ts.21cn.com/tousu/show/id/1365644")</f>
      </c>
      <c r="G7039" t="s" s="2">
        <v>17</v>
      </c>
      <c r="H7039" t="s" s="2">
        <v>19</v>
      </c>
      <c r="I7039" t="s" s="2">
        <v>27229</v>
      </c>
      <c r="J7039" t="s" s="2">
        <v>27230</v>
      </c>
      <c r="K7039" t="s" s="2">
        <v>22</v>
      </c>
      <c r="L7039" t="s" s="2">
        <v>22</v>
      </c>
      <c r="M7039" t="s" s="2">
        <v>22</v>
      </c>
    </row>
    <row r="7040" ht="25.0" customHeight="true">
      <c r="A7040" t="s" s="2">
        <v>13</v>
      </c>
      <c r="B7040" t="s" s="2">
        <f>HYPERLINK("http://ts.21cn.com/tousu/show/id/1365645","立借高利贷暴力催收爆通讯录")</f>
      </c>
      <c r="C7040" t="s" s="2">
        <v>15</v>
      </c>
      <c r="D7040" t="s" s="2">
        <v>16</v>
      </c>
      <c r="E7040" t="s" s="2">
        <v>17</v>
      </c>
      <c r="F7040" t="s" s="2">
        <f>HYPERLINK("http://ts.21cn.com/tousu/show/id/1365645","http://ts.21cn.com/tousu/show/id/1365645")</f>
      </c>
      <c r="G7040" t="s" s="2">
        <v>17</v>
      </c>
      <c r="H7040" t="s" s="2">
        <v>19</v>
      </c>
      <c r="I7040" t="s" s="2">
        <v>27233</v>
      </c>
      <c r="J7040" t="s" s="2">
        <v>27234</v>
      </c>
      <c r="K7040" t="s" s="2">
        <v>22</v>
      </c>
      <c r="L7040" t="s" s="2">
        <v>22</v>
      </c>
      <c r="M7040" t="s" s="2">
        <v>22</v>
      </c>
    </row>
    <row r="7041" ht="25.0" customHeight="true">
      <c r="A7041" t="s" s="2">
        <v>13</v>
      </c>
      <c r="B7041" t="s" s="2">
        <f>HYPERLINK("http://ts.21cn.com/tousu/show/id/1365643","你我贷收取砍头息退还")</f>
      </c>
      <c r="C7041" t="s" s="2">
        <v>15</v>
      </c>
      <c r="D7041" t="s" s="2">
        <v>16</v>
      </c>
      <c r="E7041" t="s" s="2">
        <v>17</v>
      </c>
      <c r="F7041" t="s" s="2">
        <f>HYPERLINK("http://ts.21cn.com/tousu/show/id/1365643","http://ts.21cn.com/tousu/show/id/1365643")</f>
      </c>
      <c r="G7041" t="s" s="2">
        <v>17</v>
      </c>
      <c r="H7041" t="s" s="2">
        <v>19</v>
      </c>
      <c r="I7041" t="s" s="2">
        <v>27237</v>
      </c>
      <c r="J7041" t="s" s="2">
        <v>27238</v>
      </c>
      <c r="K7041" t="s" s="2">
        <v>22</v>
      </c>
      <c r="L7041" t="s" s="2">
        <v>22</v>
      </c>
      <c r="M7041" t="s" s="2">
        <v>22</v>
      </c>
    </row>
    <row r="7042" ht="25.0" customHeight="true">
      <c r="A7042" t="s" s="2">
        <v>13</v>
      </c>
      <c r="B7042" t="s" s="2">
        <f>HYPERLINK("http://ts.21cn.com/tousu/show/id/1365642","暴力催收")</f>
      </c>
      <c r="C7042" t="s" s="2">
        <v>15</v>
      </c>
      <c r="D7042" t="s" s="2">
        <v>16</v>
      </c>
      <c r="E7042" t="s" s="2">
        <v>17</v>
      </c>
      <c r="F7042" t="s" s="2">
        <f>HYPERLINK("http://ts.21cn.com/tousu/show/id/1365642","http://ts.21cn.com/tousu/show/id/1365642")</f>
      </c>
      <c r="G7042" t="s" s="2">
        <v>17</v>
      </c>
      <c r="H7042" t="s" s="2">
        <v>19</v>
      </c>
      <c r="I7042" t="s" s="2">
        <v>27240</v>
      </c>
      <c r="J7042" t="s" s="2">
        <v>27241</v>
      </c>
      <c r="K7042" t="s" s="2">
        <v>22</v>
      </c>
      <c r="L7042" t="s" s="2">
        <v>22</v>
      </c>
      <c r="M7042" t="s" s="2">
        <v>22</v>
      </c>
    </row>
    <row r="7043" ht="25.0" customHeight="true">
      <c r="A7043" t="s" s="2">
        <v>13</v>
      </c>
      <c r="B7043" t="s" s="2">
        <f>HYPERLINK("http://ts.21cn.com/tousu/show/id/1365640","浦发催收打电话频繁，还给我朋友们打电话")</f>
      </c>
      <c r="C7043" t="s" s="2">
        <v>15</v>
      </c>
      <c r="D7043" t="s" s="2">
        <v>16</v>
      </c>
      <c r="E7043" t="s" s="2">
        <v>17</v>
      </c>
      <c r="F7043" t="s" s="2">
        <f>HYPERLINK("http://ts.21cn.com/tousu/show/id/1365640","http://ts.21cn.com/tousu/show/id/1365640")</f>
      </c>
      <c r="G7043" t="s" s="2">
        <v>17</v>
      </c>
      <c r="H7043" t="s" s="2">
        <v>19</v>
      </c>
      <c r="I7043" t="s" s="2">
        <v>27244</v>
      </c>
      <c r="J7043" t="s" s="2">
        <v>27245</v>
      </c>
      <c r="K7043" t="s" s="2">
        <v>22</v>
      </c>
      <c r="L7043" t="s" s="2">
        <v>22</v>
      </c>
      <c r="M7043" t="s" s="2">
        <v>22</v>
      </c>
    </row>
    <row r="7044" ht="25.0" customHeight="true">
      <c r="A7044" t="s" s="2">
        <v>13</v>
      </c>
      <c r="B7044" t="s" s="2">
        <f>HYPERLINK("http://ts.21cn.com/tousu/show/id/1365639","捷信高额利息逼死借款人")</f>
      </c>
      <c r="C7044" t="s" s="2">
        <v>15</v>
      </c>
      <c r="D7044" t="s" s="2">
        <v>16</v>
      </c>
      <c r="E7044" t="s" s="2">
        <v>17</v>
      </c>
      <c r="F7044" t="s" s="2">
        <f>HYPERLINK("http://ts.21cn.com/tousu/show/id/1365639","http://ts.21cn.com/tousu/show/id/1365639")</f>
      </c>
      <c r="G7044" t="s" s="2">
        <v>17</v>
      </c>
      <c r="H7044" t="s" s="2">
        <v>19</v>
      </c>
      <c r="I7044" t="s" s="2">
        <v>27248</v>
      </c>
      <c r="J7044" t="s" s="2">
        <v>27249</v>
      </c>
      <c r="K7044" t="s" s="2">
        <v>22</v>
      </c>
      <c r="L7044" t="s" s="2">
        <v>22</v>
      </c>
      <c r="M7044" t="s" s="2">
        <v>22</v>
      </c>
    </row>
    <row r="7045" ht="25.0" customHeight="true">
      <c r="A7045" t="s" s="2">
        <v>13</v>
      </c>
      <c r="B7045" t="s" s="2">
        <f>HYPERLINK("http://ts.21cn.com/tousu/show/id/1365637","人人贷，黑心网贷")</f>
      </c>
      <c r="C7045" t="s" s="2">
        <v>15</v>
      </c>
      <c r="D7045" t="s" s="2">
        <v>16</v>
      </c>
      <c r="E7045" t="s" s="2">
        <v>17</v>
      </c>
      <c r="F7045" t="s" s="2">
        <f>HYPERLINK("http://ts.21cn.com/tousu/show/id/1365637","http://ts.21cn.com/tousu/show/id/1365637")</f>
      </c>
      <c r="G7045" t="s" s="2">
        <v>17</v>
      </c>
      <c r="H7045" t="s" s="2">
        <v>19</v>
      </c>
      <c r="I7045" t="s" s="2">
        <v>27252</v>
      </c>
      <c r="J7045" t="s" s="2">
        <v>27253</v>
      </c>
      <c r="K7045" t="s" s="2">
        <v>22</v>
      </c>
      <c r="L7045" t="s" s="2">
        <v>22</v>
      </c>
      <c r="M7045" t="s" s="2">
        <v>22</v>
      </c>
    </row>
    <row r="7046" ht="25.0" customHeight="true">
      <c r="A7046" t="s" s="2">
        <v>13</v>
      </c>
      <c r="B7046" t="s" s="2">
        <f>HYPERLINK("http://ts.21cn.com/tousu/show/id/1365636","支付宝免密被恶意软件扣款")</f>
      </c>
      <c r="C7046" t="s" s="2">
        <v>15</v>
      </c>
      <c r="D7046" t="s" s="2">
        <v>16</v>
      </c>
      <c r="E7046" t="s" s="2">
        <v>17</v>
      </c>
      <c r="F7046" t="s" s="2">
        <f>HYPERLINK("http://ts.21cn.com/tousu/show/id/1365636","http://ts.21cn.com/tousu/show/id/1365636")</f>
      </c>
      <c r="G7046" t="s" s="2">
        <v>17</v>
      </c>
      <c r="H7046" t="s" s="2">
        <v>19</v>
      </c>
      <c r="I7046" t="s" s="2">
        <v>27256</v>
      </c>
      <c r="J7046" t="s" s="2">
        <v>27257</v>
      </c>
      <c r="K7046" t="s" s="2">
        <v>22</v>
      </c>
      <c r="L7046" t="s" s="2">
        <v>22</v>
      </c>
      <c r="M7046" t="s" s="2">
        <v>22</v>
      </c>
    </row>
    <row r="7047" ht="25.0" customHeight="true">
      <c r="A7047" t="s" s="2">
        <v>13</v>
      </c>
      <c r="B7047" t="s" s="2">
        <f>HYPERLINK("http://ts.21cn.com/tousu/show/id/1365635","上海拍拍贷的 从一开始爆我通讯录骚扰我正常生活 到现在上门威胁我 跟黑社会一样 要求马上停止这种行为 法院见！")</f>
      </c>
      <c r="C7047" t="s" s="2">
        <v>15</v>
      </c>
      <c r="D7047" t="s" s="2">
        <v>16</v>
      </c>
      <c r="E7047" t="s" s="2">
        <v>17</v>
      </c>
      <c r="F7047" t="s" s="2">
        <f>HYPERLINK("http://ts.21cn.com/tousu/show/id/1365635","http://ts.21cn.com/tousu/show/id/1365635")</f>
      </c>
      <c r="G7047" t="s" s="2">
        <v>17</v>
      </c>
      <c r="H7047" t="s" s="2">
        <v>19</v>
      </c>
      <c r="I7047" t="s" s="2">
        <v>27260</v>
      </c>
      <c r="J7047" t="s" s="2">
        <v>27261</v>
      </c>
      <c r="K7047" t="s" s="2">
        <v>22</v>
      </c>
      <c r="L7047" t="s" s="2">
        <v>22</v>
      </c>
      <c r="M7047" t="s" s="2">
        <v>22</v>
      </c>
    </row>
    <row r="7048" ht="25.0" customHeight="true">
      <c r="A7048" t="s" s="2">
        <v>13</v>
      </c>
      <c r="B7048" t="s" s="2">
        <f>HYPERLINK("http://ts.21cn.com/tousu/show/id/1365594","现金巴士不予协商")</f>
      </c>
      <c r="C7048" t="s" s="2">
        <v>15</v>
      </c>
      <c r="D7048" t="s" s="2">
        <v>16</v>
      </c>
      <c r="E7048" t="s" s="2">
        <v>17</v>
      </c>
      <c r="F7048" t="s" s="2">
        <f>HYPERLINK("http://ts.21cn.com/tousu/show/id/1365594","http://ts.21cn.com/tousu/show/id/1365594")</f>
      </c>
      <c r="G7048" t="s" s="2">
        <v>17</v>
      </c>
      <c r="H7048" t="s" s="2">
        <v>19</v>
      </c>
      <c r="I7048" t="s" s="2">
        <v>27264</v>
      </c>
      <c r="J7048" t="s" s="2">
        <v>27265</v>
      </c>
      <c r="K7048" t="s" s="2">
        <v>22</v>
      </c>
      <c r="L7048" t="s" s="2">
        <v>22</v>
      </c>
      <c r="M7048" t="s" s="2">
        <v>22</v>
      </c>
    </row>
    <row r="7049" ht="25.0" customHeight="true">
      <c r="A7049" t="s" s="2">
        <v>13</v>
      </c>
      <c r="B7049" t="s" s="2">
        <f>HYPERLINK("http://ts.21cn.com/tousu/show/id/1365580","招联金融没人管了吗")</f>
      </c>
      <c r="C7049" t="s" s="2">
        <v>15</v>
      </c>
      <c r="D7049" t="s" s="2">
        <v>16</v>
      </c>
      <c r="E7049" t="s" s="2">
        <v>17</v>
      </c>
      <c r="F7049" t="s" s="2">
        <f>HYPERLINK("http://ts.21cn.com/tousu/show/id/1365580","http://ts.21cn.com/tousu/show/id/1365580")</f>
      </c>
      <c r="G7049" t="s" s="2">
        <v>17</v>
      </c>
      <c r="H7049" t="s" s="2">
        <v>19</v>
      </c>
      <c r="I7049" t="s" s="2">
        <v>27268</v>
      </c>
      <c r="J7049" t="s" s="2">
        <v>27269</v>
      </c>
      <c r="K7049" t="s" s="2">
        <v>22</v>
      </c>
      <c r="L7049" t="s" s="2">
        <v>22</v>
      </c>
      <c r="M7049" t="s" s="2">
        <v>22</v>
      </c>
    </row>
    <row r="7050" ht="25.0" customHeight="true">
      <c r="A7050" t="s" s="2">
        <v>13</v>
      </c>
      <c r="B7050" t="s" s="2">
        <f>HYPERLINK("http://ts.21cn.com/tousu/show/id/1365631","不要再电话轰炸")</f>
      </c>
      <c r="C7050" t="s" s="2">
        <v>15</v>
      </c>
      <c r="D7050" t="s" s="2">
        <v>16</v>
      </c>
      <c r="E7050" t="s" s="2">
        <v>17</v>
      </c>
      <c r="F7050" t="s" s="2">
        <f>HYPERLINK("http://ts.21cn.com/tousu/show/id/1365631","http://ts.21cn.com/tousu/show/id/1365631")</f>
      </c>
      <c r="G7050" t="s" s="2">
        <v>17</v>
      </c>
      <c r="H7050" t="s" s="2">
        <v>19</v>
      </c>
      <c r="I7050" t="s" s="2">
        <v>27272</v>
      </c>
      <c r="J7050" t="s" s="2">
        <v>27273</v>
      </c>
      <c r="K7050" t="s" s="2">
        <v>22</v>
      </c>
      <c r="L7050" t="s" s="2">
        <v>22</v>
      </c>
      <c r="M7050" t="s" s="2">
        <v>22</v>
      </c>
    </row>
    <row r="7051" ht="25.0" customHeight="true">
      <c r="A7051" t="s" s="2">
        <v>13</v>
      </c>
      <c r="B7051" t="s" s="2">
        <f>HYPERLINK("http://ts.21cn.com/tousu/show/id/1365630","暴力催收恐吓威胁即分期超G会员")</f>
      </c>
      <c r="C7051" t="s" s="2">
        <v>15</v>
      </c>
      <c r="D7051" t="s" s="2">
        <v>16</v>
      </c>
      <c r="E7051" t="s" s="2">
        <v>17</v>
      </c>
      <c r="F7051" t="s" s="2">
        <f>HYPERLINK("http://ts.21cn.com/tousu/show/id/1365630","http://ts.21cn.com/tousu/show/id/1365630")</f>
      </c>
      <c r="G7051" t="s" s="2">
        <v>17</v>
      </c>
      <c r="H7051" t="s" s="2">
        <v>19</v>
      </c>
      <c r="I7051" t="s" s="2">
        <v>27276</v>
      </c>
      <c r="J7051" t="s" s="2">
        <v>27277</v>
      </c>
      <c r="K7051" t="s" s="2">
        <v>22</v>
      </c>
      <c r="L7051" t="s" s="2">
        <v>22</v>
      </c>
      <c r="M7051" t="s" s="2">
        <v>22</v>
      </c>
    </row>
    <row r="7052" ht="25.0" customHeight="true">
      <c r="A7052" t="s" s="2">
        <v>13</v>
      </c>
      <c r="B7052" t="s" s="2">
        <f>HYPERLINK("http://ts.21cn.com/tousu/show/id/1365629","高利贷，砍头息借款")</f>
      </c>
      <c r="C7052" t="s" s="2">
        <v>15</v>
      </c>
      <c r="D7052" t="s" s="2">
        <v>16</v>
      </c>
      <c r="E7052" t="s" s="2">
        <v>17</v>
      </c>
      <c r="F7052" t="s" s="2">
        <f>HYPERLINK("http://ts.21cn.com/tousu/show/id/1365629","http://ts.21cn.com/tousu/show/id/1365629")</f>
      </c>
      <c r="G7052" t="s" s="2">
        <v>17</v>
      </c>
      <c r="H7052" t="s" s="2">
        <v>19</v>
      </c>
      <c r="I7052" t="s" s="2">
        <v>27280</v>
      </c>
      <c r="J7052" t="s" s="2">
        <v>27281</v>
      </c>
      <c r="K7052" t="s" s="2">
        <v>22</v>
      </c>
      <c r="L7052" t="s" s="2">
        <v>22</v>
      </c>
      <c r="M7052" t="s" s="2">
        <v>22</v>
      </c>
    </row>
    <row r="7053" ht="25.0" customHeight="true">
      <c r="A7053" t="s" s="2">
        <v>13</v>
      </c>
      <c r="B7053" t="s" s="2">
        <f>HYPERLINK("http://ts.21cn.com/tousu/show/id/1365628","平安银行恶意骚扰")</f>
      </c>
      <c r="C7053" t="s" s="2">
        <v>15</v>
      </c>
      <c r="D7053" t="s" s="2">
        <v>16</v>
      </c>
      <c r="E7053" t="s" s="2">
        <v>17</v>
      </c>
      <c r="F7053" t="s" s="2">
        <f>HYPERLINK("http://ts.21cn.com/tousu/show/id/1365628","http://ts.21cn.com/tousu/show/id/1365628")</f>
      </c>
      <c r="G7053" t="s" s="2">
        <v>17</v>
      </c>
      <c r="H7053" t="s" s="2">
        <v>19</v>
      </c>
      <c r="I7053" t="s" s="2">
        <v>27284</v>
      </c>
      <c r="J7053" t="s" s="2">
        <v>27285</v>
      </c>
      <c r="K7053" t="s" s="2">
        <v>22</v>
      </c>
      <c r="L7053" t="s" s="2">
        <v>22</v>
      </c>
      <c r="M7053" t="s" s="2">
        <v>22</v>
      </c>
    </row>
    <row r="7054" ht="25.0" customHeight="true">
      <c r="A7054" t="s" s="2">
        <v>13</v>
      </c>
      <c r="B7054" t="s" s="2">
        <f>HYPERLINK("http://ts.21cn.com/tousu/show/id/1365627","光大银行已还最低还款，还不停骚扰家人。")</f>
      </c>
      <c r="C7054" t="s" s="2">
        <v>15</v>
      </c>
      <c r="D7054" t="s" s="2">
        <v>16</v>
      </c>
      <c r="E7054" t="s" s="2">
        <v>17</v>
      </c>
      <c r="F7054" t="s" s="2">
        <f>HYPERLINK("http://ts.21cn.com/tousu/show/id/1365627","http://ts.21cn.com/tousu/show/id/1365627")</f>
      </c>
      <c r="G7054" t="s" s="2">
        <v>17</v>
      </c>
      <c r="H7054" t="s" s="2">
        <v>19</v>
      </c>
      <c r="I7054" t="s" s="2">
        <v>27288</v>
      </c>
      <c r="J7054" t="s" s="2">
        <v>27289</v>
      </c>
      <c r="K7054" t="s" s="2">
        <v>22</v>
      </c>
      <c r="L7054" t="s" s="2">
        <v>22</v>
      </c>
      <c r="M7054" t="s" s="2">
        <v>22</v>
      </c>
    </row>
    <row r="7055" ht="25.0" customHeight="true">
      <c r="A7055" t="s" s="2">
        <v>13</v>
      </c>
      <c r="B7055" t="s" s="2">
        <f>HYPERLINK("http://ts.21cn.com/tousu/show/id/1365626","立借一天拨打数十个非紧急联系人")</f>
      </c>
      <c r="C7055" t="s" s="2">
        <v>15</v>
      </c>
      <c r="D7055" t="s" s="2">
        <v>16</v>
      </c>
      <c r="E7055" t="s" s="2">
        <v>17</v>
      </c>
      <c r="F7055" t="s" s="2">
        <f>HYPERLINK("http://ts.21cn.com/tousu/show/id/1365626","http://ts.21cn.com/tousu/show/id/1365626")</f>
      </c>
      <c r="G7055" t="s" s="2">
        <v>17</v>
      </c>
      <c r="H7055" t="s" s="2">
        <v>19</v>
      </c>
      <c r="I7055" t="s" s="2">
        <v>27292</v>
      </c>
      <c r="J7055" t="s" s="2">
        <v>27293</v>
      </c>
      <c r="K7055" t="s" s="2">
        <v>22</v>
      </c>
      <c r="L7055" t="s" s="2">
        <v>22</v>
      </c>
      <c r="M7055" t="s" s="2">
        <v>22</v>
      </c>
    </row>
    <row r="7056" ht="25.0" customHeight="true">
      <c r="A7056" t="s" s="2">
        <v>13</v>
      </c>
      <c r="B7056" t="s" s="2">
        <f>HYPERLINK("http://ts.21cn.com/tousu/show/id/1365625","账号异常无法使用红包，无法享受优惠")</f>
      </c>
      <c r="C7056" t="s" s="2">
        <v>15</v>
      </c>
      <c r="D7056" t="s" s="2">
        <v>16</v>
      </c>
      <c r="E7056" t="s" s="2">
        <v>17</v>
      </c>
      <c r="F7056" t="s" s="2">
        <f>HYPERLINK("http://ts.21cn.com/tousu/show/id/1365625","http://ts.21cn.com/tousu/show/id/1365625")</f>
      </c>
      <c r="G7056" t="s" s="2">
        <v>17</v>
      </c>
      <c r="H7056" t="s" s="2">
        <v>19</v>
      </c>
      <c r="I7056" t="s" s="2">
        <v>27296</v>
      </c>
      <c r="J7056" t="s" s="2">
        <v>27297</v>
      </c>
      <c r="K7056" t="s" s="2">
        <v>22</v>
      </c>
      <c r="L7056" t="s" s="2">
        <v>22</v>
      </c>
      <c r="M7056" t="s" s="2">
        <v>22</v>
      </c>
    </row>
    <row r="7057" ht="25.0" customHeight="true">
      <c r="A7057" t="s" s="2">
        <v>13</v>
      </c>
      <c r="B7057" t="s" s="2">
        <f>HYPERLINK("http://ts.21cn.com/tousu/show/id/1365623","苏宁互联170号码卡乱扣费")</f>
      </c>
      <c r="C7057" t="s" s="2">
        <v>15</v>
      </c>
      <c r="D7057" t="s" s="2">
        <v>16</v>
      </c>
      <c r="E7057" t="s" s="2">
        <v>17</v>
      </c>
      <c r="F7057" t="s" s="2">
        <f>HYPERLINK("http://ts.21cn.com/tousu/show/id/1365623","http://ts.21cn.com/tousu/show/id/1365623")</f>
      </c>
      <c r="G7057" t="s" s="2">
        <v>17</v>
      </c>
      <c r="H7057" t="s" s="2">
        <v>19</v>
      </c>
      <c r="I7057" t="s" s="2">
        <v>27300</v>
      </c>
      <c r="J7057" t="s" s="2">
        <v>27301</v>
      </c>
      <c r="K7057" t="s" s="2">
        <v>22</v>
      </c>
      <c r="L7057" t="s" s="2">
        <v>22</v>
      </c>
      <c r="M7057" t="s" s="2">
        <v>22</v>
      </c>
    </row>
    <row r="7058" ht="25.0" customHeight="true">
      <c r="A7058" t="s" s="2">
        <v>13</v>
      </c>
      <c r="B7058" t="s" s="2">
        <f>HYPERLINK("http://ts.21cn.com/tousu/show/id/1365622","你我贷拒绝取消借款，冷静期内不予终止合同")</f>
      </c>
      <c r="C7058" t="s" s="2">
        <v>15</v>
      </c>
      <c r="D7058" t="s" s="2">
        <v>16</v>
      </c>
      <c r="E7058" t="s" s="2">
        <v>17</v>
      </c>
      <c r="F7058" t="s" s="2">
        <f>HYPERLINK("http://ts.21cn.com/tousu/show/id/1365622","http://ts.21cn.com/tousu/show/id/1365622")</f>
      </c>
      <c r="G7058" t="s" s="2">
        <v>17</v>
      </c>
      <c r="H7058" t="s" s="2">
        <v>19</v>
      </c>
      <c r="I7058" t="s" s="2">
        <v>27304</v>
      </c>
      <c r="J7058" t="s" s="2">
        <v>27305</v>
      </c>
      <c r="K7058" t="s" s="2">
        <v>22</v>
      </c>
      <c r="L7058" t="s" s="2">
        <v>22</v>
      </c>
      <c r="M7058" t="s" s="2">
        <v>22</v>
      </c>
    </row>
    <row r="7059" ht="25.0" customHeight="true">
      <c r="A7059" t="s" s="2">
        <v>13</v>
      </c>
      <c r="B7059" t="s" s="2">
        <f>HYPERLINK("http://ts.21cn.com/tousu/show/id/1365621","阴阳合同，到账与合同钱数不同")</f>
      </c>
      <c r="C7059" t="s" s="2">
        <v>15</v>
      </c>
      <c r="D7059" t="s" s="2">
        <v>16</v>
      </c>
      <c r="E7059" t="s" s="2">
        <v>17</v>
      </c>
      <c r="F7059" t="s" s="2">
        <f>HYPERLINK("http://ts.21cn.com/tousu/show/id/1365621","http://ts.21cn.com/tousu/show/id/1365621")</f>
      </c>
      <c r="G7059" t="s" s="2">
        <v>17</v>
      </c>
      <c r="H7059" t="s" s="2">
        <v>19</v>
      </c>
      <c r="I7059" t="s" s="2">
        <v>27308</v>
      </c>
      <c r="J7059" t="s" s="2">
        <v>27309</v>
      </c>
      <c r="K7059" t="s" s="2">
        <v>22</v>
      </c>
      <c r="L7059" t="s" s="2">
        <v>22</v>
      </c>
      <c r="M7059" t="s" s="2">
        <v>22</v>
      </c>
    </row>
    <row r="7060" ht="25.0" customHeight="true">
      <c r="A7060" t="s" s="2">
        <v>13</v>
      </c>
      <c r="B7060" t="s" s="2">
        <f>HYPERLINK("http://ts.21cn.com/tousu/show/id/1365620","钱橙无忧随意扣费")</f>
      </c>
      <c r="C7060" t="s" s="2">
        <v>15</v>
      </c>
      <c r="D7060" t="s" s="2">
        <v>16</v>
      </c>
      <c r="E7060" t="s" s="2">
        <v>17</v>
      </c>
      <c r="F7060" t="s" s="2">
        <f>HYPERLINK("http://ts.21cn.com/tousu/show/id/1365620","http://ts.21cn.com/tousu/show/id/1365620")</f>
      </c>
      <c r="G7060" t="s" s="2">
        <v>17</v>
      </c>
      <c r="H7060" t="s" s="2">
        <v>19</v>
      </c>
      <c r="I7060" t="s" s="2">
        <v>27311</v>
      </c>
      <c r="J7060" t="s" s="2">
        <v>27312</v>
      </c>
      <c r="K7060" t="s" s="2">
        <v>22</v>
      </c>
      <c r="L7060" t="s" s="2">
        <v>22</v>
      </c>
      <c r="M7060" t="s" s="2">
        <v>22</v>
      </c>
    </row>
    <row r="7061" ht="25.0" customHeight="true">
      <c r="A7061" t="s" s="2">
        <v>13</v>
      </c>
      <c r="B7061" t="s" s="2">
        <f>HYPERLINK("http://ts.21cn.com/tousu/show/id/1365619","必须按照国家利息")</f>
      </c>
      <c r="C7061" t="s" s="2">
        <v>15</v>
      </c>
      <c r="D7061" t="s" s="2">
        <v>16</v>
      </c>
      <c r="E7061" t="s" s="2">
        <v>17</v>
      </c>
      <c r="F7061" t="s" s="2">
        <f>HYPERLINK("http://ts.21cn.com/tousu/show/id/1365619","http://ts.21cn.com/tousu/show/id/1365619")</f>
      </c>
      <c r="G7061" t="s" s="2">
        <v>17</v>
      </c>
      <c r="H7061" t="s" s="2">
        <v>19</v>
      </c>
      <c r="I7061" t="s" s="2">
        <v>27315</v>
      </c>
      <c r="J7061" t="s" s="2">
        <v>27316</v>
      </c>
      <c r="K7061" t="s" s="2">
        <v>22</v>
      </c>
      <c r="L7061" t="s" s="2">
        <v>22</v>
      </c>
      <c r="M7061" t="s" s="2">
        <v>22</v>
      </c>
    </row>
    <row r="7062" ht="25.0" customHeight="true">
      <c r="A7062" t="s" s="2">
        <v>13</v>
      </c>
      <c r="B7062" t="s" s="2">
        <f>HYPERLINK("http://ts.21cn.com/tousu/show/id/1365618","承诺推荐一个学生返现800，推荐2个1600，现在拒绝返现")</f>
      </c>
      <c r="C7062" t="s" s="2">
        <v>15</v>
      </c>
      <c r="D7062" t="s" s="2">
        <v>16</v>
      </c>
      <c r="E7062" t="s" s="2">
        <v>17</v>
      </c>
      <c r="F7062" t="s" s="2">
        <f>HYPERLINK("http://ts.21cn.com/tousu/show/id/1365618","http://ts.21cn.com/tousu/show/id/1365618")</f>
      </c>
      <c r="G7062" t="s" s="2">
        <v>17</v>
      </c>
      <c r="H7062" t="s" s="2">
        <v>19</v>
      </c>
      <c r="I7062" t="s" s="2">
        <v>27319</v>
      </c>
      <c r="J7062" t="s" s="2">
        <v>27320</v>
      </c>
      <c r="K7062" t="s" s="2">
        <v>22</v>
      </c>
      <c r="L7062" t="s" s="2">
        <v>22</v>
      </c>
      <c r="M7062" t="s" s="2">
        <v>22</v>
      </c>
    </row>
    <row r="7063" ht="25.0" customHeight="true">
      <c r="A7063" t="s" s="2">
        <v>13</v>
      </c>
      <c r="B7063" t="s" s="2">
        <f>HYPERLINK("http://ts.21cn.com/tousu/show/id/1365615","暴力催收")</f>
      </c>
      <c r="C7063" t="s" s="2">
        <v>15</v>
      </c>
      <c r="D7063" t="s" s="2">
        <v>16</v>
      </c>
      <c r="E7063" t="s" s="2">
        <v>17</v>
      </c>
      <c r="F7063" t="s" s="2">
        <f>HYPERLINK("http://ts.21cn.com/tousu/show/id/1365615","http://ts.21cn.com/tousu/show/id/1365615")</f>
      </c>
      <c r="G7063" t="s" s="2">
        <v>17</v>
      </c>
      <c r="H7063" t="s" s="2">
        <v>19</v>
      </c>
      <c r="I7063" t="s" s="2">
        <v>27322</v>
      </c>
      <c r="J7063" t="s" s="2">
        <v>27323</v>
      </c>
      <c r="K7063" t="s" s="2">
        <v>22</v>
      </c>
      <c r="L7063" t="s" s="2">
        <v>22</v>
      </c>
      <c r="M7063" t="s" s="2">
        <v>22</v>
      </c>
    </row>
    <row r="7064" ht="25.0" customHeight="true">
      <c r="A7064" t="s" s="2">
        <v>13</v>
      </c>
      <c r="B7064" t="s" s="2">
        <f>HYPERLINK("http://ts.21cn.com/tousu/show/id/1365614","中腾信小花钱包阴阳合同，高利贷暴力催收，恐吓")</f>
      </c>
      <c r="C7064" t="s" s="2">
        <v>15</v>
      </c>
      <c r="D7064" t="s" s="2">
        <v>16</v>
      </c>
      <c r="E7064" t="s" s="2">
        <v>17</v>
      </c>
      <c r="F7064" t="s" s="2">
        <f>HYPERLINK("http://ts.21cn.com/tousu/show/id/1365614","http://ts.21cn.com/tousu/show/id/1365614")</f>
      </c>
      <c r="G7064" t="s" s="2">
        <v>17</v>
      </c>
      <c r="H7064" t="s" s="2">
        <v>19</v>
      </c>
      <c r="I7064" t="s" s="2">
        <v>27326</v>
      </c>
      <c r="J7064" t="s" s="2">
        <v>27327</v>
      </c>
      <c r="K7064" t="s" s="2">
        <v>22</v>
      </c>
      <c r="L7064" t="s" s="2">
        <v>22</v>
      </c>
      <c r="M7064" t="s" s="2">
        <v>22</v>
      </c>
    </row>
    <row r="7065" ht="25.0" customHeight="true">
      <c r="A7065" t="s" s="2">
        <v>13</v>
      </c>
      <c r="B7065" t="s" s="2">
        <f>HYPERLINK("http://ts.21cn.com/tousu/show/id/1365613","投诉建设银行，建设银行信用卡中心")</f>
      </c>
      <c r="C7065" t="s" s="2">
        <v>15</v>
      </c>
      <c r="D7065" t="s" s="2">
        <v>16</v>
      </c>
      <c r="E7065" t="s" s="2">
        <v>17</v>
      </c>
      <c r="F7065" t="s" s="2">
        <f>HYPERLINK("http://ts.21cn.com/tousu/show/id/1365613","http://ts.21cn.com/tousu/show/id/1365613")</f>
      </c>
      <c r="G7065" t="s" s="2">
        <v>17</v>
      </c>
      <c r="H7065" t="s" s="2">
        <v>19</v>
      </c>
      <c r="I7065" t="s" s="2">
        <v>27330</v>
      </c>
      <c r="J7065" t="s" s="2">
        <v>27331</v>
      </c>
      <c r="K7065" t="s" s="2">
        <v>22</v>
      </c>
      <c r="L7065" t="s" s="2">
        <v>22</v>
      </c>
      <c r="M7065" t="s" s="2">
        <v>22</v>
      </c>
    </row>
    <row r="7066" ht="25.0" customHeight="true">
      <c r="A7066" t="s" s="2">
        <v>13</v>
      </c>
      <c r="B7066" t="s" s="2">
        <f>HYPERLINK("http://ts.21cn.com/tousu/show/id/1365612","不合规催收")</f>
      </c>
      <c r="C7066" t="s" s="2">
        <v>15</v>
      </c>
      <c r="D7066" t="s" s="2">
        <v>16</v>
      </c>
      <c r="E7066" t="s" s="2">
        <v>17</v>
      </c>
      <c r="F7066" t="s" s="2">
        <f>HYPERLINK("http://ts.21cn.com/tousu/show/id/1365612","http://ts.21cn.com/tousu/show/id/1365612")</f>
      </c>
      <c r="G7066" t="s" s="2">
        <v>17</v>
      </c>
      <c r="H7066" t="s" s="2">
        <v>19</v>
      </c>
      <c r="I7066" t="s" s="2">
        <v>27334</v>
      </c>
      <c r="J7066" t="s" s="2">
        <v>27335</v>
      </c>
      <c r="K7066" t="s" s="2">
        <v>22</v>
      </c>
      <c r="L7066" t="s" s="2">
        <v>22</v>
      </c>
      <c r="M7066" t="s" s="2">
        <v>22</v>
      </c>
    </row>
    <row r="7067" ht="25.0" customHeight="true">
      <c r="A7067" t="s" s="2">
        <v>13</v>
      </c>
      <c r="B7067" t="s" s="2">
        <f>HYPERLINK("http://ts.21cn.com/tousu/show/id/1365611","你我贷暴力催收骚扰家人")</f>
      </c>
      <c r="C7067" t="s" s="2">
        <v>15</v>
      </c>
      <c r="D7067" t="s" s="2">
        <v>16</v>
      </c>
      <c r="E7067" t="s" s="2">
        <v>17</v>
      </c>
      <c r="F7067" t="s" s="2">
        <f>HYPERLINK("http://ts.21cn.com/tousu/show/id/1365611","http://ts.21cn.com/tousu/show/id/1365611")</f>
      </c>
      <c r="G7067" t="s" s="2">
        <v>17</v>
      </c>
      <c r="H7067" t="s" s="2">
        <v>19</v>
      </c>
      <c r="I7067" t="s" s="2">
        <v>27338</v>
      </c>
      <c r="J7067" t="s" s="2">
        <v>27339</v>
      </c>
      <c r="K7067" t="s" s="2">
        <v>22</v>
      </c>
      <c r="L7067" t="s" s="2">
        <v>22</v>
      </c>
      <c r="M7067" t="s" s="2">
        <v>22</v>
      </c>
    </row>
    <row r="7068" ht="25.0" customHeight="true">
      <c r="A7068" t="s" s="2">
        <v>13</v>
      </c>
      <c r="B7068" t="s" s="2">
        <f>HYPERLINK("http://ts.21cn.com/tousu/show/id/1365608","光大银行电话恐吓上门催收")</f>
      </c>
      <c r="C7068" t="s" s="2">
        <v>15</v>
      </c>
      <c r="D7068" t="s" s="2">
        <v>16</v>
      </c>
      <c r="E7068" t="s" s="2">
        <v>17</v>
      </c>
      <c r="F7068" t="s" s="2">
        <f>HYPERLINK("http://ts.21cn.com/tousu/show/id/1365608","http://ts.21cn.com/tousu/show/id/1365608")</f>
      </c>
      <c r="G7068" t="s" s="2">
        <v>17</v>
      </c>
      <c r="H7068" t="s" s="2">
        <v>19</v>
      </c>
      <c r="I7068" t="s" s="2">
        <v>27342</v>
      </c>
      <c r="J7068" t="s" s="2">
        <v>27343</v>
      </c>
      <c r="K7068" t="s" s="2">
        <v>22</v>
      </c>
      <c r="L7068" t="s" s="2">
        <v>22</v>
      </c>
      <c r="M7068" t="s" s="2">
        <v>22</v>
      </c>
    </row>
    <row r="7069" ht="25.0" customHeight="true">
      <c r="A7069" t="s" s="2">
        <v>13</v>
      </c>
      <c r="B7069" t="s" s="2">
        <f>HYPERLINK("http://ts.21cn.com/tousu/show/id/1365609","招联金融暴力催收")</f>
      </c>
      <c r="C7069" t="s" s="2">
        <v>15</v>
      </c>
      <c r="D7069" t="s" s="2">
        <v>16</v>
      </c>
      <c r="E7069" t="s" s="2">
        <v>17</v>
      </c>
      <c r="F7069" t="s" s="2">
        <f>HYPERLINK("http://ts.21cn.com/tousu/show/id/1365609","http://ts.21cn.com/tousu/show/id/1365609")</f>
      </c>
      <c r="G7069" t="s" s="2">
        <v>17</v>
      </c>
      <c r="H7069" t="s" s="2">
        <v>19</v>
      </c>
      <c r="I7069" t="s" s="2">
        <v>27345</v>
      </c>
      <c r="J7069" t="s" s="2">
        <v>27346</v>
      </c>
      <c r="K7069" t="s" s="2">
        <v>22</v>
      </c>
      <c r="L7069" t="s" s="2">
        <v>22</v>
      </c>
      <c r="M7069" t="s" s="2">
        <v>22</v>
      </c>
    </row>
    <row r="7070" ht="25.0" customHeight="true">
      <c r="A7070" t="s" s="2">
        <v>13</v>
      </c>
      <c r="B7070" t="s" s="2">
        <f>HYPERLINK("http://ts.21cn.com/tousu/show/id/1365547","北京通州一格博美美术机构拖欠工资")</f>
      </c>
      <c r="C7070" t="s" s="2">
        <v>15</v>
      </c>
      <c r="D7070" t="s" s="2">
        <v>16</v>
      </c>
      <c r="E7070" t="s" s="2">
        <v>17</v>
      </c>
      <c r="F7070" t="s" s="2">
        <f>HYPERLINK("http://ts.21cn.com/tousu/show/id/1365547","http://ts.21cn.com/tousu/show/id/1365547")</f>
      </c>
      <c r="G7070" t="s" s="2">
        <v>17</v>
      </c>
      <c r="H7070" t="s" s="2">
        <v>19</v>
      </c>
      <c r="I7070" t="s" s="2">
        <v>27349</v>
      </c>
      <c r="J7070" t="s" s="2">
        <v>27350</v>
      </c>
      <c r="K7070" t="s" s="2">
        <v>22</v>
      </c>
      <c r="L7070" t="s" s="2">
        <v>22</v>
      </c>
      <c r="M7070" t="s" s="2">
        <v>22</v>
      </c>
    </row>
    <row r="7071" ht="25.0" customHeight="true">
      <c r="A7071" t="s" s="2">
        <v>13</v>
      </c>
      <c r="B7071" t="s" s="2">
        <f>HYPERLINK("http://ts.21cn.com/tousu/show/id/1365606","虚假宣传、与商品描述不符")</f>
      </c>
      <c r="C7071" t="s" s="2">
        <v>15</v>
      </c>
      <c r="D7071" t="s" s="2">
        <v>16</v>
      </c>
      <c r="E7071" t="s" s="2">
        <v>17</v>
      </c>
      <c r="F7071" t="s" s="2">
        <f>HYPERLINK("http://ts.21cn.com/tousu/show/id/1365606","http://ts.21cn.com/tousu/show/id/1365606")</f>
      </c>
      <c r="G7071" t="s" s="2">
        <v>17</v>
      </c>
      <c r="H7071" t="s" s="2">
        <v>19</v>
      </c>
      <c r="I7071" t="s" s="2">
        <v>27353</v>
      </c>
      <c r="J7071" t="s" s="2">
        <v>27354</v>
      </c>
      <c r="K7071" t="s" s="2">
        <v>22</v>
      </c>
      <c r="L7071" t="s" s="2">
        <v>22</v>
      </c>
      <c r="M7071" t="s" s="2">
        <v>22</v>
      </c>
    </row>
    <row r="7072" ht="25.0" customHeight="true">
      <c r="A7072" t="s" s="2">
        <v>13</v>
      </c>
      <c r="B7072" t="s" s="2">
        <f>HYPERLINK("http://ts.21cn.com/tousu/show/id/1365605","高利贷")</f>
      </c>
      <c r="C7072" t="s" s="2">
        <v>15</v>
      </c>
      <c r="D7072" t="s" s="2">
        <v>16</v>
      </c>
      <c r="E7072" t="s" s="2">
        <v>17</v>
      </c>
      <c r="F7072" t="s" s="2">
        <f>HYPERLINK("http://ts.21cn.com/tousu/show/id/1365605","http://ts.21cn.com/tousu/show/id/1365605")</f>
      </c>
      <c r="G7072" t="s" s="2">
        <v>17</v>
      </c>
      <c r="H7072" t="s" s="2">
        <v>19</v>
      </c>
      <c r="I7072" t="s" s="2">
        <v>27356</v>
      </c>
      <c r="J7072" t="s" s="2">
        <v>27357</v>
      </c>
      <c r="K7072" t="s" s="2">
        <v>22</v>
      </c>
      <c r="L7072" t="s" s="2">
        <v>22</v>
      </c>
      <c r="M7072" t="s" s="2">
        <v>22</v>
      </c>
    </row>
    <row r="7073" ht="25.0" customHeight="true">
      <c r="A7073" t="s" s="2">
        <v>13</v>
      </c>
      <c r="B7073" t="s" s="2">
        <f>HYPERLINK("http://ts.21cn.com/tousu/show/id/1365604","微信钱被冻结，不给")</f>
      </c>
      <c r="C7073" t="s" s="2">
        <v>15</v>
      </c>
      <c r="D7073" t="s" s="2">
        <v>16</v>
      </c>
      <c r="E7073" t="s" s="2">
        <v>17</v>
      </c>
      <c r="F7073" t="s" s="2">
        <f>HYPERLINK("http://ts.21cn.com/tousu/show/id/1365604","http://ts.21cn.com/tousu/show/id/1365604")</f>
      </c>
      <c r="G7073" t="s" s="2">
        <v>17</v>
      </c>
      <c r="H7073" t="s" s="2">
        <v>19</v>
      </c>
      <c r="I7073" t="s" s="2">
        <v>27360</v>
      </c>
      <c r="J7073" t="s" s="2">
        <v>27361</v>
      </c>
      <c r="K7073" t="s" s="2">
        <v>22</v>
      </c>
      <c r="L7073" t="s" s="2">
        <v>22</v>
      </c>
      <c r="M7073" t="s" s="2">
        <v>22</v>
      </c>
    </row>
    <row r="7074" ht="25.0" customHeight="true">
      <c r="A7074" t="s" s="2">
        <v>13</v>
      </c>
      <c r="B7074" t="s" s="2">
        <f>HYPERLINK("http://ts.21cn.com/tousu/show/id/1365603","最近多次电话骚扰")</f>
      </c>
      <c r="C7074" t="s" s="2">
        <v>15</v>
      </c>
      <c r="D7074" t="s" s="2">
        <v>16</v>
      </c>
      <c r="E7074" t="s" s="2">
        <v>17</v>
      </c>
      <c r="F7074" t="s" s="2">
        <f>HYPERLINK("http://ts.21cn.com/tousu/show/id/1365603","http://ts.21cn.com/tousu/show/id/1365603")</f>
      </c>
      <c r="G7074" t="s" s="2">
        <v>17</v>
      </c>
      <c r="H7074" t="s" s="2">
        <v>19</v>
      </c>
      <c r="I7074" t="s" s="2">
        <v>27364</v>
      </c>
      <c r="J7074" t="s" s="2">
        <v>27365</v>
      </c>
      <c r="K7074" t="s" s="2">
        <v>22</v>
      </c>
      <c r="L7074" t="s" s="2">
        <v>22</v>
      </c>
      <c r="M7074" t="s" s="2">
        <v>22</v>
      </c>
    </row>
    <row r="7075" ht="25.0" customHeight="true">
      <c r="A7075" t="s" s="2">
        <v>13</v>
      </c>
      <c r="B7075" t="s" s="2">
        <f>HYPERLINK("http://ts.21cn.com/tousu/show/id/1365602","派发活动奖品")</f>
      </c>
      <c r="C7075" t="s" s="2">
        <v>52</v>
      </c>
      <c r="D7075" t="s" s="2">
        <v>16</v>
      </c>
      <c r="E7075" t="s" s="2">
        <v>17</v>
      </c>
      <c r="F7075" t="s" s="2">
        <f>HYPERLINK("http://ts.21cn.com/tousu/show/id/1365602","http://ts.21cn.com/tousu/show/id/1365602")</f>
      </c>
      <c r="G7075" t="s" s="2">
        <v>17</v>
      </c>
      <c r="H7075" t="s" s="2">
        <v>19</v>
      </c>
      <c r="I7075" t="s" s="2">
        <v>27368</v>
      </c>
      <c r="J7075" t="s" s="2">
        <v>27369</v>
      </c>
      <c r="K7075" t="s" s="2">
        <v>22</v>
      </c>
      <c r="L7075" t="s" s="2">
        <v>22</v>
      </c>
      <c r="M7075" t="s" s="2">
        <v>22</v>
      </c>
    </row>
    <row r="7076" ht="25.0" customHeight="true">
      <c r="A7076" t="s" s="2">
        <v>13</v>
      </c>
      <c r="B7076" t="s" s="2">
        <f>HYPERLINK("http://ts.21cn.com/tousu/show/id/1365601","还了贷款还要催收")</f>
      </c>
      <c r="C7076" t="s" s="2">
        <v>15</v>
      </c>
      <c r="D7076" t="s" s="2">
        <v>16</v>
      </c>
      <c r="E7076" t="s" s="2">
        <v>17</v>
      </c>
      <c r="F7076" t="s" s="2">
        <f>HYPERLINK("http://ts.21cn.com/tousu/show/id/1365601","http://ts.21cn.com/tousu/show/id/1365601")</f>
      </c>
      <c r="G7076" t="s" s="2">
        <v>17</v>
      </c>
      <c r="H7076" t="s" s="2">
        <v>19</v>
      </c>
      <c r="I7076" t="s" s="2">
        <v>27372</v>
      </c>
      <c r="J7076" t="s" s="2">
        <v>27373</v>
      </c>
      <c r="K7076" t="s" s="2">
        <v>22</v>
      </c>
      <c r="L7076" t="s" s="2">
        <v>22</v>
      </c>
      <c r="M7076" t="s" s="2">
        <v>22</v>
      </c>
    </row>
    <row r="7077" ht="25.0" customHeight="true">
      <c r="A7077" t="s" s="2">
        <v>13</v>
      </c>
      <c r="B7077" t="s" s="2">
        <f>HYPERLINK("http://ts.21cn.com/tousu/show/id/1365600","协商还款")</f>
      </c>
      <c r="C7077" t="s" s="2">
        <v>52</v>
      </c>
      <c r="D7077" t="s" s="2">
        <v>16</v>
      </c>
      <c r="E7077" t="s" s="2">
        <v>17</v>
      </c>
      <c r="F7077" t="s" s="2">
        <f>HYPERLINK("http://ts.21cn.com/tousu/show/id/1365600","http://ts.21cn.com/tousu/show/id/1365600")</f>
      </c>
      <c r="G7077" t="s" s="2">
        <v>17</v>
      </c>
      <c r="H7077" t="s" s="2">
        <v>19</v>
      </c>
      <c r="I7077" t="s" s="2">
        <v>27375</v>
      </c>
      <c r="J7077" t="s" s="2">
        <v>27376</v>
      </c>
      <c r="K7077" t="s" s="2">
        <v>22</v>
      </c>
      <c r="L7077" t="s" s="2">
        <v>22</v>
      </c>
      <c r="M7077" t="s" s="2">
        <v>22</v>
      </c>
    </row>
    <row r="7078" ht="25.0" customHeight="true">
      <c r="A7078" t="s" s="2">
        <v>13</v>
      </c>
      <c r="B7078" t="s" s="2">
        <f>HYPERLINK("http://ts.21cn.com/tousu/show/id/1365599","套路拍卖购买商品")</f>
      </c>
      <c r="C7078" t="s" s="2">
        <v>15</v>
      </c>
      <c r="D7078" t="s" s="2">
        <v>16</v>
      </c>
      <c r="E7078" t="s" s="2">
        <v>17</v>
      </c>
      <c r="F7078" t="s" s="2">
        <f>HYPERLINK("http://ts.21cn.com/tousu/show/id/1365599","http://ts.21cn.com/tousu/show/id/1365599")</f>
      </c>
      <c r="G7078" t="s" s="2">
        <v>17</v>
      </c>
      <c r="H7078" t="s" s="2">
        <v>19</v>
      </c>
      <c r="I7078" t="s" s="2">
        <v>27379</v>
      </c>
      <c r="J7078" t="s" s="2">
        <v>27380</v>
      </c>
      <c r="K7078" t="s" s="2">
        <v>22</v>
      </c>
      <c r="L7078" t="s" s="2">
        <v>22</v>
      </c>
      <c r="M7078" t="s" s="2">
        <v>22</v>
      </c>
    </row>
    <row r="7079" ht="25.0" customHeight="true">
      <c r="A7079" t="s" s="2">
        <v>13</v>
      </c>
      <c r="B7079" t="s" s="2">
        <f>HYPERLINK("http://ts.21cn.com/tousu/show/id/1365598","滴滴出行客服，一句话形容什么事都推给系统判定")</f>
      </c>
      <c r="C7079" t="s" s="2">
        <v>52</v>
      </c>
      <c r="D7079" t="s" s="2">
        <v>16</v>
      </c>
      <c r="E7079" t="s" s="2">
        <v>17</v>
      </c>
      <c r="F7079" t="s" s="2">
        <f>HYPERLINK("http://ts.21cn.com/tousu/show/id/1365598","http://ts.21cn.com/tousu/show/id/1365598")</f>
      </c>
      <c r="G7079" t="s" s="2">
        <v>17</v>
      </c>
      <c r="H7079" t="s" s="2">
        <v>19</v>
      </c>
      <c r="I7079" t="s" s="2">
        <v>27383</v>
      </c>
      <c r="J7079" t="s" s="2">
        <v>27384</v>
      </c>
      <c r="K7079" t="s" s="2">
        <v>22</v>
      </c>
      <c r="L7079" t="s" s="2">
        <v>22</v>
      </c>
      <c r="M7079" t="s" s="2">
        <v>22</v>
      </c>
    </row>
    <row r="7080" ht="25.0" customHeight="true">
      <c r="A7080" t="s" s="2">
        <v>13</v>
      </c>
      <c r="B7080" t="s" s="2">
        <f>HYPERLINK("http://ts.21cn.com/tousu/show/id/1365596","暴力催收，威胁")</f>
      </c>
      <c r="C7080" t="s" s="2">
        <v>15</v>
      </c>
      <c r="D7080" t="s" s="2">
        <v>16</v>
      </c>
      <c r="E7080" t="s" s="2">
        <v>17</v>
      </c>
      <c r="F7080" t="s" s="2">
        <f>HYPERLINK("http://ts.21cn.com/tousu/show/id/1365596","http://ts.21cn.com/tousu/show/id/1365596")</f>
      </c>
      <c r="G7080" t="s" s="2">
        <v>17</v>
      </c>
      <c r="H7080" t="s" s="2">
        <v>19</v>
      </c>
      <c r="I7080" t="s" s="2">
        <v>27387</v>
      </c>
      <c r="J7080" t="s" s="2">
        <v>27388</v>
      </c>
      <c r="K7080" t="s" s="2">
        <v>22</v>
      </c>
      <c r="L7080" t="s" s="2">
        <v>22</v>
      </c>
      <c r="M7080" t="s" s="2">
        <v>22</v>
      </c>
    </row>
    <row r="7081" ht="25.0" customHeight="true">
      <c r="A7081" t="s" s="2">
        <v>13</v>
      </c>
      <c r="B7081" t="s" s="2">
        <f>HYPERLINK("http://ts.21cn.com/tousu/show/id/1365595","宜信宜人贷高额收取代款利息及砍头息5万多元")</f>
      </c>
      <c r="C7081" t="s" s="2">
        <v>15</v>
      </c>
      <c r="D7081" t="s" s="2">
        <v>16</v>
      </c>
      <c r="E7081" t="s" s="2">
        <v>17</v>
      </c>
      <c r="F7081" t="s" s="2">
        <f>HYPERLINK("http://ts.21cn.com/tousu/show/id/1365595","http://ts.21cn.com/tousu/show/id/1365595")</f>
      </c>
      <c r="G7081" t="s" s="2">
        <v>17</v>
      </c>
      <c r="H7081" t="s" s="2">
        <v>19</v>
      </c>
      <c r="I7081" t="s" s="2">
        <v>27390</v>
      </c>
      <c r="J7081" t="s" s="2">
        <v>27391</v>
      </c>
      <c r="K7081" t="s" s="2">
        <v>22</v>
      </c>
      <c r="L7081" t="s" s="2">
        <v>22</v>
      </c>
      <c r="M7081" t="s" s="2">
        <v>22</v>
      </c>
    </row>
    <row r="7082" ht="25.0" customHeight="true">
      <c r="A7082" t="s" s="2">
        <v>13</v>
      </c>
      <c r="B7082" t="s" s="2">
        <f>HYPERLINK("http://ts.21cn.com/tousu/show/id/1365593","维信现贷扣保险不给退")</f>
      </c>
      <c r="C7082" t="s" s="2">
        <v>15</v>
      </c>
      <c r="D7082" t="s" s="2">
        <v>16</v>
      </c>
      <c r="E7082" t="s" s="2">
        <v>17</v>
      </c>
      <c r="F7082" t="s" s="2">
        <f>HYPERLINK("http://ts.21cn.com/tousu/show/id/1365593","http://ts.21cn.com/tousu/show/id/1365593")</f>
      </c>
      <c r="G7082" t="s" s="2">
        <v>17</v>
      </c>
      <c r="H7082" t="s" s="2">
        <v>19</v>
      </c>
      <c r="I7082" t="s" s="2">
        <v>27394</v>
      </c>
      <c r="J7082" t="s" s="2">
        <v>27395</v>
      </c>
      <c r="K7082" t="s" s="2">
        <v>22</v>
      </c>
      <c r="L7082" t="s" s="2">
        <v>22</v>
      </c>
      <c r="M7082" t="s" s="2">
        <v>22</v>
      </c>
    </row>
    <row r="7083" ht="25.0" customHeight="true">
      <c r="A7083" t="s" s="2">
        <v>13</v>
      </c>
      <c r="B7083" t="s" s="2">
        <f>HYPERLINK("http://ts.21cn.com/tousu/show/id/1365592","通联支付违规提供714平台蟹老弟支付渠道")</f>
      </c>
      <c r="C7083" t="s" s="2">
        <v>15</v>
      </c>
      <c r="D7083" t="s" s="2">
        <v>16</v>
      </c>
      <c r="E7083" t="s" s="2">
        <v>17</v>
      </c>
      <c r="F7083" t="s" s="2">
        <f>HYPERLINK("http://ts.21cn.com/tousu/show/id/1365592","http://ts.21cn.com/tousu/show/id/1365592")</f>
      </c>
      <c r="G7083" t="s" s="2">
        <v>17</v>
      </c>
      <c r="H7083" t="s" s="2">
        <v>19</v>
      </c>
      <c r="I7083" t="s" s="2">
        <v>27398</v>
      </c>
      <c r="J7083" t="s" s="2">
        <v>27399</v>
      </c>
      <c r="K7083" t="s" s="2">
        <v>22</v>
      </c>
      <c r="L7083" t="s" s="2">
        <v>22</v>
      </c>
      <c r="M7083" t="s" s="2">
        <v>22</v>
      </c>
    </row>
    <row r="7084" ht="25.0" customHeight="true">
      <c r="A7084" t="s" s="2">
        <v>13</v>
      </c>
      <c r="B7084" t="s" s="2">
        <f>HYPERLINK("http://ts.21cn.com/tousu/show/id/1365591","招商银行找外包公司恐吓")</f>
      </c>
      <c r="C7084" t="s" s="2">
        <v>15</v>
      </c>
      <c r="D7084" t="s" s="2">
        <v>16</v>
      </c>
      <c r="E7084" t="s" s="2">
        <v>17</v>
      </c>
      <c r="F7084" t="s" s="2">
        <f>HYPERLINK("http://ts.21cn.com/tousu/show/id/1365591","http://ts.21cn.com/tousu/show/id/1365591")</f>
      </c>
      <c r="G7084" t="s" s="2">
        <v>17</v>
      </c>
      <c r="H7084" t="s" s="2">
        <v>19</v>
      </c>
      <c r="I7084" t="s" s="2">
        <v>27402</v>
      </c>
      <c r="J7084" t="s" s="2">
        <v>27403</v>
      </c>
      <c r="K7084" t="s" s="2">
        <v>22</v>
      </c>
      <c r="L7084" t="s" s="2">
        <v>22</v>
      </c>
      <c r="M7084" t="s" s="2">
        <v>22</v>
      </c>
    </row>
    <row r="7085" ht="25.0" customHeight="true">
      <c r="A7085" t="s" s="2">
        <v>13</v>
      </c>
      <c r="B7085" t="s" s="2">
        <f>HYPERLINK("http://ts.21cn.com/tousu/show/id/1365589","小闪卡贷暴力催收，以及砍头息")</f>
      </c>
      <c r="C7085" t="s" s="2">
        <v>15</v>
      </c>
      <c r="D7085" t="s" s="2">
        <v>16</v>
      </c>
      <c r="E7085" t="s" s="2">
        <v>17</v>
      </c>
      <c r="F7085" t="s" s="2">
        <f>HYPERLINK("http://ts.21cn.com/tousu/show/id/1365589","http://ts.21cn.com/tousu/show/id/1365589")</f>
      </c>
      <c r="G7085" t="s" s="2">
        <v>17</v>
      </c>
      <c r="H7085" t="s" s="2">
        <v>19</v>
      </c>
      <c r="I7085" t="s" s="2">
        <v>27406</v>
      </c>
      <c r="J7085" t="s" s="2">
        <v>27407</v>
      </c>
      <c r="K7085" t="s" s="2">
        <v>22</v>
      </c>
      <c r="L7085" t="s" s="2">
        <v>22</v>
      </c>
      <c r="M7085" t="s" s="2">
        <v>22</v>
      </c>
    </row>
    <row r="7086" ht="25.0" customHeight="true">
      <c r="A7086" t="s" s="2">
        <v>13</v>
      </c>
      <c r="B7086" t="s" s="2">
        <f>HYPERLINK("http://ts.21cn.com/tousu/show/id/1365588","骚扰通讯录，逾期3天罚息每天100，")</f>
      </c>
      <c r="C7086" t="s" s="2">
        <v>15</v>
      </c>
      <c r="D7086" t="s" s="2">
        <v>16</v>
      </c>
      <c r="E7086" t="s" s="2">
        <v>17</v>
      </c>
      <c r="F7086" t="s" s="2">
        <f>HYPERLINK("http://ts.21cn.com/tousu/show/id/1365588","http://ts.21cn.com/tousu/show/id/1365588")</f>
      </c>
      <c r="G7086" t="s" s="2">
        <v>17</v>
      </c>
      <c r="H7086" t="s" s="2">
        <v>19</v>
      </c>
      <c r="I7086" t="s" s="2">
        <v>27410</v>
      </c>
      <c r="J7086" t="s" s="2">
        <v>27411</v>
      </c>
      <c r="K7086" t="s" s="2">
        <v>22</v>
      </c>
      <c r="L7086" t="s" s="2">
        <v>22</v>
      </c>
      <c r="M7086" t="s" s="2">
        <v>22</v>
      </c>
    </row>
    <row r="7087" ht="25.0" customHeight="true">
      <c r="A7087" t="s" s="2">
        <v>13</v>
      </c>
      <c r="B7087" t="s" s="2">
        <f>HYPERLINK("http://ts.21cn.com/tousu/show/id/1365587","立刻出行不退押金")</f>
      </c>
      <c r="C7087" t="s" s="2">
        <v>15</v>
      </c>
      <c r="D7087" t="s" s="2">
        <v>16</v>
      </c>
      <c r="E7087" t="s" s="2">
        <v>17</v>
      </c>
      <c r="F7087" t="s" s="2">
        <f>HYPERLINK("http://ts.21cn.com/tousu/show/id/1365587","http://ts.21cn.com/tousu/show/id/1365587")</f>
      </c>
      <c r="G7087" t="s" s="2">
        <v>17</v>
      </c>
      <c r="H7087" t="s" s="2">
        <v>19</v>
      </c>
      <c r="I7087" t="s" s="2">
        <v>27414</v>
      </c>
      <c r="J7087" t="s" s="2">
        <v>27415</v>
      </c>
      <c r="K7087" t="s" s="2">
        <v>22</v>
      </c>
      <c r="L7087" t="s" s="2">
        <v>22</v>
      </c>
      <c r="M7087" t="s" s="2">
        <v>22</v>
      </c>
    </row>
    <row r="7088" ht="25.0" customHeight="true">
      <c r="A7088" t="s" s="2">
        <v>13</v>
      </c>
      <c r="B7088" t="s" s="2">
        <f>HYPERLINK("http://ts.21cn.com/tousu/show/id/1365586","中华财险站台厚本金融坑害出借人")</f>
      </c>
      <c r="C7088" t="s" s="2">
        <v>15</v>
      </c>
      <c r="D7088" t="s" s="2">
        <v>16</v>
      </c>
      <c r="E7088" t="s" s="2">
        <v>17</v>
      </c>
      <c r="F7088" t="s" s="2">
        <f>HYPERLINK("http://ts.21cn.com/tousu/show/id/1365586","http://ts.21cn.com/tousu/show/id/1365586")</f>
      </c>
      <c r="G7088" t="s" s="2">
        <v>17</v>
      </c>
      <c r="H7088" t="s" s="2">
        <v>19</v>
      </c>
      <c r="I7088" t="s" s="2">
        <v>27418</v>
      </c>
      <c r="J7088" t="s" s="2">
        <v>27419</v>
      </c>
      <c r="K7088" t="s" s="2">
        <v>22</v>
      </c>
      <c r="L7088" t="s" s="2">
        <v>22</v>
      </c>
      <c r="M7088" t="s" s="2">
        <v>22</v>
      </c>
    </row>
    <row r="7089" ht="25.0" customHeight="true">
      <c r="A7089" t="s" s="2">
        <v>13</v>
      </c>
      <c r="B7089" t="s" s="2">
        <f>HYPERLINK("http://ts.21cn.com/tousu/show/id/1365584","充值油卡未到账")</f>
      </c>
      <c r="C7089" t="s" s="2">
        <v>15</v>
      </c>
      <c r="D7089" t="s" s="2">
        <v>16</v>
      </c>
      <c r="E7089" t="s" s="2">
        <v>17</v>
      </c>
      <c r="F7089" t="s" s="2">
        <f>HYPERLINK("http://ts.21cn.com/tousu/show/id/1365584","http://ts.21cn.com/tousu/show/id/1365584")</f>
      </c>
      <c r="G7089" t="s" s="2">
        <v>17</v>
      </c>
      <c r="H7089" t="s" s="2">
        <v>19</v>
      </c>
      <c r="I7089" t="s" s="2">
        <v>27422</v>
      </c>
      <c r="J7089" t="s" s="2">
        <v>27423</v>
      </c>
      <c r="K7089" t="s" s="2">
        <v>22</v>
      </c>
      <c r="L7089" t="s" s="2">
        <v>22</v>
      </c>
      <c r="M7089" t="s" s="2">
        <v>22</v>
      </c>
    </row>
    <row r="7090" ht="25.0" customHeight="true">
      <c r="A7090" t="s" s="2">
        <v>13</v>
      </c>
      <c r="B7090" t="s" s="2">
        <f>HYPERLINK("http://ts.21cn.com/tousu/show/id/1365583","网贷平台违法暴力催收")</f>
      </c>
      <c r="C7090" t="s" s="2">
        <v>15</v>
      </c>
      <c r="D7090" t="s" s="2">
        <v>16</v>
      </c>
      <c r="E7090" t="s" s="2">
        <v>17</v>
      </c>
      <c r="F7090" t="s" s="2">
        <f>HYPERLINK("http://ts.21cn.com/tousu/show/id/1365583","http://ts.21cn.com/tousu/show/id/1365583")</f>
      </c>
      <c r="G7090" t="s" s="2">
        <v>17</v>
      </c>
      <c r="H7090" t="s" s="2">
        <v>19</v>
      </c>
      <c r="I7090" t="s" s="2">
        <v>27426</v>
      </c>
      <c r="J7090" t="s" s="2">
        <v>27427</v>
      </c>
      <c r="K7090" t="s" s="2">
        <v>22</v>
      </c>
      <c r="L7090" t="s" s="2">
        <v>22</v>
      </c>
      <c r="M7090" t="s" s="2">
        <v>22</v>
      </c>
    </row>
    <row r="7091" ht="25.0" customHeight="true">
      <c r="A7091" t="s" s="2">
        <v>13</v>
      </c>
      <c r="B7091" t="s" s="2">
        <f>HYPERLINK("http://ts.21cn.com/tousu/show/id/1365582","京东商城说好的全国仓储发货实际只有总仓有货")</f>
      </c>
      <c r="C7091" t="s" s="2">
        <v>15</v>
      </c>
      <c r="D7091" t="s" s="2">
        <v>16</v>
      </c>
      <c r="E7091" t="s" s="2">
        <v>17</v>
      </c>
      <c r="F7091" t="s" s="2">
        <f>HYPERLINK("http://ts.21cn.com/tousu/show/id/1365582","http://ts.21cn.com/tousu/show/id/1365582")</f>
      </c>
      <c r="G7091" t="s" s="2">
        <v>17</v>
      </c>
      <c r="H7091" t="s" s="2">
        <v>19</v>
      </c>
      <c r="I7091" t="s" s="2">
        <v>27430</v>
      </c>
      <c r="J7091" t="s" s="2">
        <v>27431</v>
      </c>
      <c r="K7091" t="s" s="2">
        <v>22</v>
      </c>
      <c r="L7091" t="s" s="2">
        <v>22</v>
      </c>
      <c r="M7091" t="s" s="2">
        <v>22</v>
      </c>
    </row>
    <row r="7092" ht="25.0" customHeight="true">
      <c r="A7092" t="s" s="2">
        <v>13</v>
      </c>
      <c r="B7092" t="s" s="2">
        <f>HYPERLINK("http://ts.21cn.com/tousu/show/id/1365581","卡卡贷以会员的名义收取砍头息高利息捆绑销售保险")</f>
      </c>
      <c r="C7092" t="s" s="2">
        <v>15</v>
      </c>
      <c r="D7092" t="s" s="2">
        <v>16</v>
      </c>
      <c r="E7092" t="s" s="2">
        <v>17</v>
      </c>
      <c r="F7092" t="s" s="2">
        <f>HYPERLINK("http://ts.21cn.com/tousu/show/id/1365581","http://ts.21cn.com/tousu/show/id/1365581")</f>
      </c>
      <c r="G7092" t="s" s="2">
        <v>17</v>
      </c>
      <c r="H7092" t="s" s="2">
        <v>19</v>
      </c>
      <c r="I7092" t="s" s="2">
        <v>27434</v>
      </c>
      <c r="J7092" t="s" s="2">
        <v>27435</v>
      </c>
      <c r="K7092" t="s" s="2">
        <v>22</v>
      </c>
      <c r="L7092" t="s" s="2">
        <v>22</v>
      </c>
      <c r="M7092" t="s" s="2">
        <v>22</v>
      </c>
    </row>
    <row r="7093" ht="25.0" customHeight="true">
      <c r="A7093" t="s" s="2">
        <v>13</v>
      </c>
      <c r="B7093" t="s" s="2">
        <f>HYPERLINK("http://ts.21cn.com/tousu/show/id/1365585","唯品会投诉专题")</f>
      </c>
      <c r="C7093" t="s" s="2">
        <v>52</v>
      </c>
      <c r="D7093" t="s" s="2">
        <v>16</v>
      </c>
      <c r="E7093" t="s" s="2">
        <v>17</v>
      </c>
      <c r="F7093" t="s" s="2">
        <f>HYPERLINK("http://ts.21cn.com/tousu/show/id/1365585","http://ts.21cn.com/tousu/show/id/1365585")</f>
      </c>
      <c r="G7093" t="s" s="2">
        <v>17</v>
      </c>
      <c r="H7093" t="s" s="2">
        <v>19</v>
      </c>
      <c r="I7093" t="s" s="2">
        <v>27434</v>
      </c>
      <c r="J7093" t="s" s="2">
        <v>27437</v>
      </c>
      <c r="K7093" t="s" s="2">
        <v>22</v>
      </c>
      <c r="L7093" t="s" s="2">
        <v>22</v>
      </c>
      <c r="M7093" t="s" s="2">
        <v>22</v>
      </c>
    </row>
    <row r="7094" ht="25.0" customHeight="true">
      <c r="A7094" t="s" s="2">
        <v>13</v>
      </c>
      <c r="B7094" t="s" s="2">
        <f>HYPERLINK("http://ts.21cn.com/tousu/show/id/1365578","迅捷视频转换器转换不了视频")</f>
      </c>
      <c r="C7094" t="s" s="2">
        <v>15</v>
      </c>
      <c r="D7094" t="s" s="2">
        <v>16</v>
      </c>
      <c r="E7094" t="s" s="2">
        <v>17</v>
      </c>
      <c r="F7094" t="s" s="2">
        <f>HYPERLINK("http://ts.21cn.com/tousu/show/id/1365578","http://ts.21cn.com/tousu/show/id/1365578")</f>
      </c>
      <c r="G7094" t="s" s="2">
        <v>17</v>
      </c>
      <c r="H7094" t="s" s="2">
        <v>19</v>
      </c>
      <c r="I7094" t="s" s="2">
        <v>27439</v>
      </c>
      <c r="J7094" t="s" s="2">
        <v>27440</v>
      </c>
      <c r="K7094" t="s" s="2">
        <v>22</v>
      </c>
      <c r="L7094" t="s" s="2">
        <v>22</v>
      </c>
      <c r="M7094" t="s" s="2">
        <v>22</v>
      </c>
    </row>
    <row r="7095" ht="25.0" customHeight="true">
      <c r="A7095" t="s" s="2">
        <v>13</v>
      </c>
      <c r="B7095" t="s" s="2">
        <f>HYPERLINK("http://ts.21cn.com/tousu/show/id/1363155","永久限制接单")</f>
      </c>
      <c r="C7095" t="s" s="2">
        <v>52</v>
      </c>
      <c r="D7095" t="s" s="2">
        <v>16</v>
      </c>
      <c r="E7095" t="s" s="2">
        <v>17</v>
      </c>
      <c r="F7095" t="s" s="2">
        <f>HYPERLINK("http://ts.21cn.com/tousu/show/id/1363155","http://ts.21cn.com/tousu/show/id/1363155")</f>
      </c>
      <c r="G7095" t="s" s="2">
        <v>17</v>
      </c>
      <c r="H7095" t="s" s="2">
        <v>19</v>
      </c>
      <c r="I7095" t="s" s="2">
        <v>27443</v>
      </c>
      <c r="J7095" t="s" s="2">
        <v>27444</v>
      </c>
      <c r="K7095" t="s" s="2">
        <v>22</v>
      </c>
      <c r="L7095" t="s" s="2">
        <v>22</v>
      </c>
      <c r="M7095" t="s" s="2">
        <v>22</v>
      </c>
    </row>
    <row r="7096" ht="25.0" customHeight="true">
      <c r="A7096" t="s" s="2">
        <v>13</v>
      </c>
      <c r="B7096" t="s" s="2">
        <f>HYPERLINK("http://ts.21cn.com/tousu/show/id/1365577","客服不退运费")</f>
      </c>
      <c r="C7096" t="s" s="2">
        <v>52</v>
      </c>
      <c r="D7096" t="s" s="2">
        <v>16</v>
      </c>
      <c r="E7096" t="s" s="2">
        <v>17</v>
      </c>
      <c r="F7096" t="s" s="2">
        <f>HYPERLINK("http://ts.21cn.com/tousu/show/id/1365577","http://ts.21cn.com/tousu/show/id/1365577")</f>
      </c>
      <c r="G7096" t="s" s="2">
        <v>17</v>
      </c>
      <c r="H7096" t="s" s="2">
        <v>19</v>
      </c>
      <c r="I7096" t="s" s="2">
        <v>27447</v>
      </c>
      <c r="J7096" t="s" s="2">
        <v>27448</v>
      </c>
      <c r="K7096" t="s" s="2">
        <v>22</v>
      </c>
      <c r="L7096" t="s" s="2">
        <v>22</v>
      </c>
      <c r="M7096" t="s" s="2">
        <v>22</v>
      </c>
    </row>
    <row r="7097" ht="25.0" customHeight="true">
      <c r="A7097" t="s" s="2">
        <v>13</v>
      </c>
      <c r="B7097" t="s" s="2">
        <f>HYPERLINK("http://ts.21cn.com/tousu/show/id/1365576","丰趣海淘拖欠员工工资，强制执行也没用")</f>
      </c>
      <c r="C7097" t="s" s="2">
        <v>15</v>
      </c>
      <c r="D7097" t="s" s="2">
        <v>16</v>
      </c>
      <c r="E7097" t="s" s="2">
        <v>17</v>
      </c>
      <c r="F7097" t="s" s="2">
        <f>HYPERLINK("http://ts.21cn.com/tousu/show/id/1365576","http://ts.21cn.com/tousu/show/id/1365576")</f>
      </c>
      <c r="G7097" t="s" s="2">
        <v>17</v>
      </c>
      <c r="H7097" t="s" s="2">
        <v>19</v>
      </c>
      <c r="I7097" t="s" s="2">
        <v>27450</v>
      </c>
      <c r="J7097" t="s" s="2">
        <v>27451</v>
      </c>
      <c r="K7097" t="s" s="2">
        <v>22</v>
      </c>
      <c r="L7097" t="s" s="2">
        <v>22</v>
      </c>
      <c r="M7097" t="s" s="2">
        <v>22</v>
      </c>
    </row>
    <row r="7098" ht="25.0" customHeight="true">
      <c r="A7098" t="s" s="2">
        <v>13</v>
      </c>
      <c r="B7098" t="s" s="2">
        <f>HYPERLINK("http://ts.21cn.com/tousu/show/id/1365575","高利货申请廷期还款减免利息")</f>
      </c>
      <c r="C7098" t="s" s="2">
        <v>52</v>
      </c>
      <c r="D7098" t="s" s="2">
        <v>16</v>
      </c>
      <c r="E7098" t="s" s="2">
        <v>17</v>
      </c>
      <c r="F7098" t="s" s="2">
        <f>HYPERLINK("http://ts.21cn.com/tousu/show/id/1365575","http://ts.21cn.com/tousu/show/id/1365575")</f>
      </c>
      <c r="G7098" t="s" s="2">
        <v>17</v>
      </c>
      <c r="H7098" t="s" s="2">
        <v>19</v>
      </c>
      <c r="I7098" t="s" s="2">
        <v>27454</v>
      </c>
      <c r="J7098" t="s" s="2">
        <v>27455</v>
      </c>
      <c r="K7098" t="s" s="2">
        <v>22</v>
      </c>
      <c r="L7098" t="s" s="2">
        <v>22</v>
      </c>
      <c r="M7098" t="s" s="2">
        <v>22</v>
      </c>
    </row>
    <row r="7099" ht="25.0" customHeight="true">
      <c r="A7099" t="s" s="2">
        <v>13</v>
      </c>
      <c r="B7099" t="s" s="2">
        <f>HYPERLINK("http://ts.21cn.com/tousu/show/id/1365572","微博钱包，你的套路真够深")</f>
      </c>
      <c r="C7099" t="s" s="2">
        <v>15</v>
      </c>
      <c r="D7099" t="s" s="2">
        <v>16</v>
      </c>
      <c r="E7099" t="s" s="2">
        <v>17</v>
      </c>
      <c r="F7099" t="s" s="2">
        <f>HYPERLINK("http://ts.21cn.com/tousu/show/id/1365572","http://ts.21cn.com/tousu/show/id/1365572")</f>
      </c>
      <c r="G7099" t="s" s="2">
        <v>17</v>
      </c>
      <c r="H7099" t="s" s="2">
        <v>19</v>
      </c>
      <c r="I7099" t="s" s="2">
        <v>27458</v>
      </c>
      <c r="J7099" t="s" s="2">
        <v>27459</v>
      </c>
      <c r="K7099" t="s" s="2">
        <v>22</v>
      </c>
      <c r="L7099" t="s" s="2">
        <v>22</v>
      </c>
      <c r="M7099" t="s" s="2">
        <v>22</v>
      </c>
    </row>
    <row r="7100" ht="25.0" customHeight="true">
      <c r="A7100" t="s" s="2">
        <v>13</v>
      </c>
      <c r="B7100" t="s" s="2">
        <f>HYPERLINK("http://ts.21cn.com/tousu/show/id/1365574","立借平台高利贷")</f>
      </c>
      <c r="C7100" t="s" s="2">
        <v>15</v>
      </c>
      <c r="D7100" t="s" s="2">
        <v>16</v>
      </c>
      <c r="E7100" t="s" s="2">
        <v>17</v>
      </c>
      <c r="F7100" t="s" s="2">
        <f>HYPERLINK("http://ts.21cn.com/tousu/show/id/1365574","http://ts.21cn.com/tousu/show/id/1365574")</f>
      </c>
      <c r="G7100" t="s" s="2">
        <v>17</v>
      </c>
      <c r="H7100" t="s" s="2">
        <v>19</v>
      </c>
      <c r="I7100" t="s" s="2">
        <v>27461</v>
      </c>
      <c r="J7100" t="s" s="2">
        <v>27462</v>
      </c>
      <c r="K7100" t="s" s="2">
        <v>22</v>
      </c>
      <c r="L7100" t="s" s="2">
        <v>22</v>
      </c>
      <c r="M7100" t="s" s="2">
        <v>22</v>
      </c>
    </row>
    <row r="7101" ht="25.0" customHeight="true">
      <c r="A7101" t="s" s="2">
        <v>13</v>
      </c>
      <c r="B7101" t="s" s="2">
        <f>HYPERLINK("http://ts.21cn.com/tousu/show/id/1365573","我来贷逾期暴力催收")</f>
      </c>
      <c r="C7101" t="s" s="2">
        <v>15</v>
      </c>
      <c r="D7101" t="s" s="2">
        <v>16</v>
      </c>
      <c r="E7101" t="s" s="2">
        <v>17</v>
      </c>
      <c r="F7101" t="s" s="2">
        <f>HYPERLINK("http://ts.21cn.com/tousu/show/id/1365573","http://ts.21cn.com/tousu/show/id/1365573")</f>
      </c>
      <c r="G7101" t="s" s="2">
        <v>17</v>
      </c>
      <c r="H7101" t="s" s="2">
        <v>19</v>
      </c>
      <c r="I7101" t="s" s="2">
        <v>27465</v>
      </c>
      <c r="J7101" t="s" s="2">
        <v>27466</v>
      </c>
      <c r="K7101" t="s" s="2">
        <v>22</v>
      </c>
      <c r="L7101" t="s" s="2">
        <v>22</v>
      </c>
      <c r="M7101" t="s" s="2">
        <v>22</v>
      </c>
    </row>
    <row r="7102" ht="25.0" customHeight="true">
      <c r="A7102" t="s" s="2">
        <v>13</v>
      </c>
      <c r="B7102" t="s" s="2">
        <f>HYPERLINK("http://ts.21cn.com/tousu/show/id/1365571","请停止信息骚扰")</f>
      </c>
      <c r="C7102" t="s" s="2">
        <v>15</v>
      </c>
      <c r="D7102" t="s" s="2">
        <v>16</v>
      </c>
      <c r="E7102" t="s" s="2">
        <v>17</v>
      </c>
      <c r="F7102" t="s" s="2">
        <f>HYPERLINK("http://ts.21cn.com/tousu/show/id/1365571","http://ts.21cn.com/tousu/show/id/1365571")</f>
      </c>
      <c r="G7102" t="s" s="2">
        <v>17</v>
      </c>
      <c r="H7102" t="s" s="2">
        <v>19</v>
      </c>
      <c r="I7102" t="s" s="2">
        <v>27469</v>
      </c>
      <c r="J7102" t="s" s="2">
        <v>27470</v>
      </c>
      <c r="K7102" t="s" s="2">
        <v>22</v>
      </c>
      <c r="L7102" t="s" s="2">
        <v>22</v>
      </c>
      <c r="M7102" t="s" s="2">
        <v>22</v>
      </c>
    </row>
    <row r="7103" ht="25.0" customHeight="true">
      <c r="A7103" t="s" s="2">
        <v>13</v>
      </c>
      <c r="B7103" t="s" s="2">
        <f>HYPERLINK("http://ts.21cn.com/tousu/show/id/1365569","私自变更抢票车次导致时差退票")</f>
      </c>
      <c r="C7103" t="s" s="2">
        <v>15</v>
      </c>
      <c r="D7103" t="s" s="2">
        <v>16</v>
      </c>
      <c r="E7103" t="s" s="2">
        <v>17</v>
      </c>
      <c r="F7103" t="s" s="2">
        <f>HYPERLINK("http://ts.21cn.com/tousu/show/id/1365569","http://ts.21cn.com/tousu/show/id/1365569")</f>
      </c>
      <c r="G7103" t="s" s="2">
        <v>17</v>
      </c>
      <c r="H7103" t="s" s="2">
        <v>19</v>
      </c>
      <c r="I7103" t="s" s="2">
        <v>27473</v>
      </c>
      <c r="J7103" t="s" s="2">
        <v>27474</v>
      </c>
      <c r="K7103" t="s" s="2">
        <v>22</v>
      </c>
      <c r="L7103" t="s" s="2">
        <v>22</v>
      </c>
      <c r="M7103" t="s" s="2">
        <v>22</v>
      </c>
    </row>
    <row r="7104" ht="25.0" customHeight="true">
      <c r="A7104" t="s" s="2">
        <v>13</v>
      </c>
      <c r="B7104" t="s" s="2">
        <f>HYPERLINK("http://ts.21cn.com/tousu/show/id/1365570","高利贷套路贷")</f>
      </c>
      <c r="C7104" t="s" s="2">
        <v>15</v>
      </c>
      <c r="D7104" t="s" s="2">
        <v>16</v>
      </c>
      <c r="E7104" t="s" s="2">
        <v>17</v>
      </c>
      <c r="F7104" t="s" s="2">
        <f>HYPERLINK("http://ts.21cn.com/tousu/show/id/1365570","http://ts.21cn.com/tousu/show/id/1365570")</f>
      </c>
      <c r="G7104" t="s" s="2">
        <v>17</v>
      </c>
      <c r="H7104" t="s" s="2">
        <v>19</v>
      </c>
      <c r="I7104" t="s" s="2">
        <v>27476</v>
      </c>
      <c r="J7104" t="s" s="2">
        <v>27477</v>
      </c>
      <c r="K7104" t="s" s="2">
        <v>22</v>
      </c>
      <c r="L7104" t="s" s="2">
        <v>22</v>
      </c>
      <c r="M7104" t="s" s="2">
        <v>22</v>
      </c>
    </row>
    <row r="7105" ht="25.0" customHeight="true">
      <c r="A7105" t="s" s="2">
        <v>13</v>
      </c>
      <c r="B7105" t="s" s="2">
        <f>HYPERLINK("http://ts.21cn.com/tousu/show/id/1365568","信而富砍头息阴阳合同")</f>
      </c>
      <c r="C7105" t="s" s="2">
        <v>15</v>
      </c>
      <c r="D7105" t="s" s="2">
        <v>16</v>
      </c>
      <c r="E7105" t="s" s="2">
        <v>17</v>
      </c>
      <c r="F7105" t="s" s="2">
        <f>HYPERLINK("http://ts.21cn.com/tousu/show/id/1365568","http://ts.21cn.com/tousu/show/id/1365568")</f>
      </c>
      <c r="G7105" t="s" s="2">
        <v>17</v>
      </c>
      <c r="H7105" t="s" s="2">
        <v>19</v>
      </c>
      <c r="I7105" t="s" s="2">
        <v>27480</v>
      </c>
      <c r="J7105" t="s" s="2">
        <v>27481</v>
      </c>
      <c r="K7105" t="s" s="2">
        <v>22</v>
      </c>
      <c r="L7105" t="s" s="2">
        <v>22</v>
      </c>
      <c r="M7105" t="s" s="2">
        <v>22</v>
      </c>
    </row>
    <row r="7106" ht="25.0" customHeight="true">
      <c r="A7106" t="s" s="2">
        <v>13</v>
      </c>
      <c r="B7106" t="s" s="2">
        <f>HYPERLINK("http://ts.21cn.com/tousu/show/id/1365567","恶意催收")</f>
      </c>
      <c r="C7106" t="s" s="2">
        <v>15</v>
      </c>
      <c r="D7106" t="s" s="2">
        <v>16</v>
      </c>
      <c r="E7106" t="s" s="2">
        <v>17</v>
      </c>
      <c r="F7106" t="s" s="2">
        <f>HYPERLINK("http://ts.21cn.com/tousu/show/id/1365567","http://ts.21cn.com/tousu/show/id/1365567")</f>
      </c>
      <c r="G7106" t="s" s="2">
        <v>17</v>
      </c>
      <c r="H7106" t="s" s="2">
        <v>19</v>
      </c>
      <c r="I7106" t="s" s="2">
        <v>27483</v>
      </c>
      <c r="J7106" t="s" s="2">
        <v>27484</v>
      </c>
      <c r="K7106" t="s" s="2">
        <v>22</v>
      </c>
      <c r="L7106" t="s" s="2">
        <v>22</v>
      </c>
      <c r="M7106" t="s" s="2">
        <v>22</v>
      </c>
    </row>
    <row r="7107" ht="25.0" customHeight="true">
      <c r="A7107" t="s" s="2">
        <v>13</v>
      </c>
      <c r="B7107" t="s" s="2">
        <f>HYPERLINK("http://ts.21cn.com/tousu/show/id/1365563","百万钱包无提示产生恶意产生逾期费用")</f>
      </c>
      <c r="C7107" t="s" s="2">
        <v>15</v>
      </c>
      <c r="D7107" t="s" s="2">
        <v>16</v>
      </c>
      <c r="E7107" t="s" s="2">
        <v>17</v>
      </c>
      <c r="F7107" t="s" s="2">
        <f>HYPERLINK("http://ts.21cn.com/tousu/show/id/1365563","http://ts.21cn.com/tousu/show/id/1365563")</f>
      </c>
      <c r="G7107" t="s" s="2">
        <v>17</v>
      </c>
      <c r="H7107" t="s" s="2">
        <v>19</v>
      </c>
      <c r="I7107" t="s" s="2">
        <v>27487</v>
      </c>
      <c r="J7107" t="s" s="2">
        <v>27488</v>
      </c>
      <c r="K7107" t="s" s="2">
        <v>22</v>
      </c>
      <c r="L7107" t="s" s="2">
        <v>22</v>
      </c>
      <c r="M7107" t="s" s="2">
        <v>22</v>
      </c>
    </row>
    <row r="7108" ht="25.0" customHeight="true">
      <c r="A7108" t="s" s="2">
        <v>13</v>
      </c>
      <c r="B7108" t="s" s="2">
        <f>HYPERLINK("http://ts.21cn.com/tousu/show/id/1365562","多次告知中信银行电话禁播仍然多次接到销售电话")</f>
      </c>
      <c r="C7108" t="s" s="2">
        <v>52</v>
      </c>
      <c r="D7108" t="s" s="2">
        <v>16</v>
      </c>
      <c r="E7108" t="s" s="2">
        <v>17</v>
      </c>
      <c r="F7108" t="s" s="2">
        <f>HYPERLINK("http://ts.21cn.com/tousu/show/id/1365562","http://ts.21cn.com/tousu/show/id/1365562")</f>
      </c>
      <c r="G7108" t="s" s="2">
        <v>17</v>
      </c>
      <c r="H7108" t="s" s="2">
        <v>19</v>
      </c>
      <c r="I7108" t="s" s="2">
        <v>27491</v>
      </c>
      <c r="J7108" t="s" s="2">
        <v>27492</v>
      </c>
      <c r="K7108" t="s" s="2">
        <v>22</v>
      </c>
      <c r="L7108" t="s" s="2">
        <v>22</v>
      </c>
      <c r="M7108" t="s" s="2">
        <v>22</v>
      </c>
    </row>
    <row r="7109" ht="25.0" customHeight="true">
      <c r="A7109" t="s" s="2">
        <v>13</v>
      </c>
      <c r="B7109" t="s" s="2">
        <f>HYPERLINK("http://ts.21cn.com/tousu/show/id/1365561","有钱花提前还款，把钱从银行卡里扣了，结果平台依然显示欠款并在涨利息且官方电话无人接听")</f>
      </c>
      <c r="C7109" t="s" s="2">
        <v>15</v>
      </c>
      <c r="D7109" t="s" s="2">
        <v>16</v>
      </c>
      <c r="E7109" t="s" s="2">
        <v>17</v>
      </c>
      <c r="F7109" t="s" s="2">
        <f>HYPERLINK("http://ts.21cn.com/tousu/show/id/1365561","http://ts.21cn.com/tousu/show/id/1365561")</f>
      </c>
      <c r="G7109" t="s" s="2">
        <v>17</v>
      </c>
      <c r="H7109" t="s" s="2">
        <v>19</v>
      </c>
      <c r="I7109" t="s" s="2">
        <v>27491</v>
      </c>
      <c r="J7109" t="s" s="2">
        <v>27495</v>
      </c>
      <c r="K7109" t="s" s="2">
        <v>22</v>
      </c>
      <c r="L7109" t="s" s="2">
        <v>22</v>
      </c>
      <c r="M7109" t="s" s="2">
        <v>22</v>
      </c>
    </row>
    <row r="7110" ht="25.0" customHeight="true">
      <c r="A7110" t="s" s="2">
        <v>13</v>
      </c>
      <c r="B7110" t="s" s="2">
        <f>HYPERLINK("http://ts.21cn.com/tousu/show/id/1365560","马上消费金融暴力骚扰")</f>
      </c>
      <c r="C7110" t="s" s="2">
        <v>15</v>
      </c>
      <c r="D7110" t="s" s="2">
        <v>16</v>
      </c>
      <c r="E7110" t="s" s="2">
        <v>17</v>
      </c>
      <c r="F7110" t="s" s="2">
        <f>HYPERLINK("http://ts.21cn.com/tousu/show/id/1365560","http://ts.21cn.com/tousu/show/id/1365560")</f>
      </c>
      <c r="G7110" t="s" s="2">
        <v>17</v>
      </c>
      <c r="H7110" t="s" s="2">
        <v>19</v>
      </c>
      <c r="I7110" t="s" s="2">
        <v>27498</v>
      </c>
      <c r="J7110" t="s" s="2">
        <v>27499</v>
      </c>
      <c r="K7110" t="s" s="2">
        <v>22</v>
      </c>
      <c r="L7110" t="s" s="2">
        <v>22</v>
      </c>
      <c r="M7110" t="s" s="2">
        <v>22</v>
      </c>
    </row>
    <row r="7111" ht="25.0" customHeight="true">
      <c r="A7111" t="s" s="2">
        <v>13</v>
      </c>
      <c r="B7111" t="s" s="2">
        <f>HYPERLINK("http://ts.21cn.com/tousu/show/id/1365559","向客户不传导明确商品信息诱导消费者购买商品")</f>
      </c>
      <c r="C7111" t="s" s="2">
        <v>15</v>
      </c>
      <c r="D7111" t="s" s="2">
        <v>16</v>
      </c>
      <c r="E7111" t="s" s="2">
        <v>17</v>
      </c>
      <c r="F7111" t="s" s="2">
        <f>HYPERLINK("http://ts.21cn.com/tousu/show/id/1365559","http://ts.21cn.com/tousu/show/id/1365559")</f>
      </c>
      <c r="G7111" t="s" s="2">
        <v>17</v>
      </c>
      <c r="H7111" t="s" s="2">
        <v>19</v>
      </c>
      <c r="I7111" t="s" s="2">
        <v>27502</v>
      </c>
      <c r="J7111" t="s" s="2">
        <v>27503</v>
      </c>
      <c r="K7111" t="s" s="2">
        <v>22</v>
      </c>
      <c r="L7111" t="s" s="2">
        <v>22</v>
      </c>
      <c r="M7111" t="s" s="2">
        <v>22</v>
      </c>
    </row>
    <row r="7112" ht="25.0" customHeight="true">
      <c r="A7112" t="s" s="2">
        <v>13</v>
      </c>
      <c r="B7112" t="s" s="2">
        <f>HYPERLINK("http://ts.21cn.com/tousu/show/id/1365557","京东白条委托催收公司骚扰我")</f>
      </c>
      <c r="C7112" t="s" s="2">
        <v>15</v>
      </c>
      <c r="D7112" t="s" s="2">
        <v>16</v>
      </c>
      <c r="E7112" t="s" s="2">
        <v>17</v>
      </c>
      <c r="F7112" t="s" s="2">
        <f>HYPERLINK("http://ts.21cn.com/tousu/show/id/1365557","http://ts.21cn.com/tousu/show/id/1365557")</f>
      </c>
      <c r="G7112" t="s" s="2">
        <v>17</v>
      </c>
      <c r="H7112" t="s" s="2">
        <v>19</v>
      </c>
      <c r="I7112" t="s" s="2">
        <v>27506</v>
      </c>
      <c r="J7112" t="s" s="2">
        <v>27507</v>
      </c>
      <c r="K7112" t="s" s="2">
        <v>22</v>
      </c>
      <c r="L7112" t="s" s="2">
        <v>22</v>
      </c>
      <c r="M7112" t="s" s="2">
        <v>22</v>
      </c>
    </row>
    <row r="7113" ht="25.0" customHeight="true">
      <c r="A7113" t="s" s="2">
        <v>13</v>
      </c>
      <c r="B7113" t="s" s="2">
        <f>HYPERLINK("http://ts.21cn.com/tousu/show/id/1365556","套路贷、高利贷、暴力吹收")</f>
      </c>
      <c r="C7113" t="s" s="2">
        <v>15</v>
      </c>
      <c r="D7113" t="s" s="2">
        <v>16</v>
      </c>
      <c r="E7113" t="s" s="2">
        <v>17</v>
      </c>
      <c r="F7113" t="s" s="2">
        <f>HYPERLINK("http://ts.21cn.com/tousu/show/id/1365556","http://ts.21cn.com/tousu/show/id/1365556")</f>
      </c>
      <c r="G7113" t="s" s="2">
        <v>17</v>
      </c>
      <c r="H7113" t="s" s="2">
        <v>19</v>
      </c>
      <c r="I7113" t="s" s="2">
        <v>27510</v>
      </c>
      <c r="J7113" t="s" s="2">
        <v>27511</v>
      </c>
      <c r="K7113" t="s" s="2">
        <v>22</v>
      </c>
      <c r="L7113" t="s" s="2">
        <v>22</v>
      </c>
      <c r="M7113" t="s" s="2">
        <v>22</v>
      </c>
    </row>
    <row r="7114" ht="25.0" customHeight="true">
      <c r="A7114" t="s" s="2">
        <v>13</v>
      </c>
      <c r="B7114" t="s" s="2">
        <f>HYPERLINK("http://ts.21cn.com/tousu/show/id/1365555","连续短信骚扰，电话沟通之后没有改变")</f>
      </c>
      <c r="C7114" t="s" s="2">
        <v>15</v>
      </c>
      <c r="D7114" t="s" s="2">
        <v>16</v>
      </c>
      <c r="E7114" t="s" s="2">
        <v>17</v>
      </c>
      <c r="F7114" t="s" s="2">
        <f>HYPERLINK("http://ts.21cn.com/tousu/show/id/1365555","http://ts.21cn.com/tousu/show/id/1365555")</f>
      </c>
      <c r="G7114" t="s" s="2">
        <v>17</v>
      </c>
      <c r="H7114" t="s" s="2">
        <v>19</v>
      </c>
      <c r="I7114" t="s" s="2">
        <v>27514</v>
      </c>
      <c r="J7114" t="s" s="2">
        <v>27515</v>
      </c>
      <c r="K7114" t="s" s="2">
        <v>22</v>
      </c>
      <c r="L7114" t="s" s="2">
        <v>22</v>
      </c>
      <c r="M7114" t="s" s="2">
        <v>22</v>
      </c>
    </row>
    <row r="7115" ht="25.0" customHeight="true">
      <c r="A7115" t="s" s="2">
        <v>13</v>
      </c>
      <c r="B7115" t="s" s="2">
        <f>HYPERLINK("http://ts.21cn.com/tousu/show/id/1365554","去哪儿网催收不讲信用")</f>
      </c>
      <c r="C7115" t="s" s="2">
        <v>15</v>
      </c>
      <c r="D7115" t="s" s="2">
        <v>16</v>
      </c>
      <c r="E7115" t="s" s="2">
        <v>17</v>
      </c>
      <c r="F7115" t="s" s="2">
        <f>HYPERLINK("http://ts.21cn.com/tousu/show/id/1365554","http://ts.21cn.com/tousu/show/id/1365554")</f>
      </c>
      <c r="G7115" t="s" s="2">
        <v>17</v>
      </c>
      <c r="H7115" t="s" s="2">
        <v>19</v>
      </c>
      <c r="I7115" t="s" s="2">
        <v>27518</v>
      </c>
      <c r="J7115" t="s" s="2">
        <v>27519</v>
      </c>
      <c r="K7115" t="s" s="2">
        <v>22</v>
      </c>
      <c r="L7115" t="s" s="2">
        <v>22</v>
      </c>
      <c r="M7115" t="s" s="2">
        <v>22</v>
      </c>
    </row>
    <row r="7116" ht="25.0" customHeight="true">
      <c r="A7116" t="s" s="2">
        <v>13</v>
      </c>
      <c r="B7116" t="s" s="2">
        <f>HYPERLINK("http://ts.21cn.com/tousu/show/id/1365553","我来数科高额逾期费")</f>
      </c>
      <c r="C7116" t="s" s="2">
        <v>15</v>
      </c>
      <c r="D7116" t="s" s="2">
        <v>16</v>
      </c>
      <c r="E7116" t="s" s="2">
        <v>17</v>
      </c>
      <c r="F7116" t="s" s="2">
        <f>HYPERLINK("http://ts.21cn.com/tousu/show/id/1365553","http://ts.21cn.com/tousu/show/id/1365553")</f>
      </c>
      <c r="G7116" t="s" s="2">
        <v>17</v>
      </c>
      <c r="H7116" t="s" s="2">
        <v>19</v>
      </c>
      <c r="I7116" t="s" s="2">
        <v>27522</v>
      </c>
      <c r="J7116" t="s" s="2">
        <v>27523</v>
      </c>
      <c r="K7116" t="s" s="2">
        <v>22</v>
      </c>
      <c r="L7116" t="s" s="2">
        <v>22</v>
      </c>
      <c r="M7116" t="s" s="2">
        <v>22</v>
      </c>
    </row>
    <row r="7117" ht="25.0" customHeight="true">
      <c r="A7117" t="s" s="2">
        <v>13</v>
      </c>
      <c r="B7117" t="s" s="2">
        <f>HYPERLINK("http://ts.21cn.com/tousu/show/id/1365552","涉嫌收取好处费")</f>
      </c>
      <c r="C7117" t="s" s="2">
        <v>15</v>
      </c>
      <c r="D7117" t="s" s="2">
        <v>16</v>
      </c>
      <c r="E7117" t="s" s="2">
        <v>17</v>
      </c>
      <c r="F7117" t="s" s="2">
        <f>HYPERLINK("http://ts.21cn.com/tousu/show/id/1365552","http://ts.21cn.com/tousu/show/id/1365552")</f>
      </c>
      <c r="G7117" t="s" s="2">
        <v>17</v>
      </c>
      <c r="H7117" t="s" s="2">
        <v>19</v>
      </c>
      <c r="I7117" t="s" s="2">
        <v>27526</v>
      </c>
      <c r="J7117" t="s" s="2">
        <v>27527</v>
      </c>
      <c r="K7117" t="s" s="2">
        <v>22</v>
      </c>
      <c r="L7117" t="s" s="2">
        <v>22</v>
      </c>
      <c r="M7117" t="s" s="2">
        <v>22</v>
      </c>
    </row>
    <row r="7118" ht="25.0" customHeight="true">
      <c r="A7118" t="s" s="2">
        <v>13</v>
      </c>
      <c r="B7118" t="s" s="2">
        <f>HYPERLINK("http://ts.21cn.com/tousu/show/id/1365551","拍拍贷恐吓威胁上门")</f>
      </c>
      <c r="C7118" t="s" s="2">
        <v>15</v>
      </c>
      <c r="D7118" t="s" s="2">
        <v>16</v>
      </c>
      <c r="E7118" t="s" s="2">
        <v>17</v>
      </c>
      <c r="F7118" t="s" s="2">
        <f>HYPERLINK("http://ts.21cn.com/tousu/show/id/1365551","http://ts.21cn.com/tousu/show/id/1365551")</f>
      </c>
      <c r="G7118" t="s" s="2">
        <v>17</v>
      </c>
      <c r="H7118" t="s" s="2">
        <v>19</v>
      </c>
      <c r="I7118" t="s" s="2">
        <v>27530</v>
      </c>
      <c r="J7118" t="s" s="2">
        <v>27531</v>
      </c>
      <c r="K7118" t="s" s="2">
        <v>22</v>
      </c>
      <c r="L7118" t="s" s="2">
        <v>22</v>
      </c>
      <c r="M7118" t="s" s="2">
        <v>22</v>
      </c>
    </row>
    <row r="7119" ht="25.0" customHeight="true">
      <c r="A7119" t="s" s="2">
        <v>13</v>
      </c>
      <c r="B7119" t="s" s="2">
        <f>HYPERLINK("http://ts.21cn.com/tousu/show/id/1365550","交通银行违规催收")</f>
      </c>
      <c r="C7119" t="s" s="2">
        <v>15</v>
      </c>
      <c r="D7119" t="s" s="2">
        <v>16</v>
      </c>
      <c r="E7119" t="s" s="2">
        <v>17</v>
      </c>
      <c r="F7119" t="s" s="2">
        <f>HYPERLINK("http://ts.21cn.com/tousu/show/id/1365550","http://ts.21cn.com/tousu/show/id/1365550")</f>
      </c>
      <c r="G7119" t="s" s="2">
        <v>17</v>
      </c>
      <c r="H7119" t="s" s="2">
        <v>19</v>
      </c>
      <c r="I7119" t="s" s="2">
        <v>27533</v>
      </c>
      <c r="J7119" t="s" s="2">
        <v>27534</v>
      </c>
      <c r="K7119" t="s" s="2">
        <v>22</v>
      </c>
      <c r="L7119" t="s" s="2">
        <v>22</v>
      </c>
      <c r="M7119" t="s" s="2">
        <v>22</v>
      </c>
    </row>
    <row r="7120" ht="25.0" customHeight="true">
      <c r="A7120" t="s" s="2">
        <v>13</v>
      </c>
      <c r="B7120" t="s" s="2">
        <f>HYPERLINK("http://ts.21cn.com/tousu/show/id/1365549","砍头息，高利贷，骚扰通讯录")</f>
      </c>
      <c r="C7120" t="s" s="2">
        <v>15</v>
      </c>
      <c r="D7120" t="s" s="2">
        <v>16</v>
      </c>
      <c r="E7120" t="s" s="2">
        <v>17</v>
      </c>
      <c r="F7120" t="s" s="2">
        <f>HYPERLINK("http://ts.21cn.com/tousu/show/id/1365549","http://ts.21cn.com/tousu/show/id/1365549")</f>
      </c>
      <c r="G7120" t="s" s="2">
        <v>17</v>
      </c>
      <c r="H7120" t="s" s="2">
        <v>19</v>
      </c>
      <c r="I7120" t="s" s="2">
        <v>27537</v>
      </c>
      <c r="J7120" t="s" s="2">
        <v>27538</v>
      </c>
      <c r="K7120" t="s" s="2">
        <v>22</v>
      </c>
      <c r="L7120" t="s" s="2">
        <v>22</v>
      </c>
      <c r="M7120" t="s" s="2">
        <v>22</v>
      </c>
    </row>
    <row r="7121" ht="25.0" customHeight="true">
      <c r="A7121" t="s" s="2">
        <v>13</v>
      </c>
      <c r="B7121" t="s" s="2">
        <f>HYPERLINK("http://ts.21cn.com/tousu/show/id/1365548","协商还款")</f>
      </c>
      <c r="C7121" t="s" s="2">
        <v>52</v>
      </c>
      <c r="D7121" t="s" s="2">
        <v>16</v>
      </c>
      <c r="E7121" t="s" s="2">
        <v>17</v>
      </c>
      <c r="F7121" t="s" s="2">
        <f>HYPERLINK("http://ts.21cn.com/tousu/show/id/1365548","http://ts.21cn.com/tousu/show/id/1365548")</f>
      </c>
      <c r="G7121" t="s" s="2">
        <v>17</v>
      </c>
      <c r="H7121" t="s" s="2">
        <v>19</v>
      </c>
      <c r="I7121" t="s" s="2">
        <v>27540</v>
      </c>
      <c r="J7121" t="s" s="2">
        <v>27541</v>
      </c>
      <c r="K7121" t="s" s="2">
        <v>22</v>
      </c>
      <c r="L7121" t="s" s="2">
        <v>22</v>
      </c>
      <c r="M7121" t="s" s="2">
        <v>22</v>
      </c>
    </row>
    <row r="7122" ht="25.0" customHeight="true">
      <c r="A7122" t="s" s="2">
        <v>13</v>
      </c>
      <c r="B7122" t="s" s="2">
        <f>HYPERLINK("http://ts.21cn.com/tousu/show/id/1365543","情人花盗刷我银行卡内资金")</f>
      </c>
      <c r="C7122" t="s" s="2">
        <v>15</v>
      </c>
      <c r="D7122" t="s" s="2">
        <v>16</v>
      </c>
      <c r="E7122" t="s" s="2">
        <v>17</v>
      </c>
      <c r="F7122" t="s" s="2">
        <f>HYPERLINK("http://ts.21cn.com/tousu/show/id/1365543","http://ts.21cn.com/tousu/show/id/1365543")</f>
      </c>
      <c r="G7122" t="s" s="2">
        <v>17</v>
      </c>
      <c r="H7122" t="s" s="2">
        <v>19</v>
      </c>
      <c r="I7122" t="s" s="2">
        <v>27544</v>
      </c>
      <c r="J7122" t="s" s="2">
        <v>27545</v>
      </c>
      <c r="K7122" t="s" s="2">
        <v>22</v>
      </c>
      <c r="L7122" t="s" s="2">
        <v>22</v>
      </c>
      <c r="M7122" t="s" s="2">
        <v>22</v>
      </c>
    </row>
    <row r="7123" ht="25.0" customHeight="true">
      <c r="A7123" t="s" s="2">
        <v>13</v>
      </c>
      <c r="B7123" t="s" s="2">
        <f>HYPERLINK("http://ts.21cn.com/tousu/show/id/1365544","招联好期待暴力催收")</f>
      </c>
      <c r="C7123" t="s" s="2">
        <v>15</v>
      </c>
      <c r="D7123" t="s" s="2">
        <v>16</v>
      </c>
      <c r="E7123" t="s" s="2">
        <v>17</v>
      </c>
      <c r="F7123" t="s" s="2">
        <f>HYPERLINK("http://ts.21cn.com/tousu/show/id/1365544","http://ts.21cn.com/tousu/show/id/1365544")</f>
      </c>
      <c r="G7123" t="s" s="2">
        <v>17</v>
      </c>
      <c r="H7123" t="s" s="2">
        <v>19</v>
      </c>
      <c r="I7123" t="s" s="2">
        <v>27548</v>
      </c>
      <c r="J7123" t="s" s="2">
        <v>27549</v>
      </c>
      <c r="K7123" t="s" s="2">
        <v>22</v>
      </c>
      <c r="L7123" t="s" s="2">
        <v>22</v>
      </c>
      <c r="M7123" t="s" s="2">
        <v>22</v>
      </c>
    </row>
    <row r="7124" ht="25.0" customHeight="true">
      <c r="A7124" t="s" s="2">
        <v>13</v>
      </c>
      <c r="B7124" t="s" s="2">
        <f>HYPERLINK("http://ts.21cn.com/tousu/show/id/1365541","投诉好帅名师辅导机HS-T2100")</f>
      </c>
      <c r="C7124" t="s" s="2">
        <v>15</v>
      </c>
      <c r="D7124" t="s" s="2">
        <v>16</v>
      </c>
      <c r="E7124" t="s" s="2">
        <v>17</v>
      </c>
      <c r="F7124" t="s" s="2">
        <f>HYPERLINK("http://ts.21cn.com/tousu/show/id/1365541","http://ts.21cn.com/tousu/show/id/1365541")</f>
      </c>
      <c r="G7124" t="s" s="2">
        <v>17</v>
      </c>
      <c r="H7124" t="s" s="2">
        <v>19</v>
      </c>
      <c r="I7124" t="s" s="2">
        <v>27552</v>
      </c>
      <c r="J7124" t="s" s="2">
        <v>27553</v>
      </c>
      <c r="K7124" t="s" s="2">
        <v>22</v>
      </c>
      <c r="L7124" t="s" s="2">
        <v>22</v>
      </c>
      <c r="M7124" t="s" s="2">
        <v>22</v>
      </c>
    </row>
    <row r="7125" ht="25.0" customHeight="true">
      <c r="A7125" t="s" s="2">
        <v>13</v>
      </c>
      <c r="B7125" t="s" s="2">
        <f>HYPERLINK("http://ts.21cn.com/tousu/show/id/1365542","有米分期无法还款")</f>
      </c>
      <c r="C7125" t="s" s="2">
        <v>52</v>
      </c>
      <c r="D7125" t="s" s="2">
        <v>16</v>
      </c>
      <c r="E7125" t="s" s="2">
        <v>17</v>
      </c>
      <c r="F7125" t="s" s="2">
        <f>HYPERLINK("http://ts.21cn.com/tousu/show/id/1365542","http://ts.21cn.com/tousu/show/id/1365542")</f>
      </c>
      <c r="G7125" t="s" s="2">
        <v>17</v>
      </c>
      <c r="H7125" t="s" s="2">
        <v>19</v>
      </c>
      <c r="I7125" t="s" s="2">
        <v>27556</v>
      </c>
      <c r="J7125" t="s" s="2">
        <v>27557</v>
      </c>
      <c r="K7125" t="s" s="2">
        <v>22</v>
      </c>
      <c r="L7125" t="s" s="2">
        <v>22</v>
      </c>
      <c r="M7125" t="s" s="2">
        <v>22</v>
      </c>
    </row>
    <row r="7126" ht="25.0" customHeight="true">
      <c r="A7126" t="s" s="2">
        <v>13</v>
      </c>
      <c r="B7126" t="s" s="2">
        <f>HYPERLINK("http://ts.21cn.com/tousu/show/id/1365540","嗨钱还款不销账还天天打骚扰电话")</f>
      </c>
      <c r="C7126" t="s" s="2">
        <v>15</v>
      </c>
      <c r="D7126" t="s" s="2">
        <v>16</v>
      </c>
      <c r="E7126" t="s" s="2">
        <v>17</v>
      </c>
      <c r="F7126" t="s" s="2">
        <f>HYPERLINK("http://ts.21cn.com/tousu/show/id/1365540","http://ts.21cn.com/tousu/show/id/1365540")</f>
      </c>
      <c r="G7126" t="s" s="2">
        <v>17</v>
      </c>
      <c r="H7126" t="s" s="2">
        <v>19</v>
      </c>
      <c r="I7126" t="s" s="2">
        <v>27560</v>
      </c>
      <c r="J7126" t="s" s="2">
        <v>27561</v>
      </c>
      <c r="K7126" t="s" s="2">
        <v>22</v>
      </c>
      <c r="L7126" t="s" s="2">
        <v>22</v>
      </c>
      <c r="M7126" t="s" s="2">
        <v>22</v>
      </c>
    </row>
    <row r="7127" ht="25.0" customHeight="true">
      <c r="A7127" t="s" s="2">
        <v>13</v>
      </c>
      <c r="B7127" t="s" s="2">
        <f>HYPERLINK("http://ts.21cn.com/tousu/show/id/1365539","高额度手续费，服务管理费，保险费，电话轰炸骚扰家人，朋友")</f>
      </c>
      <c r="C7127" t="s" s="2">
        <v>15</v>
      </c>
      <c r="D7127" t="s" s="2">
        <v>16</v>
      </c>
      <c r="E7127" t="s" s="2">
        <v>17</v>
      </c>
      <c r="F7127" t="s" s="2">
        <f>HYPERLINK("http://ts.21cn.com/tousu/show/id/1365539","http://ts.21cn.com/tousu/show/id/1365539")</f>
      </c>
      <c r="G7127" t="s" s="2">
        <v>17</v>
      </c>
      <c r="H7127" t="s" s="2">
        <v>19</v>
      </c>
      <c r="I7127" t="s" s="2">
        <v>27564</v>
      </c>
      <c r="J7127" t="s" s="2">
        <v>27565</v>
      </c>
      <c r="K7127" t="s" s="2">
        <v>22</v>
      </c>
      <c r="L7127" t="s" s="2">
        <v>22</v>
      </c>
      <c r="M7127" t="s" s="2">
        <v>22</v>
      </c>
    </row>
    <row r="7128" ht="25.0" customHeight="true">
      <c r="A7128" t="s" s="2">
        <v>13</v>
      </c>
      <c r="B7128" t="s" s="2">
        <f>HYPERLINK("http://ts.21cn.com/tousu/show/id/1365538","我来贷暴力催收")</f>
      </c>
      <c r="C7128" t="s" s="2">
        <v>15</v>
      </c>
      <c r="D7128" t="s" s="2">
        <v>16</v>
      </c>
      <c r="E7128" t="s" s="2">
        <v>17</v>
      </c>
      <c r="F7128" t="s" s="2">
        <f>HYPERLINK("http://ts.21cn.com/tousu/show/id/1365538","http://ts.21cn.com/tousu/show/id/1365538")</f>
      </c>
      <c r="G7128" t="s" s="2">
        <v>17</v>
      </c>
      <c r="H7128" t="s" s="2">
        <v>19</v>
      </c>
      <c r="I7128" t="s" s="2">
        <v>27567</v>
      </c>
      <c r="J7128" t="s" s="2">
        <v>27568</v>
      </c>
      <c r="K7128" t="s" s="2">
        <v>22</v>
      </c>
      <c r="L7128" t="s" s="2">
        <v>22</v>
      </c>
      <c r="M7128" t="s" s="2">
        <v>22</v>
      </c>
    </row>
    <row r="7129" ht="25.0" customHeight="true">
      <c r="A7129" t="s" s="2">
        <v>13</v>
      </c>
      <c r="B7129" t="s" s="2">
        <f>HYPERLINK("http://ts.21cn.com/tousu/show/id/1365537","淘集集不给退款退店申请一直不处理听别人的货款一直下不来申请退店但是一直没人处理")</f>
      </c>
      <c r="C7129" t="s" s="2">
        <v>15</v>
      </c>
      <c r="D7129" t="s" s="2">
        <v>16</v>
      </c>
      <c r="E7129" t="s" s="2">
        <v>17</v>
      </c>
      <c r="F7129" t="s" s="2">
        <f>HYPERLINK("http://ts.21cn.com/tousu/show/id/1365537","http://ts.21cn.com/tousu/show/id/1365537")</f>
      </c>
      <c r="G7129" t="s" s="2">
        <v>17</v>
      </c>
      <c r="H7129" t="s" s="2">
        <v>19</v>
      </c>
      <c r="I7129" t="s" s="2">
        <v>27571</v>
      </c>
      <c r="J7129" t="s" s="2">
        <v>27572</v>
      </c>
      <c r="K7129" t="s" s="2">
        <v>22</v>
      </c>
      <c r="L7129" t="s" s="2">
        <v>22</v>
      </c>
      <c r="M7129" t="s" s="2">
        <v>22</v>
      </c>
    </row>
    <row r="7130" ht="25.0" customHeight="true">
      <c r="A7130" t="s" s="2">
        <v>13</v>
      </c>
      <c r="B7130" t="s" s="2">
        <f>HYPERLINK("http://ts.21cn.com/tousu/show/id/1365536","钱站阴阳合同，合同金额和到账金额不符，砍头息")</f>
      </c>
      <c r="C7130" t="s" s="2">
        <v>15</v>
      </c>
      <c r="D7130" t="s" s="2">
        <v>16</v>
      </c>
      <c r="E7130" t="s" s="2">
        <v>17</v>
      </c>
      <c r="F7130" t="s" s="2">
        <f>HYPERLINK("http://ts.21cn.com/tousu/show/id/1365536","http://ts.21cn.com/tousu/show/id/1365536")</f>
      </c>
      <c r="G7130" t="s" s="2">
        <v>17</v>
      </c>
      <c r="H7130" t="s" s="2">
        <v>19</v>
      </c>
      <c r="I7130" t="s" s="2">
        <v>27575</v>
      </c>
      <c r="J7130" t="s" s="2">
        <v>27576</v>
      </c>
      <c r="K7130" t="s" s="2">
        <v>22</v>
      </c>
      <c r="L7130" t="s" s="2">
        <v>22</v>
      </c>
      <c r="M7130" t="s" s="2">
        <v>22</v>
      </c>
    </row>
    <row r="7131" ht="25.0" customHeight="true">
      <c r="A7131" t="s" s="2">
        <v>13</v>
      </c>
      <c r="B7131" t="s" s="2">
        <f>HYPERLINK("http://ts.21cn.com/tousu/show/id/1365535","友信信贷在未逾期的时间内对借款人进行暴力催收")</f>
      </c>
      <c r="C7131" t="s" s="2">
        <v>15</v>
      </c>
      <c r="D7131" t="s" s="2">
        <v>16</v>
      </c>
      <c r="E7131" t="s" s="2">
        <v>17</v>
      </c>
      <c r="F7131" t="s" s="2">
        <f>HYPERLINK("http://ts.21cn.com/tousu/show/id/1365535","http://ts.21cn.com/tousu/show/id/1365535")</f>
      </c>
      <c r="G7131" t="s" s="2">
        <v>17</v>
      </c>
      <c r="H7131" t="s" s="2">
        <v>19</v>
      </c>
      <c r="I7131" t="s" s="2">
        <v>27578</v>
      </c>
      <c r="J7131" t="s" s="2">
        <v>27579</v>
      </c>
      <c r="K7131" t="s" s="2">
        <v>22</v>
      </c>
      <c r="L7131" t="s" s="2">
        <v>22</v>
      </c>
      <c r="M7131" t="s" s="2">
        <v>22</v>
      </c>
    </row>
    <row r="7132" ht="25.0" customHeight="true">
      <c r="A7132" t="s" s="2">
        <v>13</v>
      </c>
      <c r="B7132" t="s" s="2">
        <f>HYPERLINK("http://ts.21cn.com/tousu/show/id/1365533","你我贷恶意骚扰")</f>
      </c>
      <c r="C7132" t="s" s="2">
        <v>15</v>
      </c>
      <c r="D7132" t="s" s="2">
        <v>16</v>
      </c>
      <c r="E7132" t="s" s="2">
        <v>17</v>
      </c>
      <c r="F7132" t="s" s="2">
        <f>HYPERLINK("http://ts.21cn.com/tousu/show/id/1365533","http://ts.21cn.com/tousu/show/id/1365533")</f>
      </c>
      <c r="G7132" t="s" s="2">
        <v>17</v>
      </c>
      <c r="H7132" t="s" s="2">
        <v>19</v>
      </c>
      <c r="I7132" t="s" s="2">
        <v>27582</v>
      </c>
      <c r="J7132" t="s" s="2">
        <v>27583</v>
      </c>
      <c r="K7132" t="s" s="2">
        <v>22</v>
      </c>
      <c r="L7132" t="s" s="2">
        <v>22</v>
      </c>
      <c r="M7132" t="s" s="2">
        <v>22</v>
      </c>
    </row>
    <row r="7133" ht="25.0" customHeight="true">
      <c r="A7133" t="s" s="2">
        <v>13</v>
      </c>
      <c r="B7133" t="s" s="2">
        <f>HYPERLINK("http://ts.21cn.com/tousu/show/id/1365529","树林分期高利贷立借平台里面和信用管家里面")</f>
      </c>
      <c r="C7133" t="s" s="2">
        <v>15</v>
      </c>
      <c r="D7133" t="s" s="2">
        <v>16</v>
      </c>
      <c r="E7133" t="s" s="2">
        <v>17</v>
      </c>
      <c r="F7133" t="s" s="2">
        <f>HYPERLINK("http://ts.21cn.com/tousu/show/id/1365529","http://ts.21cn.com/tousu/show/id/1365529")</f>
      </c>
      <c r="G7133" t="s" s="2">
        <v>17</v>
      </c>
      <c r="H7133" t="s" s="2">
        <v>19</v>
      </c>
      <c r="I7133" t="s" s="2">
        <v>27586</v>
      </c>
      <c r="J7133" t="s" s="2">
        <v>27587</v>
      </c>
      <c r="K7133" t="s" s="2">
        <v>22</v>
      </c>
      <c r="L7133" t="s" s="2">
        <v>22</v>
      </c>
      <c r="M7133" t="s" s="2">
        <v>22</v>
      </c>
    </row>
    <row r="7134" ht="25.0" customHeight="true">
      <c r="A7134" t="s" s="2">
        <v>13</v>
      </c>
      <c r="B7134" t="s" s="2">
        <f>HYPERLINK("http://ts.21cn.com/tousu/show/id/1365531","罚息太高")</f>
      </c>
      <c r="C7134" t="s" s="2">
        <v>52</v>
      </c>
      <c r="D7134" t="s" s="2">
        <v>16</v>
      </c>
      <c r="E7134" t="s" s="2">
        <v>17</v>
      </c>
      <c r="F7134" t="s" s="2">
        <f>HYPERLINK("http://ts.21cn.com/tousu/show/id/1365531","http://ts.21cn.com/tousu/show/id/1365531")</f>
      </c>
      <c r="G7134" t="s" s="2">
        <v>17</v>
      </c>
      <c r="H7134" t="s" s="2">
        <v>19</v>
      </c>
      <c r="I7134" t="s" s="2">
        <v>27590</v>
      </c>
      <c r="J7134" t="s" s="2">
        <v>27591</v>
      </c>
      <c r="K7134" t="s" s="2">
        <v>22</v>
      </c>
      <c r="L7134" t="s" s="2">
        <v>22</v>
      </c>
      <c r="M7134" t="s" s="2">
        <v>22</v>
      </c>
    </row>
    <row r="7135" ht="25.0" customHeight="true">
      <c r="A7135" t="s" s="2">
        <v>13</v>
      </c>
      <c r="B7135" t="s" s="2">
        <f>HYPERLINK("http://ts.21cn.com/tousu/show/id/1365530","有用分期高利贷")</f>
      </c>
      <c r="C7135" t="s" s="2">
        <v>15</v>
      </c>
      <c r="D7135" t="s" s="2">
        <v>16</v>
      </c>
      <c r="E7135" t="s" s="2">
        <v>17</v>
      </c>
      <c r="F7135" t="s" s="2">
        <f>HYPERLINK("http://ts.21cn.com/tousu/show/id/1365530","http://ts.21cn.com/tousu/show/id/1365530")</f>
      </c>
      <c r="G7135" t="s" s="2">
        <v>17</v>
      </c>
      <c r="H7135" t="s" s="2">
        <v>19</v>
      </c>
      <c r="I7135" t="s" s="2">
        <v>27593</v>
      </c>
      <c r="J7135" t="s" s="2">
        <v>27594</v>
      </c>
      <c r="K7135" t="s" s="2">
        <v>22</v>
      </c>
      <c r="L7135" t="s" s="2">
        <v>22</v>
      </c>
      <c r="M7135" t="s" s="2">
        <v>22</v>
      </c>
    </row>
    <row r="7136" ht="25.0" customHeight="true">
      <c r="A7136" t="s" s="2">
        <v>13</v>
      </c>
      <c r="B7136" t="s" s="2">
        <f>HYPERLINK("http://ts.21cn.com/tousu/show/id/1365437","胖胖有米未逾期对借款人进行软暴力催收")</f>
      </c>
      <c r="C7136" t="s" s="2">
        <v>15</v>
      </c>
      <c r="D7136" t="s" s="2">
        <v>16</v>
      </c>
      <c r="E7136" t="s" s="2">
        <v>17</v>
      </c>
      <c r="F7136" t="s" s="2">
        <f>HYPERLINK("http://ts.21cn.com/tousu/show/id/1365437","http://ts.21cn.com/tousu/show/id/1365437")</f>
      </c>
      <c r="G7136" t="s" s="2">
        <v>17</v>
      </c>
      <c r="H7136" t="s" s="2">
        <v>19</v>
      </c>
      <c r="I7136" t="s" s="2">
        <v>27597</v>
      </c>
      <c r="J7136" t="s" s="2">
        <v>27598</v>
      </c>
      <c r="K7136" t="s" s="2">
        <v>22</v>
      </c>
      <c r="L7136" t="s" s="2">
        <v>22</v>
      </c>
      <c r="M7136" t="s" s="2">
        <v>22</v>
      </c>
    </row>
    <row r="7137" ht="25.0" customHeight="true">
      <c r="A7137" t="s" s="2">
        <v>13</v>
      </c>
      <c r="B7137" t="s" s="2">
        <f>HYPERLINK("http://ts.21cn.com/tousu/show/id/1365460","鸿运当头暴力催收")</f>
      </c>
      <c r="C7137" t="s" s="2">
        <v>15</v>
      </c>
      <c r="D7137" t="s" s="2">
        <v>16</v>
      </c>
      <c r="E7137" t="s" s="2">
        <v>17</v>
      </c>
      <c r="F7137" t="s" s="2">
        <f>HYPERLINK("http://ts.21cn.com/tousu/show/id/1365460","http://ts.21cn.com/tousu/show/id/1365460")</f>
      </c>
      <c r="G7137" t="s" s="2">
        <v>17</v>
      </c>
      <c r="H7137" t="s" s="2">
        <v>19</v>
      </c>
      <c r="I7137" t="s" s="2">
        <v>27601</v>
      </c>
      <c r="J7137" t="s" s="2">
        <v>27602</v>
      </c>
      <c r="K7137" t="s" s="2">
        <v>22</v>
      </c>
      <c r="L7137" t="s" s="2">
        <v>22</v>
      </c>
      <c r="M7137" t="s" s="2">
        <v>22</v>
      </c>
    </row>
    <row r="7138" ht="25.0" customHeight="true">
      <c r="A7138" t="s" s="2">
        <v>13</v>
      </c>
      <c r="B7138" t="s" s="2">
        <f>HYPERLINK("http://ts.21cn.com/tousu/show/id/1365528","扣了我七笔钱要求退款")</f>
      </c>
      <c r="C7138" t="s" s="2">
        <v>15</v>
      </c>
      <c r="D7138" t="s" s="2">
        <v>16</v>
      </c>
      <c r="E7138" t="s" s="2">
        <v>17</v>
      </c>
      <c r="F7138" t="s" s="2">
        <f>HYPERLINK("http://ts.21cn.com/tousu/show/id/1365528","http://ts.21cn.com/tousu/show/id/1365528")</f>
      </c>
      <c r="G7138" t="s" s="2">
        <v>17</v>
      </c>
      <c r="H7138" t="s" s="2">
        <v>19</v>
      </c>
      <c r="I7138" t="s" s="2">
        <v>27605</v>
      </c>
      <c r="J7138" t="s" s="2">
        <v>27606</v>
      </c>
      <c r="K7138" t="s" s="2">
        <v>22</v>
      </c>
      <c r="L7138" t="s" s="2">
        <v>22</v>
      </c>
      <c r="M7138" t="s" s="2">
        <v>22</v>
      </c>
    </row>
    <row r="7139" ht="25.0" customHeight="true">
      <c r="A7139" t="s" s="2">
        <v>13</v>
      </c>
      <c r="B7139" t="s" s="2">
        <f>HYPERLINK("http://ts.21cn.com/tousu/show/id/1365527","要求道歉，停止骚扰家人，打黑除恶最后一年还暴力催收？")</f>
      </c>
      <c r="C7139" t="s" s="2">
        <v>15</v>
      </c>
      <c r="D7139" t="s" s="2">
        <v>16</v>
      </c>
      <c r="E7139" t="s" s="2">
        <v>17</v>
      </c>
      <c r="F7139" t="s" s="2">
        <f>HYPERLINK("http://ts.21cn.com/tousu/show/id/1365527","http://ts.21cn.com/tousu/show/id/1365527")</f>
      </c>
      <c r="G7139" t="s" s="2">
        <v>17</v>
      </c>
      <c r="H7139" t="s" s="2">
        <v>19</v>
      </c>
      <c r="I7139" t="s" s="2">
        <v>27609</v>
      </c>
      <c r="J7139" t="s" s="2">
        <v>27610</v>
      </c>
      <c r="K7139" t="s" s="2">
        <v>22</v>
      </c>
      <c r="L7139" t="s" s="2">
        <v>22</v>
      </c>
      <c r="M7139" t="s" s="2">
        <v>22</v>
      </c>
    </row>
    <row r="7140" ht="25.0" customHeight="true">
      <c r="A7140" t="s" s="2">
        <v>13</v>
      </c>
      <c r="B7140" t="s" s="2">
        <f>HYPERLINK("http://ts.21cn.com/tousu/show/id/1365526","未经本人授权，也没打电话发短信恶意扣我298.5元。")</f>
      </c>
      <c r="C7140" t="s" s="2">
        <v>15</v>
      </c>
      <c r="D7140" t="s" s="2">
        <v>16</v>
      </c>
      <c r="E7140" t="s" s="2">
        <v>17</v>
      </c>
      <c r="F7140" t="s" s="2">
        <f>HYPERLINK("http://ts.21cn.com/tousu/show/id/1365526","http://ts.21cn.com/tousu/show/id/1365526")</f>
      </c>
      <c r="G7140" t="s" s="2">
        <v>17</v>
      </c>
      <c r="H7140" t="s" s="2">
        <v>19</v>
      </c>
      <c r="I7140" t="s" s="2">
        <v>27613</v>
      </c>
      <c r="J7140" t="s" s="2">
        <v>27614</v>
      </c>
      <c r="K7140" t="s" s="2">
        <v>22</v>
      </c>
      <c r="L7140" t="s" s="2">
        <v>22</v>
      </c>
      <c r="M7140" t="s" s="2">
        <v>22</v>
      </c>
    </row>
    <row r="7141" ht="25.0" customHeight="true">
      <c r="A7141" t="s" s="2">
        <v>13</v>
      </c>
      <c r="B7141" t="s" s="2">
        <f>HYPERLINK("http://ts.21cn.com/tousu/show/id/1365524","网上博彩网站")</f>
      </c>
      <c r="C7141" t="s" s="2">
        <v>52</v>
      </c>
      <c r="D7141" t="s" s="2">
        <v>16</v>
      </c>
      <c r="E7141" t="s" s="2">
        <v>17</v>
      </c>
      <c r="F7141" t="s" s="2">
        <f>HYPERLINK("http://ts.21cn.com/tousu/show/id/1365524","http://ts.21cn.com/tousu/show/id/1365524")</f>
      </c>
      <c r="G7141" t="s" s="2">
        <v>17</v>
      </c>
      <c r="H7141" t="s" s="2">
        <v>19</v>
      </c>
      <c r="I7141" t="s" s="2">
        <v>27617</v>
      </c>
      <c r="J7141" t="s" s="2">
        <v>27618</v>
      </c>
      <c r="K7141" t="s" s="2">
        <v>22</v>
      </c>
      <c r="L7141" t="s" s="2">
        <v>22</v>
      </c>
      <c r="M7141" t="s" s="2">
        <v>22</v>
      </c>
    </row>
    <row r="7142" ht="25.0" customHeight="true">
      <c r="A7142" t="s" s="2">
        <v>13</v>
      </c>
      <c r="B7142" t="s" s="2">
        <f>HYPERLINK("http://ts.21cn.com/tousu/show/id/1365522","关注中汇支付刷卡机不到账问题")</f>
      </c>
      <c r="C7142" t="s" s="2">
        <v>15</v>
      </c>
      <c r="D7142" t="s" s="2">
        <v>16</v>
      </c>
      <c r="E7142" t="s" s="2">
        <v>17</v>
      </c>
      <c r="F7142" t="s" s="2">
        <f>HYPERLINK("http://ts.21cn.com/tousu/show/id/1365522","http://ts.21cn.com/tousu/show/id/1365522")</f>
      </c>
      <c r="G7142" t="s" s="2">
        <v>17</v>
      </c>
      <c r="H7142" t="s" s="2">
        <v>19</v>
      </c>
      <c r="I7142" t="s" s="2">
        <v>27621</v>
      </c>
      <c r="J7142" t="s" s="2">
        <v>27622</v>
      </c>
      <c r="K7142" t="s" s="2">
        <v>22</v>
      </c>
      <c r="L7142" t="s" s="2">
        <v>22</v>
      </c>
      <c r="M7142" t="s" s="2">
        <v>22</v>
      </c>
    </row>
    <row r="7143" ht="25.0" customHeight="true">
      <c r="A7143" t="s" s="2">
        <v>13</v>
      </c>
      <c r="B7143" t="s" s="2">
        <f>HYPERLINK("http://ts.21cn.com/tousu/show/id/1365521","未逾期爆通信录")</f>
      </c>
      <c r="C7143" t="s" s="2">
        <v>15</v>
      </c>
      <c r="D7143" t="s" s="2">
        <v>16</v>
      </c>
      <c r="E7143" t="s" s="2">
        <v>17</v>
      </c>
      <c r="F7143" t="s" s="2">
        <f>HYPERLINK("http://ts.21cn.com/tousu/show/id/1365521","http://ts.21cn.com/tousu/show/id/1365521")</f>
      </c>
      <c r="G7143" t="s" s="2">
        <v>17</v>
      </c>
      <c r="H7143" t="s" s="2">
        <v>19</v>
      </c>
      <c r="I7143" t="s" s="2">
        <v>27621</v>
      </c>
      <c r="J7143" t="s" s="2">
        <v>27625</v>
      </c>
      <c r="K7143" t="s" s="2">
        <v>22</v>
      </c>
      <c r="L7143" t="s" s="2">
        <v>22</v>
      </c>
      <c r="M7143" t="s" s="2">
        <v>22</v>
      </c>
    </row>
    <row r="7144" ht="25.0" customHeight="true">
      <c r="A7144" t="s" s="2">
        <v>13</v>
      </c>
      <c r="B7144" t="s" s="2">
        <f>HYPERLINK("http://ts.21cn.com/tousu/show/id/1365520","淘豆分期无故扣款")</f>
      </c>
      <c r="C7144" t="s" s="2">
        <v>52</v>
      </c>
      <c r="D7144" t="s" s="2">
        <v>16</v>
      </c>
      <c r="E7144" t="s" s="2">
        <v>17</v>
      </c>
      <c r="F7144" t="s" s="2">
        <f>HYPERLINK("http://ts.21cn.com/tousu/show/id/1365520","http://ts.21cn.com/tousu/show/id/1365520")</f>
      </c>
      <c r="G7144" t="s" s="2">
        <v>17</v>
      </c>
      <c r="H7144" t="s" s="2">
        <v>19</v>
      </c>
      <c r="I7144" t="s" s="2">
        <v>27628</v>
      </c>
      <c r="J7144" t="s" s="2">
        <v>24870</v>
      </c>
      <c r="K7144" t="s" s="2">
        <v>22</v>
      </c>
      <c r="L7144" t="s" s="2">
        <v>22</v>
      </c>
      <c r="M7144" t="s" s="2">
        <v>22</v>
      </c>
    </row>
    <row r="7145" ht="25.0" customHeight="true">
      <c r="A7145" t="s" s="2">
        <v>13</v>
      </c>
      <c r="B7145" t="s" s="2">
        <f>HYPERLINK("http://ts.21cn.com/tousu/show/id/1365523","（特约）信而富未经我同意，直接扣款408.76元")</f>
      </c>
      <c r="C7145" t="s" s="2">
        <v>15</v>
      </c>
      <c r="D7145" t="s" s="2">
        <v>16</v>
      </c>
      <c r="E7145" t="s" s="2">
        <v>17</v>
      </c>
      <c r="F7145" t="s" s="2">
        <f>HYPERLINK("http://ts.21cn.com/tousu/show/id/1365523","http://ts.21cn.com/tousu/show/id/1365523")</f>
      </c>
      <c r="G7145" t="s" s="2">
        <v>17</v>
      </c>
      <c r="H7145" t="s" s="2">
        <v>19</v>
      </c>
      <c r="I7145" t="s" s="2">
        <v>27631</v>
      </c>
      <c r="J7145" t="s" s="2">
        <v>27632</v>
      </c>
      <c r="K7145" t="s" s="2">
        <v>22</v>
      </c>
      <c r="L7145" t="s" s="2">
        <v>22</v>
      </c>
      <c r="M7145" t="s" s="2">
        <v>22</v>
      </c>
    </row>
    <row r="7146" ht="25.0" customHeight="true">
      <c r="A7146" t="s" s="2">
        <v>13</v>
      </c>
      <c r="B7146" t="s" s="2">
        <f>HYPERLINK("http://ts.21cn.com/tousu/show/id/1365519","收取前期服务费，要求退款")</f>
      </c>
      <c r="C7146" t="s" s="2">
        <v>52</v>
      </c>
      <c r="D7146" t="s" s="2">
        <v>16</v>
      </c>
      <c r="E7146" t="s" s="2">
        <v>17</v>
      </c>
      <c r="F7146" t="s" s="2">
        <f>HYPERLINK("http://ts.21cn.com/tousu/show/id/1365519","http://ts.21cn.com/tousu/show/id/1365519")</f>
      </c>
      <c r="G7146" t="s" s="2">
        <v>17</v>
      </c>
      <c r="H7146" t="s" s="2">
        <v>19</v>
      </c>
      <c r="I7146" t="s" s="2">
        <v>27635</v>
      </c>
      <c r="J7146" t="s" s="2">
        <v>27636</v>
      </c>
      <c r="K7146" t="s" s="2">
        <v>22</v>
      </c>
      <c r="L7146" t="s" s="2">
        <v>22</v>
      </c>
      <c r="M7146" t="s" s="2">
        <v>22</v>
      </c>
    </row>
    <row r="7147" ht="25.0" customHeight="true">
      <c r="A7147" t="s" s="2">
        <v>13</v>
      </c>
      <c r="B7147" t="s" s="2">
        <f>HYPERLINK("http://ts.21cn.com/tousu/show/id/1365518","群发威胁短信，电话轰炸")</f>
      </c>
      <c r="C7147" t="s" s="2">
        <v>15</v>
      </c>
      <c r="D7147" t="s" s="2">
        <v>16</v>
      </c>
      <c r="E7147" t="s" s="2">
        <v>17</v>
      </c>
      <c r="F7147" t="s" s="2">
        <f>HYPERLINK("http://ts.21cn.com/tousu/show/id/1365518","http://ts.21cn.com/tousu/show/id/1365518")</f>
      </c>
      <c r="G7147" t="s" s="2">
        <v>17</v>
      </c>
      <c r="H7147" t="s" s="2">
        <v>19</v>
      </c>
      <c r="I7147" t="s" s="2">
        <v>27639</v>
      </c>
      <c r="J7147" t="s" s="2">
        <v>27640</v>
      </c>
      <c r="K7147" t="s" s="2">
        <v>22</v>
      </c>
      <c r="L7147" t="s" s="2">
        <v>22</v>
      </c>
      <c r="M7147" t="s" s="2">
        <v>22</v>
      </c>
    </row>
    <row r="7148" ht="25.0" customHeight="true">
      <c r="A7148" t="s" s="2">
        <v>13</v>
      </c>
      <c r="B7148" t="s" s="2">
        <f>HYPERLINK("http://ts.21cn.com/tousu/show/id/1365517","去哪儿旅行APP上的借去花乱收利息")</f>
      </c>
      <c r="C7148" t="s" s="2">
        <v>15</v>
      </c>
      <c r="D7148" t="s" s="2">
        <v>16</v>
      </c>
      <c r="E7148" t="s" s="2">
        <v>17</v>
      </c>
      <c r="F7148" t="s" s="2">
        <f>HYPERLINK("http://ts.21cn.com/tousu/show/id/1365517","http://ts.21cn.com/tousu/show/id/1365517")</f>
      </c>
      <c r="G7148" t="s" s="2">
        <v>17</v>
      </c>
      <c r="H7148" t="s" s="2">
        <v>19</v>
      </c>
      <c r="I7148" t="s" s="2">
        <v>27643</v>
      </c>
      <c r="J7148" t="s" s="2">
        <v>27644</v>
      </c>
      <c r="K7148" t="s" s="2">
        <v>22</v>
      </c>
      <c r="L7148" t="s" s="2">
        <v>22</v>
      </c>
      <c r="M7148" t="s" s="2">
        <v>22</v>
      </c>
    </row>
    <row r="7149" ht="25.0" customHeight="true">
      <c r="A7149" t="s" s="2">
        <v>13</v>
      </c>
      <c r="B7149" t="s" s="2">
        <f>HYPERLINK("http://ts.21cn.com/tousu/show/id/1365516","宜信放高利贷")</f>
      </c>
      <c r="C7149" t="s" s="2">
        <v>15</v>
      </c>
      <c r="D7149" t="s" s="2">
        <v>16</v>
      </c>
      <c r="E7149" t="s" s="2">
        <v>17</v>
      </c>
      <c r="F7149" t="s" s="2">
        <f>HYPERLINK("http://ts.21cn.com/tousu/show/id/1365516","http://ts.21cn.com/tousu/show/id/1365516")</f>
      </c>
      <c r="G7149" t="s" s="2">
        <v>17</v>
      </c>
      <c r="H7149" t="s" s="2">
        <v>19</v>
      </c>
      <c r="I7149" t="s" s="2">
        <v>27647</v>
      </c>
      <c r="J7149" t="s" s="2">
        <v>27648</v>
      </c>
      <c r="K7149" t="s" s="2">
        <v>22</v>
      </c>
      <c r="L7149" t="s" s="2">
        <v>22</v>
      </c>
      <c r="M7149" t="s" s="2">
        <v>22</v>
      </c>
    </row>
    <row r="7150" ht="25.0" customHeight="true">
      <c r="A7150" t="s" s="2">
        <v>13</v>
      </c>
      <c r="B7150" t="s" s="2">
        <f>HYPERLINK("http://ts.21cn.com/tousu/show/id/1365512","光大金服")</f>
      </c>
      <c r="C7150" t="s" s="2">
        <v>15</v>
      </c>
      <c r="D7150" t="s" s="2">
        <v>16</v>
      </c>
      <c r="E7150" t="s" s="2">
        <v>17</v>
      </c>
      <c r="F7150" t="s" s="2">
        <f>HYPERLINK("http://ts.21cn.com/tousu/show/id/1365512","http://ts.21cn.com/tousu/show/id/1365512")</f>
      </c>
      <c r="G7150" t="s" s="2">
        <v>17</v>
      </c>
      <c r="H7150" t="s" s="2">
        <v>19</v>
      </c>
      <c r="I7150" t="s" s="2">
        <v>27651</v>
      </c>
      <c r="J7150" t="s" s="2">
        <v>27652</v>
      </c>
      <c r="K7150" t="s" s="2">
        <v>22</v>
      </c>
      <c r="L7150" t="s" s="2">
        <v>22</v>
      </c>
      <c r="M7150" t="s" s="2">
        <v>22</v>
      </c>
    </row>
    <row r="7151" ht="25.0" customHeight="true">
      <c r="A7151" t="s" s="2">
        <v>13</v>
      </c>
      <c r="B7151" t="s" s="2">
        <f>HYPERLINK("http://ts.21cn.com/tousu/show/id/1365511","金鸡下蛋系列高利贷套路贷汇潮支付为其放款")</f>
      </c>
      <c r="C7151" t="s" s="2">
        <v>15</v>
      </c>
      <c r="D7151" t="s" s="2">
        <v>16</v>
      </c>
      <c r="E7151" t="s" s="2">
        <v>17</v>
      </c>
      <c r="F7151" t="s" s="2">
        <f>HYPERLINK("http://ts.21cn.com/tousu/show/id/1365511","http://ts.21cn.com/tousu/show/id/1365511")</f>
      </c>
      <c r="G7151" t="s" s="2">
        <v>17</v>
      </c>
      <c r="H7151" t="s" s="2">
        <v>19</v>
      </c>
      <c r="I7151" t="s" s="2">
        <v>27655</v>
      </c>
      <c r="J7151" t="s" s="2">
        <v>27656</v>
      </c>
      <c r="K7151" t="s" s="2">
        <v>22</v>
      </c>
      <c r="L7151" t="s" s="2">
        <v>22</v>
      </c>
      <c r="M7151" t="s" s="2">
        <v>22</v>
      </c>
    </row>
    <row r="7152" ht="25.0" customHeight="true">
      <c r="A7152" t="s" s="2">
        <v>13</v>
      </c>
      <c r="B7152" t="s" s="2">
        <f>HYPERLINK("http://ts.21cn.com/tousu/show/id/1365510","钱站高利贷没人管吗")</f>
      </c>
      <c r="C7152" t="s" s="2">
        <v>15</v>
      </c>
      <c r="D7152" t="s" s="2">
        <v>16</v>
      </c>
      <c r="E7152" t="s" s="2">
        <v>17</v>
      </c>
      <c r="F7152" t="s" s="2">
        <f>HYPERLINK("http://ts.21cn.com/tousu/show/id/1365510","http://ts.21cn.com/tousu/show/id/1365510")</f>
      </c>
      <c r="G7152" t="s" s="2">
        <v>17</v>
      </c>
      <c r="H7152" t="s" s="2">
        <v>19</v>
      </c>
      <c r="I7152" t="s" s="2">
        <v>27659</v>
      </c>
      <c r="J7152" t="s" s="2">
        <v>27660</v>
      </c>
      <c r="K7152" t="s" s="2">
        <v>22</v>
      </c>
      <c r="L7152" t="s" s="2">
        <v>22</v>
      </c>
      <c r="M7152" t="s" s="2">
        <v>22</v>
      </c>
    </row>
    <row r="7153" ht="25.0" customHeight="true">
      <c r="A7153" t="s" s="2">
        <v>13</v>
      </c>
      <c r="B7153" t="s" s="2">
        <f>HYPERLINK("http://ts.21cn.com/tousu/show/id/1365509","欺诈，阴阳合同")</f>
      </c>
      <c r="C7153" t="s" s="2">
        <v>15</v>
      </c>
      <c r="D7153" t="s" s="2">
        <v>16</v>
      </c>
      <c r="E7153" t="s" s="2">
        <v>17</v>
      </c>
      <c r="F7153" t="s" s="2">
        <f>HYPERLINK("http://ts.21cn.com/tousu/show/id/1365509","http://ts.21cn.com/tousu/show/id/1365509")</f>
      </c>
      <c r="G7153" t="s" s="2">
        <v>17</v>
      </c>
      <c r="H7153" t="s" s="2">
        <v>19</v>
      </c>
      <c r="I7153" t="s" s="2">
        <v>27663</v>
      </c>
      <c r="J7153" t="s" s="2">
        <v>27664</v>
      </c>
      <c r="K7153" t="s" s="2">
        <v>22</v>
      </c>
      <c r="L7153" t="s" s="2">
        <v>22</v>
      </c>
      <c r="M7153" t="s" s="2">
        <v>22</v>
      </c>
    </row>
    <row r="7154" ht="25.0" customHeight="true">
      <c r="A7154" t="s" s="2">
        <v>13</v>
      </c>
      <c r="B7154" t="s" s="2">
        <f>HYPERLINK("http://ts.21cn.com/tousu/show/id/1365508","网易uu加速器用户反馈群无故踢人")</f>
      </c>
      <c r="C7154" t="s" s="2">
        <v>52</v>
      </c>
      <c r="D7154" t="s" s="2">
        <v>16</v>
      </c>
      <c r="E7154" t="s" s="2">
        <v>17</v>
      </c>
      <c r="F7154" t="s" s="2">
        <f>HYPERLINK("http://ts.21cn.com/tousu/show/id/1365508","http://ts.21cn.com/tousu/show/id/1365508")</f>
      </c>
      <c r="G7154" t="s" s="2">
        <v>17</v>
      </c>
      <c r="H7154" t="s" s="2">
        <v>19</v>
      </c>
      <c r="I7154" t="s" s="2">
        <v>27667</v>
      </c>
      <c r="J7154" t="s" s="2">
        <v>27668</v>
      </c>
      <c r="K7154" t="s" s="2">
        <v>22</v>
      </c>
      <c r="L7154" t="s" s="2">
        <v>22</v>
      </c>
      <c r="M7154" t="s" s="2">
        <v>22</v>
      </c>
    </row>
    <row r="7155" ht="25.0" customHeight="true">
      <c r="A7155" t="s" s="2">
        <v>13</v>
      </c>
      <c r="B7155" t="s" s="2">
        <f>HYPERLINK("http://ts.21cn.com/tousu/show/id/1365507","账号不能下单云钻过期，客服不做处理")</f>
      </c>
      <c r="C7155" t="s" s="2">
        <v>15</v>
      </c>
      <c r="D7155" t="s" s="2">
        <v>16</v>
      </c>
      <c r="E7155" t="s" s="2">
        <v>17</v>
      </c>
      <c r="F7155" t="s" s="2">
        <f>HYPERLINK("http://ts.21cn.com/tousu/show/id/1365507","http://ts.21cn.com/tousu/show/id/1365507")</f>
      </c>
      <c r="G7155" t="s" s="2">
        <v>17</v>
      </c>
      <c r="H7155" t="s" s="2">
        <v>19</v>
      </c>
      <c r="I7155" t="s" s="2">
        <v>27667</v>
      </c>
      <c r="J7155" t="s" s="2">
        <v>27671</v>
      </c>
      <c r="K7155" t="s" s="2">
        <v>22</v>
      </c>
      <c r="L7155" t="s" s="2">
        <v>22</v>
      </c>
      <c r="M7155" t="s" s="2">
        <v>22</v>
      </c>
    </row>
    <row r="7156" ht="25.0" customHeight="true">
      <c r="A7156" t="s" s="2">
        <v>13</v>
      </c>
      <c r="B7156" t="s" s="2">
        <f>HYPERLINK("http://ts.21cn.com/tousu/show/id/1365294","高利贷，阴阳合同，暴力催收")</f>
      </c>
      <c r="C7156" t="s" s="2">
        <v>15</v>
      </c>
      <c r="D7156" t="s" s="2">
        <v>16</v>
      </c>
      <c r="E7156" t="s" s="2">
        <v>17</v>
      </c>
      <c r="F7156" t="s" s="2">
        <f>HYPERLINK("http://ts.21cn.com/tousu/show/id/1365294","http://ts.21cn.com/tousu/show/id/1365294")</f>
      </c>
      <c r="G7156" t="s" s="2">
        <v>17</v>
      </c>
      <c r="H7156" t="s" s="2">
        <v>19</v>
      </c>
      <c r="I7156" t="s" s="2">
        <v>27674</v>
      </c>
      <c r="J7156" t="s" s="2">
        <v>27675</v>
      </c>
      <c r="K7156" t="s" s="2">
        <v>22</v>
      </c>
      <c r="L7156" t="s" s="2">
        <v>22</v>
      </c>
      <c r="M7156" t="s" s="2">
        <v>22</v>
      </c>
    </row>
    <row r="7157" ht="25.0" customHeight="true">
      <c r="A7157" t="s" s="2">
        <v>13</v>
      </c>
      <c r="B7157" t="s" s="2">
        <f>HYPERLINK("http://ts.21cn.com/tousu/show/id/1365506","为高利贷套路贷平台提供支付渠道")</f>
      </c>
      <c r="C7157" t="s" s="2">
        <v>15</v>
      </c>
      <c r="D7157" t="s" s="2">
        <v>16</v>
      </c>
      <c r="E7157" t="s" s="2">
        <v>17</v>
      </c>
      <c r="F7157" t="s" s="2">
        <f>HYPERLINK("http://ts.21cn.com/tousu/show/id/1365506","http://ts.21cn.com/tousu/show/id/1365506")</f>
      </c>
      <c r="G7157" t="s" s="2">
        <v>17</v>
      </c>
      <c r="H7157" t="s" s="2">
        <v>19</v>
      </c>
      <c r="I7157" t="s" s="2">
        <v>27678</v>
      </c>
      <c r="J7157" t="s" s="2">
        <v>27679</v>
      </c>
      <c r="K7157" t="s" s="2">
        <v>22</v>
      </c>
      <c r="L7157" t="s" s="2">
        <v>22</v>
      </c>
      <c r="M7157" t="s" s="2">
        <v>22</v>
      </c>
    </row>
    <row r="7158" ht="25.0" customHeight="true">
      <c r="A7158" t="s" s="2">
        <v>13</v>
      </c>
      <c r="B7158" t="s" s="2">
        <f>HYPERLINK("http://ts.21cn.com/tousu/show/id/1365505","哆咪黑卡不知情的情况下扣会员费")</f>
      </c>
      <c r="C7158" t="s" s="2">
        <v>15</v>
      </c>
      <c r="D7158" t="s" s="2">
        <v>16</v>
      </c>
      <c r="E7158" t="s" s="2">
        <v>17</v>
      </c>
      <c r="F7158" t="s" s="2">
        <f>HYPERLINK("http://ts.21cn.com/tousu/show/id/1365505","http://ts.21cn.com/tousu/show/id/1365505")</f>
      </c>
      <c r="G7158" t="s" s="2">
        <v>17</v>
      </c>
      <c r="H7158" t="s" s="2">
        <v>19</v>
      </c>
      <c r="I7158" t="s" s="2">
        <v>27682</v>
      </c>
      <c r="J7158" t="s" s="2">
        <v>27683</v>
      </c>
      <c r="K7158" t="s" s="2">
        <v>22</v>
      </c>
      <c r="L7158" t="s" s="2">
        <v>22</v>
      </c>
      <c r="M7158" t="s" s="2">
        <v>22</v>
      </c>
    </row>
    <row r="7159" ht="25.0" customHeight="true">
      <c r="A7159" t="s" s="2">
        <v>13</v>
      </c>
      <c r="B7159" t="s" s="2">
        <f>HYPERLINK("http://ts.21cn.com/tousu/show/id/1365504","随意扣款欺诈消费者")</f>
      </c>
      <c r="C7159" t="s" s="2">
        <v>15</v>
      </c>
      <c r="D7159" t="s" s="2">
        <v>16</v>
      </c>
      <c r="E7159" t="s" s="2">
        <v>17</v>
      </c>
      <c r="F7159" t="s" s="2">
        <f>HYPERLINK("http://ts.21cn.com/tousu/show/id/1365504","http://ts.21cn.com/tousu/show/id/1365504")</f>
      </c>
      <c r="G7159" t="s" s="2">
        <v>17</v>
      </c>
      <c r="H7159" t="s" s="2">
        <v>19</v>
      </c>
      <c r="I7159" t="s" s="2">
        <v>27682</v>
      </c>
      <c r="J7159" t="s" s="2">
        <v>27686</v>
      </c>
      <c r="K7159" t="s" s="2">
        <v>22</v>
      </c>
      <c r="L7159" t="s" s="2">
        <v>22</v>
      </c>
      <c r="M7159" t="s" s="2">
        <v>22</v>
      </c>
    </row>
    <row r="7160" ht="25.0" customHeight="true">
      <c r="A7160" t="s" s="2">
        <v>13</v>
      </c>
      <c r="B7160" t="s" s="2">
        <f>HYPERLINK("http://ts.21cn.com/tousu/show/id/1365458","套路贷")</f>
      </c>
      <c r="C7160" t="s" s="2">
        <v>15</v>
      </c>
      <c r="D7160" t="s" s="2">
        <v>16</v>
      </c>
      <c r="E7160" t="s" s="2">
        <v>17</v>
      </c>
      <c r="F7160" t="s" s="2">
        <f>HYPERLINK("http://ts.21cn.com/tousu/show/id/1365458","http://ts.21cn.com/tousu/show/id/1365458")</f>
      </c>
      <c r="G7160" t="s" s="2">
        <v>17</v>
      </c>
      <c r="H7160" t="s" s="2">
        <v>19</v>
      </c>
      <c r="I7160" t="s" s="2">
        <v>27688</v>
      </c>
      <c r="J7160" t="s" s="2">
        <v>27689</v>
      </c>
      <c r="K7160" t="s" s="2">
        <v>22</v>
      </c>
      <c r="L7160" t="s" s="2">
        <v>22</v>
      </c>
      <c r="M7160" t="s" s="2">
        <v>22</v>
      </c>
    </row>
    <row r="7161" ht="25.0" customHeight="true">
      <c r="A7161" t="s" s="2">
        <v>13</v>
      </c>
      <c r="B7161" t="s" s="2">
        <f>HYPERLINK("http://ts.21cn.com/tousu/show/id/1365502","众安保险欺诈收费")</f>
      </c>
      <c r="C7161" t="s" s="2">
        <v>15</v>
      </c>
      <c r="D7161" t="s" s="2">
        <v>16</v>
      </c>
      <c r="E7161" t="s" s="2">
        <v>17</v>
      </c>
      <c r="F7161" t="s" s="2">
        <f>HYPERLINK("http://ts.21cn.com/tousu/show/id/1365502","http://ts.21cn.com/tousu/show/id/1365502")</f>
      </c>
      <c r="G7161" t="s" s="2">
        <v>17</v>
      </c>
      <c r="H7161" t="s" s="2">
        <v>19</v>
      </c>
      <c r="I7161" t="s" s="2">
        <v>27692</v>
      </c>
      <c r="J7161" t="s" s="2">
        <v>27693</v>
      </c>
      <c r="K7161" t="s" s="2">
        <v>22</v>
      </c>
      <c r="L7161" t="s" s="2">
        <v>22</v>
      </c>
      <c r="M7161" t="s" s="2">
        <v>22</v>
      </c>
    </row>
    <row r="7162" ht="25.0" customHeight="true">
      <c r="A7162" t="s" s="2">
        <v>13</v>
      </c>
      <c r="B7162" t="s" s="2">
        <f>HYPERLINK("http://ts.21cn.com/tousu/show/id/1365503","不肯退款")</f>
      </c>
      <c r="C7162" t="s" s="2">
        <v>15</v>
      </c>
      <c r="D7162" t="s" s="2">
        <v>16</v>
      </c>
      <c r="E7162" t="s" s="2">
        <v>17</v>
      </c>
      <c r="F7162" t="s" s="2">
        <f>HYPERLINK("http://ts.21cn.com/tousu/show/id/1365503","http://ts.21cn.com/tousu/show/id/1365503")</f>
      </c>
      <c r="G7162" t="s" s="2">
        <v>17</v>
      </c>
      <c r="H7162" t="s" s="2">
        <v>19</v>
      </c>
      <c r="I7162" t="s" s="2">
        <v>27696</v>
      </c>
      <c r="J7162" t="s" s="2">
        <v>27697</v>
      </c>
      <c r="K7162" t="s" s="2">
        <v>22</v>
      </c>
      <c r="L7162" t="s" s="2">
        <v>22</v>
      </c>
      <c r="M7162" t="s" s="2">
        <v>22</v>
      </c>
    </row>
    <row r="7163" ht="25.0" customHeight="true">
      <c r="A7163" t="s" s="2">
        <v>13</v>
      </c>
      <c r="B7163" t="s" s="2">
        <f>HYPERLINK("http://ts.21cn.com/tousu/show/id/1365501","贷上钱以买游戏豆为由收取高额贷款通过费")</f>
      </c>
      <c r="C7163" t="s" s="2">
        <v>15</v>
      </c>
      <c r="D7163" t="s" s="2">
        <v>16</v>
      </c>
      <c r="E7163" t="s" s="2">
        <v>17</v>
      </c>
      <c r="F7163" t="s" s="2">
        <f>HYPERLINK("http://ts.21cn.com/tousu/show/id/1365501","http://ts.21cn.com/tousu/show/id/1365501")</f>
      </c>
      <c r="G7163" t="s" s="2">
        <v>17</v>
      </c>
      <c r="H7163" t="s" s="2">
        <v>19</v>
      </c>
      <c r="I7163" t="s" s="2">
        <v>27699</v>
      </c>
      <c r="J7163" t="s" s="2">
        <v>27700</v>
      </c>
      <c r="K7163" t="s" s="2">
        <v>22</v>
      </c>
      <c r="L7163" t="s" s="2">
        <v>22</v>
      </c>
      <c r="M7163" t="s" s="2">
        <v>22</v>
      </c>
    </row>
    <row r="7164" ht="25.0" customHeight="true">
      <c r="A7164" t="s" s="2">
        <v>13</v>
      </c>
      <c r="B7164" t="s" s="2">
        <f>HYPERLINK("http://ts.21cn.com/tousu/show/id/1365499","判责不公！")</f>
      </c>
      <c r="C7164" t="s" s="2">
        <v>52</v>
      </c>
      <c r="D7164" t="s" s="2">
        <v>16</v>
      </c>
      <c r="E7164" t="s" s="2">
        <v>17</v>
      </c>
      <c r="F7164" t="s" s="2">
        <f>HYPERLINK("http://ts.21cn.com/tousu/show/id/1365499","http://ts.21cn.com/tousu/show/id/1365499")</f>
      </c>
      <c r="G7164" t="s" s="2">
        <v>17</v>
      </c>
      <c r="H7164" t="s" s="2">
        <v>19</v>
      </c>
      <c r="I7164" t="s" s="2">
        <v>27703</v>
      </c>
      <c r="J7164" t="s" s="2">
        <v>27704</v>
      </c>
      <c r="K7164" t="s" s="2">
        <v>22</v>
      </c>
      <c r="L7164" t="s" s="2">
        <v>22</v>
      </c>
      <c r="M7164" t="s" s="2">
        <v>22</v>
      </c>
    </row>
    <row r="7165" ht="25.0" customHeight="true">
      <c r="A7165" t="s" s="2">
        <v>13</v>
      </c>
      <c r="B7165" t="s" s="2">
        <f>HYPERLINK("http://ts.21cn.com/tousu/show/id/1365500","你我贷收取砍头息，借款8100，2个月提前结清要还11011.68元，诉求调整利，结清销户。")</f>
      </c>
      <c r="C7165" t="s" s="2">
        <v>52</v>
      </c>
      <c r="D7165" t="s" s="2">
        <v>16</v>
      </c>
      <c r="E7165" t="s" s="2">
        <v>17</v>
      </c>
      <c r="F7165" t="s" s="2">
        <f>HYPERLINK("http://ts.21cn.com/tousu/show/id/1365500","http://ts.21cn.com/tousu/show/id/1365500")</f>
      </c>
      <c r="G7165" t="s" s="2">
        <v>17</v>
      </c>
      <c r="H7165" t="s" s="2">
        <v>19</v>
      </c>
      <c r="I7165" t="s" s="2">
        <v>27707</v>
      </c>
      <c r="J7165" t="s" s="2">
        <v>27708</v>
      </c>
      <c r="K7165" t="s" s="2">
        <v>22</v>
      </c>
      <c r="L7165" t="s" s="2">
        <v>22</v>
      </c>
      <c r="M7165" t="s" s="2">
        <v>22</v>
      </c>
    </row>
    <row r="7166" ht="25.0" customHeight="true">
      <c r="A7166" t="s" s="2">
        <v>13</v>
      </c>
      <c r="B7166" t="s" s="2">
        <f>HYPERLINK("http://ts.21cn.com/tousu/show/id/1365497","网贷诱导办卡")</f>
      </c>
      <c r="C7166" t="s" s="2">
        <v>15</v>
      </c>
      <c r="D7166" t="s" s="2">
        <v>16</v>
      </c>
      <c r="E7166" t="s" s="2">
        <v>17</v>
      </c>
      <c r="F7166" t="s" s="2">
        <f>HYPERLINK("http://ts.21cn.com/tousu/show/id/1365497","http://ts.21cn.com/tousu/show/id/1365497")</f>
      </c>
      <c r="G7166" t="s" s="2">
        <v>17</v>
      </c>
      <c r="H7166" t="s" s="2">
        <v>19</v>
      </c>
      <c r="I7166" t="s" s="2">
        <v>27711</v>
      </c>
      <c r="J7166" t="s" s="2">
        <v>27712</v>
      </c>
      <c r="K7166" t="s" s="2">
        <v>22</v>
      </c>
      <c r="L7166" t="s" s="2">
        <v>22</v>
      </c>
      <c r="M7166" t="s" s="2">
        <v>22</v>
      </c>
    </row>
    <row r="7167" ht="25.0" customHeight="true">
      <c r="A7167" t="s" s="2">
        <v>13</v>
      </c>
      <c r="B7167" t="s" s="2">
        <f>HYPERLINK("http://ts.21cn.com/tousu/show/id/1365496","360借条暴力催收")</f>
      </c>
      <c r="C7167" t="s" s="2">
        <v>15</v>
      </c>
      <c r="D7167" t="s" s="2">
        <v>16</v>
      </c>
      <c r="E7167" t="s" s="2">
        <v>17</v>
      </c>
      <c r="F7167" t="s" s="2">
        <f>HYPERLINK("http://ts.21cn.com/tousu/show/id/1365496","http://ts.21cn.com/tousu/show/id/1365496")</f>
      </c>
      <c r="G7167" t="s" s="2">
        <v>17</v>
      </c>
      <c r="H7167" t="s" s="2">
        <v>19</v>
      </c>
      <c r="I7167" t="s" s="2">
        <v>27714</v>
      </c>
      <c r="J7167" t="s" s="2">
        <v>27715</v>
      </c>
      <c r="K7167" t="s" s="2">
        <v>22</v>
      </c>
      <c r="L7167" t="s" s="2">
        <v>22</v>
      </c>
      <c r="M7167" t="s" s="2">
        <v>22</v>
      </c>
    </row>
    <row r="7168" ht="25.0" customHeight="true">
      <c r="A7168" t="s" s="2">
        <v>13</v>
      </c>
      <c r="B7168" t="s" s="2">
        <f>HYPERLINK("http://ts.21cn.com/tousu/show/id/1365495","闪电借款暴力催收")</f>
      </c>
      <c r="C7168" t="s" s="2">
        <v>15</v>
      </c>
      <c r="D7168" t="s" s="2">
        <v>16</v>
      </c>
      <c r="E7168" t="s" s="2">
        <v>17</v>
      </c>
      <c r="F7168" t="s" s="2">
        <f>HYPERLINK("http://ts.21cn.com/tousu/show/id/1365495","http://ts.21cn.com/tousu/show/id/1365495")</f>
      </c>
      <c r="G7168" t="s" s="2">
        <v>17</v>
      </c>
      <c r="H7168" t="s" s="2">
        <v>19</v>
      </c>
      <c r="I7168" t="s" s="2">
        <v>27717</v>
      </c>
      <c r="J7168" t="s" s="2">
        <v>27718</v>
      </c>
      <c r="K7168" t="s" s="2">
        <v>22</v>
      </c>
      <c r="L7168" t="s" s="2">
        <v>22</v>
      </c>
      <c r="M7168" t="s" s="2">
        <v>22</v>
      </c>
    </row>
    <row r="7169" ht="25.0" customHeight="true">
      <c r="A7169" t="s" s="2">
        <v>13</v>
      </c>
      <c r="B7169" t="s" s="2">
        <f>HYPERLINK("http://ts.21cn.com/tousu/show/id/1365492","银盛支付公司Pos收款未到账强制挪用我们商户的钱，不同意无息分期，要求全款")</f>
      </c>
      <c r="C7169" t="s" s="2">
        <v>15</v>
      </c>
      <c r="D7169" t="s" s="2">
        <v>16</v>
      </c>
      <c r="E7169" t="s" s="2">
        <v>17</v>
      </c>
      <c r="F7169" t="s" s="2">
        <f>HYPERLINK("http://ts.21cn.com/tousu/show/id/1365492","http://ts.21cn.com/tousu/show/id/1365492")</f>
      </c>
      <c r="G7169" t="s" s="2">
        <v>17</v>
      </c>
      <c r="H7169" t="s" s="2">
        <v>19</v>
      </c>
      <c r="I7169" t="s" s="2">
        <v>27720</v>
      </c>
      <c r="J7169" t="s" s="2">
        <v>27721</v>
      </c>
      <c r="K7169" t="s" s="2">
        <v>22</v>
      </c>
      <c r="L7169" t="s" s="2">
        <v>22</v>
      </c>
      <c r="M7169" t="s" s="2">
        <v>22</v>
      </c>
    </row>
    <row r="7170" ht="25.0" customHeight="true">
      <c r="A7170" t="s" s="2">
        <v>13</v>
      </c>
      <c r="B7170" t="s" s="2">
        <f>HYPERLINK("http://ts.21cn.com/tousu/show/id/1365491","你我贷")</f>
      </c>
      <c r="C7170" t="s" s="2">
        <v>15</v>
      </c>
      <c r="D7170" t="s" s="2">
        <v>16</v>
      </c>
      <c r="E7170" t="s" s="2">
        <v>17</v>
      </c>
      <c r="F7170" t="s" s="2">
        <f>HYPERLINK("http://ts.21cn.com/tousu/show/id/1365491","http://ts.21cn.com/tousu/show/id/1365491")</f>
      </c>
      <c r="G7170" t="s" s="2">
        <v>17</v>
      </c>
      <c r="H7170" t="s" s="2">
        <v>19</v>
      </c>
      <c r="I7170" t="s" s="2">
        <v>27723</v>
      </c>
      <c r="J7170" t="s" s="2">
        <v>27724</v>
      </c>
      <c r="K7170" t="s" s="2">
        <v>22</v>
      </c>
      <c r="L7170" t="s" s="2">
        <v>22</v>
      </c>
      <c r="M7170" t="s" s="2">
        <v>22</v>
      </c>
    </row>
    <row r="7171" ht="25.0" customHeight="true">
      <c r="A7171" t="s" s="2">
        <v>13</v>
      </c>
      <c r="B7171" t="s" s="2">
        <f>HYPERLINK("http://ts.21cn.com/tousu/show/id/1365490","骚扰，群发短信")</f>
      </c>
      <c r="C7171" t="s" s="2">
        <v>15</v>
      </c>
      <c r="D7171" t="s" s="2">
        <v>16</v>
      </c>
      <c r="E7171" t="s" s="2">
        <v>17</v>
      </c>
      <c r="F7171" t="s" s="2">
        <f>HYPERLINK("http://ts.21cn.com/tousu/show/id/1365490","http://ts.21cn.com/tousu/show/id/1365490")</f>
      </c>
      <c r="G7171" t="s" s="2">
        <v>17</v>
      </c>
      <c r="H7171" t="s" s="2">
        <v>19</v>
      </c>
      <c r="I7171" t="s" s="2">
        <v>27727</v>
      </c>
      <c r="J7171" t="s" s="2">
        <v>27728</v>
      </c>
      <c r="K7171" t="s" s="2">
        <v>22</v>
      </c>
      <c r="L7171" t="s" s="2">
        <v>22</v>
      </c>
      <c r="M7171" t="s" s="2">
        <v>22</v>
      </c>
    </row>
    <row r="7172" ht="25.0" customHeight="true">
      <c r="A7172" t="s" s="2">
        <v>13</v>
      </c>
      <c r="B7172" t="s" s="2">
        <f>HYPERLINK("http://ts.21cn.com/tousu/show/id/1365488","微粒贷上门威胁，恐吓，骚扰")</f>
      </c>
      <c r="C7172" t="s" s="2">
        <v>15</v>
      </c>
      <c r="D7172" t="s" s="2">
        <v>16</v>
      </c>
      <c r="E7172" t="s" s="2">
        <v>17</v>
      </c>
      <c r="F7172" t="s" s="2">
        <f>HYPERLINK("http://ts.21cn.com/tousu/show/id/1365488","http://ts.21cn.com/tousu/show/id/1365488")</f>
      </c>
      <c r="G7172" t="s" s="2">
        <v>17</v>
      </c>
      <c r="H7172" t="s" s="2">
        <v>19</v>
      </c>
      <c r="I7172" t="s" s="2">
        <v>27731</v>
      </c>
      <c r="J7172" t="s" s="2">
        <v>27732</v>
      </c>
      <c r="K7172" t="s" s="2">
        <v>22</v>
      </c>
      <c r="L7172" t="s" s="2">
        <v>22</v>
      </c>
      <c r="M7172" t="s" s="2">
        <v>22</v>
      </c>
    </row>
    <row r="7173" ht="25.0" customHeight="true">
      <c r="A7173" t="s" s="2">
        <v>13</v>
      </c>
      <c r="B7173" t="s" s="2">
        <f>HYPERLINK("http://ts.21cn.com/tousu/show/id/1365486","恶意克扣服务费用")</f>
      </c>
      <c r="C7173" t="s" s="2">
        <v>15</v>
      </c>
      <c r="D7173" t="s" s="2">
        <v>16</v>
      </c>
      <c r="E7173" t="s" s="2">
        <v>17</v>
      </c>
      <c r="F7173" t="s" s="2">
        <f>HYPERLINK("http://ts.21cn.com/tousu/show/id/1365486","http://ts.21cn.com/tousu/show/id/1365486")</f>
      </c>
      <c r="G7173" t="s" s="2">
        <v>17</v>
      </c>
      <c r="H7173" t="s" s="2">
        <v>19</v>
      </c>
      <c r="I7173" t="s" s="2">
        <v>27735</v>
      </c>
      <c r="J7173" t="s" s="2">
        <v>27736</v>
      </c>
      <c r="K7173" t="s" s="2">
        <v>22</v>
      </c>
      <c r="L7173" t="s" s="2">
        <v>22</v>
      </c>
      <c r="M7173" t="s" s="2">
        <v>22</v>
      </c>
    </row>
    <row r="7174" ht="25.0" customHeight="true">
      <c r="A7174" t="s" s="2">
        <v>13</v>
      </c>
      <c r="B7174" t="s" s="2">
        <f>HYPERLINK("http://ts.21cn.com/tousu/show/id/1365487","御剑飞行砍头息，高利贷，强行放款")</f>
      </c>
      <c r="C7174" t="s" s="2">
        <v>15</v>
      </c>
      <c r="D7174" t="s" s="2">
        <v>16</v>
      </c>
      <c r="E7174" t="s" s="2">
        <v>17</v>
      </c>
      <c r="F7174" t="s" s="2">
        <f>HYPERLINK("http://ts.21cn.com/tousu/show/id/1365487","http://ts.21cn.com/tousu/show/id/1365487")</f>
      </c>
      <c r="G7174" t="s" s="2">
        <v>17</v>
      </c>
      <c r="H7174" t="s" s="2">
        <v>19</v>
      </c>
      <c r="I7174" t="s" s="2">
        <v>27739</v>
      </c>
      <c r="J7174" t="s" s="2">
        <v>27740</v>
      </c>
      <c r="K7174" t="s" s="2">
        <v>22</v>
      </c>
      <c r="L7174" t="s" s="2">
        <v>22</v>
      </c>
      <c r="M7174" t="s" s="2">
        <v>22</v>
      </c>
    </row>
    <row r="7175" ht="25.0" customHeight="true">
      <c r="A7175" t="s" s="2">
        <v>13</v>
      </c>
      <c r="B7175" t="s" s="2">
        <f>HYPERLINK("http://ts.21cn.com/tousu/show/id/1365484","马上消费金融，暴力催收，群发短信，恐吓催收")</f>
      </c>
      <c r="C7175" t="s" s="2">
        <v>15</v>
      </c>
      <c r="D7175" t="s" s="2">
        <v>16</v>
      </c>
      <c r="E7175" t="s" s="2">
        <v>17</v>
      </c>
      <c r="F7175" t="s" s="2">
        <f>HYPERLINK("http://ts.21cn.com/tousu/show/id/1365484","http://ts.21cn.com/tousu/show/id/1365484")</f>
      </c>
      <c r="G7175" t="s" s="2">
        <v>17</v>
      </c>
      <c r="H7175" t="s" s="2">
        <v>19</v>
      </c>
      <c r="I7175" t="s" s="2">
        <v>27742</v>
      </c>
      <c r="J7175" t="s" s="2">
        <v>27743</v>
      </c>
      <c r="K7175" t="s" s="2">
        <v>22</v>
      </c>
      <c r="L7175" t="s" s="2">
        <v>22</v>
      </c>
      <c r="M7175" t="s" s="2">
        <v>22</v>
      </c>
    </row>
    <row r="7176" ht="25.0" customHeight="true">
      <c r="A7176" t="s" s="2">
        <v>13</v>
      </c>
      <c r="B7176" t="s" s="2">
        <f>HYPERLINK("http://ts.21cn.com/tousu/show/id/1365485","上海银生宝电子支付公司向违法集团提供支付通道")</f>
      </c>
      <c r="C7176" t="s" s="2">
        <v>15</v>
      </c>
      <c r="D7176" t="s" s="2">
        <v>16</v>
      </c>
      <c r="E7176" t="s" s="2">
        <v>17</v>
      </c>
      <c r="F7176" t="s" s="2">
        <f>HYPERLINK("http://ts.21cn.com/tousu/show/id/1365485","http://ts.21cn.com/tousu/show/id/1365485")</f>
      </c>
      <c r="G7176" t="s" s="2">
        <v>17</v>
      </c>
      <c r="H7176" t="s" s="2">
        <v>19</v>
      </c>
      <c r="I7176" t="s" s="2">
        <v>27746</v>
      </c>
      <c r="J7176" t="s" s="2">
        <v>27747</v>
      </c>
      <c r="K7176" t="s" s="2">
        <v>22</v>
      </c>
      <c r="L7176" t="s" s="2">
        <v>22</v>
      </c>
      <c r="M7176" t="s" s="2">
        <v>22</v>
      </c>
    </row>
    <row r="7177" ht="25.0" customHeight="true">
      <c r="A7177" t="s" s="2">
        <v>13</v>
      </c>
      <c r="B7177" t="s" s="2">
        <f>HYPERLINK("http://ts.21cn.com/tousu/show/id/1365483","京东旗下活力花")</f>
      </c>
      <c r="C7177" t="s" s="2">
        <v>52</v>
      </c>
      <c r="D7177" t="s" s="2">
        <v>16</v>
      </c>
      <c r="E7177" t="s" s="2">
        <v>17</v>
      </c>
      <c r="F7177" t="s" s="2">
        <f>HYPERLINK("http://ts.21cn.com/tousu/show/id/1365483","http://ts.21cn.com/tousu/show/id/1365483")</f>
      </c>
      <c r="G7177" t="s" s="2">
        <v>17</v>
      </c>
      <c r="H7177" t="s" s="2">
        <v>19</v>
      </c>
      <c r="I7177" t="s" s="2">
        <v>27750</v>
      </c>
      <c r="J7177" t="s" s="2">
        <v>27751</v>
      </c>
      <c r="K7177" t="s" s="2">
        <v>22</v>
      </c>
      <c r="L7177" t="s" s="2">
        <v>22</v>
      </c>
      <c r="M7177" t="s" s="2">
        <v>22</v>
      </c>
    </row>
    <row r="7178" ht="25.0" customHeight="true">
      <c r="A7178" t="s" s="2">
        <v>13</v>
      </c>
      <c r="B7178" t="s" s="2">
        <f>HYPERLINK("http://ts.21cn.com/tousu/show/id/1365482","时光分期提前还本金高额收费")</f>
      </c>
      <c r="C7178" t="s" s="2">
        <v>15</v>
      </c>
      <c r="D7178" t="s" s="2">
        <v>16</v>
      </c>
      <c r="E7178" t="s" s="2">
        <v>17</v>
      </c>
      <c r="F7178" t="s" s="2">
        <f>HYPERLINK("http://ts.21cn.com/tousu/show/id/1365482","http://ts.21cn.com/tousu/show/id/1365482")</f>
      </c>
      <c r="G7178" t="s" s="2">
        <v>17</v>
      </c>
      <c r="H7178" t="s" s="2">
        <v>19</v>
      </c>
      <c r="I7178" t="s" s="2">
        <v>27754</v>
      </c>
      <c r="J7178" t="s" s="2">
        <v>27755</v>
      </c>
      <c r="K7178" t="s" s="2">
        <v>22</v>
      </c>
      <c r="L7178" t="s" s="2">
        <v>22</v>
      </c>
      <c r="M7178" t="s" s="2">
        <v>22</v>
      </c>
    </row>
    <row r="7179" ht="25.0" customHeight="true">
      <c r="A7179" t="s" s="2">
        <v>13</v>
      </c>
      <c r="B7179" t="s" s="2">
        <f>HYPERLINK("http://ts.21cn.com/tousu/show/id/1365481","电话骚扰")</f>
      </c>
      <c r="C7179" t="s" s="2">
        <v>15</v>
      </c>
      <c r="D7179" t="s" s="2">
        <v>16</v>
      </c>
      <c r="E7179" t="s" s="2">
        <v>17</v>
      </c>
      <c r="F7179" t="s" s="2">
        <f>HYPERLINK("http://ts.21cn.com/tousu/show/id/1365481","http://ts.21cn.com/tousu/show/id/1365481")</f>
      </c>
      <c r="G7179" t="s" s="2">
        <v>17</v>
      </c>
      <c r="H7179" t="s" s="2">
        <v>19</v>
      </c>
      <c r="I7179" t="s" s="2">
        <v>27757</v>
      </c>
      <c r="J7179" t="s" s="2">
        <v>27758</v>
      </c>
      <c r="K7179" t="s" s="2">
        <v>22</v>
      </c>
      <c r="L7179" t="s" s="2">
        <v>22</v>
      </c>
      <c r="M7179" t="s" s="2">
        <v>22</v>
      </c>
    </row>
    <row r="7180" ht="25.0" customHeight="true">
      <c r="A7180" t="s" s="2">
        <v>13</v>
      </c>
      <c r="B7180" t="s" s="2">
        <f>HYPERLINK("http://ts.21cn.com/tousu/show/id/1365480","上海薪想互联网金融有限公司期下好借好还高利贷，砍头息，骚扰通讯录，投诉中金支付为高利贷平台乱扣款")</f>
      </c>
      <c r="C7180" t="s" s="2">
        <v>15</v>
      </c>
      <c r="D7180" t="s" s="2">
        <v>16</v>
      </c>
      <c r="E7180" t="s" s="2">
        <v>17</v>
      </c>
      <c r="F7180" t="s" s="2">
        <f>HYPERLINK("http://ts.21cn.com/tousu/show/id/1365480","http://ts.21cn.com/tousu/show/id/1365480")</f>
      </c>
      <c r="G7180" t="s" s="2">
        <v>17</v>
      </c>
      <c r="H7180" t="s" s="2">
        <v>19</v>
      </c>
      <c r="I7180" t="s" s="2">
        <v>27761</v>
      </c>
      <c r="J7180" t="s" s="2">
        <v>27762</v>
      </c>
      <c r="K7180" t="s" s="2">
        <v>22</v>
      </c>
      <c r="L7180" t="s" s="2">
        <v>22</v>
      </c>
      <c r="M7180" t="s" s="2">
        <v>22</v>
      </c>
    </row>
    <row r="7181" ht="25.0" customHeight="true">
      <c r="A7181" t="s" s="2">
        <v>13</v>
      </c>
      <c r="B7181" t="s" s="2">
        <f>HYPERLINK("http://ts.21cn.com/tousu/show/id/1365479","购买软件无法使用，软件空壳")</f>
      </c>
      <c r="C7181" t="s" s="2">
        <v>15</v>
      </c>
      <c r="D7181" t="s" s="2">
        <v>16</v>
      </c>
      <c r="E7181" t="s" s="2">
        <v>17</v>
      </c>
      <c r="F7181" t="s" s="2">
        <f>HYPERLINK("http://ts.21cn.com/tousu/show/id/1365479","http://ts.21cn.com/tousu/show/id/1365479")</f>
      </c>
      <c r="G7181" t="s" s="2">
        <v>17</v>
      </c>
      <c r="H7181" t="s" s="2">
        <v>19</v>
      </c>
      <c r="I7181" t="s" s="2">
        <v>27765</v>
      </c>
      <c r="J7181" t="s" s="2">
        <v>27766</v>
      </c>
      <c r="K7181" t="s" s="2">
        <v>22</v>
      </c>
      <c r="L7181" t="s" s="2">
        <v>22</v>
      </c>
      <c r="M7181" t="s" s="2">
        <v>22</v>
      </c>
    </row>
    <row r="7182" ht="25.0" customHeight="true">
      <c r="A7182" t="s" s="2">
        <v>13</v>
      </c>
      <c r="B7182" t="s" s="2">
        <f>HYPERLINK("http://ts.21cn.com/tousu/show/id/1365478","逾期骚扰威胁通讯录里的联系人")</f>
      </c>
      <c r="C7182" t="s" s="2">
        <v>15</v>
      </c>
      <c r="D7182" t="s" s="2">
        <v>16</v>
      </c>
      <c r="E7182" t="s" s="2">
        <v>17</v>
      </c>
      <c r="F7182" t="s" s="2">
        <f>HYPERLINK("http://ts.21cn.com/tousu/show/id/1365478","http://ts.21cn.com/tousu/show/id/1365478")</f>
      </c>
      <c r="G7182" t="s" s="2">
        <v>17</v>
      </c>
      <c r="H7182" t="s" s="2">
        <v>19</v>
      </c>
      <c r="I7182" t="s" s="2">
        <v>27769</v>
      </c>
      <c r="J7182" t="s" s="2">
        <v>27770</v>
      </c>
      <c r="K7182" t="s" s="2">
        <v>22</v>
      </c>
      <c r="L7182" t="s" s="2">
        <v>22</v>
      </c>
      <c r="M7182" t="s" s="2">
        <v>22</v>
      </c>
    </row>
    <row r="7183" ht="25.0" customHeight="true">
      <c r="A7183" t="s" s="2">
        <v>13</v>
      </c>
      <c r="B7183" t="s" s="2">
        <f>HYPERLINK("http://ts.21cn.com/tousu/show/id/1365477","无故从我的银行卡中扣款三次")</f>
      </c>
      <c r="C7183" t="s" s="2">
        <v>52</v>
      </c>
      <c r="D7183" t="s" s="2">
        <v>16</v>
      </c>
      <c r="E7183" t="s" s="2">
        <v>17</v>
      </c>
      <c r="F7183" t="s" s="2">
        <f>HYPERLINK("http://ts.21cn.com/tousu/show/id/1365477","http://ts.21cn.com/tousu/show/id/1365477")</f>
      </c>
      <c r="G7183" t="s" s="2">
        <v>17</v>
      </c>
      <c r="H7183" t="s" s="2">
        <v>19</v>
      </c>
      <c r="I7183" t="s" s="2">
        <v>27773</v>
      </c>
      <c r="J7183" t="s" s="2">
        <v>27774</v>
      </c>
      <c r="K7183" t="s" s="2">
        <v>22</v>
      </c>
      <c r="L7183" t="s" s="2">
        <v>22</v>
      </c>
      <c r="M7183" t="s" s="2">
        <v>22</v>
      </c>
    </row>
    <row r="7184" ht="25.0" customHeight="true">
      <c r="A7184" t="s" s="2">
        <v>13</v>
      </c>
      <c r="B7184" t="s" s="2">
        <f>HYPERLINK("http://ts.21cn.com/tousu/show/id/1365475","自由魔卡零压贷砍头息，暴力催收")</f>
      </c>
      <c r="C7184" t="s" s="2">
        <v>15</v>
      </c>
      <c r="D7184" t="s" s="2">
        <v>16</v>
      </c>
      <c r="E7184" t="s" s="2">
        <v>17</v>
      </c>
      <c r="F7184" t="s" s="2">
        <f>HYPERLINK("http://ts.21cn.com/tousu/show/id/1365475","http://ts.21cn.com/tousu/show/id/1365475")</f>
      </c>
      <c r="G7184" t="s" s="2">
        <v>17</v>
      </c>
      <c r="H7184" t="s" s="2">
        <v>19</v>
      </c>
      <c r="I7184" t="s" s="2">
        <v>27777</v>
      </c>
      <c r="J7184" t="s" s="2">
        <v>27778</v>
      </c>
      <c r="K7184" t="s" s="2">
        <v>22</v>
      </c>
      <c r="L7184" t="s" s="2">
        <v>22</v>
      </c>
      <c r="M7184" t="s" s="2">
        <v>22</v>
      </c>
    </row>
    <row r="7185" ht="25.0" customHeight="true">
      <c r="A7185" t="s" s="2">
        <v>13</v>
      </c>
      <c r="B7185" t="s" s="2">
        <f>HYPERLINK("http://ts.21cn.com/tousu/show/id/1365474","芜湖易开出行不退押金")</f>
      </c>
      <c r="C7185" t="s" s="2">
        <v>15</v>
      </c>
      <c r="D7185" t="s" s="2">
        <v>16</v>
      </c>
      <c r="E7185" t="s" s="2">
        <v>17</v>
      </c>
      <c r="F7185" t="s" s="2">
        <f>HYPERLINK("http://ts.21cn.com/tousu/show/id/1365474","http://ts.21cn.com/tousu/show/id/1365474")</f>
      </c>
      <c r="G7185" t="s" s="2">
        <v>17</v>
      </c>
      <c r="H7185" t="s" s="2">
        <v>19</v>
      </c>
      <c r="I7185" t="s" s="2">
        <v>27781</v>
      </c>
      <c r="J7185" t="s" s="2">
        <v>27782</v>
      </c>
      <c r="K7185" t="s" s="2">
        <v>22</v>
      </c>
      <c r="L7185" t="s" s="2">
        <v>22</v>
      </c>
      <c r="M7185" t="s" s="2">
        <v>22</v>
      </c>
    </row>
    <row r="7186" ht="25.0" customHeight="true">
      <c r="A7186" t="s" s="2">
        <v>13</v>
      </c>
      <c r="B7186" t="s" s="2">
        <f>HYPERLINK("http://ts.21cn.com/tousu/show/id/1365472","保温杯不保温")</f>
      </c>
      <c r="C7186" t="s" s="2">
        <v>52</v>
      </c>
      <c r="D7186" t="s" s="2">
        <v>16</v>
      </c>
      <c r="E7186" t="s" s="2">
        <v>17</v>
      </c>
      <c r="F7186" t="s" s="2">
        <f>HYPERLINK("http://ts.21cn.com/tousu/show/id/1365472","http://ts.21cn.com/tousu/show/id/1365472")</f>
      </c>
      <c r="G7186" t="s" s="2">
        <v>17</v>
      </c>
      <c r="H7186" t="s" s="2">
        <v>19</v>
      </c>
      <c r="I7186" t="s" s="2">
        <v>27785</v>
      </c>
      <c r="J7186" t="s" s="2">
        <v>27786</v>
      </c>
      <c r="K7186" t="s" s="2">
        <v>22</v>
      </c>
      <c r="L7186" t="s" s="2">
        <v>22</v>
      </c>
      <c r="M7186" t="s" s="2">
        <v>22</v>
      </c>
    </row>
    <row r="7187" ht="25.0" customHeight="true">
      <c r="A7187" t="s" s="2">
        <v>13</v>
      </c>
      <c r="B7187" t="s" s="2">
        <f>HYPERLINK("http://ts.21cn.com/tousu/show/id/1365471","恐吓骚扰")</f>
      </c>
      <c r="C7187" t="s" s="2">
        <v>15</v>
      </c>
      <c r="D7187" t="s" s="2">
        <v>16</v>
      </c>
      <c r="E7187" t="s" s="2">
        <v>17</v>
      </c>
      <c r="F7187" t="s" s="2">
        <f>HYPERLINK("http://ts.21cn.com/tousu/show/id/1365471","http://ts.21cn.com/tousu/show/id/1365471")</f>
      </c>
      <c r="G7187" t="s" s="2">
        <v>17</v>
      </c>
      <c r="H7187" t="s" s="2">
        <v>19</v>
      </c>
      <c r="I7187" t="s" s="2">
        <v>27789</v>
      </c>
      <c r="J7187" t="s" s="2">
        <v>27790</v>
      </c>
      <c r="K7187" t="s" s="2">
        <v>22</v>
      </c>
      <c r="L7187" t="s" s="2">
        <v>22</v>
      </c>
      <c r="M7187" t="s" s="2">
        <v>22</v>
      </c>
    </row>
    <row r="7188" ht="25.0" customHeight="true">
      <c r="A7188" t="s" s="2">
        <v>13</v>
      </c>
      <c r="B7188" t="s" s="2">
        <f>HYPERLINK("http://ts.21cn.com/tousu/show/id/1365470","蛋壳公寓霸王条款")</f>
      </c>
      <c r="C7188" t="s" s="2">
        <v>15</v>
      </c>
      <c r="D7188" t="s" s="2">
        <v>16</v>
      </c>
      <c r="E7188" t="s" s="2">
        <v>17</v>
      </c>
      <c r="F7188" t="s" s="2">
        <f>HYPERLINK("http://ts.21cn.com/tousu/show/id/1365470","http://ts.21cn.com/tousu/show/id/1365470")</f>
      </c>
      <c r="G7188" t="s" s="2">
        <v>17</v>
      </c>
      <c r="H7188" t="s" s="2">
        <v>19</v>
      </c>
      <c r="I7188" t="s" s="2">
        <v>27793</v>
      </c>
      <c r="J7188" t="s" s="2">
        <v>27794</v>
      </c>
      <c r="K7188" t="s" s="2">
        <v>22</v>
      </c>
      <c r="L7188" t="s" s="2">
        <v>22</v>
      </c>
      <c r="M7188" t="s" s="2">
        <v>22</v>
      </c>
    </row>
    <row r="7189" ht="25.0" customHeight="true">
      <c r="A7189" t="s" s="2">
        <v>13</v>
      </c>
      <c r="B7189" t="s" s="2">
        <f>HYPERLINK("http://ts.21cn.com/tousu/show/id/1365469","幼儿园凡学非凡学习app图书馆借书卡押金退不了")</f>
      </c>
      <c r="C7189" t="s" s="2">
        <v>15</v>
      </c>
      <c r="D7189" t="s" s="2">
        <v>16</v>
      </c>
      <c r="E7189" t="s" s="2">
        <v>17</v>
      </c>
      <c r="F7189" t="s" s="2">
        <f>HYPERLINK("http://ts.21cn.com/tousu/show/id/1365469","http://ts.21cn.com/tousu/show/id/1365469")</f>
      </c>
      <c r="G7189" t="s" s="2">
        <v>17</v>
      </c>
      <c r="H7189" t="s" s="2">
        <v>19</v>
      </c>
      <c r="I7189" t="s" s="2">
        <v>27797</v>
      </c>
      <c r="J7189" t="s" s="2">
        <v>27798</v>
      </c>
      <c r="K7189" t="s" s="2">
        <v>22</v>
      </c>
      <c r="L7189" t="s" s="2">
        <v>22</v>
      </c>
      <c r="M7189" t="s" s="2">
        <v>22</v>
      </c>
    </row>
    <row r="7190" ht="25.0" customHeight="true">
      <c r="A7190" t="s" s="2">
        <v>13</v>
      </c>
      <c r="B7190" t="s" s="2">
        <f>HYPERLINK("http://ts.21cn.com/tousu/show/id/1365468","捷信外包公司威胁恐吓")</f>
      </c>
      <c r="C7190" t="s" s="2">
        <v>15</v>
      </c>
      <c r="D7190" t="s" s="2">
        <v>16</v>
      </c>
      <c r="E7190" t="s" s="2">
        <v>17</v>
      </c>
      <c r="F7190" t="s" s="2">
        <f>HYPERLINK("http://ts.21cn.com/tousu/show/id/1365468","http://ts.21cn.com/tousu/show/id/1365468")</f>
      </c>
      <c r="G7190" t="s" s="2">
        <v>17</v>
      </c>
      <c r="H7190" t="s" s="2">
        <v>19</v>
      </c>
      <c r="I7190" t="s" s="2">
        <v>27801</v>
      </c>
      <c r="J7190" t="s" s="2">
        <v>27802</v>
      </c>
      <c r="K7190" t="s" s="2">
        <v>22</v>
      </c>
      <c r="L7190" t="s" s="2">
        <v>22</v>
      </c>
      <c r="M7190" t="s" s="2">
        <v>22</v>
      </c>
    </row>
    <row r="7191" ht="25.0" customHeight="true">
      <c r="A7191" t="s" s="2">
        <v>13</v>
      </c>
      <c r="B7191" t="s" s="2">
        <f>HYPERLINK("http://ts.21cn.com/tousu/show/id/1365431","在借贷宝打完借条不打款，现在催收骚扰我")</f>
      </c>
      <c r="C7191" t="s" s="2">
        <v>15</v>
      </c>
      <c r="D7191" t="s" s="2">
        <v>16</v>
      </c>
      <c r="E7191" t="s" s="2">
        <v>17</v>
      </c>
      <c r="F7191" t="s" s="2">
        <f>HYPERLINK("http://ts.21cn.com/tousu/show/id/1365431","http://ts.21cn.com/tousu/show/id/1365431")</f>
      </c>
      <c r="G7191" t="s" s="2">
        <v>17</v>
      </c>
      <c r="H7191" t="s" s="2">
        <v>19</v>
      </c>
      <c r="I7191" t="s" s="2">
        <v>27805</v>
      </c>
      <c r="J7191" t="s" s="2">
        <v>27806</v>
      </c>
      <c r="K7191" t="s" s="2">
        <v>22</v>
      </c>
      <c r="L7191" t="s" s="2">
        <v>22</v>
      </c>
      <c r="M7191" t="s" s="2">
        <v>22</v>
      </c>
    </row>
    <row r="7192" ht="25.0" customHeight="true">
      <c r="A7192" t="s" s="2">
        <v>13</v>
      </c>
      <c r="B7192" t="s" s="2">
        <f>HYPERLINK("http://ts.21cn.com/tousu/show/id/1365467","中信银行违规催收乱律师函")</f>
      </c>
      <c r="C7192" t="s" s="2">
        <v>15</v>
      </c>
      <c r="D7192" t="s" s="2">
        <v>16</v>
      </c>
      <c r="E7192" t="s" s="2">
        <v>17</v>
      </c>
      <c r="F7192" t="s" s="2">
        <f>HYPERLINK("http://ts.21cn.com/tousu/show/id/1365467","http://ts.21cn.com/tousu/show/id/1365467")</f>
      </c>
      <c r="G7192" t="s" s="2">
        <v>17</v>
      </c>
      <c r="H7192" t="s" s="2">
        <v>19</v>
      </c>
      <c r="I7192" t="s" s="2">
        <v>27809</v>
      </c>
      <c r="J7192" t="s" s="2">
        <v>27810</v>
      </c>
      <c r="K7192" t="s" s="2">
        <v>22</v>
      </c>
      <c r="L7192" t="s" s="2">
        <v>22</v>
      </c>
      <c r="M7192" t="s" s="2">
        <v>22</v>
      </c>
    </row>
    <row r="7193" ht="25.0" customHeight="true">
      <c r="A7193" t="s" s="2">
        <v>13</v>
      </c>
      <c r="B7193" t="s" s="2">
        <f>HYPERLINK("http://ts.21cn.com/tousu/show/id/1365466","拇指下款恶意扣款")</f>
      </c>
      <c r="C7193" t="s" s="2">
        <v>15</v>
      </c>
      <c r="D7193" t="s" s="2">
        <v>16</v>
      </c>
      <c r="E7193" t="s" s="2">
        <v>17</v>
      </c>
      <c r="F7193" t="s" s="2">
        <f>HYPERLINK("http://ts.21cn.com/tousu/show/id/1365466","http://ts.21cn.com/tousu/show/id/1365466")</f>
      </c>
      <c r="G7193" t="s" s="2">
        <v>17</v>
      </c>
      <c r="H7193" t="s" s="2">
        <v>19</v>
      </c>
      <c r="I7193" t="s" s="2">
        <v>27812</v>
      </c>
      <c r="J7193" t="s" s="2">
        <v>27813</v>
      </c>
      <c r="K7193" t="s" s="2">
        <v>22</v>
      </c>
      <c r="L7193" t="s" s="2">
        <v>22</v>
      </c>
      <c r="M7193" t="s" s="2">
        <v>22</v>
      </c>
    </row>
    <row r="7194" ht="25.0" customHeight="true">
      <c r="A7194" t="s" s="2">
        <v>13</v>
      </c>
      <c r="B7194" t="s" s="2">
        <f>HYPERLINK("http://ts.21cn.com/tousu/show/id/1365465","希望延期还款")</f>
      </c>
      <c r="C7194" t="s" s="2">
        <v>52</v>
      </c>
      <c r="D7194" t="s" s="2">
        <v>16</v>
      </c>
      <c r="E7194" t="s" s="2">
        <v>17</v>
      </c>
      <c r="F7194" t="s" s="2">
        <f>HYPERLINK("http://ts.21cn.com/tousu/show/id/1365465","http://ts.21cn.com/tousu/show/id/1365465")</f>
      </c>
      <c r="G7194" t="s" s="2">
        <v>17</v>
      </c>
      <c r="H7194" t="s" s="2">
        <v>19</v>
      </c>
      <c r="I7194" t="s" s="2">
        <v>27816</v>
      </c>
      <c r="J7194" t="s" s="2">
        <v>27817</v>
      </c>
      <c r="K7194" t="s" s="2">
        <v>22</v>
      </c>
      <c r="L7194" t="s" s="2">
        <v>22</v>
      </c>
      <c r="M7194" t="s" s="2">
        <v>22</v>
      </c>
    </row>
    <row r="7195" ht="25.0" customHeight="true">
      <c r="A7195" t="s" s="2">
        <v>13</v>
      </c>
      <c r="B7195" t="s" s="2">
        <f>HYPERLINK("http://ts.21cn.com/tousu/show/id/1365464","利息过高申请提前还款不给优惠")</f>
      </c>
      <c r="C7195" t="s" s="2">
        <v>52</v>
      </c>
      <c r="D7195" t="s" s="2">
        <v>16</v>
      </c>
      <c r="E7195" t="s" s="2">
        <v>17</v>
      </c>
      <c r="F7195" t="s" s="2">
        <f>HYPERLINK("http://ts.21cn.com/tousu/show/id/1365464","http://ts.21cn.com/tousu/show/id/1365464")</f>
      </c>
      <c r="G7195" t="s" s="2">
        <v>17</v>
      </c>
      <c r="H7195" t="s" s="2">
        <v>19</v>
      </c>
      <c r="I7195" t="s" s="2">
        <v>27820</v>
      </c>
      <c r="J7195" t="s" s="2">
        <v>27821</v>
      </c>
      <c r="K7195" t="s" s="2">
        <v>22</v>
      </c>
      <c r="L7195" t="s" s="2">
        <v>22</v>
      </c>
      <c r="M7195" t="s" s="2">
        <v>22</v>
      </c>
    </row>
    <row r="7196" ht="25.0" customHeight="true">
      <c r="A7196" t="s" s="2">
        <v>13</v>
      </c>
      <c r="B7196" t="s" s="2">
        <f>HYPERLINK("http://ts.21cn.com/tousu/show/id/1365462","拍拍贷威胁恐吓")</f>
      </c>
      <c r="C7196" t="s" s="2">
        <v>15</v>
      </c>
      <c r="D7196" t="s" s="2">
        <v>16</v>
      </c>
      <c r="E7196" t="s" s="2">
        <v>17</v>
      </c>
      <c r="F7196" t="s" s="2">
        <f>HYPERLINK("http://ts.21cn.com/tousu/show/id/1365462","http://ts.21cn.com/tousu/show/id/1365462")</f>
      </c>
      <c r="G7196" t="s" s="2">
        <v>17</v>
      </c>
      <c r="H7196" t="s" s="2">
        <v>19</v>
      </c>
      <c r="I7196" t="s" s="2">
        <v>27824</v>
      </c>
      <c r="J7196" t="s" s="2">
        <v>27825</v>
      </c>
      <c r="K7196" t="s" s="2">
        <v>22</v>
      </c>
      <c r="L7196" t="s" s="2">
        <v>22</v>
      </c>
      <c r="M7196" t="s" s="2">
        <v>22</v>
      </c>
    </row>
    <row r="7197" ht="25.0" customHeight="true">
      <c r="A7197" t="s" s="2">
        <v>13</v>
      </c>
      <c r="B7197" t="s" s="2">
        <f>HYPERLINK("http://ts.21cn.com/tousu/show/id/1365461","催收")</f>
      </c>
      <c r="C7197" t="s" s="2">
        <v>15</v>
      </c>
      <c r="D7197" t="s" s="2">
        <v>16</v>
      </c>
      <c r="E7197" t="s" s="2">
        <v>17</v>
      </c>
      <c r="F7197" t="s" s="2">
        <f>HYPERLINK("http://ts.21cn.com/tousu/show/id/1365461","http://ts.21cn.com/tousu/show/id/1365461")</f>
      </c>
      <c r="G7197" t="s" s="2">
        <v>17</v>
      </c>
      <c r="H7197" t="s" s="2">
        <v>19</v>
      </c>
      <c r="I7197" t="s" s="2">
        <v>27827</v>
      </c>
      <c r="J7197" t="s" s="2">
        <v>27828</v>
      </c>
      <c r="K7197" t="s" s="2">
        <v>22</v>
      </c>
      <c r="L7197" t="s" s="2">
        <v>22</v>
      </c>
      <c r="M7197" t="s" s="2">
        <v>22</v>
      </c>
    </row>
    <row r="7198" ht="25.0" customHeight="true">
      <c r="A7198" t="s" s="2">
        <v>13</v>
      </c>
      <c r="B7198" t="s" s="2">
        <f>HYPERLINK("http://ts.21cn.com/tousu/show/id/1365463","小笼宝贷款平台")</f>
      </c>
      <c r="C7198" t="s" s="2">
        <v>52</v>
      </c>
      <c r="D7198" t="s" s="2">
        <v>16</v>
      </c>
      <c r="E7198" t="s" s="2">
        <v>17</v>
      </c>
      <c r="F7198" t="s" s="2">
        <f>HYPERLINK("http://ts.21cn.com/tousu/show/id/1365463","http://ts.21cn.com/tousu/show/id/1365463")</f>
      </c>
      <c r="G7198" t="s" s="2">
        <v>17</v>
      </c>
      <c r="H7198" t="s" s="2">
        <v>19</v>
      </c>
      <c r="I7198" t="s" s="2">
        <v>27831</v>
      </c>
      <c r="J7198" t="s" s="2">
        <v>27832</v>
      </c>
      <c r="K7198" t="s" s="2">
        <v>22</v>
      </c>
      <c r="L7198" t="s" s="2">
        <v>22</v>
      </c>
      <c r="M7198" t="s" s="2">
        <v>22</v>
      </c>
    </row>
    <row r="7199" ht="25.0" customHeight="true">
      <c r="A7199" t="s" s="2">
        <v>13</v>
      </c>
      <c r="B7199" t="s" s="2">
        <f>HYPERLINK("http://ts.21cn.com/tousu/show/id/1365459","华夏人寿保险股份有限公司没有经过我同意扣除保费")</f>
      </c>
      <c r="C7199" t="s" s="2">
        <v>15</v>
      </c>
      <c r="D7199" t="s" s="2">
        <v>16</v>
      </c>
      <c r="E7199" t="s" s="2">
        <v>17</v>
      </c>
      <c r="F7199" t="s" s="2">
        <f>HYPERLINK("http://ts.21cn.com/tousu/show/id/1365459","http://ts.21cn.com/tousu/show/id/1365459")</f>
      </c>
      <c r="G7199" t="s" s="2">
        <v>17</v>
      </c>
      <c r="H7199" t="s" s="2">
        <v>19</v>
      </c>
      <c r="I7199" t="s" s="2">
        <v>27835</v>
      </c>
      <c r="J7199" t="s" s="2">
        <v>27836</v>
      </c>
      <c r="K7199" t="s" s="2">
        <v>22</v>
      </c>
      <c r="L7199" t="s" s="2">
        <v>22</v>
      </c>
      <c r="M7199" t="s" s="2">
        <v>22</v>
      </c>
    </row>
    <row r="7200" ht="25.0" customHeight="true">
      <c r="A7200" t="s" s="2">
        <v>13</v>
      </c>
      <c r="B7200" t="s" s="2">
        <f>HYPERLINK("http://ts.21cn.com/tousu/show/id/1365457","新生支付海南圣云可盗刷298元")</f>
      </c>
      <c r="C7200" t="s" s="2">
        <v>15</v>
      </c>
      <c r="D7200" t="s" s="2">
        <v>16</v>
      </c>
      <c r="E7200" t="s" s="2">
        <v>17</v>
      </c>
      <c r="F7200" t="s" s="2">
        <f>HYPERLINK("http://ts.21cn.com/tousu/show/id/1365457","http://ts.21cn.com/tousu/show/id/1365457")</f>
      </c>
      <c r="G7200" t="s" s="2">
        <v>17</v>
      </c>
      <c r="H7200" t="s" s="2">
        <v>19</v>
      </c>
      <c r="I7200" t="s" s="2">
        <v>27839</v>
      </c>
      <c r="J7200" t="s" s="2">
        <v>27840</v>
      </c>
      <c r="K7200" t="s" s="2">
        <v>22</v>
      </c>
      <c r="L7200" t="s" s="2">
        <v>22</v>
      </c>
      <c r="M7200" t="s" s="2">
        <v>22</v>
      </c>
    </row>
    <row r="7201" ht="25.0" customHeight="true">
      <c r="A7201" t="s" s="2">
        <v>13</v>
      </c>
      <c r="B7201" t="s" s="2">
        <f>HYPERLINK("http://ts.21cn.com/tousu/show/id/1365455","立借催收辱骂，威胁，高利贷")</f>
      </c>
      <c r="C7201" t="s" s="2">
        <v>15</v>
      </c>
      <c r="D7201" t="s" s="2">
        <v>16</v>
      </c>
      <c r="E7201" t="s" s="2">
        <v>17</v>
      </c>
      <c r="F7201" t="s" s="2">
        <f>HYPERLINK("http://ts.21cn.com/tousu/show/id/1365455","http://ts.21cn.com/tousu/show/id/1365455")</f>
      </c>
      <c r="G7201" t="s" s="2">
        <v>17</v>
      </c>
      <c r="H7201" t="s" s="2">
        <v>19</v>
      </c>
      <c r="I7201" t="s" s="2">
        <v>27843</v>
      </c>
      <c r="J7201" t="s" s="2">
        <v>27844</v>
      </c>
      <c r="K7201" t="s" s="2">
        <v>22</v>
      </c>
      <c r="L7201" t="s" s="2">
        <v>22</v>
      </c>
      <c r="M7201" t="s" s="2">
        <v>22</v>
      </c>
    </row>
    <row r="7202" ht="25.0" customHeight="true">
      <c r="A7202" t="s" s="2">
        <v>13</v>
      </c>
      <c r="B7202" t="s" s="2">
        <f>HYPERLINK("http://ts.21cn.com/tousu/show/id/1365456","百度有钱花泄露个人隐私获取家人隐私并骚扰")</f>
      </c>
      <c r="C7202" t="s" s="2">
        <v>15</v>
      </c>
      <c r="D7202" t="s" s="2">
        <v>16</v>
      </c>
      <c r="E7202" t="s" s="2">
        <v>17</v>
      </c>
      <c r="F7202" t="s" s="2">
        <f>HYPERLINK("http://ts.21cn.com/tousu/show/id/1365456","http://ts.21cn.com/tousu/show/id/1365456")</f>
      </c>
      <c r="G7202" t="s" s="2">
        <v>17</v>
      </c>
      <c r="H7202" t="s" s="2">
        <v>19</v>
      </c>
      <c r="I7202" t="s" s="2">
        <v>27847</v>
      </c>
      <c r="J7202" t="s" s="2">
        <v>27848</v>
      </c>
      <c r="K7202" t="s" s="2">
        <v>22</v>
      </c>
      <c r="L7202" t="s" s="2">
        <v>22</v>
      </c>
      <c r="M7202" t="s" s="2">
        <v>22</v>
      </c>
    </row>
    <row r="7203" ht="25.0" customHeight="true">
      <c r="A7203" t="s" s="2">
        <v>13</v>
      </c>
      <c r="B7203" t="s" s="2">
        <f>HYPERLINK("http://ts.21cn.com/tousu/show/id/1365453","滴滴限制给纯电动派大单导致双证的合规车辆入不敷出，违规给不合法的私家车派单，导致收入严重两极分化。")</f>
      </c>
      <c r="C7203" t="s" s="2">
        <v>15</v>
      </c>
      <c r="D7203" t="s" s="2">
        <v>16</v>
      </c>
      <c r="E7203" t="s" s="2">
        <v>17</v>
      </c>
      <c r="F7203" t="s" s="2">
        <f>HYPERLINK("http://ts.21cn.com/tousu/show/id/1365453","http://ts.21cn.com/tousu/show/id/1365453")</f>
      </c>
      <c r="G7203" t="s" s="2">
        <v>17</v>
      </c>
      <c r="H7203" t="s" s="2">
        <v>19</v>
      </c>
      <c r="I7203" t="s" s="2">
        <v>27851</v>
      </c>
      <c r="J7203" t="s" s="2">
        <v>27852</v>
      </c>
      <c r="K7203" t="s" s="2">
        <v>22</v>
      </c>
      <c r="L7203" t="s" s="2">
        <v>22</v>
      </c>
      <c r="M7203" t="s" s="2">
        <v>22</v>
      </c>
    </row>
    <row r="7204" ht="25.0" customHeight="true">
      <c r="A7204" t="s" s="2">
        <v>13</v>
      </c>
      <c r="B7204" t="s" s="2">
        <f>HYPERLINK("http://ts.21cn.com/tousu/show/id/1365454","国美易卡联和上海烈熊收砍头息")</f>
      </c>
      <c r="C7204" t="s" s="2">
        <v>52</v>
      </c>
      <c r="D7204" t="s" s="2">
        <v>16</v>
      </c>
      <c r="E7204" t="s" s="2">
        <v>17</v>
      </c>
      <c r="F7204" t="s" s="2">
        <f>HYPERLINK("http://ts.21cn.com/tousu/show/id/1365454","http://ts.21cn.com/tousu/show/id/1365454")</f>
      </c>
      <c r="G7204" t="s" s="2">
        <v>17</v>
      </c>
      <c r="H7204" t="s" s="2">
        <v>19</v>
      </c>
      <c r="I7204" t="s" s="2">
        <v>27855</v>
      </c>
      <c r="J7204" t="s" s="2">
        <v>27856</v>
      </c>
      <c r="K7204" t="s" s="2">
        <v>22</v>
      </c>
      <c r="L7204" t="s" s="2">
        <v>22</v>
      </c>
      <c r="M7204" t="s" s="2">
        <v>22</v>
      </c>
    </row>
    <row r="7205" ht="25.0" customHeight="true">
      <c r="A7205" t="s" s="2">
        <v>13</v>
      </c>
      <c r="B7205" t="s" s="2">
        <f>HYPERLINK("http://ts.21cn.com/tousu/show/id/1365451","暴力催收砍头息黑恶势力")</f>
      </c>
      <c r="C7205" t="s" s="2">
        <v>15</v>
      </c>
      <c r="D7205" t="s" s="2">
        <v>16</v>
      </c>
      <c r="E7205" t="s" s="2">
        <v>17</v>
      </c>
      <c r="F7205" t="s" s="2">
        <f>HYPERLINK("http://ts.21cn.com/tousu/show/id/1365451","http://ts.21cn.com/tousu/show/id/1365451")</f>
      </c>
      <c r="G7205" t="s" s="2">
        <v>17</v>
      </c>
      <c r="H7205" t="s" s="2">
        <v>19</v>
      </c>
      <c r="I7205" t="s" s="2">
        <v>27859</v>
      </c>
      <c r="J7205" t="s" s="2">
        <v>27860</v>
      </c>
      <c r="K7205" t="s" s="2">
        <v>22</v>
      </c>
      <c r="L7205" t="s" s="2">
        <v>22</v>
      </c>
      <c r="M7205" t="s" s="2">
        <v>22</v>
      </c>
    </row>
    <row r="7206" ht="25.0" customHeight="true">
      <c r="A7206" t="s" s="2">
        <v>13</v>
      </c>
      <c r="B7206" t="s" s="2">
        <f>HYPERLINK("http://ts.21cn.com/tousu/show/id/1365450","钱站存在套路贷，高利贷")</f>
      </c>
      <c r="C7206" t="s" s="2">
        <v>15</v>
      </c>
      <c r="D7206" t="s" s="2">
        <v>16</v>
      </c>
      <c r="E7206" t="s" s="2">
        <v>17</v>
      </c>
      <c r="F7206" t="s" s="2">
        <f>HYPERLINK("http://ts.21cn.com/tousu/show/id/1365450","http://ts.21cn.com/tousu/show/id/1365450")</f>
      </c>
      <c r="G7206" t="s" s="2">
        <v>17</v>
      </c>
      <c r="H7206" t="s" s="2">
        <v>19</v>
      </c>
      <c r="I7206" t="s" s="2">
        <v>27863</v>
      </c>
      <c r="J7206" t="s" s="2">
        <v>27864</v>
      </c>
      <c r="K7206" t="s" s="2">
        <v>22</v>
      </c>
      <c r="L7206" t="s" s="2">
        <v>22</v>
      </c>
      <c r="M7206" t="s" s="2">
        <v>22</v>
      </c>
    </row>
    <row r="7207" ht="25.0" customHeight="true">
      <c r="A7207" t="s" s="2">
        <v>13</v>
      </c>
      <c r="B7207" t="s" s="2">
        <f>HYPERLINK("http://ts.21cn.com/tousu/show/id/1365449","华夏信用卡催收人员很过分")</f>
      </c>
      <c r="C7207" t="s" s="2">
        <v>15</v>
      </c>
      <c r="D7207" t="s" s="2">
        <v>16</v>
      </c>
      <c r="E7207" t="s" s="2">
        <v>17</v>
      </c>
      <c r="F7207" t="s" s="2">
        <f>HYPERLINK("http://ts.21cn.com/tousu/show/id/1365449","http://ts.21cn.com/tousu/show/id/1365449")</f>
      </c>
      <c r="G7207" t="s" s="2">
        <v>17</v>
      </c>
      <c r="H7207" t="s" s="2">
        <v>19</v>
      </c>
      <c r="I7207" t="s" s="2">
        <v>27867</v>
      </c>
      <c r="J7207" t="s" s="2">
        <v>27868</v>
      </c>
      <c r="K7207" t="s" s="2">
        <v>22</v>
      </c>
      <c r="L7207" t="s" s="2">
        <v>22</v>
      </c>
      <c r="M7207" t="s" s="2">
        <v>22</v>
      </c>
    </row>
    <row r="7208" ht="25.0" customHeight="true">
      <c r="A7208" t="s" s="2">
        <v>13</v>
      </c>
      <c r="B7208" t="s" s="2">
        <f>HYPERLINK("http://ts.21cn.com/tousu/show/id/1365448","安逸花乱收利息，乱收各种服务费")</f>
      </c>
      <c r="C7208" t="s" s="2">
        <v>15</v>
      </c>
      <c r="D7208" t="s" s="2">
        <v>16</v>
      </c>
      <c r="E7208" t="s" s="2">
        <v>17</v>
      </c>
      <c r="F7208" t="s" s="2">
        <f>HYPERLINK("http://ts.21cn.com/tousu/show/id/1365448","http://ts.21cn.com/tousu/show/id/1365448")</f>
      </c>
      <c r="G7208" t="s" s="2">
        <v>17</v>
      </c>
      <c r="H7208" t="s" s="2">
        <v>19</v>
      </c>
      <c r="I7208" t="s" s="2">
        <v>27871</v>
      </c>
      <c r="J7208" t="s" s="2">
        <v>27872</v>
      </c>
      <c r="K7208" t="s" s="2">
        <v>22</v>
      </c>
      <c r="L7208" t="s" s="2">
        <v>22</v>
      </c>
      <c r="M7208" t="s" s="2">
        <v>22</v>
      </c>
    </row>
    <row r="7209" ht="25.0" customHeight="true">
      <c r="A7209" t="s" s="2">
        <v>13</v>
      </c>
      <c r="B7209" t="s" s="2">
        <f>HYPERLINK("http://ts.21cn.com/tousu/show/id/1365446","飞机延误了两天，航空公司不作为，保险公司以航班取消不属于延误拒赔")</f>
      </c>
      <c r="C7209" t="s" s="2">
        <v>15</v>
      </c>
      <c r="D7209" t="s" s="2">
        <v>16</v>
      </c>
      <c r="E7209" t="s" s="2">
        <v>17</v>
      </c>
      <c r="F7209" t="s" s="2">
        <f>HYPERLINK("http://ts.21cn.com/tousu/show/id/1365446","http://ts.21cn.com/tousu/show/id/1365446")</f>
      </c>
      <c r="G7209" t="s" s="2">
        <v>17</v>
      </c>
      <c r="H7209" t="s" s="2">
        <v>19</v>
      </c>
      <c r="I7209" t="s" s="2">
        <v>27875</v>
      </c>
      <c r="J7209" t="s" s="2">
        <v>27876</v>
      </c>
      <c r="K7209" t="s" s="2">
        <v>22</v>
      </c>
      <c r="L7209" t="s" s="2">
        <v>22</v>
      </c>
      <c r="M7209" t="s" s="2">
        <v>22</v>
      </c>
    </row>
    <row r="7210" ht="25.0" customHeight="true">
      <c r="A7210" t="s" s="2">
        <v>13</v>
      </c>
      <c r="B7210" t="s" s="2">
        <f>HYPERLINK("http://ts.21cn.com/tousu/show/id/1365444","融360及贷恶意骚扰催收")</f>
      </c>
      <c r="C7210" t="s" s="2">
        <v>15</v>
      </c>
      <c r="D7210" t="s" s="2">
        <v>16</v>
      </c>
      <c r="E7210" t="s" s="2">
        <v>17</v>
      </c>
      <c r="F7210" t="s" s="2">
        <f>HYPERLINK("http://ts.21cn.com/tousu/show/id/1365444","http://ts.21cn.com/tousu/show/id/1365444")</f>
      </c>
      <c r="G7210" t="s" s="2">
        <v>17</v>
      </c>
      <c r="H7210" t="s" s="2">
        <v>19</v>
      </c>
      <c r="I7210" t="s" s="2">
        <v>27879</v>
      </c>
      <c r="J7210" t="s" s="2">
        <v>27880</v>
      </c>
      <c r="K7210" t="s" s="2">
        <v>22</v>
      </c>
      <c r="L7210" t="s" s="2">
        <v>22</v>
      </c>
      <c r="M7210" t="s" s="2">
        <v>22</v>
      </c>
    </row>
    <row r="7211" ht="25.0" customHeight="true">
      <c r="A7211" t="s" s="2">
        <v>13</v>
      </c>
      <c r="B7211" t="s" s="2">
        <f>HYPERLINK("http://ts.21cn.com/tousu/show/id/1365443","扣款不退")</f>
      </c>
      <c r="C7211" t="s" s="2">
        <v>52</v>
      </c>
      <c r="D7211" t="s" s="2">
        <v>16</v>
      </c>
      <c r="E7211" t="s" s="2">
        <v>17</v>
      </c>
      <c r="F7211" t="s" s="2">
        <f>HYPERLINK("http://ts.21cn.com/tousu/show/id/1365443","http://ts.21cn.com/tousu/show/id/1365443")</f>
      </c>
      <c r="G7211" t="s" s="2">
        <v>17</v>
      </c>
      <c r="H7211" t="s" s="2">
        <v>19</v>
      </c>
      <c r="I7211" t="s" s="2">
        <v>27883</v>
      </c>
      <c r="J7211" t="s" s="2">
        <v>27884</v>
      </c>
      <c r="K7211" t="s" s="2">
        <v>22</v>
      </c>
      <c r="L7211" t="s" s="2">
        <v>22</v>
      </c>
      <c r="M7211" t="s" s="2">
        <v>22</v>
      </c>
    </row>
    <row r="7212" ht="25.0" customHeight="true">
      <c r="A7212" t="s" s="2">
        <v>13</v>
      </c>
      <c r="B7212" t="s" s="2">
        <f>HYPERLINK("http://ts.21cn.com/tousu/show/id/1365441","马上金融恶意催收")</f>
      </c>
      <c r="C7212" t="s" s="2">
        <v>15</v>
      </c>
      <c r="D7212" t="s" s="2">
        <v>16</v>
      </c>
      <c r="E7212" t="s" s="2">
        <v>17</v>
      </c>
      <c r="F7212" t="s" s="2">
        <f>HYPERLINK("http://ts.21cn.com/tousu/show/id/1365441","http://ts.21cn.com/tousu/show/id/1365441")</f>
      </c>
      <c r="G7212" t="s" s="2">
        <v>17</v>
      </c>
      <c r="H7212" t="s" s="2">
        <v>19</v>
      </c>
      <c r="I7212" t="s" s="2">
        <v>27887</v>
      </c>
      <c r="J7212" t="s" s="2">
        <v>27888</v>
      </c>
      <c r="K7212" t="s" s="2">
        <v>22</v>
      </c>
      <c r="L7212" t="s" s="2">
        <v>22</v>
      </c>
      <c r="M7212" t="s" s="2">
        <v>22</v>
      </c>
    </row>
    <row r="7213" ht="25.0" customHeight="true">
      <c r="A7213" t="s" s="2">
        <v>13</v>
      </c>
      <c r="B7213" t="s" s="2">
        <f>HYPERLINK("http://ts.21cn.com/tousu/show/id/1365442","凡普金科喝血的贷款50000阴阳合同达76900多的高利贷")</f>
      </c>
      <c r="C7213" t="s" s="2">
        <v>15</v>
      </c>
      <c r="D7213" t="s" s="2">
        <v>16</v>
      </c>
      <c r="E7213" t="s" s="2">
        <v>17</v>
      </c>
      <c r="F7213" t="s" s="2">
        <f>HYPERLINK("http://ts.21cn.com/tousu/show/id/1365442","http://ts.21cn.com/tousu/show/id/1365442")</f>
      </c>
      <c r="G7213" t="s" s="2">
        <v>17</v>
      </c>
      <c r="H7213" t="s" s="2">
        <v>19</v>
      </c>
      <c r="I7213" t="s" s="2">
        <v>27891</v>
      </c>
      <c r="J7213" t="s" s="2">
        <v>27892</v>
      </c>
      <c r="K7213" t="s" s="2">
        <v>22</v>
      </c>
      <c r="L7213" t="s" s="2">
        <v>22</v>
      </c>
      <c r="M7213" t="s" s="2">
        <v>22</v>
      </c>
    </row>
    <row r="7214" ht="25.0" customHeight="true">
      <c r="A7214" t="s" s="2">
        <v>13</v>
      </c>
      <c r="B7214" t="s" s="2">
        <f>HYPERLINK("http://ts.21cn.com/tousu/show/id/1365440","骚扰电话")</f>
      </c>
      <c r="C7214" t="s" s="2">
        <v>15</v>
      </c>
      <c r="D7214" t="s" s="2">
        <v>16</v>
      </c>
      <c r="E7214" t="s" s="2">
        <v>17</v>
      </c>
      <c r="F7214" t="s" s="2">
        <f>HYPERLINK("http://ts.21cn.com/tousu/show/id/1365440","http://ts.21cn.com/tousu/show/id/1365440")</f>
      </c>
      <c r="G7214" t="s" s="2">
        <v>17</v>
      </c>
      <c r="H7214" t="s" s="2">
        <v>19</v>
      </c>
      <c r="I7214" t="s" s="2">
        <v>27895</v>
      </c>
      <c r="J7214" t="s" s="2">
        <v>27896</v>
      </c>
      <c r="K7214" t="s" s="2">
        <v>22</v>
      </c>
      <c r="L7214" t="s" s="2">
        <v>22</v>
      </c>
      <c r="M7214" t="s" s="2">
        <v>22</v>
      </c>
    </row>
    <row r="7215" ht="25.0" customHeight="true">
      <c r="A7215" t="s" s="2">
        <v>13</v>
      </c>
      <c r="B7215" t="s" s="2">
        <f>HYPERLINK("http://ts.21cn.com/tousu/show/id/1365438","开出结清证明")</f>
      </c>
      <c r="C7215" t="s" s="2">
        <v>52</v>
      </c>
      <c r="D7215" t="s" s="2">
        <v>16</v>
      </c>
      <c r="E7215" t="s" s="2">
        <v>17</v>
      </c>
      <c r="F7215" t="s" s="2">
        <f>HYPERLINK("http://ts.21cn.com/tousu/show/id/1365438","http://ts.21cn.com/tousu/show/id/1365438")</f>
      </c>
      <c r="G7215" t="s" s="2">
        <v>17</v>
      </c>
      <c r="H7215" t="s" s="2">
        <v>19</v>
      </c>
      <c r="I7215" t="s" s="2">
        <v>27899</v>
      </c>
      <c r="J7215" t="s" s="2">
        <v>27900</v>
      </c>
      <c r="K7215" t="s" s="2">
        <v>22</v>
      </c>
      <c r="L7215" t="s" s="2">
        <v>22</v>
      </c>
      <c r="M7215" t="s" s="2">
        <v>22</v>
      </c>
    </row>
    <row r="7216" ht="25.0" customHeight="true">
      <c r="A7216" t="s" s="2">
        <v>13</v>
      </c>
      <c r="B7216" t="s" s="2">
        <f>HYPERLINK("http://ts.21cn.com/tousu/show/id/1365436","骚扰恐吓威胁")</f>
      </c>
      <c r="C7216" t="s" s="2">
        <v>15</v>
      </c>
      <c r="D7216" t="s" s="2">
        <v>16</v>
      </c>
      <c r="E7216" t="s" s="2">
        <v>17</v>
      </c>
      <c r="F7216" t="s" s="2">
        <f>HYPERLINK("http://ts.21cn.com/tousu/show/id/1365436","http://ts.21cn.com/tousu/show/id/1365436")</f>
      </c>
      <c r="G7216" t="s" s="2">
        <v>17</v>
      </c>
      <c r="H7216" t="s" s="2">
        <v>19</v>
      </c>
      <c r="I7216" t="s" s="2">
        <v>27903</v>
      </c>
      <c r="J7216" t="s" s="2">
        <v>27904</v>
      </c>
      <c r="K7216" t="s" s="2">
        <v>22</v>
      </c>
      <c r="L7216" t="s" s="2">
        <v>22</v>
      </c>
      <c r="M7216" t="s" s="2">
        <v>22</v>
      </c>
    </row>
    <row r="7217" ht="25.0" customHeight="true">
      <c r="A7217" t="s" s="2">
        <v>13</v>
      </c>
      <c r="B7217" t="s" s="2">
        <f>HYPERLINK("http://ts.21cn.com/tousu/show/id/1365434","高利贷，电话骚扰，销账处理还本金")</f>
      </c>
      <c r="C7217" t="s" s="2">
        <v>15</v>
      </c>
      <c r="D7217" t="s" s="2">
        <v>16</v>
      </c>
      <c r="E7217" t="s" s="2">
        <v>17</v>
      </c>
      <c r="F7217" t="s" s="2">
        <f>HYPERLINK("http://ts.21cn.com/tousu/show/id/1365434","http://ts.21cn.com/tousu/show/id/1365434")</f>
      </c>
      <c r="G7217" t="s" s="2">
        <v>17</v>
      </c>
      <c r="H7217" t="s" s="2">
        <v>19</v>
      </c>
      <c r="I7217" t="s" s="2">
        <v>27907</v>
      </c>
      <c r="J7217" t="s" s="2">
        <v>27908</v>
      </c>
      <c r="K7217" t="s" s="2">
        <v>22</v>
      </c>
      <c r="L7217" t="s" s="2">
        <v>22</v>
      </c>
      <c r="M7217" t="s" s="2">
        <v>22</v>
      </c>
    </row>
    <row r="7218" ht="25.0" customHeight="true">
      <c r="A7218" t="s" s="2">
        <v>13</v>
      </c>
      <c r="B7218" t="s" s="2">
        <f>HYPERLINK("http://ts.21cn.com/tousu/show/id/1365433","买了提货券不让提货")</f>
      </c>
      <c r="C7218" t="s" s="2">
        <v>15</v>
      </c>
      <c r="D7218" t="s" s="2">
        <v>16</v>
      </c>
      <c r="E7218" t="s" s="2">
        <v>17</v>
      </c>
      <c r="F7218" t="s" s="2">
        <f>HYPERLINK("http://ts.21cn.com/tousu/show/id/1365433","http://ts.21cn.com/tousu/show/id/1365433")</f>
      </c>
      <c r="G7218" t="s" s="2">
        <v>17</v>
      </c>
      <c r="H7218" t="s" s="2">
        <v>19</v>
      </c>
      <c r="I7218" t="s" s="2">
        <v>27911</v>
      </c>
      <c r="J7218" t="s" s="2">
        <v>27912</v>
      </c>
      <c r="K7218" t="s" s="2">
        <v>22</v>
      </c>
      <c r="L7218" t="s" s="2">
        <v>22</v>
      </c>
      <c r="M7218" t="s" s="2">
        <v>22</v>
      </c>
    </row>
    <row r="7219" ht="25.0" customHeight="true">
      <c r="A7219" t="s" s="2">
        <v>13</v>
      </c>
      <c r="B7219" t="s" s="2">
        <f>HYPERLINK("http://ts.21cn.com/tousu/show/id/1365366","包银消费金融强制贷款")</f>
      </c>
      <c r="C7219" t="s" s="2">
        <v>15</v>
      </c>
      <c r="D7219" t="s" s="2">
        <v>16</v>
      </c>
      <c r="E7219" t="s" s="2">
        <v>17</v>
      </c>
      <c r="F7219" t="s" s="2">
        <f>HYPERLINK("http://ts.21cn.com/tousu/show/id/1365366","http://ts.21cn.com/tousu/show/id/1365366")</f>
      </c>
      <c r="G7219" t="s" s="2">
        <v>17</v>
      </c>
      <c r="H7219" t="s" s="2">
        <v>19</v>
      </c>
      <c r="I7219" t="s" s="2">
        <v>27915</v>
      </c>
      <c r="J7219" t="s" s="2">
        <v>27916</v>
      </c>
      <c r="K7219" t="s" s="2">
        <v>22</v>
      </c>
      <c r="L7219" t="s" s="2">
        <v>22</v>
      </c>
      <c r="M7219" t="s" s="2">
        <v>22</v>
      </c>
    </row>
    <row r="7220" ht="25.0" customHeight="true">
      <c r="A7220" t="s" s="2">
        <v>13</v>
      </c>
      <c r="B7220" t="s" s="2">
        <f>HYPERLINK("http://ts.21cn.com/tousu/show/id/1365229","中程建教育蓄意欺诈，虚假宣传")</f>
      </c>
      <c r="C7220" t="s" s="2">
        <v>15</v>
      </c>
      <c r="D7220" t="s" s="2">
        <v>16</v>
      </c>
      <c r="E7220" t="s" s="2">
        <v>17</v>
      </c>
      <c r="F7220" t="s" s="2">
        <f>HYPERLINK("http://ts.21cn.com/tousu/show/id/1365229","http://ts.21cn.com/tousu/show/id/1365229")</f>
      </c>
      <c r="G7220" t="s" s="2">
        <v>17</v>
      </c>
      <c r="H7220" t="s" s="2">
        <v>19</v>
      </c>
      <c r="I7220" t="s" s="2">
        <v>27919</v>
      </c>
      <c r="J7220" t="s" s="2">
        <v>27920</v>
      </c>
      <c r="K7220" t="s" s="2">
        <v>22</v>
      </c>
      <c r="L7220" t="s" s="2">
        <v>22</v>
      </c>
      <c r="M7220" t="s" s="2">
        <v>22</v>
      </c>
    </row>
    <row r="7221" ht="25.0" customHeight="true">
      <c r="A7221" t="s" s="2">
        <v>13</v>
      </c>
      <c r="B7221" t="s" s="2">
        <f>HYPERLINK("http://ts.21cn.com/tousu/show/id/1365432","来分期高利贷")</f>
      </c>
      <c r="C7221" t="s" s="2">
        <v>15</v>
      </c>
      <c r="D7221" t="s" s="2">
        <v>16</v>
      </c>
      <c r="E7221" t="s" s="2">
        <v>17</v>
      </c>
      <c r="F7221" t="s" s="2">
        <f>HYPERLINK("http://ts.21cn.com/tousu/show/id/1365432","http://ts.21cn.com/tousu/show/id/1365432")</f>
      </c>
      <c r="G7221" t="s" s="2">
        <v>17</v>
      </c>
      <c r="H7221" t="s" s="2">
        <v>19</v>
      </c>
      <c r="I7221" t="s" s="2">
        <v>27923</v>
      </c>
      <c r="J7221" t="s" s="2">
        <v>27924</v>
      </c>
      <c r="K7221" t="s" s="2">
        <v>22</v>
      </c>
      <c r="L7221" t="s" s="2">
        <v>22</v>
      </c>
      <c r="M7221" t="s" s="2">
        <v>22</v>
      </c>
    </row>
    <row r="7222" ht="25.0" customHeight="true">
      <c r="A7222" t="s" s="2">
        <v>13</v>
      </c>
      <c r="B7222" t="s" s="2">
        <f>HYPERLINK("http://ts.21cn.com/tousu/show/id/1365430","你我贷过高的平台费和服务费")</f>
      </c>
      <c r="C7222" t="s" s="2">
        <v>15</v>
      </c>
      <c r="D7222" t="s" s="2">
        <v>16</v>
      </c>
      <c r="E7222" t="s" s="2">
        <v>17</v>
      </c>
      <c r="F7222" t="s" s="2">
        <f>HYPERLINK("http://ts.21cn.com/tousu/show/id/1365430","http://ts.21cn.com/tousu/show/id/1365430")</f>
      </c>
      <c r="G7222" t="s" s="2">
        <v>17</v>
      </c>
      <c r="H7222" t="s" s="2">
        <v>19</v>
      </c>
      <c r="I7222" t="s" s="2">
        <v>27927</v>
      </c>
      <c r="J7222" t="s" s="2">
        <v>27928</v>
      </c>
      <c r="K7222" t="s" s="2">
        <v>22</v>
      </c>
      <c r="L7222" t="s" s="2">
        <v>22</v>
      </c>
      <c r="M7222" t="s" s="2">
        <v>22</v>
      </c>
    </row>
    <row r="7223" ht="25.0" customHeight="true">
      <c r="A7223" t="s" s="2">
        <v>13</v>
      </c>
      <c r="B7223" t="s" s="2">
        <f>HYPERLINK("http://ts.21cn.com/tousu/show/id/1365428","不下款还扣299")</f>
      </c>
      <c r="C7223" t="s" s="2">
        <v>52</v>
      </c>
      <c r="D7223" t="s" s="2">
        <v>16</v>
      </c>
      <c r="E7223" t="s" s="2">
        <v>17</v>
      </c>
      <c r="F7223" t="s" s="2">
        <f>HYPERLINK("http://ts.21cn.com/tousu/show/id/1365428","http://ts.21cn.com/tousu/show/id/1365428")</f>
      </c>
      <c r="G7223" t="s" s="2">
        <v>17</v>
      </c>
      <c r="H7223" t="s" s="2">
        <v>19</v>
      </c>
      <c r="I7223" t="s" s="2">
        <v>27931</v>
      </c>
      <c r="J7223" t="s" s="2">
        <v>27932</v>
      </c>
      <c r="K7223" t="s" s="2">
        <v>22</v>
      </c>
      <c r="L7223" t="s" s="2">
        <v>22</v>
      </c>
      <c r="M7223" t="s" s="2">
        <v>22</v>
      </c>
    </row>
    <row r="7224" ht="25.0" customHeight="true">
      <c r="A7224" t="s" s="2">
        <v>13</v>
      </c>
      <c r="B7224" t="s" s="2">
        <f>HYPERLINK("http://ts.21cn.com/tousu/show/id/1365429","招联金融暴力催收")</f>
      </c>
      <c r="C7224" t="s" s="2">
        <v>15</v>
      </c>
      <c r="D7224" t="s" s="2">
        <v>16</v>
      </c>
      <c r="E7224" t="s" s="2">
        <v>17</v>
      </c>
      <c r="F7224" t="s" s="2">
        <f>HYPERLINK("http://ts.21cn.com/tousu/show/id/1365429","http://ts.21cn.com/tousu/show/id/1365429")</f>
      </c>
      <c r="G7224" t="s" s="2">
        <v>17</v>
      </c>
      <c r="H7224" t="s" s="2">
        <v>19</v>
      </c>
      <c r="I7224" t="s" s="2">
        <v>27934</v>
      </c>
      <c r="J7224" t="s" s="2">
        <v>27935</v>
      </c>
      <c r="K7224" t="s" s="2">
        <v>22</v>
      </c>
      <c r="L7224" t="s" s="2">
        <v>22</v>
      </c>
      <c r="M7224" t="s" s="2">
        <v>22</v>
      </c>
    </row>
    <row r="7225" ht="25.0" customHeight="true">
      <c r="A7225" t="s" s="2">
        <v>13</v>
      </c>
      <c r="B7225" t="s" s="2">
        <f>HYPERLINK("http://ts.21cn.com/tousu/show/id/1365426","你我贷违规起诉")</f>
      </c>
      <c r="C7225" t="s" s="2">
        <v>15</v>
      </c>
      <c r="D7225" t="s" s="2">
        <v>16</v>
      </c>
      <c r="E7225" t="s" s="2">
        <v>17</v>
      </c>
      <c r="F7225" t="s" s="2">
        <f>HYPERLINK("http://ts.21cn.com/tousu/show/id/1365426","http://ts.21cn.com/tousu/show/id/1365426")</f>
      </c>
      <c r="G7225" t="s" s="2">
        <v>17</v>
      </c>
      <c r="H7225" t="s" s="2">
        <v>19</v>
      </c>
      <c r="I7225" t="s" s="2">
        <v>27938</v>
      </c>
      <c r="J7225" t="s" s="2">
        <v>27939</v>
      </c>
      <c r="K7225" t="s" s="2">
        <v>22</v>
      </c>
      <c r="L7225" t="s" s="2">
        <v>22</v>
      </c>
      <c r="M7225" t="s" s="2">
        <v>22</v>
      </c>
    </row>
    <row r="7226" ht="25.0" customHeight="true">
      <c r="A7226" t="s" s="2">
        <v>13</v>
      </c>
      <c r="B7226" t="s" s="2">
        <f>HYPERLINK("http://ts.21cn.com/tousu/show/id/1365424","昨天有业务员来我店里推销办理信用卡，但必须得买盛pos机，一切都没有按流程走，首先就让我刷299元，信用卡也没办到。")</f>
      </c>
      <c r="C7226" t="s" s="2">
        <v>15</v>
      </c>
      <c r="D7226" t="s" s="2">
        <v>16</v>
      </c>
      <c r="E7226" t="s" s="2">
        <v>17</v>
      </c>
      <c r="F7226" t="s" s="2">
        <f>HYPERLINK("http://ts.21cn.com/tousu/show/id/1365424","http://ts.21cn.com/tousu/show/id/1365424")</f>
      </c>
      <c r="G7226" t="s" s="2">
        <v>17</v>
      </c>
      <c r="H7226" t="s" s="2">
        <v>19</v>
      </c>
      <c r="I7226" t="s" s="2">
        <v>27942</v>
      </c>
      <c r="J7226" t="s" s="2">
        <v>27940</v>
      </c>
      <c r="K7226" t="s" s="2">
        <v>22</v>
      </c>
      <c r="L7226" t="s" s="2">
        <v>22</v>
      </c>
      <c r="M7226" t="s" s="2">
        <v>22</v>
      </c>
    </row>
    <row r="7227" ht="25.0" customHeight="true">
      <c r="A7227" t="s" s="2">
        <v>13</v>
      </c>
      <c r="B7227" t="s" s="2">
        <f>HYPERLINK("http://ts.21cn.com/tousu/show/id/1365425","360借条不经允许联系家人")</f>
      </c>
      <c r="C7227" t="s" s="2">
        <v>15</v>
      </c>
      <c r="D7227" t="s" s="2">
        <v>16</v>
      </c>
      <c r="E7227" t="s" s="2">
        <v>17</v>
      </c>
      <c r="F7227" t="s" s="2">
        <f>HYPERLINK("http://ts.21cn.com/tousu/show/id/1365425","http://ts.21cn.com/tousu/show/id/1365425")</f>
      </c>
      <c r="G7227" t="s" s="2">
        <v>17</v>
      </c>
      <c r="H7227" t="s" s="2">
        <v>19</v>
      </c>
      <c r="I7227" t="s" s="2">
        <v>27945</v>
      </c>
      <c r="J7227" t="s" s="2">
        <v>27946</v>
      </c>
      <c r="K7227" t="s" s="2">
        <v>22</v>
      </c>
      <c r="L7227" t="s" s="2">
        <v>22</v>
      </c>
      <c r="M7227" t="s" s="2">
        <v>22</v>
      </c>
    </row>
    <row r="7228" ht="25.0" customHeight="true">
      <c r="A7228" t="s" s="2">
        <v>13</v>
      </c>
      <c r="B7228" t="s" s="2">
        <f>HYPERLINK("http://ts.21cn.com/tousu/show/id/1365422","水莲金条高利贷提前还款不减免高利息")</f>
      </c>
      <c r="C7228" t="s" s="2">
        <v>15</v>
      </c>
      <c r="D7228" t="s" s="2">
        <v>16</v>
      </c>
      <c r="E7228" t="s" s="2">
        <v>17</v>
      </c>
      <c r="F7228" t="s" s="2">
        <f>HYPERLINK("http://ts.21cn.com/tousu/show/id/1365422","http://ts.21cn.com/tousu/show/id/1365422")</f>
      </c>
      <c r="G7228" t="s" s="2">
        <v>17</v>
      </c>
      <c r="H7228" t="s" s="2">
        <v>19</v>
      </c>
      <c r="I7228" t="s" s="2">
        <v>27949</v>
      </c>
      <c r="J7228" t="s" s="2">
        <v>27950</v>
      </c>
      <c r="K7228" t="s" s="2">
        <v>22</v>
      </c>
      <c r="L7228" t="s" s="2">
        <v>22</v>
      </c>
      <c r="M7228" t="s" s="2">
        <v>22</v>
      </c>
    </row>
    <row r="7229" ht="25.0" customHeight="true">
      <c r="A7229" t="s" s="2">
        <v>13</v>
      </c>
      <c r="B7229" t="s" s="2">
        <f>HYPERLINK("http://ts.21cn.com/tousu/show/id/1365423","被无故扣费")</f>
      </c>
      <c r="C7229" t="s" s="2">
        <v>15</v>
      </c>
      <c r="D7229" t="s" s="2">
        <v>16</v>
      </c>
      <c r="E7229" t="s" s="2">
        <v>17</v>
      </c>
      <c r="F7229" t="s" s="2">
        <f>HYPERLINK("http://ts.21cn.com/tousu/show/id/1365423","http://ts.21cn.com/tousu/show/id/1365423")</f>
      </c>
      <c r="G7229" t="s" s="2">
        <v>17</v>
      </c>
      <c r="H7229" t="s" s="2">
        <v>19</v>
      </c>
      <c r="I7229" t="s" s="2">
        <v>27953</v>
      </c>
      <c r="J7229" t="s" s="2">
        <v>27954</v>
      </c>
      <c r="K7229" t="s" s="2">
        <v>22</v>
      </c>
      <c r="L7229" t="s" s="2">
        <v>22</v>
      </c>
      <c r="M7229" t="s" s="2">
        <v>22</v>
      </c>
    </row>
    <row r="7230" ht="25.0" customHeight="true">
      <c r="A7230" t="s" s="2">
        <v>13</v>
      </c>
      <c r="B7230" t="s" s="2">
        <f>HYPERLINK("http://ts.21cn.com/tousu/show/id/1365379","富友支付违规为现金巴士提供高额砍头息支付通道")</f>
      </c>
      <c r="C7230" t="s" s="2">
        <v>15</v>
      </c>
      <c r="D7230" t="s" s="2">
        <v>16</v>
      </c>
      <c r="E7230" t="s" s="2">
        <v>17</v>
      </c>
      <c r="F7230" t="s" s="2">
        <f>HYPERLINK("http://ts.21cn.com/tousu/show/id/1365379","http://ts.21cn.com/tousu/show/id/1365379")</f>
      </c>
      <c r="G7230" t="s" s="2">
        <v>17</v>
      </c>
      <c r="H7230" t="s" s="2">
        <v>19</v>
      </c>
      <c r="I7230" t="s" s="2">
        <v>27957</v>
      </c>
      <c r="J7230" t="s" s="2">
        <v>27958</v>
      </c>
      <c r="K7230" t="s" s="2">
        <v>22</v>
      </c>
      <c r="L7230" t="s" s="2">
        <v>22</v>
      </c>
      <c r="M7230" t="s" s="2">
        <v>22</v>
      </c>
    </row>
    <row r="7231" ht="25.0" customHeight="true">
      <c r="A7231" t="s" s="2">
        <v>13</v>
      </c>
      <c r="B7231" t="s" s="2">
        <f>HYPERLINK("http://ts.21cn.com/tousu/show/id/1365421","58好借高利息不退款给我")</f>
      </c>
      <c r="C7231" t="s" s="2">
        <v>15</v>
      </c>
      <c r="D7231" t="s" s="2">
        <v>16</v>
      </c>
      <c r="E7231" t="s" s="2">
        <v>17</v>
      </c>
      <c r="F7231" t="s" s="2">
        <f>HYPERLINK("http://ts.21cn.com/tousu/show/id/1365421","http://ts.21cn.com/tousu/show/id/1365421")</f>
      </c>
      <c r="G7231" t="s" s="2">
        <v>17</v>
      </c>
      <c r="H7231" t="s" s="2">
        <v>19</v>
      </c>
      <c r="I7231" t="s" s="2">
        <v>27961</v>
      </c>
      <c r="J7231" t="s" s="2">
        <v>27962</v>
      </c>
      <c r="K7231" t="s" s="2">
        <v>22</v>
      </c>
      <c r="L7231" t="s" s="2">
        <v>22</v>
      </c>
      <c r="M7231" t="s" s="2">
        <v>22</v>
      </c>
    </row>
    <row r="7232" ht="25.0" customHeight="true">
      <c r="A7232" t="s" s="2">
        <v>13</v>
      </c>
      <c r="B7232" t="s" s="2">
        <f>HYPERLINK("http://ts.21cn.com/tousu/show/id/1365420","未经本人允许自动扣款")</f>
      </c>
      <c r="C7232" t="s" s="2">
        <v>52</v>
      </c>
      <c r="D7232" t="s" s="2">
        <v>16</v>
      </c>
      <c r="E7232" t="s" s="2">
        <v>17</v>
      </c>
      <c r="F7232" t="s" s="2">
        <f>HYPERLINK("http://ts.21cn.com/tousu/show/id/1365420","http://ts.21cn.com/tousu/show/id/1365420")</f>
      </c>
      <c r="G7232" t="s" s="2">
        <v>17</v>
      </c>
      <c r="H7232" t="s" s="2">
        <v>19</v>
      </c>
      <c r="I7232" t="s" s="2">
        <v>27965</v>
      </c>
      <c r="J7232" t="s" s="2">
        <v>27966</v>
      </c>
      <c r="K7232" t="s" s="2">
        <v>22</v>
      </c>
      <c r="L7232" t="s" s="2">
        <v>22</v>
      </c>
      <c r="M7232" t="s" s="2">
        <v>22</v>
      </c>
    </row>
    <row r="7233" ht="25.0" customHeight="true">
      <c r="A7233" t="s" s="2">
        <v>13</v>
      </c>
      <c r="B7233" t="s" s="2">
        <f>HYPERLINK("http://ts.21cn.com/tousu/show/id/1365418","活力花暴力催收")</f>
      </c>
      <c r="C7233" t="s" s="2">
        <v>15</v>
      </c>
      <c r="D7233" t="s" s="2">
        <v>16</v>
      </c>
      <c r="E7233" t="s" s="2">
        <v>17</v>
      </c>
      <c r="F7233" t="s" s="2">
        <f>HYPERLINK("http://ts.21cn.com/tousu/show/id/1365418","http://ts.21cn.com/tousu/show/id/1365418")</f>
      </c>
      <c r="G7233" t="s" s="2">
        <v>17</v>
      </c>
      <c r="H7233" t="s" s="2">
        <v>19</v>
      </c>
      <c r="I7233" t="s" s="2">
        <v>27968</v>
      </c>
      <c r="J7233" t="s" s="2">
        <v>27969</v>
      </c>
      <c r="K7233" t="s" s="2">
        <v>22</v>
      </c>
      <c r="L7233" t="s" s="2">
        <v>22</v>
      </c>
      <c r="M7233" t="s" s="2">
        <v>22</v>
      </c>
    </row>
    <row r="7234" ht="25.0" customHeight="true">
      <c r="A7234" t="s" s="2">
        <v>13</v>
      </c>
      <c r="B7234" t="s" s="2">
        <f>HYPERLINK("http://ts.21cn.com/tousu/show/id/1363165","中国人保刻意隐瞒")</f>
      </c>
      <c r="C7234" t="s" s="2">
        <v>15</v>
      </c>
      <c r="D7234" t="s" s="2">
        <v>16</v>
      </c>
      <c r="E7234" t="s" s="2">
        <v>17</v>
      </c>
      <c r="F7234" t="s" s="2">
        <f>HYPERLINK("http://ts.21cn.com/tousu/show/id/1363165","http://ts.21cn.com/tousu/show/id/1363165")</f>
      </c>
      <c r="G7234" t="s" s="2">
        <v>17</v>
      </c>
      <c r="H7234" t="s" s="2">
        <v>19</v>
      </c>
      <c r="I7234" t="s" s="2">
        <v>27972</v>
      </c>
      <c r="J7234" t="s" s="2">
        <v>27973</v>
      </c>
      <c r="K7234" t="s" s="2">
        <v>22</v>
      </c>
      <c r="L7234" t="s" s="2">
        <v>22</v>
      </c>
      <c r="M7234" t="s" s="2">
        <v>22</v>
      </c>
    </row>
    <row r="7235" ht="25.0" customHeight="true">
      <c r="A7235" t="s" s="2">
        <v>13</v>
      </c>
      <c r="B7235" t="s" s="2">
        <f>HYPERLINK("http://ts.21cn.com/tousu/show/id/1365419","小花违法")</f>
      </c>
      <c r="C7235" t="s" s="2">
        <v>15</v>
      </c>
      <c r="D7235" t="s" s="2">
        <v>16</v>
      </c>
      <c r="E7235" t="s" s="2">
        <v>17</v>
      </c>
      <c r="F7235" t="s" s="2">
        <f>HYPERLINK("http://ts.21cn.com/tousu/show/id/1365419","http://ts.21cn.com/tousu/show/id/1365419")</f>
      </c>
      <c r="G7235" t="s" s="2">
        <v>17</v>
      </c>
      <c r="H7235" t="s" s="2">
        <v>19</v>
      </c>
      <c r="I7235" t="s" s="2">
        <v>27976</v>
      </c>
      <c r="J7235" t="s" s="2">
        <v>27977</v>
      </c>
      <c r="K7235" t="s" s="2">
        <v>22</v>
      </c>
      <c r="L7235" t="s" s="2">
        <v>22</v>
      </c>
      <c r="M7235" t="s" s="2">
        <v>22</v>
      </c>
    </row>
    <row r="7236" ht="25.0" customHeight="true">
      <c r="A7236" t="s" s="2">
        <v>13</v>
      </c>
      <c r="B7236" t="s" s="2">
        <f>HYPERLINK("http://ts.21cn.com/tousu/show/id/1365367","暴力催收假传法律文书")</f>
      </c>
      <c r="C7236" t="s" s="2">
        <v>15</v>
      </c>
      <c r="D7236" t="s" s="2">
        <v>16</v>
      </c>
      <c r="E7236" t="s" s="2">
        <v>17</v>
      </c>
      <c r="F7236" t="s" s="2">
        <f>HYPERLINK("http://ts.21cn.com/tousu/show/id/1365367","http://ts.21cn.com/tousu/show/id/1365367")</f>
      </c>
      <c r="G7236" t="s" s="2">
        <v>17</v>
      </c>
      <c r="H7236" t="s" s="2">
        <v>19</v>
      </c>
      <c r="I7236" t="s" s="2">
        <v>27980</v>
      </c>
      <c r="J7236" t="s" s="2">
        <v>27981</v>
      </c>
      <c r="K7236" t="s" s="2">
        <v>22</v>
      </c>
      <c r="L7236" t="s" s="2">
        <v>22</v>
      </c>
      <c r="M7236" t="s" s="2">
        <v>22</v>
      </c>
    </row>
    <row r="7237" ht="25.0" customHeight="true">
      <c r="A7237" t="s" s="2">
        <v>13</v>
      </c>
      <c r="B7237" t="s" s="2">
        <f>HYPERLINK("http://ts.21cn.com/tousu/show/id/1365416","小黑鲨暴力催收威胁恐吓")</f>
      </c>
      <c r="C7237" t="s" s="2">
        <v>15</v>
      </c>
      <c r="D7237" t="s" s="2">
        <v>16</v>
      </c>
      <c r="E7237" t="s" s="2">
        <v>17</v>
      </c>
      <c r="F7237" t="s" s="2">
        <f>HYPERLINK("http://ts.21cn.com/tousu/show/id/1365416","http://ts.21cn.com/tousu/show/id/1365416")</f>
      </c>
      <c r="G7237" t="s" s="2">
        <v>17</v>
      </c>
      <c r="H7237" t="s" s="2">
        <v>19</v>
      </c>
      <c r="I7237" t="s" s="2">
        <v>27984</v>
      </c>
      <c r="J7237" t="s" s="2">
        <v>27985</v>
      </c>
      <c r="K7237" t="s" s="2">
        <v>22</v>
      </c>
      <c r="L7237" t="s" s="2">
        <v>22</v>
      </c>
      <c r="M7237" t="s" s="2">
        <v>22</v>
      </c>
    </row>
    <row r="7238" ht="25.0" customHeight="true">
      <c r="A7238" t="s" s="2">
        <v>13</v>
      </c>
      <c r="B7238" t="s" s="2">
        <f>HYPERLINK("http://ts.21cn.com/tousu/show/id/1365413","交通银行信用卡")</f>
      </c>
      <c r="C7238" t="s" s="2">
        <v>15</v>
      </c>
      <c r="D7238" t="s" s="2">
        <v>16</v>
      </c>
      <c r="E7238" t="s" s="2">
        <v>17</v>
      </c>
      <c r="F7238" t="s" s="2">
        <f>HYPERLINK("http://ts.21cn.com/tousu/show/id/1365413","http://ts.21cn.com/tousu/show/id/1365413")</f>
      </c>
      <c r="G7238" t="s" s="2">
        <v>17</v>
      </c>
      <c r="H7238" t="s" s="2">
        <v>19</v>
      </c>
      <c r="I7238" t="s" s="2">
        <v>27987</v>
      </c>
      <c r="J7238" t="s" s="2">
        <v>27988</v>
      </c>
      <c r="K7238" t="s" s="2">
        <v>22</v>
      </c>
      <c r="L7238" t="s" s="2">
        <v>22</v>
      </c>
      <c r="M7238" t="s" s="2">
        <v>22</v>
      </c>
    </row>
    <row r="7239" ht="25.0" customHeight="true">
      <c r="A7239" t="s" s="2">
        <v>13</v>
      </c>
      <c r="B7239" t="s" s="2">
        <f>HYPERLINK("http://ts.21cn.com/tousu/show/id/1365414","高利息暴击催收无法协商")</f>
      </c>
      <c r="C7239" t="s" s="2">
        <v>15</v>
      </c>
      <c r="D7239" t="s" s="2">
        <v>16</v>
      </c>
      <c r="E7239" t="s" s="2">
        <v>17</v>
      </c>
      <c r="F7239" t="s" s="2">
        <f>HYPERLINK("http://ts.21cn.com/tousu/show/id/1365414","http://ts.21cn.com/tousu/show/id/1365414")</f>
      </c>
      <c r="G7239" t="s" s="2">
        <v>17</v>
      </c>
      <c r="H7239" t="s" s="2">
        <v>19</v>
      </c>
      <c r="I7239" t="s" s="2">
        <v>27991</v>
      </c>
      <c r="J7239" t="s" s="2">
        <v>27992</v>
      </c>
      <c r="K7239" t="s" s="2">
        <v>22</v>
      </c>
      <c r="L7239" t="s" s="2">
        <v>22</v>
      </c>
      <c r="M7239" t="s" s="2">
        <v>22</v>
      </c>
    </row>
    <row r="7240" ht="25.0" customHeight="true">
      <c r="A7240" t="s" s="2">
        <v>13</v>
      </c>
      <c r="B7240" t="s" s="2">
        <f>HYPERLINK("http://ts.21cn.com/tousu/show/id/1365412","玖富叮当高利贷，阴阳合同")</f>
      </c>
      <c r="C7240" t="s" s="2">
        <v>15</v>
      </c>
      <c r="D7240" t="s" s="2">
        <v>16</v>
      </c>
      <c r="E7240" t="s" s="2">
        <v>17</v>
      </c>
      <c r="F7240" t="s" s="2">
        <f>HYPERLINK("http://ts.21cn.com/tousu/show/id/1365412","http://ts.21cn.com/tousu/show/id/1365412")</f>
      </c>
      <c r="G7240" t="s" s="2">
        <v>17</v>
      </c>
      <c r="H7240" t="s" s="2">
        <v>19</v>
      </c>
      <c r="I7240" t="s" s="2">
        <v>27994</v>
      </c>
      <c r="J7240" t="s" s="2">
        <v>27995</v>
      </c>
      <c r="K7240" t="s" s="2">
        <v>22</v>
      </c>
      <c r="L7240" t="s" s="2">
        <v>22</v>
      </c>
      <c r="M7240" t="s" s="2">
        <v>22</v>
      </c>
    </row>
    <row r="7241" ht="25.0" customHeight="true">
      <c r="A7241" t="s" s="2">
        <v>13</v>
      </c>
      <c r="B7241" t="s" s="2">
        <f>HYPERLINK("http://ts.21cn.com/tousu/show/id/1365411","友信信贷变相高利贷借款10万要求还14万")</f>
      </c>
      <c r="C7241" t="s" s="2">
        <v>15</v>
      </c>
      <c r="D7241" t="s" s="2">
        <v>16</v>
      </c>
      <c r="E7241" t="s" s="2">
        <v>17</v>
      </c>
      <c r="F7241" t="s" s="2">
        <f>HYPERLINK("http://ts.21cn.com/tousu/show/id/1365411","http://ts.21cn.com/tousu/show/id/1365411")</f>
      </c>
      <c r="G7241" t="s" s="2">
        <v>17</v>
      </c>
      <c r="H7241" t="s" s="2">
        <v>19</v>
      </c>
      <c r="I7241" t="s" s="2">
        <v>27998</v>
      </c>
      <c r="J7241" t="s" s="2">
        <v>27999</v>
      </c>
      <c r="K7241" t="s" s="2">
        <v>22</v>
      </c>
      <c r="L7241" t="s" s="2">
        <v>22</v>
      </c>
      <c r="M7241" t="s" s="2">
        <v>22</v>
      </c>
    </row>
    <row r="7242" ht="25.0" customHeight="true">
      <c r="A7242" t="s" s="2">
        <v>13</v>
      </c>
      <c r="B7242" t="s" s="2">
        <f>HYPERLINK("http://ts.21cn.com/tousu/show/id/1365410","超高利息暴力催收")</f>
      </c>
      <c r="C7242" t="s" s="2">
        <v>15</v>
      </c>
      <c r="D7242" t="s" s="2">
        <v>16</v>
      </c>
      <c r="E7242" t="s" s="2">
        <v>17</v>
      </c>
      <c r="F7242" t="s" s="2">
        <f>HYPERLINK("http://ts.21cn.com/tousu/show/id/1365410","http://ts.21cn.com/tousu/show/id/1365410")</f>
      </c>
      <c r="G7242" t="s" s="2">
        <v>17</v>
      </c>
      <c r="H7242" t="s" s="2">
        <v>19</v>
      </c>
      <c r="I7242" t="s" s="2">
        <v>28002</v>
      </c>
      <c r="J7242" t="s" s="2">
        <v>28003</v>
      </c>
      <c r="K7242" t="s" s="2">
        <v>22</v>
      </c>
      <c r="L7242" t="s" s="2">
        <v>22</v>
      </c>
      <c r="M7242" t="s" s="2">
        <v>22</v>
      </c>
    </row>
    <row r="7243" ht="25.0" customHeight="true">
      <c r="A7243" t="s" s="2">
        <v>13</v>
      </c>
      <c r="B7243" t="s" s="2">
        <f>HYPERLINK("http://ts.21cn.com/tousu/show/id/1365409","拼多多限制我货款提现")</f>
      </c>
      <c r="C7243" t="s" s="2">
        <v>15</v>
      </c>
      <c r="D7243" t="s" s="2">
        <v>16</v>
      </c>
      <c r="E7243" t="s" s="2">
        <v>17</v>
      </c>
      <c r="F7243" t="s" s="2">
        <f>HYPERLINK("http://ts.21cn.com/tousu/show/id/1365409","http://ts.21cn.com/tousu/show/id/1365409")</f>
      </c>
      <c r="G7243" t="s" s="2">
        <v>17</v>
      </c>
      <c r="H7243" t="s" s="2">
        <v>19</v>
      </c>
      <c r="I7243" t="s" s="2">
        <v>28006</v>
      </c>
      <c r="J7243" t="s" s="2">
        <v>28007</v>
      </c>
      <c r="K7243" t="s" s="2">
        <v>22</v>
      </c>
      <c r="L7243" t="s" s="2">
        <v>22</v>
      </c>
      <c r="M7243" t="s" s="2">
        <v>22</v>
      </c>
    </row>
    <row r="7244" ht="25.0" customHeight="true">
      <c r="A7244" t="s" s="2">
        <v>13</v>
      </c>
      <c r="B7244" t="s" s="2">
        <f>HYPERLINK("http://ts.21cn.com/tousu/show/id/1365408","钱站阴阳合同宰人的高利息服务费")</f>
      </c>
      <c r="C7244" t="s" s="2">
        <v>15</v>
      </c>
      <c r="D7244" t="s" s="2">
        <v>16</v>
      </c>
      <c r="E7244" t="s" s="2">
        <v>17</v>
      </c>
      <c r="F7244" t="s" s="2">
        <f>HYPERLINK("http://ts.21cn.com/tousu/show/id/1365408","http://ts.21cn.com/tousu/show/id/1365408")</f>
      </c>
      <c r="G7244" t="s" s="2">
        <v>17</v>
      </c>
      <c r="H7244" t="s" s="2">
        <v>19</v>
      </c>
      <c r="I7244" t="s" s="2">
        <v>28010</v>
      </c>
      <c r="J7244" t="s" s="2">
        <v>28011</v>
      </c>
      <c r="K7244" t="s" s="2">
        <v>22</v>
      </c>
      <c r="L7244" t="s" s="2">
        <v>22</v>
      </c>
      <c r="M7244" t="s" s="2">
        <v>22</v>
      </c>
    </row>
    <row r="7245" ht="25.0" customHeight="true">
      <c r="A7245" t="s" s="2">
        <v>13</v>
      </c>
      <c r="B7245" t="s" s="2">
        <f>HYPERLINK("http://ts.21cn.com/tousu/show/id/1365407","中兴支付违规提供714平台信用星球支付渠道")</f>
      </c>
      <c r="C7245" t="s" s="2">
        <v>15</v>
      </c>
      <c r="D7245" t="s" s="2">
        <v>16</v>
      </c>
      <c r="E7245" t="s" s="2">
        <v>17</v>
      </c>
      <c r="F7245" t="s" s="2">
        <f>HYPERLINK("http://ts.21cn.com/tousu/show/id/1365407","http://ts.21cn.com/tousu/show/id/1365407")</f>
      </c>
      <c r="G7245" t="s" s="2">
        <v>17</v>
      </c>
      <c r="H7245" t="s" s="2">
        <v>19</v>
      </c>
      <c r="I7245" t="s" s="2">
        <v>28014</v>
      </c>
      <c r="J7245" t="s" s="2">
        <v>28015</v>
      </c>
      <c r="K7245" t="s" s="2">
        <v>22</v>
      </c>
      <c r="L7245" t="s" s="2">
        <v>22</v>
      </c>
      <c r="M7245" t="s" s="2">
        <v>22</v>
      </c>
    </row>
    <row r="7246" ht="25.0" customHeight="true">
      <c r="A7246" t="s" s="2">
        <v>13</v>
      </c>
      <c r="B7246" t="s" s="2">
        <f>HYPERLINK("http://ts.21cn.com/tousu/show/id/1365406","暴力催收，骚扰家人")</f>
      </c>
      <c r="C7246" t="s" s="2">
        <v>15</v>
      </c>
      <c r="D7246" t="s" s="2">
        <v>16</v>
      </c>
      <c r="E7246" t="s" s="2">
        <v>17</v>
      </c>
      <c r="F7246" t="s" s="2">
        <f>HYPERLINK("http://ts.21cn.com/tousu/show/id/1365406","http://ts.21cn.com/tousu/show/id/1365406")</f>
      </c>
      <c r="G7246" t="s" s="2">
        <v>17</v>
      </c>
      <c r="H7246" t="s" s="2">
        <v>19</v>
      </c>
      <c r="I7246" t="s" s="2">
        <v>28017</v>
      </c>
      <c r="J7246" t="s" s="2">
        <v>28018</v>
      </c>
      <c r="K7246" t="s" s="2">
        <v>22</v>
      </c>
      <c r="L7246" t="s" s="2">
        <v>22</v>
      </c>
      <c r="M7246" t="s" s="2">
        <v>22</v>
      </c>
    </row>
    <row r="7247" ht="25.0" customHeight="true">
      <c r="A7247" t="s" s="2">
        <v>13</v>
      </c>
      <c r="B7247" t="s" s="2">
        <f>HYPERLINK("http://ts.21cn.com/tousu/show/id/1365404","360金融恶意催收，爆通讯录")</f>
      </c>
      <c r="C7247" t="s" s="2">
        <v>15</v>
      </c>
      <c r="D7247" t="s" s="2">
        <v>16</v>
      </c>
      <c r="E7247" t="s" s="2">
        <v>17</v>
      </c>
      <c r="F7247" t="s" s="2">
        <f>HYPERLINK("http://ts.21cn.com/tousu/show/id/1365404","http://ts.21cn.com/tousu/show/id/1365404")</f>
      </c>
      <c r="G7247" t="s" s="2">
        <v>17</v>
      </c>
      <c r="H7247" t="s" s="2">
        <v>19</v>
      </c>
      <c r="I7247" t="s" s="2">
        <v>28021</v>
      </c>
      <c r="J7247" t="s" s="2">
        <v>28022</v>
      </c>
      <c r="K7247" t="s" s="2">
        <v>22</v>
      </c>
      <c r="L7247" t="s" s="2">
        <v>22</v>
      </c>
      <c r="M7247" t="s" s="2">
        <v>22</v>
      </c>
    </row>
    <row r="7248" ht="25.0" customHeight="true">
      <c r="A7248" t="s" s="2">
        <v>13</v>
      </c>
      <c r="B7248" t="s" s="2">
        <f>HYPERLINK("http://ts.21cn.com/tousu/show/id/1365405","京东白条外包催收天天电话骚扰，客服也不作为")</f>
      </c>
      <c r="C7248" t="s" s="2">
        <v>15</v>
      </c>
      <c r="D7248" t="s" s="2">
        <v>16</v>
      </c>
      <c r="E7248" t="s" s="2">
        <v>17</v>
      </c>
      <c r="F7248" t="s" s="2">
        <f>HYPERLINK("http://ts.21cn.com/tousu/show/id/1365405","http://ts.21cn.com/tousu/show/id/1365405")</f>
      </c>
      <c r="G7248" t="s" s="2">
        <v>17</v>
      </c>
      <c r="H7248" t="s" s="2">
        <v>19</v>
      </c>
      <c r="I7248" t="s" s="2">
        <v>28025</v>
      </c>
      <c r="J7248" t="s" s="2">
        <v>28026</v>
      </c>
      <c r="K7248" t="s" s="2">
        <v>22</v>
      </c>
      <c r="L7248" t="s" s="2">
        <v>22</v>
      </c>
      <c r="M7248" t="s" s="2">
        <v>22</v>
      </c>
    </row>
    <row r="7249" ht="25.0" customHeight="true">
      <c r="A7249" t="s" s="2">
        <v>13</v>
      </c>
      <c r="B7249" t="s" s="2">
        <f>HYPERLINK("http://ts.21cn.com/tousu/show/id/1365402","绿森商城超时一个月不发货")</f>
      </c>
      <c r="C7249" t="s" s="2">
        <v>15</v>
      </c>
      <c r="D7249" t="s" s="2">
        <v>16</v>
      </c>
      <c r="E7249" t="s" s="2">
        <v>17</v>
      </c>
      <c r="F7249" t="s" s="2">
        <f>HYPERLINK("http://ts.21cn.com/tousu/show/id/1365402","http://ts.21cn.com/tousu/show/id/1365402")</f>
      </c>
      <c r="G7249" t="s" s="2">
        <v>17</v>
      </c>
      <c r="H7249" t="s" s="2">
        <v>19</v>
      </c>
      <c r="I7249" t="s" s="2">
        <v>28029</v>
      </c>
      <c r="J7249" t="s" s="2">
        <v>28030</v>
      </c>
      <c r="K7249" t="s" s="2">
        <v>22</v>
      </c>
      <c r="L7249" t="s" s="2">
        <v>22</v>
      </c>
      <c r="M7249" t="s" s="2">
        <v>22</v>
      </c>
    </row>
    <row r="7250" ht="25.0" customHeight="true">
      <c r="A7250" t="s" s="2">
        <v>13</v>
      </c>
      <c r="B7250" t="s" s="2">
        <f>HYPERLINK("http://ts.21cn.com/tousu/show/id/1365403","及贷年利率超过24％")</f>
      </c>
      <c r="C7250" t="s" s="2">
        <v>52</v>
      </c>
      <c r="D7250" t="s" s="2">
        <v>16</v>
      </c>
      <c r="E7250" t="s" s="2">
        <v>17</v>
      </c>
      <c r="F7250" t="s" s="2">
        <f>HYPERLINK("http://ts.21cn.com/tousu/show/id/1365403","http://ts.21cn.com/tousu/show/id/1365403")</f>
      </c>
      <c r="G7250" t="s" s="2">
        <v>17</v>
      </c>
      <c r="H7250" t="s" s="2">
        <v>19</v>
      </c>
      <c r="I7250" t="s" s="2">
        <v>28033</v>
      </c>
      <c r="J7250" t="s" s="2">
        <v>28034</v>
      </c>
      <c r="K7250" t="s" s="2">
        <v>22</v>
      </c>
      <c r="L7250" t="s" s="2">
        <v>22</v>
      </c>
      <c r="M7250" t="s" s="2">
        <v>22</v>
      </c>
    </row>
    <row r="7251" ht="25.0" customHeight="true">
      <c r="A7251" t="s" s="2">
        <v>13</v>
      </c>
      <c r="B7251" t="s" s="2">
        <f>HYPERLINK("http://ts.21cn.com/tousu/show/id/1365398","京东白条暴力催收")</f>
      </c>
      <c r="C7251" t="s" s="2">
        <v>15</v>
      </c>
      <c r="D7251" t="s" s="2">
        <v>16</v>
      </c>
      <c r="E7251" t="s" s="2">
        <v>17</v>
      </c>
      <c r="F7251" t="s" s="2">
        <f>HYPERLINK("http://ts.21cn.com/tousu/show/id/1365398","http://ts.21cn.com/tousu/show/id/1365398")</f>
      </c>
      <c r="G7251" t="s" s="2">
        <v>17</v>
      </c>
      <c r="H7251" t="s" s="2">
        <v>19</v>
      </c>
      <c r="I7251" t="s" s="2">
        <v>28036</v>
      </c>
      <c r="J7251" t="s" s="2">
        <v>28037</v>
      </c>
      <c r="K7251" t="s" s="2">
        <v>22</v>
      </c>
      <c r="L7251" t="s" s="2">
        <v>22</v>
      </c>
      <c r="M7251" t="s" s="2">
        <v>22</v>
      </c>
    </row>
    <row r="7252" ht="25.0" customHeight="true">
      <c r="A7252" t="s" s="2">
        <v>13</v>
      </c>
      <c r="B7252" t="s" s="2">
        <f>HYPERLINK("http://ts.21cn.com/tousu/show/id/1365397","My钱包暴力催收")</f>
      </c>
      <c r="C7252" t="s" s="2">
        <v>15</v>
      </c>
      <c r="D7252" t="s" s="2">
        <v>16</v>
      </c>
      <c r="E7252" t="s" s="2">
        <v>17</v>
      </c>
      <c r="F7252" t="s" s="2">
        <f>HYPERLINK("http://ts.21cn.com/tousu/show/id/1365397","http://ts.21cn.com/tousu/show/id/1365397")</f>
      </c>
      <c r="G7252" t="s" s="2">
        <v>17</v>
      </c>
      <c r="H7252" t="s" s="2">
        <v>19</v>
      </c>
      <c r="I7252" t="s" s="2">
        <v>28040</v>
      </c>
      <c r="J7252" t="s" s="2">
        <v>28041</v>
      </c>
      <c r="K7252" t="s" s="2">
        <v>22</v>
      </c>
      <c r="L7252" t="s" s="2">
        <v>22</v>
      </c>
      <c r="M7252" t="s" s="2">
        <v>22</v>
      </c>
    </row>
    <row r="7253" ht="25.0" customHeight="true">
      <c r="A7253" t="s" s="2">
        <v>13</v>
      </c>
      <c r="B7253" t="s" s="2">
        <f>HYPERLINK("http://ts.21cn.com/tousu/show/id/1365401","有额度不给放款")</f>
      </c>
      <c r="C7253" t="s" s="2">
        <v>52</v>
      </c>
      <c r="D7253" t="s" s="2">
        <v>16</v>
      </c>
      <c r="E7253" t="s" s="2">
        <v>17</v>
      </c>
      <c r="F7253" t="s" s="2">
        <f>HYPERLINK("http://ts.21cn.com/tousu/show/id/1365401","http://ts.21cn.com/tousu/show/id/1365401")</f>
      </c>
      <c r="G7253" t="s" s="2">
        <v>17</v>
      </c>
      <c r="H7253" t="s" s="2">
        <v>19</v>
      </c>
      <c r="I7253" t="s" s="2">
        <v>28044</v>
      </c>
      <c r="J7253" t="s" s="2">
        <v>28045</v>
      </c>
      <c r="K7253" t="s" s="2">
        <v>22</v>
      </c>
      <c r="L7253" t="s" s="2">
        <v>22</v>
      </c>
      <c r="M7253" t="s" s="2">
        <v>22</v>
      </c>
    </row>
    <row r="7254" ht="25.0" customHeight="true">
      <c r="A7254" t="s" s="2">
        <v>13</v>
      </c>
      <c r="B7254" t="s" s="2">
        <f>HYPERLINK("http://ts.21cn.com/tousu/show/id/1365400","分期乐暴力催收、违规读取通讯录")</f>
      </c>
      <c r="C7254" t="s" s="2">
        <v>15</v>
      </c>
      <c r="D7254" t="s" s="2">
        <v>16</v>
      </c>
      <c r="E7254" t="s" s="2">
        <v>17</v>
      </c>
      <c r="F7254" t="s" s="2">
        <f>HYPERLINK("http://ts.21cn.com/tousu/show/id/1365400","http://ts.21cn.com/tousu/show/id/1365400")</f>
      </c>
      <c r="G7254" t="s" s="2">
        <v>17</v>
      </c>
      <c r="H7254" t="s" s="2">
        <v>19</v>
      </c>
      <c r="I7254" t="s" s="2">
        <v>28048</v>
      </c>
      <c r="J7254" t="s" s="2">
        <v>28049</v>
      </c>
      <c r="K7254" t="s" s="2">
        <v>22</v>
      </c>
      <c r="L7254" t="s" s="2">
        <v>22</v>
      </c>
      <c r="M7254" t="s" s="2">
        <v>22</v>
      </c>
    </row>
    <row r="7255" ht="25.0" customHeight="true">
      <c r="A7255" t="s" s="2">
        <v>13</v>
      </c>
      <c r="B7255" t="s" s="2">
        <f>HYPERLINK("http://ts.21cn.com/tousu/show/id/1365399","玖富万卡高利贷暴力催收")</f>
      </c>
      <c r="C7255" t="s" s="2">
        <v>15</v>
      </c>
      <c r="D7255" t="s" s="2">
        <v>16</v>
      </c>
      <c r="E7255" t="s" s="2">
        <v>17</v>
      </c>
      <c r="F7255" t="s" s="2">
        <f>HYPERLINK("http://ts.21cn.com/tousu/show/id/1365399","http://ts.21cn.com/tousu/show/id/1365399")</f>
      </c>
      <c r="G7255" t="s" s="2">
        <v>17</v>
      </c>
      <c r="H7255" t="s" s="2">
        <v>19</v>
      </c>
      <c r="I7255" t="s" s="2">
        <v>28052</v>
      </c>
      <c r="J7255" t="s" s="2">
        <v>28053</v>
      </c>
      <c r="K7255" t="s" s="2">
        <v>22</v>
      </c>
      <c r="L7255" t="s" s="2">
        <v>22</v>
      </c>
      <c r="M7255" t="s" s="2">
        <v>22</v>
      </c>
    </row>
    <row r="7256" ht="25.0" customHeight="true">
      <c r="A7256" t="s" s="2">
        <v>13</v>
      </c>
      <c r="B7256" t="s" s="2">
        <f>HYPERLINK("http://ts.21cn.com/tousu/show/id/1365395","与实物不符")</f>
      </c>
      <c r="C7256" t="s" s="2">
        <v>15</v>
      </c>
      <c r="D7256" t="s" s="2">
        <v>16</v>
      </c>
      <c r="E7256" t="s" s="2">
        <v>17</v>
      </c>
      <c r="F7256" t="s" s="2">
        <f>HYPERLINK("http://ts.21cn.com/tousu/show/id/1365395","http://ts.21cn.com/tousu/show/id/1365395")</f>
      </c>
      <c r="G7256" t="s" s="2">
        <v>17</v>
      </c>
      <c r="H7256" t="s" s="2">
        <v>19</v>
      </c>
      <c r="I7256" t="s" s="2">
        <v>28056</v>
      </c>
      <c r="J7256" t="s" s="2">
        <v>28057</v>
      </c>
      <c r="K7256" t="s" s="2">
        <v>22</v>
      </c>
      <c r="L7256" t="s" s="2">
        <v>22</v>
      </c>
      <c r="M7256" t="s" s="2">
        <v>22</v>
      </c>
    </row>
    <row r="7257" ht="25.0" customHeight="true">
      <c r="A7257" t="s" s="2">
        <v>13</v>
      </c>
      <c r="B7257" t="s" s="2">
        <f>HYPERLINK("http://ts.21cn.com/tousu/show/id/1365396","QQ音乐自动续费，无法取消，微信扣款未经过当事人授权")</f>
      </c>
      <c r="C7257" t="s" s="2">
        <v>15</v>
      </c>
      <c r="D7257" t="s" s="2">
        <v>16</v>
      </c>
      <c r="E7257" t="s" s="2">
        <v>17</v>
      </c>
      <c r="F7257" t="s" s="2">
        <f>HYPERLINK("http://ts.21cn.com/tousu/show/id/1365396","http://ts.21cn.com/tousu/show/id/1365396")</f>
      </c>
      <c r="G7257" t="s" s="2">
        <v>17</v>
      </c>
      <c r="H7257" t="s" s="2">
        <v>19</v>
      </c>
      <c r="I7257" t="s" s="2">
        <v>28060</v>
      </c>
      <c r="J7257" t="s" s="2">
        <v>28061</v>
      </c>
      <c r="K7257" t="s" s="2">
        <v>22</v>
      </c>
      <c r="L7257" t="s" s="2">
        <v>22</v>
      </c>
      <c r="M7257" t="s" s="2">
        <v>22</v>
      </c>
    </row>
    <row r="7258" ht="25.0" customHeight="true">
      <c r="A7258" t="s" s="2">
        <v>13</v>
      </c>
      <c r="B7258" t="s" s="2">
        <f>HYPERLINK("http://ts.21cn.com/tousu/show/id/1365393","高利贷砍头息")</f>
      </c>
      <c r="C7258" t="s" s="2">
        <v>15</v>
      </c>
      <c r="D7258" t="s" s="2">
        <v>16</v>
      </c>
      <c r="E7258" t="s" s="2">
        <v>17</v>
      </c>
      <c r="F7258" t="s" s="2">
        <f>HYPERLINK("http://ts.21cn.com/tousu/show/id/1365393","http://ts.21cn.com/tousu/show/id/1365393")</f>
      </c>
      <c r="G7258" t="s" s="2">
        <v>17</v>
      </c>
      <c r="H7258" t="s" s="2">
        <v>19</v>
      </c>
      <c r="I7258" t="s" s="2">
        <v>28063</v>
      </c>
      <c r="J7258" t="s" s="2">
        <v>28064</v>
      </c>
      <c r="K7258" t="s" s="2">
        <v>22</v>
      </c>
      <c r="L7258" t="s" s="2">
        <v>22</v>
      </c>
      <c r="M7258" t="s" s="2">
        <v>22</v>
      </c>
    </row>
    <row r="7259" ht="25.0" customHeight="true">
      <c r="A7259" t="s" s="2">
        <v>13</v>
      </c>
      <c r="B7259" t="s" s="2">
        <f>HYPERLINK("http://ts.21cn.com/tousu/show/id/1365392","我来数科侵犯个人隐私")</f>
      </c>
      <c r="C7259" t="s" s="2">
        <v>15</v>
      </c>
      <c r="D7259" t="s" s="2">
        <v>16</v>
      </c>
      <c r="E7259" t="s" s="2">
        <v>17</v>
      </c>
      <c r="F7259" t="s" s="2">
        <f>HYPERLINK("http://ts.21cn.com/tousu/show/id/1365392","http://ts.21cn.com/tousu/show/id/1365392")</f>
      </c>
      <c r="G7259" t="s" s="2">
        <v>17</v>
      </c>
      <c r="H7259" t="s" s="2">
        <v>19</v>
      </c>
      <c r="I7259" t="s" s="2">
        <v>28067</v>
      </c>
      <c r="J7259" t="s" s="2">
        <v>28068</v>
      </c>
      <c r="K7259" t="s" s="2">
        <v>22</v>
      </c>
      <c r="L7259" t="s" s="2">
        <v>22</v>
      </c>
      <c r="M7259" t="s" s="2">
        <v>22</v>
      </c>
    </row>
    <row r="7260" ht="25.0" customHeight="true">
      <c r="A7260" t="s" s="2">
        <v>13</v>
      </c>
      <c r="B7260" t="s" s="2">
        <f>HYPERLINK("http://ts.21cn.com/tousu/show/id/1365391","乐意花暴力催收")</f>
      </c>
      <c r="C7260" t="s" s="2">
        <v>15</v>
      </c>
      <c r="D7260" t="s" s="2">
        <v>16</v>
      </c>
      <c r="E7260" t="s" s="2">
        <v>17</v>
      </c>
      <c r="F7260" t="s" s="2">
        <f>HYPERLINK("http://ts.21cn.com/tousu/show/id/1365391","http://ts.21cn.com/tousu/show/id/1365391")</f>
      </c>
      <c r="G7260" t="s" s="2">
        <v>17</v>
      </c>
      <c r="H7260" t="s" s="2">
        <v>19</v>
      </c>
      <c r="I7260" t="s" s="2">
        <v>28071</v>
      </c>
      <c r="J7260" t="s" s="2">
        <v>28072</v>
      </c>
      <c r="K7260" t="s" s="2">
        <v>22</v>
      </c>
      <c r="L7260" t="s" s="2">
        <v>22</v>
      </c>
      <c r="M7260" t="s" s="2">
        <v>22</v>
      </c>
    </row>
    <row r="7261" ht="25.0" customHeight="true">
      <c r="A7261" t="s" s="2">
        <v>13</v>
      </c>
      <c r="B7261" t="s" s="2">
        <f>HYPERLINK("http://ts.21cn.com/tousu/show/id/1365389","招联金融暴力催收")</f>
      </c>
      <c r="C7261" t="s" s="2">
        <v>15</v>
      </c>
      <c r="D7261" t="s" s="2">
        <v>16</v>
      </c>
      <c r="E7261" t="s" s="2">
        <v>17</v>
      </c>
      <c r="F7261" t="s" s="2">
        <f>HYPERLINK("http://ts.21cn.com/tousu/show/id/1365389","http://ts.21cn.com/tousu/show/id/1365389")</f>
      </c>
      <c r="G7261" t="s" s="2">
        <v>17</v>
      </c>
      <c r="H7261" t="s" s="2">
        <v>19</v>
      </c>
      <c r="I7261" t="s" s="2">
        <v>28074</v>
      </c>
      <c r="J7261" t="s" s="2">
        <v>28075</v>
      </c>
      <c r="K7261" t="s" s="2">
        <v>22</v>
      </c>
      <c r="L7261" t="s" s="2">
        <v>22</v>
      </c>
      <c r="M7261" t="s" s="2">
        <v>22</v>
      </c>
    </row>
    <row r="7262" ht="25.0" customHeight="true">
      <c r="A7262" t="s" s="2">
        <v>13</v>
      </c>
      <c r="B7262" t="s" s="2">
        <f>HYPERLINK("http://ts.21cn.com/tousu/show/id/1365291","暴力催收骚扰家人")</f>
      </c>
      <c r="C7262" t="s" s="2">
        <v>15</v>
      </c>
      <c r="D7262" t="s" s="2">
        <v>16</v>
      </c>
      <c r="E7262" t="s" s="2">
        <v>17</v>
      </c>
      <c r="F7262" t="s" s="2">
        <f>HYPERLINK("http://ts.21cn.com/tousu/show/id/1365291","http://ts.21cn.com/tousu/show/id/1365291")</f>
      </c>
      <c r="G7262" t="s" s="2">
        <v>17</v>
      </c>
      <c r="H7262" t="s" s="2">
        <v>19</v>
      </c>
      <c r="I7262" t="s" s="2">
        <v>28078</v>
      </c>
      <c r="J7262" t="s" s="2">
        <v>28079</v>
      </c>
      <c r="K7262" t="s" s="2">
        <v>22</v>
      </c>
      <c r="L7262" t="s" s="2">
        <v>22</v>
      </c>
      <c r="M7262" t="s" s="2">
        <v>22</v>
      </c>
    </row>
    <row r="7263" ht="25.0" customHeight="true">
      <c r="A7263" t="s" s="2">
        <v>13</v>
      </c>
      <c r="B7263" t="s" s="2">
        <f>HYPERLINK("http://ts.21cn.com/tousu/show/id/1365388","催收暴力催收，反馈至客服无反馈")</f>
      </c>
      <c r="C7263" t="s" s="2">
        <v>15</v>
      </c>
      <c r="D7263" t="s" s="2">
        <v>16</v>
      </c>
      <c r="E7263" t="s" s="2">
        <v>17</v>
      </c>
      <c r="F7263" t="s" s="2">
        <f>HYPERLINK("http://ts.21cn.com/tousu/show/id/1365388","http://ts.21cn.com/tousu/show/id/1365388")</f>
      </c>
      <c r="G7263" t="s" s="2">
        <v>17</v>
      </c>
      <c r="H7263" t="s" s="2">
        <v>19</v>
      </c>
      <c r="I7263" t="s" s="2">
        <v>28082</v>
      </c>
      <c r="J7263" t="s" s="2">
        <v>28083</v>
      </c>
      <c r="K7263" t="s" s="2">
        <v>22</v>
      </c>
      <c r="L7263" t="s" s="2">
        <v>22</v>
      </c>
      <c r="M7263" t="s" s="2">
        <v>22</v>
      </c>
    </row>
    <row r="7264" ht="25.0" customHeight="true">
      <c r="A7264" t="s" s="2">
        <v>13</v>
      </c>
      <c r="B7264" t="s" s="2">
        <f>HYPERLINK("http://ts.21cn.com/tousu/show/id/1365386","莫名其妙被小通商城扣款")</f>
      </c>
      <c r="C7264" t="s" s="2">
        <v>52</v>
      </c>
      <c r="D7264" t="s" s="2">
        <v>16</v>
      </c>
      <c r="E7264" t="s" s="2">
        <v>17</v>
      </c>
      <c r="F7264" t="s" s="2">
        <f>HYPERLINK("http://ts.21cn.com/tousu/show/id/1365386","http://ts.21cn.com/tousu/show/id/1365386")</f>
      </c>
      <c r="G7264" t="s" s="2">
        <v>17</v>
      </c>
      <c r="H7264" t="s" s="2">
        <v>19</v>
      </c>
      <c r="I7264" t="s" s="2">
        <v>28086</v>
      </c>
      <c r="J7264" t="s" s="2">
        <v>28087</v>
      </c>
      <c r="K7264" t="s" s="2">
        <v>22</v>
      </c>
      <c r="L7264" t="s" s="2">
        <v>22</v>
      </c>
      <c r="M7264" t="s" s="2">
        <v>22</v>
      </c>
    </row>
    <row r="7265" ht="25.0" customHeight="true">
      <c r="A7265" t="s" s="2">
        <v>13</v>
      </c>
      <c r="B7265" t="s" s="2">
        <f>HYPERLINK("http://ts.21cn.com/tousu/show/id/1365387","拍拍贷恶意骚扰通讯录联系人！")</f>
      </c>
      <c r="C7265" t="s" s="2">
        <v>15</v>
      </c>
      <c r="D7265" t="s" s="2">
        <v>16</v>
      </c>
      <c r="E7265" t="s" s="2">
        <v>17</v>
      </c>
      <c r="F7265" t="s" s="2">
        <f>HYPERLINK("http://ts.21cn.com/tousu/show/id/1365387","http://ts.21cn.com/tousu/show/id/1365387")</f>
      </c>
      <c r="G7265" t="s" s="2">
        <v>17</v>
      </c>
      <c r="H7265" t="s" s="2">
        <v>19</v>
      </c>
      <c r="I7265" t="s" s="2">
        <v>28090</v>
      </c>
      <c r="J7265" t="s" s="2">
        <v>28091</v>
      </c>
      <c r="K7265" t="s" s="2">
        <v>22</v>
      </c>
      <c r="L7265" t="s" s="2">
        <v>22</v>
      </c>
      <c r="M7265" t="s" s="2">
        <v>22</v>
      </c>
    </row>
    <row r="7266" ht="25.0" customHeight="true">
      <c r="A7266" t="s" s="2">
        <v>13</v>
      </c>
      <c r="B7266" t="s" s="2">
        <f>HYPERLINK("http://ts.21cn.com/tousu/show/id/1365385","招联金融伪造律师函恶意暴力催收")</f>
      </c>
      <c r="C7266" t="s" s="2">
        <v>15</v>
      </c>
      <c r="D7266" t="s" s="2">
        <v>16</v>
      </c>
      <c r="E7266" t="s" s="2">
        <v>17</v>
      </c>
      <c r="F7266" t="s" s="2">
        <f>HYPERLINK("http://ts.21cn.com/tousu/show/id/1365385","http://ts.21cn.com/tousu/show/id/1365385")</f>
      </c>
      <c r="G7266" t="s" s="2">
        <v>17</v>
      </c>
      <c r="H7266" t="s" s="2">
        <v>19</v>
      </c>
      <c r="I7266" t="s" s="2">
        <v>28094</v>
      </c>
      <c r="J7266" t="s" s="2">
        <v>28095</v>
      </c>
      <c r="K7266" t="s" s="2">
        <v>22</v>
      </c>
      <c r="L7266" t="s" s="2">
        <v>22</v>
      </c>
      <c r="M7266" t="s" s="2">
        <v>22</v>
      </c>
    </row>
    <row r="7267" ht="25.0" customHeight="true">
      <c r="A7267" t="s" s="2">
        <v>13</v>
      </c>
      <c r="B7267" t="s" s="2">
        <f>HYPERLINK("http://ts.21cn.com/tousu/show/id/1365384","先花一亿元不给解决问题")</f>
      </c>
      <c r="C7267" t="s" s="2">
        <v>15</v>
      </c>
      <c r="D7267" t="s" s="2">
        <v>16</v>
      </c>
      <c r="E7267" t="s" s="2">
        <v>17</v>
      </c>
      <c r="F7267" t="s" s="2">
        <f>HYPERLINK("http://ts.21cn.com/tousu/show/id/1365384","http://ts.21cn.com/tousu/show/id/1365384")</f>
      </c>
      <c r="G7267" t="s" s="2">
        <v>17</v>
      </c>
      <c r="H7267" t="s" s="2">
        <v>19</v>
      </c>
      <c r="I7267" t="s" s="2">
        <v>28098</v>
      </c>
      <c r="J7267" t="s" s="2">
        <v>28099</v>
      </c>
      <c r="K7267" t="s" s="2">
        <v>22</v>
      </c>
      <c r="L7267" t="s" s="2">
        <v>22</v>
      </c>
      <c r="M7267" t="s" s="2">
        <v>22</v>
      </c>
    </row>
    <row r="7268" ht="25.0" customHeight="true">
      <c r="A7268" t="s" s="2">
        <v>13</v>
      </c>
      <c r="B7268" t="s" s="2">
        <f>HYPERLINK("http://ts.21cn.com/tousu/show/id/1365383","个人手机号码长期被百度、360搜狗引擎标记为浙江亿众阀门有限公司，并且已经多次申请依然没有效果。自身隐私严重受到影响")</f>
      </c>
      <c r="C7268" t="s" s="2">
        <v>52</v>
      </c>
      <c r="D7268" t="s" s="2">
        <v>16</v>
      </c>
      <c r="E7268" t="s" s="2">
        <v>17</v>
      </c>
      <c r="F7268" t="s" s="2">
        <f>HYPERLINK("http://ts.21cn.com/tousu/show/id/1365383","http://ts.21cn.com/tousu/show/id/1365383")</f>
      </c>
      <c r="G7268" t="s" s="2">
        <v>17</v>
      </c>
      <c r="H7268" t="s" s="2">
        <v>19</v>
      </c>
      <c r="I7268" t="s" s="2">
        <v>28102</v>
      </c>
      <c r="J7268" t="s" s="2">
        <v>28103</v>
      </c>
      <c r="K7268" t="s" s="2">
        <v>22</v>
      </c>
      <c r="L7268" t="s" s="2">
        <v>22</v>
      </c>
      <c r="M7268" t="s" s="2">
        <v>22</v>
      </c>
    </row>
    <row r="7269" ht="25.0" customHeight="true">
      <c r="A7269" t="s" s="2">
        <v>13</v>
      </c>
      <c r="B7269" t="s" s="2">
        <f>HYPERLINK("http://ts.21cn.com/tousu/show/id/1365381","投诉拍拍贷不解决问题")</f>
      </c>
      <c r="C7269" t="s" s="2">
        <v>15</v>
      </c>
      <c r="D7269" t="s" s="2">
        <v>16</v>
      </c>
      <c r="E7269" t="s" s="2">
        <v>17</v>
      </c>
      <c r="F7269" t="s" s="2">
        <f>HYPERLINK("http://ts.21cn.com/tousu/show/id/1365381","http://ts.21cn.com/tousu/show/id/1365381")</f>
      </c>
      <c r="G7269" t="s" s="2">
        <v>17</v>
      </c>
      <c r="H7269" t="s" s="2">
        <v>19</v>
      </c>
      <c r="I7269" t="s" s="2">
        <v>28106</v>
      </c>
      <c r="J7269" t="s" s="2">
        <v>28107</v>
      </c>
      <c r="K7269" t="s" s="2">
        <v>22</v>
      </c>
      <c r="L7269" t="s" s="2">
        <v>22</v>
      </c>
      <c r="M7269" t="s" s="2">
        <v>22</v>
      </c>
    </row>
    <row r="7270" ht="25.0" customHeight="true">
      <c r="A7270" t="s" s="2">
        <v>13</v>
      </c>
      <c r="B7270" t="s" s="2">
        <f>HYPERLINK("http://ts.21cn.com/tousu/show/id/1365382","高利贷要求赔偿")</f>
      </c>
      <c r="C7270" t="s" s="2">
        <v>15</v>
      </c>
      <c r="D7270" t="s" s="2">
        <v>16</v>
      </c>
      <c r="E7270" t="s" s="2">
        <v>17</v>
      </c>
      <c r="F7270" t="s" s="2">
        <f>HYPERLINK("http://ts.21cn.com/tousu/show/id/1365382","http://ts.21cn.com/tousu/show/id/1365382")</f>
      </c>
      <c r="G7270" t="s" s="2">
        <v>17</v>
      </c>
      <c r="H7270" t="s" s="2">
        <v>19</v>
      </c>
      <c r="I7270" t="s" s="2">
        <v>28110</v>
      </c>
      <c r="J7270" t="s" s="2">
        <v>28111</v>
      </c>
      <c r="K7270" t="s" s="2">
        <v>22</v>
      </c>
      <c r="L7270" t="s" s="2">
        <v>22</v>
      </c>
      <c r="M7270" t="s" s="2">
        <v>22</v>
      </c>
    </row>
    <row r="7271" ht="25.0" customHeight="true">
      <c r="A7271" t="s" s="2">
        <v>13</v>
      </c>
      <c r="B7271" t="s" s="2">
        <f>HYPERLINK("http://ts.21cn.com/tousu/show/id/1365380","金鸡下蛋（现改名金贝备）严重违法还款日当天就暴力催收")</f>
      </c>
      <c r="C7271" t="s" s="2">
        <v>15</v>
      </c>
      <c r="D7271" t="s" s="2">
        <v>16</v>
      </c>
      <c r="E7271" t="s" s="2">
        <v>17</v>
      </c>
      <c r="F7271" t="s" s="2">
        <f>HYPERLINK("http://ts.21cn.com/tousu/show/id/1365380","http://ts.21cn.com/tousu/show/id/1365380")</f>
      </c>
      <c r="G7271" t="s" s="2">
        <v>17</v>
      </c>
      <c r="H7271" t="s" s="2">
        <v>19</v>
      </c>
      <c r="I7271" t="s" s="2">
        <v>28114</v>
      </c>
      <c r="J7271" t="s" s="2">
        <v>28115</v>
      </c>
      <c r="K7271" t="s" s="2">
        <v>22</v>
      </c>
      <c r="L7271" t="s" s="2">
        <v>22</v>
      </c>
      <c r="M7271" t="s" s="2">
        <v>22</v>
      </c>
    </row>
    <row r="7272" ht="25.0" customHeight="true">
      <c r="A7272" t="s" s="2">
        <v>13</v>
      </c>
      <c r="B7272" t="s" s="2">
        <f>HYPERLINK("http://ts.21cn.com/tousu/show/id/1365378","卡牛瑞贷砍头息，高利贷")</f>
      </c>
      <c r="C7272" t="s" s="2">
        <v>15</v>
      </c>
      <c r="D7272" t="s" s="2">
        <v>16</v>
      </c>
      <c r="E7272" t="s" s="2">
        <v>17</v>
      </c>
      <c r="F7272" t="s" s="2">
        <f>HYPERLINK("http://ts.21cn.com/tousu/show/id/1365378","http://ts.21cn.com/tousu/show/id/1365378")</f>
      </c>
      <c r="G7272" t="s" s="2">
        <v>17</v>
      </c>
      <c r="H7272" t="s" s="2">
        <v>19</v>
      </c>
      <c r="I7272" t="s" s="2">
        <v>28118</v>
      </c>
      <c r="J7272" t="s" s="2">
        <v>28119</v>
      </c>
      <c r="K7272" t="s" s="2">
        <v>22</v>
      </c>
      <c r="L7272" t="s" s="2">
        <v>22</v>
      </c>
      <c r="M7272" t="s" s="2">
        <v>22</v>
      </c>
    </row>
    <row r="7273" ht="25.0" customHeight="true">
      <c r="A7273" t="s" s="2">
        <v>13</v>
      </c>
      <c r="B7273" t="s" s="2">
        <f>HYPERLINK("http://ts.21cn.com/tousu/show/id/1365377","小赢钱包摇钱花高利贷暴力催收")</f>
      </c>
      <c r="C7273" t="s" s="2">
        <v>15</v>
      </c>
      <c r="D7273" t="s" s="2">
        <v>16</v>
      </c>
      <c r="E7273" t="s" s="2">
        <v>17</v>
      </c>
      <c r="F7273" t="s" s="2">
        <f>HYPERLINK("http://ts.21cn.com/tousu/show/id/1365377","http://ts.21cn.com/tousu/show/id/1365377")</f>
      </c>
      <c r="G7273" t="s" s="2">
        <v>17</v>
      </c>
      <c r="H7273" t="s" s="2">
        <v>19</v>
      </c>
      <c r="I7273" t="s" s="2">
        <v>28122</v>
      </c>
      <c r="J7273" t="s" s="2">
        <v>28123</v>
      </c>
      <c r="K7273" t="s" s="2">
        <v>22</v>
      </c>
      <c r="L7273" t="s" s="2">
        <v>22</v>
      </c>
      <c r="M7273" t="s" s="2">
        <v>22</v>
      </c>
    </row>
    <row r="7274" ht="25.0" customHeight="true">
      <c r="A7274" t="s" s="2">
        <v>13</v>
      </c>
      <c r="B7274" t="s" s="2">
        <f>HYPERLINK("http://ts.21cn.com/tousu/show/id/1365375","理发店办储值卡后店迁址郊区，拒不退款")</f>
      </c>
      <c r="C7274" t="s" s="2">
        <v>15</v>
      </c>
      <c r="D7274" t="s" s="2">
        <v>16</v>
      </c>
      <c r="E7274" t="s" s="2">
        <v>17</v>
      </c>
      <c r="F7274" t="s" s="2">
        <f>HYPERLINK("http://ts.21cn.com/tousu/show/id/1365375","http://ts.21cn.com/tousu/show/id/1365375")</f>
      </c>
      <c r="G7274" t="s" s="2">
        <v>17</v>
      </c>
      <c r="H7274" t="s" s="2">
        <v>19</v>
      </c>
      <c r="I7274" t="s" s="2">
        <v>28126</v>
      </c>
      <c r="J7274" t="s" s="2">
        <v>28127</v>
      </c>
      <c r="K7274" t="s" s="2">
        <v>22</v>
      </c>
      <c r="L7274" t="s" s="2">
        <v>22</v>
      </c>
      <c r="M7274" t="s" s="2">
        <v>22</v>
      </c>
    </row>
    <row r="7275" ht="25.0" customHeight="true">
      <c r="A7275" t="s" s="2">
        <v>13</v>
      </c>
      <c r="B7275" t="s" s="2">
        <f>HYPERLINK("http://ts.21cn.com/tousu/show/id/1365376","你我贷高利贷暴力催收")</f>
      </c>
      <c r="C7275" t="s" s="2">
        <v>15</v>
      </c>
      <c r="D7275" t="s" s="2">
        <v>16</v>
      </c>
      <c r="E7275" t="s" s="2">
        <v>17</v>
      </c>
      <c r="F7275" t="s" s="2">
        <f>HYPERLINK("http://ts.21cn.com/tousu/show/id/1365376","http://ts.21cn.com/tousu/show/id/1365376")</f>
      </c>
      <c r="G7275" t="s" s="2">
        <v>17</v>
      </c>
      <c r="H7275" t="s" s="2">
        <v>19</v>
      </c>
      <c r="I7275" t="s" s="2">
        <v>28126</v>
      </c>
      <c r="J7275" t="s" s="2">
        <v>28129</v>
      </c>
      <c r="K7275" t="s" s="2">
        <v>22</v>
      </c>
      <c r="L7275" t="s" s="2">
        <v>22</v>
      </c>
      <c r="M7275" t="s" s="2">
        <v>22</v>
      </c>
    </row>
    <row r="7276" ht="25.0" customHeight="true">
      <c r="A7276" t="s" s="2">
        <v>13</v>
      </c>
      <c r="B7276" t="s" s="2">
        <f>HYPERLINK("http://ts.21cn.com/tousu/show/id/1365374","钱橙无忧随意扣费")</f>
      </c>
      <c r="C7276" t="s" s="2">
        <v>15</v>
      </c>
      <c r="D7276" t="s" s="2">
        <v>16</v>
      </c>
      <c r="E7276" t="s" s="2">
        <v>17</v>
      </c>
      <c r="F7276" t="s" s="2">
        <f>HYPERLINK("http://ts.21cn.com/tousu/show/id/1365374","http://ts.21cn.com/tousu/show/id/1365374")</f>
      </c>
      <c r="G7276" t="s" s="2">
        <v>17</v>
      </c>
      <c r="H7276" t="s" s="2">
        <v>19</v>
      </c>
      <c r="I7276" t="s" s="2">
        <v>28131</v>
      </c>
      <c r="J7276" t="s" s="2">
        <v>28132</v>
      </c>
      <c r="K7276" t="s" s="2">
        <v>22</v>
      </c>
      <c r="L7276" t="s" s="2">
        <v>22</v>
      </c>
      <c r="M7276" t="s" s="2">
        <v>22</v>
      </c>
    </row>
    <row r="7277" ht="25.0" customHeight="true">
      <c r="A7277" t="s" s="2">
        <v>13</v>
      </c>
      <c r="B7277" t="s" s="2">
        <f>HYPERLINK("http://ts.21cn.com/tousu/show/id/1365163","暴力催收，态度恶劣")</f>
      </c>
      <c r="C7277" t="s" s="2">
        <v>15</v>
      </c>
      <c r="D7277" t="s" s="2">
        <v>16</v>
      </c>
      <c r="E7277" t="s" s="2">
        <v>17</v>
      </c>
      <c r="F7277" t="s" s="2">
        <f>HYPERLINK("http://ts.21cn.com/tousu/show/id/1365163","http://ts.21cn.com/tousu/show/id/1365163")</f>
      </c>
      <c r="G7277" t="s" s="2">
        <v>17</v>
      </c>
      <c r="H7277" t="s" s="2">
        <v>19</v>
      </c>
      <c r="I7277" t="s" s="2">
        <v>28134</v>
      </c>
      <c r="J7277" t="s" s="2">
        <v>28135</v>
      </c>
      <c r="K7277" t="s" s="2">
        <v>22</v>
      </c>
      <c r="L7277" t="s" s="2">
        <v>22</v>
      </c>
      <c r="M7277" t="s" s="2">
        <v>22</v>
      </c>
    </row>
    <row r="7278" ht="25.0" customHeight="true">
      <c r="A7278" t="s" s="2">
        <v>13</v>
      </c>
      <c r="B7278" t="s" s="2">
        <f>HYPERLINK("http://ts.21cn.com/tousu/show/id/1365372","催收进行语言辱骂，短信轰炸")</f>
      </c>
      <c r="C7278" t="s" s="2">
        <v>15</v>
      </c>
      <c r="D7278" t="s" s="2">
        <v>16</v>
      </c>
      <c r="E7278" t="s" s="2">
        <v>17</v>
      </c>
      <c r="F7278" t="s" s="2">
        <f>HYPERLINK("http://ts.21cn.com/tousu/show/id/1365372","http://ts.21cn.com/tousu/show/id/1365372")</f>
      </c>
      <c r="G7278" t="s" s="2">
        <v>17</v>
      </c>
      <c r="H7278" t="s" s="2">
        <v>19</v>
      </c>
      <c r="I7278" t="s" s="2">
        <v>28138</v>
      </c>
      <c r="J7278" t="s" s="2">
        <v>28139</v>
      </c>
      <c r="K7278" t="s" s="2">
        <v>22</v>
      </c>
      <c r="L7278" t="s" s="2">
        <v>22</v>
      </c>
      <c r="M7278" t="s" s="2">
        <v>22</v>
      </c>
    </row>
    <row r="7279" ht="25.0" customHeight="true">
      <c r="A7279" t="s" s="2">
        <v>13</v>
      </c>
      <c r="B7279" t="s" s="2">
        <f>HYPERLINK("http://ts.21cn.com/tousu/show/id/1365371","平安银行信用卡催收态度恶劣")</f>
      </c>
      <c r="C7279" t="s" s="2">
        <v>15</v>
      </c>
      <c r="D7279" t="s" s="2">
        <v>16</v>
      </c>
      <c r="E7279" t="s" s="2">
        <v>17</v>
      </c>
      <c r="F7279" t="s" s="2">
        <f>HYPERLINK("http://ts.21cn.com/tousu/show/id/1365371","http://ts.21cn.com/tousu/show/id/1365371")</f>
      </c>
      <c r="G7279" t="s" s="2">
        <v>17</v>
      </c>
      <c r="H7279" t="s" s="2">
        <v>19</v>
      </c>
      <c r="I7279" t="s" s="2">
        <v>28141</v>
      </c>
      <c r="J7279" t="s" s="2">
        <v>28142</v>
      </c>
      <c r="K7279" t="s" s="2">
        <v>22</v>
      </c>
      <c r="L7279" t="s" s="2">
        <v>22</v>
      </c>
      <c r="M7279" t="s" s="2">
        <v>22</v>
      </c>
    </row>
    <row r="7280" ht="25.0" customHeight="true">
      <c r="A7280" t="s" s="2">
        <v>13</v>
      </c>
      <c r="B7280" t="s" s="2">
        <f>HYPERLINK("http://ts.21cn.com/tousu/show/id/1365370","砍头息")</f>
      </c>
      <c r="C7280" t="s" s="2">
        <v>15</v>
      </c>
      <c r="D7280" t="s" s="2">
        <v>16</v>
      </c>
      <c r="E7280" t="s" s="2">
        <v>17</v>
      </c>
      <c r="F7280" t="s" s="2">
        <f>HYPERLINK("http://ts.21cn.com/tousu/show/id/1365370","http://ts.21cn.com/tousu/show/id/1365370")</f>
      </c>
      <c r="G7280" t="s" s="2">
        <v>17</v>
      </c>
      <c r="H7280" t="s" s="2">
        <v>19</v>
      </c>
      <c r="I7280" t="s" s="2">
        <v>28144</v>
      </c>
      <c r="J7280" t="s" s="2">
        <v>28145</v>
      </c>
      <c r="K7280" t="s" s="2">
        <v>22</v>
      </c>
      <c r="L7280" t="s" s="2">
        <v>22</v>
      </c>
      <c r="M7280" t="s" s="2">
        <v>22</v>
      </c>
    </row>
    <row r="7281" ht="25.0" customHeight="true">
      <c r="A7281" t="s" s="2">
        <v>13</v>
      </c>
      <c r="B7281" t="s" s="2">
        <f>HYPERLINK("http://ts.21cn.com/tousu/show/id/1365369","好分期收取5400借4个月要还7215元，乱收砍头息，诉求：调整利率，提前结清销账")</f>
      </c>
      <c r="C7281" t="s" s="2">
        <v>15</v>
      </c>
      <c r="D7281" t="s" s="2">
        <v>16</v>
      </c>
      <c r="E7281" t="s" s="2">
        <v>17</v>
      </c>
      <c r="F7281" t="s" s="2">
        <f>HYPERLINK("http://ts.21cn.com/tousu/show/id/1365369","http://ts.21cn.com/tousu/show/id/1365369")</f>
      </c>
      <c r="G7281" t="s" s="2">
        <v>17</v>
      </c>
      <c r="H7281" t="s" s="2">
        <v>19</v>
      </c>
      <c r="I7281" t="s" s="2">
        <v>28148</v>
      </c>
      <c r="J7281" t="s" s="2">
        <v>28149</v>
      </c>
      <c r="K7281" t="s" s="2">
        <v>22</v>
      </c>
      <c r="L7281" t="s" s="2">
        <v>22</v>
      </c>
      <c r="M7281" t="s" s="2">
        <v>22</v>
      </c>
    </row>
    <row r="7282" ht="25.0" customHeight="true">
      <c r="A7282" t="s" s="2">
        <v>13</v>
      </c>
      <c r="B7282" t="s" s="2">
        <f>HYPERLINK("http://ts.21cn.com/tousu/show/id/1365368","永安保险恶意捆绑销售贷款")</f>
      </c>
      <c r="C7282" t="s" s="2">
        <v>15</v>
      </c>
      <c r="D7282" t="s" s="2">
        <v>16</v>
      </c>
      <c r="E7282" t="s" s="2">
        <v>17</v>
      </c>
      <c r="F7282" t="s" s="2">
        <f>HYPERLINK("http://ts.21cn.com/tousu/show/id/1365368","http://ts.21cn.com/tousu/show/id/1365368")</f>
      </c>
      <c r="G7282" t="s" s="2">
        <v>17</v>
      </c>
      <c r="H7282" t="s" s="2">
        <v>19</v>
      </c>
      <c r="I7282" t="s" s="2">
        <v>28152</v>
      </c>
      <c r="J7282" t="s" s="2">
        <v>28153</v>
      </c>
      <c r="K7282" t="s" s="2">
        <v>22</v>
      </c>
      <c r="L7282" t="s" s="2">
        <v>22</v>
      </c>
      <c r="M7282" t="s" s="2">
        <v>22</v>
      </c>
    </row>
    <row r="7283" ht="25.0" customHeight="true">
      <c r="A7283" t="s" s="2">
        <v>13</v>
      </c>
      <c r="B7283" t="s" s="2">
        <f>HYPERLINK("http://ts.21cn.com/tousu/show/id/1365364","立借钱置宝还款不了")</f>
      </c>
      <c r="C7283" t="s" s="2">
        <v>15</v>
      </c>
      <c r="D7283" t="s" s="2">
        <v>16</v>
      </c>
      <c r="E7283" t="s" s="2">
        <v>17</v>
      </c>
      <c r="F7283" t="s" s="2">
        <f>HYPERLINK("http://ts.21cn.com/tousu/show/id/1365364","http://ts.21cn.com/tousu/show/id/1365364")</f>
      </c>
      <c r="G7283" t="s" s="2">
        <v>17</v>
      </c>
      <c r="H7283" t="s" s="2">
        <v>19</v>
      </c>
      <c r="I7283" t="s" s="2">
        <v>28156</v>
      </c>
      <c r="J7283" t="s" s="2">
        <v>28157</v>
      </c>
      <c r="K7283" t="s" s="2">
        <v>22</v>
      </c>
      <c r="L7283" t="s" s="2">
        <v>22</v>
      </c>
      <c r="M7283" t="s" s="2">
        <v>22</v>
      </c>
    </row>
    <row r="7284" ht="25.0" customHeight="true">
      <c r="A7284" t="s" s="2">
        <v>13</v>
      </c>
      <c r="B7284" t="s" s="2">
        <f>HYPERLINK("http://ts.21cn.com/tousu/show/id/1365365","瓜子二手车卖调表车")</f>
      </c>
      <c r="C7284" t="s" s="2">
        <v>15</v>
      </c>
      <c r="D7284" t="s" s="2">
        <v>16</v>
      </c>
      <c r="E7284" t="s" s="2">
        <v>17</v>
      </c>
      <c r="F7284" t="s" s="2">
        <f>HYPERLINK("http://ts.21cn.com/tousu/show/id/1365365","http://ts.21cn.com/tousu/show/id/1365365")</f>
      </c>
      <c r="G7284" t="s" s="2">
        <v>17</v>
      </c>
      <c r="H7284" t="s" s="2">
        <v>19</v>
      </c>
      <c r="I7284" t="s" s="2">
        <v>28160</v>
      </c>
      <c r="J7284" t="s" s="2">
        <v>28161</v>
      </c>
      <c r="K7284" t="s" s="2">
        <v>22</v>
      </c>
      <c r="L7284" t="s" s="2">
        <v>22</v>
      </c>
      <c r="M7284" t="s" s="2">
        <v>22</v>
      </c>
    </row>
    <row r="7285" ht="25.0" customHeight="true">
      <c r="A7285" t="s" s="2">
        <v>13</v>
      </c>
      <c r="B7285" t="s" s="2">
        <f>HYPERLINK("http://ts.21cn.com/tousu/show/id/1365363","钱站阴阳合同")</f>
      </c>
      <c r="C7285" t="s" s="2">
        <v>15</v>
      </c>
      <c r="D7285" t="s" s="2">
        <v>16</v>
      </c>
      <c r="E7285" t="s" s="2">
        <v>17</v>
      </c>
      <c r="F7285" t="s" s="2">
        <f>HYPERLINK("http://ts.21cn.com/tousu/show/id/1365363","http://ts.21cn.com/tousu/show/id/1365363")</f>
      </c>
      <c r="G7285" t="s" s="2">
        <v>17</v>
      </c>
      <c r="H7285" t="s" s="2">
        <v>19</v>
      </c>
      <c r="I7285" t="s" s="2">
        <v>28163</v>
      </c>
      <c r="J7285" t="s" s="2">
        <v>28164</v>
      </c>
      <c r="K7285" t="s" s="2">
        <v>22</v>
      </c>
      <c r="L7285" t="s" s="2">
        <v>22</v>
      </c>
      <c r="M7285" t="s" s="2">
        <v>22</v>
      </c>
    </row>
    <row r="7286" ht="25.0" customHeight="true">
      <c r="A7286" t="s" s="2">
        <v>13</v>
      </c>
      <c r="B7286" t="s" s="2">
        <f>HYPERLINK("http://ts.21cn.com/tousu/show/id/1365361","暴力催收")</f>
      </c>
      <c r="C7286" t="s" s="2">
        <v>15</v>
      </c>
      <c r="D7286" t="s" s="2">
        <v>16</v>
      </c>
      <c r="E7286" t="s" s="2">
        <v>17</v>
      </c>
      <c r="F7286" t="s" s="2">
        <f>HYPERLINK("http://ts.21cn.com/tousu/show/id/1365361","http://ts.21cn.com/tousu/show/id/1365361")</f>
      </c>
      <c r="G7286" t="s" s="2">
        <v>17</v>
      </c>
      <c r="H7286" t="s" s="2">
        <v>19</v>
      </c>
      <c r="I7286" t="s" s="2">
        <v>28166</v>
      </c>
      <c r="J7286" t="s" s="2">
        <v>28167</v>
      </c>
      <c r="K7286" t="s" s="2">
        <v>22</v>
      </c>
      <c r="L7286" t="s" s="2">
        <v>22</v>
      </c>
      <c r="M7286" t="s" s="2">
        <v>22</v>
      </c>
    </row>
    <row r="7287" ht="25.0" customHeight="true">
      <c r="A7287" t="s" s="2">
        <v>13</v>
      </c>
      <c r="B7287" t="s" s="2">
        <f>HYPERLINK("http://ts.21cn.com/tousu/show/id/1365362","大量用户无法退还立刻出行499元押金")</f>
      </c>
      <c r="C7287" t="s" s="2">
        <v>15</v>
      </c>
      <c r="D7287" t="s" s="2">
        <v>16</v>
      </c>
      <c r="E7287" t="s" s="2">
        <v>17</v>
      </c>
      <c r="F7287" t="s" s="2">
        <f>HYPERLINK("http://ts.21cn.com/tousu/show/id/1365362","http://ts.21cn.com/tousu/show/id/1365362")</f>
      </c>
      <c r="G7287" t="s" s="2">
        <v>17</v>
      </c>
      <c r="H7287" t="s" s="2">
        <v>19</v>
      </c>
      <c r="I7287" t="s" s="2">
        <v>28169</v>
      </c>
      <c r="J7287" t="s" s="2">
        <v>28170</v>
      </c>
      <c r="K7287" t="s" s="2">
        <v>22</v>
      </c>
      <c r="L7287" t="s" s="2">
        <v>22</v>
      </c>
      <c r="M7287" t="s" s="2">
        <v>22</v>
      </c>
    </row>
    <row r="7288" ht="25.0" customHeight="true">
      <c r="A7288" t="s" s="2">
        <v>13</v>
      </c>
      <c r="B7288" t="s" s="2">
        <f>HYPERLINK("http://ts.21cn.com/tousu/show/id/1365360","万惠及贷变相收取高额息费以及暴力催收")</f>
      </c>
      <c r="C7288" t="s" s="2">
        <v>15</v>
      </c>
      <c r="D7288" t="s" s="2">
        <v>16</v>
      </c>
      <c r="E7288" t="s" s="2">
        <v>17</v>
      </c>
      <c r="F7288" t="s" s="2">
        <f>HYPERLINK("http://ts.21cn.com/tousu/show/id/1365360","http://ts.21cn.com/tousu/show/id/1365360")</f>
      </c>
      <c r="G7288" t="s" s="2">
        <v>17</v>
      </c>
      <c r="H7288" t="s" s="2">
        <v>19</v>
      </c>
      <c r="I7288" t="s" s="2">
        <v>28172</v>
      </c>
      <c r="J7288" t="s" s="2">
        <v>28173</v>
      </c>
      <c r="K7288" t="s" s="2">
        <v>22</v>
      </c>
      <c r="L7288" t="s" s="2">
        <v>22</v>
      </c>
      <c r="M7288" t="s" s="2">
        <v>22</v>
      </c>
    </row>
    <row r="7289" ht="25.0" customHeight="true">
      <c r="A7289" t="s" s="2">
        <v>13</v>
      </c>
      <c r="B7289" t="s" s="2">
        <f>HYPERLINK("http://ts.21cn.com/tousu/show/id/1365359","恐吓威胁")</f>
      </c>
      <c r="C7289" t="s" s="2">
        <v>15</v>
      </c>
      <c r="D7289" t="s" s="2">
        <v>16</v>
      </c>
      <c r="E7289" t="s" s="2">
        <v>17</v>
      </c>
      <c r="F7289" t="s" s="2">
        <f>HYPERLINK("http://ts.21cn.com/tousu/show/id/1365359","http://ts.21cn.com/tousu/show/id/1365359")</f>
      </c>
      <c r="G7289" t="s" s="2">
        <v>17</v>
      </c>
      <c r="H7289" t="s" s="2">
        <v>19</v>
      </c>
      <c r="I7289" t="s" s="2">
        <v>28175</v>
      </c>
      <c r="J7289" t="s" s="2">
        <v>28176</v>
      </c>
      <c r="K7289" t="s" s="2">
        <v>22</v>
      </c>
      <c r="L7289" t="s" s="2">
        <v>22</v>
      </c>
      <c r="M7289" t="s" s="2">
        <v>22</v>
      </c>
    </row>
    <row r="7290" ht="25.0" customHeight="true">
      <c r="A7290" t="s" s="2">
        <v>13</v>
      </c>
      <c r="B7290" t="s" s="2">
        <f>HYPERLINK("http://ts.21cn.com/tousu/show/id/1365358","高利率，暴力催收")</f>
      </c>
      <c r="C7290" t="s" s="2">
        <v>15</v>
      </c>
      <c r="D7290" t="s" s="2">
        <v>16</v>
      </c>
      <c r="E7290" t="s" s="2">
        <v>17</v>
      </c>
      <c r="F7290" t="s" s="2">
        <f>HYPERLINK("http://ts.21cn.com/tousu/show/id/1365358","http://ts.21cn.com/tousu/show/id/1365358")</f>
      </c>
      <c r="G7290" t="s" s="2">
        <v>17</v>
      </c>
      <c r="H7290" t="s" s="2">
        <v>19</v>
      </c>
      <c r="I7290" t="s" s="2">
        <v>28179</v>
      </c>
      <c r="J7290" t="s" s="2">
        <v>28180</v>
      </c>
      <c r="K7290" t="s" s="2">
        <v>22</v>
      </c>
      <c r="L7290" t="s" s="2">
        <v>22</v>
      </c>
      <c r="M7290" t="s" s="2">
        <v>22</v>
      </c>
    </row>
    <row r="7291" ht="25.0" customHeight="true">
      <c r="A7291" t="s" s="2">
        <v>13</v>
      </c>
      <c r="B7291" t="s" s="2">
        <f>HYPERLINK("http://ts.21cn.com/tousu/show/id/1365357","爆通讯录骚扰亲朋好友")</f>
      </c>
      <c r="C7291" t="s" s="2">
        <v>15</v>
      </c>
      <c r="D7291" t="s" s="2">
        <v>16</v>
      </c>
      <c r="E7291" t="s" s="2">
        <v>17</v>
      </c>
      <c r="F7291" t="s" s="2">
        <f>HYPERLINK("http://ts.21cn.com/tousu/show/id/1365357","http://ts.21cn.com/tousu/show/id/1365357")</f>
      </c>
      <c r="G7291" t="s" s="2">
        <v>17</v>
      </c>
      <c r="H7291" t="s" s="2">
        <v>19</v>
      </c>
      <c r="I7291" t="s" s="2">
        <v>28183</v>
      </c>
      <c r="J7291" t="s" s="2">
        <v>28184</v>
      </c>
      <c r="K7291" t="s" s="2">
        <v>22</v>
      </c>
      <c r="L7291" t="s" s="2">
        <v>22</v>
      </c>
      <c r="M7291" t="s" s="2">
        <v>22</v>
      </c>
    </row>
    <row r="7292" ht="25.0" customHeight="true">
      <c r="A7292" t="s" s="2">
        <v>13</v>
      </c>
      <c r="B7292" t="s" s="2">
        <f>HYPERLINK("http://ts.21cn.com/tousu/show/id/1365356","京东支付无缘无故划扣银行卡的钱")</f>
      </c>
      <c r="C7292" t="s" s="2">
        <v>52</v>
      </c>
      <c r="D7292" t="s" s="2">
        <v>16</v>
      </c>
      <c r="E7292" t="s" s="2">
        <v>17</v>
      </c>
      <c r="F7292" t="s" s="2">
        <f>HYPERLINK("http://ts.21cn.com/tousu/show/id/1365356","http://ts.21cn.com/tousu/show/id/1365356")</f>
      </c>
      <c r="G7292" t="s" s="2">
        <v>17</v>
      </c>
      <c r="H7292" t="s" s="2">
        <v>19</v>
      </c>
      <c r="I7292" t="s" s="2">
        <v>28187</v>
      </c>
      <c r="J7292" t="s" s="2">
        <v>28188</v>
      </c>
      <c r="K7292" t="s" s="2">
        <v>22</v>
      </c>
      <c r="L7292" t="s" s="2">
        <v>22</v>
      </c>
      <c r="M7292" t="s" s="2">
        <v>22</v>
      </c>
    </row>
    <row r="7293" ht="25.0" customHeight="true">
      <c r="A7293" t="s" s="2">
        <v>13</v>
      </c>
      <c r="B7293" t="s" s="2">
        <f>HYPERLINK("http://ts.21cn.com/tousu/show/id/1365354","建设银行不正当上门催缴恐吓")</f>
      </c>
      <c r="C7293" t="s" s="2">
        <v>15</v>
      </c>
      <c r="D7293" t="s" s="2">
        <v>16</v>
      </c>
      <c r="E7293" t="s" s="2">
        <v>17</v>
      </c>
      <c r="F7293" t="s" s="2">
        <f>HYPERLINK("http://ts.21cn.com/tousu/show/id/1365354","http://ts.21cn.com/tousu/show/id/1365354")</f>
      </c>
      <c r="G7293" t="s" s="2">
        <v>17</v>
      </c>
      <c r="H7293" t="s" s="2">
        <v>19</v>
      </c>
      <c r="I7293" t="s" s="2">
        <v>28191</v>
      </c>
      <c r="J7293" t="s" s="2">
        <v>28192</v>
      </c>
      <c r="K7293" t="s" s="2">
        <v>22</v>
      </c>
      <c r="L7293" t="s" s="2">
        <v>22</v>
      </c>
      <c r="M7293" t="s" s="2">
        <v>22</v>
      </c>
    </row>
    <row r="7294" ht="25.0" customHeight="true">
      <c r="A7294" t="s" s="2">
        <v>13</v>
      </c>
      <c r="B7294" t="s" s="2">
        <f>HYPERLINK("http://ts.21cn.com/tousu/show/id/1365355","合同欺诈，违法催收，高利贷")</f>
      </c>
      <c r="C7294" t="s" s="2">
        <v>15</v>
      </c>
      <c r="D7294" t="s" s="2">
        <v>16</v>
      </c>
      <c r="E7294" t="s" s="2">
        <v>17</v>
      </c>
      <c r="F7294" t="s" s="2">
        <f>HYPERLINK("http://ts.21cn.com/tousu/show/id/1365355","http://ts.21cn.com/tousu/show/id/1365355")</f>
      </c>
      <c r="G7294" t="s" s="2">
        <v>17</v>
      </c>
      <c r="H7294" t="s" s="2">
        <v>19</v>
      </c>
      <c r="I7294" t="s" s="2">
        <v>28195</v>
      </c>
      <c r="J7294" t="s" s="2">
        <v>28196</v>
      </c>
      <c r="K7294" t="s" s="2">
        <v>22</v>
      </c>
      <c r="L7294" t="s" s="2">
        <v>22</v>
      </c>
      <c r="M7294" t="s" s="2">
        <v>22</v>
      </c>
    </row>
    <row r="7295" ht="25.0" customHeight="true">
      <c r="A7295" t="s" s="2">
        <v>13</v>
      </c>
      <c r="B7295" t="s" s="2">
        <f>HYPERLINK("http://ts.21cn.com/tousu/show/id/1365353","平安普惠，骚扰、暴力催收、威胁上门、联系欠款人家人朋友")</f>
      </c>
      <c r="C7295" t="s" s="2">
        <v>15</v>
      </c>
      <c r="D7295" t="s" s="2">
        <v>16</v>
      </c>
      <c r="E7295" t="s" s="2">
        <v>17</v>
      </c>
      <c r="F7295" t="s" s="2">
        <f>HYPERLINK("http://ts.21cn.com/tousu/show/id/1365353","http://ts.21cn.com/tousu/show/id/1365353")</f>
      </c>
      <c r="G7295" t="s" s="2">
        <v>17</v>
      </c>
      <c r="H7295" t="s" s="2">
        <v>19</v>
      </c>
      <c r="I7295" t="s" s="2">
        <v>28199</v>
      </c>
      <c r="J7295" t="s" s="2">
        <v>28200</v>
      </c>
      <c r="K7295" t="s" s="2">
        <v>22</v>
      </c>
      <c r="L7295" t="s" s="2">
        <v>22</v>
      </c>
      <c r="M7295" t="s" s="2">
        <v>22</v>
      </c>
    </row>
    <row r="7296" ht="25.0" customHeight="true">
      <c r="A7296" t="s" s="2">
        <v>13</v>
      </c>
      <c r="B7296" t="s" s="2">
        <f>HYPERLINK("http://ts.21cn.com/tousu/show/id/1365352","闪银顺顺暴力催收")</f>
      </c>
      <c r="C7296" t="s" s="2">
        <v>15</v>
      </c>
      <c r="D7296" t="s" s="2">
        <v>16</v>
      </c>
      <c r="E7296" t="s" s="2">
        <v>17</v>
      </c>
      <c r="F7296" t="s" s="2">
        <f>HYPERLINK("http://ts.21cn.com/tousu/show/id/1365352","http://ts.21cn.com/tousu/show/id/1365352")</f>
      </c>
      <c r="G7296" t="s" s="2">
        <v>17</v>
      </c>
      <c r="H7296" t="s" s="2">
        <v>19</v>
      </c>
      <c r="I7296" t="s" s="2">
        <v>28203</v>
      </c>
      <c r="J7296" t="s" s="2">
        <v>28204</v>
      </c>
      <c r="K7296" t="s" s="2">
        <v>22</v>
      </c>
      <c r="L7296" t="s" s="2">
        <v>22</v>
      </c>
      <c r="M7296" t="s" s="2">
        <v>22</v>
      </c>
    </row>
    <row r="7297" ht="25.0" customHeight="true">
      <c r="A7297" t="s" s="2">
        <v>13</v>
      </c>
      <c r="B7297" t="s" s="2">
        <f>HYPERLINK("http://ts.21cn.com/tousu/show/id/1365350","平安普惠贷款隐瞒隐藏并强制收取高额保险费管理费投诉事宜")</f>
      </c>
      <c r="C7297" t="s" s="2">
        <v>15</v>
      </c>
      <c r="D7297" t="s" s="2">
        <v>16</v>
      </c>
      <c r="E7297" t="s" s="2">
        <v>17</v>
      </c>
      <c r="F7297" t="s" s="2">
        <f>HYPERLINK("http://ts.21cn.com/tousu/show/id/1365350","http://ts.21cn.com/tousu/show/id/1365350")</f>
      </c>
      <c r="G7297" t="s" s="2">
        <v>17</v>
      </c>
      <c r="H7297" t="s" s="2">
        <v>19</v>
      </c>
      <c r="I7297" t="s" s="2">
        <v>28206</v>
      </c>
      <c r="J7297" t="s" s="2">
        <v>28207</v>
      </c>
      <c r="K7297" t="s" s="2">
        <v>22</v>
      </c>
      <c r="L7297" t="s" s="2">
        <v>22</v>
      </c>
      <c r="M7297" t="s" s="2">
        <v>22</v>
      </c>
    </row>
    <row r="7298" ht="25.0" customHeight="true">
      <c r="A7298" t="s" s="2">
        <v>13</v>
      </c>
      <c r="B7298" t="s" s="2">
        <f>HYPERLINK("http://ts.21cn.com/tousu/show/id/1365351","万达普惠逾期罚息不合理")</f>
      </c>
      <c r="C7298" t="s" s="2">
        <v>15</v>
      </c>
      <c r="D7298" t="s" s="2">
        <v>16</v>
      </c>
      <c r="E7298" t="s" s="2">
        <v>17</v>
      </c>
      <c r="F7298" t="s" s="2">
        <f>HYPERLINK("http://ts.21cn.com/tousu/show/id/1365351","http://ts.21cn.com/tousu/show/id/1365351")</f>
      </c>
      <c r="G7298" t="s" s="2">
        <v>17</v>
      </c>
      <c r="H7298" t="s" s="2">
        <v>19</v>
      </c>
      <c r="I7298" t="s" s="2">
        <v>28210</v>
      </c>
      <c r="J7298" t="s" s="2">
        <v>28211</v>
      </c>
      <c r="K7298" t="s" s="2">
        <v>22</v>
      </c>
      <c r="L7298" t="s" s="2">
        <v>22</v>
      </c>
      <c r="M7298" t="s" s="2">
        <v>22</v>
      </c>
    </row>
    <row r="7299" ht="25.0" customHeight="true">
      <c r="A7299" t="s" s="2">
        <v>13</v>
      </c>
      <c r="B7299" t="s" s="2">
        <f>HYPERLINK("http://ts.21cn.com/tousu/show/id/1365349","银盛通pos机代理中途截取信用卡的挂号信以邮政送货的理由虚假推销盛pos机说免费结果扣取298元激活费")</f>
      </c>
      <c r="C7299" t="s" s="2">
        <v>15</v>
      </c>
      <c r="D7299" t="s" s="2">
        <v>16</v>
      </c>
      <c r="E7299" t="s" s="2">
        <v>17</v>
      </c>
      <c r="F7299" t="s" s="2">
        <f>HYPERLINK("http://ts.21cn.com/tousu/show/id/1365349","http://ts.21cn.com/tousu/show/id/1365349")</f>
      </c>
      <c r="G7299" t="s" s="2">
        <v>17</v>
      </c>
      <c r="H7299" t="s" s="2">
        <v>19</v>
      </c>
      <c r="I7299" t="s" s="2">
        <v>28214</v>
      </c>
      <c r="J7299" t="s" s="2">
        <v>28215</v>
      </c>
      <c r="K7299" t="s" s="2">
        <v>22</v>
      </c>
      <c r="L7299" t="s" s="2">
        <v>22</v>
      </c>
      <c r="M7299" t="s" s="2">
        <v>22</v>
      </c>
    </row>
    <row r="7300" ht="25.0" customHeight="true">
      <c r="A7300" t="s" s="2">
        <v>13</v>
      </c>
      <c r="B7300" t="s" s="2">
        <f>HYPERLINK("http://ts.21cn.com/tousu/show/id/1365348","钱站逾期一天即收取100元逾期费用")</f>
      </c>
      <c r="C7300" t="s" s="2">
        <v>52</v>
      </c>
      <c r="D7300" t="s" s="2">
        <v>16</v>
      </c>
      <c r="E7300" t="s" s="2">
        <v>17</v>
      </c>
      <c r="F7300" t="s" s="2">
        <f>HYPERLINK("http://ts.21cn.com/tousu/show/id/1365348","http://ts.21cn.com/tousu/show/id/1365348")</f>
      </c>
      <c r="G7300" t="s" s="2">
        <v>17</v>
      </c>
      <c r="H7300" t="s" s="2">
        <v>19</v>
      </c>
      <c r="I7300" t="s" s="2">
        <v>28218</v>
      </c>
      <c r="J7300" t="s" s="2">
        <v>28219</v>
      </c>
      <c r="K7300" t="s" s="2">
        <v>22</v>
      </c>
      <c r="L7300" t="s" s="2">
        <v>22</v>
      </c>
      <c r="M7300" t="s" s="2">
        <v>22</v>
      </c>
    </row>
    <row r="7301" ht="25.0" customHeight="true">
      <c r="A7301" t="s" s="2">
        <v>13</v>
      </c>
      <c r="B7301" t="s" s="2">
        <f>HYPERLINK("http://ts.21cn.com/tousu/show/id/1365347","360借条暴利催收，爆通讯录")</f>
      </c>
      <c r="C7301" t="s" s="2">
        <v>15</v>
      </c>
      <c r="D7301" t="s" s="2">
        <v>16</v>
      </c>
      <c r="E7301" t="s" s="2">
        <v>17</v>
      </c>
      <c r="F7301" t="s" s="2">
        <f>HYPERLINK("http://ts.21cn.com/tousu/show/id/1365347","http://ts.21cn.com/tousu/show/id/1365347")</f>
      </c>
      <c r="G7301" t="s" s="2">
        <v>17</v>
      </c>
      <c r="H7301" t="s" s="2">
        <v>19</v>
      </c>
      <c r="I7301" t="s" s="2">
        <v>28222</v>
      </c>
      <c r="J7301" t="s" s="2">
        <v>28223</v>
      </c>
      <c r="K7301" t="s" s="2">
        <v>22</v>
      </c>
      <c r="L7301" t="s" s="2">
        <v>22</v>
      </c>
      <c r="M7301" t="s" s="2">
        <v>22</v>
      </c>
    </row>
    <row r="7302" ht="25.0" customHeight="true">
      <c r="A7302" t="s" s="2">
        <v>13</v>
      </c>
      <c r="B7302" t="s" s="2">
        <f>HYPERLINK("http://ts.21cn.com/tousu/show/id/1365346","拍拍贷暴力催收伪造律师函")</f>
      </c>
      <c r="C7302" t="s" s="2">
        <v>15</v>
      </c>
      <c r="D7302" t="s" s="2">
        <v>16</v>
      </c>
      <c r="E7302" t="s" s="2">
        <v>17</v>
      </c>
      <c r="F7302" t="s" s="2">
        <f>HYPERLINK("http://ts.21cn.com/tousu/show/id/1365346","http://ts.21cn.com/tousu/show/id/1365346")</f>
      </c>
      <c r="G7302" t="s" s="2">
        <v>17</v>
      </c>
      <c r="H7302" t="s" s="2">
        <v>19</v>
      </c>
      <c r="I7302" t="s" s="2">
        <v>28226</v>
      </c>
      <c r="J7302" t="s" s="2">
        <v>28227</v>
      </c>
      <c r="K7302" t="s" s="2">
        <v>22</v>
      </c>
      <c r="L7302" t="s" s="2">
        <v>22</v>
      </c>
      <c r="M7302" t="s" s="2">
        <v>22</v>
      </c>
    </row>
    <row r="7303" ht="25.0" customHeight="true">
      <c r="A7303" t="s" s="2">
        <v>13</v>
      </c>
      <c r="B7303" t="s" s="2">
        <f>HYPERLINK("http://ts.21cn.com/tousu/show/id/1365289","如期分期砍头息")</f>
      </c>
      <c r="C7303" t="s" s="2">
        <v>15</v>
      </c>
      <c r="D7303" t="s" s="2">
        <v>16</v>
      </c>
      <c r="E7303" t="s" s="2">
        <v>17</v>
      </c>
      <c r="F7303" t="s" s="2">
        <f>HYPERLINK("http://ts.21cn.com/tousu/show/id/1365289","http://ts.21cn.com/tousu/show/id/1365289")</f>
      </c>
      <c r="G7303" t="s" s="2">
        <v>17</v>
      </c>
      <c r="H7303" t="s" s="2">
        <v>19</v>
      </c>
      <c r="I7303" t="s" s="2">
        <v>28230</v>
      </c>
      <c r="J7303" t="s" s="2">
        <v>28231</v>
      </c>
      <c r="K7303" t="s" s="2">
        <v>22</v>
      </c>
      <c r="L7303" t="s" s="2">
        <v>22</v>
      </c>
      <c r="M7303" t="s" s="2">
        <v>22</v>
      </c>
    </row>
    <row r="7304" ht="25.0" customHeight="true">
      <c r="A7304" t="s" s="2">
        <v>13</v>
      </c>
      <c r="B7304" t="s" s="2">
        <f>HYPERLINK("http://ts.21cn.com/tousu/show/id/1365345","速金服没法取消借款")</f>
      </c>
      <c r="C7304" t="s" s="2">
        <v>15</v>
      </c>
      <c r="D7304" t="s" s="2">
        <v>16</v>
      </c>
      <c r="E7304" t="s" s="2">
        <v>17</v>
      </c>
      <c r="F7304" t="s" s="2">
        <f>HYPERLINK("http://ts.21cn.com/tousu/show/id/1365345","http://ts.21cn.com/tousu/show/id/1365345")</f>
      </c>
      <c r="G7304" t="s" s="2">
        <v>17</v>
      </c>
      <c r="H7304" t="s" s="2">
        <v>19</v>
      </c>
      <c r="I7304" t="s" s="2">
        <v>28234</v>
      </c>
      <c r="J7304" t="s" s="2">
        <v>28235</v>
      </c>
      <c r="K7304" t="s" s="2">
        <v>22</v>
      </c>
      <c r="L7304" t="s" s="2">
        <v>22</v>
      </c>
      <c r="M7304" t="s" s="2">
        <v>22</v>
      </c>
    </row>
    <row r="7305" ht="25.0" customHeight="true">
      <c r="A7305" t="s" s="2">
        <v>13</v>
      </c>
      <c r="B7305" t="s" s="2">
        <f>HYPERLINK("http://ts.21cn.com/tousu/show/id/1365344","360借条爆通讯录")</f>
      </c>
      <c r="C7305" t="s" s="2">
        <v>15</v>
      </c>
      <c r="D7305" t="s" s="2">
        <v>16</v>
      </c>
      <c r="E7305" t="s" s="2">
        <v>17</v>
      </c>
      <c r="F7305" t="s" s="2">
        <f>HYPERLINK("http://ts.21cn.com/tousu/show/id/1365344","http://ts.21cn.com/tousu/show/id/1365344")</f>
      </c>
      <c r="G7305" t="s" s="2">
        <v>17</v>
      </c>
      <c r="H7305" t="s" s="2">
        <v>19</v>
      </c>
      <c r="I7305" t="s" s="2">
        <v>28237</v>
      </c>
      <c r="J7305" t="s" s="2">
        <v>28238</v>
      </c>
      <c r="K7305" t="s" s="2">
        <v>22</v>
      </c>
      <c r="L7305" t="s" s="2">
        <v>22</v>
      </c>
      <c r="M7305" t="s" s="2">
        <v>22</v>
      </c>
    </row>
    <row r="7306" ht="25.0" customHeight="true">
      <c r="A7306" t="s" s="2">
        <v>13</v>
      </c>
      <c r="B7306" t="s" s="2">
        <f>HYPERLINK("http://ts.21cn.com/tousu/show/id/1365343","新意花，小木钱包套路贷故意让借款人逾期收取高额逾期费用")</f>
      </c>
      <c r="C7306" t="s" s="2">
        <v>15</v>
      </c>
      <c r="D7306" t="s" s="2">
        <v>16</v>
      </c>
      <c r="E7306" t="s" s="2">
        <v>17</v>
      </c>
      <c r="F7306" t="s" s="2">
        <f>HYPERLINK("http://ts.21cn.com/tousu/show/id/1365343","http://ts.21cn.com/tousu/show/id/1365343")</f>
      </c>
      <c r="G7306" t="s" s="2">
        <v>17</v>
      </c>
      <c r="H7306" t="s" s="2">
        <v>19</v>
      </c>
      <c r="I7306" t="s" s="2">
        <v>28241</v>
      </c>
      <c r="J7306" t="s" s="2">
        <v>28242</v>
      </c>
      <c r="K7306" t="s" s="2">
        <v>22</v>
      </c>
      <c r="L7306" t="s" s="2">
        <v>22</v>
      </c>
      <c r="M7306" t="s" s="2">
        <v>22</v>
      </c>
    </row>
    <row r="7307" ht="25.0" customHeight="true">
      <c r="A7307" t="s" s="2">
        <v>13</v>
      </c>
      <c r="B7307" t="s" s="2">
        <f>HYPERLINK("http://ts.21cn.com/tousu/show/id/1365342","高利贷，阴阳合同，催收恶劣．")</f>
      </c>
      <c r="C7307" t="s" s="2">
        <v>15</v>
      </c>
      <c r="D7307" t="s" s="2">
        <v>16</v>
      </c>
      <c r="E7307" t="s" s="2">
        <v>17</v>
      </c>
      <c r="F7307" t="s" s="2">
        <f>HYPERLINK("http://ts.21cn.com/tousu/show/id/1365342","http://ts.21cn.com/tousu/show/id/1365342")</f>
      </c>
      <c r="G7307" t="s" s="2">
        <v>17</v>
      </c>
      <c r="H7307" t="s" s="2">
        <v>19</v>
      </c>
      <c r="I7307" t="s" s="2">
        <v>28245</v>
      </c>
      <c r="J7307" t="s" s="2">
        <v>28246</v>
      </c>
      <c r="K7307" t="s" s="2">
        <v>22</v>
      </c>
      <c r="L7307" t="s" s="2">
        <v>22</v>
      </c>
      <c r="M7307" t="s" s="2">
        <v>22</v>
      </c>
    </row>
    <row r="7308" ht="25.0" customHeight="true">
      <c r="A7308" t="s" s="2">
        <v>13</v>
      </c>
      <c r="B7308" t="s" s="2">
        <f>HYPERLINK("http://ts.21cn.com/tousu/show/id/1365341","折疯了海淘免税APP售假不让退款霸王条款")</f>
      </c>
      <c r="C7308" t="s" s="2">
        <v>15</v>
      </c>
      <c r="D7308" t="s" s="2">
        <v>16</v>
      </c>
      <c r="E7308" t="s" s="2">
        <v>17</v>
      </c>
      <c r="F7308" t="s" s="2">
        <f>HYPERLINK("http://ts.21cn.com/tousu/show/id/1365341","http://ts.21cn.com/tousu/show/id/1365341")</f>
      </c>
      <c r="G7308" t="s" s="2">
        <v>17</v>
      </c>
      <c r="H7308" t="s" s="2">
        <v>19</v>
      </c>
      <c r="I7308" t="s" s="2">
        <v>28249</v>
      </c>
      <c r="J7308" t="s" s="2">
        <v>28250</v>
      </c>
      <c r="K7308" t="s" s="2">
        <v>22</v>
      </c>
      <c r="L7308" t="s" s="2">
        <v>22</v>
      </c>
      <c r="M7308" t="s" s="2">
        <v>22</v>
      </c>
    </row>
    <row r="7309" ht="25.0" customHeight="true">
      <c r="A7309" t="s" s="2">
        <v>13</v>
      </c>
      <c r="B7309" t="s" s="2">
        <f>HYPERLINK("http://ts.21cn.com/tousu/show/id/1365340","协商减免高额利息，逾期费用，办理续期")</f>
      </c>
      <c r="C7309" t="s" s="2">
        <v>15</v>
      </c>
      <c r="D7309" t="s" s="2">
        <v>16</v>
      </c>
      <c r="E7309" t="s" s="2">
        <v>17</v>
      </c>
      <c r="F7309" t="s" s="2">
        <f>HYPERLINK("http://ts.21cn.com/tousu/show/id/1365340","http://ts.21cn.com/tousu/show/id/1365340")</f>
      </c>
      <c r="G7309" t="s" s="2">
        <v>17</v>
      </c>
      <c r="H7309" t="s" s="2">
        <v>19</v>
      </c>
      <c r="I7309" t="s" s="2">
        <v>28253</v>
      </c>
      <c r="J7309" t="s" s="2">
        <v>28254</v>
      </c>
      <c r="K7309" t="s" s="2">
        <v>22</v>
      </c>
      <c r="L7309" t="s" s="2">
        <v>22</v>
      </c>
      <c r="M7309" t="s" s="2">
        <v>22</v>
      </c>
    </row>
    <row r="7310" ht="25.0" customHeight="true">
      <c r="A7310" t="s" s="2">
        <v>13</v>
      </c>
      <c r="B7310" t="s" s="2">
        <f>HYPERLINK("http://ts.21cn.com/tousu/show/id/1365339","威胁")</f>
      </c>
      <c r="C7310" t="s" s="2">
        <v>15</v>
      </c>
      <c r="D7310" t="s" s="2">
        <v>16</v>
      </c>
      <c r="E7310" t="s" s="2">
        <v>17</v>
      </c>
      <c r="F7310" t="s" s="2">
        <f>HYPERLINK("http://ts.21cn.com/tousu/show/id/1365339","http://ts.21cn.com/tousu/show/id/1365339")</f>
      </c>
      <c r="G7310" t="s" s="2">
        <v>17</v>
      </c>
      <c r="H7310" t="s" s="2">
        <v>19</v>
      </c>
      <c r="I7310" t="s" s="2">
        <v>28256</v>
      </c>
      <c r="J7310" t="s" s="2">
        <v>28257</v>
      </c>
      <c r="K7310" t="s" s="2">
        <v>22</v>
      </c>
      <c r="L7310" t="s" s="2">
        <v>22</v>
      </c>
      <c r="M7310" t="s" s="2">
        <v>22</v>
      </c>
    </row>
    <row r="7311" ht="25.0" customHeight="true">
      <c r="A7311" t="s" s="2">
        <v>13</v>
      </c>
      <c r="B7311" t="s" s="2">
        <f>HYPERLINK("http://ts.21cn.com/tousu/show/id/1365338","借贷平台收取高利息")</f>
      </c>
      <c r="C7311" t="s" s="2">
        <v>52</v>
      </c>
      <c r="D7311" t="s" s="2">
        <v>16</v>
      </c>
      <c r="E7311" t="s" s="2">
        <v>17</v>
      </c>
      <c r="F7311" t="s" s="2">
        <f>HYPERLINK("http://ts.21cn.com/tousu/show/id/1365338","http://ts.21cn.com/tousu/show/id/1365338")</f>
      </c>
      <c r="G7311" t="s" s="2">
        <v>17</v>
      </c>
      <c r="H7311" t="s" s="2">
        <v>19</v>
      </c>
      <c r="I7311" t="s" s="2">
        <v>28260</v>
      </c>
      <c r="J7311" t="s" s="2">
        <v>28261</v>
      </c>
      <c r="K7311" t="s" s="2">
        <v>22</v>
      </c>
      <c r="L7311" t="s" s="2">
        <v>22</v>
      </c>
      <c r="M7311" t="s" s="2">
        <v>22</v>
      </c>
    </row>
    <row r="7312" ht="25.0" customHeight="true">
      <c r="A7312" t="s" s="2">
        <v>13</v>
      </c>
      <c r="B7312" t="s" s="2">
        <f>HYPERLINK("http://ts.21cn.com/tousu/show/id/1365336","高额手续费，高利贷！")</f>
      </c>
      <c r="C7312" t="s" s="2">
        <v>15</v>
      </c>
      <c r="D7312" t="s" s="2">
        <v>16</v>
      </c>
      <c r="E7312" t="s" s="2">
        <v>17</v>
      </c>
      <c r="F7312" t="s" s="2">
        <f>HYPERLINK("http://ts.21cn.com/tousu/show/id/1365336","http://ts.21cn.com/tousu/show/id/1365336")</f>
      </c>
      <c r="G7312" t="s" s="2">
        <v>17</v>
      </c>
      <c r="H7312" t="s" s="2">
        <v>19</v>
      </c>
      <c r="I7312" t="s" s="2">
        <v>28264</v>
      </c>
      <c r="J7312" t="s" s="2">
        <v>28265</v>
      </c>
      <c r="K7312" t="s" s="2">
        <v>22</v>
      </c>
      <c r="L7312" t="s" s="2">
        <v>22</v>
      </c>
      <c r="M7312" t="s" s="2">
        <v>22</v>
      </c>
    </row>
    <row r="7313" ht="25.0" customHeight="true">
      <c r="A7313" t="s" s="2">
        <v>13</v>
      </c>
      <c r="B7313" t="s" s="2">
        <f>HYPERLINK("http://ts.21cn.com/tousu/show/id/1365337","满易贷套路，连个日期都没有，客服说给反馈，一直没信。")</f>
      </c>
      <c r="C7313" t="s" s="2">
        <v>15</v>
      </c>
      <c r="D7313" t="s" s="2">
        <v>16</v>
      </c>
      <c r="E7313" t="s" s="2">
        <v>17</v>
      </c>
      <c r="F7313" t="s" s="2">
        <f>HYPERLINK("http://ts.21cn.com/tousu/show/id/1365337","http://ts.21cn.com/tousu/show/id/1365337")</f>
      </c>
      <c r="G7313" t="s" s="2">
        <v>17</v>
      </c>
      <c r="H7313" t="s" s="2">
        <v>19</v>
      </c>
      <c r="I7313" t="s" s="2">
        <v>28268</v>
      </c>
      <c r="J7313" t="s" s="2">
        <v>28269</v>
      </c>
      <c r="K7313" t="s" s="2">
        <v>22</v>
      </c>
      <c r="L7313" t="s" s="2">
        <v>22</v>
      </c>
      <c r="M7313" t="s" s="2">
        <v>22</v>
      </c>
    </row>
    <row r="7314" ht="25.0" customHeight="true">
      <c r="A7314" t="s" s="2">
        <v>13</v>
      </c>
      <c r="B7314" t="s" s="2">
        <f>HYPERLINK("http://ts.21cn.com/tousu/show/id/1365334","中邮消费金融高利贷暴力催收50块钱逾期三天违约金50多")</f>
      </c>
      <c r="C7314" t="s" s="2">
        <v>15</v>
      </c>
      <c r="D7314" t="s" s="2">
        <v>16</v>
      </c>
      <c r="E7314" t="s" s="2">
        <v>17</v>
      </c>
      <c r="F7314" t="s" s="2">
        <f>HYPERLINK("http://ts.21cn.com/tousu/show/id/1365334","http://ts.21cn.com/tousu/show/id/1365334")</f>
      </c>
      <c r="G7314" t="s" s="2">
        <v>17</v>
      </c>
      <c r="H7314" t="s" s="2">
        <v>19</v>
      </c>
      <c r="I7314" t="s" s="2">
        <v>28272</v>
      </c>
      <c r="J7314" t="s" s="2">
        <v>28273</v>
      </c>
      <c r="K7314" t="s" s="2">
        <v>22</v>
      </c>
      <c r="L7314" t="s" s="2">
        <v>22</v>
      </c>
      <c r="M7314" t="s" s="2">
        <v>22</v>
      </c>
    </row>
    <row r="7315" ht="25.0" customHeight="true">
      <c r="A7315" t="s" s="2">
        <v>13</v>
      </c>
      <c r="B7315" t="s" s="2">
        <f>HYPERLINK("http://ts.21cn.com/tousu/show/id/1365335","利息过高，无力还款。请求协商")</f>
      </c>
      <c r="C7315" t="s" s="2">
        <v>15</v>
      </c>
      <c r="D7315" t="s" s="2">
        <v>16</v>
      </c>
      <c r="E7315" t="s" s="2">
        <v>17</v>
      </c>
      <c r="F7315" t="s" s="2">
        <f>HYPERLINK("http://ts.21cn.com/tousu/show/id/1365335","http://ts.21cn.com/tousu/show/id/1365335")</f>
      </c>
      <c r="G7315" t="s" s="2">
        <v>17</v>
      </c>
      <c r="H7315" t="s" s="2">
        <v>19</v>
      </c>
      <c r="I7315" t="s" s="2">
        <v>28276</v>
      </c>
      <c r="J7315" t="s" s="2">
        <v>28277</v>
      </c>
      <c r="K7315" t="s" s="2">
        <v>22</v>
      </c>
      <c r="L7315" t="s" s="2">
        <v>22</v>
      </c>
      <c r="M7315" t="s" s="2">
        <v>22</v>
      </c>
    </row>
    <row r="7316" ht="25.0" customHeight="true">
      <c r="A7316" t="s" s="2">
        <v>13</v>
      </c>
      <c r="B7316" t="s" s="2">
        <f>HYPERLINK("http://ts.21cn.com/tousu/show/id/1365333","玖富阴阳合同")</f>
      </c>
      <c r="C7316" t="s" s="2">
        <v>15</v>
      </c>
      <c r="D7316" t="s" s="2">
        <v>16</v>
      </c>
      <c r="E7316" t="s" s="2">
        <v>17</v>
      </c>
      <c r="F7316" t="s" s="2">
        <f>HYPERLINK("http://ts.21cn.com/tousu/show/id/1365333","http://ts.21cn.com/tousu/show/id/1365333")</f>
      </c>
      <c r="G7316" t="s" s="2">
        <v>17</v>
      </c>
      <c r="H7316" t="s" s="2">
        <v>19</v>
      </c>
      <c r="I7316" t="s" s="2">
        <v>28280</v>
      </c>
      <c r="J7316" t="s" s="2">
        <v>28281</v>
      </c>
      <c r="K7316" t="s" s="2">
        <v>22</v>
      </c>
      <c r="L7316" t="s" s="2">
        <v>22</v>
      </c>
      <c r="M7316" t="s" s="2">
        <v>22</v>
      </c>
    </row>
    <row r="7317" ht="25.0" customHeight="true">
      <c r="A7317" t="s" s="2">
        <v>13</v>
      </c>
      <c r="B7317" t="s" s="2">
        <f>HYPERLINK("http://ts.21cn.com/tousu/show/id/1365331","骚扰，垃圾短信")</f>
      </c>
      <c r="C7317" t="s" s="2">
        <v>15</v>
      </c>
      <c r="D7317" t="s" s="2">
        <v>16</v>
      </c>
      <c r="E7317" t="s" s="2">
        <v>17</v>
      </c>
      <c r="F7317" t="s" s="2">
        <f>HYPERLINK("http://ts.21cn.com/tousu/show/id/1365331","http://ts.21cn.com/tousu/show/id/1365331")</f>
      </c>
      <c r="G7317" t="s" s="2">
        <v>17</v>
      </c>
      <c r="H7317" t="s" s="2">
        <v>19</v>
      </c>
      <c r="I7317" t="s" s="2">
        <v>28284</v>
      </c>
      <c r="J7317" t="s" s="2">
        <v>28285</v>
      </c>
      <c r="K7317" t="s" s="2">
        <v>22</v>
      </c>
      <c r="L7317" t="s" s="2">
        <v>22</v>
      </c>
      <c r="M7317" t="s" s="2">
        <v>22</v>
      </c>
    </row>
    <row r="7318" ht="25.0" customHeight="true">
      <c r="A7318" t="s" s="2">
        <v>13</v>
      </c>
      <c r="B7318" t="s" s="2">
        <f>HYPERLINK("http://ts.21cn.com/tousu/show/id/1365330","畅捷支付给套路贷提供支付通道")</f>
      </c>
      <c r="C7318" t="s" s="2">
        <v>15</v>
      </c>
      <c r="D7318" t="s" s="2">
        <v>16</v>
      </c>
      <c r="E7318" t="s" s="2">
        <v>17</v>
      </c>
      <c r="F7318" t="s" s="2">
        <f>HYPERLINK("http://ts.21cn.com/tousu/show/id/1365330","http://ts.21cn.com/tousu/show/id/1365330")</f>
      </c>
      <c r="G7318" t="s" s="2">
        <v>17</v>
      </c>
      <c r="H7318" t="s" s="2">
        <v>19</v>
      </c>
      <c r="I7318" t="s" s="2">
        <v>28288</v>
      </c>
      <c r="J7318" t="s" s="2">
        <v>28289</v>
      </c>
      <c r="K7318" t="s" s="2">
        <v>22</v>
      </c>
      <c r="L7318" t="s" s="2">
        <v>22</v>
      </c>
      <c r="M7318" t="s" s="2">
        <v>22</v>
      </c>
    </row>
    <row r="7319" ht="25.0" customHeight="true">
      <c r="A7319" t="s" s="2">
        <v>13</v>
      </c>
      <c r="B7319" t="s" s="2">
        <f>HYPERLINK("http://ts.21cn.com/tousu/show/id/1365329","闪电借款已结清，平台迟迟不销账")</f>
      </c>
      <c r="C7319" t="s" s="2">
        <v>52</v>
      </c>
      <c r="D7319" t="s" s="2">
        <v>16</v>
      </c>
      <c r="E7319" t="s" s="2">
        <v>17</v>
      </c>
      <c r="F7319" t="s" s="2">
        <f>HYPERLINK("http://ts.21cn.com/tousu/show/id/1365329","http://ts.21cn.com/tousu/show/id/1365329")</f>
      </c>
      <c r="G7319" t="s" s="2">
        <v>17</v>
      </c>
      <c r="H7319" t="s" s="2">
        <v>19</v>
      </c>
      <c r="I7319" t="s" s="2">
        <v>28292</v>
      </c>
      <c r="J7319" t="s" s="2">
        <v>28293</v>
      </c>
      <c r="K7319" t="s" s="2">
        <v>22</v>
      </c>
      <c r="L7319" t="s" s="2">
        <v>22</v>
      </c>
      <c r="M7319" t="s" s="2">
        <v>22</v>
      </c>
    </row>
    <row r="7320" ht="25.0" customHeight="true">
      <c r="A7320" t="s" s="2">
        <v>13</v>
      </c>
      <c r="B7320" t="s" s="2">
        <f>HYPERLINK("http://ts.21cn.com/tousu/show/id/1365328","闪银App强制购买信用凭证，变相砍头息")</f>
      </c>
      <c r="C7320" t="s" s="2">
        <v>15</v>
      </c>
      <c r="D7320" t="s" s="2">
        <v>16</v>
      </c>
      <c r="E7320" t="s" s="2">
        <v>17</v>
      </c>
      <c r="F7320" t="s" s="2">
        <f>HYPERLINK("http://ts.21cn.com/tousu/show/id/1365328","http://ts.21cn.com/tousu/show/id/1365328")</f>
      </c>
      <c r="G7320" t="s" s="2">
        <v>17</v>
      </c>
      <c r="H7320" t="s" s="2">
        <v>19</v>
      </c>
      <c r="I7320" t="s" s="2">
        <v>28296</v>
      </c>
      <c r="J7320" t="s" s="2">
        <v>28297</v>
      </c>
      <c r="K7320" t="s" s="2">
        <v>22</v>
      </c>
      <c r="L7320" t="s" s="2">
        <v>22</v>
      </c>
      <c r="M7320" t="s" s="2">
        <v>22</v>
      </c>
    </row>
    <row r="7321" ht="25.0" customHeight="true">
      <c r="A7321" t="s" s="2">
        <v>13</v>
      </c>
      <c r="B7321" t="s" s="2">
        <f>HYPERLINK("http://ts.21cn.com/tousu/show/id/1365326","拼多多货款无法提现")</f>
      </c>
      <c r="C7321" t="s" s="2">
        <v>15</v>
      </c>
      <c r="D7321" t="s" s="2">
        <v>16</v>
      </c>
      <c r="E7321" t="s" s="2">
        <v>17</v>
      </c>
      <c r="F7321" t="s" s="2">
        <f>HYPERLINK("http://ts.21cn.com/tousu/show/id/1365326","http://ts.21cn.com/tousu/show/id/1365326")</f>
      </c>
      <c r="G7321" t="s" s="2">
        <v>17</v>
      </c>
      <c r="H7321" t="s" s="2">
        <v>19</v>
      </c>
      <c r="I7321" t="s" s="2">
        <v>28300</v>
      </c>
      <c r="J7321" t="s" s="2">
        <v>28301</v>
      </c>
      <c r="K7321" t="s" s="2">
        <v>22</v>
      </c>
      <c r="L7321" t="s" s="2">
        <v>22</v>
      </c>
      <c r="M7321" t="s" s="2">
        <v>22</v>
      </c>
    </row>
    <row r="7322" ht="25.0" customHeight="true">
      <c r="A7322" t="s" s="2">
        <v>13</v>
      </c>
      <c r="B7322" t="s" s="2">
        <f>HYPERLINK("http://ts.21cn.com/tousu/show/id/1365324","高速ETC办理中心不退押金")</f>
      </c>
      <c r="C7322" t="s" s="2">
        <v>15</v>
      </c>
      <c r="D7322" t="s" s="2">
        <v>16</v>
      </c>
      <c r="E7322" t="s" s="2">
        <v>17</v>
      </c>
      <c r="F7322" t="s" s="2">
        <f>HYPERLINK("http://ts.21cn.com/tousu/show/id/1365324","http://ts.21cn.com/tousu/show/id/1365324")</f>
      </c>
      <c r="G7322" t="s" s="2">
        <v>17</v>
      </c>
      <c r="H7322" t="s" s="2">
        <v>19</v>
      </c>
      <c r="I7322" t="s" s="2">
        <v>28304</v>
      </c>
      <c r="J7322" t="s" s="2">
        <v>28305</v>
      </c>
      <c r="K7322" t="s" s="2">
        <v>22</v>
      </c>
      <c r="L7322" t="s" s="2">
        <v>22</v>
      </c>
      <c r="M7322" t="s" s="2">
        <v>22</v>
      </c>
    </row>
    <row r="7323" ht="25.0" customHeight="true">
      <c r="A7323" t="s" s="2">
        <v>13</v>
      </c>
      <c r="B7323" t="s" s="2">
        <f>HYPERLINK("http://ts.21cn.com/tousu/show/id/1365325","未经本人同意扣除本人2000年费")</f>
      </c>
      <c r="C7323" t="s" s="2">
        <v>15</v>
      </c>
      <c r="D7323" t="s" s="2">
        <v>16</v>
      </c>
      <c r="E7323" t="s" s="2">
        <v>17</v>
      </c>
      <c r="F7323" t="s" s="2">
        <f>HYPERLINK("http://ts.21cn.com/tousu/show/id/1365325","http://ts.21cn.com/tousu/show/id/1365325")</f>
      </c>
      <c r="G7323" t="s" s="2">
        <v>17</v>
      </c>
      <c r="H7323" t="s" s="2">
        <v>19</v>
      </c>
      <c r="I7323" t="s" s="2">
        <v>28308</v>
      </c>
      <c r="J7323" t="s" s="2">
        <v>28309</v>
      </c>
      <c r="K7323" t="s" s="2">
        <v>22</v>
      </c>
      <c r="L7323" t="s" s="2">
        <v>22</v>
      </c>
      <c r="M7323" t="s" s="2">
        <v>22</v>
      </c>
    </row>
    <row r="7324" ht="25.0" customHeight="true">
      <c r="A7324" t="s" s="2">
        <v>13</v>
      </c>
      <c r="B7324" t="s" s="2">
        <f>HYPERLINK("http://ts.21cn.com/tousu/show/id/1365323","淘钱钱高利贷砍头息")</f>
      </c>
      <c r="C7324" t="s" s="2">
        <v>15</v>
      </c>
      <c r="D7324" t="s" s="2">
        <v>16</v>
      </c>
      <c r="E7324" t="s" s="2">
        <v>17</v>
      </c>
      <c r="F7324" t="s" s="2">
        <f>HYPERLINK("http://ts.21cn.com/tousu/show/id/1365323","http://ts.21cn.com/tousu/show/id/1365323")</f>
      </c>
      <c r="G7324" t="s" s="2">
        <v>17</v>
      </c>
      <c r="H7324" t="s" s="2">
        <v>19</v>
      </c>
      <c r="I7324" t="s" s="2">
        <v>28312</v>
      </c>
      <c r="J7324" t="s" s="2">
        <v>28313</v>
      </c>
      <c r="K7324" t="s" s="2">
        <v>22</v>
      </c>
      <c r="L7324" t="s" s="2">
        <v>22</v>
      </c>
      <c r="M7324" t="s" s="2">
        <v>22</v>
      </c>
    </row>
    <row r="7325" ht="25.0" customHeight="true">
      <c r="A7325" t="s" s="2">
        <v>13</v>
      </c>
      <c r="B7325" t="s" s="2">
        <f>HYPERLINK("http://ts.21cn.com/tousu/show/id/1365322","联动云租车押金不能提前退还本人学生急用钱")</f>
      </c>
      <c r="C7325" t="s" s="2">
        <v>15</v>
      </c>
      <c r="D7325" t="s" s="2">
        <v>16</v>
      </c>
      <c r="E7325" t="s" s="2">
        <v>17</v>
      </c>
      <c r="F7325" t="s" s="2">
        <f>HYPERLINK("http://ts.21cn.com/tousu/show/id/1365322","http://ts.21cn.com/tousu/show/id/1365322")</f>
      </c>
      <c r="G7325" t="s" s="2">
        <v>17</v>
      </c>
      <c r="H7325" t="s" s="2">
        <v>19</v>
      </c>
      <c r="I7325" t="s" s="2">
        <v>28316</v>
      </c>
      <c r="J7325" t="s" s="2">
        <v>28317</v>
      </c>
      <c r="K7325" t="s" s="2">
        <v>22</v>
      </c>
      <c r="L7325" t="s" s="2">
        <v>22</v>
      </c>
      <c r="M7325" t="s" s="2">
        <v>22</v>
      </c>
    </row>
    <row r="7326" ht="25.0" customHeight="true">
      <c r="A7326" t="s" s="2">
        <v>13</v>
      </c>
      <c r="B7326" t="s" s="2">
        <f>HYPERLINK("http://ts.21cn.com/tousu/show/id/1365321","凤凰城娱乐平台")</f>
      </c>
      <c r="C7326" t="s" s="2">
        <v>52</v>
      </c>
      <c r="D7326" t="s" s="2">
        <v>16</v>
      </c>
      <c r="E7326" t="s" s="2">
        <v>17</v>
      </c>
      <c r="F7326" t="s" s="2">
        <f>HYPERLINK("http://ts.21cn.com/tousu/show/id/1365321","http://ts.21cn.com/tousu/show/id/1365321")</f>
      </c>
      <c r="G7326" t="s" s="2">
        <v>17</v>
      </c>
      <c r="H7326" t="s" s="2">
        <v>19</v>
      </c>
      <c r="I7326" t="s" s="2">
        <v>28320</v>
      </c>
      <c r="J7326" t="s" s="2">
        <v>28321</v>
      </c>
      <c r="K7326" t="s" s="2">
        <v>22</v>
      </c>
      <c r="L7326" t="s" s="2">
        <v>22</v>
      </c>
      <c r="M7326" t="s" s="2">
        <v>22</v>
      </c>
    </row>
    <row r="7327" ht="25.0" customHeight="true">
      <c r="A7327" t="s" s="2">
        <v>13</v>
      </c>
      <c r="B7327" t="s" s="2">
        <f>HYPERLINK("http://ts.21cn.com/tousu/show/id/1364580","急用钱包乱扣费")</f>
      </c>
      <c r="C7327" t="s" s="2">
        <v>15</v>
      </c>
      <c r="D7327" t="s" s="2">
        <v>16</v>
      </c>
      <c r="E7327" t="s" s="2">
        <v>17</v>
      </c>
      <c r="F7327" t="s" s="2">
        <f>HYPERLINK("http://ts.21cn.com/tousu/show/id/1364580","http://ts.21cn.com/tousu/show/id/1364580")</f>
      </c>
      <c r="G7327" t="s" s="2">
        <v>17</v>
      </c>
      <c r="H7327" t="s" s="2">
        <v>19</v>
      </c>
      <c r="I7327" t="s" s="2">
        <v>28324</v>
      </c>
      <c r="J7327" t="s" s="2">
        <v>28325</v>
      </c>
      <c r="K7327" t="s" s="2">
        <v>22</v>
      </c>
      <c r="L7327" t="s" s="2">
        <v>22</v>
      </c>
      <c r="M7327" t="s" s="2">
        <v>22</v>
      </c>
    </row>
    <row r="7328" ht="25.0" customHeight="true">
      <c r="A7328" t="s" s="2">
        <v>13</v>
      </c>
      <c r="B7328" t="s" s="2">
        <f>HYPERLINK("http://ts.21cn.com/tousu/show/id/1365319","维信金科卡卡贷扣款成功不销账导致逾期")</f>
      </c>
      <c r="C7328" t="s" s="2">
        <v>15</v>
      </c>
      <c r="D7328" t="s" s="2">
        <v>16</v>
      </c>
      <c r="E7328" t="s" s="2">
        <v>17</v>
      </c>
      <c r="F7328" t="s" s="2">
        <f>HYPERLINK("http://ts.21cn.com/tousu/show/id/1365319","http://ts.21cn.com/tousu/show/id/1365319")</f>
      </c>
      <c r="G7328" t="s" s="2">
        <v>17</v>
      </c>
      <c r="H7328" t="s" s="2">
        <v>19</v>
      </c>
      <c r="I7328" t="s" s="2">
        <v>28328</v>
      </c>
      <c r="J7328" t="s" s="2">
        <v>28329</v>
      </c>
      <c r="K7328" t="s" s="2">
        <v>22</v>
      </c>
      <c r="L7328" t="s" s="2">
        <v>22</v>
      </c>
      <c r="M7328" t="s" s="2">
        <v>22</v>
      </c>
    </row>
    <row r="7329" ht="25.0" customHeight="true">
      <c r="A7329" t="s" s="2">
        <v>13</v>
      </c>
      <c r="B7329" t="s" s="2">
        <f>HYPERLINK("http://ts.21cn.com/tousu/show/id/1365320","左右钱包高炮714")</f>
      </c>
      <c r="C7329" t="s" s="2">
        <v>15</v>
      </c>
      <c r="D7329" t="s" s="2">
        <v>16</v>
      </c>
      <c r="E7329" t="s" s="2">
        <v>17</v>
      </c>
      <c r="F7329" t="s" s="2">
        <f>HYPERLINK("http://ts.21cn.com/tousu/show/id/1365320","http://ts.21cn.com/tousu/show/id/1365320")</f>
      </c>
      <c r="G7329" t="s" s="2">
        <v>17</v>
      </c>
      <c r="H7329" t="s" s="2">
        <v>19</v>
      </c>
      <c r="I7329" t="s" s="2">
        <v>28332</v>
      </c>
      <c r="J7329" t="s" s="2">
        <v>28333</v>
      </c>
      <c r="K7329" t="s" s="2">
        <v>22</v>
      </c>
      <c r="L7329" t="s" s="2">
        <v>22</v>
      </c>
      <c r="M7329" t="s" s="2">
        <v>22</v>
      </c>
    </row>
    <row r="7330" ht="25.0" customHeight="true">
      <c r="A7330" t="s" s="2">
        <v>13</v>
      </c>
      <c r="B7330" t="s" s="2">
        <f>HYPERLINK("http://ts.21cn.com/tousu/show/id/1365317","网贷逾期问题")</f>
      </c>
      <c r="C7330" t="s" s="2">
        <v>15</v>
      </c>
      <c r="D7330" t="s" s="2">
        <v>16</v>
      </c>
      <c r="E7330" t="s" s="2">
        <v>17</v>
      </c>
      <c r="F7330" t="s" s="2">
        <f>HYPERLINK("http://ts.21cn.com/tousu/show/id/1365317","http://ts.21cn.com/tousu/show/id/1365317")</f>
      </c>
      <c r="G7330" t="s" s="2">
        <v>17</v>
      </c>
      <c r="H7330" t="s" s="2">
        <v>19</v>
      </c>
      <c r="I7330" t="s" s="2">
        <v>28336</v>
      </c>
      <c r="J7330" t="s" s="2">
        <v>28337</v>
      </c>
      <c r="K7330" t="s" s="2">
        <v>22</v>
      </c>
      <c r="L7330" t="s" s="2">
        <v>22</v>
      </c>
      <c r="M7330" t="s" s="2">
        <v>22</v>
      </c>
    </row>
    <row r="7331" ht="25.0" customHeight="true">
      <c r="A7331" t="s" s="2">
        <v>13</v>
      </c>
      <c r="B7331" t="s" s="2">
        <f>HYPERLINK("http://ts.21cn.com/tousu/show/id/1365316","滴滴平台给分低的派单，我在热力区，分高不派，还无故增加本人投诉率。")</f>
      </c>
      <c r="C7331" t="s" s="2">
        <v>15</v>
      </c>
      <c r="D7331" t="s" s="2">
        <v>16</v>
      </c>
      <c r="E7331" t="s" s="2">
        <v>17</v>
      </c>
      <c r="F7331" t="s" s="2">
        <f>HYPERLINK("http://ts.21cn.com/tousu/show/id/1365316","http://ts.21cn.com/tousu/show/id/1365316")</f>
      </c>
      <c r="G7331" t="s" s="2">
        <v>17</v>
      </c>
      <c r="H7331" t="s" s="2">
        <v>19</v>
      </c>
      <c r="I7331" t="s" s="2">
        <v>28340</v>
      </c>
      <c r="J7331" t="s" s="2">
        <v>28341</v>
      </c>
      <c r="K7331" t="s" s="2">
        <v>22</v>
      </c>
      <c r="L7331" t="s" s="2">
        <v>22</v>
      </c>
      <c r="M7331" t="s" s="2">
        <v>22</v>
      </c>
    </row>
    <row r="7332" ht="25.0" customHeight="true">
      <c r="A7332" t="s" s="2">
        <v>13</v>
      </c>
      <c r="B7332" t="s" s="2">
        <f>HYPERLINK("http://ts.21cn.com/tousu/show/id/1365318","人人花乱扣费")</f>
      </c>
      <c r="C7332" t="s" s="2">
        <v>15</v>
      </c>
      <c r="D7332" t="s" s="2">
        <v>16</v>
      </c>
      <c r="E7332" t="s" s="2">
        <v>17</v>
      </c>
      <c r="F7332" t="s" s="2">
        <f>HYPERLINK("http://ts.21cn.com/tousu/show/id/1365318","http://ts.21cn.com/tousu/show/id/1365318")</f>
      </c>
      <c r="G7332" t="s" s="2">
        <v>17</v>
      </c>
      <c r="H7332" t="s" s="2">
        <v>19</v>
      </c>
      <c r="I7332" t="s" s="2">
        <v>28343</v>
      </c>
      <c r="J7332" t="s" s="2">
        <v>28344</v>
      </c>
      <c r="K7332" t="s" s="2">
        <v>22</v>
      </c>
      <c r="L7332" t="s" s="2">
        <v>22</v>
      </c>
      <c r="M7332" t="s" s="2">
        <v>22</v>
      </c>
    </row>
    <row r="7333" ht="25.0" customHeight="true">
      <c r="A7333" t="s" s="2">
        <v>13</v>
      </c>
      <c r="B7333" t="s" s="2">
        <f>HYPERLINK("http://ts.21cn.com/tousu/show/id/1364902","云闪付京东金融为非法网站提供充值通道")</f>
      </c>
      <c r="C7333" t="s" s="2">
        <v>15</v>
      </c>
      <c r="D7333" t="s" s="2">
        <v>16</v>
      </c>
      <c r="E7333" t="s" s="2">
        <v>17</v>
      </c>
      <c r="F7333" t="s" s="2">
        <f>HYPERLINK("http://ts.21cn.com/tousu/show/id/1364902","http://ts.21cn.com/tousu/show/id/1364902")</f>
      </c>
      <c r="G7333" t="s" s="2">
        <v>17</v>
      </c>
      <c r="H7333" t="s" s="2">
        <v>19</v>
      </c>
      <c r="I7333" t="s" s="2">
        <v>28347</v>
      </c>
      <c r="J7333" t="s" s="2">
        <v>28348</v>
      </c>
      <c r="K7333" t="s" s="2">
        <v>22</v>
      </c>
      <c r="L7333" t="s" s="2">
        <v>22</v>
      </c>
      <c r="M7333" t="s" s="2">
        <v>22</v>
      </c>
    </row>
    <row r="7334" ht="25.0" customHeight="true">
      <c r="A7334" t="s" s="2">
        <v>13</v>
      </c>
      <c r="B7334" t="s" s="2">
        <f>HYPERLINK("http://ts.21cn.com/tousu/show/id/1365315","不遵循商业银行监督管理办法第70条不同意协商还款")</f>
      </c>
      <c r="C7334" t="s" s="2">
        <v>15</v>
      </c>
      <c r="D7334" t="s" s="2">
        <v>16</v>
      </c>
      <c r="E7334" t="s" s="2">
        <v>17</v>
      </c>
      <c r="F7334" t="s" s="2">
        <f>HYPERLINK("http://ts.21cn.com/tousu/show/id/1365315","http://ts.21cn.com/tousu/show/id/1365315")</f>
      </c>
      <c r="G7334" t="s" s="2">
        <v>17</v>
      </c>
      <c r="H7334" t="s" s="2">
        <v>19</v>
      </c>
      <c r="I7334" t="s" s="2">
        <v>28351</v>
      </c>
      <c r="J7334" t="s" s="2">
        <v>28352</v>
      </c>
      <c r="K7334" t="s" s="2">
        <v>22</v>
      </c>
      <c r="L7334" t="s" s="2">
        <v>22</v>
      </c>
      <c r="M7334" t="s" s="2">
        <v>22</v>
      </c>
    </row>
    <row r="7335" ht="25.0" customHeight="true">
      <c r="A7335" t="s" s="2">
        <v>13</v>
      </c>
      <c r="B7335" t="s" s="2">
        <f>HYPERLINK("http://ts.21cn.com/tousu/show/id/1365314","鸿福网贷恶意放款时漏款")</f>
      </c>
      <c r="C7335" t="s" s="2">
        <v>15</v>
      </c>
      <c r="D7335" t="s" s="2">
        <v>16</v>
      </c>
      <c r="E7335" t="s" s="2">
        <v>17</v>
      </c>
      <c r="F7335" t="s" s="2">
        <f>HYPERLINK("http://ts.21cn.com/tousu/show/id/1365314","http://ts.21cn.com/tousu/show/id/1365314")</f>
      </c>
      <c r="G7335" t="s" s="2">
        <v>17</v>
      </c>
      <c r="H7335" t="s" s="2">
        <v>19</v>
      </c>
      <c r="I7335" t="s" s="2">
        <v>28355</v>
      </c>
      <c r="J7335" t="s" s="2">
        <v>28356</v>
      </c>
      <c r="K7335" t="s" s="2">
        <v>22</v>
      </c>
      <c r="L7335" t="s" s="2">
        <v>22</v>
      </c>
      <c r="M7335" t="s" s="2">
        <v>22</v>
      </c>
    </row>
    <row r="7336" ht="25.0" customHeight="true">
      <c r="A7336" t="s" s="2">
        <v>13</v>
      </c>
      <c r="B7336" t="s" s="2">
        <f>HYPERLINK("http://ts.21cn.com/tousu/show/id/1365313","要求创客工具箱撤销我的降权打标")</f>
      </c>
      <c r="C7336" t="s" s="2">
        <v>15</v>
      </c>
      <c r="D7336" t="s" s="2">
        <v>16</v>
      </c>
      <c r="E7336" t="s" s="2">
        <v>17</v>
      </c>
      <c r="F7336" t="s" s="2">
        <f>HYPERLINK("http://ts.21cn.com/tousu/show/id/1365313","http://ts.21cn.com/tousu/show/id/1365313")</f>
      </c>
      <c r="G7336" t="s" s="2">
        <v>17</v>
      </c>
      <c r="H7336" t="s" s="2">
        <v>19</v>
      </c>
      <c r="I7336" t="s" s="2">
        <v>28359</v>
      </c>
      <c r="J7336" t="s" s="2">
        <v>28360</v>
      </c>
      <c r="K7336" t="s" s="2">
        <v>22</v>
      </c>
      <c r="L7336" t="s" s="2">
        <v>22</v>
      </c>
      <c r="M7336" t="s" s="2">
        <v>22</v>
      </c>
    </row>
    <row r="7337" ht="25.0" customHeight="true">
      <c r="A7337" t="s" s="2">
        <v>13</v>
      </c>
      <c r="B7337" t="s" s="2">
        <f>HYPERLINK("http://ts.21cn.com/tousu/show/id/1365312","花薪暴利催收高额砍头息逾期利息")</f>
      </c>
      <c r="C7337" t="s" s="2">
        <v>15</v>
      </c>
      <c r="D7337" t="s" s="2">
        <v>16</v>
      </c>
      <c r="E7337" t="s" s="2">
        <v>17</v>
      </c>
      <c r="F7337" t="s" s="2">
        <f>HYPERLINK("http://ts.21cn.com/tousu/show/id/1365312","http://ts.21cn.com/tousu/show/id/1365312")</f>
      </c>
      <c r="G7337" t="s" s="2">
        <v>17</v>
      </c>
      <c r="H7337" t="s" s="2">
        <v>19</v>
      </c>
      <c r="I7337" t="s" s="2">
        <v>28363</v>
      </c>
      <c r="J7337" t="s" s="2">
        <v>28364</v>
      </c>
      <c r="K7337" t="s" s="2">
        <v>22</v>
      </c>
      <c r="L7337" t="s" s="2">
        <v>22</v>
      </c>
      <c r="M7337" t="s" s="2">
        <v>22</v>
      </c>
    </row>
    <row r="7338" ht="25.0" customHeight="true">
      <c r="A7338" t="s" s="2">
        <v>13</v>
      </c>
      <c r="B7338" t="s" s="2">
        <f>HYPERLINK("http://ts.21cn.com/tousu/show/id/1365311","华尔街英语霸王条款，要求解除合同并退款")</f>
      </c>
      <c r="C7338" t="s" s="2">
        <v>15</v>
      </c>
      <c r="D7338" t="s" s="2">
        <v>16</v>
      </c>
      <c r="E7338" t="s" s="2">
        <v>17</v>
      </c>
      <c r="F7338" t="s" s="2">
        <f>HYPERLINK("http://ts.21cn.com/tousu/show/id/1365311","http://ts.21cn.com/tousu/show/id/1365311")</f>
      </c>
      <c r="G7338" t="s" s="2">
        <v>17</v>
      </c>
      <c r="H7338" t="s" s="2">
        <v>19</v>
      </c>
      <c r="I7338" t="s" s="2">
        <v>28367</v>
      </c>
      <c r="J7338" t="s" s="2">
        <v>28368</v>
      </c>
      <c r="K7338" t="s" s="2">
        <v>22</v>
      </c>
      <c r="L7338" t="s" s="2">
        <v>22</v>
      </c>
      <c r="M7338" t="s" s="2">
        <v>22</v>
      </c>
    </row>
    <row r="7339" ht="25.0" customHeight="true">
      <c r="A7339" t="s" s="2">
        <v>13</v>
      </c>
      <c r="B7339" t="s" s="2">
        <f>HYPERLINK("http://ts.21cn.com/tousu/show/id/1365309","一点分期骚扰联系人")</f>
      </c>
      <c r="C7339" t="s" s="2">
        <v>15</v>
      </c>
      <c r="D7339" t="s" s="2">
        <v>16</v>
      </c>
      <c r="E7339" t="s" s="2">
        <v>17</v>
      </c>
      <c r="F7339" t="s" s="2">
        <f>HYPERLINK("http://ts.21cn.com/tousu/show/id/1365309","http://ts.21cn.com/tousu/show/id/1365309")</f>
      </c>
      <c r="G7339" t="s" s="2">
        <v>17</v>
      </c>
      <c r="H7339" t="s" s="2">
        <v>19</v>
      </c>
      <c r="I7339" t="s" s="2">
        <v>28371</v>
      </c>
      <c r="J7339" t="s" s="2">
        <v>28372</v>
      </c>
      <c r="K7339" t="s" s="2">
        <v>22</v>
      </c>
      <c r="L7339" t="s" s="2">
        <v>22</v>
      </c>
      <c r="M7339" t="s" s="2">
        <v>22</v>
      </c>
    </row>
    <row r="7340" ht="25.0" customHeight="true">
      <c r="A7340" t="s" s="2">
        <v>13</v>
      </c>
      <c r="B7340" t="s" s="2">
        <f>HYPERLINK("http://ts.21cn.com/tousu/show/id/1365310","月光侠分期阴阳合同，砍头息！高利息超出国家标准！")</f>
      </c>
      <c r="C7340" t="s" s="2">
        <v>15</v>
      </c>
      <c r="D7340" t="s" s="2">
        <v>16</v>
      </c>
      <c r="E7340" t="s" s="2">
        <v>17</v>
      </c>
      <c r="F7340" t="s" s="2">
        <f>HYPERLINK("http://ts.21cn.com/tousu/show/id/1365310","http://ts.21cn.com/tousu/show/id/1365310")</f>
      </c>
      <c r="G7340" t="s" s="2">
        <v>17</v>
      </c>
      <c r="H7340" t="s" s="2">
        <v>19</v>
      </c>
      <c r="I7340" t="s" s="2">
        <v>28375</v>
      </c>
      <c r="J7340" t="s" s="2">
        <v>28376</v>
      </c>
      <c r="K7340" t="s" s="2">
        <v>22</v>
      </c>
      <c r="L7340" t="s" s="2">
        <v>22</v>
      </c>
      <c r="M7340" t="s" s="2">
        <v>22</v>
      </c>
    </row>
    <row r="7341" ht="25.0" customHeight="true">
      <c r="A7341" t="s" s="2">
        <v>13</v>
      </c>
      <c r="B7341" t="s" s="2">
        <f>HYPERLINK("http://ts.21cn.com/tousu/show/id/1365306","联合新橙优品平台发放高利贷")</f>
      </c>
      <c r="C7341" t="s" s="2">
        <v>15</v>
      </c>
      <c r="D7341" t="s" s="2">
        <v>16</v>
      </c>
      <c r="E7341" t="s" s="2">
        <v>17</v>
      </c>
      <c r="F7341" t="s" s="2">
        <f>HYPERLINK("http://ts.21cn.com/tousu/show/id/1365306","http://ts.21cn.com/tousu/show/id/1365306")</f>
      </c>
      <c r="G7341" t="s" s="2">
        <v>17</v>
      </c>
      <c r="H7341" t="s" s="2">
        <v>19</v>
      </c>
      <c r="I7341" t="s" s="2">
        <v>28379</v>
      </c>
      <c r="J7341" t="s" s="2">
        <v>28380</v>
      </c>
      <c r="K7341" t="s" s="2">
        <v>22</v>
      </c>
      <c r="L7341" t="s" s="2">
        <v>22</v>
      </c>
      <c r="M7341" t="s" s="2">
        <v>22</v>
      </c>
    </row>
    <row r="7342" ht="25.0" customHeight="true">
      <c r="A7342" t="s" s="2">
        <v>13</v>
      </c>
      <c r="B7342" t="s" s="2">
        <f>HYPERLINK("http://ts.21cn.com/tousu/show/id/1365308","闪银的哼哼，瞬瞬乱打通讯录")</f>
      </c>
      <c r="C7342" t="s" s="2">
        <v>15</v>
      </c>
      <c r="D7342" t="s" s="2">
        <v>16</v>
      </c>
      <c r="E7342" t="s" s="2">
        <v>17</v>
      </c>
      <c r="F7342" t="s" s="2">
        <f>HYPERLINK("http://ts.21cn.com/tousu/show/id/1365308","http://ts.21cn.com/tousu/show/id/1365308")</f>
      </c>
      <c r="G7342" t="s" s="2">
        <v>17</v>
      </c>
      <c r="H7342" t="s" s="2">
        <v>19</v>
      </c>
      <c r="I7342" t="s" s="2">
        <v>28383</v>
      </c>
      <c r="J7342" t="s" s="2">
        <v>28384</v>
      </c>
      <c r="K7342" t="s" s="2">
        <v>22</v>
      </c>
      <c r="L7342" t="s" s="2">
        <v>22</v>
      </c>
      <c r="M7342" t="s" s="2">
        <v>22</v>
      </c>
    </row>
    <row r="7343" ht="25.0" customHeight="true">
      <c r="A7343" t="s" s="2">
        <v>13</v>
      </c>
      <c r="B7343" t="s" s="2">
        <f>HYPERLINK("http://ts.21cn.com/tousu/show/id/1365307","友信信贷在未逾期的时间内对借款人进行暴力催收")</f>
      </c>
      <c r="C7343" t="s" s="2">
        <v>15</v>
      </c>
      <c r="D7343" t="s" s="2">
        <v>16</v>
      </c>
      <c r="E7343" t="s" s="2">
        <v>17</v>
      </c>
      <c r="F7343" t="s" s="2">
        <f>HYPERLINK("http://ts.21cn.com/tousu/show/id/1365307","http://ts.21cn.com/tousu/show/id/1365307")</f>
      </c>
      <c r="G7343" t="s" s="2">
        <v>17</v>
      </c>
      <c r="H7343" t="s" s="2">
        <v>19</v>
      </c>
      <c r="I7343" t="s" s="2">
        <v>28386</v>
      </c>
      <c r="J7343" t="s" s="2">
        <v>28387</v>
      </c>
      <c r="K7343" t="s" s="2">
        <v>22</v>
      </c>
      <c r="L7343" t="s" s="2">
        <v>22</v>
      </c>
      <c r="M7343" t="s" s="2">
        <v>22</v>
      </c>
    </row>
    <row r="7344" ht="25.0" customHeight="true">
      <c r="A7344" t="s" s="2">
        <v>13</v>
      </c>
      <c r="B7344" t="s" s="2">
        <f>HYPERLINK("http://ts.21cn.com/tousu/show/id/1365305","中国银联违规为高利贷提供扣款服务")</f>
      </c>
      <c r="C7344" t="s" s="2">
        <v>15</v>
      </c>
      <c r="D7344" t="s" s="2">
        <v>16</v>
      </c>
      <c r="E7344" t="s" s="2">
        <v>17</v>
      </c>
      <c r="F7344" t="s" s="2">
        <f>HYPERLINK("http://ts.21cn.com/tousu/show/id/1365305","http://ts.21cn.com/tousu/show/id/1365305")</f>
      </c>
      <c r="G7344" t="s" s="2">
        <v>17</v>
      </c>
      <c r="H7344" t="s" s="2">
        <v>19</v>
      </c>
      <c r="I7344" t="s" s="2">
        <v>28390</v>
      </c>
      <c r="J7344" t="s" s="2">
        <v>28391</v>
      </c>
      <c r="K7344" t="s" s="2">
        <v>22</v>
      </c>
      <c r="L7344" t="s" s="2">
        <v>22</v>
      </c>
      <c r="M7344" t="s" s="2">
        <v>22</v>
      </c>
    </row>
    <row r="7345" ht="25.0" customHeight="true">
      <c r="A7345" t="s" s="2">
        <v>13</v>
      </c>
      <c r="B7345" t="s" s="2">
        <f>HYPERLINK("http://ts.21cn.com/tousu/show/id/1365304","马上消费金融公司态度恶劣")</f>
      </c>
      <c r="C7345" t="s" s="2">
        <v>15</v>
      </c>
      <c r="D7345" t="s" s="2">
        <v>16</v>
      </c>
      <c r="E7345" t="s" s="2">
        <v>17</v>
      </c>
      <c r="F7345" t="s" s="2">
        <f>HYPERLINK("http://ts.21cn.com/tousu/show/id/1365304","http://ts.21cn.com/tousu/show/id/1365304")</f>
      </c>
      <c r="G7345" t="s" s="2">
        <v>17</v>
      </c>
      <c r="H7345" t="s" s="2">
        <v>19</v>
      </c>
      <c r="I7345" t="s" s="2">
        <v>28394</v>
      </c>
      <c r="J7345" t="s" s="2">
        <v>28395</v>
      </c>
      <c r="K7345" t="s" s="2">
        <v>22</v>
      </c>
      <c r="L7345" t="s" s="2">
        <v>22</v>
      </c>
      <c r="M7345" t="s" s="2">
        <v>22</v>
      </c>
    </row>
    <row r="7346" ht="25.0" customHeight="true">
      <c r="A7346" t="s" s="2">
        <v>13</v>
      </c>
      <c r="B7346" t="s" s="2">
        <f>HYPERLINK("http://ts.21cn.com/tousu/show/id/1365303","希望浦发信用卡能协商还款")</f>
      </c>
      <c r="C7346" t="s" s="2">
        <v>15</v>
      </c>
      <c r="D7346" t="s" s="2">
        <v>16</v>
      </c>
      <c r="E7346" t="s" s="2">
        <v>17</v>
      </c>
      <c r="F7346" t="s" s="2">
        <f>HYPERLINK("http://ts.21cn.com/tousu/show/id/1365303","http://ts.21cn.com/tousu/show/id/1365303")</f>
      </c>
      <c r="G7346" t="s" s="2">
        <v>17</v>
      </c>
      <c r="H7346" t="s" s="2">
        <v>19</v>
      </c>
      <c r="I7346" t="s" s="2">
        <v>28398</v>
      </c>
      <c r="J7346" t="s" s="2">
        <v>28399</v>
      </c>
      <c r="K7346" t="s" s="2">
        <v>22</v>
      </c>
      <c r="L7346" t="s" s="2">
        <v>22</v>
      </c>
      <c r="M7346" t="s" s="2">
        <v>22</v>
      </c>
    </row>
    <row r="7347" ht="25.0" customHeight="true">
      <c r="A7347" t="s" s="2">
        <v>13</v>
      </c>
      <c r="B7347" t="s" s="2">
        <f>HYPERLINK("http://ts.21cn.com/tousu/show/id/1365302","恒易贷还款之后第二天又扣款还给弄成逾期")</f>
      </c>
      <c r="C7347" t="s" s="2">
        <v>52</v>
      </c>
      <c r="D7347" t="s" s="2">
        <v>16</v>
      </c>
      <c r="E7347" t="s" s="2">
        <v>17</v>
      </c>
      <c r="F7347" t="s" s="2">
        <f>HYPERLINK("http://ts.21cn.com/tousu/show/id/1365302","http://ts.21cn.com/tousu/show/id/1365302")</f>
      </c>
      <c r="G7347" t="s" s="2">
        <v>17</v>
      </c>
      <c r="H7347" t="s" s="2">
        <v>19</v>
      </c>
      <c r="I7347" t="s" s="2">
        <v>28402</v>
      </c>
      <c r="J7347" t="s" s="2">
        <v>28403</v>
      </c>
      <c r="K7347" t="s" s="2">
        <v>22</v>
      </c>
      <c r="L7347" t="s" s="2">
        <v>22</v>
      </c>
      <c r="M7347" t="s" s="2">
        <v>22</v>
      </c>
    </row>
    <row r="7348" ht="25.0" customHeight="true">
      <c r="A7348" t="s" s="2">
        <v>13</v>
      </c>
      <c r="B7348" t="s" s="2">
        <f>HYPERLINK("http://ts.21cn.com/tousu/show/id/1365300","电话催收与爆人隐私")</f>
      </c>
      <c r="C7348" t="s" s="2">
        <v>15</v>
      </c>
      <c r="D7348" t="s" s="2">
        <v>16</v>
      </c>
      <c r="E7348" t="s" s="2">
        <v>17</v>
      </c>
      <c r="F7348" t="s" s="2">
        <f>HYPERLINK("http://ts.21cn.com/tousu/show/id/1365300","http://ts.21cn.com/tousu/show/id/1365300")</f>
      </c>
      <c r="G7348" t="s" s="2">
        <v>17</v>
      </c>
      <c r="H7348" t="s" s="2">
        <v>19</v>
      </c>
      <c r="I7348" t="s" s="2">
        <v>28406</v>
      </c>
      <c r="J7348" t="s" s="2">
        <v>28407</v>
      </c>
      <c r="K7348" t="s" s="2">
        <v>22</v>
      </c>
      <c r="L7348" t="s" s="2">
        <v>22</v>
      </c>
      <c r="M7348" t="s" s="2">
        <v>22</v>
      </c>
    </row>
    <row r="7349" ht="25.0" customHeight="true">
      <c r="A7349" t="s" s="2">
        <v>13</v>
      </c>
      <c r="B7349" t="s" s="2">
        <f>HYPERLINK("http://ts.21cn.com/tousu/show/id/1365299","电话骚扰")</f>
      </c>
      <c r="C7349" t="s" s="2">
        <v>15</v>
      </c>
      <c r="D7349" t="s" s="2">
        <v>16</v>
      </c>
      <c r="E7349" t="s" s="2">
        <v>17</v>
      </c>
      <c r="F7349" t="s" s="2">
        <f>HYPERLINK("http://ts.21cn.com/tousu/show/id/1365299","http://ts.21cn.com/tousu/show/id/1365299")</f>
      </c>
      <c r="G7349" t="s" s="2">
        <v>17</v>
      </c>
      <c r="H7349" t="s" s="2">
        <v>19</v>
      </c>
      <c r="I7349" t="s" s="2">
        <v>28409</v>
      </c>
      <c r="J7349" t="s" s="2">
        <v>28410</v>
      </c>
      <c r="K7349" t="s" s="2">
        <v>22</v>
      </c>
      <c r="L7349" t="s" s="2">
        <v>22</v>
      </c>
      <c r="M7349" t="s" s="2">
        <v>22</v>
      </c>
    </row>
    <row r="7350" ht="25.0" customHeight="true">
      <c r="A7350" t="s" s="2">
        <v>13</v>
      </c>
      <c r="B7350" t="s" s="2">
        <f>HYPERLINK("http://ts.21cn.com/tousu/show/id/1365298","钱橙无忧盗取银行卡密码，恶意盗刷168元，")</f>
      </c>
      <c r="C7350" t="s" s="2">
        <v>15</v>
      </c>
      <c r="D7350" t="s" s="2">
        <v>16</v>
      </c>
      <c r="E7350" t="s" s="2">
        <v>17</v>
      </c>
      <c r="F7350" t="s" s="2">
        <f>HYPERLINK("http://ts.21cn.com/tousu/show/id/1365298","http://ts.21cn.com/tousu/show/id/1365298")</f>
      </c>
      <c r="G7350" t="s" s="2">
        <v>17</v>
      </c>
      <c r="H7350" t="s" s="2">
        <v>19</v>
      </c>
      <c r="I7350" t="s" s="2">
        <v>28413</v>
      </c>
      <c r="J7350" t="s" s="2">
        <v>28414</v>
      </c>
      <c r="K7350" t="s" s="2">
        <v>22</v>
      </c>
      <c r="L7350" t="s" s="2">
        <v>22</v>
      </c>
      <c r="M7350" t="s" s="2">
        <v>22</v>
      </c>
    </row>
    <row r="7351" ht="25.0" customHeight="true">
      <c r="A7351" t="s" s="2">
        <v>13</v>
      </c>
      <c r="B7351" t="s" s="2">
        <f>HYPERLINK("http://ts.21cn.com/tousu/show/id/1365297","带上钱暴力催收")</f>
      </c>
      <c r="C7351" t="s" s="2">
        <v>15</v>
      </c>
      <c r="D7351" t="s" s="2">
        <v>16</v>
      </c>
      <c r="E7351" t="s" s="2">
        <v>17</v>
      </c>
      <c r="F7351" t="s" s="2">
        <f>HYPERLINK("http://ts.21cn.com/tousu/show/id/1365297","http://ts.21cn.com/tousu/show/id/1365297")</f>
      </c>
      <c r="G7351" t="s" s="2">
        <v>17</v>
      </c>
      <c r="H7351" t="s" s="2">
        <v>19</v>
      </c>
      <c r="I7351" t="s" s="2">
        <v>28417</v>
      </c>
      <c r="J7351" t="s" s="2">
        <v>28418</v>
      </c>
      <c r="K7351" t="s" s="2">
        <v>22</v>
      </c>
      <c r="L7351" t="s" s="2">
        <v>22</v>
      </c>
      <c r="M7351" t="s" s="2">
        <v>22</v>
      </c>
    </row>
    <row r="7352" ht="25.0" customHeight="true">
      <c r="A7352" t="s" s="2">
        <v>13</v>
      </c>
      <c r="B7352" t="s" s="2">
        <f>HYPERLINK("http://ts.21cn.com/tousu/show/id/1365295","信用卡第三方催收通过非法途径调查通话纪律骚扰家人")</f>
      </c>
      <c r="C7352" t="s" s="2">
        <v>15</v>
      </c>
      <c r="D7352" t="s" s="2">
        <v>16</v>
      </c>
      <c r="E7352" t="s" s="2">
        <v>17</v>
      </c>
      <c r="F7352" t="s" s="2">
        <f>HYPERLINK("http://ts.21cn.com/tousu/show/id/1365295","http://ts.21cn.com/tousu/show/id/1365295")</f>
      </c>
      <c r="G7352" t="s" s="2">
        <v>17</v>
      </c>
      <c r="H7352" t="s" s="2">
        <v>19</v>
      </c>
      <c r="I7352" t="s" s="2">
        <v>28421</v>
      </c>
      <c r="J7352" t="s" s="2">
        <v>28422</v>
      </c>
      <c r="K7352" t="s" s="2">
        <v>22</v>
      </c>
      <c r="L7352" t="s" s="2">
        <v>22</v>
      </c>
      <c r="M7352" t="s" s="2">
        <v>22</v>
      </c>
    </row>
    <row r="7353" ht="25.0" customHeight="true">
      <c r="A7353" t="s" s="2">
        <v>13</v>
      </c>
      <c r="B7353" t="s" s="2">
        <f>HYPERLINK("http://ts.21cn.com/tousu/show/id/1365292","北京胜亿信息技术有限公司没有按照合同履行，忽悠消费者")</f>
      </c>
      <c r="C7353" t="s" s="2">
        <v>15</v>
      </c>
      <c r="D7353" t="s" s="2">
        <v>16</v>
      </c>
      <c r="E7353" t="s" s="2">
        <v>17</v>
      </c>
      <c r="F7353" t="s" s="2">
        <f>HYPERLINK("http://ts.21cn.com/tousu/show/id/1365292","http://ts.21cn.com/tousu/show/id/1365292")</f>
      </c>
      <c r="G7353" t="s" s="2">
        <v>17</v>
      </c>
      <c r="H7353" t="s" s="2">
        <v>19</v>
      </c>
      <c r="I7353" t="s" s="2">
        <v>28425</v>
      </c>
      <c r="J7353" t="s" s="2">
        <v>28426</v>
      </c>
      <c r="K7353" t="s" s="2">
        <v>22</v>
      </c>
      <c r="L7353" t="s" s="2">
        <v>22</v>
      </c>
      <c r="M7353" t="s" s="2">
        <v>22</v>
      </c>
    </row>
    <row r="7354" ht="25.0" customHeight="true">
      <c r="A7354" t="s" s="2">
        <v>13</v>
      </c>
      <c r="B7354" t="s" s="2">
        <f>HYPERLINK("http://ts.21cn.com/tousu/show/id/1365293","盈盈有钱高利息暴力催收辱骂人")</f>
      </c>
      <c r="C7354" t="s" s="2">
        <v>15</v>
      </c>
      <c r="D7354" t="s" s="2">
        <v>16</v>
      </c>
      <c r="E7354" t="s" s="2">
        <v>17</v>
      </c>
      <c r="F7354" t="s" s="2">
        <f>HYPERLINK("http://ts.21cn.com/tousu/show/id/1365293","http://ts.21cn.com/tousu/show/id/1365293")</f>
      </c>
      <c r="G7354" t="s" s="2">
        <v>17</v>
      </c>
      <c r="H7354" t="s" s="2">
        <v>19</v>
      </c>
      <c r="I7354" t="s" s="2">
        <v>28429</v>
      </c>
      <c r="J7354" t="s" s="2">
        <v>28430</v>
      </c>
      <c r="K7354" t="s" s="2">
        <v>22</v>
      </c>
      <c r="L7354" t="s" s="2">
        <v>22</v>
      </c>
      <c r="M7354" t="s" s="2">
        <v>22</v>
      </c>
    </row>
    <row r="7355" ht="25.0" customHeight="true">
      <c r="A7355" t="s" s="2">
        <v>13</v>
      </c>
      <c r="B7355" t="s" s="2">
        <f>HYPERLINK("http://ts.21cn.com/tousu/show/id/1362677","被借款平台催收，爆通讯录")</f>
      </c>
      <c r="C7355" t="s" s="2">
        <v>15</v>
      </c>
      <c r="D7355" t="s" s="2">
        <v>16</v>
      </c>
      <c r="E7355" t="s" s="2">
        <v>17</v>
      </c>
      <c r="F7355" t="s" s="2">
        <f>HYPERLINK("http://ts.21cn.com/tousu/show/id/1362677","http://ts.21cn.com/tousu/show/id/1362677")</f>
      </c>
      <c r="G7355" t="s" s="2">
        <v>17</v>
      </c>
      <c r="H7355" t="s" s="2">
        <v>19</v>
      </c>
      <c r="I7355" t="s" s="2">
        <v>28433</v>
      </c>
      <c r="J7355" t="s" s="2">
        <v>28434</v>
      </c>
      <c r="K7355" t="s" s="2">
        <v>22</v>
      </c>
      <c r="L7355" t="s" s="2">
        <v>22</v>
      </c>
      <c r="M7355" t="s" s="2">
        <v>22</v>
      </c>
    </row>
    <row r="7356" ht="25.0" customHeight="true">
      <c r="A7356" t="s" s="2">
        <v>13</v>
      </c>
      <c r="B7356" t="s" s="2">
        <f>HYPERLINK("http://ts.21cn.com/tousu/show/id/1365287","及贷软暴力")</f>
      </c>
      <c r="C7356" t="s" s="2">
        <v>15</v>
      </c>
      <c r="D7356" t="s" s="2">
        <v>16</v>
      </c>
      <c r="E7356" t="s" s="2">
        <v>17</v>
      </c>
      <c r="F7356" t="s" s="2">
        <f>HYPERLINK("http://ts.21cn.com/tousu/show/id/1365287","http://ts.21cn.com/tousu/show/id/1365287")</f>
      </c>
      <c r="G7356" t="s" s="2">
        <v>17</v>
      </c>
      <c r="H7356" t="s" s="2">
        <v>19</v>
      </c>
      <c r="I7356" t="s" s="2">
        <v>28437</v>
      </c>
      <c r="J7356" t="s" s="2">
        <v>28438</v>
      </c>
      <c r="K7356" t="s" s="2">
        <v>22</v>
      </c>
      <c r="L7356" t="s" s="2">
        <v>22</v>
      </c>
      <c r="M7356" t="s" s="2">
        <v>22</v>
      </c>
    </row>
    <row r="7357" ht="25.0" customHeight="true">
      <c r="A7357" t="s" s="2">
        <v>13</v>
      </c>
      <c r="B7357" t="s" s="2">
        <f>HYPERLINK("http://ts.21cn.com/tousu/show/id/1365285","水滴钱包为一应聚全科技旗下，714高炮高利贷")</f>
      </c>
      <c r="C7357" t="s" s="2">
        <v>15</v>
      </c>
      <c r="D7357" t="s" s="2">
        <v>16</v>
      </c>
      <c r="E7357" t="s" s="2">
        <v>17</v>
      </c>
      <c r="F7357" t="s" s="2">
        <f>HYPERLINK("http://ts.21cn.com/tousu/show/id/1365285","http://ts.21cn.com/tousu/show/id/1365285")</f>
      </c>
      <c r="G7357" t="s" s="2">
        <v>17</v>
      </c>
      <c r="H7357" t="s" s="2">
        <v>19</v>
      </c>
      <c r="I7357" t="s" s="2">
        <v>28441</v>
      </c>
      <c r="J7357" t="s" s="2">
        <v>28442</v>
      </c>
      <c r="K7357" t="s" s="2">
        <v>22</v>
      </c>
      <c r="L7357" t="s" s="2">
        <v>22</v>
      </c>
      <c r="M7357" t="s" s="2">
        <v>22</v>
      </c>
    </row>
    <row r="7358" ht="25.0" customHeight="true">
      <c r="A7358" t="s" s="2">
        <v>13</v>
      </c>
      <c r="B7358" t="s" s="2">
        <f>HYPERLINK("http://ts.21cn.com/tousu/show/id/1365284","花转转高利贷恶意因自身问题恶意导致逾期")</f>
      </c>
      <c r="C7358" t="s" s="2">
        <v>15</v>
      </c>
      <c r="D7358" t="s" s="2">
        <v>16</v>
      </c>
      <c r="E7358" t="s" s="2">
        <v>17</v>
      </c>
      <c r="F7358" t="s" s="2">
        <f>HYPERLINK("http://ts.21cn.com/tousu/show/id/1365284","http://ts.21cn.com/tousu/show/id/1365284")</f>
      </c>
      <c r="G7358" t="s" s="2">
        <v>17</v>
      </c>
      <c r="H7358" t="s" s="2">
        <v>19</v>
      </c>
      <c r="I7358" t="s" s="2">
        <v>28445</v>
      </c>
      <c r="J7358" t="s" s="2">
        <v>28446</v>
      </c>
      <c r="K7358" t="s" s="2">
        <v>22</v>
      </c>
      <c r="L7358" t="s" s="2">
        <v>22</v>
      </c>
      <c r="M7358" t="s" s="2">
        <v>22</v>
      </c>
    </row>
    <row r="7359" ht="25.0" customHeight="true">
      <c r="A7359" t="s" s="2">
        <v>13</v>
      </c>
      <c r="B7359" t="s" s="2">
        <f>HYPERLINK("http://ts.21cn.com/tousu/show/id/1365283","贷上钱暴力催收高利贷")</f>
      </c>
      <c r="C7359" t="s" s="2">
        <v>15</v>
      </c>
      <c r="D7359" t="s" s="2">
        <v>16</v>
      </c>
      <c r="E7359" t="s" s="2">
        <v>17</v>
      </c>
      <c r="F7359" t="s" s="2">
        <f>HYPERLINK("http://ts.21cn.com/tousu/show/id/1365283","http://ts.21cn.com/tousu/show/id/1365283")</f>
      </c>
      <c r="G7359" t="s" s="2">
        <v>17</v>
      </c>
      <c r="H7359" t="s" s="2">
        <v>19</v>
      </c>
      <c r="I7359" t="s" s="2">
        <v>28449</v>
      </c>
      <c r="J7359" t="s" s="2">
        <v>28450</v>
      </c>
      <c r="K7359" t="s" s="2">
        <v>22</v>
      </c>
      <c r="L7359" t="s" s="2">
        <v>22</v>
      </c>
      <c r="M7359" t="s" s="2">
        <v>22</v>
      </c>
    </row>
    <row r="7360" ht="25.0" customHeight="true">
      <c r="A7360" t="s" s="2">
        <v>13</v>
      </c>
      <c r="B7360" t="s" s="2">
        <f>HYPERLINK("http://ts.21cn.com/tousu/show/id/1365281","抖音小店推广佣金不给提现")</f>
      </c>
      <c r="C7360" t="s" s="2">
        <v>15</v>
      </c>
      <c r="D7360" t="s" s="2">
        <v>16</v>
      </c>
      <c r="E7360" t="s" s="2">
        <v>17</v>
      </c>
      <c r="F7360" t="s" s="2">
        <f>HYPERLINK("http://ts.21cn.com/tousu/show/id/1365281","http://ts.21cn.com/tousu/show/id/1365281")</f>
      </c>
      <c r="G7360" t="s" s="2">
        <v>17</v>
      </c>
      <c r="H7360" t="s" s="2">
        <v>19</v>
      </c>
      <c r="I7360" t="s" s="2">
        <v>28453</v>
      </c>
      <c r="J7360" t="s" s="2">
        <v>28454</v>
      </c>
      <c r="K7360" t="s" s="2">
        <v>22</v>
      </c>
      <c r="L7360" t="s" s="2">
        <v>22</v>
      </c>
      <c r="M7360" t="s" s="2">
        <v>22</v>
      </c>
    </row>
    <row r="7361" ht="25.0" customHeight="true">
      <c r="A7361" t="s" s="2">
        <v>13</v>
      </c>
      <c r="B7361" t="s" s="2">
        <f>HYPERLINK("http://ts.21cn.com/tousu/show/id/1365280","盈盈有钱美栗金利率超高")</f>
      </c>
      <c r="C7361" t="s" s="2">
        <v>15</v>
      </c>
      <c r="D7361" t="s" s="2">
        <v>16</v>
      </c>
      <c r="E7361" t="s" s="2">
        <v>17</v>
      </c>
      <c r="F7361" t="s" s="2">
        <f>HYPERLINK("http://ts.21cn.com/tousu/show/id/1365280","http://ts.21cn.com/tousu/show/id/1365280")</f>
      </c>
      <c r="G7361" t="s" s="2">
        <v>17</v>
      </c>
      <c r="H7361" t="s" s="2">
        <v>19</v>
      </c>
      <c r="I7361" t="s" s="2">
        <v>28457</v>
      </c>
      <c r="J7361" t="s" s="2">
        <v>28458</v>
      </c>
      <c r="K7361" t="s" s="2">
        <v>22</v>
      </c>
      <c r="L7361" t="s" s="2">
        <v>22</v>
      </c>
      <c r="M7361" t="s" s="2">
        <v>22</v>
      </c>
    </row>
    <row r="7362" ht="25.0" customHeight="true">
      <c r="A7362" t="s" s="2">
        <v>13</v>
      </c>
      <c r="B7362" t="s" s="2">
        <f>HYPERLINK("http://ts.21cn.com/tousu/show/id/1365278","爆通讯录，打骚扰电话")</f>
      </c>
      <c r="C7362" t="s" s="2">
        <v>15</v>
      </c>
      <c r="D7362" t="s" s="2">
        <v>16</v>
      </c>
      <c r="E7362" t="s" s="2">
        <v>17</v>
      </c>
      <c r="F7362" t="s" s="2">
        <f>HYPERLINK("http://ts.21cn.com/tousu/show/id/1365278","http://ts.21cn.com/tousu/show/id/1365278")</f>
      </c>
      <c r="G7362" t="s" s="2">
        <v>17</v>
      </c>
      <c r="H7362" t="s" s="2">
        <v>19</v>
      </c>
      <c r="I7362" t="s" s="2">
        <v>28461</v>
      </c>
      <c r="J7362" t="s" s="2">
        <v>28462</v>
      </c>
      <c r="K7362" t="s" s="2">
        <v>22</v>
      </c>
      <c r="L7362" t="s" s="2">
        <v>22</v>
      </c>
      <c r="M7362" t="s" s="2">
        <v>22</v>
      </c>
    </row>
    <row r="7363" ht="25.0" customHeight="true">
      <c r="A7363" t="s" s="2">
        <v>13</v>
      </c>
      <c r="B7363" t="s" s="2">
        <f>HYPERLINK("http://ts.21cn.com/tousu/show/id/1365279","暴力催收，要挟，电话骚扰")</f>
      </c>
      <c r="C7363" t="s" s="2">
        <v>15</v>
      </c>
      <c r="D7363" t="s" s="2">
        <v>16</v>
      </c>
      <c r="E7363" t="s" s="2">
        <v>17</v>
      </c>
      <c r="F7363" t="s" s="2">
        <f>HYPERLINK("http://ts.21cn.com/tousu/show/id/1365279","http://ts.21cn.com/tousu/show/id/1365279")</f>
      </c>
      <c r="G7363" t="s" s="2">
        <v>17</v>
      </c>
      <c r="H7363" t="s" s="2">
        <v>19</v>
      </c>
      <c r="I7363" t="s" s="2">
        <v>28465</v>
      </c>
      <c r="J7363" t="s" s="2">
        <v>28466</v>
      </c>
      <c r="K7363" t="s" s="2">
        <v>22</v>
      </c>
      <c r="L7363" t="s" s="2">
        <v>22</v>
      </c>
      <c r="M7363" t="s" s="2">
        <v>22</v>
      </c>
    </row>
    <row r="7364" ht="25.0" customHeight="true">
      <c r="A7364" t="s" s="2">
        <v>13</v>
      </c>
      <c r="B7364" t="s" s="2">
        <f>HYPERLINK("http://ts.21cn.com/tousu/show/id/1365276","人人花乱扣费")</f>
      </c>
      <c r="C7364" t="s" s="2">
        <v>15</v>
      </c>
      <c r="D7364" t="s" s="2">
        <v>16</v>
      </c>
      <c r="E7364" t="s" s="2">
        <v>17</v>
      </c>
      <c r="F7364" t="s" s="2">
        <f>HYPERLINK("http://ts.21cn.com/tousu/show/id/1365276","http://ts.21cn.com/tousu/show/id/1365276")</f>
      </c>
      <c r="G7364" t="s" s="2">
        <v>17</v>
      </c>
      <c r="H7364" t="s" s="2">
        <v>19</v>
      </c>
      <c r="I7364" t="s" s="2">
        <v>28468</v>
      </c>
      <c r="J7364" t="s" s="2">
        <v>28469</v>
      </c>
      <c r="K7364" t="s" s="2">
        <v>22</v>
      </c>
      <c r="L7364" t="s" s="2">
        <v>22</v>
      </c>
      <c r="M7364" t="s" s="2">
        <v>22</v>
      </c>
    </row>
    <row r="7365" ht="25.0" customHeight="true">
      <c r="A7365" t="s" s="2">
        <v>13</v>
      </c>
      <c r="B7365" t="s" s="2">
        <f>HYPERLINK("http://ts.21cn.com/tousu/show/id/1365277","网贷爆通讯录")</f>
      </c>
      <c r="C7365" t="s" s="2">
        <v>15</v>
      </c>
      <c r="D7365" t="s" s="2">
        <v>16</v>
      </c>
      <c r="E7365" t="s" s="2">
        <v>17</v>
      </c>
      <c r="F7365" t="s" s="2">
        <f>HYPERLINK("http://ts.21cn.com/tousu/show/id/1365277","http://ts.21cn.com/tousu/show/id/1365277")</f>
      </c>
      <c r="G7365" t="s" s="2">
        <v>17</v>
      </c>
      <c r="H7365" t="s" s="2">
        <v>19</v>
      </c>
      <c r="I7365" t="s" s="2">
        <v>28472</v>
      </c>
      <c r="J7365" t="s" s="2">
        <v>28473</v>
      </c>
      <c r="K7365" t="s" s="2">
        <v>22</v>
      </c>
      <c r="L7365" t="s" s="2">
        <v>22</v>
      </c>
      <c r="M7365" t="s" s="2">
        <v>22</v>
      </c>
    </row>
    <row r="7366" ht="25.0" customHeight="true">
      <c r="A7366" t="s" s="2">
        <v>13</v>
      </c>
      <c r="B7366" t="s" s="2">
        <f>HYPERLINK("http://ts.21cn.com/tousu/show/id/1365275","马上消费金融，暴力催收，群发短信，恐吓催收")</f>
      </c>
      <c r="C7366" t="s" s="2">
        <v>15</v>
      </c>
      <c r="D7366" t="s" s="2">
        <v>16</v>
      </c>
      <c r="E7366" t="s" s="2">
        <v>17</v>
      </c>
      <c r="F7366" t="s" s="2">
        <f>HYPERLINK("http://ts.21cn.com/tousu/show/id/1365275","http://ts.21cn.com/tousu/show/id/1365275")</f>
      </c>
      <c r="G7366" t="s" s="2">
        <v>17</v>
      </c>
      <c r="H7366" t="s" s="2">
        <v>19</v>
      </c>
      <c r="I7366" t="s" s="2">
        <v>28475</v>
      </c>
      <c r="J7366" t="s" s="2">
        <v>28476</v>
      </c>
      <c r="K7366" t="s" s="2">
        <v>22</v>
      </c>
      <c r="L7366" t="s" s="2">
        <v>22</v>
      </c>
      <c r="M7366" t="s" s="2">
        <v>22</v>
      </c>
    </row>
    <row r="7367" ht="25.0" customHeight="true">
      <c r="A7367" t="s" s="2">
        <v>13</v>
      </c>
      <c r="B7367" t="s" s="2">
        <f>HYPERLINK("http://ts.21cn.com/tousu/show/id/1365274","新橙优品协商还本金及正常利息")</f>
      </c>
      <c r="C7367" t="s" s="2">
        <v>52</v>
      </c>
      <c r="D7367" t="s" s="2">
        <v>16</v>
      </c>
      <c r="E7367" t="s" s="2">
        <v>17</v>
      </c>
      <c r="F7367" t="s" s="2">
        <f>HYPERLINK("http://ts.21cn.com/tousu/show/id/1365274","http://ts.21cn.com/tousu/show/id/1365274")</f>
      </c>
      <c r="G7367" t="s" s="2">
        <v>17</v>
      </c>
      <c r="H7367" t="s" s="2">
        <v>19</v>
      </c>
      <c r="I7367" t="s" s="2">
        <v>28479</v>
      </c>
      <c r="J7367" t="s" s="2">
        <v>28480</v>
      </c>
      <c r="K7367" t="s" s="2">
        <v>22</v>
      </c>
      <c r="L7367" t="s" s="2">
        <v>22</v>
      </c>
      <c r="M7367" t="s" s="2">
        <v>22</v>
      </c>
    </row>
    <row r="7368" ht="25.0" customHeight="true">
      <c r="A7368" t="s" s="2">
        <v>13</v>
      </c>
      <c r="B7368" t="s" s="2">
        <f>HYPERLINK("http://ts.21cn.com/tousu/show/id/1359772","真的很烦天天给我打电话别人贷的老给我打什么电话？还说要来我家找我")</f>
      </c>
      <c r="C7368" t="s" s="2">
        <v>52</v>
      </c>
      <c r="D7368" t="s" s="2">
        <v>16</v>
      </c>
      <c r="E7368" t="s" s="2">
        <v>17</v>
      </c>
      <c r="F7368" t="s" s="2">
        <f>HYPERLINK("http://ts.21cn.com/tousu/show/id/1359772","http://ts.21cn.com/tousu/show/id/1359772")</f>
      </c>
      <c r="G7368" t="s" s="2">
        <v>17</v>
      </c>
      <c r="H7368" t="s" s="2">
        <v>19</v>
      </c>
      <c r="I7368" t="s" s="2">
        <v>28483</v>
      </c>
      <c r="J7368" t="s" s="2">
        <v>28484</v>
      </c>
      <c r="K7368" t="s" s="2">
        <v>22</v>
      </c>
      <c r="L7368" t="s" s="2">
        <v>22</v>
      </c>
      <c r="M7368" t="s" s="2">
        <v>22</v>
      </c>
    </row>
    <row r="7369" ht="25.0" customHeight="true">
      <c r="A7369" t="s" s="2">
        <v>13</v>
      </c>
      <c r="B7369" t="s" s="2">
        <f>HYPERLINK("http://ts.21cn.com/tousu/show/id/1365273","百合网无故封号不肯退会员费")</f>
      </c>
      <c r="C7369" t="s" s="2">
        <v>15</v>
      </c>
      <c r="D7369" t="s" s="2">
        <v>16</v>
      </c>
      <c r="E7369" t="s" s="2">
        <v>17</v>
      </c>
      <c r="F7369" t="s" s="2">
        <f>HYPERLINK("http://ts.21cn.com/tousu/show/id/1365273","http://ts.21cn.com/tousu/show/id/1365273")</f>
      </c>
      <c r="G7369" t="s" s="2">
        <v>17</v>
      </c>
      <c r="H7369" t="s" s="2">
        <v>19</v>
      </c>
      <c r="I7369" t="s" s="2">
        <v>28487</v>
      </c>
      <c r="J7369" t="s" s="2">
        <v>28488</v>
      </c>
      <c r="K7369" t="s" s="2">
        <v>22</v>
      </c>
      <c r="L7369" t="s" s="2">
        <v>22</v>
      </c>
      <c r="M7369" t="s" s="2">
        <v>22</v>
      </c>
    </row>
    <row r="7370" ht="25.0" customHeight="true">
      <c r="A7370" t="s" s="2">
        <v>13</v>
      </c>
      <c r="B7370" t="s" s="2">
        <f>HYPERLINK("http://ts.21cn.com/tousu/show/id/1364965","银生宝为非法网站提供充值渠道")</f>
      </c>
      <c r="C7370" t="s" s="2">
        <v>15</v>
      </c>
      <c r="D7370" t="s" s="2">
        <v>16</v>
      </c>
      <c r="E7370" t="s" s="2">
        <v>17</v>
      </c>
      <c r="F7370" t="s" s="2">
        <f>HYPERLINK("http://ts.21cn.com/tousu/show/id/1364965","http://ts.21cn.com/tousu/show/id/1364965")</f>
      </c>
      <c r="G7370" t="s" s="2">
        <v>17</v>
      </c>
      <c r="H7370" t="s" s="2">
        <v>19</v>
      </c>
      <c r="I7370" t="s" s="2">
        <v>28487</v>
      </c>
      <c r="J7370" t="s" s="2">
        <v>28491</v>
      </c>
      <c r="K7370" t="s" s="2">
        <v>22</v>
      </c>
      <c r="L7370" t="s" s="2">
        <v>22</v>
      </c>
      <c r="M7370" t="s" s="2">
        <v>22</v>
      </c>
    </row>
    <row r="7371" ht="25.0" customHeight="true">
      <c r="A7371" t="s" s="2">
        <v>13</v>
      </c>
      <c r="B7371" t="s" s="2">
        <f>HYPERLINK("http://ts.21cn.com/tousu/show/id/1365271","买了卡密全部无效，让退款还被骂")</f>
      </c>
      <c r="C7371" t="s" s="2">
        <v>15</v>
      </c>
      <c r="D7371" t="s" s="2">
        <v>16</v>
      </c>
      <c r="E7371" t="s" s="2">
        <v>17</v>
      </c>
      <c r="F7371" t="s" s="2">
        <f>HYPERLINK("http://ts.21cn.com/tousu/show/id/1365271","http://ts.21cn.com/tousu/show/id/1365271")</f>
      </c>
      <c r="G7371" t="s" s="2">
        <v>17</v>
      </c>
      <c r="H7371" t="s" s="2">
        <v>19</v>
      </c>
      <c r="I7371" t="s" s="2">
        <v>28494</v>
      </c>
      <c r="J7371" t="s" s="2">
        <v>28495</v>
      </c>
      <c r="K7371" t="s" s="2">
        <v>22</v>
      </c>
      <c r="L7371" t="s" s="2">
        <v>22</v>
      </c>
      <c r="M7371" t="s" s="2">
        <v>22</v>
      </c>
    </row>
    <row r="7372" ht="25.0" customHeight="true">
      <c r="A7372" t="s" s="2">
        <v>13</v>
      </c>
      <c r="B7372" t="s" s="2">
        <f>HYPERLINK("http://ts.21cn.com/tousu/show/id/1365272","暴力催收，超级高利贷，")</f>
      </c>
      <c r="C7372" t="s" s="2">
        <v>15</v>
      </c>
      <c r="D7372" t="s" s="2">
        <v>16</v>
      </c>
      <c r="E7372" t="s" s="2">
        <v>17</v>
      </c>
      <c r="F7372" t="s" s="2">
        <f>HYPERLINK("http://ts.21cn.com/tousu/show/id/1365272","http://ts.21cn.com/tousu/show/id/1365272")</f>
      </c>
      <c r="G7372" t="s" s="2">
        <v>17</v>
      </c>
      <c r="H7372" t="s" s="2">
        <v>19</v>
      </c>
      <c r="I7372" t="s" s="2">
        <v>28498</v>
      </c>
      <c r="J7372" t="s" s="2">
        <v>28499</v>
      </c>
      <c r="K7372" t="s" s="2">
        <v>22</v>
      </c>
      <c r="L7372" t="s" s="2">
        <v>22</v>
      </c>
      <c r="M7372" t="s" s="2">
        <v>22</v>
      </c>
    </row>
    <row r="7373" ht="25.0" customHeight="true">
      <c r="A7373" t="s" s="2">
        <v>13</v>
      </c>
      <c r="B7373" t="s" s="2">
        <f>HYPERLINK("http://ts.21cn.com/tousu/show/id/1365269","注销ETC")</f>
      </c>
      <c r="C7373" t="s" s="2">
        <v>15</v>
      </c>
      <c r="D7373" t="s" s="2">
        <v>16</v>
      </c>
      <c r="E7373" t="s" s="2">
        <v>17</v>
      </c>
      <c r="F7373" t="s" s="2">
        <f>HYPERLINK("http://ts.21cn.com/tousu/show/id/1365269","http://ts.21cn.com/tousu/show/id/1365269")</f>
      </c>
      <c r="G7373" t="s" s="2">
        <v>17</v>
      </c>
      <c r="H7373" t="s" s="2">
        <v>19</v>
      </c>
      <c r="I7373" t="s" s="2">
        <v>28502</v>
      </c>
      <c r="J7373" t="s" s="2">
        <v>28503</v>
      </c>
      <c r="K7373" t="s" s="2">
        <v>22</v>
      </c>
      <c r="L7373" t="s" s="2">
        <v>22</v>
      </c>
      <c r="M7373" t="s" s="2">
        <v>22</v>
      </c>
    </row>
    <row r="7374" ht="25.0" customHeight="true">
      <c r="A7374" t="s" s="2">
        <v>13</v>
      </c>
      <c r="B7374" t="s" s="2">
        <f>HYPERLINK("http://ts.21cn.com/tousu/show/id/1365270","泄露个人隐私，爆通讯录")</f>
      </c>
      <c r="C7374" t="s" s="2">
        <v>15</v>
      </c>
      <c r="D7374" t="s" s="2">
        <v>16</v>
      </c>
      <c r="E7374" t="s" s="2">
        <v>17</v>
      </c>
      <c r="F7374" t="s" s="2">
        <f>HYPERLINK("http://ts.21cn.com/tousu/show/id/1365270","http://ts.21cn.com/tousu/show/id/1365270")</f>
      </c>
      <c r="G7374" t="s" s="2">
        <v>17</v>
      </c>
      <c r="H7374" t="s" s="2">
        <v>19</v>
      </c>
      <c r="I7374" t="s" s="2">
        <v>28506</v>
      </c>
      <c r="J7374" t="s" s="2">
        <v>28507</v>
      </c>
      <c r="K7374" t="s" s="2">
        <v>22</v>
      </c>
      <c r="L7374" t="s" s="2">
        <v>22</v>
      </c>
      <c r="M7374" t="s" s="2">
        <v>22</v>
      </c>
    </row>
    <row r="7375" ht="25.0" customHeight="true">
      <c r="A7375" t="s" s="2">
        <v>13</v>
      </c>
      <c r="B7375" t="s" s="2">
        <f>HYPERLINK("http://ts.21cn.com/tousu/show/id/1365268","考拉畅付款项不能及时到账")</f>
      </c>
      <c r="C7375" t="s" s="2">
        <v>15</v>
      </c>
      <c r="D7375" t="s" s="2">
        <v>16</v>
      </c>
      <c r="E7375" t="s" s="2">
        <v>17</v>
      </c>
      <c r="F7375" t="s" s="2">
        <f>HYPERLINK("http://ts.21cn.com/tousu/show/id/1365268","http://ts.21cn.com/tousu/show/id/1365268")</f>
      </c>
      <c r="G7375" t="s" s="2">
        <v>17</v>
      </c>
      <c r="H7375" t="s" s="2">
        <v>19</v>
      </c>
      <c r="I7375" t="s" s="2">
        <v>28510</v>
      </c>
      <c r="J7375" t="s" s="2">
        <v>28511</v>
      </c>
      <c r="K7375" t="s" s="2">
        <v>22</v>
      </c>
      <c r="L7375" t="s" s="2">
        <v>22</v>
      </c>
      <c r="M7375" t="s" s="2">
        <v>22</v>
      </c>
    </row>
    <row r="7376" ht="25.0" customHeight="true">
      <c r="A7376" t="s" s="2">
        <v>13</v>
      </c>
      <c r="B7376" t="s" s="2">
        <f>HYPERLINK("http://ts.21cn.com/tousu/show/id/1365267","暴力催收")</f>
      </c>
      <c r="C7376" t="s" s="2">
        <v>15</v>
      </c>
      <c r="D7376" t="s" s="2">
        <v>16</v>
      </c>
      <c r="E7376" t="s" s="2">
        <v>17</v>
      </c>
      <c r="F7376" t="s" s="2">
        <f>HYPERLINK("http://ts.21cn.com/tousu/show/id/1365267","http://ts.21cn.com/tousu/show/id/1365267")</f>
      </c>
      <c r="G7376" t="s" s="2">
        <v>17</v>
      </c>
      <c r="H7376" t="s" s="2">
        <v>19</v>
      </c>
      <c r="I7376" t="s" s="2">
        <v>28513</v>
      </c>
      <c r="J7376" t="s" s="2">
        <v>28514</v>
      </c>
      <c r="K7376" t="s" s="2">
        <v>22</v>
      </c>
      <c r="L7376" t="s" s="2">
        <v>22</v>
      </c>
      <c r="M7376" t="s" s="2">
        <v>22</v>
      </c>
    </row>
    <row r="7377" ht="25.0" customHeight="true">
      <c r="A7377" t="s" s="2">
        <v>13</v>
      </c>
      <c r="B7377" t="s" s="2">
        <f>HYPERLINK("http://ts.21cn.com/tousu/show/id/1365266","上海造艺公司乱扣费")</f>
      </c>
      <c r="C7377" t="s" s="2">
        <v>15</v>
      </c>
      <c r="D7377" t="s" s="2">
        <v>16</v>
      </c>
      <c r="E7377" t="s" s="2">
        <v>17</v>
      </c>
      <c r="F7377" t="s" s="2">
        <f>HYPERLINK("http://ts.21cn.com/tousu/show/id/1365266","http://ts.21cn.com/tousu/show/id/1365266")</f>
      </c>
      <c r="G7377" t="s" s="2">
        <v>17</v>
      </c>
      <c r="H7377" t="s" s="2">
        <v>19</v>
      </c>
      <c r="I7377" t="s" s="2">
        <v>28517</v>
      </c>
      <c r="J7377" t="s" s="2">
        <v>28518</v>
      </c>
      <c r="K7377" t="s" s="2">
        <v>22</v>
      </c>
      <c r="L7377" t="s" s="2">
        <v>22</v>
      </c>
      <c r="M7377" t="s" s="2">
        <v>22</v>
      </c>
    </row>
    <row r="7378" ht="25.0" customHeight="true">
      <c r="A7378" t="s" s="2">
        <v>13</v>
      </c>
      <c r="B7378" t="s" s="2">
        <f>HYPERLINK("http://ts.21cn.com/tousu/show/id/1365265","捷信消费贷逾期没还上在未经同意下爆了通讯录电话打个没完没了的，一天十几二十个，家人的也打个没完，严重影响生活了，要被逼疯")</f>
      </c>
      <c r="C7378" t="s" s="2">
        <v>15</v>
      </c>
      <c r="D7378" t="s" s="2">
        <v>16</v>
      </c>
      <c r="E7378" t="s" s="2">
        <v>17</v>
      </c>
      <c r="F7378" t="s" s="2">
        <f>HYPERLINK("http://ts.21cn.com/tousu/show/id/1365265","http://ts.21cn.com/tousu/show/id/1365265")</f>
      </c>
      <c r="G7378" t="s" s="2">
        <v>17</v>
      </c>
      <c r="H7378" t="s" s="2">
        <v>19</v>
      </c>
      <c r="I7378" t="s" s="2">
        <v>28521</v>
      </c>
      <c r="J7378" t="s" s="2">
        <v>28522</v>
      </c>
      <c r="K7378" t="s" s="2">
        <v>22</v>
      </c>
      <c r="L7378" t="s" s="2">
        <v>22</v>
      </c>
      <c r="M7378" t="s" s="2">
        <v>22</v>
      </c>
    </row>
    <row r="7379" ht="25.0" customHeight="true">
      <c r="A7379" t="s" s="2">
        <v>13</v>
      </c>
      <c r="B7379" t="s" s="2">
        <f>HYPERLINK("http://ts.21cn.com/tousu/show/id/1365264","苏州艾一玛家具使用其他无名家具厂家具冒充")</f>
      </c>
      <c r="C7379" t="s" s="2">
        <v>15</v>
      </c>
      <c r="D7379" t="s" s="2">
        <v>16</v>
      </c>
      <c r="E7379" t="s" s="2">
        <v>17</v>
      </c>
      <c r="F7379" t="s" s="2">
        <f>HYPERLINK("http://ts.21cn.com/tousu/show/id/1365264","http://ts.21cn.com/tousu/show/id/1365264")</f>
      </c>
      <c r="G7379" t="s" s="2">
        <v>17</v>
      </c>
      <c r="H7379" t="s" s="2">
        <v>19</v>
      </c>
      <c r="I7379" t="s" s="2">
        <v>28525</v>
      </c>
      <c r="J7379" t="s" s="2">
        <v>28526</v>
      </c>
      <c r="K7379" t="s" s="2">
        <v>22</v>
      </c>
      <c r="L7379" t="s" s="2">
        <v>22</v>
      </c>
      <c r="M7379" t="s" s="2">
        <v>22</v>
      </c>
    </row>
    <row r="7380" ht="25.0" customHeight="true">
      <c r="A7380" t="s" s="2">
        <v>13</v>
      </c>
      <c r="B7380" t="s" s="2">
        <f>HYPERLINK("http://ts.21cn.com/tousu/show/id/1365263","捷信属变相高利贷，催收电话不断影响自己和家人的正常生活与生誉")</f>
      </c>
      <c r="C7380" t="s" s="2">
        <v>15</v>
      </c>
      <c r="D7380" t="s" s="2">
        <v>16</v>
      </c>
      <c r="E7380" t="s" s="2">
        <v>17</v>
      </c>
      <c r="F7380" t="s" s="2">
        <f>HYPERLINK("http://ts.21cn.com/tousu/show/id/1365263","http://ts.21cn.com/tousu/show/id/1365263")</f>
      </c>
      <c r="G7380" t="s" s="2">
        <v>17</v>
      </c>
      <c r="H7380" t="s" s="2">
        <v>19</v>
      </c>
      <c r="I7380" t="s" s="2">
        <v>28529</v>
      </c>
      <c r="J7380" t="s" s="2">
        <v>28530</v>
      </c>
      <c r="K7380" t="s" s="2">
        <v>22</v>
      </c>
      <c r="L7380" t="s" s="2">
        <v>22</v>
      </c>
      <c r="M7380" t="s" s="2">
        <v>22</v>
      </c>
    </row>
    <row r="7381" ht="25.0" customHeight="true">
      <c r="A7381" t="s" s="2">
        <v>13</v>
      </c>
      <c r="B7381" t="s" s="2">
        <f>HYPERLINK("http://ts.21cn.com/tousu/show/id/1365260","变相扣款")</f>
      </c>
      <c r="C7381" t="s" s="2">
        <v>15</v>
      </c>
      <c r="D7381" t="s" s="2">
        <v>16</v>
      </c>
      <c r="E7381" t="s" s="2">
        <v>17</v>
      </c>
      <c r="F7381" t="s" s="2">
        <f>HYPERLINK("http://ts.21cn.com/tousu/show/id/1365260","http://ts.21cn.com/tousu/show/id/1365260")</f>
      </c>
      <c r="G7381" t="s" s="2">
        <v>17</v>
      </c>
      <c r="H7381" t="s" s="2">
        <v>19</v>
      </c>
      <c r="I7381" t="s" s="2">
        <v>28533</v>
      </c>
      <c r="J7381" t="s" s="2">
        <v>28534</v>
      </c>
      <c r="K7381" t="s" s="2">
        <v>22</v>
      </c>
      <c r="L7381" t="s" s="2">
        <v>22</v>
      </c>
      <c r="M7381" t="s" s="2">
        <v>22</v>
      </c>
    </row>
    <row r="7382" ht="25.0" customHeight="true">
      <c r="A7382" t="s" s="2">
        <v>13</v>
      </c>
      <c r="B7382" t="s" s="2">
        <f>HYPERLINK("http://ts.21cn.com/tousu/show/id/1365262","投诉“新橙优品”不给提前还款")</f>
      </c>
      <c r="C7382" t="s" s="2">
        <v>15</v>
      </c>
      <c r="D7382" t="s" s="2">
        <v>16</v>
      </c>
      <c r="E7382" t="s" s="2">
        <v>17</v>
      </c>
      <c r="F7382" t="s" s="2">
        <f>HYPERLINK("http://ts.21cn.com/tousu/show/id/1365262","http://ts.21cn.com/tousu/show/id/1365262")</f>
      </c>
      <c r="G7382" t="s" s="2">
        <v>17</v>
      </c>
      <c r="H7382" t="s" s="2">
        <v>19</v>
      </c>
      <c r="I7382" t="s" s="2">
        <v>28537</v>
      </c>
      <c r="J7382" t="s" s="2">
        <v>28538</v>
      </c>
      <c r="K7382" t="s" s="2">
        <v>22</v>
      </c>
      <c r="L7382" t="s" s="2">
        <v>22</v>
      </c>
      <c r="M7382" t="s" s="2">
        <v>22</v>
      </c>
    </row>
    <row r="7383" ht="25.0" customHeight="true">
      <c r="A7383" t="s" s="2">
        <v>13</v>
      </c>
      <c r="B7383" t="s" s="2">
        <f>HYPERLINK("http://ts.21cn.com/tousu/show/id/1365261","人人贷砍头息，服务费")</f>
      </c>
      <c r="C7383" t="s" s="2">
        <v>52</v>
      </c>
      <c r="D7383" t="s" s="2">
        <v>16</v>
      </c>
      <c r="E7383" t="s" s="2">
        <v>17</v>
      </c>
      <c r="F7383" t="s" s="2">
        <f>HYPERLINK("http://ts.21cn.com/tousu/show/id/1365261","http://ts.21cn.com/tousu/show/id/1365261")</f>
      </c>
      <c r="G7383" t="s" s="2">
        <v>17</v>
      </c>
      <c r="H7383" t="s" s="2">
        <v>19</v>
      </c>
      <c r="I7383" t="s" s="2">
        <v>28541</v>
      </c>
      <c r="J7383" t="s" s="2">
        <v>28542</v>
      </c>
      <c r="K7383" t="s" s="2">
        <v>22</v>
      </c>
      <c r="L7383" t="s" s="2">
        <v>22</v>
      </c>
      <c r="M7383" t="s" s="2">
        <v>22</v>
      </c>
    </row>
    <row r="7384" ht="25.0" customHeight="true">
      <c r="A7384" t="s" s="2">
        <v>13</v>
      </c>
      <c r="B7384" t="s" s="2">
        <f>HYPERLINK("http://ts.21cn.com/tousu/show/id/1365259","乱扣款")</f>
      </c>
      <c r="C7384" t="s" s="2">
        <v>15</v>
      </c>
      <c r="D7384" t="s" s="2">
        <v>16</v>
      </c>
      <c r="E7384" t="s" s="2">
        <v>17</v>
      </c>
      <c r="F7384" t="s" s="2">
        <f>HYPERLINK("http://ts.21cn.com/tousu/show/id/1365259","http://ts.21cn.com/tousu/show/id/1365259")</f>
      </c>
      <c r="G7384" t="s" s="2">
        <v>17</v>
      </c>
      <c r="H7384" t="s" s="2">
        <v>19</v>
      </c>
      <c r="I7384" t="s" s="2">
        <v>28544</v>
      </c>
      <c r="J7384" t="s" s="2">
        <v>28545</v>
      </c>
      <c r="K7384" t="s" s="2">
        <v>22</v>
      </c>
      <c r="L7384" t="s" s="2">
        <v>22</v>
      </c>
      <c r="M7384" t="s" s="2">
        <v>22</v>
      </c>
    </row>
    <row r="7385" ht="25.0" customHeight="true">
      <c r="A7385" t="s" s="2">
        <v>13</v>
      </c>
      <c r="B7385" t="s" s="2">
        <f>HYPERLINK("http://ts.21cn.com/tousu/show/id/1365257","在携程平台预订房间后，携程拒不开发票")</f>
      </c>
      <c r="C7385" t="s" s="2">
        <v>15</v>
      </c>
      <c r="D7385" t="s" s="2">
        <v>16</v>
      </c>
      <c r="E7385" t="s" s="2">
        <v>17</v>
      </c>
      <c r="F7385" t="s" s="2">
        <f>HYPERLINK("http://ts.21cn.com/tousu/show/id/1365257","http://ts.21cn.com/tousu/show/id/1365257")</f>
      </c>
      <c r="G7385" t="s" s="2">
        <v>17</v>
      </c>
      <c r="H7385" t="s" s="2">
        <v>19</v>
      </c>
      <c r="I7385" t="s" s="2">
        <v>28548</v>
      </c>
      <c r="J7385" t="s" s="2">
        <v>28549</v>
      </c>
      <c r="K7385" t="s" s="2">
        <v>22</v>
      </c>
      <c r="L7385" t="s" s="2">
        <v>22</v>
      </c>
      <c r="M7385" t="s" s="2">
        <v>22</v>
      </c>
    </row>
    <row r="7386" ht="25.0" customHeight="true">
      <c r="A7386" t="s" s="2">
        <v>13</v>
      </c>
      <c r="B7386" t="s" s="2">
        <f>HYPERLINK("http://ts.21cn.com/tousu/show/id/1365256","哆咪黑卡挖坑消费者强制扣款199元")</f>
      </c>
      <c r="C7386" t="s" s="2">
        <v>15</v>
      </c>
      <c r="D7386" t="s" s="2">
        <v>16</v>
      </c>
      <c r="E7386" t="s" s="2">
        <v>17</v>
      </c>
      <c r="F7386" t="s" s="2">
        <f>HYPERLINK("http://ts.21cn.com/tousu/show/id/1365256","http://ts.21cn.com/tousu/show/id/1365256")</f>
      </c>
      <c r="G7386" t="s" s="2">
        <v>17</v>
      </c>
      <c r="H7386" t="s" s="2">
        <v>19</v>
      </c>
      <c r="I7386" t="s" s="2">
        <v>28552</v>
      </c>
      <c r="J7386" t="s" s="2">
        <v>28553</v>
      </c>
      <c r="K7386" t="s" s="2">
        <v>22</v>
      </c>
      <c r="L7386" t="s" s="2">
        <v>22</v>
      </c>
      <c r="M7386" t="s" s="2">
        <v>22</v>
      </c>
    </row>
    <row r="7387" ht="25.0" customHeight="true">
      <c r="A7387" t="s" s="2">
        <v>13</v>
      </c>
      <c r="B7387" t="s" s="2">
        <f>HYPERLINK("http://ts.21cn.com/tousu/show/id/1365255","高利贷暴力催收")</f>
      </c>
      <c r="C7387" t="s" s="2">
        <v>15</v>
      </c>
      <c r="D7387" t="s" s="2">
        <v>16</v>
      </c>
      <c r="E7387" t="s" s="2">
        <v>17</v>
      </c>
      <c r="F7387" t="s" s="2">
        <f>HYPERLINK("http://ts.21cn.com/tousu/show/id/1365255","http://ts.21cn.com/tousu/show/id/1365255")</f>
      </c>
      <c r="G7387" t="s" s="2">
        <v>17</v>
      </c>
      <c r="H7387" t="s" s="2">
        <v>19</v>
      </c>
      <c r="I7387" t="s" s="2">
        <v>28555</v>
      </c>
      <c r="J7387" t="s" s="2">
        <v>28556</v>
      </c>
      <c r="K7387" t="s" s="2">
        <v>22</v>
      </c>
      <c r="L7387" t="s" s="2">
        <v>22</v>
      </c>
      <c r="M7387" t="s" s="2">
        <v>22</v>
      </c>
    </row>
    <row r="7388" ht="25.0" customHeight="true">
      <c r="A7388" t="s" s="2">
        <v>13</v>
      </c>
      <c r="B7388" t="s" s="2">
        <f>HYPERLINK("http://ts.21cn.com/tousu/show/id/1365253","光大银行信用卡私自打通讯录")</f>
      </c>
      <c r="C7388" t="s" s="2">
        <v>15</v>
      </c>
      <c r="D7388" t="s" s="2">
        <v>16</v>
      </c>
      <c r="E7388" t="s" s="2">
        <v>17</v>
      </c>
      <c r="F7388" t="s" s="2">
        <f>HYPERLINK("http://ts.21cn.com/tousu/show/id/1365253","http://ts.21cn.com/tousu/show/id/1365253")</f>
      </c>
      <c r="G7388" t="s" s="2">
        <v>17</v>
      </c>
      <c r="H7388" t="s" s="2">
        <v>19</v>
      </c>
      <c r="I7388" t="s" s="2">
        <v>28559</v>
      </c>
      <c r="J7388" t="s" s="2">
        <v>28560</v>
      </c>
      <c r="K7388" t="s" s="2">
        <v>22</v>
      </c>
      <c r="L7388" t="s" s="2">
        <v>22</v>
      </c>
      <c r="M7388" t="s" s="2">
        <v>22</v>
      </c>
    </row>
    <row r="7389" ht="25.0" customHeight="true">
      <c r="A7389" t="s" s="2">
        <v>13</v>
      </c>
      <c r="B7389" t="s" s="2">
        <f>HYPERLINK("http://ts.21cn.com/tousu/show/id/1365254","活力花高利息，乱收费")</f>
      </c>
      <c r="C7389" t="s" s="2">
        <v>15</v>
      </c>
      <c r="D7389" t="s" s="2">
        <v>16</v>
      </c>
      <c r="E7389" t="s" s="2">
        <v>17</v>
      </c>
      <c r="F7389" t="s" s="2">
        <f>HYPERLINK("http://ts.21cn.com/tousu/show/id/1365254","http://ts.21cn.com/tousu/show/id/1365254")</f>
      </c>
      <c r="G7389" t="s" s="2">
        <v>17</v>
      </c>
      <c r="H7389" t="s" s="2">
        <v>19</v>
      </c>
      <c r="I7389" t="s" s="2">
        <v>28563</v>
      </c>
      <c r="J7389" t="s" s="2">
        <v>28564</v>
      </c>
      <c r="K7389" t="s" s="2">
        <v>22</v>
      </c>
      <c r="L7389" t="s" s="2">
        <v>22</v>
      </c>
      <c r="M7389" t="s" s="2">
        <v>22</v>
      </c>
    </row>
    <row r="7390" ht="25.0" customHeight="true">
      <c r="A7390" t="s" s="2">
        <v>13</v>
      </c>
      <c r="B7390" t="s" s="2">
        <f>HYPERLINK("http://ts.21cn.com/tousu/show/id/1365252","聚福钱包恶意退款拖延不退款")</f>
      </c>
      <c r="C7390" t="s" s="2">
        <v>15</v>
      </c>
      <c r="D7390" t="s" s="2">
        <v>16</v>
      </c>
      <c r="E7390" t="s" s="2">
        <v>17</v>
      </c>
      <c r="F7390" t="s" s="2">
        <f>HYPERLINK("http://ts.21cn.com/tousu/show/id/1365252","http://ts.21cn.com/tousu/show/id/1365252")</f>
      </c>
      <c r="G7390" t="s" s="2">
        <v>17</v>
      </c>
      <c r="H7390" t="s" s="2">
        <v>19</v>
      </c>
      <c r="I7390" t="s" s="2">
        <v>28567</v>
      </c>
      <c r="J7390" t="s" s="2">
        <v>28568</v>
      </c>
      <c r="K7390" t="s" s="2">
        <v>22</v>
      </c>
      <c r="L7390" t="s" s="2">
        <v>22</v>
      </c>
      <c r="M7390" t="s" s="2">
        <v>22</v>
      </c>
    </row>
    <row r="7391" ht="25.0" customHeight="true">
      <c r="A7391" t="s" s="2">
        <v>13</v>
      </c>
      <c r="B7391" t="s" s="2">
        <f>HYPERLINK("http://ts.21cn.com/tousu/show/id/1365251","招联金融暴力催收威胁骚扰")</f>
      </c>
      <c r="C7391" t="s" s="2">
        <v>15</v>
      </c>
      <c r="D7391" t="s" s="2">
        <v>16</v>
      </c>
      <c r="E7391" t="s" s="2">
        <v>17</v>
      </c>
      <c r="F7391" t="s" s="2">
        <f>HYPERLINK("http://ts.21cn.com/tousu/show/id/1365251","http://ts.21cn.com/tousu/show/id/1365251")</f>
      </c>
      <c r="G7391" t="s" s="2">
        <v>17</v>
      </c>
      <c r="H7391" t="s" s="2">
        <v>19</v>
      </c>
      <c r="I7391" t="s" s="2">
        <v>28571</v>
      </c>
      <c r="J7391" t="s" s="2">
        <v>28572</v>
      </c>
      <c r="K7391" t="s" s="2">
        <v>22</v>
      </c>
      <c r="L7391" t="s" s="2">
        <v>22</v>
      </c>
      <c r="M7391" t="s" s="2">
        <v>22</v>
      </c>
    </row>
    <row r="7392" ht="25.0" customHeight="true">
      <c r="A7392" t="s" s="2">
        <v>13</v>
      </c>
      <c r="B7392" t="s" s="2">
        <f>HYPERLINK("http://ts.21cn.com/tousu/show/id/1365250","要还款找不到入口")</f>
      </c>
      <c r="C7392" t="s" s="2">
        <v>15</v>
      </c>
      <c r="D7392" t="s" s="2">
        <v>16</v>
      </c>
      <c r="E7392" t="s" s="2">
        <v>17</v>
      </c>
      <c r="F7392" t="s" s="2">
        <f>HYPERLINK("http://ts.21cn.com/tousu/show/id/1365250","http://ts.21cn.com/tousu/show/id/1365250")</f>
      </c>
      <c r="G7392" t="s" s="2">
        <v>17</v>
      </c>
      <c r="H7392" t="s" s="2">
        <v>19</v>
      </c>
      <c r="I7392" t="s" s="2">
        <v>28575</v>
      </c>
      <c r="J7392" t="s" s="2">
        <v>28576</v>
      </c>
      <c r="K7392" t="s" s="2">
        <v>22</v>
      </c>
      <c r="L7392" t="s" s="2">
        <v>22</v>
      </c>
      <c r="M7392" t="s" s="2">
        <v>22</v>
      </c>
    </row>
    <row r="7393" ht="25.0" customHeight="true">
      <c r="A7393" t="s" s="2">
        <v>13</v>
      </c>
      <c r="B7393" t="s" s="2">
        <f>HYPERLINK("http://ts.21cn.com/tousu/show/id/1365249","招联金融暴力催收")</f>
      </c>
      <c r="C7393" t="s" s="2">
        <v>15</v>
      </c>
      <c r="D7393" t="s" s="2">
        <v>16</v>
      </c>
      <c r="E7393" t="s" s="2">
        <v>17</v>
      </c>
      <c r="F7393" t="s" s="2">
        <f>HYPERLINK("http://ts.21cn.com/tousu/show/id/1365249","http://ts.21cn.com/tousu/show/id/1365249")</f>
      </c>
      <c r="G7393" t="s" s="2">
        <v>17</v>
      </c>
      <c r="H7393" t="s" s="2">
        <v>19</v>
      </c>
      <c r="I7393" t="s" s="2">
        <v>28578</v>
      </c>
      <c r="J7393" t="s" s="2">
        <v>28579</v>
      </c>
      <c r="K7393" t="s" s="2">
        <v>22</v>
      </c>
      <c r="L7393" t="s" s="2">
        <v>22</v>
      </c>
      <c r="M7393" t="s" s="2">
        <v>22</v>
      </c>
    </row>
    <row r="7394" ht="25.0" customHeight="true">
      <c r="A7394" t="s" s="2">
        <v>13</v>
      </c>
      <c r="B7394" t="s" s="2">
        <f>HYPERLINK("http://ts.21cn.com/tousu/show/id/1365248","拼多多现金助力活动")</f>
      </c>
      <c r="C7394" t="s" s="2">
        <v>15</v>
      </c>
      <c r="D7394" t="s" s="2">
        <v>16</v>
      </c>
      <c r="E7394" t="s" s="2">
        <v>17</v>
      </c>
      <c r="F7394" t="s" s="2">
        <f>HYPERLINK("http://ts.21cn.com/tousu/show/id/1365248","http://ts.21cn.com/tousu/show/id/1365248")</f>
      </c>
      <c r="G7394" t="s" s="2">
        <v>17</v>
      </c>
      <c r="H7394" t="s" s="2">
        <v>19</v>
      </c>
      <c r="I7394" t="s" s="2">
        <v>28581</v>
      </c>
      <c r="J7394" t="s" s="2">
        <v>28582</v>
      </c>
      <c r="K7394" t="s" s="2">
        <v>22</v>
      </c>
      <c r="L7394" t="s" s="2">
        <v>22</v>
      </c>
      <c r="M7394" t="s" s="2">
        <v>22</v>
      </c>
    </row>
    <row r="7395" ht="25.0" customHeight="true">
      <c r="A7395" t="s" s="2">
        <v>13</v>
      </c>
      <c r="B7395" t="s" s="2">
        <f>HYPERLINK("http://ts.21cn.com/tousu/show/id/1365247","捷信公司骚扰并诱导我办理高利贷")</f>
      </c>
      <c r="C7395" t="s" s="2">
        <v>15</v>
      </c>
      <c r="D7395" t="s" s="2">
        <v>16</v>
      </c>
      <c r="E7395" t="s" s="2">
        <v>17</v>
      </c>
      <c r="F7395" t="s" s="2">
        <f>HYPERLINK("http://ts.21cn.com/tousu/show/id/1365247","http://ts.21cn.com/tousu/show/id/1365247")</f>
      </c>
      <c r="G7395" t="s" s="2">
        <v>17</v>
      </c>
      <c r="H7395" t="s" s="2">
        <v>19</v>
      </c>
      <c r="I7395" t="s" s="2">
        <v>28585</v>
      </c>
      <c r="J7395" t="s" s="2">
        <v>28586</v>
      </c>
      <c r="K7395" t="s" s="2">
        <v>22</v>
      </c>
      <c r="L7395" t="s" s="2">
        <v>22</v>
      </c>
      <c r="M7395" t="s" s="2">
        <v>22</v>
      </c>
    </row>
    <row r="7396" ht="25.0" customHeight="true">
      <c r="A7396" t="s" s="2">
        <v>13</v>
      </c>
      <c r="B7396" t="s" s="2">
        <f>HYPERLINK("http://ts.21cn.com/tousu/show/id/1365246","拍拍贷骚扰亲属")</f>
      </c>
      <c r="C7396" t="s" s="2">
        <v>15</v>
      </c>
      <c r="D7396" t="s" s="2">
        <v>16</v>
      </c>
      <c r="E7396" t="s" s="2">
        <v>17</v>
      </c>
      <c r="F7396" t="s" s="2">
        <f>HYPERLINK("http://ts.21cn.com/tousu/show/id/1365246","http://ts.21cn.com/tousu/show/id/1365246")</f>
      </c>
      <c r="G7396" t="s" s="2">
        <v>17</v>
      </c>
      <c r="H7396" t="s" s="2">
        <v>19</v>
      </c>
      <c r="I7396" t="s" s="2">
        <v>28589</v>
      </c>
      <c r="J7396" t="s" s="2">
        <v>28590</v>
      </c>
      <c r="K7396" t="s" s="2">
        <v>22</v>
      </c>
      <c r="L7396" t="s" s="2">
        <v>22</v>
      </c>
      <c r="M7396" t="s" s="2">
        <v>22</v>
      </c>
    </row>
    <row r="7397" ht="25.0" customHeight="true">
      <c r="A7397" t="s" s="2">
        <v>13</v>
      </c>
      <c r="B7397" t="s" s="2">
        <f>HYPERLINK("http://ts.21cn.com/tousu/show/id/1365245","投诉淘集集网商平台")</f>
      </c>
      <c r="C7397" t="s" s="2">
        <v>15</v>
      </c>
      <c r="D7397" t="s" s="2">
        <v>16</v>
      </c>
      <c r="E7397" t="s" s="2">
        <v>17</v>
      </c>
      <c r="F7397" t="s" s="2">
        <f>HYPERLINK("http://ts.21cn.com/tousu/show/id/1365245","http://ts.21cn.com/tousu/show/id/1365245")</f>
      </c>
      <c r="G7397" t="s" s="2">
        <v>17</v>
      </c>
      <c r="H7397" t="s" s="2">
        <v>19</v>
      </c>
      <c r="I7397" t="s" s="2">
        <v>28593</v>
      </c>
      <c r="J7397" t="s" s="2">
        <v>28594</v>
      </c>
      <c r="K7397" t="s" s="2">
        <v>22</v>
      </c>
      <c r="L7397" t="s" s="2">
        <v>22</v>
      </c>
      <c r="M7397" t="s" s="2">
        <v>22</v>
      </c>
    </row>
    <row r="7398" ht="25.0" customHeight="true">
      <c r="A7398" t="s" s="2">
        <v>13</v>
      </c>
      <c r="B7398" t="s" s="2">
        <f>HYPERLINK("http://ts.21cn.com/tousu/show/id/1365244","买单侠暴力催收")</f>
      </c>
      <c r="C7398" t="s" s="2">
        <v>15</v>
      </c>
      <c r="D7398" t="s" s="2">
        <v>16</v>
      </c>
      <c r="E7398" t="s" s="2">
        <v>17</v>
      </c>
      <c r="F7398" t="s" s="2">
        <f>HYPERLINK("http://ts.21cn.com/tousu/show/id/1365244","http://ts.21cn.com/tousu/show/id/1365244")</f>
      </c>
      <c r="G7398" t="s" s="2">
        <v>17</v>
      </c>
      <c r="H7398" t="s" s="2">
        <v>19</v>
      </c>
      <c r="I7398" t="s" s="2">
        <v>28597</v>
      </c>
      <c r="J7398" t="s" s="2">
        <v>28598</v>
      </c>
      <c r="K7398" t="s" s="2">
        <v>22</v>
      </c>
      <c r="L7398" t="s" s="2">
        <v>22</v>
      </c>
      <c r="M7398" t="s" s="2">
        <v>22</v>
      </c>
    </row>
    <row r="7399" ht="25.0" customHeight="true">
      <c r="A7399" t="s" s="2">
        <v>13</v>
      </c>
      <c r="B7399" t="s" s="2">
        <f>HYPERLINK("http://ts.21cn.com/tousu/show/id/1365243","网贷平台爆通讯录")</f>
      </c>
      <c r="C7399" t="s" s="2">
        <v>15</v>
      </c>
      <c r="D7399" t="s" s="2">
        <v>16</v>
      </c>
      <c r="E7399" t="s" s="2">
        <v>17</v>
      </c>
      <c r="F7399" t="s" s="2">
        <f>HYPERLINK("http://ts.21cn.com/tousu/show/id/1365243","http://ts.21cn.com/tousu/show/id/1365243")</f>
      </c>
      <c r="G7399" t="s" s="2">
        <v>17</v>
      </c>
      <c r="H7399" t="s" s="2">
        <v>19</v>
      </c>
      <c r="I7399" t="s" s="2">
        <v>28601</v>
      </c>
      <c r="J7399" t="s" s="2">
        <v>28602</v>
      </c>
      <c r="K7399" t="s" s="2">
        <v>22</v>
      </c>
      <c r="L7399" t="s" s="2">
        <v>22</v>
      </c>
      <c r="M7399" t="s" s="2">
        <v>22</v>
      </c>
    </row>
    <row r="7400" ht="25.0" customHeight="true">
      <c r="A7400" t="s" s="2">
        <v>13</v>
      </c>
      <c r="B7400" t="s" s="2">
        <f>HYPERLINK("http://ts.21cn.com/tousu/show/id/1365242","YY信用雇佣催款公司上门催款")</f>
      </c>
      <c r="C7400" t="s" s="2">
        <v>15</v>
      </c>
      <c r="D7400" t="s" s="2">
        <v>16</v>
      </c>
      <c r="E7400" t="s" s="2">
        <v>17</v>
      </c>
      <c r="F7400" t="s" s="2">
        <f>HYPERLINK("http://ts.21cn.com/tousu/show/id/1365242","http://ts.21cn.com/tousu/show/id/1365242")</f>
      </c>
      <c r="G7400" t="s" s="2">
        <v>17</v>
      </c>
      <c r="H7400" t="s" s="2">
        <v>19</v>
      </c>
      <c r="I7400" t="s" s="2">
        <v>28605</v>
      </c>
      <c r="J7400" t="s" s="2">
        <v>28606</v>
      </c>
      <c r="K7400" t="s" s="2">
        <v>22</v>
      </c>
      <c r="L7400" t="s" s="2">
        <v>22</v>
      </c>
      <c r="M7400" t="s" s="2">
        <v>22</v>
      </c>
    </row>
    <row r="7401" ht="25.0" customHeight="true">
      <c r="A7401" t="s" s="2">
        <v>13</v>
      </c>
      <c r="B7401" t="s" s="2">
        <f>HYPERLINK("http://ts.21cn.com/tousu/show/id/1365241","聚宝来高利贷砍头息")</f>
      </c>
      <c r="C7401" t="s" s="2">
        <v>15</v>
      </c>
      <c r="D7401" t="s" s="2">
        <v>16</v>
      </c>
      <c r="E7401" t="s" s="2">
        <v>17</v>
      </c>
      <c r="F7401" t="s" s="2">
        <f>HYPERLINK("http://ts.21cn.com/tousu/show/id/1365241","http://ts.21cn.com/tousu/show/id/1365241")</f>
      </c>
      <c r="G7401" t="s" s="2">
        <v>17</v>
      </c>
      <c r="H7401" t="s" s="2">
        <v>19</v>
      </c>
      <c r="I7401" t="s" s="2">
        <v>28609</v>
      </c>
      <c r="J7401" t="s" s="2">
        <v>28610</v>
      </c>
      <c r="K7401" t="s" s="2">
        <v>22</v>
      </c>
      <c r="L7401" t="s" s="2">
        <v>22</v>
      </c>
      <c r="M7401" t="s" s="2">
        <v>22</v>
      </c>
    </row>
    <row r="7402" ht="25.0" customHeight="true">
      <c r="A7402" t="s" s="2">
        <v>13</v>
      </c>
      <c r="B7402" t="s" s="2">
        <f>HYPERLINK("http://ts.21cn.com/tousu/show/id/1365240","凡普信态度恶劣，威胁还款，")</f>
      </c>
      <c r="C7402" t="s" s="2">
        <v>15</v>
      </c>
      <c r="D7402" t="s" s="2">
        <v>16</v>
      </c>
      <c r="E7402" t="s" s="2">
        <v>17</v>
      </c>
      <c r="F7402" t="s" s="2">
        <f>HYPERLINK("http://ts.21cn.com/tousu/show/id/1365240","http://ts.21cn.com/tousu/show/id/1365240")</f>
      </c>
      <c r="G7402" t="s" s="2">
        <v>17</v>
      </c>
      <c r="H7402" t="s" s="2">
        <v>19</v>
      </c>
      <c r="I7402" t="s" s="2">
        <v>28613</v>
      </c>
      <c r="J7402" t="s" s="2">
        <v>28614</v>
      </c>
      <c r="K7402" t="s" s="2">
        <v>22</v>
      </c>
      <c r="L7402" t="s" s="2">
        <v>22</v>
      </c>
      <c r="M7402" t="s" s="2">
        <v>22</v>
      </c>
    </row>
    <row r="7403" ht="25.0" customHeight="true">
      <c r="A7403" t="s" s="2">
        <v>13</v>
      </c>
      <c r="B7403" t="s" s="2">
        <f>HYPERLINK("http://ts.21cn.com/tousu/show/id/1365238","电话打不通")</f>
      </c>
      <c r="C7403" t="s" s="2">
        <v>15</v>
      </c>
      <c r="D7403" t="s" s="2">
        <v>16</v>
      </c>
      <c r="E7403" t="s" s="2">
        <v>17</v>
      </c>
      <c r="F7403" t="s" s="2">
        <f>HYPERLINK("http://ts.21cn.com/tousu/show/id/1365238","http://ts.21cn.com/tousu/show/id/1365238")</f>
      </c>
      <c r="G7403" t="s" s="2">
        <v>17</v>
      </c>
      <c r="H7403" t="s" s="2">
        <v>19</v>
      </c>
      <c r="I7403" t="s" s="2">
        <v>28617</v>
      </c>
      <c r="J7403" t="s" s="2">
        <v>28618</v>
      </c>
      <c r="K7403" t="s" s="2">
        <v>22</v>
      </c>
      <c r="L7403" t="s" s="2">
        <v>22</v>
      </c>
      <c r="M7403" t="s" s="2">
        <v>22</v>
      </c>
    </row>
    <row r="7404" ht="25.0" customHeight="true">
      <c r="A7404" t="s" s="2">
        <v>13</v>
      </c>
      <c r="B7404" t="s" s="2">
        <f>HYPERLINK("http://ts.21cn.com/tousu/show/id/1365239","无逾期不能使用")</f>
      </c>
      <c r="C7404" t="s" s="2">
        <v>52</v>
      </c>
      <c r="D7404" t="s" s="2">
        <v>16</v>
      </c>
      <c r="E7404" t="s" s="2">
        <v>17</v>
      </c>
      <c r="F7404" t="s" s="2">
        <f>HYPERLINK("http://ts.21cn.com/tousu/show/id/1365239","http://ts.21cn.com/tousu/show/id/1365239")</f>
      </c>
      <c r="G7404" t="s" s="2">
        <v>17</v>
      </c>
      <c r="H7404" t="s" s="2">
        <v>19</v>
      </c>
      <c r="I7404" t="s" s="2">
        <v>28621</v>
      </c>
      <c r="J7404" t="s" s="2">
        <v>28622</v>
      </c>
      <c r="K7404" t="s" s="2">
        <v>22</v>
      </c>
      <c r="L7404" t="s" s="2">
        <v>22</v>
      </c>
      <c r="M7404" t="s" s="2">
        <v>22</v>
      </c>
    </row>
    <row r="7405" ht="25.0" customHeight="true">
      <c r="A7405" t="s" s="2">
        <v>13</v>
      </c>
      <c r="B7405" t="s" s="2">
        <f>HYPERLINK("http://ts.21cn.com/tousu/show/id/1365236","工商银行客服和催收暴力催收")</f>
      </c>
      <c r="C7405" t="s" s="2">
        <v>15</v>
      </c>
      <c r="D7405" t="s" s="2">
        <v>16</v>
      </c>
      <c r="E7405" t="s" s="2">
        <v>17</v>
      </c>
      <c r="F7405" t="s" s="2">
        <f>HYPERLINK("http://ts.21cn.com/tousu/show/id/1365236","http://ts.21cn.com/tousu/show/id/1365236")</f>
      </c>
      <c r="G7405" t="s" s="2">
        <v>17</v>
      </c>
      <c r="H7405" t="s" s="2">
        <v>19</v>
      </c>
      <c r="I7405" t="s" s="2">
        <v>28625</v>
      </c>
      <c r="J7405" t="s" s="2">
        <v>28626</v>
      </c>
      <c r="K7405" t="s" s="2">
        <v>22</v>
      </c>
      <c r="L7405" t="s" s="2">
        <v>22</v>
      </c>
      <c r="M7405" t="s" s="2">
        <v>22</v>
      </c>
    </row>
    <row r="7406" ht="25.0" customHeight="true">
      <c r="A7406" t="s" s="2">
        <v>13</v>
      </c>
      <c r="B7406" t="s" s="2">
        <f>HYPERLINK("http://ts.21cn.com/tousu/show/id/1365237","求助！协商还款")</f>
      </c>
      <c r="C7406" t="s" s="2">
        <v>15</v>
      </c>
      <c r="D7406" t="s" s="2">
        <v>16</v>
      </c>
      <c r="E7406" t="s" s="2">
        <v>17</v>
      </c>
      <c r="F7406" t="s" s="2">
        <f>HYPERLINK("http://ts.21cn.com/tousu/show/id/1365237","http://ts.21cn.com/tousu/show/id/1365237")</f>
      </c>
      <c r="G7406" t="s" s="2">
        <v>17</v>
      </c>
      <c r="H7406" t="s" s="2">
        <v>19</v>
      </c>
      <c r="I7406" t="s" s="2">
        <v>28629</v>
      </c>
      <c r="J7406" t="s" s="2">
        <v>28630</v>
      </c>
      <c r="K7406" t="s" s="2">
        <v>22</v>
      </c>
      <c r="L7406" t="s" s="2">
        <v>22</v>
      </c>
      <c r="M7406" t="s" s="2">
        <v>22</v>
      </c>
    </row>
    <row r="7407" ht="25.0" customHeight="true">
      <c r="A7407" t="s" s="2">
        <v>13</v>
      </c>
      <c r="B7407" t="s" s="2">
        <f>HYPERLINK("http://ts.21cn.com/tousu/show/id/1365234","拍拍贷暴力催收，协商态度恶劣")</f>
      </c>
      <c r="C7407" t="s" s="2">
        <v>15</v>
      </c>
      <c r="D7407" t="s" s="2">
        <v>16</v>
      </c>
      <c r="E7407" t="s" s="2">
        <v>17</v>
      </c>
      <c r="F7407" t="s" s="2">
        <f>HYPERLINK("http://ts.21cn.com/tousu/show/id/1365234","http://ts.21cn.com/tousu/show/id/1365234")</f>
      </c>
      <c r="G7407" t="s" s="2">
        <v>17</v>
      </c>
      <c r="H7407" t="s" s="2">
        <v>19</v>
      </c>
      <c r="I7407" t="s" s="2">
        <v>28633</v>
      </c>
      <c r="J7407" t="s" s="2">
        <v>28634</v>
      </c>
      <c r="K7407" t="s" s="2">
        <v>22</v>
      </c>
      <c r="L7407" t="s" s="2">
        <v>22</v>
      </c>
      <c r="M7407" t="s" s="2">
        <v>22</v>
      </c>
    </row>
    <row r="7408" ht="25.0" customHeight="true">
      <c r="A7408" t="s" s="2">
        <v>13</v>
      </c>
      <c r="B7408" t="s" s="2">
        <f>HYPERLINK("http://ts.21cn.com/tousu/show/id/1365235","拼多多平台涉嫌赌博支付通道")</f>
      </c>
      <c r="C7408" t="s" s="2">
        <v>15</v>
      </c>
      <c r="D7408" t="s" s="2">
        <v>16</v>
      </c>
      <c r="E7408" t="s" s="2">
        <v>17</v>
      </c>
      <c r="F7408" t="s" s="2">
        <f>HYPERLINK("http://ts.21cn.com/tousu/show/id/1365235","http://ts.21cn.com/tousu/show/id/1365235")</f>
      </c>
      <c r="G7408" t="s" s="2">
        <v>17</v>
      </c>
      <c r="H7408" t="s" s="2">
        <v>19</v>
      </c>
      <c r="I7408" t="s" s="2">
        <v>28633</v>
      </c>
      <c r="J7408" t="s" s="2">
        <v>28637</v>
      </c>
      <c r="K7408" t="s" s="2">
        <v>22</v>
      </c>
      <c r="L7408" t="s" s="2">
        <v>22</v>
      </c>
      <c r="M7408" t="s" s="2">
        <v>22</v>
      </c>
    </row>
    <row r="7409" ht="25.0" customHeight="true">
      <c r="A7409" t="s" s="2">
        <v>13</v>
      </c>
      <c r="B7409" t="s" s="2">
        <f>HYPERLINK("http://ts.21cn.com/tousu/show/id/1365232","投诉先花一亿元网贷骚扰")</f>
      </c>
      <c r="C7409" t="s" s="2">
        <v>15</v>
      </c>
      <c r="D7409" t="s" s="2">
        <v>16</v>
      </c>
      <c r="E7409" t="s" s="2">
        <v>17</v>
      </c>
      <c r="F7409" t="s" s="2">
        <f>HYPERLINK("http://ts.21cn.com/tousu/show/id/1365232","http://ts.21cn.com/tousu/show/id/1365232")</f>
      </c>
      <c r="G7409" t="s" s="2">
        <v>17</v>
      </c>
      <c r="H7409" t="s" s="2">
        <v>19</v>
      </c>
      <c r="I7409" t="s" s="2">
        <v>28640</v>
      </c>
      <c r="J7409" t="s" s="2">
        <v>28641</v>
      </c>
      <c r="K7409" t="s" s="2">
        <v>22</v>
      </c>
      <c r="L7409" t="s" s="2">
        <v>22</v>
      </c>
      <c r="M7409" t="s" s="2">
        <v>22</v>
      </c>
    </row>
    <row r="7410" ht="25.0" customHeight="true">
      <c r="A7410" t="s" s="2">
        <v>13</v>
      </c>
      <c r="B7410" t="s" s="2">
        <f>HYPERLINK("http://ts.21cn.com/tousu/show/id/1365233","维信金科恶意扣钱")</f>
      </c>
      <c r="C7410" t="s" s="2">
        <v>15</v>
      </c>
      <c r="D7410" t="s" s="2">
        <v>16</v>
      </c>
      <c r="E7410" t="s" s="2">
        <v>17</v>
      </c>
      <c r="F7410" t="s" s="2">
        <f>HYPERLINK("http://ts.21cn.com/tousu/show/id/1365233","http://ts.21cn.com/tousu/show/id/1365233")</f>
      </c>
      <c r="G7410" t="s" s="2">
        <v>17</v>
      </c>
      <c r="H7410" t="s" s="2">
        <v>19</v>
      </c>
      <c r="I7410" t="s" s="2">
        <v>28644</v>
      </c>
      <c r="J7410" t="s" s="2">
        <v>28645</v>
      </c>
      <c r="K7410" t="s" s="2">
        <v>22</v>
      </c>
      <c r="L7410" t="s" s="2">
        <v>22</v>
      </c>
      <c r="M7410" t="s" s="2">
        <v>22</v>
      </c>
    </row>
    <row r="7411" ht="25.0" customHeight="true">
      <c r="A7411" t="s" s="2">
        <v>13</v>
      </c>
      <c r="B7411" t="s" s="2">
        <f>HYPERLINK("http://ts.21cn.com/tousu/show/id/1365228","拍拍贷软暴力催收")</f>
      </c>
      <c r="C7411" t="s" s="2">
        <v>15</v>
      </c>
      <c r="D7411" t="s" s="2">
        <v>16</v>
      </c>
      <c r="E7411" t="s" s="2">
        <v>17</v>
      </c>
      <c r="F7411" t="s" s="2">
        <f>HYPERLINK("http://ts.21cn.com/tousu/show/id/1365228","http://ts.21cn.com/tousu/show/id/1365228")</f>
      </c>
      <c r="G7411" t="s" s="2">
        <v>17</v>
      </c>
      <c r="H7411" t="s" s="2">
        <v>19</v>
      </c>
      <c r="I7411" t="s" s="2">
        <v>28647</v>
      </c>
      <c r="J7411" t="s" s="2">
        <v>28648</v>
      </c>
      <c r="K7411" t="s" s="2">
        <v>22</v>
      </c>
      <c r="L7411" t="s" s="2">
        <v>22</v>
      </c>
      <c r="M7411" t="s" s="2">
        <v>22</v>
      </c>
    </row>
    <row r="7412" ht="25.0" customHeight="true">
      <c r="A7412" t="s" s="2">
        <v>13</v>
      </c>
      <c r="B7412" t="s" s="2">
        <f>HYPERLINK("http://ts.21cn.com/tousu/show/id/1365231","滴滴车主扣恶意服务分")</f>
      </c>
      <c r="C7412" t="s" s="2">
        <v>15</v>
      </c>
      <c r="D7412" t="s" s="2">
        <v>16</v>
      </c>
      <c r="E7412" t="s" s="2">
        <v>17</v>
      </c>
      <c r="F7412" t="s" s="2">
        <f>HYPERLINK("http://ts.21cn.com/tousu/show/id/1365231","http://ts.21cn.com/tousu/show/id/1365231")</f>
      </c>
      <c r="G7412" t="s" s="2">
        <v>17</v>
      </c>
      <c r="H7412" t="s" s="2">
        <v>19</v>
      </c>
      <c r="I7412" t="s" s="2">
        <v>28651</v>
      </c>
      <c r="J7412" t="s" s="2">
        <v>28652</v>
      </c>
      <c r="K7412" t="s" s="2">
        <v>22</v>
      </c>
      <c r="L7412" t="s" s="2">
        <v>22</v>
      </c>
      <c r="M7412" t="s" s="2">
        <v>22</v>
      </c>
    </row>
    <row r="7413" ht="25.0" customHeight="true">
      <c r="A7413" t="s" s="2">
        <v>13</v>
      </c>
      <c r="B7413" t="s" s="2">
        <f>HYPERLINK("http://ts.21cn.com/tousu/show/id/1365230","马上金融暴力骚扰非法催收")</f>
      </c>
      <c r="C7413" t="s" s="2">
        <v>15</v>
      </c>
      <c r="D7413" t="s" s="2">
        <v>16</v>
      </c>
      <c r="E7413" t="s" s="2">
        <v>17</v>
      </c>
      <c r="F7413" t="s" s="2">
        <f>HYPERLINK("http://ts.21cn.com/tousu/show/id/1365230","http://ts.21cn.com/tousu/show/id/1365230")</f>
      </c>
      <c r="G7413" t="s" s="2">
        <v>17</v>
      </c>
      <c r="H7413" t="s" s="2">
        <v>19</v>
      </c>
      <c r="I7413" t="s" s="2">
        <v>28655</v>
      </c>
      <c r="J7413" t="s" s="2">
        <v>28656</v>
      </c>
      <c r="K7413" t="s" s="2">
        <v>22</v>
      </c>
      <c r="L7413" t="s" s="2">
        <v>22</v>
      </c>
      <c r="M7413" t="s" s="2">
        <v>22</v>
      </c>
    </row>
    <row r="7414" ht="25.0" customHeight="true">
      <c r="A7414" t="s" s="2">
        <v>13</v>
      </c>
      <c r="B7414" t="s" s="2">
        <f>HYPERLINK("http://ts.21cn.com/tousu/show/id/1365227","恒易贷还款成功，显示逾期并加收100元逾期费")</f>
      </c>
      <c r="C7414" t="s" s="2">
        <v>15</v>
      </c>
      <c r="D7414" t="s" s="2">
        <v>16</v>
      </c>
      <c r="E7414" t="s" s="2">
        <v>17</v>
      </c>
      <c r="F7414" t="s" s="2">
        <f>HYPERLINK("http://ts.21cn.com/tousu/show/id/1365227","http://ts.21cn.com/tousu/show/id/1365227")</f>
      </c>
      <c r="G7414" t="s" s="2">
        <v>17</v>
      </c>
      <c r="H7414" t="s" s="2">
        <v>19</v>
      </c>
      <c r="I7414" t="s" s="2">
        <v>28659</v>
      </c>
      <c r="J7414" t="s" s="2">
        <v>28660</v>
      </c>
      <c r="K7414" t="s" s="2">
        <v>22</v>
      </c>
      <c r="L7414" t="s" s="2">
        <v>22</v>
      </c>
      <c r="M7414" t="s" s="2">
        <v>22</v>
      </c>
    </row>
    <row r="7415" ht="25.0" customHeight="true">
      <c r="A7415" t="s" s="2">
        <v>13</v>
      </c>
      <c r="B7415" t="s" s="2">
        <f>HYPERLINK("http://ts.21cn.com/tousu/show/id/1365226","闪银高利贷，砍头息，言语恐吓骚扰")</f>
      </c>
      <c r="C7415" t="s" s="2">
        <v>15</v>
      </c>
      <c r="D7415" t="s" s="2">
        <v>16</v>
      </c>
      <c r="E7415" t="s" s="2">
        <v>17</v>
      </c>
      <c r="F7415" t="s" s="2">
        <f>HYPERLINK("http://ts.21cn.com/tousu/show/id/1365226","http://ts.21cn.com/tousu/show/id/1365226")</f>
      </c>
      <c r="G7415" t="s" s="2">
        <v>17</v>
      </c>
      <c r="H7415" t="s" s="2">
        <v>19</v>
      </c>
      <c r="I7415" t="s" s="2">
        <v>28663</v>
      </c>
      <c r="J7415" t="s" s="2">
        <v>28664</v>
      </c>
      <c r="K7415" t="s" s="2">
        <v>22</v>
      </c>
      <c r="L7415" t="s" s="2">
        <v>22</v>
      </c>
      <c r="M7415" t="s" s="2">
        <v>22</v>
      </c>
    </row>
    <row r="7416" ht="25.0" customHeight="true">
      <c r="A7416" t="s" s="2">
        <v>13</v>
      </c>
      <c r="B7416" t="s" s="2">
        <f>HYPERLINK("http://ts.21cn.com/tousu/show/id/1365198","及贷我已还款为什么还有逾期")</f>
      </c>
      <c r="C7416" t="s" s="2">
        <v>15</v>
      </c>
      <c r="D7416" t="s" s="2">
        <v>16</v>
      </c>
      <c r="E7416" t="s" s="2">
        <v>17</v>
      </c>
      <c r="F7416" t="s" s="2">
        <f>HYPERLINK("http://ts.21cn.com/tousu/show/id/1365198","http://ts.21cn.com/tousu/show/id/1365198")</f>
      </c>
      <c r="G7416" t="s" s="2">
        <v>17</v>
      </c>
      <c r="H7416" t="s" s="2">
        <v>19</v>
      </c>
      <c r="I7416" t="s" s="2">
        <v>28667</v>
      </c>
      <c r="J7416" t="s" s="2">
        <v>28668</v>
      </c>
      <c r="K7416" t="s" s="2">
        <v>22</v>
      </c>
      <c r="L7416" t="s" s="2">
        <v>22</v>
      </c>
      <c r="M7416" t="s" s="2">
        <v>22</v>
      </c>
    </row>
    <row r="7417" ht="25.0" customHeight="true">
      <c r="A7417" t="s" s="2">
        <v>13</v>
      </c>
      <c r="B7417" t="s" s="2">
        <f>HYPERLINK("http://ts.21cn.com/tousu/show/id/1365225","苏宁金融")</f>
      </c>
      <c r="C7417" t="s" s="2">
        <v>15</v>
      </c>
      <c r="D7417" t="s" s="2">
        <v>16</v>
      </c>
      <c r="E7417" t="s" s="2">
        <v>17</v>
      </c>
      <c r="F7417" t="s" s="2">
        <f>HYPERLINK("http://ts.21cn.com/tousu/show/id/1365225","http://ts.21cn.com/tousu/show/id/1365225")</f>
      </c>
      <c r="G7417" t="s" s="2">
        <v>17</v>
      </c>
      <c r="H7417" t="s" s="2">
        <v>19</v>
      </c>
      <c r="I7417" t="s" s="2">
        <v>28671</v>
      </c>
      <c r="J7417" t="s" s="2">
        <v>28672</v>
      </c>
      <c r="K7417" t="s" s="2">
        <v>22</v>
      </c>
      <c r="L7417" t="s" s="2">
        <v>22</v>
      </c>
      <c r="M7417" t="s" s="2">
        <v>22</v>
      </c>
    </row>
    <row r="7418" ht="25.0" customHeight="true">
      <c r="A7418" t="s" s="2">
        <v>13</v>
      </c>
      <c r="B7418" t="s" s="2">
        <f>HYPERLINK("http://ts.21cn.com/tousu/show/id/1365224","捷信高利贷")</f>
      </c>
      <c r="C7418" t="s" s="2">
        <v>15</v>
      </c>
      <c r="D7418" t="s" s="2">
        <v>16</v>
      </c>
      <c r="E7418" t="s" s="2">
        <v>17</v>
      </c>
      <c r="F7418" t="s" s="2">
        <f>HYPERLINK("http://ts.21cn.com/tousu/show/id/1365224","http://ts.21cn.com/tousu/show/id/1365224")</f>
      </c>
      <c r="G7418" t="s" s="2">
        <v>17</v>
      </c>
      <c r="H7418" t="s" s="2">
        <v>19</v>
      </c>
      <c r="I7418" t="s" s="2">
        <v>28674</v>
      </c>
      <c r="J7418" t="s" s="2">
        <v>28675</v>
      </c>
      <c r="K7418" t="s" s="2">
        <v>22</v>
      </c>
      <c r="L7418" t="s" s="2">
        <v>22</v>
      </c>
      <c r="M7418" t="s" s="2">
        <v>22</v>
      </c>
    </row>
    <row r="7419" ht="25.0" customHeight="true">
      <c r="A7419" t="s" s="2">
        <v>13</v>
      </c>
      <c r="B7419" t="s" s="2">
        <f>HYPERLINK("http://ts.21cn.com/tousu/show/id/1365223","悦程出行机场误导办卡，请求退卡")</f>
      </c>
      <c r="C7419" t="s" s="2">
        <v>15</v>
      </c>
      <c r="D7419" t="s" s="2">
        <v>16</v>
      </c>
      <c r="E7419" t="s" s="2">
        <v>17</v>
      </c>
      <c r="F7419" t="s" s="2">
        <f>HYPERLINK("http://ts.21cn.com/tousu/show/id/1365223","http://ts.21cn.com/tousu/show/id/1365223")</f>
      </c>
      <c r="G7419" t="s" s="2">
        <v>17</v>
      </c>
      <c r="H7419" t="s" s="2">
        <v>19</v>
      </c>
      <c r="I7419" t="s" s="2">
        <v>28678</v>
      </c>
      <c r="J7419" t="s" s="2">
        <v>28679</v>
      </c>
      <c r="K7419" t="s" s="2">
        <v>22</v>
      </c>
      <c r="L7419" t="s" s="2">
        <v>22</v>
      </c>
      <c r="M7419" t="s" s="2">
        <v>22</v>
      </c>
    </row>
    <row r="7420" ht="25.0" customHeight="true">
      <c r="A7420" t="s" s="2">
        <v>13</v>
      </c>
      <c r="B7420" t="s" s="2">
        <f>HYPERLINK("http://ts.21cn.com/tousu/show/id/1365222","爆我通讯录")</f>
      </c>
      <c r="C7420" t="s" s="2">
        <v>15</v>
      </c>
      <c r="D7420" t="s" s="2">
        <v>16</v>
      </c>
      <c r="E7420" t="s" s="2">
        <v>17</v>
      </c>
      <c r="F7420" t="s" s="2">
        <f>HYPERLINK("http://ts.21cn.com/tousu/show/id/1365222","http://ts.21cn.com/tousu/show/id/1365222")</f>
      </c>
      <c r="G7420" t="s" s="2">
        <v>17</v>
      </c>
      <c r="H7420" t="s" s="2">
        <v>19</v>
      </c>
      <c r="I7420" t="s" s="2">
        <v>28682</v>
      </c>
      <c r="J7420" t="s" s="2">
        <v>28683</v>
      </c>
      <c r="K7420" t="s" s="2">
        <v>22</v>
      </c>
      <c r="L7420" t="s" s="2">
        <v>22</v>
      </c>
      <c r="M7420" t="s" s="2">
        <v>22</v>
      </c>
    </row>
    <row r="7421" ht="25.0" customHeight="true">
      <c r="A7421" t="s" s="2">
        <v>13</v>
      </c>
      <c r="B7421" t="s" s="2">
        <f>HYPERLINK("http://ts.21cn.com/tousu/show/id/1365221","美团生活费暴力催收，威胁，恐吓")</f>
      </c>
      <c r="C7421" t="s" s="2">
        <v>15</v>
      </c>
      <c r="D7421" t="s" s="2">
        <v>16</v>
      </c>
      <c r="E7421" t="s" s="2">
        <v>17</v>
      </c>
      <c r="F7421" t="s" s="2">
        <f>HYPERLINK("http://ts.21cn.com/tousu/show/id/1365221","http://ts.21cn.com/tousu/show/id/1365221")</f>
      </c>
      <c r="G7421" t="s" s="2">
        <v>17</v>
      </c>
      <c r="H7421" t="s" s="2">
        <v>19</v>
      </c>
      <c r="I7421" t="s" s="2">
        <v>28686</v>
      </c>
      <c r="J7421" t="s" s="2">
        <v>28687</v>
      </c>
      <c r="K7421" t="s" s="2">
        <v>22</v>
      </c>
      <c r="L7421" t="s" s="2">
        <v>22</v>
      </c>
      <c r="M7421" t="s" s="2">
        <v>22</v>
      </c>
    </row>
    <row r="7422" ht="25.0" customHeight="true">
      <c r="A7422" t="s" s="2">
        <v>13</v>
      </c>
      <c r="B7422" t="s" s="2">
        <f>HYPERLINK("http://ts.21cn.com/tousu/show/id/1365220","退回砍头息")</f>
      </c>
      <c r="C7422" t="s" s="2">
        <v>15</v>
      </c>
      <c r="D7422" t="s" s="2">
        <v>16</v>
      </c>
      <c r="E7422" t="s" s="2">
        <v>17</v>
      </c>
      <c r="F7422" t="s" s="2">
        <f>HYPERLINK("http://ts.21cn.com/tousu/show/id/1365220","http://ts.21cn.com/tousu/show/id/1365220")</f>
      </c>
      <c r="G7422" t="s" s="2">
        <v>17</v>
      </c>
      <c r="H7422" t="s" s="2">
        <v>19</v>
      </c>
      <c r="I7422" t="s" s="2">
        <v>28689</v>
      </c>
      <c r="J7422" t="s" s="2">
        <v>28690</v>
      </c>
      <c r="K7422" t="s" s="2">
        <v>22</v>
      </c>
      <c r="L7422" t="s" s="2">
        <v>22</v>
      </c>
      <c r="M7422" t="s" s="2">
        <v>22</v>
      </c>
    </row>
    <row r="7423" ht="25.0" customHeight="true">
      <c r="A7423" t="s" s="2">
        <v>13</v>
      </c>
      <c r="B7423" t="s" s="2">
        <f>HYPERLINK("http://ts.21cn.com/tousu/show/id/1365219","快闪卡贷高利贷，砍头息")</f>
      </c>
      <c r="C7423" t="s" s="2">
        <v>15</v>
      </c>
      <c r="D7423" t="s" s="2">
        <v>16</v>
      </c>
      <c r="E7423" t="s" s="2">
        <v>17</v>
      </c>
      <c r="F7423" t="s" s="2">
        <f>HYPERLINK("http://ts.21cn.com/tousu/show/id/1365219","http://ts.21cn.com/tousu/show/id/1365219")</f>
      </c>
      <c r="G7423" t="s" s="2">
        <v>17</v>
      </c>
      <c r="H7423" t="s" s="2">
        <v>19</v>
      </c>
      <c r="I7423" t="s" s="2">
        <v>28693</v>
      </c>
      <c r="J7423" t="s" s="2">
        <v>28694</v>
      </c>
      <c r="K7423" t="s" s="2">
        <v>22</v>
      </c>
      <c r="L7423" t="s" s="2">
        <v>22</v>
      </c>
      <c r="M7423" t="s" s="2">
        <v>22</v>
      </c>
    </row>
    <row r="7424" ht="25.0" customHeight="true">
      <c r="A7424" t="s" s="2">
        <v>13</v>
      </c>
      <c r="B7424" t="s" s="2">
        <f>HYPERLINK("http://ts.21cn.com/tousu/show/id/1365218","请停止任何形式广告行为")</f>
      </c>
      <c r="C7424" t="s" s="2">
        <v>52</v>
      </c>
      <c r="D7424" t="s" s="2">
        <v>16</v>
      </c>
      <c r="E7424" t="s" s="2">
        <v>17</v>
      </c>
      <c r="F7424" t="s" s="2">
        <f>HYPERLINK("http://ts.21cn.com/tousu/show/id/1365218","http://ts.21cn.com/tousu/show/id/1365218")</f>
      </c>
      <c r="G7424" t="s" s="2">
        <v>17</v>
      </c>
      <c r="H7424" t="s" s="2">
        <v>19</v>
      </c>
      <c r="I7424" t="s" s="2">
        <v>28697</v>
      </c>
      <c r="J7424" t="s" s="2">
        <v>28698</v>
      </c>
      <c r="K7424" t="s" s="2">
        <v>22</v>
      </c>
      <c r="L7424" t="s" s="2">
        <v>22</v>
      </c>
      <c r="M7424" t="s" s="2">
        <v>22</v>
      </c>
    </row>
    <row r="7425" ht="25.0" customHeight="true">
      <c r="A7425" t="s" s="2">
        <v>13</v>
      </c>
      <c r="B7425" t="s" s="2">
        <f>HYPERLINK("http://ts.21cn.com/tousu/show/id/1365215","借花钱恶意扣款")</f>
      </c>
      <c r="C7425" t="s" s="2">
        <v>15</v>
      </c>
      <c r="D7425" t="s" s="2">
        <v>16</v>
      </c>
      <c r="E7425" t="s" s="2">
        <v>17</v>
      </c>
      <c r="F7425" t="s" s="2">
        <f>HYPERLINK("http://ts.21cn.com/tousu/show/id/1365215","http://ts.21cn.com/tousu/show/id/1365215")</f>
      </c>
      <c r="G7425" t="s" s="2">
        <v>17</v>
      </c>
      <c r="H7425" t="s" s="2">
        <v>19</v>
      </c>
      <c r="I7425" t="s" s="2">
        <v>28701</v>
      </c>
      <c r="J7425" t="s" s="2">
        <v>28702</v>
      </c>
      <c r="K7425" t="s" s="2">
        <v>22</v>
      </c>
      <c r="L7425" t="s" s="2">
        <v>22</v>
      </c>
      <c r="M7425" t="s" s="2">
        <v>22</v>
      </c>
    </row>
    <row r="7426" ht="25.0" customHeight="true">
      <c r="A7426" t="s" s="2">
        <v>13</v>
      </c>
      <c r="B7426" t="s" s="2">
        <f>HYPERLINK("http://ts.21cn.com/tousu/show/id/1365217","拍拍贷威胁催收通讯录")</f>
      </c>
      <c r="C7426" t="s" s="2">
        <v>15</v>
      </c>
      <c r="D7426" t="s" s="2">
        <v>16</v>
      </c>
      <c r="E7426" t="s" s="2">
        <v>17</v>
      </c>
      <c r="F7426" t="s" s="2">
        <f>HYPERLINK("http://ts.21cn.com/tousu/show/id/1365217","http://ts.21cn.com/tousu/show/id/1365217")</f>
      </c>
      <c r="G7426" t="s" s="2">
        <v>17</v>
      </c>
      <c r="H7426" t="s" s="2">
        <v>19</v>
      </c>
      <c r="I7426" t="s" s="2">
        <v>28705</v>
      </c>
      <c r="J7426" t="s" s="2">
        <v>28706</v>
      </c>
      <c r="K7426" t="s" s="2">
        <v>22</v>
      </c>
      <c r="L7426" t="s" s="2">
        <v>22</v>
      </c>
      <c r="M7426" t="s" s="2">
        <v>22</v>
      </c>
    </row>
    <row r="7427" ht="25.0" customHeight="true">
      <c r="A7427" t="s" s="2">
        <v>13</v>
      </c>
      <c r="B7427" t="s" s="2">
        <f>HYPERLINK("http://ts.21cn.com/tousu/show/id/1365216","贷上钱逾期一天，正常沟通没有拒接电话，表示过下午i就可以还款，催收要拨打家人电话并且要求10点之内还款")</f>
      </c>
      <c r="C7427" t="s" s="2">
        <v>15</v>
      </c>
      <c r="D7427" t="s" s="2">
        <v>16</v>
      </c>
      <c r="E7427" t="s" s="2">
        <v>17</v>
      </c>
      <c r="F7427" t="s" s="2">
        <f>HYPERLINK("http://ts.21cn.com/tousu/show/id/1365216","http://ts.21cn.com/tousu/show/id/1365216")</f>
      </c>
      <c r="G7427" t="s" s="2">
        <v>17</v>
      </c>
      <c r="H7427" t="s" s="2">
        <v>19</v>
      </c>
      <c r="I7427" t="s" s="2">
        <v>28709</v>
      </c>
      <c r="J7427" t="s" s="2">
        <v>28710</v>
      </c>
      <c r="K7427" t="s" s="2">
        <v>22</v>
      </c>
      <c r="L7427" t="s" s="2">
        <v>22</v>
      </c>
      <c r="M7427" t="s" s="2">
        <v>22</v>
      </c>
    </row>
    <row r="7428" ht="25.0" customHeight="true">
      <c r="A7428" t="s" s="2">
        <v>13</v>
      </c>
      <c r="B7428" t="s" s="2">
        <f>HYPERLINK("http://ts.21cn.com/tousu/show/id/1365213","你我贷暴力催收态度恶劣")</f>
      </c>
      <c r="C7428" t="s" s="2">
        <v>15</v>
      </c>
      <c r="D7428" t="s" s="2">
        <v>16</v>
      </c>
      <c r="E7428" t="s" s="2">
        <v>17</v>
      </c>
      <c r="F7428" t="s" s="2">
        <f>HYPERLINK("http://ts.21cn.com/tousu/show/id/1365213","http://ts.21cn.com/tousu/show/id/1365213")</f>
      </c>
      <c r="G7428" t="s" s="2">
        <v>17</v>
      </c>
      <c r="H7428" t="s" s="2">
        <v>19</v>
      </c>
      <c r="I7428" t="s" s="2">
        <v>28713</v>
      </c>
      <c r="J7428" t="s" s="2">
        <v>28714</v>
      </c>
      <c r="K7428" t="s" s="2">
        <v>22</v>
      </c>
      <c r="L7428" t="s" s="2">
        <v>22</v>
      </c>
      <c r="M7428" t="s" s="2">
        <v>22</v>
      </c>
    </row>
    <row r="7429" ht="25.0" customHeight="true">
      <c r="A7429" t="s" s="2">
        <v>13</v>
      </c>
      <c r="B7429" t="s" s="2">
        <f>HYPERLINK("http://ts.21cn.com/tousu/show/id/1365214","及贷")</f>
      </c>
      <c r="C7429" t="s" s="2">
        <v>15</v>
      </c>
      <c r="D7429" t="s" s="2">
        <v>16</v>
      </c>
      <c r="E7429" t="s" s="2">
        <v>17</v>
      </c>
      <c r="F7429" t="s" s="2">
        <f>HYPERLINK("http://ts.21cn.com/tousu/show/id/1365214","http://ts.21cn.com/tousu/show/id/1365214")</f>
      </c>
      <c r="G7429" t="s" s="2">
        <v>17</v>
      </c>
      <c r="H7429" t="s" s="2">
        <v>19</v>
      </c>
      <c r="I7429" t="s" s="2">
        <v>28717</v>
      </c>
      <c r="J7429" t="s" s="2">
        <v>28718</v>
      </c>
      <c r="K7429" t="s" s="2">
        <v>22</v>
      </c>
      <c r="L7429" t="s" s="2">
        <v>22</v>
      </c>
      <c r="M7429" t="s" s="2">
        <v>22</v>
      </c>
    </row>
    <row r="7430" ht="25.0" customHeight="true">
      <c r="A7430" t="s" s="2">
        <v>13</v>
      </c>
      <c r="B7430" t="s" s="2">
        <f>HYPERLINK("http://ts.21cn.com/tousu/show/id/1365212","给你花平台暴力催收，骚扰")</f>
      </c>
      <c r="C7430" t="s" s="2">
        <v>15</v>
      </c>
      <c r="D7430" t="s" s="2">
        <v>16</v>
      </c>
      <c r="E7430" t="s" s="2">
        <v>17</v>
      </c>
      <c r="F7430" t="s" s="2">
        <f>HYPERLINK("http://ts.21cn.com/tousu/show/id/1365212","http://ts.21cn.com/tousu/show/id/1365212")</f>
      </c>
      <c r="G7430" t="s" s="2">
        <v>17</v>
      </c>
      <c r="H7430" t="s" s="2">
        <v>19</v>
      </c>
      <c r="I7430" t="s" s="2">
        <v>28721</v>
      </c>
      <c r="J7430" t="s" s="2">
        <v>28722</v>
      </c>
      <c r="K7430" t="s" s="2">
        <v>22</v>
      </c>
      <c r="L7430" t="s" s="2">
        <v>22</v>
      </c>
      <c r="M7430" t="s" s="2">
        <v>22</v>
      </c>
    </row>
    <row r="7431" ht="25.0" customHeight="true">
      <c r="A7431" t="s" s="2">
        <v>13</v>
      </c>
      <c r="B7431" t="s" s="2">
        <f>HYPERLINK("http://ts.21cn.com/tousu/show/id/1365211","信乐优高利贷")</f>
      </c>
      <c r="C7431" t="s" s="2">
        <v>15</v>
      </c>
      <c r="D7431" t="s" s="2">
        <v>16</v>
      </c>
      <c r="E7431" t="s" s="2">
        <v>17</v>
      </c>
      <c r="F7431" t="s" s="2">
        <f>HYPERLINK("http://ts.21cn.com/tousu/show/id/1365211","http://ts.21cn.com/tousu/show/id/1365211")</f>
      </c>
      <c r="G7431" t="s" s="2">
        <v>17</v>
      </c>
      <c r="H7431" t="s" s="2">
        <v>19</v>
      </c>
      <c r="I7431" t="s" s="2">
        <v>28725</v>
      </c>
      <c r="J7431" t="s" s="2">
        <v>28726</v>
      </c>
      <c r="K7431" t="s" s="2">
        <v>22</v>
      </c>
      <c r="L7431" t="s" s="2">
        <v>22</v>
      </c>
      <c r="M7431" t="s" s="2">
        <v>22</v>
      </c>
    </row>
    <row r="7432" ht="25.0" customHeight="true">
      <c r="A7432" t="s" s="2">
        <v>13</v>
      </c>
      <c r="B7432" t="s" s="2">
        <f>HYPERLINK("http://ts.21cn.com/tousu/show/id/1365210","先花一亿元骚扰电话")</f>
      </c>
      <c r="C7432" t="s" s="2">
        <v>15</v>
      </c>
      <c r="D7432" t="s" s="2">
        <v>16</v>
      </c>
      <c r="E7432" t="s" s="2">
        <v>17</v>
      </c>
      <c r="F7432" t="s" s="2">
        <f>HYPERLINK("http://ts.21cn.com/tousu/show/id/1365210","http://ts.21cn.com/tousu/show/id/1365210")</f>
      </c>
      <c r="G7432" t="s" s="2">
        <v>17</v>
      </c>
      <c r="H7432" t="s" s="2">
        <v>19</v>
      </c>
      <c r="I7432" t="s" s="2">
        <v>28729</v>
      </c>
      <c r="J7432" t="s" s="2">
        <v>28730</v>
      </c>
      <c r="K7432" t="s" s="2">
        <v>22</v>
      </c>
      <c r="L7432" t="s" s="2">
        <v>22</v>
      </c>
      <c r="M7432" t="s" s="2">
        <v>22</v>
      </c>
    </row>
    <row r="7433" ht="25.0" customHeight="true">
      <c r="A7433" t="s" s="2">
        <v>13</v>
      </c>
      <c r="B7433" t="s" s="2">
        <f>HYPERLINK("http://ts.21cn.com/tousu/show/id/1365209","及贷放款时直接扣除所谓的保费，存在欺诈消费行为")</f>
      </c>
      <c r="C7433" t="s" s="2">
        <v>15</v>
      </c>
      <c r="D7433" t="s" s="2">
        <v>16</v>
      </c>
      <c r="E7433" t="s" s="2">
        <v>17</v>
      </c>
      <c r="F7433" t="s" s="2">
        <f>HYPERLINK("http://ts.21cn.com/tousu/show/id/1365209","http://ts.21cn.com/tousu/show/id/1365209")</f>
      </c>
      <c r="G7433" t="s" s="2">
        <v>17</v>
      </c>
      <c r="H7433" t="s" s="2">
        <v>19</v>
      </c>
      <c r="I7433" t="s" s="2">
        <v>28732</v>
      </c>
      <c r="J7433" t="s" s="2">
        <v>28733</v>
      </c>
      <c r="K7433" t="s" s="2">
        <v>22</v>
      </c>
      <c r="L7433" t="s" s="2">
        <v>22</v>
      </c>
      <c r="M7433" t="s" s="2">
        <v>22</v>
      </c>
    </row>
    <row r="7434" ht="25.0" customHeight="true">
      <c r="A7434" t="s" s="2">
        <v>13</v>
      </c>
      <c r="B7434" t="s" s="2">
        <f>HYPERLINK("http://ts.21cn.com/tousu/show/id/1365208","小米金融出售个人消息")</f>
      </c>
      <c r="C7434" t="s" s="2">
        <v>15</v>
      </c>
      <c r="D7434" t="s" s="2">
        <v>16</v>
      </c>
      <c r="E7434" t="s" s="2">
        <v>17</v>
      </c>
      <c r="F7434" t="s" s="2">
        <f>HYPERLINK("http://ts.21cn.com/tousu/show/id/1365208","http://ts.21cn.com/tousu/show/id/1365208")</f>
      </c>
      <c r="G7434" t="s" s="2">
        <v>17</v>
      </c>
      <c r="H7434" t="s" s="2">
        <v>19</v>
      </c>
      <c r="I7434" t="s" s="2">
        <v>28736</v>
      </c>
      <c r="J7434" t="s" s="2">
        <v>28737</v>
      </c>
      <c r="K7434" t="s" s="2">
        <v>22</v>
      </c>
      <c r="L7434" t="s" s="2">
        <v>22</v>
      </c>
      <c r="M7434" t="s" s="2">
        <v>22</v>
      </c>
    </row>
    <row r="7435" ht="25.0" customHeight="true">
      <c r="A7435" t="s" s="2">
        <v>13</v>
      </c>
      <c r="B7435" t="s" s="2">
        <f>HYPERLINK("http://ts.21cn.com/tousu/show/id/1365207","信用管家诚薪贷收取高额砍头息")</f>
      </c>
      <c r="C7435" t="s" s="2">
        <v>52</v>
      </c>
      <c r="D7435" t="s" s="2">
        <v>16</v>
      </c>
      <c r="E7435" t="s" s="2">
        <v>17</v>
      </c>
      <c r="F7435" t="s" s="2">
        <f>HYPERLINK("http://ts.21cn.com/tousu/show/id/1365207","http://ts.21cn.com/tousu/show/id/1365207")</f>
      </c>
      <c r="G7435" t="s" s="2">
        <v>17</v>
      </c>
      <c r="H7435" t="s" s="2">
        <v>19</v>
      </c>
      <c r="I7435" t="s" s="2">
        <v>28740</v>
      </c>
      <c r="J7435" t="s" s="2">
        <v>28741</v>
      </c>
      <c r="K7435" t="s" s="2">
        <v>22</v>
      </c>
      <c r="L7435" t="s" s="2">
        <v>22</v>
      </c>
      <c r="M7435" t="s" s="2">
        <v>22</v>
      </c>
    </row>
    <row r="7436" ht="25.0" customHeight="true">
      <c r="A7436" t="s" s="2">
        <v>13</v>
      </c>
      <c r="B7436" t="s" s="2">
        <f>HYPERLINK("http://ts.21cn.com/tousu/show/id/1365206","来分期催收恶意催收自动扣款")</f>
      </c>
      <c r="C7436" t="s" s="2">
        <v>15</v>
      </c>
      <c r="D7436" t="s" s="2">
        <v>16</v>
      </c>
      <c r="E7436" t="s" s="2">
        <v>17</v>
      </c>
      <c r="F7436" t="s" s="2">
        <f>HYPERLINK("http://ts.21cn.com/tousu/show/id/1365206","http://ts.21cn.com/tousu/show/id/1365206")</f>
      </c>
      <c r="G7436" t="s" s="2">
        <v>17</v>
      </c>
      <c r="H7436" t="s" s="2">
        <v>19</v>
      </c>
      <c r="I7436" t="s" s="2">
        <v>28744</v>
      </c>
      <c r="J7436" t="s" s="2">
        <v>28745</v>
      </c>
      <c r="K7436" t="s" s="2">
        <v>22</v>
      </c>
      <c r="L7436" t="s" s="2">
        <v>22</v>
      </c>
      <c r="M7436" t="s" s="2">
        <v>22</v>
      </c>
    </row>
    <row r="7437" ht="25.0" customHeight="true">
      <c r="A7437" t="s" s="2">
        <v>13</v>
      </c>
      <c r="B7437" t="s" s="2">
        <f>HYPERLINK("http://ts.21cn.com/tousu/show/id/1365205","新意花，立马进钱高利贷，联系不到客服，故意造成逾期")</f>
      </c>
      <c r="C7437" t="s" s="2">
        <v>15</v>
      </c>
      <c r="D7437" t="s" s="2">
        <v>16</v>
      </c>
      <c r="E7437" t="s" s="2">
        <v>17</v>
      </c>
      <c r="F7437" t="s" s="2">
        <f>HYPERLINK("http://ts.21cn.com/tousu/show/id/1365205","http://ts.21cn.com/tousu/show/id/1365205")</f>
      </c>
      <c r="G7437" t="s" s="2">
        <v>17</v>
      </c>
      <c r="H7437" t="s" s="2">
        <v>19</v>
      </c>
      <c r="I7437" t="s" s="2">
        <v>28748</v>
      </c>
      <c r="J7437" t="s" s="2">
        <v>28749</v>
      </c>
      <c r="K7437" t="s" s="2">
        <v>22</v>
      </c>
      <c r="L7437" t="s" s="2">
        <v>22</v>
      </c>
      <c r="M7437" t="s" s="2">
        <v>22</v>
      </c>
    </row>
    <row r="7438" ht="25.0" customHeight="true">
      <c r="A7438" t="s" s="2">
        <v>13</v>
      </c>
      <c r="B7438" t="s" s="2">
        <f>HYPERLINK("http://ts.21cn.com/tousu/show/id/1365204","上海证大利息高，无合同")</f>
      </c>
      <c r="C7438" t="s" s="2">
        <v>52</v>
      </c>
      <c r="D7438" t="s" s="2">
        <v>16</v>
      </c>
      <c r="E7438" t="s" s="2">
        <v>17</v>
      </c>
      <c r="F7438" t="s" s="2">
        <f>HYPERLINK("http://ts.21cn.com/tousu/show/id/1365204","http://ts.21cn.com/tousu/show/id/1365204")</f>
      </c>
      <c r="G7438" t="s" s="2">
        <v>17</v>
      </c>
      <c r="H7438" t="s" s="2">
        <v>19</v>
      </c>
      <c r="I7438" t="s" s="2">
        <v>28752</v>
      </c>
      <c r="J7438" t="s" s="2">
        <v>28753</v>
      </c>
      <c r="K7438" t="s" s="2">
        <v>22</v>
      </c>
      <c r="L7438" t="s" s="2">
        <v>22</v>
      </c>
      <c r="M7438" t="s" s="2">
        <v>22</v>
      </c>
    </row>
    <row r="7439" ht="25.0" customHeight="true">
      <c r="A7439" t="s" s="2">
        <v>13</v>
      </c>
      <c r="B7439" t="s" s="2">
        <f>HYPERLINK("http://ts.21cn.com/tousu/show/id/1365202","毫无法制可言，变相收取高额砍头息")</f>
      </c>
      <c r="C7439" t="s" s="2">
        <v>15</v>
      </c>
      <c r="D7439" t="s" s="2">
        <v>16</v>
      </c>
      <c r="E7439" t="s" s="2">
        <v>17</v>
      </c>
      <c r="F7439" t="s" s="2">
        <f>HYPERLINK("http://ts.21cn.com/tousu/show/id/1365202","http://ts.21cn.com/tousu/show/id/1365202")</f>
      </c>
      <c r="G7439" t="s" s="2">
        <v>17</v>
      </c>
      <c r="H7439" t="s" s="2">
        <v>19</v>
      </c>
      <c r="I7439" t="s" s="2">
        <v>28756</v>
      </c>
      <c r="J7439" t="s" s="2">
        <v>28757</v>
      </c>
      <c r="K7439" t="s" s="2">
        <v>22</v>
      </c>
      <c r="L7439" t="s" s="2">
        <v>22</v>
      </c>
      <c r="M7439" t="s" s="2">
        <v>22</v>
      </c>
    </row>
    <row r="7440" ht="25.0" customHeight="true">
      <c r="A7440" t="s" s="2">
        <v>13</v>
      </c>
      <c r="B7440" t="s" s="2">
        <f>HYPERLINK("http://ts.21cn.com/tousu/show/id/1365201","信用管家云享贷收取高额砍头息")</f>
      </c>
      <c r="C7440" t="s" s="2">
        <v>52</v>
      </c>
      <c r="D7440" t="s" s="2">
        <v>16</v>
      </c>
      <c r="E7440" t="s" s="2">
        <v>17</v>
      </c>
      <c r="F7440" t="s" s="2">
        <f>HYPERLINK("http://ts.21cn.com/tousu/show/id/1365201","http://ts.21cn.com/tousu/show/id/1365201")</f>
      </c>
      <c r="G7440" t="s" s="2">
        <v>17</v>
      </c>
      <c r="H7440" t="s" s="2">
        <v>19</v>
      </c>
      <c r="I7440" t="s" s="2">
        <v>28760</v>
      </c>
      <c r="J7440" t="s" s="2">
        <v>28761</v>
      </c>
      <c r="K7440" t="s" s="2">
        <v>22</v>
      </c>
      <c r="L7440" t="s" s="2">
        <v>22</v>
      </c>
      <c r="M7440" t="s" s="2">
        <v>22</v>
      </c>
    </row>
    <row r="7441" ht="25.0" customHeight="true">
      <c r="A7441" t="s" s="2">
        <v>13</v>
      </c>
      <c r="B7441" t="s" s="2">
        <f>HYPERLINK("http://ts.21cn.com/tousu/show/id/1365200","马上金融暴力催收以及恐吓")</f>
      </c>
      <c r="C7441" t="s" s="2">
        <v>15</v>
      </c>
      <c r="D7441" t="s" s="2">
        <v>16</v>
      </c>
      <c r="E7441" t="s" s="2">
        <v>17</v>
      </c>
      <c r="F7441" t="s" s="2">
        <f>HYPERLINK("http://ts.21cn.com/tousu/show/id/1365200","http://ts.21cn.com/tousu/show/id/1365200")</f>
      </c>
      <c r="G7441" t="s" s="2">
        <v>17</v>
      </c>
      <c r="H7441" t="s" s="2">
        <v>19</v>
      </c>
      <c r="I7441" t="s" s="2">
        <v>28764</v>
      </c>
      <c r="J7441" t="s" s="2">
        <v>28765</v>
      </c>
      <c r="K7441" t="s" s="2">
        <v>22</v>
      </c>
      <c r="L7441" t="s" s="2">
        <v>22</v>
      </c>
      <c r="M7441" t="s" s="2">
        <v>22</v>
      </c>
    </row>
    <row r="7442" ht="25.0" customHeight="true">
      <c r="A7442" t="s" s="2">
        <v>13</v>
      </c>
      <c r="B7442" t="s" s="2">
        <f>HYPERLINK("http://ts.21cn.com/tousu/show/id/1365199","立借平台高利贷、涉黑、无借款合同；多次骚扰威胁本人通讯录内所有联系人，要求依法打掉这个黑平台")</f>
      </c>
      <c r="C7442" t="s" s="2">
        <v>15</v>
      </c>
      <c r="D7442" t="s" s="2">
        <v>16</v>
      </c>
      <c r="E7442" t="s" s="2">
        <v>17</v>
      </c>
      <c r="F7442" t="s" s="2">
        <f>HYPERLINK("http://ts.21cn.com/tousu/show/id/1365199","http://ts.21cn.com/tousu/show/id/1365199")</f>
      </c>
      <c r="G7442" t="s" s="2">
        <v>17</v>
      </c>
      <c r="H7442" t="s" s="2">
        <v>19</v>
      </c>
      <c r="I7442" t="s" s="2">
        <v>28764</v>
      </c>
      <c r="J7442" t="s" s="2">
        <v>28768</v>
      </c>
      <c r="K7442" t="s" s="2">
        <v>22</v>
      </c>
      <c r="L7442" t="s" s="2">
        <v>22</v>
      </c>
      <c r="M7442" t="s" s="2">
        <v>22</v>
      </c>
    </row>
    <row r="7443" ht="25.0" customHeight="true">
      <c r="A7443" t="s" s="2">
        <v>13</v>
      </c>
      <c r="B7443" t="s" s="2">
        <f>HYPERLINK("http://ts.21cn.com/tousu/show/id/1365197","还清不给注销账号")</f>
      </c>
      <c r="C7443" t="s" s="2">
        <v>52</v>
      </c>
      <c r="D7443" t="s" s="2">
        <v>16</v>
      </c>
      <c r="E7443" t="s" s="2">
        <v>17</v>
      </c>
      <c r="F7443" t="s" s="2">
        <f>HYPERLINK("http://ts.21cn.com/tousu/show/id/1365197","http://ts.21cn.com/tousu/show/id/1365197")</f>
      </c>
      <c r="G7443" t="s" s="2">
        <v>17</v>
      </c>
      <c r="H7443" t="s" s="2">
        <v>19</v>
      </c>
      <c r="I7443" t="s" s="2">
        <v>28771</v>
      </c>
      <c r="J7443" t="s" s="2">
        <v>28772</v>
      </c>
      <c r="K7443" t="s" s="2">
        <v>22</v>
      </c>
      <c r="L7443" t="s" s="2">
        <v>22</v>
      </c>
      <c r="M7443" t="s" s="2">
        <v>22</v>
      </c>
    </row>
    <row r="7444" ht="25.0" customHeight="true">
      <c r="A7444" t="s" s="2">
        <v>13</v>
      </c>
      <c r="B7444" t="s" s="2">
        <f>HYPERLINK("http://ts.21cn.com/tousu/show/id/1365196","暴力催收利息高")</f>
      </c>
      <c r="C7444" t="s" s="2">
        <v>15</v>
      </c>
      <c r="D7444" t="s" s="2">
        <v>16</v>
      </c>
      <c r="E7444" t="s" s="2">
        <v>17</v>
      </c>
      <c r="F7444" t="s" s="2">
        <f>HYPERLINK("http://ts.21cn.com/tousu/show/id/1365196","http://ts.21cn.com/tousu/show/id/1365196")</f>
      </c>
      <c r="G7444" t="s" s="2">
        <v>17</v>
      </c>
      <c r="H7444" t="s" s="2">
        <v>19</v>
      </c>
      <c r="I7444" t="s" s="2">
        <v>28775</v>
      </c>
      <c r="J7444" t="s" s="2">
        <v>28776</v>
      </c>
      <c r="K7444" t="s" s="2">
        <v>22</v>
      </c>
      <c r="L7444" t="s" s="2">
        <v>22</v>
      </c>
      <c r="M7444" t="s" s="2">
        <v>22</v>
      </c>
    </row>
    <row r="7445" ht="25.0" customHeight="true">
      <c r="A7445" t="s" s="2">
        <v>13</v>
      </c>
      <c r="B7445" t="s" s="2">
        <f>HYPERLINK("http://ts.21cn.com/tousu/show/id/1365195","保证金")</f>
      </c>
      <c r="C7445" t="s" s="2">
        <v>15</v>
      </c>
      <c r="D7445" t="s" s="2">
        <v>16</v>
      </c>
      <c r="E7445" t="s" s="2">
        <v>17</v>
      </c>
      <c r="F7445" t="s" s="2">
        <f>HYPERLINK("http://ts.21cn.com/tousu/show/id/1365195","http://ts.21cn.com/tousu/show/id/1365195")</f>
      </c>
      <c r="G7445" t="s" s="2">
        <v>17</v>
      </c>
      <c r="H7445" t="s" s="2">
        <v>19</v>
      </c>
      <c r="I7445" t="s" s="2">
        <v>28779</v>
      </c>
      <c r="J7445" t="s" s="2">
        <v>28780</v>
      </c>
      <c r="K7445" t="s" s="2">
        <v>22</v>
      </c>
      <c r="L7445" t="s" s="2">
        <v>22</v>
      </c>
      <c r="M7445" t="s" s="2">
        <v>22</v>
      </c>
    </row>
    <row r="7446" ht="25.0" customHeight="true">
      <c r="A7446" t="s" s="2">
        <v>13</v>
      </c>
      <c r="B7446" t="s" s="2">
        <f>HYPERLINK("http://ts.21cn.com/tousu/show/id/1365194","今巴蟹业预约购买的蟹券不发货")</f>
      </c>
      <c r="C7446" t="s" s="2">
        <v>52</v>
      </c>
      <c r="D7446" t="s" s="2">
        <v>16</v>
      </c>
      <c r="E7446" t="s" s="2">
        <v>17</v>
      </c>
      <c r="F7446" t="s" s="2">
        <f>HYPERLINK("http://ts.21cn.com/tousu/show/id/1365194","http://ts.21cn.com/tousu/show/id/1365194")</f>
      </c>
      <c r="G7446" t="s" s="2">
        <v>17</v>
      </c>
      <c r="H7446" t="s" s="2">
        <v>19</v>
      </c>
      <c r="I7446" t="s" s="2">
        <v>28783</v>
      </c>
      <c r="J7446" t="s" s="2">
        <v>28784</v>
      </c>
      <c r="K7446" t="s" s="2">
        <v>22</v>
      </c>
      <c r="L7446" t="s" s="2">
        <v>22</v>
      </c>
      <c r="M7446" t="s" s="2">
        <v>22</v>
      </c>
    </row>
    <row r="7447" ht="25.0" customHeight="true">
      <c r="A7447" t="s" s="2">
        <v>13</v>
      </c>
      <c r="B7447" t="s" s="2">
        <f>HYPERLINK("http://ts.21cn.com/tousu/show/id/1365155","好分期诱导借高利贷，阴阳合同提前催收")</f>
      </c>
      <c r="C7447" t="s" s="2">
        <v>15</v>
      </c>
      <c r="D7447" t="s" s="2">
        <v>16</v>
      </c>
      <c r="E7447" t="s" s="2">
        <v>17</v>
      </c>
      <c r="F7447" t="s" s="2">
        <f>HYPERLINK("http://ts.21cn.com/tousu/show/id/1365155","http://ts.21cn.com/tousu/show/id/1365155")</f>
      </c>
      <c r="G7447" t="s" s="2">
        <v>17</v>
      </c>
      <c r="H7447" t="s" s="2">
        <v>19</v>
      </c>
      <c r="I7447" t="s" s="2">
        <v>28787</v>
      </c>
      <c r="J7447" t="s" s="2">
        <v>28788</v>
      </c>
      <c r="K7447" t="s" s="2">
        <v>22</v>
      </c>
      <c r="L7447" t="s" s="2">
        <v>22</v>
      </c>
      <c r="M7447" t="s" s="2">
        <v>22</v>
      </c>
    </row>
    <row r="7448" ht="25.0" customHeight="true">
      <c r="A7448" t="s" s="2">
        <v>13</v>
      </c>
      <c r="B7448" t="s" s="2">
        <f>HYPERLINK("http://ts.21cn.com/tousu/show/id/1365193","龙分期套路贷暴力催收")</f>
      </c>
      <c r="C7448" t="s" s="2">
        <v>15</v>
      </c>
      <c r="D7448" t="s" s="2">
        <v>16</v>
      </c>
      <c r="E7448" t="s" s="2">
        <v>17</v>
      </c>
      <c r="F7448" t="s" s="2">
        <f>HYPERLINK("http://ts.21cn.com/tousu/show/id/1365193","http://ts.21cn.com/tousu/show/id/1365193")</f>
      </c>
      <c r="G7448" t="s" s="2">
        <v>17</v>
      </c>
      <c r="H7448" t="s" s="2">
        <v>19</v>
      </c>
      <c r="I7448" t="s" s="2">
        <v>28791</v>
      </c>
      <c r="J7448" t="s" s="2">
        <v>28792</v>
      </c>
      <c r="K7448" t="s" s="2">
        <v>22</v>
      </c>
      <c r="L7448" t="s" s="2">
        <v>22</v>
      </c>
      <c r="M7448" t="s" s="2">
        <v>22</v>
      </c>
    </row>
    <row r="7449" ht="25.0" customHeight="true">
      <c r="A7449" t="s" s="2">
        <v>13</v>
      </c>
      <c r="B7449" t="s" s="2">
        <f>HYPERLINK("http://ts.21cn.com/tousu/show/id/1365191","闪银借款日期不准确")</f>
      </c>
      <c r="C7449" t="s" s="2">
        <v>52</v>
      </c>
      <c r="D7449" t="s" s="2">
        <v>16</v>
      </c>
      <c r="E7449" t="s" s="2">
        <v>17</v>
      </c>
      <c r="F7449" t="s" s="2">
        <f>HYPERLINK("http://ts.21cn.com/tousu/show/id/1365191","http://ts.21cn.com/tousu/show/id/1365191")</f>
      </c>
      <c r="G7449" t="s" s="2">
        <v>17</v>
      </c>
      <c r="H7449" t="s" s="2">
        <v>19</v>
      </c>
      <c r="I7449" t="s" s="2">
        <v>28795</v>
      </c>
      <c r="J7449" t="s" s="2">
        <v>28796</v>
      </c>
      <c r="K7449" t="s" s="2">
        <v>22</v>
      </c>
      <c r="L7449" t="s" s="2">
        <v>22</v>
      </c>
      <c r="M7449" t="s" s="2">
        <v>22</v>
      </c>
    </row>
    <row r="7450" ht="25.0" customHeight="true">
      <c r="A7450" t="s" s="2">
        <v>13</v>
      </c>
      <c r="B7450" t="s" s="2">
        <f>HYPERLINK("http://ts.21cn.com/tousu/show/id/1365190","高利贷")</f>
      </c>
      <c r="C7450" t="s" s="2">
        <v>15</v>
      </c>
      <c r="D7450" t="s" s="2">
        <v>16</v>
      </c>
      <c r="E7450" t="s" s="2">
        <v>17</v>
      </c>
      <c r="F7450" t="s" s="2">
        <f>HYPERLINK("http://ts.21cn.com/tousu/show/id/1365190","http://ts.21cn.com/tousu/show/id/1365190")</f>
      </c>
      <c r="G7450" t="s" s="2">
        <v>17</v>
      </c>
      <c r="H7450" t="s" s="2">
        <v>19</v>
      </c>
      <c r="I7450" t="s" s="2">
        <v>28798</v>
      </c>
      <c r="J7450" t="s" s="2">
        <v>28799</v>
      </c>
      <c r="K7450" t="s" s="2">
        <v>22</v>
      </c>
      <c r="L7450" t="s" s="2">
        <v>22</v>
      </c>
      <c r="M7450" t="s" s="2">
        <v>22</v>
      </c>
    </row>
    <row r="7451" ht="25.0" customHeight="true">
      <c r="A7451" t="s" s="2">
        <v>13</v>
      </c>
      <c r="B7451" t="s" s="2">
        <f>HYPERLINK("http://ts.21cn.com/tousu/show/id/1365192","安庆盛通信息科技有限公司未经同意乱扣款")</f>
      </c>
      <c r="C7451" t="s" s="2">
        <v>15</v>
      </c>
      <c r="D7451" t="s" s="2">
        <v>16</v>
      </c>
      <c r="E7451" t="s" s="2">
        <v>17</v>
      </c>
      <c r="F7451" t="s" s="2">
        <f>HYPERLINK("http://ts.21cn.com/tousu/show/id/1365192","http://ts.21cn.com/tousu/show/id/1365192")</f>
      </c>
      <c r="G7451" t="s" s="2">
        <v>17</v>
      </c>
      <c r="H7451" t="s" s="2">
        <v>19</v>
      </c>
      <c r="I7451" t="s" s="2">
        <v>28802</v>
      </c>
      <c r="J7451" t="s" s="2">
        <v>28803</v>
      </c>
      <c r="K7451" t="s" s="2">
        <v>22</v>
      </c>
      <c r="L7451" t="s" s="2">
        <v>22</v>
      </c>
      <c r="M7451" t="s" s="2">
        <v>22</v>
      </c>
    </row>
    <row r="7452" ht="25.0" customHeight="true">
      <c r="A7452" t="s" s="2">
        <v>13</v>
      </c>
      <c r="B7452" t="s" s="2">
        <f>HYPERLINK("http://ts.21cn.com/tousu/show/id/1365188","暴力催收，严重骚扰")</f>
      </c>
      <c r="C7452" t="s" s="2">
        <v>15</v>
      </c>
      <c r="D7452" t="s" s="2">
        <v>16</v>
      </c>
      <c r="E7452" t="s" s="2">
        <v>17</v>
      </c>
      <c r="F7452" t="s" s="2">
        <f>HYPERLINK("http://ts.21cn.com/tousu/show/id/1365188","http://ts.21cn.com/tousu/show/id/1365188")</f>
      </c>
      <c r="G7452" t="s" s="2">
        <v>17</v>
      </c>
      <c r="H7452" t="s" s="2">
        <v>19</v>
      </c>
      <c r="I7452" t="s" s="2">
        <v>28805</v>
      </c>
      <c r="J7452" t="s" s="2">
        <v>28806</v>
      </c>
      <c r="K7452" t="s" s="2">
        <v>22</v>
      </c>
      <c r="L7452" t="s" s="2">
        <v>22</v>
      </c>
      <c r="M7452" t="s" s="2">
        <v>22</v>
      </c>
    </row>
    <row r="7453" ht="25.0" customHeight="true">
      <c r="A7453" t="s" s="2">
        <v>13</v>
      </c>
      <c r="B7453" t="s" s="2">
        <f>HYPERLINK("http://ts.21cn.com/tousu/show/id/1365189","闪电借款，高利贷")</f>
      </c>
      <c r="C7453" t="s" s="2">
        <v>15</v>
      </c>
      <c r="D7453" t="s" s="2">
        <v>16</v>
      </c>
      <c r="E7453" t="s" s="2">
        <v>17</v>
      </c>
      <c r="F7453" t="s" s="2">
        <f>HYPERLINK("http://ts.21cn.com/tousu/show/id/1365189","http://ts.21cn.com/tousu/show/id/1365189")</f>
      </c>
      <c r="G7453" t="s" s="2">
        <v>17</v>
      </c>
      <c r="H7453" t="s" s="2">
        <v>19</v>
      </c>
      <c r="I7453" t="s" s="2">
        <v>28809</v>
      </c>
      <c r="J7453" t="s" s="2">
        <v>28810</v>
      </c>
      <c r="K7453" t="s" s="2">
        <v>22</v>
      </c>
      <c r="L7453" t="s" s="2">
        <v>22</v>
      </c>
      <c r="M7453" t="s" s="2">
        <v>22</v>
      </c>
    </row>
    <row r="7454" ht="25.0" customHeight="true">
      <c r="A7454" t="s" s="2">
        <v>13</v>
      </c>
      <c r="B7454" t="s" s="2">
        <f>HYPERLINK("http://ts.21cn.com/tousu/show/id/1365187","强制买保证保险方式砍头息")</f>
      </c>
      <c r="C7454" t="s" s="2">
        <v>15</v>
      </c>
      <c r="D7454" t="s" s="2">
        <v>16</v>
      </c>
      <c r="E7454" t="s" s="2">
        <v>17</v>
      </c>
      <c r="F7454" t="s" s="2">
        <f>HYPERLINK("http://ts.21cn.com/tousu/show/id/1365187","http://ts.21cn.com/tousu/show/id/1365187")</f>
      </c>
      <c r="G7454" t="s" s="2">
        <v>17</v>
      </c>
      <c r="H7454" t="s" s="2">
        <v>19</v>
      </c>
      <c r="I7454" t="s" s="2">
        <v>28813</v>
      </c>
      <c r="J7454" t="s" s="2">
        <v>28814</v>
      </c>
      <c r="K7454" t="s" s="2">
        <v>22</v>
      </c>
      <c r="L7454" t="s" s="2">
        <v>22</v>
      </c>
      <c r="M7454" t="s" s="2">
        <v>22</v>
      </c>
    </row>
    <row r="7455" ht="25.0" customHeight="true">
      <c r="A7455" t="s" s="2">
        <v>13</v>
      </c>
      <c r="B7455" t="s" s="2">
        <f>HYPERLINK("http://ts.21cn.com/tousu/show/id/1365186","尚诚消费金融旗下借去花暴力催收！")</f>
      </c>
      <c r="C7455" t="s" s="2">
        <v>15</v>
      </c>
      <c r="D7455" t="s" s="2">
        <v>16</v>
      </c>
      <c r="E7455" t="s" s="2">
        <v>17</v>
      </c>
      <c r="F7455" t="s" s="2">
        <f>HYPERLINK("http://ts.21cn.com/tousu/show/id/1365186","http://ts.21cn.com/tousu/show/id/1365186")</f>
      </c>
      <c r="G7455" t="s" s="2">
        <v>17</v>
      </c>
      <c r="H7455" t="s" s="2">
        <v>19</v>
      </c>
      <c r="I7455" t="s" s="2">
        <v>28817</v>
      </c>
      <c r="J7455" t="s" s="2">
        <v>28818</v>
      </c>
      <c r="K7455" t="s" s="2">
        <v>22</v>
      </c>
      <c r="L7455" t="s" s="2">
        <v>22</v>
      </c>
      <c r="M7455" t="s" s="2">
        <v>22</v>
      </c>
    </row>
    <row r="7456" ht="25.0" customHeight="true">
      <c r="A7456" t="s" s="2">
        <v>13</v>
      </c>
      <c r="B7456" t="s" s="2">
        <f>HYPERLINK("http://ts.21cn.com/tousu/show/id/1365185","宜信宜人贷高额收取代款利息及砍头息5万多元")</f>
      </c>
      <c r="C7456" t="s" s="2">
        <v>15</v>
      </c>
      <c r="D7456" t="s" s="2">
        <v>16</v>
      </c>
      <c r="E7456" t="s" s="2">
        <v>17</v>
      </c>
      <c r="F7456" t="s" s="2">
        <f>HYPERLINK("http://ts.21cn.com/tousu/show/id/1365185","http://ts.21cn.com/tousu/show/id/1365185")</f>
      </c>
      <c r="G7456" t="s" s="2">
        <v>17</v>
      </c>
      <c r="H7456" t="s" s="2">
        <v>19</v>
      </c>
      <c r="I7456" t="s" s="2">
        <v>28820</v>
      </c>
      <c r="J7456" t="s" s="2">
        <v>28821</v>
      </c>
      <c r="K7456" t="s" s="2">
        <v>22</v>
      </c>
      <c r="L7456" t="s" s="2">
        <v>22</v>
      </c>
      <c r="M7456" t="s" s="2">
        <v>22</v>
      </c>
    </row>
    <row r="7457" ht="25.0" customHeight="true">
      <c r="A7457" t="s" s="2">
        <v>13</v>
      </c>
      <c r="B7457" t="s" s="2">
        <f>HYPERLINK("http://ts.21cn.com/tousu/show/id/1365184","好借花高利贷砍头息暴力催收")</f>
      </c>
      <c r="C7457" t="s" s="2">
        <v>15</v>
      </c>
      <c r="D7457" t="s" s="2">
        <v>16</v>
      </c>
      <c r="E7457" t="s" s="2">
        <v>17</v>
      </c>
      <c r="F7457" t="s" s="2">
        <f>HYPERLINK("http://ts.21cn.com/tousu/show/id/1365184","http://ts.21cn.com/tousu/show/id/1365184")</f>
      </c>
      <c r="G7457" t="s" s="2">
        <v>17</v>
      </c>
      <c r="H7457" t="s" s="2">
        <v>19</v>
      </c>
      <c r="I7457" t="s" s="2">
        <v>28824</v>
      </c>
      <c r="J7457" t="s" s="2">
        <v>28825</v>
      </c>
      <c r="K7457" t="s" s="2">
        <v>22</v>
      </c>
      <c r="L7457" t="s" s="2">
        <v>22</v>
      </c>
      <c r="M7457" t="s" s="2">
        <v>22</v>
      </c>
    </row>
    <row r="7458" ht="25.0" customHeight="true">
      <c r="A7458" t="s" s="2">
        <v>13</v>
      </c>
      <c r="B7458" t="s" s="2">
        <f>HYPERLINK("http://ts.21cn.com/tousu/show/id/1365183","严重电话骚扰家里人")</f>
      </c>
      <c r="C7458" t="s" s="2">
        <v>15</v>
      </c>
      <c r="D7458" t="s" s="2">
        <v>16</v>
      </c>
      <c r="E7458" t="s" s="2">
        <v>17</v>
      </c>
      <c r="F7458" t="s" s="2">
        <f>HYPERLINK("http://ts.21cn.com/tousu/show/id/1365183","http://ts.21cn.com/tousu/show/id/1365183")</f>
      </c>
      <c r="G7458" t="s" s="2">
        <v>17</v>
      </c>
      <c r="H7458" t="s" s="2">
        <v>19</v>
      </c>
      <c r="I7458" t="s" s="2">
        <v>28828</v>
      </c>
      <c r="J7458" t="s" s="2">
        <v>28829</v>
      </c>
      <c r="K7458" t="s" s="2">
        <v>22</v>
      </c>
      <c r="L7458" t="s" s="2">
        <v>22</v>
      </c>
      <c r="M7458" t="s" s="2">
        <v>22</v>
      </c>
    </row>
    <row r="7459" ht="25.0" customHeight="true">
      <c r="A7459" t="s" s="2">
        <v>13</v>
      </c>
      <c r="B7459" t="s" s="2">
        <f>HYPERLINK("http://ts.21cn.com/tousu/show/id/1365182","只想退款")</f>
      </c>
      <c r="C7459" t="s" s="2">
        <v>15</v>
      </c>
      <c r="D7459" t="s" s="2">
        <v>16</v>
      </c>
      <c r="E7459" t="s" s="2">
        <v>17</v>
      </c>
      <c r="F7459" t="s" s="2">
        <f>HYPERLINK("http://ts.21cn.com/tousu/show/id/1365182","http://ts.21cn.com/tousu/show/id/1365182")</f>
      </c>
      <c r="G7459" t="s" s="2">
        <v>17</v>
      </c>
      <c r="H7459" t="s" s="2">
        <v>19</v>
      </c>
      <c r="I7459" t="s" s="2">
        <v>28832</v>
      </c>
      <c r="J7459" t="s" s="2">
        <v>28833</v>
      </c>
      <c r="K7459" t="s" s="2">
        <v>22</v>
      </c>
      <c r="L7459" t="s" s="2">
        <v>22</v>
      </c>
      <c r="M7459" t="s" s="2">
        <v>22</v>
      </c>
    </row>
    <row r="7460" ht="25.0" customHeight="true">
      <c r="A7460" t="s" s="2">
        <v>13</v>
      </c>
      <c r="B7460" t="s" s="2">
        <f>HYPERLINK("http://ts.21cn.com/tousu/show/id/1365181","拼多多商户涉嫌为博彩黑平台收款")</f>
      </c>
      <c r="C7460" t="s" s="2">
        <v>15</v>
      </c>
      <c r="D7460" t="s" s="2">
        <v>16</v>
      </c>
      <c r="E7460" t="s" s="2">
        <v>17</v>
      </c>
      <c r="F7460" t="s" s="2">
        <f>HYPERLINK("http://ts.21cn.com/tousu/show/id/1365181","http://ts.21cn.com/tousu/show/id/1365181")</f>
      </c>
      <c r="G7460" t="s" s="2">
        <v>17</v>
      </c>
      <c r="H7460" t="s" s="2">
        <v>19</v>
      </c>
      <c r="I7460" t="s" s="2">
        <v>28835</v>
      </c>
      <c r="J7460" t="s" s="2">
        <v>28836</v>
      </c>
      <c r="K7460" t="s" s="2">
        <v>22</v>
      </c>
      <c r="L7460" t="s" s="2">
        <v>22</v>
      </c>
      <c r="M7460" t="s" s="2">
        <v>22</v>
      </c>
    </row>
    <row r="7461" ht="25.0" customHeight="true">
      <c r="A7461" t="s" s="2">
        <v>13</v>
      </c>
      <c r="B7461" t="s" s="2">
        <f>HYPERLINK("http://ts.21cn.com/tousu/show/id/1365180","停止骚扰，协商还款，结清证明")</f>
      </c>
      <c r="C7461" t="s" s="2">
        <v>15</v>
      </c>
      <c r="D7461" t="s" s="2">
        <v>16</v>
      </c>
      <c r="E7461" t="s" s="2">
        <v>17</v>
      </c>
      <c r="F7461" t="s" s="2">
        <f>HYPERLINK("http://ts.21cn.com/tousu/show/id/1365180","http://ts.21cn.com/tousu/show/id/1365180")</f>
      </c>
      <c r="G7461" t="s" s="2">
        <v>17</v>
      </c>
      <c r="H7461" t="s" s="2">
        <v>19</v>
      </c>
      <c r="I7461" t="s" s="2">
        <v>28839</v>
      </c>
      <c r="J7461" t="s" s="2">
        <v>28840</v>
      </c>
      <c r="K7461" t="s" s="2">
        <v>22</v>
      </c>
      <c r="L7461" t="s" s="2">
        <v>22</v>
      </c>
      <c r="M7461" t="s" s="2">
        <v>22</v>
      </c>
    </row>
    <row r="7462" ht="25.0" customHeight="true">
      <c r="A7462" t="s" s="2">
        <v>13</v>
      </c>
      <c r="B7462" t="s" s="2">
        <f>HYPERLINK("http://ts.21cn.com/tousu/show/id/1365179","店铺“默宝定制”在付款前同意开具发票，并且收取了5%税点，收货后不给开发票")</f>
      </c>
      <c r="C7462" t="s" s="2">
        <v>15</v>
      </c>
      <c r="D7462" t="s" s="2">
        <v>16</v>
      </c>
      <c r="E7462" t="s" s="2">
        <v>17</v>
      </c>
      <c r="F7462" t="s" s="2">
        <f>HYPERLINK("http://ts.21cn.com/tousu/show/id/1365179","http://ts.21cn.com/tousu/show/id/1365179")</f>
      </c>
      <c r="G7462" t="s" s="2">
        <v>17</v>
      </c>
      <c r="H7462" t="s" s="2">
        <v>19</v>
      </c>
      <c r="I7462" t="s" s="2">
        <v>28843</v>
      </c>
      <c r="J7462" t="s" s="2">
        <v>28844</v>
      </c>
      <c r="K7462" t="s" s="2">
        <v>22</v>
      </c>
      <c r="L7462" t="s" s="2">
        <v>22</v>
      </c>
      <c r="M7462" t="s" s="2">
        <v>22</v>
      </c>
    </row>
    <row r="7463" ht="25.0" customHeight="true">
      <c r="A7463" t="s" s="2">
        <v>13</v>
      </c>
      <c r="B7463" t="s" s="2">
        <f>HYPERLINK("http://ts.21cn.com/tousu/show/id/1365177","你我贷高额利息，提前还款已经超过国家规定利息")</f>
      </c>
      <c r="C7463" t="s" s="2">
        <v>15</v>
      </c>
      <c r="D7463" t="s" s="2">
        <v>16</v>
      </c>
      <c r="E7463" t="s" s="2">
        <v>17</v>
      </c>
      <c r="F7463" t="s" s="2">
        <f>HYPERLINK("http://ts.21cn.com/tousu/show/id/1365177","http://ts.21cn.com/tousu/show/id/1365177")</f>
      </c>
      <c r="G7463" t="s" s="2">
        <v>17</v>
      </c>
      <c r="H7463" t="s" s="2">
        <v>19</v>
      </c>
      <c r="I7463" t="s" s="2">
        <v>28847</v>
      </c>
      <c r="J7463" t="s" s="2">
        <v>28848</v>
      </c>
      <c r="K7463" t="s" s="2">
        <v>22</v>
      </c>
      <c r="L7463" t="s" s="2">
        <v>22</v>
      </c>
      <c r="M7463" t="s" s="2">
        <v>22</v>
      </c>
    </row>
    <row r="7464" ht="25.0" customHeight="true">
      <c r="A7464" t="s" s="2">
        <v>13</v>
      </c>
      <c r="B7464" t="s" s="2">
        <f>HYPERLINK("http://ts.21cn.com/tousu/show/id/1365176","不同意协商还款")</f>
      </c>
      <c r="C7464" t="s" s="2">
        <v>52</v>
      </c>
      <c r="D7464" t="s" s="2">
        <v>16</v>
      </c>
      <c r="E7464" t="s" s="2">
        <v>17</v>
      </c>
      <c r="F7464" t="s" s="2">
        <f>HYPERLINK("http://ts.21cn.com/tousu/show/id/1365176","http://ts.21cn.com/tousu/show/id/1365176")</f>
      </c>
      <c r="G7464" t="s" s="2">
        <v>17</v>
      </c>
      <c r="H7464" t="s" s="2">
        <v>19</v>
      </c>
      <c r="I7464" t="s" s="2">
        <v>28851</v>
      </c>
      <c r="J7464" t="s" s="2">
        <v>28852</v>
      </c>
      <c r="K7464" t="s" s="2">
        <v>22</v>
      </c>
      <c r="L7464" t="s" s="2">
        <v>22</v>
      </c>
      <c r="M7464" t="s" s="2">
        <v>22</v>
      </c>
    </row>
    <row r="7465" ht="25.0" customHeight="true">
      <c r="A7465" t="s" s="2">
        <v>13</v>
      </c>
      <c r="B7465" t="s" s="2">
        <f>HYPERLINK("http://ts.21cn.com/tousu/show/id/1365175","在客户没确认就扣钱")</f>
      </c>
      <c r="C7465" t="s" s="2">
        <v>52</v>
      </c>
      <c r="D7465" t="s" s="2">
        <v>16</v>
      </c>
      <c r="E7465" t="s" s="2">
        <v>17</v>
      </c>
      <c r="F7465" t="s" s="2">
        <f>HYPERLINK("http://ts.21cn.com/tousu/show/id/1365175","http://ts.21cn.com/tousu/show/id/1365175")</f>
      </c>
      <c r="G7465" t="s" s="2">
        <v>17</v>
      </c>
      <c r="H7465" t="s" s="2">
        <v>19</v>
      </c>
      <c r="I7465" t="s" s="2">
        <v>28855</v>
      </c>
      <c r="J7465" t="s" s="2">
        <v>28856</v>
      </c>
      <c r="K7465" t="s" s="2">
        <v>22</v>
      </c>
      <c r="L7465" t="s" s="2">
        <v>22</v>
      </c>
      <c r="M7465" t="s" s="2">
        <v>22</v>
      </c>
    </row>
    <row r="7466" ht="25.0" customHeight="true">
      <c r="A7466" t="s" s="2">
        <v>13</v>
      </c>
      <c r="B7466" t="s" s="2">
        <f>HYPERLINK("http://ts.21cn.com/tousu/show/id/1365174","冒充支付宝工作人员恶意催收")</f>
      </c>
      <c r="C7466" t="s" s="2">
        <v>15</v>
      </c>
      <c r="D7466" t="s" s="2">
        <v>16</v>
      </c>
      <c r="E7466" t="s" s="2">
        <v>17</v>
      </c>
      <c r="F7466" t="s" s="2">
        <f>HYPERLINK("http://ts.21cn.com/tousu/show/id/1365174","http://ts.21cn.com/tousu/show/id/1365174")</f>
      </c>
      <c r="G7466" t="s" s="2">
        <v>17</v>
      </c>
      <c r="H7466" t="s" s="2">
        <v>19</v>
      </c>
      <c r="I7466" t="s" s="2">
        <v>28859</v>
      </c>
      <c r="J7466" t="s" s="2">
        <v>28860</v>
      </c>
      <c r="K7466" t="s" s="2">
        <v>22</v>
      </c>
      <c r="L7466" t="s" s="2">
        <v>22</v>
      </c>
      <c r="M7466" t="s" s="2">
        <v>22</v>
      </c>
    </row>
    <row r="7467" ht="25.0" customHeight="true">
      <c r="A7467" t="s" s="2">
        <v>13</v>
      </c>
      <c r="B7467" t="s" s="2">
        <f>HYPERLINK("http://ts.21cn.com/tousu/show/id/1365173","钱站套路贷，高利贷")</f>
      </c>
      <c r="C7467" t="s" s="2">
        <v>15</v>
      </c>
      <c r="D7467" t="s" s="2">
        <v>16</v>
      </c>
      <c r="E7467" t="s" s="2">
        <v>17</v>
      </c>
      <c r="F7467" t="s" s="2">
        <f>HYPERLINK("http://ts.21cn.com/tousu/show/id/1365173","http://ts.21cn.com/tousu/show/id/1365173")</f>
      </c>
      <c r="G7467" t="s" s="2">
        <v>17</v>
      </c>
      <c r="H7467" t="s" s="2">
        <v>19</v>
      </c>
      <c r="I7467" t="s" s="2">
        <v>28863</v>
      </c>
      <c r="J7467" t="s" s="2">
        <v>28864</v>
      </c>
      <c r="K7467" t="s" s="2">
        <v>22</v>
      </c>
      <c r="L7467" t="s" s="2">
        <v>22</v>
      </c>
      <c r="M7467" t="s" s="2">
        <v>22</v>
      </c>
    </row>
    <row r="7468" ht="25.0" customHeight="true">
      <c r="A7468" t="s" s="2">
        <v>13</v>
      </c>
      <c r="B7468" t="s" s="2">
        <f>HYPERLINK("http://ts.21cn.com/tousu/show/id/1365172","挂羊头卖狗肉，手机借钱实际是多宝分期，高利息，辱骂催收，骚扰家人")</f>
      </c>
      <c r="C7468" t="s" s="2">
        <v>15</v>
      </c>
      <c r="D7468" t="s" s="2">
        <v>16</v>
      </c>
      <c r="E7468" t="s" s="2">
        <v>17</v>
      </c>
      <c r="F7468" t="s" s="2">
        <f>HYPERLINK("http://ts.21cn.com/tousu/show/id/1365172","http://ts.21cn.com/tousu/show/id/1365172")</f>
      </c>
      <c r="G7468" t="s" s="2">
        <v>17</v>
      </c>
      <c r="H7468" t="s" s="2">
        <v>19</v>
      </c>
      <c r="I7468" t="s" s="2">
        <v>28867</v>
      </c>
      <c r="J7468" t="s" s="2">
        <v>28868</v>
      </c>
      <c r="K7468" t="s" s="2">
        <v>22</v>
      </c>
      <c r="L7468" t="s" s="2">
        <v>22</v>
      </c>
      <c r="M7468" t="s" s="2">
        <v>22</v>
      </c>
    </row>
    <row r="7469" ht="25.0" customHeight="true">
      <c r="A7469" t="s" s="2">
        <v>13</v>
      </c>
      <c r="B7469" t="s" s="2">
        <f>HYPERLINK("http://ts.21cn.com/tousu/show/id/1365170","拼多多商户涉嫌为赌博平台收款")</f>
      </c>
      <c r="C7469" t="s" s="2">
        <v>15</v>
      </c>
      <c r="D7469" t="s" s="2">
        <v>16</v>
      </c>
      <c r="E7469" t="s" s="2">
        <v>17</v>
      </c>
      <c r="F7469" t="s" s="2">
        <f>HYPERLINK("http://ts.21cn.com/tousu/show/id/1365170","http://ts.21cn.com/tousu/show/id/1365170")</f>
      </c>
      <c r="G7469" t="s" s="2">
        <v>17</v>
      </c>
      <c r="H7469" t="s" s="2">
        <v>19</v>
      </c>
      <c r="I7469" t="s" s="2">
        <v>28871</v>
      </c>
      <c r="J7469" t="s" s="2">
        <v>28872</v>
      </c>
      <c r="K7469" t="s" s="2">
        <v>22</v>
      </c>
      <c r="L7469" t="s" s="2">
        <v>22</v>
      </c>
      <c r="M7469" t="s" s="2">
        <v>22</v>
      </c>
    </row>
    <row r="7470" ht="25.0" customHeight="true">
      <c r="A7470" t="s" s="2">
        <v>13</v>
      </c>
      <c r="B7470" t="s" s="2">
        <f>HYPERLINK("http://ts.21cn.com/tousu/show/id/1365169","不要在暴力催收，影响个人声誉")</f>
      </c>
      <c r="C7470" t="s" s="2">
        <v>15</v>
      </c>
      <c r="D7470" t="s" s="2">
        <v>16</v>
      </c>
      <c r="E7470" t="s" s="2">
        <v>17</v>
      </c>
      <c r="F7470" t="s" s="2">
        <f>HYPERLINK("http://ts.21cn.com/tousu/show/id/1365169","http://ts.21cn.com/tousu/show/id/1365169")</f>
      </c>
      <c r="G7470" t="s" s="2">
        <v>17</v>
      </c>
      <c r="H7470" t="s" s="2">
        <v>19</v>
      </c>
      <c r="I7470" t="s" s="2">
        <v>28875</v>
      </c>
      <c r="J7470" t="s" s="2">
        <v>28876</v>
      </c>
      <c r="K7470" t="s" s="2">
        <v>22</v>
      </c>
      <c r="L7470" t="s" s="2">
        <v>22</v>
      </c>
      <c r="M7470" t="s" s="2">
        <v>22</v>
      </c>
    </row>
    <row r="7471" ht="25.0" customHeight="true">
      <c r="A7471" t="s" s="2">
        <v>13</v>
      </c>
      <c r="B7471" t="s" s="2">
        <f>HYPERLINK("http://ts.21cn.com/tousu/show/id/1365168","来分期（晋商消费金融）非恶意逾期上报了征信")</f>
      </c>
      <c r="C7471" t="s" s="2">
        <v>15</v>
      </c>
      <c r="D7471" t="s" s="2">
        <v>16</v>
      </c>
      <c r="E7471" t="s" s="2">
        <v>17</v>
      </c>
      <c r="F7471" t="s" s="2">
        <f>HYPERLINK("http://ts.21cn.com/tousu/show/id/1365168","http://ts.21cn.com/tousu/show/id/1365168")</f>
      </c>
      <c r="G7471" t="s" s="2">
        <v>17</v>
      </c>
      <c r="H7471" t="s" s="2">
        <v>19</v>
      </c>
      <c r="I7471" t="s" s="2">
        <v>28879</v>
      </c>
      <c r="J7471" t="s" s="2">
        <v>28880</v>
      </c>
      <c r="K7471" t="s" s="2">
        <v>22</v>
      </c>
      <c r="L7471" t="s" s="2">
        <v>22</v>
      </c>
      <c r="M7471" t="s" s="2">
        <v>22</v>
      </c>
    </row>
    <row r="7472" ht="25.0" customHeight="true">
      <c r="A7472" t="s" s="2">
        <v>13</v>
      </c>
      <c r="B7472" t="s" s="2">
        <f>HYPERLINK("http://ts.21cn.com/tousu/show/id/1365167","无良软件陌陌，还我血汗钱！")</f>
      </c>
      <c r="C7472" t="s" s="2">
        <v>15</v>
      </c>
      <c r="D7472" t="s" s="2">
        <v>16</v>
      </c>
      <c r="E7472" t="s" s="2">
        <v>17</v>
      </c>
      <c r="F7472" t="s" s="2">
        <f>HYPERLINK("http://ts.21cn.com/tousu/show/id/1365167","http://ts.21cn.com/tousu/show/id/1365167")</f>
      </c>
      <c r="G7472" t="s" s="2">
        <v>17</v>
      </c>
      <c r="H7472" t="s" s="2">
        <v>19</v>
      </c>
      <c r="I7472" t="s" s="2">
        <v>28883</v>
      </c>
      <c r="J7472" t="s" s="2">
        <v>28884</v>
      </c>
      <c r="K7472" t="s" s="2">
        <v>22</v>
      </c>
      <c r="L7472" t="s" s="2">
        <v>22</v>
      </c>
      <c r="M7472" t="s" s="2">
        <v>22</v>
      </c>
    </row>
    <row r="7473" ht="25.0" customHeight="true">
      <c r="A7473" t="s" s="2">
        <v>13</v>
      </c>
      <c r="B7473" t="s" s="2">
        <f>HYPERLINK("http://ts.21cn.com/tousu/show/id/1365166","中汇掌富通支付没有到账")</f>
      </c>
      <c r="C7473" t="s" s="2">
        <v>15</v>
      </c>
      <c r="D7473" t="s" s="2">
        <v>16</v>
      </c>
      <c r="E7473" t="s" s="2">
        <v>17</v>
      </c>
      <c r="F7473" t="s" s="2">
        <f>HYPERLINK("http://ts.21cn.com/tousu/show/id/1365166","http://ts.21cn.com/tousu/show/id/1365166")</f>
      </c>
      <c r="G7473" t="s" s="2">
        <v>17</v>
      </c>
      <c r="H7473" t="s" s="2">
        <v>19</v>
      </c>
      <c r="I7473" t="s" s="2">
        <v>28887</v>
      </c>
      <c r="J7473" t="s" s="2">
        <v>28888</v>
      </c>
      <c r="K7473" t="s" s="2">
        <v>22</v>
      </c>
      <c r="L7473" t="s" s="2">
        <v>22</v>
      </c>
      <c r="M7473" t="s" s="2">
        <v>22</v>
      </c>
    </row>
    <row r="7474" ht="25.0" customHeight="true">
      <c r="A7474" t="s" s="2">
        <v>13</v>
      </c>
      <c r="B7474" t="s" s="2">
        <f>HYPERLINK("http://ts.21cn.com/tousu/show/id/1365165","不接受协商，威胁催收")</f>
      </c>
      <c r="C7474" t="s" s="2">
        <v>15</v>
      </c>
      <c r="D7474" t="s" s="2">
        <v>16</v>
      </c>
      <c r="E7474" t="s" s="2">
        <v>17</v>
      </c>
      <c r="F7474" t="s" s="2">
        <f>HYPERLINK("http://ts.21cn.com/tousu/show/id/1365165","http://ts.21cn.com/tousu/show/id/1365165")</f>
      </c>
      <c r="G7474" t="s" s="2">
        <v>17</v>
      </c>
      <c r="H7474" t="s" s="2">
        <v>19</v>
      </c>
      <c r="I7474" t="s" s="2">
        <v>28891</v>
      </c>
      <c r="J7474" t="s" s="2">
        <v>28892</v>
      </c>
      <c r="K7474" t="s" s="2">
        <v>22</v>
      </c>
      <c r="L7474" t="s" s="2">
        <v>22</v>
      </c>
      <c r="M7474" t="s" s="2">
        <v>22</v>
      </c>
    </row>
    <row r="7475" ht="25.0" customHeight="true">
      <c r="A7475" t="s" s="2">
        <v>13</v>
      </c>
      <c r="B7475" t="s" s="2">
        <f>HYPERLINK("http://ts.21cn.com/tousu/show/id/1365162","石榴快袋超利贷")</f>
      </c>
      <c r="C7475" t="s" s="2">
        <v>15</v>
      </c>
      <c r="D7475" t="s" s="2">
        <v>16</v>
      </c>
      <c r="E7475" t="s" s="2">
        <v>17</v>
      </c>
      <c r="F7475" t="s" s="2">
        <f>HYPERLINK("http://ts.21cn.com/tousu/show/id/1365162","http://ts.21cn.com/tousu/show/id/1365162")</f>
      </c>
      <c r="G7475" t="s" s="2">
        <v>17</v>
      </c>
      <c r="H7475" t="s" s="2">
        <v>19</v>
      </c>
      <c r="I7475" t="s" s="2">
        <v>28895</v>
      </c>
      <c r="J7475" t="s" s="2">
        <v>28896</v>
      </c>
      <c r="K7475" t="s" s="2">
        <v>22</v>
      </c>
      <c r="L7475" t="s" s="2">
        <v>22</v>
      </c>
      <c r="M7475" t="s" s="2">
        <v>22</v>
      </c>
    </row>
    <row r="7476" ht="25.0" customHeight="true">
      <c r="A7476" t="s" s="2">
        <v>13</v>
      </c>
      <c r="B7476" t="s" s="2">
        <f>HYPERLINK("http://ts.21cn.com/tousu/show/id/1365161","及贷借款要求一次性结清减免利息")</f>
      </c>
      <c r="C7476" t="s" s="2">
        <v>52</v>
      </c>
      <c r="D7476" t="s" s="2">
        <v>16</v>
      </c>
      <c r="E7476" t="s" s="2">
        <v>17</v>
      </c>
      <c r="F7476" t="s" s="2">
        <f>HYPERLINK("http://ts.21cn.com/tousu/show/id/1365161","http://ts.21cn.com/tousu/show/id/1365161")</f>
      </c>
      <c r="G7476" t="s" s="2">
        <v>17</v>
      </c>
      <c r="H7476" t="s" s="2">
        <v>19</v>
      </c>
      <c r="I7476" t="s" s="2">
        <v>28899</v>
      </c>
      <c r="J7476" t="s" s="2">
        <v>28900</v>
      </c>
      <c r="K7476" t="s" s="2">
        <v>22</v>
      </c>
      <c r="L7476" t="s" s="2">
        <v>22</v>
      </c>
      <c r="M7476" t="s" s="2">
        <v>22</v>
      </c>
    </row>
    <row r="7477" ht="25.0" customHeight="true">
      <c r="A7477" t="s" s="2">
        <v>13</v>
      </c>
      <c r="B7477" t="s" s="2">
        <f>HYPERLINK("http://ts.21cn.com/tousu/show/id/1365160","闪管家停止骚扰")</f>
      </c>
      <c r="C7477" t="s" s="2">
        <v>15</v>
      </c>
      <c r="D7477" t="s" s="2">
        <v>16</v>
      </c>
      <c r="E7477" t="s" s="2">
        <v>17</v>
      </c>
      <c r="F7477" t="s" s="2">
        <f>HYPERLINK("http://ts.21cn.com/tousu/show/id/1365160","http://ts.21cn.com/tousu/show/id/1365160")</f>
      </c>
      <c r="G7477" t="s" s="2">
        <v>17</v>
      </c>
      <c r="H7477" t="s" s="2">
        <v>19</v>
      </c>
      <c r="I7477" t="s" s="2">
        <v>28903</v>
      </c>
      <c r="J7477" t="s" s="2">
        <v>28904</v>
      </c>
      <c r="K7477" t="s" s="2">
        <v>22</v>
      </c>
      <c r="L7477" t="s" s="2">
        <v>22</v>
      </c>
      <c r="M7477" t="s" s="2">
        <v>22</v>
      </c>
    </row>
    <row r="7478" ht="25.0" customHeight="true">
      <c r="A7478" t="s" s="2">
        <v>13</v>
      </c>
      <c r="B7478" t="s" s="2">
        <f>HYPERLINK("http://ts.21cn.com/tousu/show/id/1365159","及贷强制扣除vip费用，不给不下款")</f>
      </c>
      <c r="C7478" t="s" s="2">
        <v>15</v>
      </c>
      <c r="D7478" t="s" s="2">
        <v>16</v>
      </c>
      <c r="E7478" t="s" s="2">
        <v>17</v>
      </c>
      <c r="F7478" t="s" s="2">
        <f>HYPERLINK("http://ts.21cn.com/tousu/show/id/1365159","http://ts.21cn.com/tousu/show/id/1365159")</f>
      </c>
      <c r="G7478" t="s" s="2">
        <v>17</v>
      </c>
      <c r="H7478" t="s" s="2">
        <v>19</v>
      </c>
      <c r="I7478" t="s" s="2">
        <v>28907</v>
      </c>
      <c r="J7478" t="s" s="2">
        <v>28908</v>
      </c>
      <c r="K7478" t="s" s="2">
        <v>22</v>
      </c>
      <c r="L7478" t="s" s="2">
        <v>22</v>
      </c>
      <c r="M7478" t="s" s="2">
        <v>22</v>
      </c>
    </row>
    <row r="7479" ht="25.0" customHeight="true">
      <c r="A7479" t="s" s="2">
        <v>13</v>
      </c>
      <c r="B7479" t="s" s="2">
        <f>HYPERLINK("http://ts.21cn.com/tousu/show/id/1365158","酷花花协商退砍头息")</f>
      </c>
      <c r="C7479" t="s" s="2">
        <v>52</v>
      </c>
      <c r="D7479" t="s" s="2">
        <v>16</v>
      </c>
      <c r="E7479" t="s" s="2">
        <v>17</v>
      </c>
      <c r="F7479" t="s" s="2">
        <f>HYPERLINK("http://ts.21cn.com/tousu/show/id/1365158","http://ts.21cn.com/tousu/show/id/1365158")</f>
      </c>
      <c r="G7479" t="s" s="2">
        <v>17</v>
      </c>
      <c r="H7479" t="s" s="2">
        <v>19</v>
      </c>
      <c r="I7479" t="s" s="2">
        <v>28911</v>
      </c>
      <c r="J7479" t="s" s="2">
        <v>28912</v>
      </c>
      <c r="K7479" t="s" s="2">
        <v>22</v>
      </c>
      <c r="L7479" t="s" s="2">
        <v>22</v>
      </c>
      <c r="M7479" t="s" s="2">
        <v>22</v>
      </c>
    </row>
    <row r="7480" ht="25.0" customHeight="true">
      <c r="A7480" t="s" s="2">
        <v>13</v>
      </c>
      <c r="B7480" t="s" s="2">
        <f>HYPERLINK("http://ts.21cn.com/tousu/show/id/1365156","网络赌博")</f>
      </c>
      <c r="C7480" t="s" s="2">
        <v>15</v>
      </c>
      <c r="D7480" t="s" s="2">
        <v>16</v>
      </c>
      <c r="E7480" t="s" s="2">
        <v>17</v>
      </c>
      <c r="F7480" t="s" s="2">
        <f>HYPERLINK("http://ts.21cn.com/tousu/show/id/1365156","http://ts.21cn.com/tousu/show/id/1365156")</f>
      </c>
      <c r="G7480" t="s" s="2">
        <v>17</v>
      </c>
      <c r="H7480" t="s" s="2">
        <v>19</v>
      </c>
      <c r="I7480" t="s" s="2">
        <v>28914</v>
      </c>
      <c r="J7480" t="s" s="2">
        <v>28915</v>
      </c>
      <c r="K7480" t="s" s="2">
        <v>22</v>
      </c>
      <c r="L7480" t="s" s="2">
        <v>22</v>
      </c>
      <c r="M7480" t="s" s="2">
        <v>22</v>
      </c>
    </row>
    <row r="7481" ht="25.0" customHeight="true">
      <c r="A7481" t="s" s="2">
        <v>13</v>
      </c>
      <c r="B7481" t="s" s="2">
        <f>HYPERLINK("http://ts.21cn.com/tousu/show/id/1365157","王者钱包高利贷")</f>
      </c>
      <c r="C7481" t="s" s="2">
        <v>15</v>
      </c>
      <c r="D7481" t="s" s="2">
        <v>16</v>
      </c>
      <c r="E7481" t="s" s="2">
        <v>17</v>
      </c>
      <c r="F7481" t="s" s="2">
        <f>HYPERLINK("http://ts.21cn.com/tousu/show/id/1365157","http://ts.21cn.com/tousu/show/id/1365157")</f>
      </c>
      <c r="G7481" t="s" s="2">
        <v>17</v>
      </c>
      <c r="H7481" t="s" s="2">
        <v>19</v>
      </c>
      <c r="I7481" t="s" s="2">
        <v>28918</v>
      </c>
      <c r="J7481" t="s" s="2">
        <v>28919</v>
      </c>
      <c r="K7481" t="s" s="2">
        <v>22</v>
      </c>
      <c r="L7481" t="s" s="2">
        <v>22</v>
      </c>
      <c r="M7481" t="s" s="2">
        <v>22</v>
      </c>
    </row>
    <row r="7482" ht="25.0" customHeight="true">
      <c r="A7482" t="s" s="2">
        <v>13</v>
      </c>
      <c r="B7482" t="s" s="2">
        <f>HYPERLINK("http://ts.21cn.com/tousu/show/id/1365154","招商银行催收")</f>
      </c>
      <c r="C7482" t="s" s="2">
        <v>15</v>
      </c>
      <c r="D7482" t="s" s="2">
        <v>16</v>
      </c>
      <c r="E7482" t="s" s="2">
        <v>17</v>
      </c>
      <c r="F7482" t="s" s="2">
        <f>HYPERLINK("http://ts.21cn.com/tousu/show/id/1365154","http://ts.21cn.com/tousu/show/id/1365154")</f>
      </c>
      <c r="G7482" t="s" s="2">
        <v>17</v>
      </c>
      <c r="H7482" t="s" s="2">
        <v>19</v>
      </c>
      <c r="I7482" t="s" s="2">
        <v>28922</v>
      </c>
      <c r="J7482" t="s" s="2">
        <v>28923</v>
      </c>
      <c r="K7482" t="s" s="2">
        <v>22</v>
      </c>
      <c r="L7482" t="s" s="2">
        <v>22</v>
      </c>
      <c r="M7482" t="s" s="2">
        <v>22</v>
      </c>
    </row>
    <row r="7483" ht="25.0" customHeight="true">
      <c r="A7483" t="s" s="2">
        <v>13</v>
      </c>
      <c r="B7483" t="s" s="2">
        <f>HYPERLINK("http://ts.21cn.com/tousu/show/id/1365152","不经同意私自扣除钱款")</f>
      </c>
      <c r="C7483" t="s" s="2">
        <v>15</v>
      </c>
      <c r="D7483" t="s" s="2">
        <v>16</v>
      </c>
      <c r="E7483" t="s" s="2">
        <v>17</v>
      </c>
      <c r="F7483" t="s" s="2">
        <f>HYPERLINK("http://ts.21cn.com/tousu/show/id/1365152","http://ts.21cn.com/tousu/show/id/1365152")</f>
      </c>
      <c r="G7483" t="s" s="2">
        <v>17</v>
      </c>
      <c r="H7483" t="s" s="2">
        <v>19</v>
      </c>
      <c r="I7483" t="s" s="2">
        <v>28926</v>
      </c>
      <c r="J7483" t="s" s="2">
        <v>28927</v>
      </c>
      <c r="K7483" t="s" s="2">
        <v>22</v>
      </c>
      <c r="L7483" t="s" s="2">
        <v>22</v>
      </c>
      <c r="M7483" t="s" s="2">
        <v>22</v>
      </c>
    </row>
    <row r="7484" ht="25.0" customHeight="true">
      <c r="A7484" t="s" s="2">
        <v>13</v>
      </c>
      <c r="B7484" t="s" s="2">
        <f>HYPERLINK("http://ts.21cn.com/tousu/show/id/1365151","利息太高，明显高利贷")</f>
      </c>
      <c r="C7484" t="s" s="2">
        <v>15</v>
      </c>
      <c r="D7484" t="s" s="2">
        <v>16</v>
      </c>
      <c r="E7484" t="s" s="2">
        <v>17</v>
      </c>
      <c r="F7484" t="s" s="2">
        <f>HYPERLINK("http://ts.21cn.com/tousu/show/id/1365151","http://ts.21cn.com/tousu/show/id/1365151")</f>
      </c>
      <c r="G7484" t="s" s="2">
        <v>17</v>
      </c>
      <c r="H7484" t="s" s="2">
        <v>19</v>
      </c>
      <c r="I7484" t="s" s="2">
        <v>28930</v>
      </c>
      <c r="J7484" t="s" s="2">
        <v>28931</v>
      </c>
      <c r="K7484" t="s" s="2">
        <v>22</v>
      </c>
      <c r="L7484" t="s" s="2">
        <v>22</v>
      </c>
      <c r="M7484" t="s" s="2">
        <v>22</v>
      </c>
    </row>
    <row r="7485" ht="25.0" customHeight="true">
      <c r="A7485" t="s" s="2">
        <v>13</v>
      </c>
      <c r="B7485" t="s" s="2">
        <f>HYPERLINK("http://ts.21cn.com/tousu/show/id/1365150","你我贷暴利催收高利贷")</f>
      </c>
      <c r="C7485" t="s" s="2">
        <v>15</v>
      </c>
      <c r="D7485" t="s" s="2">
        <v>16</v>
      </c>
      <c r="E7485" t="s" s="2">
        <v>17</v>
      </c>
      <c r="F7485" t="s" s="2">
        <f>HYPERLINK("http://ts.21cn.com/tousu/show/id/1365150","http://ts.21cn.com/tousu/show/id/1365150")</f>
      </c>
      <c r="G7485" t="s" s="2">
        <v>17</v>
      </c>
      <c r="H7485" t="s" s="2">
        <v>19</v>
      </c>
      <c r="I7485" t="s" s="2">
        <v>28934</v>
      </c>
      <c r="J7485" t="s" s="2">
        <v>28935</v>
      </c>
      <c r="K7485" t="s" s="2">
        <v>22</v>
      </c>
      <c r="L7485" t="s" s="2">
        <v>22</v>
      </c>
      <c r="M7485" t="s" s="2">
        <v>22</v>
      </c>
    </row>
    <row r="7486" ht="25.0" customHeight="true">
      <c r="A7486" t="s" s="2">
        <v>13</v>
      </c>
      <c r="B7486" t="s" s="2">
        <f>HYPERLINK("http://ts.21cn.com/tousu/show/id/1365149","交易猫平台，买完号里面没有角色，然后仲裁一直没有人理会。")</f>
      </c>
      <c r="C7486" t="s" s="2">
        <v>15</v>
      </c>
      <c r="D7486" t="s" s="2">
        <v>16</v>
      </c>
      <c r="E7486" t="s" s="2">
        <v>17</v>
      </c>
      <c r="F7486" t="s" s="2">
        <f>HYPERLINK("http://ts.21cn.com/tousu/show/id/1365149","http://ts.21cn.com/tousu/show/id/1365149")</f>
      </c>
      <c r="G7486" t="s" s="2">
        <v>17</v>
      </c>
      <c r="H7486" t="s" s="2">
        <v>19</v>
      </c>
      <c r="I7486" t="s" s="2">
        <v>28938</v>
      </c>
      <c r="J7486" t="s" s="2">
        <v>28939</v>
      </c>
      <c r="K7486" t="s" s="2">
        <v>22</v>
      </c>
      <c r="L7486" t="s" s="2">
        <v>22</v>
      </c>
      <c r="M7486" t="s" s="2">
        <v>22</v>
      </c>
    </row>
    <row r="7487" ht="25.0" customHeight="true">
      <c r="A7487" t="s" s="2">
        <v>13</v>
      </c>
      <c r="B7487" t="s" s="2">
        <f>HYPERLINK("http://ts.21cn.com/tousu/show/id/1365148","玖富万卡催收态度十分不友好")</f>
      </c>
      <c r="C7487" t="s" s="2">
        <v>15</v>
      </c>
      <c r="D7487" t="s" s="2">
        <v>16</v>
      </c>
      <c r="E7487" t="s" s="2">
        <v>17</v>
      </c>
      <c r="F7487" t="s" s="2">
        <f>HYPERLINK("http://ts.21cn.com/tousu/show/id/1365148","http://ts.21cn.com/tousu/show/id/1365148")</f>
      </c>
      <c r="G7487" t="s" s="2">
        <v>17</v>
      </c>
      <c r="H7487" t="s" s="2">
        <v>19</v>
      </c>
      <c r="I7487" t="s" s="2">
        <v>28942</v>
      </c>
      <c r="J7487" t="s" s="2">
        <v>28943</v>
      </c>
      <c r="K7487" t="s" s="2">
        <v>22</v>
      </c>
      <c r="L7487" t="s" s="2">
        <v>22</v>
      </c>
      <c r="M7487" t="s" s="2">
        <v>22</v>
      </c>
    </row>
    <row r="7488" ht="25.0" customHeight="true">
      <c r="A7488" t="s" s="2">
        <v>13</v>
      </c>
      <c r="B7488" t="s" s="2">
        <f>HYPERLINK("http://ts.21cn.com/tousu/show/id/1365146","尚德机构黑心机构，教学质量差，霸王条款，营销手段高")</f>
      </c>
      <c r="C7488" t="s" s="2">
        <v>15</v>
      </c>
      <c r="D7488" t="s" s="2">
        <v>16</v>
      </c>
      <c r="E7488" t="s" s="2">
        <v>17</v>
      </c>
      <c r="F7488" t="s" s="2">
        <f>HYPERLINK("http://ts.21cn.com/tousu/show/id/1365146","http://ts.21cn.com/tousu/show/id/1365146")</f>
      </c>
      <c r="G7488" t="s" s="2">
        <v>17</v>
      </c>
      <c r="H7488" t="s" s="2">
        <v>19</v>
      </c>
      <c r="I7488" t="s" s="2">
        <v>28946</v>
      </c>
      <c r="J7488" t="s" s="2">
        <v>28947</v>
      </c>
      <c r="K7488" t="s" s="2">
        <v>22</v>
      </c>
      <c r="L7488" t="s" s="2">
        <v>22</v>
      </c>
      <c r="M7488" t="s" s="2">
        <v>22</v>
      </c>
    </row>
    <row r="7489" ht="25.0" customHeight="true">
      <c r="A7489" t="s" s="2">
        <v>13</v>
      </c>
      <c r="B7489" t="s" s="2">
        <f>HYPERLINK("http://ts.21cn.com/tousu/show/id/1365144","360威胁恐吓让我去签律师函")</f>
      </c>
      <c r="C7489" t="s" s="2">
        <v>15</v>
      </c>
      <c r="D7489" t="s" s="2">
        <v>16</v>
      </c>
      <c r="E7489" t="s" s="2">
        <v>17</v>
      </c>
      <c r="F7489" t="s" s="2">
        <f>HYPERLINK("http://ts.21cn.com/tousu/show/id/1365144","http://ts.21cn.com/tousu/show/id/1365144")</f>
      </c>
      <c r="G7489" t="s" s="2">
        <v>17</v>
      </c>
      <c r="H7489" t="s" s="2">
        <v>19</v>
      </c>
      <c r="I7489" t="s" s="2">
        <v>28950</v>
      </c>
      <c r="J7489" t="s" s="2">
        <v>28951</v>
      </c>
      <c r="K7489" t="s" s="2">
        <v>22</v>
      </c>
      <c r="L7489" t="s" s="2">
        <v>22</v>
      </c>
      <c r="M7489" t="s" s="2">
        <v>22</v>
      </c>
    </row>
    <row r="7490" ht="25.0" customHeight="true">
      <c r="A7490" t="s" s="2">
        <v>13</v>
      </c>
      <c r="B7490" t="s" s="2">
        <f>HYPERLINK("http://ts.21cn.com/tousu/show/id/1365142","订的房住不成，退款不退")</f>
      </c>
      <c r="C7490" t="s" s="2">
        <v>52</v>
      </c>
      <c r="D7490" t="s" s="2">
        <v>16</v>
      </c>
      <c r="E7490" t="s" s="2">
        <v>17</v>
      </c>
      <c r="F7490" t="s" s="2">
        <f>HYPERLINK("http://ts.21cn.com/tousu/show/id/1365142","http://ts.21cn.com/tousu/show/id/1365142")</f>
      </c>
      <c r="G7490" t="s" s="2">
        <v>17</v>
      </c>
      <c r="H7490" t="s" s="2">
        <v>19</v>
      </c>
      <c r="I7490" t="s" s="2">
        <v>28954</v>
      </c>
      <c r="J7490" t="s" s="2">
        <v>28955</v>
      </c>
      <c r="K7490" t="s" s="2">
        <v>22</v>
      </c>
      <c r="L7490" t="s" s="2">
        <v>22</v>
      </c>
      <c r="M7490" t="s" s="2">
        <v>22</v>
      </c>
    </row>
    <row r="7491" ht="25.0" customHeight="true">
      <c r="A7491" t="s" s="2">
        <v>13</v>
      </c>
      <c r="B7491" t="s" s="2">
        <f>HYPERLINK("http://ts.21cn.com/tousu/show/id/1365141","高利贷")</f>
      </c>
      <c r="C7491" t="s" s="2">
        <v>15</v>
      </c>
      <c r="D7491" t="s" s="2">
        <v>16</v>
      </c>
      <c r="E7491" t="s" s="2">
        <v>17</v>
      </c>
      <c r="F7491" t="s" s="2">
        <f>HYPERLINK("http://ts.21cn.com/tousu/show/id/1365141","http://ts.21cn.com/tousu/show/id/1365141")</f>
      </c>
      <c r="G7491" t="s" s="2">
        <v>17</v>
      </c>
      <c r="H7491" t="s" s="2">
        <v>19</v>
      </c>
      <c r="I7491" t="s" s="2">
        <v>28957</v>
      </c>
      <c r="J7491" t="s" s="2">
        <v>28958</v>
      </c>
      <c r="K7491" t="s" s="2">
        <v>22</v>
      </c>
      <c r="L7491" t="s" s="2">
        <v>22</v>
      </c>
      <c r="M7491" t="s" s="2">
        <v>22</v>
      </c>
    </row>
    <row r="7492" ht="25.0" customHeight="true">
      <c r="A7492" t="s" s="2">
        <v>13</v>
      </c>
      <c r="B7492" t="s" s="2">
        <f>HYPERLINK("http://ts.21cn.com/tousu/show/id/1365124","163网易邮箱跟换手机号码申诉修复失败")</f>
      </c>
      <c r="C7492" t="s" s="2">
        <v>15</v>
      </c>
      <c r="D7492" t="s" s="2">
        <v>16</v>
      </c>
      <c r="E7492" t="s" s="2">
        <v>17</v>
      </c>
      <c r="F7492" t="s" s="2">
        <f>HYPERLINK("http://ts.21cn.com/tousu/show/id/1365124","http://ts.21cn.com/tousu/show/id/1365124")</f>
      </c>
      <c r="G7492" t="s" s="2">
        <v>17</v>
      </c>
      <c r="H7492" t="s" s="2">
        <v>19</v>
      </c>
      <c r="I7492" t="s" s="2">
        <v>28961</v>
      </c>
      <c r="J7492" t="s" s="2">
        <v>28962</v>
      </c>
      <c r="K7492" t="s" s="2">
        <v>22</v>
      </c>
      <c r="L7492" t="s" s="2">
        <v>22</v>
      </c>
      <c r="M7492" t="s" s="2">
        <v>22</v>
      </c>
    </row>
    <row r="7493" ht="25.0" customHeight="true">
      <c r="A7493" t="s" s="2">
        <v>13</v>
      </c>
      <c r="B7493" t="s" s="2">
        <f>HYPERLINK("http://ts.21cn.com/tousu/show/id/1365140","支付宝为高利贷提供还款通道")</f>
      </c>
      <c r="C7493" t="s" s="2">
        <v>15</v>
      </c>
      <c r="D7493" t="s" s="2">
        <v>16</v>
      </c>
      <c r="E7493" t="s" s="2">
        <v>17</v>
      </c>
      <c r="F7493" t="s" s="2">
        <f>HYPERLINK("http://ts.21cn.com/tousu/show/id/1365140","http://ts.21cn.com/tousu/show/id/1365140")</f>
      </c>
      <c r="G7493" t="s" s="2">
        <v>17</v>
      </c>
      <c r="H7493" t="s" s="2">
        <v>19</v>
      </c>
      <c r="I7493" t="s" s="2">
        <v>28965</v>
      </c>
      <c r="J7493" t="s" s="2">
        <v>28966</v>
      </c>
      <c r="K7493" t="s" s="2">
        <v>22</v>
      </c>
      <c r="L7493" t="s" s="2">
        <v>22</v>
      </c>
      <c r="M7493" t="s" s="2">
        <v>22</v>
      </c>
    </row>
    <row r="7494" ht="25.0" customHeight="true">
      <c r="A7494" t="s" s="2">
        <v>13</v>
      </c>
      <c r="B7494" t="s" s="2">
        <f>HYPERLINK("http://ts.21cn.com/tousu/show/id/1365137","恶心平台，一定远离")</f>
      </c>
      <c r="C7494" t="s" s="2">
        <v>15</v>
      </c>
      <c r="D7494" t="s" s="2">
        <v>16</v>
      </c>
      <c r="E7494" t="s" s="2">
        <v>17</v>
      </c>
      <c r="F7494" t="s" s="2">
        <f>HYPERLINK("http://ts.21cn.com/tousu/show/id/1365137","http://ts.21cn.com/tousu/show/id/1365137")</f>
      </c>
      <c r="G7494" t="s" s="2">
        <v>17</v>
      </c>
      <c r="H7494" t="s" s="2">
        <v>19</v>
      </c>
      <c r="I7494" t="s" s="2">
        <v>28969</v>
      </c>
      <c r="J7494" t="s" s="2">
        <v>28970</v>
      </c>
      <c r="K7494" t="s" s="2">
        <v>22</v>
      </c>
      <c r="L7494" t="s" s="2">
        <v>22</v>
      </c>
      <c r="M7494" t="s" s="2">
        <v>22</v>
      </c>
    </row>
    <row r="7495" ht="25.0" customHeight="true">
      <c r="A7495" t="s" s="2">
        <v>13</v>
      </c>
      <c r="B7495" t="s" s="2">
        <f>HYPERLINK("http://ts.21cn.com/tousu/show/id/1365138","速金服阴阳合同，高利贷")</f>
      </c>
      <c r="C7495" t="s" s="2">
        <v>15</v>
      </c>
      <c r="D7495" t="s" s="2">
        <v>16</v>
      </c>
      <c r="E7495" t="s" s="2">
        <v>17</v>
      </c>
      <c r="F7495" t="s" s="2">
        <f>HYPERLINK("http://ts.21cn.com/tousu/show/id/1365138","http://ts.21cn.com/tousu/show/id/1365138")</f>
      </c>
      <c r="G7495" t="s" s="2">
        <v>17</v>
      </c>
      <c r="H7495" t="s" s="2">
        <v>19</v>
      </c>
      <c r="I7495" t="s" s="2">
        <v>28973</v>
      </c>
      <c r="J7495" t="s" s="2">
        <v>28974</v>
      </c>
      <c r="K7495" t="s" s="2">
        <v>22</v>
      </c>
      <c r="L7495" t="s" s="2">
        <v>22</v>
      </c>
      <c r="M7495" t="s" s="2">
        <v>22</v>
      </c>
    </row>
    <row r="7496" ht="25.0" customHeight="true">
      <c r="A7496" t="s" s="2">
        <v>13</v>
      </c>
      <c r="B7496" t="s" s="2">
        <f>HYPERLINK("http://ts.21cn.com/tousu/show/id/1365127","注册小集钱包未通知私自扣款")</f>
      </c>
      <c r="C7496" t="s" s="2">
        <v>15</v>
      </c>
      <c r="D7496" t="s" s="2">
        <v>16</v>
      </c>
      <c r="E7496" t="s" s="2">
        <v>17</v>
      </c>
      <c r="F7496" t="s" s="2">
        <f>HYPERLINK("http://ts.21cn.com/tousu/show/id/1365127","http://ts.21cn.com/tousu/show/id/1365127")</f>
      </c>
      <c r="G7496" t="s" s="2">
        <v>17</v>
      </c>
      <c r="H7496" t="s" s="2">
        <v>19</v>
      </c>
      <c r="I7496" t="s" s="2">
        <v>28977</v>
      </c>
      <c r="J7496" t="s" s="2">
        <v>28978</v>
      </c>
      <c r="K7496" t="s" s="2">
        <v>22</v>
      </c>
      <c r="L7496" t="s" s="2">
        <v>22</v>
      </c>
      <c r="M7496" t="s" s="2">
        <v>22</v>
      </c>
    </row>
    <row r="7497" ht="25.0" customHeight="true">
      <c r="A7497" t="s" s="2">
        <v>13</v>
      </c>
      <c r="B7497" t="s" s="2">
        <f>HYPERLINK("http://ts.21cn.com/tousu/show/id/1365136","分期乐过度催收")</f>
      </c>
      <c r="C7497" t="s" s="2">
        <v>15</v>
      </c>
      <c r="D7497" t="s" s="2">
        <v>16</v>
      </c>
      <c r="E7497" t="s" s="2">
        <v>17</v>
      </c>
      <c r="F7497" t="s" s="2">
        <f>HYPERLINK("http://ts.21cn.com/tousu/show/id/1365136","http://ts.21cn.com/tousu/show/id/1365136")</f>
      </c>
      <c r="G7497" t="s" s="2">
        <v>17</v>
      </c>
      <c r="H7497" t="s" s="2">
        <v>19</v>
      </c>
      <c r="I7497" t="s" s="2">
        <v>28981</v>
      </c>
      <c r="J7497" t="s" s="2">
        <v>28982</v>
      </c>
      <c r="K7497" t="s" s="2">
        <v>22</v>
      </c>
      <c r="L7497" t="s" s="2">
        <v>22</v>
      </c>
      <c r="M7497" t="s" s="2">
        <v>22</v>
      </c>
    </row>
    <row r="7498" ht="25.0" customHeight="true">
      <c r="A7498" t="s" s="2">
        <v>13</v>
      </c>
      <c r="B7498" t="s" s="2">
        <f>HYPERLINK("http://ts.21cn.com/tousu/show/id/1365134","友信信贷在未逾期的时间内对借款人进行暴力催收")</f>
      </c>
      <c r="C7498" t="s" s="2">
        <v>15</v>
      </c>
      <c r="D7498" t="s" s="2">
        <v>16</v>
      </c>
      <c r="E7498" t="s" s="2">
        <v>17</v>
      </c>
      <c r="F7498" t="s" s="2">
        <f>HYPERLINK("http://ts.21cn.com/tousu/show/id/1365134","http://ts.21cn.com/tousu/show/id/1365134")</f>
      </c>
      <c r="G7498" t="s" s="2">
        <v>17</v>
      </c>
      <c r="H7498" t="s" s="2">
        <v>19</v>
      </c>
      <c r="I7498" t="s" s="2">
        <v>28984</v>
      </c>
      <c r="J7498" t="s" s="2">
        <v>28985</v>
      </c>
      <c r="K7498" t="s" s="2">
        <v>22</v>
      </c>
      <c r="L7498" t="s" s="2">
        <v>22</v>
      </c>
      <c r="M7498" t="s" s="2">
        <v>22</v>
      </c>
    </row>
    <row r="7499" ht="25.0" customHeight="true">
      <c r="A7499" t="s" s="2">
        <v>13</v>
      </c>
      <c r="B7499" t="s" s="2">
        <f>HYPERLINK("http://ts.21cn.com/tousu/show/id/1365132","乱扣费要求退款")</f>
      </c>
      <c r="C7499" t="s" s="2">
        <v>15</v>
      </c>
      <c r="D7499" t="s" s="2">
        <v>16</v>
      </c>
      <c r="E7499" t="s" s="2">
        <v>17</v>
      </c>
      <c r="F7499" t="s" s="2">
        <f>HYPERLINK("http://ts.21cn.com/tousu/show/id/1365132","http://ts.21cn.com/tousu/show/id/1365132")</f>
      </c>
      <c r="G7499" t="s" s="2">
        <v>17</v>
      </c>
      <c r="H7499" t="s" s="2">
        <v>19</v>
      </c>
      <c r="I7499" t="s" s="2">
        <v>28987</v>
      </c>
      <c r="J7499" t="s" s="2">
        <v>28988</v>
      </c>
      <c r="K7499" t="s" s="2">
        <v>22</v>
      </c>
      <c r="L7499" t="s" s="2">
        <v>22</v>
      </c>
      <c r="M7499" t="s" s="2">
        <v>22</v>
      </c>
    </row>
    <row r="7500" ht="25.0" customHeight="true">
      <c r="A7500" t="s" s="2">
        <v>13</v>
      </c>
      <c r="B7500" t="s" s="2">
        <f>HYPERLINK("http://ts.21cn.com/tousu/show/id/1365133","想要退学不予处理")</f>
      </c>
      <c r="C7500" t="s" s="2">
        <v>15</v>
      </c>
      <c r="D7500" t="s" s="2">
        <v>16</v>
      </c>
      <c r="E7500" t="s" s="2">
        <v>17</v>
      </c>
      <c r="F7500" t="s" s="2">
        <f>HYPERLINK("http://ts.21cn.com/tousu/show/id/1365133","http://ts.21cn.com/tousu/show/id/1365133")</f>
      </c>
      <c r="G7500" t="s" s="2">
        <v>17</v>
      </c>
      <c r="H7500" t="s" s="2">
        <v>19</v>
      </c>
      <c r="I7500" t="s" s="2">
        <v>28991</v>
      </c>
      <c r="J7500" t="s" s="2">
        <v>28992</v>
      </c>
      <c r="K7500" t="s" s="2">
        <v>22</v>
      </c>
      <c r="L7500" t="s" s="2">
        <v>22</v>
      </c>
      <c r="M7500" t="s" s="2">
        <v>22</v>
      </c>
    </row>
    <row r="7501" ht="25.0" customHeight="true">
      <c r="A7501" t="s" s="2">
        <v>13</v>
      </c>
      <c r="B7501" t="s" s="2">
        <f>HYPERLINK("http://ts.21cn.com/tousu/show/id/1365131","妙蛙商城套路用户开会员贷款")</f>
      </c>
      <c r="C7501" t="s" s="2">
        <v>15</v>
      </c>
      <c r="D7501" t="s" s="2">
        <v>16</v>
      </c>
      <c r="E7501" t="s" s="2">
        <v>17</v>
      </c>
      <c r="F7501" t="s" s="2">
        <f>HYPERLINK("http://ts.21cn.com/tousu/show/id/1365131","http://ts.21cn.com/tousu/show/id/1365131")</f>
      </c>
      <c r="G7501" t="s" s="2">
        <v>17</v>
      </c>
      <c r="H7501" t="s" s="2">
        <v>19</v>
      </c>
      <c r="I7501" t="s" s="2">
        <v>28995</v>
      </c>
      <c r="J7501" t="s" s="2">
        <v>28996</v>
      </c>
      <c r="K7501" t="s" s="2">
        <v>22</v>
      </c>
      <c r="L7501" t="s" s="2">
        <v>22</v>
      </c>
      <c r="M7501" t="s" s="2">
        <v>22</v>
      </c>
    </row>
    <row r="7502" ht="25.0" customHeight="true">
      <c r="A7502" t="s" s="2">
        <v>13</v>
      </c>
      <c r="B7502" t="s" s="2">
        <f>HYPERLINK("http://ts.21cn.com/tousu/show/id/1365118","期待科技高利贷")</f>
      </c>
      <c r="C7502" t="s" s="2">
        <v>15</v>
      </c>
      <c r="D7502" t="s" s="2">
        <v>16</v>
      </c>
      <c r="E7502" t="s" s="2">
        <v>17</v>
      </c>
      <c r="F7502" t="s" s="2">
        <f>HYPERLINK("http://ts.21cn.com/tousu/show/id/1365118","http://ts.21cn.com/tousu/show/id/1365118")</f>
      </c>
      <c r="G7502" t="s" s="2">
        <v>17</v>
      </c>
      <c r="H7502" t="s" s="2">
        <v>19</v>
      </c>
      <c r="I7502" t="s" s="2">
        <v>28999</v>
      </c>
      <c r="J7502" t="s" s="2">
        <v>29000</v>
      </c>
      <c r="K7502" t="s" s="2">
        <v>22</v>
      </c>
      <c r="L7502" t="s" s="2">
        <v>22</v>
      </c>
      <c r="M7502" t="s" s="2">
        <v>22</v>
      </c>
    </row>
    <row r="7503" ht="25.0" customHeight="true">
      <c r="A7503" t="s" s="2">
        <v>13</v>
      </c>
      <c r="B7503" t="s" s="2">
        <f>HYPERLINK("http://ts.21cn.com/tousu/show/id/1365129","时光分期逾期超过三天费用一百八十多")</f>
      </c>
      <c r="C7503" t="s" s="2">
        <v>52</v>
      </c>
      <c r="D7503" t="s" s="2">
        <v>16</v>
      </c>
      <c r="E7503" t="s" s="2">
        <v>17</v>
      </c>
      <c r="F7503" t="s" s="2">
        <f>HYPERLINK("http://ts.21cn.com/tousu/show/id/1365129","http://ts.21cn.com/tousu/show/id/1365129")</f>
      </c>
      <c r="G7503" t="s" s="2">
        <v>17</v>
      </c>
      <c r="H7503" t="s" s="2">
        <v>19</v>
      </c>
      <c r="I7503" t="s" s="2">
        <v>29003</v>
      </c>
      <c r="J7503" t="s" s="2">
        <v>29004</v>
      </c>
      <c r="K7503" t="s" s="2">
        <v>22</v>
      </c>
      <c r="L7503" t="s" s="2">
        <v>22</v>
      </c>
      <c r="M7503" t="s" s="2">
        <v>22</v>
      </c>
    </row>
    <row r="7504" ht="25.0" customHeight="true">
      <c r="A7504" t="s" s="2">
        <v>13</v>
      </c>
      <c r="B7504" t="s" s="2">
        <f>HYPERLINK("http://ts.21cn.com/tousu/show/id/1365128","喜鹊快贷催收人员频道电话骚扰我，严重影响我工作生活")</f>
      </c>
      <c r="C7504" t="s" s="2">
        <v>15</v>
      </c>
      <c r="D7504" t="s" s="2">
        <v>16</v>
      </c>
      <c r="E7504" t="s" s="2">
        <v>17</v>
      </c>
      <c r="F7504" t="s" s="2">
        <f>HYPERLINK("http://ts.21cn.com/tousu/show/id/1365128","http://ts.21cn.com/tousu/show/id/1365128")</f>
      </c>
      <c r="G7504" t="s" s="2">
        <v>17</v>
      </c>
      <c r="H7504" t="s" s="2">
        <v>19</v>
      </c>
      <c r="I7504" t="s" s="2">
        <v>29007</v>
      </c>
      <c r="J7504" t="s" s="2">
        <v>29008</v>
      </c>
      <c r="K7504" t="s" s="2">
        <v>22</v>
      </c>
      <c r="L7504" t="s" s="2">
        <v>22</v>
      </c>
      <c r="M7504" t="s" s="2">
        <v>22</v>
      </c>
    </row>
    <row r="7505" ht="25.0" customHeight="true">
      <c r="A7505" t="s" s="2">
        <v>13</v>
      </c>
      <c r="B7505" t="s" s="2">
        <f>HYPERLINK("http://ts.21cn.com/tousu/show/id/1365126","高利贷，套路贷，搞小商城变相收费，")</f>
      </c>
      <c r="C7505" t="s" s="2">
        <v>15</v>
      </c>
      <c r="D7505" t="s" s="2">
        <v>16</v>
      </c>
      <c r="E7505" t="s" s="2">
        <v>17</v>
      </c>
      <c r="F7505" t="s" s="2">
        <f>HYPERLINK("http://ts.21cn.com/tousu/show/id/1365126","http://ts.21cn.com/tousu/show/id/1365126")</f>
      </c>
      <c r="G7505" t="s" s="2">
        <v>17</v>
      </c>
      <c r="H7505" t="s" s="2">
        <v>19</v>
      </c>
      <c r="I7505" t="s" s="2">
        <v>29011</v>
      </c>
      <c r="J7505" t="s" s="2">
        <v>29012</v>
      </c>
      <c r="K7505" t="s" s="2">
        <v>22</v>
      </c>
      <c r="L7505" t="s" s="2">
        <v>22</v>
      </c>
      <c r="M7505" t="s" s="2">
        <v>22</v>
      </c>
    </row>
    <row r="7506" ht="25.0" customHeight="true">
      <c r="A7506" t="s" s="2">
        <v>13</v>
      </c>
      <c r="B7506" t="s" s="2">
        <f>HYPERLINK("http://ts.21cn.com/tousu/show/id/1365122","中辉商务咨询不讲诚信，要求退款")</f>
      </c>
      <c r="C7506" t="s" s="2">
        <v>15</v>
      </c>
      <c r="D7506" t="s" s="2">
        <v>16</v>
      </c>
      <c r="E7506" t="s" s="2">
        <v>17</v>
      </c>
      <c r="F7506" t="s" s="2">
        <f>HYPERLINK("http://ts.21cn.com/tousu/show/id/1365122","http://ts.21cn.com/tousu/show/id/1365122")</f>
      </c>
      <c r="G7506" t="s" s="2">
        <v>17</v>
      </c>
      <c r="H7506" t="s" s="2">
        <v>19</v>
      </c>
      <c r="I7506" t="s" s="2">
        <v>29015</v>
      </c>
      <c r="J7506" t="s" s="2">
        <v>29016</v>
      </c>
      <c r="K7506" t="s" s="2">
        <v>22</v>
      </c>
      <c r="L7506" t="s" s="2">
        <v>22</v>
      </c>
      <c r="M7506" t="s" s="2">
        <v>22</v>
      </c>
    </row>
    <row r="7507" ht="25.0" customHeight="true">
      <c r="A7507" t="s" s="2">
        <v>13</v>
      </c>
      <c r="B7507" t="s" s="2">
        <f>HYPERLINK("http://ts.21cn.com/tousu/show/id/1365125","小黄车还不退押金")</f>
      </c>
      <c r="C7507" t="s" s="2">
        <v>52</v>
      </c>
      <c r="D7507" t="s" s="2">
        <v>16</v>
      </c>
      <c r="E7507" t="s" s="2">
        <v>17</v>
      </c>
      <c r="F7507" t="s" s="2">
        <f>HYPERLINK("http://ts.21cn.com/tousu/show/id/1365125","http://ts.21cn.com/tousu/show/id/1365125")</f>
      </c>
      <c r="G7507" t="s" s="2">
        <v>17</v>
      </c>
      <c r="H7507" t="s" s="2">
        <v>19</v>
      </c>
      <c r="I7507" t="s" s="2">
        <v>29019</v>
      </c>
      <c r="J7507" t="s" s="2">
        <v>29020</v>
      </c>
      <c r="K7507" t="s" s="2">
        <v>22</v>
      </c>
      <c r="L7507" t="s" s="2">
        <v>22</v>
      </c>
      <c r="M7507" t="s" s="2">
        <v>22</v>
      </c>
    </row>
    <row r="7508" ht="25.0" customHeight="true">
      <c r="A7508" t="s" s="2">
        <v>13</v>
      </c>
      <c r="B7508" t="s" s="2">
        <f>HYPERLINK("http://ts.21cn.com/tousu/show/id/1365123","闪银、哼哼、瞬瞬催收协商")</f>
      </c>
      <c r="C7508" t="s" s="2">
        <v>15</v>
      </c>
      <c r="D7508" t="s" s="2">
        <v>16</v>
      </c>
      <c r="E7508" t="s" s="2">
        <v>17</v>
      </c>
      <c r="F7508" t="s" s="2">
        <f>HYPERLINK("http://ts.21cn.com/tousu/show/id/1365123","http://ts.21cn.com/tousu/show/id/1365123")</f>
      </c>
      <c r="G7508" t="s" s="2">
        <v>17</v>
      </c>
      <c r="H7508" t="s" s="2">
        <v>19</v>
      </c>
      <c r="I7508" t="s" s="2">
        <v>29023</v>
      </c>
      <c r="J7508" t="s" s="2">
        <v>29024</v>
      </c>
      <c r="K7508" t="s" s="2">
        <v>22</v>
      </c>
      <c r="L7508" t="s" s="2">
        <v>22</v>
      </c>
      <c r="M7508" t="s" s="2">
        <v>22</v>
      </c>
    </row>
    <row r="7509" ht="25.0" customHeight="true">
      <c r="A7509" t="s" s="2">
        <v>13</v>
      </c>
      <c r="B7509" t="s" s="2">
        <f>HYPERLINK("http://ts.21cn.com/tousu/show/id/1362854","钱站阴阳合同，还要害多少人")</f>
      </c>
      <c r="C7509" t="s" s="2">
        <v>15</v>
      </c>
      <c r="D7509" t="s" s="2">
        <v>16</v>
      </c>
      <c r="E7509" t="s" s="2">
        <v>17</v>
      </c>
      <c r="F7509" t="s" s="2">
        <f>HYPERLINK("http://ts.21cn.com/tousu/show/id/1362854","http://ts.21cn.com/tousu/show/id/1362854")</f>
      </c>
      <c r="G7509" t="s" s="2">
        <v>17</v>
      </c>
      <c r="H7509" t="s" s="2">
        <v>19</v>
      </c>
      <c r="I7509" t="s" s="2">
        <v>29027</v>
      </c>
      <c r="J7509" t="s" s="2">
        <v>29028</v>
      </c>
      <c r="K7509" t="s" s="2">
        <v>22</v>
      </c>
      <c r="L7509" t="s" s="2">
        <v>22</v>
      </c>
      <c r="M7509" t="s" s="2">
        <v>22</v>
      </c>
    </row>
    <row r="7510" ht="25.0" customHeight="true">
      <c r="A7510" t="s" s="2">
        <v>13</v>
      </c>
      <c r="B7510" t="s" s="2">
        <f>HYPERLINK("http://ts.21cn.com/tousu/show/id/1365121","退还我的推荐服务费")</f>
      </c>
      <c r="C7510" t="s" s="2">
        <v>52</v>
      </c>
      <c r="D7510" t="s" s="2">
        <v>16</v>
      </c>
      <c r="E7510" t="s" s="2">
        <v>17</v>
      </c>
      <c r="F7510" t="s" s="2">
        <f>HYPERLINK("http://ts.21cn.com/tousu/show/id/1365121","http://ts.21cn.com/tousu/show/id/1365121")</f>
      </c>
      <c r="G7510" t="s" s="2">
        <v>17</v>
      </c>
      <c r="H7510" t="s" s="2">
        <v>19</v>
      </c>
      <c r="I7510" t="s" s="2">
        <v>29031</v>
      </c>
      <c r="J7510" t="s" s="2">
        <v>29032</v>
      </c>
      <c r="K7510" t="s" s="2">
        <v>22</v>
      </c>
      <c r="L7510" t="s" s="2">
        <v>22</v>
      </c>
      <c r="M7510" t="s" s="2">
        <v>22</v>
      </c>
    </row>
    <row r="7511" ht="25.0" customHeight="true">
      <c r="A7511" t="s" s="2">
        <v>13</v>
      </c>
      <c r="B7511" t="s" s="2">
        <f>HYPERLINK("http://ts.21cn.com/tousu/show/id/1365120","微信支付永久冻结")</f>
      </c>
      <c r="C7511" t="s" s="2">
        <v>15</v>
      </c>
      <c r="D7511" t="s" s="2">
        <v>16</v>
      </c>
      <c r="E7511" t="s" s="2">
        <v>17</v>
      </c>
      <c r="F7511" t="s" s="2">
        <f>HYPERLINK("http://ts.21cn.com/tousu/show/id/1365120","http://ts.21cn.com/tousu/show/id/1365120")</f>
      </c>
      <c r="G7511" t="s" s="2">
        <v>17</v>
      </c>
      <c r="H7511" t="s" s="2">
        <v>19</v>
      </c>
      <c r="I7511" t="s" s="2">
        <v>29035</v>
      </c>
      <c r="J7511" t="s" s="2">
        <v>29036</v>
      </c>
      <c r="K7511" t="s" s="2">
        <v>22</v>
      </c>
      <c r="L7511" t="s" s="2">
        <v>22</v>
      </c>
      <c r="M7511" t="s" s="2">
        <v>22</v>
      </c>
    </row>
    <row r="7512" ht="25.0" customHeight="true">
      <c r="A7512" t="s" s="2">
        <v>13</v>
      </c>
      <c r="B7512" t="s" s="2">
        <f>HYPERLINK("http://ts.21cn.com/tousu/show/id/1365119","360云盘欺诈消费")</f>
      </c>
      <c r="C7512" t="s" s="2">
        <v>15</v>
      </c>
      <c r="D7512" t="s" s="2">
        <v>16</v>
      </c>
      <c r="E7512" t="s" s="2">
        <v>17</v>
      </c>
      <c r="F7512" t="s" s="2">
        <f>HYPERLINK("http://ts.21cn.com/tousu/show/id/1365119","http://ts.21cn.com/tousu/show/id/1365119")</f>
      </c>
      <c r="G7512" t="s" s="2">
        <v>17</v>
      </c>
      <c r="H7512" t="s" s="2">
        <v>19</v>
      </c>
      <c r="I7512" t="s" s="2">
        <v>29039</v>
      </c>
      <c r="J7512" t="s" s="2">
        <v>29040</v>
      </c>
      <c r="K7512" t="s" s="2">
        <v>22</v>
      </c>
      <c r="L7512" t="s" s="2">
        <v>22</v>
      </c>
      <c r="M7512" t="s" s="2">
        <v>22</v>
      </c>
    </row>
    <row r="7513" ht="25.0" customHeight="true">
      <c r="A7513" t="s" s="2">
        <v>13</v>
      </c>
      <c r="B7513" t="s" s="2">
        <f>HYPERLINK("http://ts.21cn.com/tousu/show/id/1365117","高利贷利率")</f>
      </c>
      <c r="C7513" t="s" s="2">
        <v>15</v>
      </c>
      <c r="D7513" t="s" s="2">
        <v>16</v>
      </c>
      <c r="E7513" t="s" s="2">
        <v>17</v>
      </c>
      <c r="F7513" t="s" s="2">
        <f>HYPERLINK("http://ts.21cn.com/tousu/show/id/1365117","http://ts.21cn.com/tousu/show/id/1365117")</f>
      </c>
      <c r="G7513" t="s" s="2">
        <v>17</v>
      </c>
      <c r="H7513" t="s" s="2">
        <v>19</v>
      </c>
      <c r="I7513" t="s" s="2">
        <v>29043</v>
      </c>
      <c r="J7513" t="s" s="2">
        <v>29044</v>
      </c>
      <c r="K7513" t="s" s="2">
        <v>22</v>
      </c>
      <c r="L7513" t="s" s="2">
        <v>22</v>
      </c>
      <c r="M7513" t="s" s="2">
        <v>22</v>
      </c>
    </row>
    <row r="7514" ht="25.0" customHeight="true">
      <c r="A7514" t="s" s="2">
        <v>13</v>
      </c>
      <c r="B7514" t="s" s="2">
        <f>HYPERLINK("http://ts.21cn.com/tousu/show/id/1365116","微信，拼多多为赌博网站提供充值，结算")</f>
      </c>
      <c r="C7514" t="s" s="2">
        <v>15</v>
      </c>
      <c r="D7514" t="s" s="2">
        <v>16</v>
      </c>
      <c r="E7514" t="s" s="2">
        <v>17</v>
      </c>
      <c r="F7514" t="s" s="2">
        <f>HYPERLINK("http://ts.21cn.com/tousu/show/id/1365116","http://ts.21cn.com/tousu/show/id/1365116")</f>
      </c>
      <c r="G7514" t="s" s="2">
        <v>17</v>
      </c>
      <c r="H7514" t="s" s="2">
        <v>19</v>
      </c>
      <c r="I7514" t="s" s="2">
        <v>29047</v>
      </c>
      <c r="J7514" t="s" s="2">
        <v>29048</v>
      </c>
      <c r="K7514" t="s" s="2">
        <v>22</v>
      </c>
      <c r="L7514" t="s" s="2">
        <v>22</v>
      </c>
      <c r="M7514" t="s" s="2">
        <v>22</v>
      </c>
    </row>
    <row r="7515" ht="25.0" customHeight="true">
      <c r="A7515" t="s" s="2">
        <v>13</v>
      </c>
      <c r="B7515" t="s" s="2">
        <f>HYPERLINK("http://ts.21cn.com/tousu/show/id/1365115","豹子贷无故扣钱不需要还要扣")</f>
      </c>
      <c r="C7515" t="s" s="2">
        <v>52</v>
      </c>
      <c r="D7515" t="s" s="2">
        <v>16</v>
      </c>
      <c r="E7515" t="s" s="2">
        <v>17</v>
      </c>
      <c r="F7515" t="s" s="2">
        <f>HYPERLINK("http://ts.21cn.com/tousu/show/id/1365115","http://ts.21cn.com/tousu/show/id/1365115")</f>
      </c>
      <c r="G7515" t="s" s="2">
        <v>17</v>
      </c>
      <c r="H7515" t="s" s="2">
        <v>19</v>
      </c>
      <c r="I7515" t="s" s="2">
        <v>29050</v>
      </c>
      <c r="J7515" t="s" s="2">
        <v>29051</v>
      </c>
      <c r="K7515" t="s" s="2">
        <v>22</v>
      </c>
      <c r="L7515" t="s" s="2">
        <v>22</v>
      </c>
      <c r="M7515" t="s" s="2">
        <v>22</v>
      </c>
    </row>
    <row r="7516" ht="25.0" customHeight="true">
      <c r="A7516" t="s" s="2">
        <v>13</v>
      </c>
      <c r="B7516" t="s" s="2">
        <f>HYPERLINK("http://ts.21cn.com/tousu/show/id/1365114","富宝袋乱发信息骚扰朋友")</f>
      </c>
      <c r="C7516" t="s" s="2">
        <v>15</v>
      </c>
      <c r="D7516" t="s" s="2">
        <v>16</v>
      </c>
      <c r="E7516" t="s" s="2">
        <v>17</v>
      </c>
      <c r="F7516" t="s" s="2">
        <f>HYPERLINK("http://ts.21cn.com/tousu/show/id/1365114","http://ts.21cn.com/tousu/show/id/1365114")</f>
      </c>
      <c r="G7516" t="s" s="2">
        <v>17</v>
      </c>
      <c r="H7516" t="s" s="2">
        <v>19</v>
      </c>
      <c r="I7516" t="s" s="2">
        <v>29054</v>
      </c>
      <c r="J7516" t="s" s="2">
        <v>29055</v>
      </c>
      <c r="K7516" t="s" s="2">
        <v>22</v>
      </c>
      <c r="L7516" t="s" s="2">
        <v>22</v>
      </c>
      <c r="M7516" t="s" s="2">
        <v>22</v>
      </c>
    </row>
    <row r="7517" ht="25.0" customHeight="true">
      <c r="A7517" t="s" s="2">
        <v>13</v>
      </c>
      <c r="B7517" t="s" s="2">
        <f>HYPERLINK("http://ts.21cn.com/tousu/show/id/1365113","月光侠高利贷")</f>
      </c>
      <c r="C7517" t="s" s="2">
        <v>15</v>
      </c>
      <c r="D7517" t="s" s="2">
        <v>16</v>
      </c>
      <c r="E7517" t="s" s="2">
        <v>17</v>
      </c>
      <c r="F7517" t="s" s="2">
        <f>HYPERLINK("http://ts.21cn.com/tousu/show/id/1365113","http://ts.21cn.com/tousu/show/id/1365113")</f>
      </c>
      <c r="G7517" t="s" s="2">
        <v>17</v>
      </c>
      <c r="H7517" t="s" s="2">
        <v>19</v>
      </c>
      <c r="I7517" t="s" s="2">
        <v>29057</v>
      </c>
      <c r="J7517" t="s" s="2">
        <v>29058</v>
      </c>
      <c r="K7517" t="s" s="2">
        <v>22</v>
      </c>
      <c r="L7517" t="s" s="2">
        <v>22</v>
      </c>
      <c r="M7517" t="s" s="2">
        <v>22</v>
      </c>
    </row>
    <row r="7518" ht="25.0" customHeight="true">
      <c r="A7518" t="s" s="2">
        <v>13</v>
      </c>
      <c r="B7518" t="s" s="2">
        <f>HYPERLINK("http://ts.21cn.com/tousu/show/id/1365112","多米贷砍头息")</f>
      </c>
      <c r="C7518" t="s" s="2">
        <v>15</v>
      </c>
      <c r="D7518" t="s" s="2">
        <v>16</v>
      </c>
      <c r="E7518" t="s" s="2">
        <v>17</v>
      </c>
      <c r="F7518" t="s" s="2">
        <f>HYPERLINK("http://ts.21cn.com/tousu/show/id/1365112","http://ts.21cn.com/tousu/show/id/1365112")</f>
      </c>
      <c r="G7518" t="s" s="2">
        <v>17</v>
      </c>
      <c r="H7518" t="s" s="2">
        <v>19</v>
      </c>
      <c r="I7518" t="s" s="2">
        <v>29061</v>
      </c>
      <c r="J7518" t="s" s="2">
        <v>29062</v>
      </c>
      <c r="K7518" t="s" s="2">
        <v>22</v>
      </c>
      <c r="L7518" t="s" s="2">
        <v>22</v>
      </c>
      <c r="M7518" t="s" s="2">
        <v>22</v>
      </c>
    </row>
    <row r="7519" ht="25.0" customHeight="true">
      <c r="A7519" t="s" s="2">
        <v>13</v>
      </c>
      <c r="B7519" t="s" s="2">
        <f>HYPERLINK("http://ts.21cn.com/tousu/show/id/1365111","物流不配送")</f>
      </c>
      <c r="C7519" t="s" s="2">
        <v>52</v>
      </c>
      <c r="D7519" t="s" s="2">
        <v>16</v>
      </c>
      <c r="E7519" t="s" s="2">
        <v>17</v>
      </c>
      <c r="F7519" t="s" s="2">
        <f>HYPERLINK("http://ts.21cn.com/tousu/show/id/1365111","http://ts.21cn.com/tousu/show/id/1365111")</f>
      </c>
      <c r="G7519" t="s" s="2">
        <v>17</v>
      </c>
      <c r="H7519" t="s" s="2">
        <v>19</v>
      </c>
      <c r="I7519" t="s" s="2">
        <v>29065</v>
      </c>
      <c r="J7519" t="s" s="2">
        <v>29066</v>
      </c>
      <c r="K7519" t="s" s="2">
        <v>22</v>
      </c>
      <c r="L7519" t="s" s="2">
        <v>22</v>
      </c>
      <c r="M7519" t="s" s="2">
        <v>22</v>
      </c>
    </row>
    <row r="7520" ht="25.0" customHeight="true">
      <c r="A7520" t="s" s="2">
        <v>13</v>
      </c>
      <c r="B7520" t="s" s="2">
        <f>HYPERLINK("http://ts.21cn.com/tousu/show/id/1365110","捷信金融暴力催收")</f>
      </c>
      <c r="C7520" t="s" s="2">
        <v>15</v>
      </c>
      <c r="D7520" t="s" s="2">
        <v>16</v>
      </c>
      <c r="E7520" t="s" s="2">
        <v>17</v>
      </c>
      <c r="F7520" t="s" s="2">
        <f>HYPERLINK("http://ts.21cn.com/tousu/show/id/1365110","http://ts.21cn.com/tousu/show/id/1365110")</f>
      </c>
      <c r="G7520" t="s" s="2">
        <v>17</v>
      </c>
      <c r="H7520" t="s" s="2">
        <v>19</v>
      </c>
      <c r="I7520" t="s" s="2">
        <v>29069</v>
      </c>
      <c r="J7520" t="s" s="2">
        <v>29070</v>
      </c>
      <c r="K7520" t="s" s="2">
        <v>22</v>
      </c>
      <c r="L7520" t="s" s="2">
        <v>22</v>
      </c>
      <c r="M7520" t="s" s="2">
        <v>22</v>
      </c>
    </row>
    <row r="7521" ht="25.0" customHeight="true">
      <c r="A7521" t="s" s="2">
        <v>13</v>
      </c>
      <c r="B7521" t="s" s="2">
        <f>HYPERLINK("http://ts.21cn.com/tousu/show/id/1365109","利息严重超标，停止骚扰，还本销账")</f>
      </c>
      <c r="C7521" t="s" s="2">
        <v>15</v>
      </c>
      <c r="D7521" t="s" s="2">
        <v>16</v>
      </c>
      <c r="E7521" t="s" s="2">
        <v>17</v>
      </c>
      <c r="F7521" t="s" s="2">
        <f>HYPERLINK("http://ts.21cn.com/tousu/show/id/1365109","http://ts.21cn.com/tousu/show/id/1365109")</f>
      </c>
      <c r="G7521" t="s" s="2">
        <v>17</v>
      </c>
      <c r="H7521" t="s" s="2">
        <v>19</v>
      </c>
      <c r="I7521" t="s" s="2">
        <v>29073</v>
      </c>
      <c r="J7521" t="s" s="2">
        <v>29074</v>
      </c>
      <c r="K7521" t="s" s="2">
        <v>22</v>
      </c>
      <c r="L7521" t="s" s="2">
        <v>22</v>
      </c>
      <c r="M7521" t="s" s="2">
        <v>22</v>
      </c>
    </row>
    <row r="7522" ht="25.0" customHeight="true">
      <c r="A7522" t="s" s="2">
        <v>13</v>
      </c>
      <c r="B7522" t="s" s="2">
        <f>HYPERLINK("http://ts.21cn.com/tousu/show/id/1365108","拼多多商户涉嫌为博彩黑平台收款")</f>
      </c>
      <c r="C7522" t="s" s="2">
        <v>15</v>
      </c>
      <c r="D7522" t="s" s="2">
        <v>16</v>
      </c>
      <c r="E7522" t="s" s="2">
        <v>17</v>
      </c>
      <c r="F7522" t="s" s="2">
        <f>HYPERLINK("http://ts.21cn.com/tousu/show/id/1365108","http://ts.21cn.com/tousu/show/id/1365108")</f>
      </c>
      <c r="G7522" t="s" s="2">
        <v>17</v>
      </c>
      <c r="H7522" t="s" s="2">
        <v>19</v>
      </c>
      <c r="I7522" t="s" s="2">
        <v>29076</v>
      </c>
      <c r="J7522" t="s" s="2">
        <v>29077</v>
      </c>
      <c r="K7522" t="s" s="2">
        <v>22</v>
      </c>
      <c r="L7522" t="s" s="2">
        <v>22</v>
      </c>
      <c r="M7522" t="s" s="2">
        <v>22</v>
      </c>
    </row>
    <row r="7523" ht="25.0" customHeight="true">
      <c r="A7523" t="s" s="2">
        <v>13</v>
      </c>
      <c r="B7523" t="s" s="2">
        <f>HYPERLINK("http://ts.21cn.com/tousu/show/id/1365107","我来贷想提前结清并减免一些")</f>
      </c>
      <c r="C7523" t="s" s="2">
        <v>52</v>
      </c>
      <c r="D7523" t="s" s="2">
        <v>16</v>
      </c>
      <c r="E7523" t="s" s="2">
        <v>17</v>
      </c>
      <c r="F7523" t="s" s="2">
        <f>HYPERLINK("http://ts.21cn.com/tousu/show/id/1365107","http://ts.21cn.com/tousu/show/id/1365107")</f>
      </c>
      <c r="G7523" t="s" s="2">
        <v>17</v>
      </c>
      <c r="H7523" t="s" s="2">
        <v>19</v>
      </c>
      <c r="I7523" t="s" s="2">
        <v>29080</v>
      </c>
      <c r="J7523" t="s" s="2">
        <v>29081</v>
      </c>
      <c r="K7523" t="s" s="2">
        <v>22</v>
      </c>
      <c r="L7523" t="s" s="2">
        <v>22</v>
      </c>
      <c r="M7523" t="s" s="2">
        <v>22</v>
      </c>
    </row>
    <row r="7524" ht="25.0" customHeight="true">
      <c r="A7524" t="s" s="2">
        <v>13</v>
      </c>
      <c r="B7524" t="s" s="2">
        <f>HYPERLINK("http://ts.21cn.com/tousu/show/id/1365106","瀚银违法违规")</f>
      </c>
      <c r="C7524" t="s" s="2">
        <v>15</v>
      </c>
      <c r="D7524" t="s" s="2">
        <v>16</v>
      </c>
      <c r="E7524" t="s" s="2">
        <v>17</v>
      </c>
      <c r="F7524" t="s" s="2">
        <f>HYPERLINK("http://ts.21cn.com/tousu/show/id/1365106","http://ts.21cn.com/tousu/show/id/1365106")</f>
      </c>
      <c r="G7524" t="s" s="2">
        <v>17</v>
      </c>
      <c r="H7524" t="s" s="2">
        <v>19</v>
      </c>
      <c r="I7524" t="s" s="2">
        <v>29084</v>
      </c>
      <c r="J7524" t="s" s="2">
        <v>29085</v>
      </c>
      <c r="K7524" t="s" s="2">
        <v>22</v>
      </c>
      <c r="L7524" t="s" s="2">
        <v>22</v>
      </c>
      <c r="M7524" t="s" s="2">
        <v>22</v>
      </c>
    </row>
    <row r="7525" ht="25.0" customHeight="true">
      <c r="A7525" t="s" s="2">
        <v>13</v>
      </c>
      <c r="B7525" t="s" s="2">
        <f>HYPERLINK("http://ts.21cn.com/tousu/show/id/1365105","公司倒闭，无法获取合同，利息太高，要求减免")</f>
      </c>
      <c r="C7525" t="s" s="2">
        <v>15</v>
      </c>
      <c r="D7525" t="s" s="2">
        <v>16</v>
      </c>
      <c r="E7525" t="s" s="2">
        <v>17</v>
      </c>
      <c r="F7525" t="s" s="2">
        <f>HYPERLINK("http://ts.21cn.com/tousu/show/id/1365105","http://ts.21cn.com/tousu/show/id/1365105")</f>
      </c>
      <c r="G7525" t="s" s="2">
        <v>17</v>
      </c>
      <c r="H7525" t="s" s="2">
        <v>19</v>
      </c>
      <c r="I7525" t="s" s="2">
        <v>29088</v>
      </c>
      <c r="J7525" t="s" s="2">
        <v>29089</v>
      </c>
      <c r="K7525" t="s" s="2">
        <v>22</v>
      </c>
      <c r="L7525" t="s" s="2">
        <v>22</v>
      </c>
      <c r="M7525" t="s" s="2">
        <v>22</v>
      </c>
    </row>
    <row r="7526" ht="25.0" customHeight="true">
      <c r="A7526" t="s" s="2">
        <v>13</v>
      </c>
      <c r="B7526" t="s" s="2">
        <f>HYPERLINK("http://ts.21cn.com/tousu/show/id/1365104","钱橙无忧随意扣费")</f>
      </c>
      <c r="C7526" t="s" s="2">
        <v>52</v>
      </c>
      <c r="D7526" t="s" s="2">
        <v>16</v>
      </c>
      <c r="E7526" t="s" s="2">
        <v>17</v>
      </c>
      <c r="F7526" t="s" s="2">
        <f>HYPERLINK("http://ts.21cn.com/tousu/show/id/1365104","http://ts.21cn.com/tousu/show/id/1365104")</f>
      </c>
      <c r="G7526" t="s" s="2">
        <v>17</v>
      </c>
      <c r="H7526" t="s" s="2">
        <v>19</v>
      </c>
      <c r="I7526" t="s" s="2">
        <v>29091</v>
      </c>
      <c r="J7526" t="s" s="2">
        <v>29092</v>
      </c>
      <c r="K7526" t="s" s="2">
        <v>22</v>
      </c>
      <c r="L7526" t="s" s="2">
        <v>22</v>
      </c>
      <c r="M7526" t="s" s="2">
        <v>22</v>
      </c>
    </row>
    <row r="7527" ht="25.0" customHeight="true">
      <c r="A7527" t="s" s="2">
        <v>13</v>
      </c>
      <c r="B7527" t="s" s="2">
        <f>HYPERLINK("http://ts.21cn.com/tousu/show/id/1365103","合同到账1330实际到账1000")</f>
      </c>
      <c r="C7527" t="s" s="2">
        <v>15</v>
      </c>
      <c r="D7527" t="s" s="2">
        <v>16</v>
      </c>
      <c r="E7527" t="s" s="2">
        <v>17</v>
      </c>
      <c r="F7527" t="s" s="2">
        <f>HYPERLINK("http://ts.21cn.com/tousu/show/id/1365103","http://ts.21cn.com/tousu/show/id/1365103")</f>
      </c>
      <c r="G7527" t="s" s="2">
        <v>17</v>
      </c>
      <c r="H7527" t="s" s="2">
        <v>19</v>
      </c>
      <c r="I7527" t="s" s="2">
        <v>29095</v>
      </c>
      <c r="J7527" t="s" s="2">
        <v>29096</v>
      </c>
      <c r="K7527" t="s" s="2">
        <v>22</v>
      </c>
      <c r="L7527" t="s" s="2">
        <v>22</v>
      </c>
      <c r="M7527" t="s" s="2">
        <v>22</v>
      </c>
    </row>
    <row r="7528" ht="25.0" customHeight="true">
      <c r="A7528" t="s" s="2">
        <v>13</v>
      </c>
      <c r="B7528" t="s" s="2">
        <f>HYPERLINK("http://ts.21cn.com/tousu/show/id/1365102","阴阳合同，超利贷")</f>
      </c>
      <c r="C7528" t="s" s="2">
        <v>15</v>
      </c>
      <c r="D7528" t="s" s="2">
        <v>16</v>
      </c>
      <c r="E7528" t="s" s="2">
        <v>17</v>
      </c>
      <c r="F7528" t="s" s="2">
        <f>HYPERLINK("http://ts.21cn.com/tousu/show/id/1365102","http://ts.21cn.com/tousu/show/id/1365102")</f>
      </c>
      <c r="G7528" t="s" s="2">
        <v>17</v>
      </c>
      <c r="H7528" t="s" s="2">
        <v>19</v>
      </c>
      <c r="I7528" t="s" s="2">
        <v>29099</v>
      </c>
      <c r="J7528" t="s" s="2">
        <v>29100</v>
      </c>
      <c r="K7528" t="s" s="2">
        <v>22</v>
      </c>
      <c r="L7528" t="s" s="2">
        <v>22</v>
      </c>
      <c r="M7528" t="s" s="2">
        <v>22</v>
      </c>
    </row>
    <row r="7529" ht="25.0" customHeight="true">
      <c r="A7529" t="s" s="2">
        <v>13</v>
      </c>
      <c r="B7529" t="s" s="2">
        <f>HYPERLINK("http://ts.21cn.com/tousu/show/id/1365101","高利贷")</f>
      </c>
      <c r="C7529" t="s" s="2">
        <v>15</v>
      </c>
      <c r="D7529" t="s" s="2">
        <v>16</v>
      </c>
      <c r="E7529" t="s" s="2">
        <v>17</v>
      </c>
      <c r="F7529" t="s" s="2">
        <f>HYPERLINK("http://ts.21cn.com/tousu/show/id/1365101","http://ts.21cn.com/tousu/show/id/1365101")</f>
      </c>
      <c r="G7529" t="s" s="2">
        <v>17</v>
      </c>
      <c r="H7529" t="s" s="2">
        <v>19</v>
      </c>
      <c r="I7529" t="s" s="2">
        <v>29102</v>
      </c>
      <c r="J7529" t="s" s="2">
        <v>29103</v>
      </c>
      <c r="K7529" t="s" s="2">
        <v>22</v>
      </c>
      <c r="L7529" t="s" s="2">
        <v>22</v>
      </c>
      <c r="M7529" t="s" s="2">
        <v>22</v>
      </c>
    </row>
    <row r="7530" ht="25.0" customHeight="true">
      <c r="A7530" t="s" s="2">
        <v>13</v>
      </c>
      <c r="B7530" t="s" s="2">
        <f>HYPERLINK("http://ts.21cn.com/tousu/show/id/1365100","钱站高利贷阴阳合同收取高额利息")</f>
      </c>
      <c r="C7530" t="s" s="2">
        <v>15</v>
      </c>
      <c r="D7530" t="s" s="2">
        <v>16</v>
      </c>
      <c r="E7530" t="s" s="2">
        <v>17</v>
      </c>
      <c r="F7530" t="s" s="2">
        <f>HYPERLINK("http://ts.21cn.com/tousu/show/id/1365100","http://ts.21cn.com/tousu/show/id/1365100")</f>
      </c>
      <c r="G7530" t="s" s="2">
        <v>17</v>
      </c>
      <c r="H7530" t="s" s="2">
        <v>19</v>
      </c>
      <c r="I7530" t="s" s="2">
        <v>29106</v>
      </c>
      <c r="J7530" t="s" s="2">
        <v>29107</v>
      </c>
      <c r="K7530" t="s" s="2">
        <v>22</v>
      </c>
      <c r="L7530" t="s" s="2">
        <v>22</v>
      </c>
      <c r="M7530" t="s" s="2">
        <v>22</v>
      </c>
    </row>
    <row r="7531" ht="25.0" customHeight="true">
      <c r="A7531" t="s" s="2">
        <v>13</v>
      </c>
      <c r="B7531" t="s" s="2">
        <f>HYPERLINK("http://ts.21cn.com/tousu/show/id/1365099","想提前结清要求协商")</f>
      </c>
      <c r="C7531" t="s" s="2">
        <v>52</v>
      </c>
      <c r="D7531" t="s" s="2">
        <v>16</v>
      </c>
      <c r="E7531" t="s" s="2">
        <v>17</v>
      </c>
      <c r="F7531" t="s" s="2">
        <f>HYPERLINK("http://ts.21cn.com/tousu/show/id/1365099","http://ts.21cn.com/tousu/show/id/1365099")</f>
      </c>
      <c r="G7531" t="s" s="2">
        <v>17</v>
      </c>
      <c r="H7531" t="s" s="2">
        <v>19</v>
      </c>
      <c r="I7531" t="s" s="2">
        <v>29110</v>
      </c>
      <c r="J7531" t="s" s="2">
        <v>29111</v>
      </c>
      <c r="K7531" t="s" s="2">
        <v>22</v>
      </c>
      <c r="L7531" t="s" s="2">
        <v>22</v>
      </c>
      <c r="M7531" t="s" s="2">
        <v>22</v>
      </c>
    </row>
    <row r="7532" ht="25.0" customHeight="true">
      <c r="A7532" t="s" s="2">
        <v>13</v>
      </c>
      <c r="B7532" t="s" s="2">
        <f>HYPERLINK("http://ts.21cn.com/tousu/show/id/1365098","淘宝和支付宝对个人支付宝止付，冻结合法钱财")</f>
      </c>
      <c r="C7532" t="s" s="2">
        <v>15</v>
      </c>
      <c r="D7532" t="s" s="2">
        <v>16</v>
      </c>
      <c r="E7532" t="s" s="2">
        <v>17</v>
      </c>
      <c r="F7532" t="s" s="2">
        <f>HYPERLINK("http://ts.21cn.com/tousu/show/id/1365098","http://ts.21cn.com/tousu/show/id/1365098")</f>
      </c>
      <c r="G7532" t="s" s="2">
        <v>17</v>
      </c>
      <c r="H7532" t="s" s="2">
        <v>19</v>
      </c>
      <c r="I7532" t="s" s="2">
        <v>29114</v>
      </c>
      <c r="J7532" t="s" s="2">
        <v>29115</v>
      </c>
      <c r="K7532" t="s" s="2">
        <v>22</v>
      </c>
      <c r="L7532" t="s" s="2">
        <v>22</v>
      </c>
      <c r="M7532" t="s" s="2">
        <v>22</v>
      </c>
    </row>
    <row r="7533" ht="25.0" customHeight="true">
      <c r="A7533" t="s" s="2">
        <v>13</v>
      </c>
      <c r="B7533" t="s" s="2">
        <f>HYPERLINK("http://ts.21cn.com/tousu/show/id/1365095","交易猫没有客服仲裁")</f>
      </c>
      <c r="C7533" t="s" s="2">
        <v>15</v>
      </c>
      <c r="D7533" t="s" s="2">
        <v>16</v>
      </c>
      <c r="E7533" t="s" s="2">
        <v>17</v>
      </c>
      <c r="F7533" t="s" s="2">
        <f>HYPERLINK("http://ts.21cn.com/tousu/show/id/1365095","http://ts.21cn.com/tousu/show/id/1365095")</f>
      </c>
      <c r="G7533" t="s" s="2">
        <v>17</v>
      </c>
      <c r="H7533" t="s" s="2">
        <v>19</v>
      </c>
      <c r="I7533" t="s" s="2">
        <v>29118</v>
      </c>
      <c r="J7533" t="s" s="2">
        <v>29119</v>
      </c>
      <c r="K7533" t="s" s="2">
        <v>22</v>
      </c>
      <c r="L7533" t="s" s="2">
        <v>22</v>
      </c>
      <c r="M7533" t="s" s="2">
        <v>22</v>
      </c>
    </row>
    <row r="7534" ht="25.0" customHeight="true">
      <c r="A7534" t="s" s="2">
        <v>13</v>
      </c>
      <c r="B7534" t="s" s="2">
        <f>HYPERLINK("http://ts.21cn.com/tousu/show/id/1365094","协商还款不同意")</f>
      </c>
      <c r="C7534" t="s" s="2">
        <v>15</v>
      </c>
      <c r="D7534" t="s" s="2">
        <v>16</v>
      </c>
      <c r="E7534" t="s" s="2">
        <v>17</v>
      </c>
      <c r="F7534" t="s" s="2">
        <f>HYPERLINK("http://ts.21cn.com/tousu/show/id/1365094","http://ts.21cn.com/tousu/show/id/1365094")</f>
      </c>
      <c r="G7534" t="s" s="2">
        <v>17</v>
      </c>
      <c r="H7534" t="s" s="2">
        <v>19</v>
      </c>
      <c r="I7534" t="s" s="2">
        <v>29122</v>
      </c>
      <c r="J7534" t="s" s="2">
        <v>29123</v>
      </c>
      <c r="K7534" t="s" s="2">
        <v>22</v>
      </c>
      <c r="L7534" t="s" s="2">
        <v>22</v>
      </c>
      <c r="M7534" t="s" s="2">
        <v>22</v>
      </c>
    </row>
    <row r="7535" ht="25.0" customHeight="true">
      <c r="A7535" t="s" s="2">
        <v>13</v>
      </c>
      <c r="B7535" t="s" s="2">
        <f>HYPERLINK("http://ts.21cn.com/tousu/show/id/1365093","美团众包恶意少到账不给处理")</f>
      </c>
      <c r="C7535" t="s" s="2">
        <v>15</v>
      </c>
      <c r="D7535" t="s" s="2">
        <v>16</v>
      </c>
      <c r="E7535" t="s" s="2">
        <v>17</v>
      </c>
      <c r="F7535" t="s" s="2">
        <f>HYPERLINK("http://ts.21cn.com/tousu/show/id/1365093","http://ts.21cn.com/tousu/show/id/1365093")</f>
      </c>
      <c r="G7535" t="s" s="2">
        <v>17</v>
      </c>
      <c r="H7535" t="s" s="2">
        <v>19</v>
      </c>
      <c r="I7535" t="s" s="2">
        <v>29126</v>
      </c>
      <c r="J7535" t="s" s="2">
        <v>29127</v>
      </c>
      <c r="K7535" t="s" s="2">
        <v>22</v>
      </c>
      <c r="L7535" t="s" s="2">
        <v>22</v>
      </c>
      <c r="M7535" t="s" s="2">
        <v>22</v>
      </c>
    </row>
    <row r="7536" ht="25.0" customHeight="true">
      <c r="A7536" t="s" s="2">
        <v>13</v>
      </c>
      <c r="B7536" t="s" s="2">
        <f>HYPERLINK("http://ts.21cn.com/tousu/show/id/1365089","拍拍贷暴力催收")</f>
      </c>
      <c r="C7536" t="s" s="2">
        <v>15</v>
      </c>
      <c r="D7536" t="s" s="2">
        <v>16</v>
      </c>
      <c r="E7536" t="s" s="2">
        <v>17</v>
      </c>
      <c r="F7536" t="s" s="2">
        <f>HYPERLINK("http://ts.21cn.com/tousu/show/id/1365089","http://ts.21cn.com/tousu/show/id/1365089")</f>
      </c>
      <c r="G7536" t="s" s="2">
        <v>17</v>
      </c>
      <c r="H7536" t="s" s="2">
        <v>19</v>
      </c>
      <c r="I7536" t="s" s="2">
        <v>29129</v>
      </c>
      <c r="J7536" t="s" s="2">
        <v>29130</v>
      </c>
      <c r="K7536" t="s" s="2">
        <v>22</v>
      </c>
      <c r="L7536" t="s" s="2">
        <v>22</v>
      </c>
      <c r="M7536" t="s" s="2">
        <v>22</v>
      </c>
    </row>
    <row r="7537" ht="25.0" customHeight="true">
      <c r="A7537" t="s" s="2">
        <v>13</v>
      </c>
      <c r="B7537" t="s" s="2">
        <f>HYPERLINK("http://ts.21cn.com/tousu/show/id/1365088","买的广东振兴路公司手机是假的，退不了货")</f>
      </c>
      <c r="C7537" t="s" s="2">
        <v>52</v>
      </c>
      <c r="D7537" t="s" s="2">
        <v>16</v>
      </c>
      <c r="E7537" t="s" s="2">
        <v>17</v>
      </c>
      <c r="F7537" t="s" s="2">
        <f>HYPERLINK("http://ts.21cn.com/tousu/show/id/1365088","http://ts.21cn.com/tousu/show/id/1365088")</f>
      </c>
      <c r="G7537" t="s" s="2">
        <v>17</v>
      </c>
      <c r="H7537" t="s" s="2">
        <v>19</v>
      </c>
      <c r="I7537" t="s" s="2">
        <v>29133</v>
      </c>
      <c r="J7537" t="s" s="2">
        <v>29134</v>
      </c>
      <c r="K7537" t="s" s="2">
        <v>22</v>
      </c>
      <c r="L7537" t="s" s="2">
        <v>22</v>
      </c>
      <c r="M7537" t="s" s="2">
        <v>22</v>
      </c>
    </row>
    <row r="7538" ht="25.0" customHeight="true">
      <c r="A7538" t="s" s="2">
        <v>13</v>
      </c>
      <c r="B7538" t="s" s="2">
        <f>HYPERLINK("http://ts.21cn.com/tousu/show/id/1365085","连连支付为套路贷提供支付平台")</f>
      </c>
      <c r="C7538" t="s" s="2">
        <v>15</v>
      </c>
      <c r="D7538" t="s" s="2">
        <v>16</v>
      </c>
      <c r="E7538" t="s" s="2">
        <v>17</v>
      </c>
      <c r="F7538" t="s" s="2">
        <f>HYPERLINK("http://ts.21cn.com/tousu/show/id/1365085","http://ts.21cn.com/tousu/show/id/1365085")</f>
      </c>
      <c r="G7538" t="s" s="2">
        <v>17</v>
      </c>
      <c r="H7538" t="s" s="2">
        <v>19</v>
      </c>
      <c r="I7538" t="s" s="2">
        <v>29137</v>
      </c>
      <c r="J7538" t="s" s="2">
        <v>29138</v>
      </c>
      <c r="K7538" t="s" s="2">
        <v>22</v>
      </c>
      <c r="L7538" t="s" s="2">
        <v>22</v>
      </c>
      <c r="M7538" t="s" s="2">
        <v>22</v>
      </c>
    </row>
    <row r="7539" ht="25.0" customHeight="true">
      <c r="A7539" t="s" s="2">
        <v>13</v>
      </c>
      <c r="B7539" t="s" s="2">
        <f>HYPERLINK("http://ts.21cn.com/tousu/show/id/1365084","平安银行派人去我父亲单位大吵大闹")</f>
      </c>
      <c r="C7539" t="s" s="2">
        <v>15</v>
      </c>
      <c r="D7539" t="s" s="2">
        <v>16</v>
      </c>
      <c r="E7539" t="s" s="2">
        <v>17</v>
      </c>
      <c r="F7539" t="s" s="2">
        <f>HYPERLINK("http://ts.21cn.com/tousu/show/id/1365084","http://ts.21cn.com/tousu/show/id/1365084")</f>
      </c>
      <c r="G7539" t="s" s="2">
        <v>17</v>
      </c>
      <c r="H7539" t="s" s="2">
        <v>19</v>
      </c>
      <c r="I7539" t="s" s="2">
        <v>29141</v>
      </c>
      <c r="J7539" t="s" s="2">
        <v>29142</v>
      </c>
      <c r="K7539" t="s" s="2">
        <v>22</v>
      </c>
      <c r="L7539" t="s" s="2">
        <v>22</v>
      </c>
      <c r="M7539" t="s" s="2">
        <v>22</v>
      </c>
    </row>
    <row r="7540" ht="25.0" customHeight="true">
      <c r="A7540" t="s" s="2">
        <v>13</v>
      </c>
      <c r="B7540" t="s" s="2">
        <f>HYPERLINK("http://ts.21cn.com/tousu/show/id/1365083","360借条取消霸道合同")</f>
      </c>
      <c r="C7540" t="s" s="2">
        <v>52</v>
      </c>
      <c r="D7540" t="s" s="2">
        <v>16</v>
      </c>
      <c r="E7540" t="s" s="2">
        <v>17</v>
      </c>
      <c r="F7540" t="s" s="2">
        <f>HYPERLINK("http://ts.21cn.com/tousu/show/id/1365083","http://ts.21cn.com/tousu/show/id/1365083")</f>
      </c>
      <c r="G7540" t="s" s="2">
        <v>17</v>
      </c>
      <c r="H7540" t="s" s="2">
        <v>19</v>
      </c>
      <c r="I7540" t="s" s="2">
        <v>29145</v>
      </c>
      <c r="J7540" t="s" s="2">
        <v>29146</v>
      </c>
      <c r="K7540" t="s" s="2">
        <v>22</v>
      </c>
      <c r="L7540" t="s" s="2">
        <v>22</v>
      </c>
      <c r="M7540" t="s" s="2">
        <v>22</v>
      </c>
    </row>
    <row r="7541" ht="25.0" customHeight="true">
      <c r="A7541" t="s" s="2">
        <v>13</v>
      </c>
      <c r="B7541" t="s" s="2">
        <f>HYPERLINK("http://ts.21cn.com/tousu/show/id/1365082","我已还款为什么还逾期了")</f>
      </c>
      <c r="C7541" t="s" s="2">
        <v>15</v>
      </c>
      <c r="D7541" t="s" s="2">
        <v>16</v>
      </c>
      <c r="E7541" t="s" s="2">
        <v>17</v>
      </c>
      <c r="F7541" t="s" s="2">
        <f>HYPERLINK("http://ts.21cn.com/tousu/show/id/1365082","http://ts.21cn.com/tousu/show/id/1365082")</f>
      </c>
      <c r="G7541" t="s" s="2">
        <v>17</v>
      </c>
      <c r="H7541" t="s" s="2">
        <v>19</v>
      </c>
      <c r="I7541" t="s" s="2">
        <v>29149</v>
      </c>
      <c r="J7541" t="s" s="2">
        <v>29150</v>
      </c>
      <c r="K7541" t="s" s="2">
        <v>22</v>
      </c>
      <c r="L7541" t="s" s="2">
        <v>22</v>
      </c>
      <c r="M7541" t="s" s="2">
        <v>22</v>
      </c>
    </row>
    <row r="7542" ht="25.0" customHeight="true">
      <c r="A7542" t="s" s="2">
        <v>13</v>
      </c>
      <c r="B7542" t="s" s="2">
        <f>HYPERLINK("http://ts.21cn.com/tousu/show/id/1365081","钱橙无忧乱扣我银行卡里的钱")</f>
      </c>
      <c r="C7542" t="s" s="2">
        <v>15</v>
      </c>
      <c r="D7542" t="s" s="2">
        <v>16</v>
      </c>
      <c r="E7542" t="s" s="2">
        <v>17</v>
      </c>
      <c r="F7542" t="s" s="2">
        <f>HYPERLINK("http://ts.21cn.com/tousu/show/id/1365081","http://ts.21cn.com/tousu/show/id/1365081")</f>
      </c>
      <c r="G7542" t="s" s="2">
        <v>17</v>
      </c>
      <c r="H7542" t="s" s="2">
        <v>19</v>
      </c>
      <c r="I7542" t="s" s="2">
        <v>29153</v>
      </c>
      <c r="J7542" t="s" s="2">
        <v>29154</v>
      </c>
      <c r="K7542" t="s" s="2">
        <v>22</v>
      </c>
      <c r="L7542" t="s" s="2">
        <v>22</v>
      </c>
      <c r="M7542" t="s" s="2">
        <v>22</v>
      </c>
    </row>
    <row r="7543" ht="25.0" customHeight="true">
      <c r="A7543" t="s" s="2">
        <v>13</v>
      </c>
      <c r="B7543" t="s" s="2">
        <f>HYPERLINK("http://ts.21cn.com/tousu/show/id/1365080","还没有逾期就被无数电话短信骚扰")</f>
      </c>
      <c r="C7543" t="s" s="2">
        <v>15</v>
      </c>
      <c r="D7543" t="s" s="2">
        <v>16</v>
      </c>
      <c r="E7543" t="s" s="2">
        <v>17</v>
      </c>
      <c r="F7543" t="s" s="2">
        <f>HYPERLINK("http://ts.21cn.com/tousu/show/id/1365080","http://ts.21cn.com/tousu/show/id/1365080")</f>
      </c>
      <c r="G7543" t="s" s="2">
        <v>17</v>
      </c>
      <c r="H7543" t="s" s="2">
        <v>19</v>
      </c>
      <c r="I7543" t="s" s="2">
        <v>29157</v>
      </c>
      <c r="J7543" t="s" s="2">
        <v>29158</v>
      </c>
      <c r="K7543" t="s" s="2">
        <v>22</v>
      </c>
      <c r="L7543" t="s" s="2">
        <v>22</v>
      </c>
      <c r="M7543" t="s" s="2">
        <v>22</v>
      </c>
    </row>
    <row r="7544" ht="25.0" customHeight="true">
      <c r="A7544" t="s" s="2">
        <v>13</v>
      </c>
      <c r="B7544" t="s" s="2">
        <f>HYPERLINK("http://ts.21cn.com/tousu/show/id/1365079","买单侠暴力催收")</f>
      </c>
      <c r="C7544" t="s" s="2">
        <v>15</v>
      </c>
      <c r="D7544" t="s" s="2">
        <v>16</v>
      </c>
      <c r="E7544" t="s" s="2">
        <v>17</v>
      </c>
      <c r="F7544" t="s" s="2">
        <f>HYPERLINK("http://ts.21cn.com/tousu/show/id/1365079","http://ts.21cn.com/tousu/show/id/1365079")</f>
      </c>
      <c r="G7544" t="s" s="2">
        <v>17</v>
      </c>
      <c r="H7544" t="s" s="2">
        <v>19</v>
      </c>
      <c r="I7544" t="s" s="2">
        <v>29160</v>
      </c>
      <c r="J7544" t="s" s="2">
        <v>29161</v>
      </c>
      <c r="K7544" t="s" s="2">
        <v>22</v>
      </c>
      <c r="L7544" t="s" s="2">
        <v>22</v>
      </c>
      <c r="M7544" t="s" s="2">
        <v>22</v>
      </c>
    </row>
    <row r="7545" ht="25.0" customHeight="true">
      <c r="A7545" t="s" s="2">
        <v>13</v>
      </c>
      <c r="B7545" t="s" s="2">
        <f>HYPERLINK("http://ts.21cn.com/tousu/show/id/1365078","合同欺诈，私自扣款")</f>
      </c>
      <c r="C7545" t="s" s="2">
        <v>15</v>
      </c>
      <c r="D7545" t="s" s="2">
        <v>16</v>
      </c>
      <c r="E7545" t="s" s="2">
        <v>17</v>
      </c>
      <c r="F7545" t="s" s="2">
        <f>HYPERLINK("http://ts.21cn.com/tousu/show/id/1365078","http://ts.21cn.com/tousu/show/id/1365078")</f>
      </c>
      <c r="G7545" t="s" s="2">
        <v>17</v>
      </c>
      <c r="H7545" t="s" s="2">
        <v>19</v>
      </c>
      <c r="I7545" t="s" s="2">
        <v>29163</v>
      </c>
      <c r="J7545" t="s" s="2">
        <v>29164</v>
      </c>
      <c r="K7545" t="s" s="2">
        <v>22</v>
      </c>
      <c r="L7545" t="s" s="2">
        <v>22</v>
      </c>
      <c r="M7545" t="s" s="2">
        <v>22</v>
      </c>
    </row>
    <row r="7546" ht="25.0" customHeight="true">
      <c r="A7546" t="s" s="2">
        <v>13</v>
      </c>
      <c r="B7546" t="s" s="2">
        <f>HYPERLINK("http://ts.21cn.com/tousu/show/id/1365077","高利贷骚扰家人")</f>
      </c>
      <c r="C7546" t="s" s="2">
        <v>15</v>
      </c>
      <c r="D7546" t="s" s="2">
        <v>16</v>
      </c>
      <c r="E7546" t="s" s="2">
        <v>17</v>
      </c>
      <c r="F7546" t="s" s="2">
        <f>HYPERLINK("http://ts.21cn.com/tousu/show/id/1365077","http://ts.21cn.com/tousu/show/id/1365077")</f>
      </c>
      <c r="G7546" t="s" s="2">
        <v>17</v>
      </c>
      <c r="H7546" t="s" s="2">
        <v>19</v>
      </c>
      <c r="I7546" t="s" s="2">
        <v>29167</v>
      </c>
      <c r="J7546" t="s" s="2">
        <v>29168</v>
      </c>
      <c r="K7546" t="s" s="2">
        <v>22</v>
      </c>
      <c r="L7546" t="s" s="2">
        <v>22</v>
      </c>
      <c r="M7546" t="s" s="2">
        <v>22</v>
      </c>
    </row>
    <row r="7547" ht="25.0" customHeight="true">
      <c r="A7547" t="s" s="2">
        <v>13</v>
      </c>
      <c r="B7547" t="s" s="2">
        <f>HYPERLINK("http://ts.21cn.com/tousu/show/id/1364741","拼多多漏洞诱导链接扣款")</f>
      </c>
      <c r="C7547" t="s" s="2">
        <v>15</v>
      </c>
      <c r="D7547" t="s" s="2">
        <v>16</v>
      </c>
      <c r="E7547" t="s" s="2">
        <v>17</v>
      </c>
      <c r="F7547" t="s" s="2">
        <f>HYPERLINK("http://ts.21cn.com/tousu/show/id/1364741","http://ts.21cn.com/tousu/show/id/1364741")</f>
      </c>
      <c r="G7547" t="s" s="2">
        <v>17</v>
      </c>
      <c r="H7547" t="s" s="2">
        <v>19</v>
      </c>
      <c r="I7547" t="s" s="2">
        <v>29171</v>
      </c>
      <c r="J7547" t="s" s="2">
        <v>29172</v>
      </c>
      <c r="K7547" t="s" s="2">
        <v>22</v>
      </c>
      <c r="L7547" t="s" s="2">
        <v>22</v>
      </c>
      <c r="M7547" t="s" s="2">
        <v>22</v>
      </c>
    </row>
    <row r="7548" ht="25.0" customHeight="true">
      <c r="A7548" t="s" s="2">
        <v>13</v>
      </c>
      <c r="B7548" t="s" s="2">
        <f>HYPERLINK("http://ts.21cn.com/tousu/show/id/1365076","协商延期还款")</f>
      </c>
      <c r="C7548" t="s" s="2">
        <v>15</v>
      </c>
      <c r="D7548" t="s" s="2">
        <v>16</v>
      </c>
      <c r="E7548" t="s" s="2">
        <v>17</v>
      </c>
      <c r="F7548" t="s" s="2">
        <f>HYPERLINK("http://ts.21cn.com/tousu/show/id/1365076","http://ts.21cn.com/tousu/show/id/1365076")</f>
      </c>
      <c r="G7548" t="s" s="2">
        <v>17</v>
      </c>
      <c r="H7548" t="s" s="2">
        <v>19</v>
      </c>
      <c r="I7548" t="s" s="2">
        <v>29174</v>
      </c>
      <c r="J7548" t="s" s="2">
        <v>29175</v>
      </c>
      <c r="K7548" t="s" s="2">
        <v>22</v>
      </c>
      <c r="L7548" t="s" s="2">
        <v>22</v>
      </c>
      <c r="M7548" t="s" s="2">
        <v>22</v>
      </c>
    </row>
    <row r="7549" ht="25.0" customHeight="true">
      <c r="A7549" t="s" s="2">
        <v>13</v>
      </c>
      <c r="B7549" t="s" s="2">
        <f>HYPERLINK("http://ts.21cn.com/tousu/show/id/1365075","拿钱花呗未经本人同意随意扣款")</f>
      </c>
      <c r="C7549" t="s" s="2">
        <v>15</v>
      </c>
      <c r="D7549" t="s" s="2">
        <v>16</v>
      </c>
      <c r="E7549" t="s" s="2">
        <v>17</v>
      </c>
      <c r="F7549" t="s" s="2">
        <f>HYPERLINK("http://ts.21cn.com/tousu/show/id/1365075","http://ts.21cn.com/tousu/show/id/1365075")</f>
      </c>
      <c r="G7549" t="s" s="2">
        <v>17</v>
      </c>
      <c r="H7549" t="s" s="2">
        <v>19</v>
      </c>
      <c r="I7549" t="s" s="2">
        <v>29178</v>
      </c>
      <c r="J7549" t="s" s="2">
        <v>29179</v>
      </c>
      <c r="K7549" t="s" s="2">
        <v>22</v>
      </c>
      <c r="L7549" t="s" s="2">
        <v>22</v>
      </c>
      <c r="M7549" t="s" s="2">
        <v>22</v>
      </c>
    </row>
    <row r="7550" ht="25.0" customHeight="true">
      <c r="A7550" t="s" s="2">
        <v>13</v>
      </c>
      <c r="B7550" t="s" s="2">
        <f>HYPERLINK("http://ts.21cn.com/tousu/show/id/1365074","爱钱进（钱站）高利贷砍头息")</f>
      </c>
      <c r="C7550" t="s" s="2">
        <v>15</v>
      </c>
      <c r="D7550" t="s" s="2">
        <v>16</v>
      </c>
      <c r="E7550" t="s" s="2">
        <v>17</v>
      </c>
      <c r="F7550" t="s" s="2">
        <f>HYPERLINK("http://ts.21cn.com/tousu/show/id/1365074","http://ts.21cn.com/tousu/show/id/1365074")</f>
      </c>
      <c r="G7550" t="s" s="2">
        <v>17</v>
      </c>
      <c r="H7550" t="s" s="2">
        <v>19</v>
      </c>
      <c r="I7550" t="s" s="2">
        <v>29182</v>
      </c>
      <c r="J7550" t="s" s="2">
        <v>29183</v>
      </c>
      <c r="K7550" t="s" s="2">
        <v>22</v>
      </c>
      <c r="L7550" t="s" s="2">
        <v>22</v>
      </c>
      <c r="M7550" t="s" s="2">
        <v>22</v>
      </c>
    </row>
    <row r="7551" ht="25.0" customHeight="true">
      <c r="A7551" t="s" s="2">
        <v>13</v>
      </c>
      <c r="B7551" t="s" s="2">
        <f>HYPERLINK("http://ts.21cn.com/tousu/show/id/1365073","农业银行不作为")</f>
      </c>
      <c r="C7551" t="s" s="2">
        <v>15</v>
      </c>
      <c r="D7551" t="s" s="2">
        <v>16</v>
      </c>
      <c r="E7551" t="s" s="2">
        <v>17</v>
      </c>
      <c r="F7551" t="s" s="2">
        <f>HYPERLINK("http://ts.21cn.com/tousu/show/id/1365073","http://ts.21cn.com/tousu/show/id/1365073")</f>
      </c>
      <c r="G7551" t="s" s="2">
        <v>17</v>
      </c>
      <c r="H7551" t="s" s="2">
        <v>19</v>
      </c>
      <c r="I7551" t="s" s="2">
        <v>29186</v>
      </c>
      <c r="J7551" t="s" s="2">
        <v>29187</v>
      </c>
      <c r="K7551" t="s" s="2">
        <v>22</v>
      </c>
      <c r="L7551" t="s" s="2">
        <v>22</v>
      </c>
      <c r="M7551" t="s" s="2">
        <v>22</v>
      </c>
    </row>
    <row r="7552" ht="25.0" customHeight="true">
      <c r="A7552" t="s" s="2">
        <v>13</v>
      </c>
      <c r="B7552" t="s" s="2">
        <f>HYPERLINK("http://ts.21cn.com/tousu/show/id/1365072","说秒批借钱，实则扣钱后不闻不问，请两天内退款")</f>
      </c>
      <c r="C7552" t="s" s="2">
        <v>52</v>
      </c>
      <c r="D7552" t="s" s="2">
        <v>16</v>
      </c>
      <c r="E7552" t="s" s="2">
        <v>17</v>
      </c>
      <c r="F7552" t="s" s="2">
        <f>HYPERLINK("http://ts.21cn.com/tousu/show/id/1365072","http://ts.21cn.com/tousu/show/id/1365072")</f>
      </c>
      <c r="G7552" t="s" s="2">
        <v>17</v>
      </c>
      <c r="H7552" t="s" s="2">
        <v>19</v>
      </c>
      <c r="I7552" t="s" s="2">
        <v>29190</v>
      </c>
      <c r="J7552" t="s" s="2">
        <v>29191</v>
      </c>
      <c r="K7552" t="s" s="2">
        <v>22</v>
      </c>
      <c r="L7552" t="s" s="2">
        <v>22</v>
      </c>
      <c r="M7552" t="s" s="2">
        <v>22</v>
      </c>
    </row>
    <row r="7553" ht="25.0" customHeight="true">
      <c r="A7553" t="s" s="2">
        <v>13</v>
      </c>
      <c r="B7553" t="s" s="2">
        <f>HYPERLINK("http://ts.21cn.com/tousu/show/id/1365071","恶意催收，扰乱正常生活")</f>
      </c>
      <c r="C7553" t="s" s="2">
        <v>15</v>
      </c>
      <c r="D7553" t="s" s="2">
        <v>16</v>
      </c>
      <c r="E7553" t="s" s="2">
        <v>17</v>
      </c>
      <c r="F7553" t="s" s="2">
        <f>HYPERLINK("http://ts.21cn.com/tousu/show/id/1365071","http://ts.21cn.com/tousu/show/id/1365071")</f>
      </c>
      <c r="G7553" t="s" s="2">
        <v>17</v>
      </c>
      <c r="H7553" t="s" s="2">
        <v>19</v>
      </c>
      <c r="I7553" t="s" s="2">
        <v>29194</v>
      </c>
      <c r="J7553" t="s" s="2">
        <v>29195</v>
      </c>
      <c r="K7553" t="s" s="2">
        <v>22</v>
      </c>
      <c r="L7553" t="s" s="2">
        <v>22</v>
      </c>
      <c r="M7553" t="s" s="2">
        <v>22</v>
      </c>
    </row>
    <row r="7554" ht="25.0" customHeight="true">
      <c r="A7554" t="s" s="2">
        <v>13</v>
      </c>
      <c r="B7554" t="s" s="2">
        <f>HYPERLINK("http://ts.21cn.com/tousu/show/id/1365070","游戏充值退款")</f>
      </c>
      <c r="C7554" t="s" s="2">
        <v>52</v>
      </c>
      <c r="D7554" t="s" s="2">
        <v>16</v>
      </c>
      <c r="E7554" t="s" s="2">
        <v>17</v>
      </c>
      <c r="F7554" t="s" s="2">
        <f>HYPERLINK("http://ts.21cn.com/tousu/show/id/1365070","http://ts.21cn.com/tousu/show/id/1365070")</f>
      </c>
      <c r="G7554" t="s" s="2">
        <v>17</v>
      </c>
      <c r="H7554" t="s" s="2">
        <v>19</v>
      </c>
      <c r="I7554" t="s" s="2">
        <v>29198</v>
      </c>
      <c r="J7554" t="s" s="2">
        <v>29199</v>
      </c>
      <c r="K7554" t="s" s="2">
        <v>22</v>
      </c>
      <c r="L7554" t="s" s="2">
        <v>22</v>
      </c>
      <c r="M7554" t="s" s="2">
        <v>22</v>
      </c>
    </row>
    <row r="7555" ht="25.0" customHeight="true">
      <c r="A7555" t="s" s="2">
        <v>13</v>
      </c>
      <c r="B7555" t="s" s="2">
        <f>HYPERLINK("http://ts.21cn.com/tousu/show/id/1365069","爆通讯录骚扰亲朋好友")</f>
      </c>
      <c r="C7555" t="s" s="2">
        <v>15</v>
      </c>
      <c r="D7555" t="s" s="2">
        <v>16</v>
      </c>
      <c r="E7555" t="s" s="2">
        <v>17</v>
      </c>
      <c r="F7555" t="s" s="2">
        <f>HYPERLINK("http://ts.21cn.com/tousu/show/id/1365069","http://ts.21cn.com/tousu/show/id/1365069")</f>
      </c>
      <c r="G7555" t="s" s="2">
        <v>17</v>
      </c>
      <c r="H7555" t="s" s="2">
        <v>19</v>
      </c>
      <c r="I7555" t="s" s="2">
        <v>29201</v>
      </c>
      <c r="J7555" t="s" s="2">
        <v>29202</v>
      </c>
      <c r="K7555" t="s" s="2">
        <v>22</v>
      </c>
      <c r="L7555" t="s" s="2">
        <v>22</v>
      </c>
      <c r="M7555" t="s" s="2">
        <v>22</v>
      </c>
    </row>
    <row r="7556" ht="25.0" customHeight="true">
      <c r="A7556" t="s" s="2">
        <v>13</v>
      </c>
      <c r="B7556" t="s" s="2">
        <f>HYPERLINK("http://ts.21cn.com/tousu/show/id/1365068","左右钱包五天高炮")</f>
      </c>
      <c r="C7556" t="s" s="2">
        <v>15</v>
      </c>
      <c r="D7556" t="s" s="2">
        <v>16</v>
      </c>
      <c r="E7556" t="s" s="2">
        <v>17</v>
      </c>
      <c r="F7556" t="s" s="2">
        <f>HYPERLINK("http://ts.21cn.com/tousu/show/id/1365068","http://ts.21cn.com/tousu/show/id/1365068")</f>
      </c>
      <c r="G7556" t="s" s="2">
        <v>17</v>
      </c>
      <c r="H7556" t="s" s="2">
        <v>19</v>
      </c>
      <c r="I7556" t="s" s="2">
        <v>29205</v>
      </c>
      <c r="J7556" t="s" s="2">
        <v>29206</v>
      </c>
      <c r="K7556" t="s" s="2">
        <v>22</v>
      </c>
      <c r="L7556" t="s" s="2">
        <v>22</v>
      </c>
      <c r="M7556" t="s" s="2">
        <v>22</v>
      </c>
    </row>
    <row r="7557" ht="25.0" customHeight="true">
      <c r="A7557" t="s" s="2">
        <v>13</v>
      </c>
      <c r="B7557" t="s" s="2">
        <f>HYPERLINK("http://ts.21cn.com/tousu/show/id/1365066","百度暴力催收，骚扰家人")</f>
      </c>
      <c r="C7557" t="s" s="2">
        <v>15</v>
      </c>
      <c r="D7557" t="s" s="2">
        <v>16</v>
      </c>
      <c r="E7557" t="s" s="2">
        <v>17</v>
      </c>
      <c r="F7557" t="s" s="2">
        <f>HYPERLINK("http://ts.21cn.com/tousu/show/id/1365066","http://ts.21cn.com/tousu/show/id/1365066")</f>
      </c>
      <c r="G7557" t="s" s="2">
        <v>17</v>
      </c>
      <c r="H7557" t="s" s="2">
        <v>19</v>
      </c>
      <c r="I7557" t="s" s="2">
        <v>29209</v>
      </c>
      <c r="J7557" t="s" s="2">
        <v>29210</v>
      </c>
      <c r="K7557" t="s" s="2">
        <v>22</v>
      </c>
      <c r="L7557" t="s" s="2">
        <v>22</v>
      </c>
      <c r="M7557" t="s" s="2">
        <v>22</v>
      </c>
    </row>
    <row r="7558" ht="25.0" customHeight="true">
      <c r="A7558" t="s" s="2">
        <v>13</v>
      </c>
      <c r="B7558" t="s" s="2">
        <f>HYPERLINK("http://ts.21cn.com/tousu/show/id/1365063","虚假广告、诱导用户、欺诈行为")</f>
      </c>
      <c r="C7558" t="s" s="2">
        <v>15</v>
      </c>
      <c r="D7558" t="s" s="2">
        <v>16</v>
      </c>
      <c r="E7558" t="s" s="2">
        <v>17</v>
      </c>
      <c r="F7558" t="s" s="2">
        <f>HYPERLINK("http://ts.21cn.com/tousu/show/id/1365063","http://ts.21cn.com/tousu/show/id/1365063")</f>
      </c>
      <c r="G7558" t="s" s="2">
        <v>17</v>
      </c>
      <c r="H7558" t="s" s="2">
        <v>19</v>
      </c>
      <c r="I7558" t="s" s="2">
        <v>29213</v>
      </c>
      <c r="J7558" t="s" s="2">
        <v>23594</v>
      </c>
      <c r="K7558" t="s" s="2">
        <v>22</v>
      </c>
      <c r="L7558" t="s" s="2">
        <v>22</v>
      </c>
      <c r="M7558" t="s" s="2">
        <v>22</v>
      </c>
    </row>
    <row r="7559" ht="25.0" customHeight="true">
      <c r="A7559" t="s" s="2">
        <v>13</v>
      </c>
      <c r="B7559" t="s" s="2">
        <f>HYPERLINK("http://ts.21cn.com/tousu/show/id/1365065","钱站催收恶意骚扰辱骂通信录联系人")</f>
      </c>
      <c r="C7559" t="s" s="2">
        <v>15</v>
      </c>
      <c r="D7559" t="s" s="2">
        <v>16</v>
      </c>
      <c r="E7559" t="s" s="2">
        <v>17</v>
      </c>
      <c r="F7559" t="s" s="2">
        <f>HYPERLINK("http://ts.21cn.com/tousu/show/id/1365065","http://ts.21cn.com/tousu/show/id/1365065")</f>
      </c>
      <c r="G7559" t="s" s="2">
        <v>17</v>
      </c>
      <c r="H7559" t="s" s="2">
        <v>19</v>
      </c>
      <c r="I7559" t="s" s="2">
        <v>29216</v>
      </c>
      <c r="J7559" t="s" s="2">
        <v>29217</v>
      </c>
      <c r="K7559" t="s" s="2">
        <v>22</v>
      </c>
      <c r="L7559" t="s" s="2">
        <v>22</v>
      </c>
      <c r="M7559" t="s" s="2">
        <v>22</v>
      </c>
    </row>
    <row r="7560" ht="25.0" customHeight="true">
      <c r="A7560" t="s" s="2">
        <v>13</v>
      </c>
      <c r="B7560" t="s" s="2">
        <f>HYPERLINK("http://ts.21cn.com/tousu/show/id/1365064","宝付支付随意扣款")</f>
      </c>
      <c r="C7560" t="s" s="2">
        <v>15</v>
      </c>
      <c r="D7560" t="s" s="2">
        <v>16</v>
      </c>
      <c r="E7560" t="s" s="2">
        <v>17</v>
      </c>
      <c r="F7560" t="s" s="2">
        <f>HYPERLINK("http://ts.21cn.com/tousu/show/id/1365064","http://ts.21cn.com/tousu/show/id/1365064")</f>
      </c>
      <c r="G7560" t="s" s="2">
        <v>17</v>
      </c>
      <c r="H7560" t="s" s="2">
        <v>19</v>
      </c>
      <c r="I7560" t="s" s="2">
        <v>29220</v>
      </c>
      <c r="J7560" t="s" s="2">
        <v>29221</v>
      </c>
      <c r="K7560" t="s" s="2">
        <v>22</v>
      </c>
      <c r="L7560" t="s" s="2">
        <v>22</v>
      </c>
      <c r="M7560" t="s" s="2">
        <v>22</v>
      </c>
    </row>
    <row r="7561" ht="25.0" customHeight="true">
      <c r="A7561" t="s" s="2">
        <v>13</v>
      </c>
      <c r="B7561" t="s" s="2">
        <f>HYPERLINK("http://ts.21cn.com/tousu/show/id/1365062","月光侠分期高利贷，借款取消不了，直接打款")</f>
      </c>
      <c r="C7561" t="s" s="2">
        <v>15</v>
      </c>
      <c r="D7561" t="s" s="2">
        <v>16</v>
      </c>
      <c r="E7561" t="s" s="2">
        <v>17</v>
      </c>
      <c r="F7561" t="s" s="2">
        <f>HYPERLINK("http://ts.21cn.com/tousu/show/id/1365062","http://ts.21cn.com/tousu/show/id/1365062")</f>
      </c>
      <c r="G7561" t="s" s="2">
        <v>17</v>
      </c>
      <c r="H7561" t="s" s="2">
        <v>19</v>
      </c>
      <c r="I7561" t="s" s="2">
        <v>29224</v>
      </c>
      <c r="J7561" t="s" s="2">
        <v>29225</v>
      </c>
      <c r="K7561" t="s" s="2">
        <v>22</v>
      </c>
      <c r="L7561" t="s" s="2">
        <v>22</v>
      </c>
      <c r="M7561" t="s" s="2">
        <v>22</v>
      </c>
    </row>
    <row r="7562" ht="25.0" customHeight="true">
      <c r="A7562" t="s" s="2">
        <v>13</v>
      </c>
      <c r="B7562" t="s" s="2">
        <f>HYPERLINK("http://ts.21cn.com/tousu/show/id/1365020","支付宝收款码无法收款")</f>
      </c>
      <c r="C7562" t="s" s="2">
        <v>15</v>
      </c>
      <c r="D7562" t="s" s="2">
        <v>16</v>
      </c>
      <c r="E7562" t="s" s="2">
        <v>17</v>
      </c>
      <c r="F7562" t="s" s="2">
        <f>HYPERLINK("http://ts.21cn.com/tousu/show/id/1365020","http://ts.21cn.com/tousu/show/id/1365020")</f>
      </c>
      <c r="G7562" t="s" s="2">
        <v>17</v>
      </c>
      <c r="H7562" t="s" s="2">
        <v>19</v>
      </c>
      <c r="I7562" t="s" s="2">
        <v>29228</v>
      </c>
      <c r="J7562" t="s" s="2">
        <v>29229</v>
      </c>
      <c r="K7562" t="s" s="2">
        <v>22</v>
      </c>
      <c r="L7562" t="s" s="2">
        <v>22</v>
      </c>
      <c r="M7562" t="s" s="2">
        <v>22</v>
      </c>
    </row>
    <row r="7563" ht="25.0" customHeight="true">
      <c r="A7563" t="s" s="2">
        <v>13</v>
      </c>
      <c r="B7563" t="s" s="2">
        <f>HYPERLINK("http://ts.21cn.com/tousu/show/id/1365061","高利贷，砍头息")</f>
      </c>
      <c r="C7563" t="s" s="2">
        <v>15</v>
      </c>
      <c r="D7563" t="s" s="2">
        <v>16</v>
      </c>
      <c r="E7563" t="s" s="2">
        <v>17</v>
      </c>
      <c r="F7563" t="s" s="2">
        <f>HYPERLINK("http://ts.21cn.com/tousu/show/id/1365061","http://ts.21cn.com/tousu/show/id/1365061")</f>
      </c>
      <c r="G7563" t="s" s="2">
        <v>17</v>
      </c>
      <c r="H7563" t="s" s="2">
        <v>19</v>
      </c>
      <c r="I7563" t="s" s="2">
        <v>29231</v>
      </c>
      <c r="J7563" t="s" s="2">
        <v>29232</v>
      </c>
      <c r="K7563" t="s" s="2">
        <v>22</v>
      </c>
      <c r="L7563" t="s" s="2">
        <v>22</v>
      </c>
      <c r="M7563" t="s" s="2">
        <v>22</v>
      </c>
    </row>
    <row r="7564" ht="25.0" customHeight="true">
      <c r="A7564" t="s" s="2">
        <v>13</v>
      </c>
      <c r="B7564" t="s" s="2">
        <f>HYPERLINK("http://ts.21cn.com/tousu/show/id/1365060","开三云匠网承诺的退会员费不给退存在欺诈行为")</f>
      </c>
      <c r="C7564" t="s" s="2">
        <v>15</v>
      </c>
      <c r="D7564" t="s" s="2">
        <v>16</v>
      </c>
      <c r="E7564" t="s" s="2">
        <v>17</v>
      </c>
      <c r="F7564" t="s" s="2">
        <f>HYPERLINK("http://ts.21cn.com/tousu/show/id/1365060","http://ts.21cn.com/tousu/show/id/1365060")</f>
      </c>
      <c r="G7564" t="s" s="2">
        <v>17</v>
      </c>
      <c r="H7564" t="s" s="2">
        <v>19</v>
      </c>
      <c r="I7564" t="s" s="2">
        <v>29235</v>
      </c>
      <c r="J7564" t="s" s="2">
        <v>29236</v>
      </c>
      <c r="K7564" t="s" s="2">
        <v>22</v>
      </c>
      <c r="L7564" t="s" s="2">
        <v>22</v>
      </c>
      <c r="M7564" t="s" s="2">
        <v>22</v>
      </c>
    </row>
    <row r="7565" ht="25.0" customHeight="true">
      <c r="A7565" t="s" s="2">
        <v>13</v>
      </c>
      <c r="B7565" t="s" s="2">
        <f>HYPERLINK("http://ts.21cn.com/tousu/show/id/1365059","凡普金科高利贷")</f>
      </c>
      <c r="C7565" t="s" s="2">
        <v>15</v>
      </c>
      <c r="D7565" t="s" s="2">
        <v>16</v>
      </c>
      <c r="E7565" t="s" s="2">
        <v>17</v>
      </c>
      <c r="F7565" t="s" s="2">
        <f>HYPERLINK("http://ts.21cn.com/tousu/show/id/1365059","http://ts.21cn.com/tousu/show/id/1365059")</f>
      </c>
      <c r="G7565" t="s" s="2">
        <v>17</v>
      </c>
      <c r="H7565" t="s" s="2">
        <v>19</v>
      </c>
      <c r="I7565" t="s" s="2">
        <v>29238</v>
      </c>
      <c r="J7565" t="s" s="2">
        <v>29239</v>
      </c>
      <c r="K7565" t="s" s="2">
        <v>22</v>
      </c>
      <c r="L7565" t="s" s="2">
        <v>22</v>
      </c>
      <c r="M7565" t="s" s="2">
        <v>22</v>
      </c>
    </row>
    <row r="7566" ht="25.0" customHeight="true">
      <c r="A7566" t="s" s="2">
        <v>13</v>
      </c>
      <c r="B7566" t="s" s="2">
        <f>HYPERLINK("http://ts.21cn.com/tousu/show/id/1365058","钱橙无忧随意扣费")</f>
      </c>
      <c r="C7566" t="s" s="2">
        <v>15</v>
      </c>
      <c r="D7566" t="s" s="2">
        <v>16</v>
      </c>
      <c r="E7566" t="s" s="2">
        <v>17</v>
      </c>
      <c r="F7566" t="s" s="2">
        <f>HYPERLINK("http://ts.21cn.com/tousu/show/id/1365058","http://ts.21cn.com/tousu/show/id/1365058")</f>
      </c>
      <c r="G7566" t="s" s="2">
        <v>17</v>
      </c>
      <c r="H7566" t="s" s="2">
        <v>19</v>
      </c>
      <c r="I7566" t="s" s="2">
        <v>29241</v>
      </c>
      <c r="J7566" t="s" s="2">
        <v>29242</v>
      </c>
      <c r="K7566" t="s" s="2">
        <v>22</v>
      </c>
      <c r="L7566" t="s" s="2">
        <v>22</v>
      </c>
      <c r="M7566" t="s" s="2">
        <v>22</v>
      </c>
    </row>
    <row r="7567" ht="25.0" customHeight="true">
      <c r="A7567" t="s" s="2">
        <v>13</v>
      </c>
      <c r="B7567" t="s" s="2">
        <f>HYPERLINK("http://ts.21cn.com/tousu/show/id/1365057","恶心平台，让你身败名裂")</f>
      </c>
      <c r="C7567" t="s" s="2">
        <v>15</v>
      </c>
      <c r="D7567" t="s" s="2">
        <v>16</v>
      </c>
      <c r="E7567" t="s" s="2">
        <v>17</v>
      </c>
      <c r="F7567" t="s" s="2">
        <f>HYPERLINK("http://ts.21cn.com/tousu/show/id/1365057","http://ts.21cn.com/tousu/show/id/1365057")</f>
      </c>
      <c r="G7567" t="s" s="2">
        <v>17</v>
      </c>
      <c r="H7567" t="s" s="2">
        <v>19</v>
      </c>
      <c r="I7567" t="s" s="2">
        <v>29245</v>
      </c>
      <c r="J7567" t="s" s="2">
        <v>29246</v>
      </c>
      <c r="K7567" t="s" s="2">
        <v>22</v>
      </c>
      <c r="L7567" t="s" s="2">
        <v>22</v>
      </c>
      <c r="M7567" t="s" s="2">
        <v>22</v>
      </c>
    </row>
    <row r="7568" ht="25.0" customHeight="true">
      <c r="A7568" t="s" s="2">
        <v>13</v>
      </c>
      <c r="B7568" t="s" s="2">
        <f>HYPERLINK("http://ts.21cn.com/tousu/show/id/1365056","投诉微信支付")</f>
      </c>
      <c r="C7568" t="s" s="2">
        <v>15</v>
      </c>
      <c r="D7568" t="s" s="2">
        <v>16</v>
      </c>
      <c r="E7568" t="s" s="2">
        <v>17</v>
      </c>
      <c r="F7568" t="s" s="2">
        <f>HYPERLINK("http://ts.21cn.com/tousu/show/id/1365056","http://ts.21cn.com/tousu/show/id/1365056")</f>
      </c>
      <c r="G7568" t="s" s="2">
        <v>17</v>
      </c>
      <c r="H7568" t="s" s="2">
        <v>19</v>
      </c>
      <c r="I7568" t="s" s="2">
        <v>29249</v>
      </c>
      <c r="J7568" t="s" s="2">
        <v>29250</v>
      </c>
      <c r="K7568" t="s" s="2">
        <v>22</v>
      </c>
      <c r="L7568" t="s" s="2">
        <v>22</v>
      </c>
      <c r="M7568" t="s" s="2">
        <v>22</v>
      </c>
    </row>
    <row r="7569" ht="25.0" customHeight="true">
      <c r="A7569" t="s" s="2">
        <v>13</v>
      </c>
      <c r="B7569" t="s" s="2">
        <f>HYPERLINK("http://ts.21cn.com/tousu/show/id/1365055","邮储银行")</f>
      </c>
      <c r="C7569" t="s" s="2">
        <v>15</v>
      </c>
      <c r="D7569" t="s" s="2">
        <v>16</v>
      </c>
      <c r="E7569" t="s" s="2">
        <v>17</v>
      </c>
      <c r="F7569" t="s" s="2">
        <f>HYPERLINK("http://ts.21cn.com/tousu/show/id/1365055","http://ts.21cn.com/tousu/show/id/1365055")</f>
      </c>
      <c r="G7569" t="s" s="2">
        <v>17</v>
      </c>
      <c r="H7569" t="s" s="2">
        <v>19</v>
      </c>
      <c r="I7569" t="s" s="2">
        <v>29253</v>
      </c>
      <c r="J7569" t="s" s="2">
        <v>29254</v>
      </c>
      <c r="K7569" t="s" s="2">
        <v>22</v>
      </c>
      <c r="L7569" t="s" s="2">
        <v>22</v>
      </c>
      <c r="M7569" t="s" s="2">
        <v>22</v>
      </c>
    </row>
    <row r="7570" ht="25.0" customHeight="true">
      <c r="A7570" t="s" s="2">
        <v>13</v>
      </c>
      <c r="B7570" t="s" s="2">
        <f>HYPERLINK("http://ts.21cn.com/tousu/show/id/1365054","趣花分期砍高额头息")</f>
      </c>
      <c r="C7570" t="s" s="2">
        <v>52</v>
      </c>
      <c r="D7570" t="s" s="2">
        <v>16</v>
      </c>
      <c r="E7570" t="s" s="2">
        <v>17</v>
      </c>
      <c r="F7570" t="s" s="2">
        <f>HYPERLINK("http://ts.21cn.com/tousu/show/id/1365054","http://ts.21cn.com/tousu/show/id/1365054")</f>
      </c>
      <c r="G7570" t="s" s="2">
        <v>17</v>
      </c>
      <c r="H7570" t="s" s="2">
        <v>19</v>
      </c>
      <c r="I7570" t="s" s="2">
        <v>29257</v>
      </c>
      <c r="J7570" t="s" s="2">
        <v>29258</v>
      </c>
      <c r="K7570" t="s" s="2">
        <v>22</v>
      </c>
      <c r="L7570" t="s" s="2">
        <v>22</v>
      </c>
      <c r="M7570" t="s" s="2">
        <v>22</v>
      </c>
    </row>
    <row r="7571" ht="25.0" customHeight="true">
      <c r="A7571" t="s" s="2">
        <v>13</v>
      </c>
      <c r="B7571" t="s" s="2">
        <f>HYPERLINK("http://ts.21cn.com/tousu/show/id/1365053","高利贷阴阳合同")</f>
      </c>
      <c r="C7571" t="s" s="2">
        <v>15</v>
      </c>
      <c r="D7571" t="s" s="2">
        <v>16</v>
      </c>
      <c r="E7571" t="s" s="2">
        <v>17</v>
      </c>
      <c r="F7571" t="s" s="2">
        <f>HYPERLINK("http://ts.21cn.com/tousu/show/id/1365053","http://ts.21cn.com/tousu/show/id/1365053")</f>
      </c>
      <c r="G7571" t="s" s="2">
        <v>17</v>
      </c>
      <c r="H7571" t="s" s="2">
        <v>19</v>
      </c>
      <c r="I7571" t="s" s="2">
        <v>29260</v>
      </c>
      <c r="J7571" t="s" s="2">
        <v>29261</v>
      </c>
      <c r="K7571" t="s" s="2">
        <v>22</v>
      </c>
      <c r="L7571" t="s" s="2">
        <v>22</v>
      </c>
      <c r="M7571" t="s" s="2">
        <v>22</v>
      </c>
    </row>
    <row r="7572" ht="25.0" customHeight="true">
      <c r="A7572" t="s" s="2">
        <v>13</v>
      </c>
      <c r="B7572" t="s" s="2">
        <f>HYPERLINK("http://ts.21cn.com/tousu/show/id/1365052","贷款到账不符且还款合同不符、加高额利息")</f>
      </c>
      <c r="C7572" t="s" s="2">
        <v>15</v>
      </c>
      <c r="D7572" t="s" s="2">
        <v>16</v>
      </c>
      <c r="E7572" t="s" s="2">
        <v>17</v>
      </c>
      <c r="F7572" t="s" s="2">
        <f>HYPERLINK("http://ts.21cn.com/tousu/show/id/1365052","http://ts.21cn.com/tousu/show/id/1365052")</f>
      </c>
      <c r="G7572" t="s" s="2">
        <v>17</v>
      </c>
      <c r="H7572" t="s" s="2">
        <v>19</v>
      </c>
      <c r="I7572" t="s" s="2">
        <v>29264</v>
      </c>
      <c r="J7572" t="s" s="2">
        <v>29265</v>
      </c>
      <c r="K7572" t="s" s="2">
        <v>22</v>
      </c>
      <c r="L7572" t="s" s="2">
        <v>22</v>
      </c>
      <c r="M7572" t="s" s="2">
        <v>22</v>
      </c>
    </row>
    <row r="7573" ht="25.0" customHeight="true">
      <c r="A7573" t="s" s="2">
        <v>13</v>
      </c>
      <c r="B7573" t="s" s="2">
        <f>HYPERLINK("http://ts.21cn.com/tousu/show/id/1365051","中华财险站台厚本虚假宣传.欺诈投资人")</f>
      </c>
      <c r="C7573" t="s" s="2">
        <v>15</v>
      </c>
      <c r="D7573" t="s" s="2">
        <v>16</v>
      </c>
      <c r="E7573" t="s" s="2">
        <v>17</v>
      </c>
      <c r="F7573" t="s" s="2">
        <f>HYPERLINK("http://ts.21cn.com/tousu/show/id/1365051","http://ts.21cn.com/tousu/show/id/1365051")</f>
      </c>
      <c r="G7573" t="s" s="2">
        <v>17</v>
      </c>
      <c r="H7573" t="s" s="2">
        <v>19</v>
      </c>
      <c r="I7573" t="s" s="2">
        <v>29268</v>
      </c>
      <c r="J7573" t="s" s="2">
        <v>29269</v>
      </c>
      <c r="K7573" t="s" s="2">
        <v>22</v>
      </c>
      <c r="L7573" t="s" s="2">
        <v>22</v>
      </c>
      <c r="M7573" t="s" s="2">
        <v>22</v>
      </c>
    </row>
    <row r="7574" ht="25.0" customHeight="true">
      <c r="A7574" t="s" s="2">
        <v>13</v>
      </c>
      <c r="B7574" t="s" s="2">
        <f>HYPERLINK("http://ts.21cn.com/tousu/show/id/1365049","你我贷涉及高利贷")</f>
      </c>
      <c r="C7574" t="s" s="2">
        <v>15</v>
      </c>
      <c r="D7574" t="s" s="2">
        <v>16</v>
      </c>
      <c r="E7574" t="s" s="2">
        <v>17</v>
      </c>
      <c r="F7574" t="s" s="2">
        <f>HYPERLINK("http://ts.21cn.com/tousu/show/id/1365049","http://ts.21cn.com/tousu/show/id/1365049")</f>
      </c>
      <c r="G7574" t="s" s="2">
        <v>17</v>
      </c>
      <c r="H7574" t="s" s="2">
        <v>19</v>
      </c>
      <c r="I7574" t="s" s="2">
        <v>29272</v>
      </c>
      <c r="J7574" t="s" s="2">
        <v>29273</v>
      </c>
      <c r="K7574" t="s" s="2">
        <v>22</v>
      </c>
      <c r="L7574" t="s" s="2">
        <v>22</v>
      </c>
      <c r="M7574" t="s" s="2">
        <v>22</v>
      </c>
    </row>
    <row r="7575" ht="25.0" customHeight="true">
      <c r="A7575" t="s" s="2">
        <v>13</v>
      </c>
      <c r="B7575" t="s" s="2">
        <f>HYPERLINK("http://ts.21cn.com/tousu/show/id/1365046","骚扰家人，恐吓通讯录里的人")</f>
      </c>
      <c r="C7575" t="s" s="2">
        <v>15</v>
      </c>
      <c r="D7575" t="s" s="2">
        <v>16</v>
      </c>
      <c r="E7575" t="s" s="2">
        <v>17</v>
      </c>
      <c r="F7575" t="s" s="2">
        <f>HYPERLINK("http://ts.21cn.com/tousu/show/id/1365046","http://ts.21cn.com/tousu/show/id/1365046")</f>
      </c>
      <c r="G7575" t="s" s="2">
        <v>17</v>
      </c>
      <c r="H7575" t="s" s="2">
        <v>19</v>
      </c>
      <c r="I7575" t="s" s="2">
        <v>29276</v>
      </c>
      <c r="J7575" t="s" s="2">
        <v>29277</v>
      </c>
      <c r="K7575" t="s" s="2">
        <v>22</v>
      </c>
      <c r="L7575" t="s" s="2">
        <v>22</v>
      </c>
      <c r="M7575" t="s" s="2">
        <v>22</v>
      </c>
    </row>
    <row r="7576" ht="25.0" customHeight="true">
      <c r="A7576" t="s" s="2">
        <v>13</v>
      </c>
      <c r="B7576" t="s" s="2">
        <f>HYPERLINK("http://ts.21cn.com/tousu/show/id/1365045","人人花乱扣费")</f>
      </c>
      <c r="C7576" t="s" s="2">
        <v>15</v>
      </c>
      <c r="D7576" t="s" s="2">
        <v>16</v>
      </c>
      <c r="E7576" t="s" s="2">
        <v>17</v>
      </c>
      <c r="F7576" t="s" s="2">
        <f>HYPERLINK("http://ts.21cn.com/tousu/show/id/1365045","http://ts.21cn.com/tousu/show/id/1365045")</f>
      </c>
      <c r="G7576" t="s" s="2">
        <v>17</v>
      </c>
      <c r="H7576" t="s" s="2">
        <v>19</v>
      </c>
      <c r="I7576" t="s" s="2">
        <v>29279</v>
      </c>
      <c r="J7576" t="s" s="2">
        <v>29280</v>
      </c>
      <c r="K7576" t="s" s="2">
        <v>22</v>
      </c>
      <c r="L7576" t="s" s="2">
        <v>22</v>
      </c>
      <c r="M7576" t="s" s="2">
        <v>22</v>
      </c>
    </row>
    <row r="7577" ht="25.0" customHeight="true">
      <c r="A7577" t="s" s="2">
        <v>13</v>
      </c>
      <c r="B7577" t="s" s="2">
        <f>HYPERLINK("http://ts.21cn.com/tousu/show/id/1365044","来分期代扣乱扣费")</f>
      </c>
      <c r="C7577" t="s" s="2">
        <v>15</v>
      </c>
      <c r="D7577" t="s" s="2">
        <v>16</v>
      </c>
      <c r="E7577" t="s" s="2">
        <v>17</v>
      </c>
      <c r="F7577" t="s" s="2">
        <f>HYPERLINK("http://ts.21cn.com/tousu/show/id/1365044","http://ts.21cn.com/tousu/show/id/1365044")</f>
      </c>
      <c r="G7577" t="s" s="2">
        <v>17</v>
      </c>
      <c r="H7577" t="s" s="2">
        <v>19</v>
      </c>
      <c r="I7577" t="s" s="2">
        <v>29283</v>
      </c>
      <c r="J7577" t="s" s="2">
        <v>29284</v>
      </c>
      <c r="K7577" t="s" s="2">
        <v>22</v>
      </c>
      <c r="L7577" t="s" s="2">
        <v>22</v>
      </c>
      <c r="M7577" t="s" s="2">
        <v>22</v>
      </c>
    </row>
    <row r="7578" ht="25.0" customHeight="true">
      <c r="A7578" t="s" s="2">
        <v>13</v>
      </c>
      <c r="B7578" t="s" s="2">
        <f>HYPERLINK("http://ts.21cn.com/tousu/show/id/1365043","微博借钱")</f>
      </c>
      <c r="C7578" t="s" s="2">
        <v>52</v>
      </c>
      <c r="D7578" t="s" s="2">
        <v>16</v>
      </c>
      <c r="E7578" t="s" s="2">
        <v>17</v>
      </c>
      <c r="F7578" t="s" s="2">
        <f>HYPERLINK("http://ts.21cn.com/tousu/show/id/1365043","http://ts.21cn.com/tousu/show/id/1365043")</f>
      </c>
      <c r="G7578" t="s" s="2">
        <v>17</v>
      </c>
      <c r="H7578" t="s" s="2">
        <v>19</v>
      </c>
      <c r="I7578" t="s" s="2">
        <v>29287</v>
      </c>
      <c r="J7578" t="s" s="2">
        <v>29288</v>
      </c>
      <c r="K7578" t="s" s="2">
        <v>22</v>
      </c>
      <c r="L7578" t="s" s="2">
        <v>22</v>
      </c>
      <c r="M7578" t="s" s="2">
        <v>22</v>
      </c>
    </row>
    <row r="7579" ht="25.0" customHeight="true">
      <c r="A7579" t="s" s="2">
        <v>13</v>
      </c>
      <c r="B7579" t="s" s="2">
        <f>HYPERLINK("http://ts.21cn.com/tousu/show/id/1365041","中华财险站台厚本金融坑害出借人")</f>
      </c>
      <c r="C7579" t="s" s="2">
        <v>15</v>
      </c>
      <c r="D7579" t="s" s="2">
        <v>16</v>
      </c>
      <c r="E7579" t="s" s="2">
        <v>17</v>
      </c>
      <c r="F7579" t="s" s="2">
        <f>HYPERLINK("http://ts.21cn.com/tousu/show/id/1365041","http://ts.21cn.com/tousu/show/id/1365041")</f>
      </c>
      <c r="G7579" t="s" s="2">
        <v>17</v>
      </c>
      <c r="H7579" t="s" s="2">
        <v>19</v>
      </c>
      <c r="I7579" t="s" s="2">
        <v>29290</v>
      </c>
      <c r="J7579" t="s" s="2">
        <v>27419</v>
      </c>
      <c r="K7579" t="s" s="2">
        <v>22</v>
      </c>
      <c r="L7579" t="s" s="2">
        <v>22</v>
      </c>
      <c r="M7579" t="s" s="2">
        <v>22</v>
      </c>
    </row>
    <row r="7580" ht="25.0" customHeight="true">
      <c r="A7580" t="s" s="2">
        <v>13</v>
      </c>
      <c r="B7580" t="s" s="2">
        <f>HYPERLINK("http://ts.21cn.com/tousu/show/id/1365040","上海翰银为赌博输平台收单，请求瀚银为我退款挽回经济损失")</f>
      </c>
      <c r="C7580" t="s" s="2">
        <v>15</v>
      </c>
      <c r="D7580" t="s" s="2">
        <v>16</v>
      </c>
      <c r="E7580" t="s" s="2">
        <v>17</v>
      </c>
      <c r="F7580" t="s" s="2">
        <f>HYPERLINK("http://ts.21cn.com/tousu/show/id/1365040","http://ts.21cn.com/tousu/show/id/1365040")</f>
      </c>
      <c r="G7580" t="s" s="2">
        <v>17</v>
      </c>
      <c r="H7580" t="s" s="2">
        <v>19</v>
      </c>
      <c r="I7580" t="s" s="2">
        <v>29292</v>
      </c>
      <c r="J7580" t="s" s="2">
        <v>29293</v>
      </c>
      <c r="K7580" t="s" s="2">
        <v>22</v>
      </c>
      <c r="L7580" t="s" s="2">
        <v>22</v>
      </c>
      <c r="M7580" t="s" s="2">
        <v>22</v>
      </c>
    </row>
    <row r="7581" ht="25.0" customHeight="true">
      <c r="A7581" t="s" s="2">
        <v>13</v>
      </c>
      <c r="B7581" t="s" s="2">
        <f>HYPERLINK("http://ts.21cn.com/tousu/show/id/1365039","砍头息高利贷")</f>
      </c>
      <c r="C7581" t="s" s="2">
        <v>15</v>
      </c>
      <c r="D7581" t="s" s="2">
        <v>16</v>
      </c>
      <c r="E7581" t="s" s="2">
        <v>17</v>
      </c>
      <c r="F7581" t="s" s="2">
        <f>HYPERLINK("http://ts.21cn.com/tousu/show/id/1365039","http://ts.21cn.com/tousu/show/id/1365039")</f>
      </c>
      <c r="G7581" t="s" s="2">
        <v>17</v>
      </c>
      <c r="H7581" t="s" s="2">
        <v>19</v>
      </c>
      <c r="I7581" t="s" s="2">
        <v>29295</v>
      </c>
      <c r="J7581" t="s" s="2">
        <v>29296</v>
      </c>
      <c r="K7581" t="s" s="2">
        <v>22</v>
      </c>
      <c r="L7581" t="s" s="2">
        <v>22</v>
      </c>
      <c r="M7581" t="s" s="2">
        <v>22</v>
      </c>
    </row>
    <row r="7582" ht="25.0" customHeight="true">
      <c r="A7582" t="s" s="2">
        <v>13</v>
      </c>
      <c r="B7582" t="s" s="2">
        <f>HYPERLINK("http://ts.21cn.com/tousu/show/id/1365038","玖富万卡涉嫌高利贷")</f>
      </c>
      <c r="C7582" t="s" s="2">
        <v>15</v>
      </c>
      <c r="D7582" t="s" s="2">
        <v>16</v>
      </c>
      <c r="E7582" t="s" s="2">
        <v>17</v>
      </c>
      <c r="F7582" t="s" s="2">
        <f>HYPERLINK("http://ts.21cn.com/tousu/show/id/1365038","http://ts.21cn.com/tousu/show/id/1365038")</f>
      </c>
      <c r="G7582" t="s" s="2">
        <v>17</v>
      </c>
      <c r="H7582" t="s" s="2">
        <v>19</v>
      </c>
      <c r="I7582" t="s" s="2">
        <v>29299</v>
      </c>
      <c r="J7582" t="s" s="2">
        <v>29300</v>
      </c>
      <c r="K7582" t="s" s="2">
        <v>22</v>
      </c>
      <c r="L7582" t="s" s="2">
        <v>22</v>
      </c>
      <c r="M7582" t="s" s="2">
        <v>22</v>
      </c>
    </row>
    <row r="7583" ht="25.0" customHeight="true">
      <c r="A7583" t="s" s="2">
        <v>13</v>
      </c>
      <c r="B7583" t="s" s="2">
        <f>HYPERLINK("http://ts.21cn.com/tousu/show/id/1365037","叉叉助手停运")</f>
      </c>
      <c r="C7583" t="s" s="2">
        <v>52</v>
      </c>
      <c r="D7583" t="s" s="2">
        <v>16</v>
      </c>
      <c r="E7583" t="s" s="2">
        <v>17</v>
      </c>
      <c r="F7583" t="s" s="2">
        <f>HYPERLINK("http://ts.21cn.com/tousu/show/id/1365037","http://ts.21cn.com/tousu/show/id/1365037")</f>
      </c>
      <c r="G7583" t="s" s="2">
        <v>17</v>
      </c>
      <c r="H7583" t="s" s="2">
        <v>19</v>
      </c>
      <c r="I7583" t="s" s="2">
        <v>29303</v>
      </c>
      <c r="J7583" t="s" s="2">
        <v>29304</v>
      </c>
      <c r="K7583" t="s" s="2">
        <v>22</v>
      </c>
      <c r="L7583" t="s" s="2">
        <v>22</v>
      </c>
      <c r="M7583" t="s" s="2">
        <v>22</v>
      </c>
    </row>
    <row r="7584" ht="25.0" customHeight="true">
      <c r="A7584" t="s" s="2">
        <v>13</v>
      </c>
      <c r="B7584" t="s" s="2">
        <f>HYPERLINK("http://ts.21cn.com/tousu/show/id/1365036","阴阳协议，服务费高达700多元，利息高出国家标准，恐吓骚扰")</f>
      </c>
      <c r="C7584" t="s" s="2">
        <v>15</v>
      </c>
      <c r="D7584" t="s" s="2">
        <v>16</v>
      </c>
      <c r="E7584" t="s" s="2">
        <v>17</v>
      </c>
      <c r="F7584" t="s" s="2">
        <f>HYPERLINK("http://ts.21cn.com/tousu/show/id/1365036","http://ts.21cn.com/tousu/show/id/1365036")</f>
      </c>
      <c r="G7584" t="s" s="2">
        <v>17</v>
      </c>
      <c r="H7584" t="s" s="2">
        <v>19</v>
      </c>
      <c r="I7584" t="s" s="2">
        <v>29307</v>
      </c>
      <c r="J7584" t="s" s="2">
        <v>29308</v>
      </c>
      <c r="K7584" t="s" s="2">
        <v>22</v>
      </c>
      <c r="L7584" t="s" s="2">
        <v>22</v>
      </c>
      <c r="M7584" t="s" s="2">
        <v>22</v>
      </c>
    </row>
    <row r="7585" ht="25.0" customHeight="true">
      <c r="A7585" t="s" s="2">
        <v>13</v>
      </c>
      <c r="B7585" t="s" s="2">
        <f>HYPERLINK("http://ts.21cn.com/tousu/show/id/1365035","套路贷")</f>
      </c>
      <c r="C7585" t="s" s="2">
        <v>15</v>
      </c>
      <c r="D7585" t="s" s="2">
        <v>16</v>
      </c>
      <c r="E7585" t="s" s="2">
        <v>17</v>
      </c>
      <c r="F7585" t="s" s="2">
        <f>HYPERLINK("http://ts.21cn.com/tousu/show/id/1365035","http://ts.21cn.com/tousu/show/id/1365035")</f>
      </c>
      <c r="G7585" t="s" s="2">
        <v>17</v>
      </c>
      <c r="H7585" t="s" s="2">
        <v>19</v>
      </c>
      <c r="I7585" t="s" s="2">
        <v>29310</v>
      </c>
      <c r="J7585" t="s" s="2">
        <v>29311</v>
      </c>
      <c r="K7585" t="s" s="2">
        <v>22</v>
      </c>
      <c r="L7585" t="s" s="2">
        <v>22</v>
      </c>
      <c r="M7585" t="s" s="2">
        <v>22</v>
      </c>
    </row>
    <row r="7586" ht="25.0" customHeight="true">
      <c r="A7586" t="s" s="2">
        <v>13</v>
      </c>
      <c r="B7586" t="s" s="2">
        <f>HYPERLINK("http://ts.21cn.com/tousu/show/id/1365034","盛pos扣取598的激活费用")</f>
      </c>
      <c r="C7586" t="s" s="2">
        <v>15</v>
      </c>
      <c r="D7586" t="s" s="2">
        <v>16</v>
      </c>
      <c r="E7586" t="s" s="2">
        <v>17</v>
      </c>
      <c r="F7586" t="s" s="2">
        <f>HYPERLINK("http://ts.21cn.com/tousu/show/id/1365034","http://ts.21cn.com/tousu/show/id/1365034")</f>
      </c>
      <c r="G7586" t="s" s="2">
        <v>17</v>
      </c>
      <c r="H7586" t="s" s="2">
        <v>19</v>
      </c>
      <c r="I7586" t="s" s="2">
        <v>29314</v>
      </c>
      <c r="J7586" t="s" s="2">
        <v>29315</v>
      </c>
      <c r="K7586" t="s" s="2">
        <v>22</v>
      </c>
      <c r="L7586" t="s" s="2">
        <v>22</v>
      </c>
      <c r="M7586" t="s" s="2">
        <v>22</v>
      </c>
    </row>
    <row r="7587" ht="25.0" customHeight="true">
      <c r="A7587" t="s" s="2">
        <v>13</v>
      </c>
      <c r="B7587" t="s" s="2">
        <f>HYPERLINK("http://ts.21cn.com/tousu/show/id/1365033","要求退款")</f>
      </c>
      <c r="C7587" t="s" s="2">
        <v>15</v>
      </c>
      <c r="D7587" t="s" s="2">
        <v>16</v>
      </c>
      <c r="E7587" t="s" s="2">
        <v>17</v>
      </c>
      <c r="F7587" t="s" s="2">
        <f>HYPERLINK("http://ts.21cn.com/tousu/show/id/1365033","http://ts.21cn.com/tousu/show/id/1365033")</f>
      </c>
      <c r="G7587" t="s" s="2">
        <v>17</v>
      </c>
      <c r="H7587" t="s" s="2">
        <v>19</v>
      </c>
      <c r="I7587" t="s" s="2">
        <v>29317</v>
      </c>
      <c r="J7587" t="s" s="2">
        <v>29318</v>
      </c>
      <c r="K7587" t="s" s="2">
        <v>22</v>
      </c>
      <c r="L7587" t="s" s="2">
        <v>22</v>
      </c>
      <c r="M7587" t="s" s="2">
        <v>22</v>
      </c>
    </row>
    <row r="7588" ht="25.0" customHeight="true">
      <c r="A7588" t="s" s="2">
        <v>13</v>
      </c>
      <c r="B7588" t="s" s="2">
        <f>HYPERLINK("http://ts.21cn.com/tousu/show/id/1365032","平安付自动扣款。没收到任何验证")</f>
      </c>
      <c r="C7588" t="s" s="2">
        <v>15</v>
      </c>
      <c r="D7588" t="s" s="2">
        <v>16</v>
      </c>
      <c r="E7588" t="s" s="2">
        <v>17</v>
      </c>
      <c r="F7588" t="s" s="2">
        <f>HYPERLINK("http://ts.21cn.com/tousu/show/id/1365032","http://ts.21cn.com/tousu/show/id/1365032")</f>
      </c>
      <c r="G7588" t="s" s="2">
        <v>17</v>
      </c>
      <c r="H7588" t="s" s="2">
        <v>19</v>
      </c>
      <c r="I7588" t="s" s="2">
        <v>29321</v>
      </c>
      <c r="J7588" t="s" s="2">
        <v>29322</v>
      </c>
      <c r="K7588" t="s" s="2">
        <v>22</v>
      </c>
      <c r="L7588" t="s" s="2">
        <v>22</v>
      </c>
      <c r="M7588" t="s" s="2">
        <v>22</v>
      </c>
    </row>
    <row r="7589" ht="25.0" customHeight="true">
      <c r="A7589" t="s" s="2">
        <v>13</v>
      </c>
      <c r="B7589" t="s" s="2">
        <f>HYPERLINK("http://ts.21cn.com/tousu/show/id/1365030","参与原创征集活动投稿上传作品。点赞排名第一被无端下架作品")</f>
      </c>
      <c r="C7589" t="s" s="2">
        <v>52</v>
      </c>
      <c r="D7589" t="s" s="2">
        <v>16</v>
      </c>
      <c r="E7589" t="s" s="2">
        <v>17</v>
      </c>
      <c r="F7589" t="s" s="2">
        <f>HYPERLINK("http://ts.21cn.com/tousu/show/id/1365030","http://ts.21cn.com/tousu/show/id/1365030")</f>
      </c>
      <c r="G7589" t="s" s="2">
        <v>17</v>
      </c>
      <c r="H7589" t="s" s="2">
        <v>19</v>
      </c>
      <c r="I7589" t="s" s="2">
        <v>29325</v>
      </c>
      <c r="J7589" t="s" s="2">
        <v>29326</v>
      </c>
      <c r="K7589" t="s" s="2">
        <v>22</v>
      </c>
      <c r="L7589" t="s" s="2">
        <v>22</v>
      </c>
      <c r="M7589" t="s" s="2">
        <v>22</v>
      </c>
    </row>
    <row r="7590" ht="25.0" customHeight="true">
      <c r="A7590" t="s" s="2">
        <v>13</v>
      </c>
      <c r="B7590" t="s" s="2">
        <f>HYPERLINK("http://ts.21cn.com/tousu/show/id/1365029","捷信上门催收，影响家人正常生活")</f>
      </c>
      <c r="C7590" t="s" s="2">
        <v>15</v>
      </c>
      <c r="D7590" t="s" s="2">
        <v>16</v>
      </c>
      <c r="E7590" t="s" s="2">
        <v>17</v>
      </c>
      <c r="F7590" t="s" s="2">
        <f>HYPERLINK("http://ts.21cn.com/tousu/show/id/1365029","http://ts.21cn.com/tousu/show/id/1365029")</f>
      </c>
      <c r="G7590" t="s" s="2">
        <v>17</v>
      </c>
      <c r="H7590" t="s" s="2">
        <v>19</v>
      </c>
      <c r="I7590" t="s" s="2">
        <v>29329</v>
      </c>
      <c r="J7590" t="s" s="2">
        <v>29330</v>
      </c>
      <c r="K7590" t="s" s="2">
        <v>22</v>
      </c>
      <c r="L7590" t="s" s="2">
        <v>22</v>
      </c>
      <c r="M7590" t="s" s="2">
        <v>22</v>
      </c>
    </row>
    <row r="7591" ht="25.0" customHeight="true">
      <c r="A7591" t="s" s="2">
        <v>13</v>
      </c>
      <c r="B7591" t="s" s="2">
        <f>HYPERLINK("http://ts.21cn.com/tousu/show/id/1365028","投诉玖富万卡收砍头息，利息高过法定利息")</f>
      </c>
      <c r="C7591" t="s" s="2">
        <v>52</v>
      </c>
      <c r="D7591" t="s" s="2">
        <v>16</v>
      </c>
      <c r="E7591" t="s" s="2">
        <v>17</v>
      </c>
      <c r="F7591" t="s" s="2">
        <f>HYPERLINK("http://ts.21cn.com/tousu/show/id/1365028","http://ts.21cn.com/tousu/show/id/1365028")</f>
      </c>
      <c r="G7591" t="s" s="2">
        <v>17</v>
      </c>
      <c r="H7591" t="s" s="2">
        <v>19</v>
      </c>
      <c r="I7591" t="s" s="2">
        <v>29333</v>
      </c>
      <c r="J7591" t="s" s="2">
        <v>29334</v>
      </c>
      <c r="K7591" t="s" s="2">
        <v>22</v>
      </c>
      <c r="L7591" t="s" s="2">
        <v>22</v>
      </c>
      <c r="M7591" t="s" s="2">
        <v>22</v>
      </c>
    </row>
    <row r="7592" ht="25.0" customHeight="true">
      <c r="A7592" t="s" s="2">
        <v>13</v>
      </c>
      <c r="B7592" t="s" s="2">
        <f>HYPERLINK("http://ts.21cn.com/tousu/show/id/1365026","及贷非法爆通讯录")</f>
      </c>
      <c r="C7592" t="s" s="2">
        <v>15</v>
      </c>
      <c r="D7592" t="s" s="2">
        <v>16</v>
      </c>
      <c r="E7592" t="s" s="2">
        <v>17</v>
      </c>
      <c r="F7592" t="s" s="2">
        <f>HYPERLINK("http://ts.21cn.com/tousu/show/id/1365026","http://ts.21cn.com/tousu/show/id/1365026")</f>
      </c>
      <c r="G7592" t="s" s="2">
        <v>17</v>
      </c>
      <c r="H7592" t="s" s="2">
        <v>19</v>
      </c>
      <c r="I7592" t="s" s="2">
        <v>29337</v>
      </c>
      <c r="J7592" t="s" s="2">
        <v>29338</v>
      </c>
      <c r="K7592" t="s" s="2">
        <v>22</v>
      </c>
      <c r="L7592" t="s" s="2">
        <v>22</v>
      </c>
      <c r="M7592" t="s" s="2">
        <v>22</v>
      </c>
    </row>
    <row r="7593" ht="25.0" customHeight="true">
      <c r="A7593" t="s" s="2">
        <v>13</v>
      </c>
      <c r="B7593" t="s" s="2">
        <f>HYPERLINK("http://ts.21cn.com/tousu/show/id/1365025","淘宝购物提示已发货顺丰快递提示一直揽件")</f>
      </c>
      <c r="C7593" t="s" s="2">
        <v>15</v>
      </c>
      <c r="D7593" t="s" s="2">
        <v>16</v>
      </c>
      <c r="E7593" t="s" s="2">
        <v>17</v>
      </c>
      <c r="F7593" t="s" s="2">
        <f>HYPERLINK("http://ts.21cn.com/tousu/show/id/1365025","http://ts.21cn.com/tousu/show/id/1365025")</f>
      </c>
      <c r="G7593" t="s" s="2">
        <v>17</v>
      </c>
      <c r="H7593" t="s" s="2">
        <v>19</v>
      </c>
      <c r="I7593" t="s" s="2">
        <v>29341</v>
      </c>
      <c r="J7593" t="s" s="2">
        <v>29342</v>
      </c>
      <c r="K7593" t="s" s="2">
        <v>22</v>
      </c>
      <c r="L7593" t="s" s="2">
        <v>22</v>
      </c>
      <c r="M7593" t="s" s="2">
        <v>22</v>
      </c>
    </row>
    <row r="7594" ht="25.0" customHeight="true">
      <c r="A7594" t="s" s="2">
        <v>13</v>
      </c>
      <c r="B7594" t="s" s="2">
        <f>HYPERLINK("http://ts.21cn.com/tousu/show/id/1365024","中信银行信用卡中心造假")</f>
      </c>
      <c r="C7594" t="s" s="2">
        <v>15</v>
      </c>
      <c r="D7594" t="s" s="2">
        <v>16</v>
      </c>
      <c r="E7594" t="s" s="2">
        <v>17</v>
      </c>
      <c r="F7594" t="s" s="2">
        <f>HYPERLINK("http://ts.21cn.com/tousu/show/id/1365024","http://ts.21cn.com/tousu/show/id/1365024")</f>
      </c>
      <c r="G7594" t="s" s="2">
        <v>17</v>
      </c>
      <c r="H7594" t="s" s="2">
        <v>19</v>
      </c>
      <c r="I7594" t="s" s="2">
        <v>29345</v>
      </c>
      <c r="J7594" t="s" s="2">
        <v>29346</v>
      </c>
      <c r="K7594" t="s" s="2">
        <v>22</v>
      </c>
      <c r="L7594" t="s" s="2">
        <v>22</v>
      </c>
      <c r="M7594" t="s" s="2">
        <v>22</v>
      </c>
    </row>
    <row r="7595" ht="25.0" customHeight="true">
      <c r="A7595" t="s" s="2">
        <v>13</v>
      </c>
      <c r="B7595" t="s" s="2">
        <f>HYPERLINK("http://ts.21cn.com/tousu/show/id/1365023","百度有钱花态度极其恶劣，")</f>
      </c>
      <c r="C7595" t="s" s="2">
        <v>15</v>
      </c>
      <c r="D7595" t="s" s="2">
        <v>16</v>
      </c>
      <c r="E7595" t="s" s="2">
        <v>17</v>
      </c>
      <c r="F7595" t="s" s="2">
        <f>HYPERLINK("http://ts.21cn.com/tousu/show/id/1365023","http://ts.21cn.com/tousu/show/id/1365023")</f>
      </c>
      <c r="G7595" t="s" s="2">
        <v>17</v>
      </c>
      <c r="H7595" t="s" s="2">
        <v>19</v>
      </c>
      <c r="I7595" t="s" s="2">
        <v>29349</v>
      </c>
      <c r="J7595" t="s" s="2">
        <v>29350</v>
      </c>
      <c r="K7595" t="s" s="2">
        <v>22</v>
      </c>
      <c r="L7595" t="s" s="2">
        <v>22</v>
      </c>
      <c r="M7595" t="s" s="2">
        <v>22</v>
      </c>
    </row>
    <row r="7596" ht="25.0" customHeight="true">
      <c r="A7596" t="s" s="2">
        <v>13</v>
      </c>
      <c r="B7596" t="s" s="2">
        <f>HYPERLINK("http://ts.21cn.com/tousu/show/id/1365022","活力花利息和违约金太高，暴力催收！！")</f>
      </c>
      <c r="C7596" t="s" s="2">
        <v>15</v>
      </c>
      <c r="D7596" t="s" s="2">
        <v>16</v>
      </c>
      <c r="E7596" t="s" s="2">
        <v>17</v>
      </c>
      <c r="F7596" t="s" s="2">
        <f>HYPERLINK("http://ts.21cn.com/tousu/show/id/1365022","http://ts.21cn.com/tousu/show/id/1365022")</f>
      </c>
      <c r="G7596" t="s" s="2">
        <v>17</v>
      </c>
      <c r="H7596" t="s" s="2">
        <v>19</v>
      </c>
      <c r="I7596" t="s" s="2">
        <v>29353</v>
      </c>
      <c r="J7596" t="s" s="2">
        <v>29354</v>
      </c>
      <c r="K7596" t="s" s="2">
        <v>22</v>
      </c>
      <c r="L7596" t="s" s="2">
        <v>22</v>
      </c>
      <c r="M7596" t="s" s="2">
        <v>22</v>
      </c>
    </row>
    <row r="7597" ht="25.0" customHeight="true">
      <c r="A7597" t="s" s="2">
        <v>13</v>
      </c>
      <c r="B7597" t="s" s="2">
        <f>HYPERLINK("http://ts.21cn.com/tousu/show/id/1365021","友信信贷在未逾期的时间内对借款人进行暴力催收")</f>
      </c>
      <c r="C7597" t="s" s="2">
        <v>15</v>
      </c>
      <c r="D7597" t="s" s="2">
        <v>16</v>
      </c>
      <c r="E7597" t="s" s="2">
        <v>17</v>
      </c>
      <c r="F7597" t="s" s="2">
        <f>HYPERLINK("http://ts.21cn.com/tousu/show/id/1365021","http://ts.21cn.com/tousu/show/id/1365021")</f>
      </c>
      <c r="G7597" t="s" s="2">
        <v>17</v>
      </c>
      <c r="H7597" t="s" s="2">
        <v>19</v>
      </c>
      <c r="I7597" t="s" s="2">
        <v>29356</v>
      </c>
      <c r="J7597" t="s" s="2">
        <v>29357</v>
      </c>
      <c r="K7597" t="s" s="2">
        <v>22</v>
      </c>
      <c r="L7597" t="s" s="2">
        <v>22</v>
      </c>
      <c r="M7597" t="s" s="2">
        <v>22</v>
      </c>
    </row>
    <row r="7598" ht="25.0" customHeight="true">
      <c r="A7598" t="s" s="2">
        <v>13</v>
      </c>
      <c r="B7598" t="s" s="2">
        <f>HYPERLINK("http://ts.21cn.com/tousu/show/id/1365019","蓝鲸鱼钱包高炮平台，恶意威胁爆通讯录")</f>
      </c>
      <c r="C7598" t="s" s="2">
        <v>15</v>
      </c>
      <c r="D7598" t="s" s="2">
        <v>16</v>
      </c>
      <c r="E7598" t="s" s="2">
        <v>17</v>
      </c>
      <c r="F7598" t="s" s="2">
        <f>HYPERLINK("http://ts.21cn.com/tousu/show/id/1365019","http://ts.21cn.com/tousu/show/id/1365019")</f>
      </c>
      <c r="G7598" t="s" s="2">
        <v>17</v>
      </c>
      <c r="H7598" t="s" s="2">
        <v>19</v>
      </c>
      <c r="I7598" t="s" s="2">
        <v>29360</v>
      </c>
      <c r="J7598" t="s" s="2">
        <v>29361</v>
      </c>
      <c r="K7598" t="s" s="2">
        <v>22</v>
      </c>
      <c r="L7598" t="s" s="2">
        <v>22</v>
      </c>
      <c r="M7598" t="s" s="2">
        <v>22</v>
      </c>
    </row>
    <row r="7599" ht="25.0" customHeight="true">
      <c r="A7599" t="s" s="2">
        <v>13</v>
      </c>
      <c r="B7599" t="s" s="2">
        <f>HYPERLINK("http://ts.21cn.com/tousu/show/id/1365018","网贷恶意扣款，在没经过本人同意下。把钱扣了。客服装糊涂")</f>
      </c>
      <c r="C7599" t="s" s="2">
        <v>15</v>
      </c>
      <c r="D7599" t="s" s="2">
        <v>16</v>
      </c>
      <c r="E7599" t="s" s="2">
        <v>17</v>
      </c>
      <c r="F7599" t="s" s="2">
        <f>HYPERLINK("http://ts.21cn.com/tousu/show/id/1365018","http://ts.21cn.com/tousu/show/id/1365018")</f>
      </c>
      <c r="G7599" t="s" s="2">
        <v>17</v>
      </c>
      <c r="H7599" t="s" s="2">
        <v>19</v>
      </c>
      <c r="I7599" t="s" s="2">
        <v>29364</v>
      </c>
      <c r="J7599" t="s" s="2">
        <v>29365</v>
      </c>
      <c r="K7599" t="s" s="2">
        <v>22</v>
      </c>
      <c r="L7599" t="s" s="2">
        <v>22</v>
      </c>
      <c r="M7599" t="s" s="2">
        <v>22</v>
      </c>
    </row>
    <row r="7600" ht="25.0" customHeight="true">
      <c r="A7600" t="s" s="2">
        <v>13</v>
      </c>
      <c r="B7600" t="s" s="2">
        <f>HYPERLINK("http://ts.21cn.com/tousu/show/id/1365017","信用卡强制收费")</f>
      </c>
      <c r="C7600" t="s" s="2">
        <v>15</v>
      </c>
      <c r="D7600" t="s" s="2">
        <v>16</v>
      </c>
      <c r="E7600" t="s" s="2">
        <v>17</v>
      </c>
      <c r="F7600" t="s" s="2">
        <f>HYPERLINK("http://ts.21cn.com/tousu/show/id/1365017","http://ts.21cn.com/tousu/show/id/1365017")</f>
      </c>
      <c r="G7600" t="s" s="2">
        <v>17</v>
      </c>
      <c r="H7600" t="s" s="2">
        <v>19</v>
      </c>
      <c r="I7600" t="s" s="2">
        <v>29368</v>
      </c>
      <c r="J7600" t="s" s="2">
        <v>29369</v>
      </c>
      <c r="K7600" t="s" s="2">
        <v>22</v>
      </c>
      <c r="L7600" t="s" s="2">
        <v>22</v>
      </c>
      <c r="M7600" t="s" s="2">
        <v>22</v>
      </c>
    </row>
    <row r="7601" ht="25.0" customHeight="true">
      <c r="A7601" t="s" s="2">
        <v>13</v>
      </c>
      <c r="B7601" t="s" s="2">
        <f>HYPERLINK("http://ts.21cn.com/tousu/show/id/1365016","网购游戏激活码无效")</f>
      </c>
      <c r="C7601" t="s" s="2">
        <v>15</v>
      </c>
      <c r="D7601" t="s" s="2">
        <v>16</v>
      </c>
      <c r="E7601" t="s" s="2">
        <v>17</v>
      </c>
      <c r="F7601" t="s" s="2">
        <f>HYPERLINK("http://ts.21cn.com/tousu/show/id/1365016","http://ts.21cn.com/tousu/show/id/1365016")</f>
      </c>
      <c r="G7601" t="s" s="2">
        <v>17</v>
      </c>
      <c r="H7601" t="s" s="2">
        <v>19</v>
      </c>
      <c r="I7601" t="s" s="2">
        <v>29372</v>
      </c>
      <c r="J7601" t="s" s="2">
        <v>29373</v>
      </c>
      <c r="K7601" t="s" s="2">
        <v>22</v>
      </c>
      <c r="L7601" t="s" s="2">
        <v>22</v>
      </c>
      <c r="M7601" t="s" s="2">
        <v>22</v>
      </c>
    </row>
    <row r="7602" ht="25.0" customHeight="true">
      <c r="A7602" t="s" s="2">
        <v>13</v>
      </c>
      <c r="B7602" t="s" s="2">
        <f>HYPERLINK("http://ts.21cn.com/tousu/show/id/1365015","读秒钱包，安趣盈违反国家规定超经营范围发放高利贷")</f>
      </c>
      <c r="C7602" t="s" s="2">
        <v>15</v>
      </c>
      <c r="D7602" t="s" s="2">
        <v>16</v>
      </c>
      <c r="E7602" t="s" s="2">
        <v>17</v>
      </c>
      <c r="F7602" t="s" s="2">
        <f>HYPERLINK("http://ts.21cn.com/tousu/show/id/1365015","http://ts.21cn.com/tousu/show/id/1365015")</f>
      </c>
      <c r="G7602" t="s" s="2">
        <v>17</v>
      </c>
      <c r="H7602" t="s" s="2">
        <v>19</v>
      </c>
      <c r="I7602" t="s" s="2">
        <v>29376</v>
      </c>
      <c r="J7602" t="s" s="2">
        <v>29377</v>
      </c>
      <c r="K7602" t="s" s="2">
        <v>22</v>
      </c>
      <c r="L7602" t="s" s="2">
        <v>22</v>
      </c>
      <c r="M7602" t="s" s="2">
        <v>22</v>
      </c>
    </row>
    <row r="7603" ht="25.0" customHeight="true">
      <c r="A7603" t="s" s="2">
        <v>13</v>
      </c>
      <c r="B7603" t="s" s="2">
        <f>HYPERLINK("http://ts.21cn.com/tousu/show/id/1365014","你我贷暴力催收高利贷")</f>
      </c>
      <c r="C7603" t="s" s="2">
        <v>15</v>
      </c>
      <c r="D7603" t="s" s="2">
        <v>16</v>
      </c>
      <c r="E7603" t="s" s="2">
        <v>17</v>
      </c>
      <c r="F7603" t="s" s="2">
        <f>HYPERLINK("http://ts.21cn.com/tousu/show/id/1365014","http://ts.21cn.com/tousu/show/id/1365014")</f>
      </c>
      <c r="G7603" t="s" s="2">
        <v>17</v>
      </c>
      <c r="H7603" t="s" s="2">
        <v>19</v>
      </c>
      <c r="I7603" t="s" s="2">
        <v>29379</v>
      </c>
      <c r="J7603" t="s" s="2">
        <v>29380</v>
      </c>
      <c r="K7603" t="s" s="2">
        <v>22</v>
      </c>
      <c r="L7603" t="s" s="2">
        <v>22</v>
      </c>
      <c r="M7603" t="s" s="2">
        <v>22</v>
      </c>
    </row>
    <row r="7604" ht="25.0" customHeight="true">
      <c r="A7604" t="s" s="2">
        <v>13</v>
      </c>
      <c r="B7604" t="s" s="2">
        <f>HYPERLINK("http://ts.21cn.com/tousu/show/id/1365013","垃圾平台马上金融暴力过份催收，骚扰不停！")</f>
      </c>
      <c r="C7604" t="s" s="2">
        <v>15</v>
      </c>
      <c r="D7604" t="s" s="2">
        <v>16</v>
      </c>
      <c r="E7604" t="s" s="2">
        <v>17</v>
      </c>
      <c r="F7604" t="s" s="2">
        <f>HYPERLINK("http://ts.21cn.com/tousu/show/id/1365013","http://ts.21cn.com/tousu/show/id/1365013")</f>
      </c>
      <c r="G7604" t="s" s="2">
        <v>17</v>
      </c>
      <c r="H7604" t="s" s="2">
        <v>19</v>
      </c>
      <c r="I7604" t="s" s="2">
        <v>29383</v>
      </c>
      <c r="J7604" t="s" s="2">
        <v>29384</v>
      </c>
      <c r="K7604" t="s" s="2">
        <v>22</v>
      </c>
      <c r="L7604" t="s" s="2">
        <v>22</v>
      </c>
      <c r="M7604" t="s" s="2">
        <v>22</v>
      </c>
    </row>
    <row r="7605" ht="25.0" customHeight="true">
      <c r="A7605" t="s" s="2">
        <v>13</v>
      </c>
      <c r="B7605" t="s" s="2">
        <f>HYPERLINK("http://ts.21cn.com/tousu/show/id/1364954","重复扣费客服电话打不通")</f>
      </c>
      <c r="C7605" t="s" s="2">
        <v>15</v>
      </c>
      <c r="D7605" t="s" s="2">
        <v>16</v>
      </c>
      <c r="E7605" t="s" s="2">
        <v>17</v>
      </c>
      <c r="F7605" t="s" s="2">
        <f>HYPERLINK("http://ts.21cn.com/tousu/show/id/1364954","http://ts.21cn.com/tousu/show/id/1364954")</f>
      </c>
      <c r="G7605" t="s" s="2">
        <v>17</v>
      </c>
      <c r="H7605" t="s" s="2">
        <v>19</v>
      </c>
      <c r="I7605" t="s" s="2">
        <v>29387</v>
      </c>
      <c r="J7605" t="s" s="2">
        <v>29388</v>
      </c>
      <c r="K7605" t="s" s="2">
        <v>22</v>
      </c>
      <c r="L7605" t="s" s="2">
        <v>22</v>
      </c>
      <c r="M7605" t="s" s="2">
        <v>22</v>
      </c>
    </row>
    <row r="7606" ht="25.0" customHeight="true">
      <c r="A7606" t="s" s="2">
        <v>13</v>
      </c>
      <c r="B7606" t="s" s="2">
        <f>HYPERLINK("http://ts.21cn.com/tousu/show/id/1365012","大棚占地租金至今未给")</f>
      </c>
      <c r="C7606" t="s" s="2">
        <v>15</v>
      </c>
      <c r="D7606" t="s" s="2">
        <v>16</v>
      </c>
      <c r="E7606" t="s" s="2">
        <v>17</v>
      </c>
      <c r="F7606" t="s" s="2">
        <f>HYPERLINK("http://ts.21cn.com/tousu/show/id/1365012","http://ts.21cn.com/tousu/show/id/1365012")</f>
      </c>
      <c r="G7606" t="s" s="2">
        <v>17</v>
      </c>
      <c r="H7606" t="s" s="2">
        <v>19</v>
      </c>
      <c r="I7606" t="s" s="2">
        <v>29391</v>
      </c>
      <c r="J7606" t="s" s="2">
        <v>29392</v>
      </c>
      <c r="K7606" t="s" s="2">
        <v>22</v>
      </c>
      <c r="L7606" t="s" s="2">
        <v>22</v>
      </c>
      <c r="M7606" t="s" s="2">
        <v>22</v>
      </c>
    </row>
    <row r="7607" ht="25.0" customHeight="true">
      <c r="A7607" t="s" s="2">
        <v>13</v>
      </c>
      <c r="B7607" t="s" s="2">
        <f>HYPERLINK("http://ts.21cn.com/tousu/show/id/1365011","捷信暴力催收")</f>
      </c>
      <c r="C7607" t="s" s="2">
        <v>15</v>
      </c>
      <c r="D7607" t="s" s="2">
        <v>16</v>
      </c>
      <c r="E7607" t="s" s="2">
        <v>17</v>
      </c>
      <c r="F7607" t="s" s="2">
        <f>HYPERLINK("http://ts.21cn.com/tousu/show/id/1365011","http://ts.21cn.com/tousu/show/id/1365011")</f>
      </c>
      <c r="G7607" t="s" s="2">
        <v>17</v>
      </c>
      <c r="H7607" t="s" s="2">
        <v>19</v>
      </c>
      <c r="I7607" t="s" s="2">
        <v>29394</v>
      </c>
      <c r="J7607" t="s" s="2">
        <v>29395</v>
      </c>
      <c r="K7607" t="s" s="2">
        <v>22</v>
      </c>
      <c r="L7607" t="s" s="2">
        <v>22</v>
      </c>
      <c r="M7607" t="s" s="2">
        <v>22</v>
      </c>
    </row>
    <row r="7608" ht="25.0" customHeight="true">
      <c r="A7608" t="s" s="2">
        <v>13</v>
      </c>
      <c r="B7608" t="s" s="2">
        <f>HYPERLINK("http://ts.21cn.com/tousu/show/id/1365010","利息过高且无法提前还款")</f>
      </c>
      <c r="C7608" t="s" s="2">
        <v>15</v>
      </c>
      <c r="D7608" t="s" s="2">
        <v>16</v>
      </c>
      <c r="E7608" t="s" s="2">
        <v>17</v>
      </c>
      <c r="F7608" t="s" s="2">
        <f>HYPERLINK("http://ts.21cn.com/tousu/show/id/1365010","http://ts.21cn.com/tousu/show/id/1365010")</f>
      </c>
      <c r="G7608" t="s" s="2">
        <v>17</v>
      </c>
      <c r="H7608" t="s" s="2">
        <v>19</v>
      </c>
      <c r="I7608" t="s" s="2">
        <v>29398</v>
      </c>
      <c r="J7608" t="s" s="2">
        <v>29399</v>
      </c>
      <c r="K7608" t="s" s="2">
        <v>22</v>
      </c>
      <c r="L7608" t="s" s="2">
        <v>22</v>
      </c>
      <c r="M7608" t="s" s="2">
        <v>22</v>
      </c>
    </row>
    <row r="7609" ht="25.0" customHeight="true">
      <c r="A7609" t="s" s="2">
        <v>13</v>
      </c>
      <c r="B7609" t="s" s="2">
        <f>HYPERLINK("http://ts.21cn.com/tousu/show/id/1365009","京东白条暴力催收")</f>
      </c>
      <c r="C7609" t="s" s="2">
        <v>15</v>
      </c>
      <c r="D7609" t="s" s="2">
        <v>16</v>
      </c>
      <c r="E7609" t="s" s="2">
        <v>17</v>
      </c>
      <c r="F7609" t="s" s="2">
        <f>HYPERLINK("http://ts.21cn.com/tousu/show/id/1365009","http://ts.21cn.com/tousu/show/id/1365009")</f>
      </c>
      <c r="G7609" t="s" s="2">
        <v>17</v>
      </c>
      <c r="H7609" t="s" s="2">
        <v>19</v>
      </c>
      <c r="I7609" t="s" s="2">
        <v>29401</v>
      </c>
      <c r="J7609" t="s" s="2">
        <v>29402</v>
      </c>
      <c r="K7609" t="s" s="2">
        <v>22</v>
      </c>
      <c r="L7609" t="s" s="2">
        <v>22</v>
      </c>
      <c r="M7609" t="s" s="2">
        <v>22</v>
      </c>
    </row>
    <row r="7610" ht="25.0" customHeight="true">
      <c r="A7610" t="s" s="2">
        <v>13</v>
      </c>
      <c r="B7610" t="s" s="2">
        <f>HYPERLINK("http://ts.21cn.com/tousu/show/id/1365008","新橙优品代扣失败导致逾期，并且官方失联")</f>
      </c>
      <c r="C7610" t="s" s="2">
        <v>15</v>
      </c>
      <c r="D7610" t="s" s="2">
        <v>16</v>
      </c>
      <c r="E7610" t="s" s="2">
        <v>17</v>
      </c>
      <c r="F7610" t="s" s="2">
        <f>HYPERLINK("http://ts.21cn.com/tousu/show/id/1365008","http://ts.21cn.com/tousu/show/id/1365008")</f>
      </c>
      <c r="G7610" t="s" s="2">
        <v>17</v>
      </c>
      <c r="H7610" t="s" s="2">
        <v>19</v>
      </c>
      <c r="I7610" t="s" s="2">
        <v>29404</v>
      </c>
      <c r="J7610" t="s" s="2">
        <v>29405</v>
      </c>
      <c r="K7610" t="s" s="2">
        <v>22</v>
      </c>
      <c r="L7610" t="s" s="2">
        <v>22</v>
      </c>
      <c r="M7610" t="s" s="2">
        <v>22</v>
      </c>
    </row>
    <row r="7611" ht="25.0" customHeight="true">
      <c r="A7611" t="s" s="2">
        <v>13</v>
      </c>
      <c r="B7611" t="s" s="2">
        <f>HYPERLINK("http://ts.21cn.com/tousu/show/id/1365005","平安信用卡工作人员骚扰家人")</f>
      </c>
      <c r="C7611" t="s" s="2">
        <v>15</v>
      </c>
      <c r="D7611" t="s" s="2">
        <v>16</v>
      </c>
      <c r="E7611" t="s" s="2">
        <v>17</v>
      </c>
      <c r="F7611" t="s" s="2">
        <f>HYPERLINK("http://ts.21cn.com/tousu/show/id/1365005","http://ts.21cn.com/tousu/show/id/1365005")</f>
      </c>
      <c r="G7611" t="s" s="2">
        <v>17</v>
      </c>
      <c r="H7611" t="s" s="2">
        <v>19</v>
      </c>
      <c r="I7611" t="s" s="2">
        <v>29408</v>
      </c>
      <c r="J7611" t="s" s="2">
        <v>29409</v>
      </c>
      <c r="K7611" t="s" s="2">
        <v>22</v>
      </c>
      <c r="L7611" t="s" s="2">
        <v>22</v>
      </c>
      <c r="M7611" t="s" s="2">
        <v>22</v>
      </c>
    </row>
    <row r="7612" ht="25.0" customHeight="true">
      <c r="A7612" t="s" s="2">
        <v>13</v>
      </c>
      <c r="B7612" t="s" s="2">
        <f>HYPERLINK("http://ts.21cn.com/tousu/show/id/1365004","工商银行信用卡额度降0")</f>
      </c>
      <c r="C7612" t="s" s="2">
        <v>52</v>
      </c>
      <c r="D7612" t="s" s="2">
        <v>16</v>
      </c>
      <c r="E7612" t="s" s="2">
        <v>17</v>
      </c>
      <c r="F7612" t="s" s="2">
        <f>HYPERLINK("http://ts.21cn.com/tousu/show/id/1365004","http://ts.21cn.com/tousu/show/id/1365004")</f>
      </c>
      <c r="G7612" t="s" s="2">
        <v>17</v>
      </c>
      <c r="H7612" t="s" s="2">
        <v>19</v>
      </c>
      <c r="I7612" t="s" s="2">
        <v>29412</v>
      </c>
      <c r="J7612" t="s" s="2">
        <v>29413</v>
      </c>
      <c r="K7612" t="s" s="2">
        <v>22</v>
      </c>
      <c r="L7612" t="s" s="2">
        <v>22</v>
      </c>
      <c r="M7612" t="s" s="2">
        <v>22</v>
      </c>
    </row>
    <row r="7613" ht="25.0" customHeight="true">
      <c r="A7613" t="s" s="2">
        <v>13</v>
      </c>
      <c r="B7613" t="s" s="2">
        <f>HYPERLINK("http://ts.21cn.com/tousu/show/id/1365003","宜信宜人贷阴阳合同，高利贷，暴力催收")</f>
      </c>
      <c r="C7613" t="s" s="2">
        <v>15</v>
      </c>
      <c r="D7613" t="s" s="2">
        <v>16</v>
      </c>
      <c r="E7613" t="s" s="2">
        <v>17</v>
      </c>
      <c r="F7613" t="s" s="2">
        <f>HYPERLINK("http://ts.21cn.com/tousu/show/id/1365003","http://ts.21cn.com/tousu/show/id/1365003")</f>
      </c>
      <c r="G7613" t="s" s="2">
        <v>17</v>
      </c>
      <c r="H7613" t="s" s="2">
        <v>19</v>
      </c>
      <c r="I7613" t="s" s="2">
        <v>29416</v>
      </c>
      <c r="J7613" t="s" s="2">
        <v>29417</v>
      </c>
      <c r="K7613" t="s" s="2">
        <v>22</v>
      </c>
      <c r="L7613" t="s" s="2">
        <v>22</v>
      </c>
      <c r="M7613" t="s" s="2">
        <v>22</v>
      </c>
    </row>
    <row r="7614" ht="25.0" customHeight="true">
      <c r="A7614" t="s" s="2">
        <v>13</v>
      </c>
      <c r="B7614" t="s" s="2">
        <f>HYPERLINK("http://ts.21cn.com/tousu/show/id/1365002","高额利息套路贷")</f>
      </c>
      <c r="C7614" t="s" s="2">
        <v>15</v>
      </c>
      <c r="D7614" t="s" s="2">
        <v>16</v>
      </c>
      <c r="E7614" t="s" s="2">
        <v>17</v>
      </c>
      <c r="F7614" t="s" s="2">
        <f>HYPERLINK("http://ts.21cn.com/tousu/show/id/1365002","http://ts.21cn.com/tousu/show/id/1365002")</f>
      </c>
      <c r="G7614" t="s" s="2">
        <v>17</v>
      </c>
      <c r="H7614" t="s" s="2">
        <v>19</v>
      </c>
      <c r="I7614" t="s" s="2">
        <v>29420</v>
      </c>
      <c r="J7614" t="s" s="2">
        <v>29421</v>
      </c>
      <c r="K7614" t="s" s="2">
        <v>22</v>
      </c>
      <c r="L7614" t="s" s="2">
        <v>22</v>
      </c>
      <c r="M7614" t="s" s="2">
        <v>22</v>
      </c>
    </row>
    <row r="7615" ht="25.0" customHeight="true">
      <c r="A7615" t="s" s="2">
        <v>13</v>
      </c>
      <c r="B7615" t="s" s="2">
        <f>HYPERLINK("http://ts.21cn.com/tousu/show/id/1365001","浦发银行暴力催收")</f>
      </c>
      <c r="C7615" t="s" s="2">
        <v>15</v>
      </c>
      <c r="D7615" t="s" s="2">
        <v>16</v>
      </c>
      <c r="E7615" t="s" s="2">
        <v>17</v>
      </c>
      <c r="F7615" t="s" s="2">
        <f>HYPERLINK("http://ts.21cn.com/tousu/show/id/1365001","http://ts.21cn.com/tousu/show/id/1365001")</f>
      </c>
      <c r="G7615" t="s" s="2">
        <v>17</v>
      </c>
      <c r="H7615" t="s" s="2">
        <v>19</v>
      </c>
      <c r="I7615" t="s" s="2">
        <v>29424</v>
      </c>
      <c r="J7615" t="s" s="2">
        <v>29425</v>
      </c>
      <c r="K7615" t="s" s="2">
        <v>22</v>
      </c>
      <c r="L7615" t="s" s="2">
        <v>22</v>
      </c>
      <c r="M7615" t="s" s="2">
        <v>22</v>
      </c>
    </row>
    <row r="7616" ht="25.0" customHeight="true">
      <c r="A7616" t="s" s="2">
        <v>13</v>
      </c>
      <c r="B7616" t="s" s="2">
        <f>HYPERLINK("http://ts.21cn.com/tousu/show/id/1365000","虎牙斗鱼平台多名主播出售及回收棋牌游戏币涉嫌违法事宜情况举报")</f>
      </c>
      <c r="C7616" t="s" s="2">
        <v>15</v>
      </c>
      <c r="D7616" t="s" s="2">
        <v>16</v>
      </c>
      <c r="E7616" t="s" s="2">
        <v>17</v>
      </c>
      <c r="F7616" t="s" s="2">
        <f>HYPERLINK("http://ts.21cn.com/tousu/show/id/1365000","http://ts.21cn.com/tousu/show/id/1365000")</f>
      </c>
      <c r="G7616" t="s" s="2">
        <v>17</v>
      </c>
      <c r="H7616" t="s" s="2">
        <v>19</v>
      </c>
      <c r="I7616" t="s" s="2">
        <v>29428</v>
      </c>
      <c r="J7616" t="s" s="2">
        <v>29429</v>
      </c>
      <c r="K7616" t="s" s="2">
        <v>22</v>
      </c>
      <c r="L7616" t="s" s="2">
        <v>22</v>
      </c>
      <c r="M7616" t="s" s="2">
        <v>22</v>
      </c>
    </row>
    <row r="7617" ht="25.0" customHeight="true">
      <c r="A7617" t="s" s="2">
        <v>13</v>
      </c>
      <c r="B7617" t="s" s="2">
        <f>HYPERLINK("http://ts.21cn.com/tousu/show/id/1364999","浦发银行万用金")</f>
      </c>
      <c r="C7617" t="s" s="2">
        <v>15</v>
      </c>
      <c r="D7617" t="s" s="2">
        <v>16</v>
      </c>
      <c r="E7617" t="s" s="2">
        <v>17</v>
      </c>
      <c r="F7617" t="s" s="2">
        <f>HYPERLINK("http://ts.21cn.com/tousu/show/id/1364999","http://ts.21cn.com/tousu/show/id/1364999")</f>
      </c>
      <c r="G7617" t="s" s="2">
        <v>17</v>
      </c>
      <c r="H7617" t="s" s="2">
        <v>19</v>
      </c>
      <c r="I7617" t="s" s="2">
        <v>29431</v>
      </c>
      <c r="J7617" t="s" s="2">
        <v>29432</v>
      </c>
      <c r="K7617" t="s" s="2">
        <v>22</v>
      </c>
      <c r="L7617" t="s" s="2">
        <v>22</v>
      </c>
      <c r="M7617" t="s" s="2">
        <v>22</v>
      </c>
    </row>
    <row r="7618" ht="25.0" customHeight="true">
      <c r="A7618" t="s" s="2">
        <v>13</v>
      </c>
      <c r="B7618" t="s" s="2">
        <f>HYPERLINK("http://ts.21cn.com/tousu/show/id/1364998","滴滴安全投诉")</f>
      </c>
      <c r="C7618" t="s" s="2">
        <v>15</v>
      </c>
      <c r="D7618" t="s" s="2">
        <v>16</v>
      </c>
      <c r="E7618" t="s" s="2">
        <v>17</v>
      </c>
      <c r="F7618" t="s" s="2">
        <f>HYPERLINK("http://ts.21cn.com/tousu/show/id/1364998","http://ts.21cn.com/tousu/show/id/1364998")</f>
      </c>
      <c r="G7618" t="s" s="2">
        <v>17</v>
      </c>
      <c r="H7618" t="s" s="2">
        <v>19</v>
      </c>
      <c r="I7618" t="s" s="2">
        <v>29435</v>
      </c>
      <c r="J7618" t="s" s="2">
        <v>29436</v>
      </c>
      <c r="K7618" t="s" s="2">
        <v>22</v>
      </c>
      <c r="L7618" t="s" s="2">
        <v>22</v>
      </c>
      <c r="M7618" t="s" s="2">
        <v>22</v>
      </c>
    </row>
    <row r="7619" ht="25.0" customHeight="true">
      <c r="A7619" t="s" s="2">
        <v>13</v>
      </c>
      <c r="B7619" t="s" s="2">
        <f>HYPERLINK("http://ts.21cn.com/tousu/show/id/1364997","黑心美团众包，乱封账号，还不让提现，坑骑手血汗钱")</f>
      </c>
      <c r="C7619" t="s" s="2">
        <v>15</v>
      </c>
      <c r="D7619" t="s" s="2">
        <v>16</v>
      </c>
      <c r="E7619" t="s" s="2">
        <v>17</v>
      </c>
      <c r="F7619" t="s" s="2">
        <f>HYPERLINK("http://ts.21cn.com/tousu/show/id/1364997","http://ts.21cn.com/tousu/show/id/1364997")</f>
      </c>
      <c r="G7619" t="s" s="2">
        <v>17</v>
      </c>
      <c r="H7619" t="s" s="2">
        <v>19</v>
      </c>
      <c r="I7619" t="s" s="2">
        <v>29439</v>
      </c>
      <c r="J7619" t="s" s="2">
        <v>29440</v>
      </c>
      <c r="K7619" t="s" s="2">
        <v>22</v>
      </c>
      <c r="L7619" t="s" s="2">
        <v>22</v>
      </c>
      <c r="M7619" t="s" s="2">
        <v>22</v>
      </c>
    </row>
    <row r="7620" ht="25.0" customHeight="true">
      <c r="A7620" t="s" s="2">
        <v>13</v>
      </c>
      <c r="B7620" t="s" s="2">
        <f>HYPERLINK("http://ts.21cn.com/tousu/show/id/1364996","恶意降低抽奖概率，游戏内抽奖无保底机制")</f>
      </c>
      <c r="C7620" t="s" s="2">
        <v>15</v>
      </c>
      <c r="D7620" t="s" s="2">
        <v>16</v>
      </c>
      <c r="E7620" t="s" s="2">
        <v>17</v>
      </c>
      <c r="F7620" t="s" s="2">
        <f>HYPERLINK("http://ts.21cn.com/tousu/show/id/1364996","http://ts.21cn.com/tousu/show/id/1364996")</f>
      </c>
      <c r="G7620" t="s" s="2">
        <v>17</v>
      </c>
      <c r="H7620" t="s" s="2">
        <v>19</v>
      </c>
      <c r="I7620" t="s" s="2">
        <v>29443</v>
      </c>
      <c r="J7620" t="s" s="2">
        <v>29444</v>
      </c>
      <c r="K7620" t="s" s="2">
        <v>22</v>
      </c>
      <c r="L7620" t="s" s="2">
        <v>22</v>
      </c>
      <c r="M7620" t="s" s="2">
        <v>22</v>
      </c>
    </row>
    <row r="7621" ht="25.0" customHeight="true">
      <c r="A7621" t="s" s="2">
        <v>13</v>
      </c>
      <c r="B7621" t="s" s="2">
        <f>HYPERLINK("http://ts.21cn.com/tousu/show/id/1364995","库博体育欺诈无法投注造成损失")</f>
      </c>
      <c r="C7621" t="s" s="2">
        <v>15</v>
      </c>
      <c r="D7621" t="s" s="2">
        <v>16</v>
      </c>
      <c r="E7621" t="s" s="2">
        <v>17</v>
      </c>
      <c r="F7621" t="s" s="2">
        <f>HYPERLINK("http://ts.21cn.com/tousu/show/id/1364995","http://ts.21cn.com/tousu/show/id/1364995")</f>
      </c>
      <c r="G7621" t="s" s="2">
        <v>17</v>
      </c>
      <c r="H7621" t="s" s="2">
        <v>19</v>
      </c>
      <c r="I7621" t="s" s="2">
        <v>29447</v>
      </c>
      <c r="J7621" t="s" s="2">
        <v>29448</v>
      </c>
      <c r="K7621" t="s" s="2">
        <v>22</v>
      </c>
      <c r="L7621" t="s" s="2">
        <v>22</v>
      </c>
      <c r="M7621" t="s" s="2">
        <v>22</v>
      </c>
    </row>
    <row r="7622" ht="25.0" customHeight="true">
      <c r="A7622" t="s" s="2">
        <v>13</v>
      </c>
      <c r="B7622" t="s" s="2">
        <f>HYPERLINK("http://ts.21cn.com/tousu/show/id/1364994","暴力催收，辱骂侮辱")</f>
      </c>
      <c r="C7622" t="s" s="2">
        <v>15</v>
      </c>
      <c r="D7622" t="s" s="2">
        <v>16</v>
      </c>
      <c r="E7622" t="s" s="2">
        <v>17</v>
      </c>
      <c r="F7622" t="s" s="2">
        <f>HYPERLINK("http://ts.21cn.com/tousu/show/id/1364994","http://ts.21cn.com/tousu/show/id/1364994")</f>
      </c>
      <c r="G7622" t="s" s="2">
        <v>17</v>
      </c>
      <c r="H7622" t="s" s="2">
        <v>19</v>
      </c>
      <c r="I7622" t="s" s="2">
        <v>29451</v>
      </c>
      <c r="J7622" t="s" s="2">
        <v>29452</v>
      </c>
      <c r="K7622" t="s" s="2">
        <v>22</v>
      </c>
      <c r="L7622" t="s" s="2">
        <v>22</v>
      </c>
      <c r="M7622" t="s" s="2">
        <v>22</v>
      </c>
    </row>
    <row r="7623" ht="25.0" customHeight="true">
      <c r="A7623" t="s" s="2">
        <v>13</v>
      </c>
      <c r="B7623" t="s" s="2">
        <f>HYPERLINK("http://ts.21cn.com/tousu/show/id/1364993","蚂蚁金呗暴力催收")</f>
      </c>
      <c r="C7623" t="s" s="2">
        <v>15</v>
      </c>
      <c r="D7623" t="s" s="2">
        <v>16</v>
      </c>
      <c r="E7623" t="s" s="2">
        <v>17</v>
      </c>
      <c r="F7623" t="s" s="2">
        <f>HYPERLINK("http://ts.21cn.com/tousu/show/id/1364993","http://ts.21cn.com/tousu/show/id/1364993")</f>
      </c>
      <c r="G7623" t="s" s="2">
        <v>17</v>
      </c>
      <c r="H7623" t="s" s="2">
        <v>19</v>
      </c>
      <c r="I7623" t="s" s="2">
        <v>29455</v>
      </c>
      <c r="J7623" t="s" s="2">
        <v>29456</v>
      </c>
      <c r="K7623" t="s" s="2">
        <v>22</v>
      </c>
      <c r="L7623" t="s" s="2">
        <v>22</v>
      </c>
      <c r="M7623" t="s" s="2">
        <v>22</v>
      </c>
    </row>
    <row r="7624" ht="25.0" customHeight="true">
      <c r="A7624" t="s" s="2">
        <v>13</v>
      </c>
      <c r="B7624" t="s" s="2">
        <f>HYPERLINK("http://ts.21cn.com/tousu/show/id/1364992","招商银行暴力催收")</f>
      </c>
      <c r="C7624" t="s" s="2">
        <v>15</v>
      </c>
      <c r="D7624" t="s" s="2">
        <v>16</v>
      </c>
      <c r="E7624" t="s" s="2">
        <v>17</v>
      </c>
      <c r="F7624" t="s" s="2">
        <f>HYPERLINK("http://ts.21cn.com/tousu/show/id/1364992","http://ts.21cn.com/tousu/show/id/1364992")</f>
      </c>
      <c r="G7624" t="s" s="2">
        <v>17</v>
      </c>
      <c r="H7624" t="s" s="2">
        <v>19</v>
      </c>
      <c r="I7624" t="s" s="2">
        <v>29459</v>
      </c>
      <c r="J7624" t="s" s="2">
        <v>29460</v>
      </c>
      <c r="K7624" t="s" s="2">
        <v>22</v>
      </c>
      <c r="L7624" t="s" s="2">
        <v>22</v>
      </c>
      <c r="M7624" t="s" s="2">
        <v>22</v>
      </c>
    </row>
    <row r="7625" ht="25.0" customHeight="true">
      <c r="A7625" t="s" s="2">
        <v>13</v>
      </c>
      <c r="B7625" t="s" s="2">
        <f>HYPERLINK("http://ts.21cn.com/tousu/show/id/1364991","蓝店公司提现不到账，大面积商户提现不到账")</f>
      </c>
      <c r="C7625" t="s" s="2">
        <v>52</v>
      </c>
      <c r="D7625" t="s" s="2">
        <v>16</v>
      </c>
      <c r="E7625" t="s" s="2">
        <v>17</v>
      </c>
      <c r="F7625" t="s" s="2">
        <f>HYPERLINK("http://ts.21cn.com/tousu/show/id/1364991","http://ts.21cn.com/tousu/show/id/1364991")</f>
      </c>
      <c r="G7625" t="s" s="2">
        <v>17</v>
      </c>
      <c r="H7625" t="s" s="2">
        <v>19</v>
      </c>
      <c r="I7625" t="s" s="2">
        <v>29462</v>
      </c>
      <c r="J7625" t="s" s="2">
        <v>29463</v>
      </c>
      <c r="K7625" t="s" s="2">
        <v>22</v>
      </c>
      <c r="L7625" t="s" s="2">
        <v>22</v>
      </c>
      <c r="M7625" t="s" s="2">
        <v>22</v>
      </c>
    </row>
    <row r="7626" ht="25.0" customHeight="true">
      <c r="A7626" t="s" s="2">
        <v>13</v>
      </c>
      <c r="B7626" t="s" s="2">
        <f>HYPERLINK("http://ts.21cn.com/tousu/show/id/1364990","钱站用阴阳合同收取高额利息")</f>
      </c>
      <c r="C7626" t="s" s="2">
        <v>15</v>
      </c>
      <c r="D7626" t="s" s="2">
        <v>16</v>
      </c>
      <c r="E7626" t="s" s="2">
        <v>17</v>
      </c>
      <c r="F7626" t="s" s="2">
        <f>HYPERLINK("http://ts.21cn.com/tousu/show/id/1364990","http://ts.21cn.com/tousu/show/id/1364990")</f>
      </c>
      <c r="G7626" t="s" s="2">
        <v>17</v>
      </c>
      <c r="H7626" t="s" s="2">
        <v>19</v>
      </c>
      <c r="I7626" t="s" s="2">
        <v>29466</v>
      </c>
      <c r="J7626" t="s" s="2">
        <v>29467</v>
      </c>
      <c r="K7626" t="s" s="2">
        <v>22</v>
      </c>
      <c r="L7626" t="s" s="2">
        <v>22</v>
      </c>
      <c r="M7626" t="s" s="2">
        <v>22</v>
      </c>
    </row>
    <row r="7627" ht="25.0" customHeight="true">
      <c r="A7627" t="s" s="2">
        <v>13</v>
      </c>
      <c r="B7627" t="s" s="2">
        <f>HYPERLINK("http://ts.21cn.com/tousu/show/id/1364989","中国建设银行")</f>
      </c>
      <c r="C7627" t="s" s="2">
        <v>15</v>
      </c>
      <c r="D7627" t="s" s="2">
        <v>16</v>
      </c>
      <c r="E7627" t="s" s="2">
        <v>17</v>
      </c>
      <c r="F7627" t="s" s="2">
        <f>HYPERLINK("http://ts.21cn.com/tousu/show/id/1364989","http://ts.21cn.com/tousu/show/id/1364989")</f>
      </c>
      <c r="G7627" t="s" s="2">
        <v>17</v>
      </c>
      <c r="H7627" t="s" s="2">
        <v>19</v>
      </c>
      <c r="I7627" t="s" s="2">
        <v>29470</v>
      </c>
      <c r="J7627" t="s" s="2">
        <v>29471</v>
      </c>
      <c r="K7627" t="s" s="2">
        <v>22</v>
      </c>
      <c r="L7627" t="s" s="2">
        <v>22</v>
      </c>
      <c r="M7627" t="s" s="2">
        <v>22</v>
      </c>
    </row>
    <row r="7628" ht="25.0" customHeight="true">
      <c r="A7628" t="s" s="2">
        <v>13</v>
      </c>
      <c r="B7628" t="s" s="2">
        <f>HYPERLINK("http://ts.21cn.com/tousu/show/id/1364988","人人花未经同意，私自扣款")</f>
      </c>
      <c r="C7628" t="s" s="2">
        <v>15</v>
      </c>
      <c r="D7628" t="s" s="2">
        <v>16</v>
      </c>
      <c r="E7628" t="s" s="2">
        <v>17</v>
      </c>
      <c r="F7628" t="s" s="2">
        <f>HYPERLINK("http://ts.21cn.com/tousu/show/id/1364988","http://ts.21cn.com/tousu/show/id/1364988")</f>
      </c>
      <c r="G7628" t="s" s="2">
        <v>17</v>
      </c>
      <c r="H7628" t="s" s="2">
        <v>19</v>
      </c>
      <c r="I7628" t="s" s="2">
        <v>29474</v>
      </c>
      <c r="J7628" t="s" s="2">
        <v>29475</v>
      </c>
      <c r="K7628" t="s" s="2">
        <v>22</v>
      </c>
      <c r="L7628" t="s" s="2">
        <v>22</v>
      </c>
      <c r="M7628" t="s" s="2">
        <v>22</v>
      </c>
    </row>
    <row r="7629" ht="25.0" customHeight="true">
      <c r="A7629" t="s" s="2">
        <v>13</v>
      </c>
      <c r="B7629" t="s" s="2">
        <f>HYPERLINK("http://ts.21cn.com/tousu/show/id/1364987","美团金川站贾小伟")</f>
      </c>
      <c r="C7629" t="s" s="2">
        <v>15</v>
      </c>
      <c r="D7629" t="s" s="2">
        <v>16</v>
      </c>
      <c r="E7629" t="s" s="2">
        <v>17</v>
      </c>
      <c r="F7629" t="s" s="2">
        <f>HYPERLINK("http://ts.21cn.com/tousu/show/id/1364987","http://ts.21cn.com/tousu/show/id/1364987")</f>
      </c>
      <c r="G7629" t="s" s="2">
        <v>17</v>
      </c>
      <c r="H7629" t="s" s="2">
        <v>19</v>
      </c>
      <c r="I7629" t="s" s="2">
        <v>29478</v>
      </c>
      <c r="J7629" t="s" s="2">
        <v>29479</v>
      </c>
      <c r="K7629" t="s" s="2">
        <v>22</v>
      </c>
      <c r="L7629" t="s" s="2">
        <v>22</v>
      </c>
      <c r="M7629" t="s" s="2">
        <v>22</v>
      </c>
    </row>
    <row r="7630" ht="25.0" customHeight="true">
      <c r="A7630" t="s" s="2">
        <v>13</v>
      </c>
      <c r="B7630" t="s" s="2">
        <f>HYPERLINK("http://ts.21cn.com/tousu/show/id/1364986","未经本人同意，人人花app乱扣费如何保障自身财产安全")</f>
      </c>
      <c r="C7630" t="s" s="2">
        <v>15</v>
      </c>
      <c r="D7630" t="s" s="2">
        <v>16</v>
      </c>
      <c r="E7630" t="s" s="2">
        <v>17</v>
      </c>
      <c r="F7630" t="s" s="2">
        <f>HYPERLINK("http://ts.21cn.com/tousu/show/id/1364986","http://ts.21cn.com/tousu/show/id/1364986")</f>
      </c>
      <c r="G7630" t="s" s="2">
        <v>17</v>
      </c>
      <c r="H7630" t="s" s="2">
        <v>19</v>
      </c>
      <c r="I7630" t="s" s="2">
        <v>29482</v>
      </c>
      <c r="J7630" t="s" s="2">
        <v>29483</v>
      </c>
      <c r="K7630" t="s" s="2">
        <v>22</v>
      </c>
      <c r="L7630" t="s" s="2">
        <v>22</v>
      </c>
      <c r="M7630" t="s" s="2">
        <v>22</v>
      </c>
    </row>
    <row r="7631" ht="25.0" customHeight="true">
      <c r="A7631" t="s" s="2">
        <v>13</v>
      </c>
      <c r="B7631" t="s" s="2">
        <f>HYPERLINK("http://ts.21cn.com/tousu/show/id/1364985","维信卡卡贷高利贷，并收高额保险费")</f>
      </c>
      <c r="C7631" t="s" s="2">
        <v>15</v>
      </c>
      <c r="D7631" t="s" s="2">
        <v>16</v>
      </c>
      <c r="E7631" t="s" s="2">
        <v>17</v>
      </c>
      <c r="F7631" t="s" s="2">
        <f>HYPERLINK("http://ts.21cn.com/tousu/show/id/1364985","http://ts.21cn.com/tousu/show/id/1364985")</f>
      </c>
      <c r="G7631" t="s" s="2">
        <v>17</v>
      </c>
      <c r="H7631" t="s" s="2">
        <v>19</v>
      </c>
      <c r="I7631" t="s" s="2">
        <v>29486</v>
      </c>
      <c r="J7631" t="s" s="2">
        <v>29487</v>
      </c>
      <c r="K7631" t="s" s="2">
        <v>22</v>
      </c>
      <c r="L7631" t="s" s="2">
        <v>22</v>
      </c>
      <c r="M7631" t="s" s="2">
        <v>22</v>
      </c>
    </row>
    <row r="7632" ht="25.0" customHeight="true">
      <c r="A7632" t="s" s="2">
        <v>13</v>
      </c>
      <c r="B7632" t="s" s="2">
        <f>HYPERLINK("http://ts.21cn.com/tousu/show/id/1364984","拇指下款违规胡乱扣费")</f>
      </c>
      <c r="C7632" t="s" s="2">
        <v>15</v>
      </c>
      <c r="D7632" t="s" s="2">
        <v>16</v>
      </c>
      <c r="E7632" t="s" s="2">
        <v>17</v>
      </c>
      <c r="F7632" t="s" s="2">
        <f>HYPERLINK("http://ts.21cn.com/tousu/show/id/1364984","http://ts.21cn.com/tousu/show/id/1364984")</f>
      </c>
      <c r="G7632" t="s" s="2">
        <v>17</v>
      </c>
      <c r="H7632" t="s" s="2">
        <v>19</v>
      </c>
      <c r="I7632" t="s" s="2">
        <v>29490</v>
      </c>
      <c r="J7632" t="s" s="2">
        <v>29491</v>
      </c>
      <c r="K7632" t="s" s="2">
        <v>22</v>
      </c>
      <c r="L7632" t="s" s="2">
        <v>22</v>
      </c>
      <c r="M7632" t="s" s="2">
        <v>22</v>
      </c>
    </row>
    <row r="7633" ht="25.0" customHeight="true">
      <c r="A7633" t="s" s="2">
        <v>13</v>
      </c>
      <c r="B7633" t="s" s="2">
        <f>HYPERLINK("http://ts.21cn.com/tousu/show/id/1364983","新橙优品代扣失败导致逾期，并且官方失联")</f>
      </c>
      <c r="C7633" t="s" s="2">
        <v>15</v>
      </c>
      <c r="D7633" t="s" s="2">
        <v>16</v>
      </c>
      <c r="E7633" t="s" s="2">
        <v>17</v>
      </c>
      <c r="F7633" t="s" s="2">
        <f>HYPERLINK("http://ts.21cn.com/tousu/show/id/1364983","http://ts.21cn.com/tousu/show/id/1364983")</f>
      </c>
      <c r="G7633" t="s" s="2">
        <v>17</v>
      </c>
      <c r="H7633" t="s" s="2">
        <v>19</v>
      </c>
      <c r="I7633" t="s" s="2">
        <v>29493</v>
      </c>
      <c r="J7633" t="s" s="2">
        <v>29494</v>
      </c>
      <c r="K7633" t="s" s="2">
        <v>22</v>
      </c>
      <c r="L7633" t="s" s="2">
        <v>22</v>
      </c>
      <c r="M7633" t="s" s="2">
        <v>22</v>
      </c>
    </row>
    <row r="7634" ht="25.0" customHeight="true">
      <c r="A7634" t="s" s="2">
        <v>13</v>
      </c>
      <c r="B7634" t="s" s="2">
        <f>HYPERLINK("http://ts.21cn.com/tousu/show/id/1364982","人人花乱扣费")</f>
      </c>
      <c r="C7634" t="s" s="2">
        <v>15</v>
      </c>
      <c r="D7634" t="s" s="2">
        <v>16</v>
      </c>
      <c r="E7634" t="s" s="2">
        <v>17</v>
      </c>
      <c r="F7634" t="s" s="2">
        <f>HYPERLINK("http://ts.21cn.com/tousu/show/id/1364982","http://ts.21cn.com/tousu/show/id/1364982")</f>
      </c>
      <c r="G7634" t="s" s="2">
        <v>17</v>
      </c>
      <c r="H7634" t="s" s="2">
        <v>19</v>
      </c>
      <c r="I7634" t="s" s="2">
        <v>29496</v>
      </c>
      <c r="J7634" t="s" s="2">
        <v>29497</v>
      </c>
      <c r="K7634" t="s" s="2">
        <v>22</v>
      </c>
      <c r="L7634" t="s" s="2">
        <v>22</v>
      </c>
      <c r="M7634" t="s" s="2">
        <v>22</v>
      </c>
    </row>
    <row r="7635" ht="25.0" customHeight="true">
      <c r="A7635" t="s" s="2">
        <v>13</v>
      </c>
      <c r="B7635" t="s" s="2">
        <f>HYPERLINK("http://ts.21cn.com/tousu/show/id/1364981","友缘在线欺诈用户恶意扣款")</f>
      </c>
      <c r="C7635" t="s" s="2">
        <v>15</v>
      </c>
      <c r="D7635" t="s" s="2">
        <v>16</v>
      </c>
      <c r="E7635" t="s" s="2">
        <v>17</v>
      </c>
      <c r="F7635" t="s" s="2">
        <f>HYPERLINK("http://ts.21cn.com/tousu/show/id/1364981","http://ts.21cn.com/tousu/show/id/1364981")</f>
      </c>
      <c r="G7635" t="s" s="2">
        <v>17</v>
      </c>
      <c r="H7635" t="s" s="2">
        <v>19</v>
      </c>
      <c r="I7635" t="s" s="2">
        <v>29500</v>
      </c>
      <c r="J7635" t="s" s="2">
        <v>29501</v>
      </c>
      <c r="K7635" t="s" s="2">
        <v>22</v>
      </c>
      <c r="L7635" t="s" s="2">
        <v>22</v>
      </c>
      <c r="M7635" t="s" s="2">
        <v>22</v>
      </c>
    </row>
    <row r="7636" ht="25.0" customHeight="true">
      <c r="A7636" t="s" s="2">
        <v>13</v>
      </c>
      <c r="B7636" t="s" s="2">
        <f>HYPERLINK("http://ts.21cn.com/tousu/show/id/1364980","交通银行信用卡催收骚扰")</f>
      </c>
      <c r="C7636" t="s" s="2">
        <v>15</v>
      </c>
      <c r="D7636" t="s" s="2">
        <v>16</v>
      </c>
      <c r="E7636" t="s" s="2">
        <v>17</v>
      </c>
      <c r="F7636" t="s" s="2">
        <f>HYPERLINK("http://ts.21cn.com/tousu/show/id/1364980","http://ts.21cn.com/tousu/show/id/1364980")</f>
      </c>
      <c r="G7636" t="s" s="2">
        <v>17</v>
      </c>
      <c r="H7636" t="s" s="2">
        <v>19</v>
      </c>
      <c r="I7636" t="s" s="2">
        <v>29504</v>
      </c>
      <c r="J7636" t="s" s="2">
        <v>29505</v>
      </c>
      <c r="K7636" t="s" s="2">
        <v>22</v>
      </c>
      <c r="L7636" t="s" s="2">
        <v>22</v>
      </c>
      <c r="M7636" t="s" s="2">
        <v>22</v>
      </c>
    </row>
    <row r="7637" ht="25.0" customHeight="true">
      <c r="A7637" t="s" s="2">
        <v>13</v>
      </c>
      <c r="B7637" t="s" s="2">
        <f>HYPERLINK("http://ts.21cn.com/tousu/show/id/1364979","月光侠砍头息高利贷，暴力催收")</f>
      </c>
      <c r="C7637" t="s" s="2">
        <v>15</v>
      </c>
      <c r="D7637" t="s" s="2">
        <v>16</v>
      </c>
      <c r="E7637" t="s" s="2">
        <v>17</v>
      </c>
      <c r="F7637" t="s" s="2">
        <f>HYPERLINK("http://ts.21cn.com/tousu/show/id/1364979","http://ts.21cn.com/tousu/show/id/1364979")</f>
      </c>
      <c r="G7637" t="s" s="2">
        <v>17</v>
      </c>
      <c r="H7637" t="s" s="2">
        <v>19</v>
      </c>
      <c r="I7637" t="s" s="2">
        <v>29508</v>
      </c>
      <c r="J7637" t="s" s="2">
        <v>29509</v>
      </c>
      <c r="K7637" t="s" s="2">
        <v>22</v>
      </c>
      <c r="L7637" t="s" s="2">
        <v>22</v>
      </c>
      <c r="M7637" t="s" s="2">
        <v>22</v>
      </c>
    </row>
    <row r="7638" ht="25.0" customHeight="true">
      <c r="A7638" t="s" s="2">
        <v>13</v>
      </c>
      <c r="B7638" t="s" s="2">
        <f>HYPERLINK("http://ts.21cn.com/tousu/show/id/1364977","中国移动宽带退不了，套餐也不能更改")</f>
      </c>
      <c r="C7638" t="s" s="2">
        <v>15</v>
      </c>
      <c r="D7638" t="s" s="2">
        <v>16</v>
      </c>
      <c r="E7638" t="s" s="2">
        <v>17</v>
      </c>
      <c r="F7638" t="s" s="2">
        <f>HYPERLINK("http://ts.21cn.com/tousu/show/id/1364977","http://ts.21cn.com/tousu/show/id/1364977")</f>
      </c>
      <c r="G7638" t="s" s="2">
        <v>17</v>
      </c>
      <c r="H7638" t="s" s="2">
        <v>19</v>
      </c>
      <c r="I7638" t="s" s="2">
        <v>29512</v>
      </c>
      <c r="J7638" t="s" s="2">
        <v>29513</v>
      </c>
      <c r="K7638" t="s" s="2">
        <v>22</v>
      </c>
      <c r="L7638" t="s" s="2">
        <v>22</v>
      </c>
      <c r="M7638" t="s" s="2">
        <v>22</v>
      </c>
    </row>
    <row r="7639" ht="25.0" customHeight="true">
      <c r="A7639" t="s" s="2">
        <v>13</v>
      </c>
      <c r="B7639" t="s" s="2">
        <f>HYPERLINK("http://ts.21cn.com/tousu/show/id/1364978","希望如期分期退还砍头息1311元")</f>
      </c>
      <c r="C7639" t="s" s="2">
        <v>15</v>
      </c>
      <c r="D7639" t="s" s="2">
        <v>16</v>
      </c>
      <c r="E7639" t="s" s="2">
        <v>17</v>
      </c>
      <c r="F7639" t="s" s="2">
        <f>HYPERLINK("http://ts.21cn.com/tousu/show/id/1364978","http://ts.21cn.com/tousu/show/id/1364978")</f>
      </c>
      <c r="G7639" t="s" s="2">
        <v>17</v>
      </c>
      <c r="H7639" t="s" s="2">
        <v>19</v>
      </c>
      <c r="I7639" t="s" s="2">
        <v>29516</v>
      </c>
      <c r="J7639" t="s" s="2">
        <v>29517</v>
      </c>
      <c r="K7639" t="s" s="2">
        <v>22</v>
      </c>
      <c r="L7639" t="s" s="2">
        <v>22</v>
      </c>
      <c r="M7639" t="s" s="2">
        <v>22</v>
      </c>
    </row>
    <row r="7640" ht="25.0" customHeight="true">
      <c r="A7640" t="s" s="2">
        <v>13</v>
      </c>
      <c r="B7640" t="s" s="2">
        <f>HYPERLINK("http://ts.21cn.com/tousu/show/id/1364976","信用管家里的薪意贷非法高利贷，畅捷支付非法为高利贷提供支付通道")</f>
      </c>
      <c r="C7640" t="s" s="2">
        <v>15</v>
      </c>
      <c r="D7640" t="s" s="2">
        <v>16</v>
      </c>
      <c r="E7640" t="s" s="2">
        <v>17</v>
      </c>
      <c r="F7640" t="s" s="2">
        <f>HYPERLINK("http://ts.21cn.com/tousu/show/id/1364976","http://ts.21cn.com/tousu/show/id/1364976")</f>
      </c>
      <c r="G7640" t="s" s="2">
        <v>17</v>
      </c>
      <c r="H7640" t="s" s="2">
        <v>19</v>
      </c>
      <c r="I7640" t="s" s="2">
        <v>29520</v>
      </c>
      <c r="J7640" t="s" s="2">
        <v>29521</v>
      </c>
      <c r="K7640" t="s" s="2">
        <v>22</v>
      </c>
      <c r="L7640" t="s" s="2">
        <v>22</v>
      </c>
      <c r="M7640" t="s" s="2">
        <v>22</v>
      </c>
    </row>
    <row r="7641" ht="25.0" customHeight="true">
      <c r="A7641" t="s" s="2">
        <v>13</v>
      </c>
      <c r="B7641" t="s" s="2">
        <f>HYPERLINK("http://ts.21cn.com/tousu/show/id/1364975","拼多多随意封店，全店下架")</f>
      </c>
      <c r="C7641" t="s" s="2">
        <v>15</v>
      </c>
      <c r="D7641" t="s" s="2">
        <v>16</v>
      </c>
      <c r="E7641" t="s" s="2">
        <v>17</v>
      </c>
      <c r="F7641" t="s" s="2">
        <f>HYPERLINK("http://ts.21cn.com/tousu/show/id/1364975","http://ts.21cn.com/tousu/show/id/1364975")</f>
      </c>
      <c r="G7641" t="s" s="2">
        <v>17</v>
      </c>
      <c r="H7641" t="s" s="2">
        <v>19</v>
      </c>
      <c r="I7641" t="s" s="2">
        <v>29524</v>
      </c>
      <c r="J7641" t="s" s="2">
        <v>29525</v>
      </c>
      <c r="K7641" t="s" s="2">
        <v>22</v>
      </c>
      <c r="L7641" t="s" s="2">
        <v>22</v>
      </c>
      <c r="M7641" t="s" s="2">
        <v>22</v>
      </c>
    </row>
    <row r="7642" ht="25.0" customHeight="true">
      <c r="A7642" t="s" s="2">
        <v>13</v>
      </c>
      <c r="B7642" t="s" s="2">
        <f>HYPERLINK("http://ts.21cn.com/tousu/show/id/1364974","被人无故盗刷288元")</f>
      </c>
      <c r="C7642" t="s" s="2">
        <v>15</v>
      </c>
      <c r="D7642" t="s" s="2">
        <v>16</v>
      </c>
      <c r="E7642" t="s" s="2">
        <v>17</v>
      </c>
      <c r="F7642" t="s" s="2">
        <f>HYPERLINK("http://ts.21cn.com/tousu/show/id/1364974","http://ts.21cn.com/tousu/show/id/1364974")</f>
      </c>
      <c r="G7642" t="s" s="2">
        <v>17</v>
      </c>
      <c r="H7642" t="s" s="2">
        <v>19</v>
      </c>
      <c r="I7642" t="s" s="2">
        <v>29528</v>
      </c>
      <c r="J7642" t="s" s="2">
        <v>29529</v>
      </c>
      <c r="K7642" t="s" s="2">
        <v>22</v>
      </c>
      <c r="L7642" t="s" s="2">
        <v>22</v>
      </c>
      <c r="M7642" t="s" s="2">
        <v>22</v>
      </c>
    </row>
    <row r="7643" ht="25.0" customHeight="true">
      <c r="A7643" t="s" s="2">
        <v>13</v>
      </c>
      <c r="B7643" t="s" s="2">
        <f>HYPERLINK("http://ts.21cn.com/tousu/show/id/1364973","因为资金紧张逾期了")</f>
      </c>
      <c r="C7643" t="s" s="2">
        <v>15</v>
      </c>
      <c r="D7643" t="s" s="2">
        <v>16</v>
      </c>
      <c r="E7643" t="s" s="2">
        <v>17</v>
      </c>
      <c r="F7643" t="s" s="2">
        <f>HYPERLINK("http://ts.21cn.com/tousu/show/id/1364973","http://ts.21cn.com/tousu/show/id/1364973")</f>
      </c>
      <c r="G7643" t="s" s="2">
        <v>17</v>
      </c>
      <c r="H7643" t="s" s="2">
        <v>19</v>
      </c>
      <c r="I7643" t="s" s="2">
        <v>29532</v>
      </c>
      <c r="J7643" t="s" s="2">
        <v>29533</v>
      </c>
      <c r="K7643" t="s" s="2">
        <v>22</v>
      </c>
      <c r="L7643" t="s" s="2">
        <v>22</v>
      </c>
      <c r="M7643" t="s" s="2">
        <v>22</v>
      </c>
    </row>
    <row r="7644" ht="25.0" customHeight="true">
      <c r="A7644" t="s" s="2">
        <v>13</v>
      </c>
      <c r="B7644" t="s" s="2">
        <f>HYPERLINK("http://ts.21cn.com/tousu/show/id/1364972","钱站按时还款却显示逾期")</f>
      </c>
      <c r="C7644" t="s" s="2">
        <v>52</v>
      </c>
      <c r="D7644" t="s" s="2">
        <v>16</v>
      </c>
      <c r="E7644" t="s" s="2">
        <v>17</v>
      </c>
      <c r="F7644" t="s" s="2">
        <f>HYPERLINK("http://ts.21cn.com/tousu/show/id/1364972","http://ts.21cn.com/tousu/show/id/1364972")</f>
      </c>
      <c r="G7644" t="s" s="2">
        <v>17</v>
      </c>
      <c r="H7644" t="s" s="2">
        <v>19</v>
      </c>
      <c r="I7644" t="s" s="2">
        <v>29536</v>
      </c>
      <c r="J7644" t="s" s="2">
        <v>29537</v>
      </c>
      <c r="K7644" t="s" s="2">
        <v>22</v>
      </c>
      <c r="L7644" t="s" s="2">
        <v>22</v>
      </c>
      <c r="M7644" t="s" s="2">
        <v>22</v>
      </c>
    </row>
    <row r="7645" ht="25.0" customHeight="true">
      <c r="A7645" t="s" s="2">
        <v>13</v>
      </c>
      <c r="B7645" t="s" s="2">
        <f>HYPERLINK("http://ts.21cn.com/tousu/show/id/1364969","天猫商城里中国移动官方旗舰店买到已激活了7个多月的手机")</f>
      </c>
      <c r="C7645" t="s" s="2">
        <v>15</v>
      </c>
      <c r="D7645" t="s" s="2">
        <v>16</v>
      </c>
      <c r="E7645" t="s" s="2">
        <v>17</v>
      </c>
      <c r="F7645" t="s" s="2">
        <f>HYPERLINK("http://ts.21cn.com/tousu/show/id/1364969","http://ts.21cn.com/tousu/show/id/1364969")</f>
      </c>
      <c r="G7645" t="s" s="2">
        <v>17</v>
      </c>
      <c r="H7645" t="s" s="2">
        <v>19</v>
      </c>
      <c r="I7645" t="s" s="2">
        <v>29540</v>
      </c>
      <c r="J7645" t="s" s="2">
        <v>29541</v>
      </c>
      <c r="K7645" t="s" s="2">
        <v>22</v>
      </c>
      <c r="L7645" t="s" s="2">
        <v>22</v>
      </c>
      <c r="M7645" t="s" s="2">
        <v>22</v>
      </c>
    </row>
    <row r="7646" ht="25.0" customHeight="true">
      <c r="A7646" t="s" s="2">
        <v>13</v>
      </c>
      <c r="B7646" t="s" s="2">
        <f>HYPERLINK("http://ts.21cn.com/tousu/show/id/1364970","拼多多不给提款")</f>
      </c>
      <c r="C7646" t="s" s="2">
        <v>15</v>
      </c>
      <c r="D7646" t="s" s="2">
        <v>16</v>
      </c>
      <c r="E7646" t="s" s="2">
        <v>17</v>
      </c>
      <c r="F7646" t="s" s="2">
        <f>HYPERLINK("http://ts.21cn.com/tousu/show/id/1364970","http://ts.21cn.com/tousu/show/id/1364970")</f>
      </c>
      <c r="G7646" t="s" s="2">
        <v>17</v>
      </c>
      <c r="H7646" t="s" s="2">
        <v>19</v>
      </c>
      <c r="I7646" t="s" s="2">
        <v>29544</v>
      </c>
      <c r="J7646" t="s" s="2">
        <v>29545</v>
      </c>
      <c r="K7646" t="s" s="2">
        <v>22</v>
      </c>
      <c r="L7646" t="s" s="2">
        <v>22</v>
      </c>
      <c r="M7646" t="s" s="2">
        <v>22</v>
      </c>
    </row>
    <row r="7647" ht="25.0" customHeight="true">
      <c r="A7647" t="s" s="2">
        <v>13</v>
      </c>
      <c r="B7647" t="s" s="2">
        <f>HYPERLINK("http://ts.21cn.com/tousu/show/id/1364971","电信卡限速，办理60元提速包未提速")</f>
      </c>
      <c r="C7647" t="s" s="2">
        <v>15</v>
      </c>
      <c r="D7647" t="s" s="2">
        <v>16</v>
      </c>
      <c r="E7647" t="s" s="2">
        <v>17</v>
      </c>
      <c r="F7647" t="s" s="2">
        <f>HYPERLINK("http://ts.21cn.com/tousu/show/id/1364971","http://ts.21cn.com/tousu/show/id/1364971")</f>
      </c>
      <c r="G7647" t="s" s="2">
        <v>17</v>
      </c>
      <c r="H7647" t="s" s="2">
        <v>19</v>
      </c>
      <c r="I7647" t="s" s="2">
        <v>29544</v>
      </c>
      <c r="J7647" t="s" s="2">
        <v>29548</v>
      </c>
      <c r="K7647" t="s" s="2">
        <v>22</v>
      </c>
      <c r="L7647" t="s" s="2">
        <v>22</v>
      </c>
      <c r="M7647" t="s" s="2">
        <v>22</v>
      </c>
    </row>
    <row r="7648" ht="25.0" customHeight="true">
      <c r="A7648" t="s" s="2">
        <v>13</v>
      </c>
      <c r="B7648" t="s" s="2">
        <f>HYPERLINK("http://ts.21cn.com/tousu/show/id/1364968","程咬金高利贷2000到账1468")</f>
      </c>
      <c r="C7648" t="s" s="2">
        <v>15</v>
      </c>
      <c r="D7648" t="s" s="2">
        <v>16</v>
      </c>
      <c r="E7648" t="s" s="2">
        <v>17</v>
      </c>
      <c r="F7648" t="s" s="2">
        <f>HYPERLINK("http://ts.21cn.com/tousu/show/id/1364968","http://ts.21cn.com/tousu/show/id/1364968")</f>
      </c>
      <c r="G7648" t="s" s="2">
        <v>17</v>
      </c>
      <c r="H7648" t="s" s="2">
        <v>19</v>
      </c>
      <c r="I7648" t="s" s="2">
        <v>29551</v>
      </c>
      <c r="J7648" t="s" s="2">
        <v>29552</v>
      </c>
      <c r="K7648" t="s" s="2">
        <v>22</v>
      </c>
      <c r="L7648" t="s" s="2">
        <v>22</v>
      </c>
      <c r="M7648" t="s" s="2">
        <v>22</v>
      </c>
    </row>
    <row r="7649" ht="25.0" customHeight="true">
      <c r="A7649" t="s" s="2">
        <v>13</v>
      </c>
      <c r="B7649" t="s" s="2">
        <f>HYPERLINK("http://ts.21cn.com/tousu/show/id/1364967","拍拍贷恶意导致我逾期")</f>
      </c>
      <c r="C7649" t="s" s="2">
        <v>15</v>
      </c>
      <c r="D7649" t="s" s="2">
        <v>16</v>
      </c>
      <c r="E7649" t="s" s="2">
        <v>17</v>
      </c>
      <c r="F7649" t="s" s="2">
        <f>HYPERLINK("http://ts.21cn.com/tousu/show/id/1364967","http://ts.21cn.com/tousu/show/id/1364967")</f>
      </c>
      <c r="G7649" t="s" s="2">
        <v>17</v>
      </c>
      <c r="H7649" t="s" s="2">
        <v>19</v>
      </c>
      <c r="I7649" t="s" s="2">
        <v>29555</v>
      </c>
      <c r="J7649" t="s" s="2">
        <v>29556</v>
      </c>
      <c r="K7649" t="s" s="2">
        <v>22</v>
      </c>
      <c r="L7649" t="s" s="2">
        <v>22</v>
      </c>
      <c r="M7649" t="s" s="2">
        <v>22</v>
      </c>
    </row>
    <row r="7650" ht="25.0" customHeight="true">
      <c r="A7650" t="s" s="2">
        <v>13</v>
      </c>
      <c r="B7650" t="s" s="2">
        <f>HYPERLINK("http://ts.21cn.com/tousu/show/id/1364966","薪薪借钱")</f>
      </c>
      <c r="C7650" t="s" s="2">
        <v>15</v>
      </c>
      <c r="D7650" t="s" s="2">
        <v>16</v>
      </c>
      <c r="E7650" t="s" s="2">
        <v>17</v>
      </c>
      <c r="F7650" t="s" s="2">
        <f>HYPERLINK("http://ts.21cn.com/tousu/show/id/1364966","http://ts.21cn.com/tousu/show/id/1364966")</f>
      </c>
      <c r="G7650" t="s" s="2">
        <v>17</v>
      </c>
      <c r="H7650" t="s" s="2">
        <v>19</v>
      </c>
      <c r="I7650" t="s" s="2">
        <v>29559</v>
      </c>
      <c r="J7650" t="s" s="2">
        <v>29560</v>
      </c>
      <c r="K7650" t="s" s="2">
        <v>22</v>
      </c>
      <c r="L7650" t="s" s="2">
        <v>22</v>
      </c>
      <c r="M7650" t="s" s="2">
        <v>22</v>
      </c>
    </row>
    <row r="7651" ht="25.0" customHeight="true">
      <c r="A7651" t="s" s="2">
        <v>13</v>
      </c>
      <c r="B7651" t="s" s="2">
        <f>HYPERLINK("http://ts.21cn.com/tousu/show/id/1364964","玖富万卡擅自改写合同，变相收取费用，高利贷")</f>
      </c>
      <c r="C7651" t="s" s="2">
        <v>15</v>
      </c>
      <c r="D7651" t="s" s="2">
        <v>16</v>
      </c>
      <c r="E7651" t="s" s="2">
        <v>17</v>
      </c>
      <c r="F7651" t="s" s="2">
        <f>HYPERLINK("http://ts.21cn.com/tousu/show/id/1364964","http://ts.21cn.com/tousu/show/id/1364964")</f>
      </c>
      <c r="G7651" t="s" s="2">
        <v>17</v>
      </c>
      <c r="H7651" t="s" s="2">
        <v>19</v>
      </c>
      <c r="I7651" t="s" s="2">
        <v>29562</v>
      </c>
      <c r="J7651" t="s" s="2">
        <v>29563</v>
      </c>
      <c r="K7651" t="s" s="2">
        <v>22</v>
      </c>
      <c r="L7651" t="s" s="2">
        <v>22</v>
      </c>
      <c r="M7651" t="s" s="2">
        <v>22</v>
      </c>
    </row>
    <row r="7652" ht="25.0" customHeight="true">
      <c r="A7652" t="s" s="2">
        <v>13</v>
      </c>
      <c r="B7652" t="s" s="2">
        <f>HYPERLINK("http://ts.21cn.com/tousu/show/id/1364963","拼多多这个无良平台，退我血汗钱")</f>
      </c>
      <c r="C7652" t="s" s="2">
        <v>15</v>
      </c>
      <c r="D7652" t="s" s="2">
        <v>16</v>
      </c>
      <c r="E7652" t="s" s="2">
        <v>17</v>
      </c>
      <c r="F7652" t="s" s="2">
        <f>HYPERLINK("http://ts.21cn.com/tousu/show/id/1364963","http://ts.21cn.com/tousu/show/id/1364963")</f>
      </c>
      <c r="G7652" t="s" s="2">
        <v>17</v>
      </c>
      <c r="H7652" t="s" s="2">
        <v>19</v>
      </c>
      <c r="I7652" t="s" s="2">
        <v>29566</v>
      </c>
      <c r="J7652" t="s" s="2">
        <v>29567</v>
      </c>
      <c r="K7652" t="s" s="2">
        <v>22</v>
      </c>
      <c r="L7652" t="s" s="2">
        <v>22</v>
      </c>
      <c r="M7652" t="s" s="2">
        <v>22</v>
      </c>
    </row>
    <row r="7653" ht="25.0" customHeight="true">
      <c r="A7653" t="s" s="2">
        <v>13</v>
      </c>
      <c r="B7653" t="s" s="2">
        <f>HYPERLINK("http://ts.21cn.com/tousu/show/id/1364962","聚富分期乱扣款")</f>
      </c>
      <c r="C7653" t="s" s="2">
        <v>15</v>
      </c>
      <c r="D7653" t="s" s="2">
        <v>16</v>
      </c>
      <c r="E7653" t="s" s="2">
        <v>17</v>
      </c>
      <c r="F7653" t="s" s="2">
        <f>HYPERLINK("http://ts.21cn.com/tousu/show/id/1364962","http://ts.21cn.com/tousu/show/id/1364962")</f>
      </c>
      <c r="G7653" t="s" s="2">
        <v>17</v>
      </c>
      <c r="H7653" t="s" s="2">
        <v>19</v>
      </c>
      <c r="I7653" t="s" s="2">
        <v>29570</v>
      </c>
      <c r="J7653" t="s" s="2">
        <v>29571</v>
      </c>
      <c r="K7653" t="s" s="2">
        <v>22</v>
      </c>
      <c r="L7653" t="s" s="2">
        <v>22</v>
      </c>
      <c r="M7653" t="s" s="2">
        <v>22</v>
      </c>
    </row>
    <row r="7654" ht="25.0" customHeight="true">
      <c r="A7654" t="s" s="2">
        <v>13</v>
      </c>
      <c r="B7654" t="s" s="2">
        <f>HYPERLINK("http://ts.21cn.com/tousu/show/id/1364960","拼多多货款提现网络繁忙，不让提现，搞倾家荡产")</f>
      </c>
      <c r="C7654" t="s" s="2">
        <v>15</v>
      </c>
      <c r="D7654" t="s" s="2">
        <v>16</v>
      </c>
      <c r="E7654" t="s" s="2">
        <v>17</v>
      </c>
      <c r="F7654" t="s" s="2">
        <f>HYPERLINK("http://ts.21cn.com/tousu/show/id/1364960","http://ts.21cn.com/tousu/show/id/1364960")</f>
      </c>
      <c r="G7654" t="s" s="2">
        <v>17</v>
      </c>
      <c r="H7654" t="s" s="2">
        <v>19</v>
      </c>
      <c r="I7654" t="s" s="2">
        <v>29574</v>
      </c>
      <c r="J7654" t="s" s="2">
        <v>29575</v>
      </c>
      <c r="K7654" t="s" s="2">
        <v>22</v>
      </c>
      <c r="L7654" t="s" s="2">
        <v>22</v>
      </c>
      <c r="M7654" t="s" s="2">
        <v>22</v>
      </c>
    </row>
    <row r="7655" ht="25.0" customHeight="true">
      <c r="A7655" t="s" s="2">
        <v>13</v>
      </c>
      <c r="B7655" t="s" s="2">
        <f>HYPERLINK("http://ts.21cn.com/tousu/show/id/1364961","交易猫游戏币交易没人处理")</f>
      </c>
      <c r="C7655" t="s" s="2">
        <v>15</v>
      </c>
      <c r="D7655" t="s" s="2">
        <v>16</v>
      </c>
      <c r="E7655" t="s" s="2">
        <v>17</v>
      </c>
      <c r="F7655" t="s" s="2">
        <f>HYPERLINK("http://ts.21cn.com/tousu/show/id/1364961","http://ts.21cn.com/tousu/show/id/1364961")</f>
      </c>
      <c r="G7655" t="s" s="2">
        <v>17</v>
      </c>
      <c r="H7655" t="s" s="2">
        <v>19</v>
      </c>
      <c r="I7655" t="s" s="2">
        <v>29578</v>
      </c>
      <c r="J7655" t="s" s="2">
        <v>29579</v>
      </c>
      <c r="K7655" t="s" s="2">
        <v>22</v>
      </c>
      <c r="L7655" t="s" s="2">
        <v>22</v>
      </c>
      <c r="M7655" t="s" s="2">
        <v>22</v>
      </c>
    </row>
    <row r="7656" ht="25.0" customHeight="true">
      <c r="A7656" t="s" s="2">
        <v>13</v>
      </c>
      <c r="B7656" t="s" s="2">
        <f>HYPERLINK("http://ts.21cn.com/tousu/show/id/1364959","上面催收恐吓威胁")</f>
      </c>
      <c r="C7656" t="s" s="2">
        <v>15</v>
      </c>
      <c r="D7656" t="s" s="2">
        <v>16</v>
      </c>
      <c r="E7656" t="s" s="2">
        <v>17</v>
      </c>
      <c r="F7656" t="s" s="2">
        <f>HYPERLINK("http://ts.21cn.com/tousu/show/id/1364959","http://ts.21cn.com/tousu/show/id/1364959")</f>
      </c>
      <c r="G7656" t="s" s="2">
        <v>17</v>
      </c>
      <c r="H7656" t="s" s="2">
        <v>19</v>
      </c>
      <c r="I7656" t="s" s="2">
        <v>29582</v>
      </c>
      <c r="J7656" t="s" s="2">
        <v>29583</v>
      </c>
      <c r="K7656" t="s" s="2">
        <v>22</v>
      </c>
      <c r="L7656" t="s" s="2">
        <v>22</v>
      </c>
      <c r="M7656" t="s" s="2">
        <v>22</v>
      </c>
    </row>
    <row r="7657" ht="25.0" customHeight="true">
      <c r="A7657" t="s" s="2">
        <v>13</v>
      </c>
      <c r="B7657" t="s" s="2">
        <f>HYPERLINK("http://ts.21cn.com/tousu/show/id/1364958","汇潮支付为诸葛借米提供高利贷支付平台")</f>
      </c>
      <c r="C7657" t="s" s="2">
        <v>15</v>
      </c>
      <c r="D7657" t="s" s="2">
        <v>16</v>
      </c>
      <c r="E7657" t="s" s="2">
        <v>17</v>
      </c>
      <c r="F7657" t="s" s="2">
        <f>HYPERLINK("http://ts.21cn.com/tousu/show/id/1364958","http://ts.21cn.com/tousu/show/id/1364958")</f>
      </c>
      <c r="G7657" t="s" s="2">
        <v>17</v>
      </c>
      <c r="H7657" t="s" s="2">
        <v>19</v>
      </c>
      <c r="I7657" t="s" s="2">
        <v>29586</v>
      </c>
      <c r="J7657" t="s" s="2">
        <v>29587</v>
      </c>
      <c r="K7657" t="s" s="2">
        <v>22</v>
      </c>
      <c r="L7657" t="s" s="2">
        <v>22</v>
      </c>
      <c r="M7657" t="s" s="2">
        <v>22</v>
      </c>
    </row>
    <row r="7658" ht="25.0" customHeight="true">
      <c r="A7658" t="s" s="2">
        <v>13</v>
      </c>
      <c r="B7658" t="s" s="2">
        <f>HYPERLINK("http://ts.21cn.com/tousu/show/id/1364957","拼多多货款提现网络繁忙，不让提现，搞倾家荡产")</f>
      </c>
      <c r="C7658" t="s" s="2">
        <v>15</v>
      </c>
      <c r="D7658" t="s" s="2">
        <v>16</v>
      </c>
      <c r="E7658" t="s" s="2">
        <v>17</v>
      </c>
      <c r="F7658" t="s" s="2">
        <f>HYPERLINK("http://ts.21cn.com/tousu/show/id/1364957","http://ts.21cn.com/tousu/show/id/1364957")</f>
      </c>
      <c r="G7658" t="s" s="2">
        <v>17</v>
      </c>
      <c r="H7658" t="s" s="2">
        <v>19</v>
      </c>
      <c r="I7658" t="s" s="2">
        <v>29589</v>
      </c>
      <c r="J7658" t="s" s="2">
        <v>29575</v>
      </c>
      <c r="K7658" t="s" s="2">
        <v>22</v>
      </c>
      <c r="L7658" t="s" s="2">
        <v>22</v>
      </c>
      <c r="M7658" t="s" s="2">
        <v>22</v>
      </c>
    </row>
    <row r="7659" ht="25.0" customHeight="true">
      <c r="A7659" t="s" s="2">
        <v>13</v>
      </c>
      <c r="B7659" t="s" s="2">
        <f>HYPERLINK("http://ts.21cn.com/tousu/show/id/1364956","拼多多货款提现网络繁忙，不让提现，搞倾家荡产")</f>
      </c>
      <c r="C7659" t="s" s="2">
        <v>15</v>
      </c>
      <c r="D7659" t="s" s="2">
        <v>16</v>
      </c>
      <c r="E7659" t="s" s="2">
        <v>17</v>
      </c>
      <c r="F7659" t="s" s="2">
        <f>HYPERLINK("http://ts.21cn.com/tousu/show/id/1364956","http://ts.21cn.com/tousu/show/id/1364956")</f>
      </c>
      <c r="G7659" t="s" s="2">
        <v>17</v>
      </c>
      <c r="H7659" t="s" s="2">
        <v>19</v>
      </c>
      <c r="I7659" t="s" s="2">
        <v>29591</v>
      </c>
      <c r="J7659" t="s" s="2">
        <v>29575</v>
      </c>
      <c r="K7659" t="s" s="2">
        <v>22</v>
      </c>
      <c r="L7659" t="s" s="2">
        <v>22</v>
      </c>
      <c r="M7659" t="s" s="2">
        <v>22</v>
      </c>
    </row>
    <row r="7660" ht="25.0" customHeight="true">
      <c r="A7660" t="s" s="2">
        <v>13</v>
      </c>
      <c r="B7660" t="s" s="2">
        <f>HYPERLINK("http://ts.21cn.com/tousu/show/id/1364955","拼多多无法提款")</f>
      </c>
      <c r="C7660" t="s" s="2">
        <v>15</v>
      </c>
      <c r="D7660" t="s" s="2">
        <v>16</v>
      </c>
      <c r="E7660" t="s" s="2">
        <v>17</v>
      </c>
      <c r="F7660" t="s" s="2">
        <f>HYPERLINK("http://ts.21cn.com/tousu/show/id/1364955","http://ts.21cn.com/tousu/show/id/1364955")</f>
      </c>
      <c r="G7660" t="s" s="2">
        <v>17</v>
      </c>
      <c r="H7660" t="s" s="2">
        <v>19</v>
      </c>
      <c r="I7660" t="s" s="2">
        <v>29594</v>
      </c>
      <c r="J7660" t="s" s="2">
        <v>29575</v>
      </c>
      <c r="K7660" t="s" s="2">
        <v>22</v>
      </c>
      <c r="L7660" t="s" s="2">
        <v>22</v>
      </c>
      <c r="M7660" t="s" s="2">
        <v>22</v>
      </c>
    </row>
    <row r="7661" ht="25.0" customHeight="true">
      <c r="A7661" t="s" s="2">
        <v>13</v>
      </c>
      <c r="B7661" t="s" s="2">
        <f>HYPERLINK("http://ts.21cn.com/tousu/show/id/1364953","利率过高，变相收取高额利息。")</f>
      </c>
      <c r="C7661" t="s" s="2">
        <v>15</v>
      </c>
      <c r="D7661" t="s" s="2">
        <v>16</v>
      </c>
      <c r="E7661" t="s" s="2">
        <v>17</v>
      </c>
      <c r="F7661" t="s" s="2">
        <f>HYPERLINK("http://ts.21cn.com/tousu/show/id/1364953","http://ts.21cn.com/tousu/show/id/1364953")</f>
      </c>
      <c r="G7661" t="s" s="2">
        <v>17</v>
      </c>
      <c r="H7661" t="s" s="2">
        <v>19</v>
      </c>
      <c r="I7661" t="s" s="2">
        <v>29597</v>
      </c>
      <c r="J7661" t="s" s="2">
        <v>29598</v>
      </c>
      <c r="K7661" t="s" s="2">
        <v>22</v>
      </c>
      <c r="L7661" t="s" s="2">
        <v>22</v>
      </c>
      <c r="M7661" t="s" s="2">
        <v>22</v>
      </c>
    </row>
    <row r="7662" ht="25.0" customHeight="true">
      <c r="A7662" t="s" s="2">
        <v>13</v>
      </c>
      <c r="B7662" t="s" s="2">
        <f>HYPERLINK("http://ts.21cn.com/tousu/show/id/1364952","先花一亿元续期")</f>
      </c>
      <c r="C7662" t="s" s="2">
        <v>15</v>
      </c>
      <c r="D7662" t="s" s="2">
        <v>16</v>
      </c>
      <c r="E7662" t="s" s="2">
        <v>17</v>
      </c>
      <c r="F7662" t="s" s="2">
        <f>HYPERLINK("http://ts.21cn.com/tousu/show/id/1364952","http://ts.21cn.com/tousu/show/id/1364952")</f>
      </c>
      <c r="G7662" t="s" s="2">
        <v>17</v>
      </c>
      <c r="H7662" t="s" s="2">
        <v>19</v>
      </c>
      <c r="I7662" t="s" s="2">
        <v>29601</v>
      </c>
      <c r="J7662" t="s" s="2">
        <v>29602</v>
      </c>
      <c r="K7662" t="s" s="2">
        <v>22</v>
      </c>
      <c r="L7662" t="s" s="2">
        <v>22</v>
      </c>
      <c r="M7662" t="s" s="2">
        <v>22</v>
      </c>
    </row>
    <row r="7663" ht="25.0" customHeight="true">
      <c r="A7663" t="s" s="2">
        <v>13</v>
      </c>
      <c r="B7663" t="s" s="2">
        <f>HYPERLINK("http://ts.21cn.com/tousu/show/id/1364951","借款先充值500进去才能借钱")</f>
      </c>
      <c r="C7663" t="s" s="2">
        <v>52</v>
      </c>
      <c r="D7663" t="s" s="2">
        <v>16</v>
      </c>
      <c r="E7663" t="s" s="2">
        <v>17</v>
      </c>
      <c r="F7663" t="s" s="2">
        <f>HYPERLINK("http://ts.21cn.com/tousu/show/id/1364951","http://ts.21cn.com/tousu/show/id/1364951")</f>
      </c>
      <c r="G7663" t="s" s="2">
        <v>17</v>
      </c>
      <c r="H7663" t="s" s="2">
        <v>19</v>
      </c>
      <c r="I7663" t="s" s="2">
        <v>29605</v>
      </c>
      <c r="J7663" t="s" s="2">
        <v>29606</v>
      </c>
      <c r="K7663" t="s" s="2">
        <v>22</v>
      </c>
      <c r="L7663" t="s" s="2">
        <v>22</v>
      </c>
      <c r="M7663" t="s" s="2">
        <v>22</v>
      </c>
    </row>
    <row r="7664" ht="25.0" customHeight="true">
      <c r="A7664" t="s" s="2">
        <v>13</v>
      </c>
      <c r="B7664" t="s" s="2">
        <f>HYPERLINK("http://ts.21cn.com/tousu/show/id/1364950","马上金融无故冻结额度")</f>
      </c>
      <c r="C7664" t="s" s="2">
        <v>15</v>
      </c>
      <c r="D7664" t="s" s="2">
        <v>16</v>
      </c>
      <c r="E7664" t="s" s="2">
        <v>17</v>
      </c>
      <c r="F7664" t="s" s="2">
        <f>HYPERLINK("http://ts.21cn.com/tousu/show/id/1364950","http://ts.21cn.com/tousu/show/id/1364950")</f>
      </c>
      <c r="G7664" t="s" s="2">
        <v>17</v>
      </c>
      <c r="H7664" t="s" s="2">
        <v>19</v>
      </c>
      <c r="I7664" t="s" s="2">
        <v>29609</v>
      </c>
      <c r="J7664" t="s" s="2">
        <v>29610</v>
      </c>
      <c r="K7664" t="s" s="2">
        <v>22</v>
      </c>
      <c r="L7664" t="s" s="2">
        <v>22</v>
      </c>
      <c r="M7664" t="s" s="2">
        <v>22</v>
      </c>
    </row>
    <row r="7665" ht="25.0" customHeight="true">
      <c r="A7665" t="s" s="2">
        <v>13</v>
      </c>
      <c r="B7665" t="s" s="2">
        <f>HYPERLINK("http://ts.21cn.com/tousu/show/id/1364949","未经本人允许恶意扣款")</f>
      </c>
      <c r="C7665" t="s" s="2">
        <v>15</v>
      </c>
      <c r="D7665" t="s" s="2">
        <v>16</v>
      </c>
      <c r="E7665" t="s" s="2">
        <v>17</v>
      </c>
      <c r="F7665" t="s" s="2">
        <f>HYPERLINK("http://ts.21cn.com/tousu/show/id/1364949","http://ts.21cn.com/tousu/show/id/1364949")</f>
      </c>
      <c r="G7665" t="s" s="2">
        <v>17</v>
      </c>
      <c r="H7665" t="s" s="2">
        <v>19</v>
      </c>
      <c r="I7665" t="s" s="2">
        <v>29613</v>
      </c>
      <c r="J7665" t="s" s="2">
        <v>29614</v>
      </c>
      <c r="K7665" t="s" s="2">
        <v>22</v>
      </c>
      <c r="L7665" t="s" s="2">
        <v>22</v>
      </c>
      <c r="M7665" t="s" s="2">
        <v>22</v>
      </c>
    </row>
    <row r="7666" ht="25.0" customHeight="true">
      <c r="A7666" t="s" s="2">
        <v>13</v>
      </c>
      <c r="B7666" t="s" s="2">
        <f>HYPERLINK("http://ts.21cn.com/tousu/show/id/1364948","拼多多货款提现网络繁忙，不让提现，搞倾家荡产")</f>
      </c>
      <c r="C7666" t="s" s="2">
        <v>15</v>
      </c>
      <c r="D7666" t="s" s="2">
        <v>16</v>
      </c>
      <c r="E7666" t="s" s="2">
        <v>17</v>
      </c>
      <c r="F7666" t="s" s="2">
        <f>HYPERLINK("http://ts.21cn.com/tousu/show/id/1364948","http://ts.21cn.com/tousu/show/id/1364948")</f>
      </c>
      <c r="G7666" t="s" s="2">
        <v>17</v>
      </c>
      <c r="H7666" t="s" s="2">
        <v>19</v>
      </c>
      <c r="I7666" t="s" s="2">
        <v>29616</v>
      </c>
      <c r="J7666" t="s" s="2">
        <v>29575</v>
      </c>
      <c r="K7666" t="s" s="2">
        <v>22</v>
      </c>
      <c r="L7666" t="s" s="2">
        <v>22</v>
      </c>
      <c r="M7666" t="s" s="2">
        <v>22</v>
      </c>
    </row>
    <row r="7667" ht="25.0" customHeight="true">
      <c r="A7667" t="s" s="2">
        <v>13</v>
      </c>
      <c r="B7667" t="s" s="2">
        <f>HYPERLINK("http://ts.21cn.com/tousu/show/id/1364947","汇潮支付为套路贷提供支付平台")</f>
      </c>
      <c r="C7667" t="s" s="2">
        <v>15</v>
      </c>
      <c r="D7667" t="s" s="2">
        <v>16</v>
      </c>
      <c r="E7667" t="s" s="2">
        <v>17</v>
      </c>
      <c r="F7667" t="s" s="2">
        <f>HYPERLINK("http://ts.21cn.com/tousu/show/id/1364947","http://ts.21cn.com/tousu/show/id/1364947")</f>
      </c>
      <c r="G7667" t="s" s="2">
        <v>17</v>
      </c>
      <c r="H7667" t="s" s="2">
        <v>19</v>
      </c>
      <c r="I7667" t="s" s="2">
        <v>29619</v>
      </c>
      <c r="J7667" t="s" s="2">
        <v>29620</v>
      </c>
      <c r="K7667" t="s" s="2">
        <v>22</v>
      </c>
      <c r="L7667" t="s" s="2">
        <v>22</v>
      </c>
      <c r="M7667" t="s" s="2">
        <v>22</v>
      </c>
    </row>
    <row r="7668" ht="25.0" customHeight="true">
      <c r="A7668" t="s" s="2">
        <v>13</v>
      </c>
      <c r="B7668" t="s" s="2">
        <f>HYPERLINK("http://ts.21cn.com/tousu/show/id/1364946","拍拍贷超过国家年化率的问题！")</f>
      </c>
      <c r="C7668" t="s" s="2">
        <v>15</v>
      </c>
      <c r="D7668" t="s" s="2">
        <v>16</v>
      </c>
      <c r="E7668" t="s" s="2">
        <v>17</v>
      </c>
      <c r="F7668" t="s" s="2">
        <f>HYPERLINK("http://ts.21cn.com/tousu/show/id/1364946","http://ts.21cn.com/tousu/show/id/1364946")</f>
      </c>
      <c r="G7668" t="s" s="2">
        <v>17</v>
      </c>
      <c r="H7668" t="s" s="2">
        <v>19</v>
      </c>
      <c r="I7668" t="s" s="2">
        <v>29623</v>
      </c>
      <c r="J7668" t="s" s="2">
        <v>29624</v>
      </c>
      <c r="K7668" t="s" s="2">
        <v>22</v>
      </c>
      <c r="L7668" t="s" s="2">
        <v>22</v>
      </c>
      <c r="M7668" t="s" s="2">
        <v>22</v>
      </c>
    </row>
    <row r="7669" ht="25.0" customHeight="true">
      <c r="A7669" t="s" s="2">
        <v>13</v>
      </c>
      <c r="B7669" t="s" s="2">
        <f>HYPERLINK("http://ts.21cn.com/tousu/show/id/1364940","我的腾讯QQ账号无缘无故被强制冻结客服不作为")</f>
      </c>
      <c r="C7669" t="s" s="2">
        <v>15</v>
      </c>
      <c r="D7669" t="s" s="2">
        <v>16</v>
      </c>
      <c r="E7669" t="s" s="2">
        <v>17</v>
      </c>
      <c r="F7669" t="s" s="2">
        <f>HYPERLINK("http://ts.21cn.com/tousu/show/id/1364940","http://ts.21cn.com/tousu/show/id/1364940")</f>
      </c>
      <c r="G7669" t="s" s="2">
        <v>17</v>
      </c>
      <c r="H7669" t="s" s="2">
        <v>19</v>
      </c>
      <c r="I7669" t="s" s="2">
        <v>29627</v>
      </c>
      <c r="J7669" t="s" s="2">
        <v>29628</v>
      </c>
      <c r="K7669" t="s" s="2">
        <v>22</v>
      </c>
      <c r="L7669" t="s" s="2">
        <v>22</v>
      </c>
      <c r="M7669" t="s" s="2">
        <v>22</v>
      </c>
    </row>
    <row r="7670" ht="25.0" customHeight="true">
      <c r="A7670" t="s" s="2">
        <v>13</v>
      </c>
      <c r="B7670" t="s" s="2">
        <f>HYPERLINK("http://ts.21cn.com/tousu/show/id/1364944","拼多多货款提现网络繁忙，提现不了导致倾家荡产")</f>
      </c>
      <c r="C7670" t="s" s="2">
        <v>15</v>
      </c>
      <c r="D7670" t="s" s="2">
        <v>16</v>
      </c>
      <c r="E7670" t="s" s="2">
        <v>17</v>
      </c>
      <c r="F7670" t="s" s="2">
        <f>HYPERLINK("http://ts.21cn.com/tousu/show/id/1364944","http://ts.21cn.com/tousu/show/id/1364944")</f>
      </c>
      <c r="G7670" t="s" s="2">
        <v>17</v>
      </c>
      <c r="H7670" t="s" s="2">
        <v>19</v>
      </c>
      <c r="I7670" t="s" s="2">
        <v>29631</v>
      </c>
      <c r="J7670" t="s" s="2">
        <v>29632</v>
      </c>
      <c r="K7670" t="s" s="2">
        <v>22</v>
      </c>
      <c r="L7670" t="s" s="2">
        <v>22</v>
      </c>
      <c r="M7670" t="s" s="2">
        <v>22</v>
      </c>
    </row>
    <row r="7671" ht="25.0" customHeight="true">
      <c r="A7671" t="s" s="2">
        <v>13</v>
      </c>
      <c r="B7671" t="s" s="2">
        <f>HYPERLINK("http://ts.21cn.com/tousu/show/id/1364943","人人花乱扣费")</f>
      </c>
      <c r="C7671" t="s" s="2">
        <v>15</v>
      </c>
      <c r="D7671" t="s" s="2">
        <v>16</v>
      </c>
      <c r="E7671" t="s" s="2">
        <v>17</v>
      </c>
      <c r="F7671" t="s" s="2">
        <f>HYPERLINK("http://ts.21cn.com/tousu/show/id/1364943","http://ts.21cn.com/tousu/show/id/1364943")</f>
      </c>
      <c r="G7671" t="s" s="2">
        <v>17</v>
      </c>
      <c r="H7671" t="s" s="2">
        <v>19</v>
      </c>
      <c r="I7671" t="s" s="2">
        <v>29634</v>
      </c>
      <c r="J7671" t="s" s="2">
        <v>29635</v>
      </c>
      <c r="K7671" t="s" s="2">
        <v>22</v>
      </c>
      <c r="L7671" t="s" s="2">
        <v>22</v>
      </c>
      <c r="M7671" t="s" s="2">
        <v>22</v>
      </c>
    </row>
    <row r="7672" ht="25.0" customHeight="true">
      <c r="A7672" t="s" s="2">
        <v>13</v>
      </c>
      <c r="B7672" t="s" s="2">
        <f>HYPERLINK("http://ts.21cn.com/tousu/show/id/1364942","超利贷")</f>
      </c>
      <c r="C7672" t="s" s="2">
        <v>15</v>
      </c>
      <c r="D7672" t="s" s="2">
        <v>16</v>
      </c>
      <c r="E7672" t="s" s="2">
        <v>17</v>
      </c>
      <c r="F7672" t="s" s="2">
        <f>HYPERLINK("http://ts.21cn.com/tousu/show/id/1364942","http://ts.21cn.com/tousu/show/id/1364942")</f>
      </c>
      <c r="G7672" t="s" s="2">
        <v>17</v>
      </c>
      <c r="H7672" t="s" s="2">
        <v>19</v>
      </c>
      <c r="I7672" t="s" s="2">
        <v>29638</v>
      </c>
      <c r="J7672" t="s" s="2">
        <v>29639</v>
      </c>
      <c r="K7672" t="s" s="2">
        <v>22</v>
      </c>
      <c r="L7672" t="s" s="2">
        <v>22</v>
      </c>
      <c r="M7672" t="s" s="2">
        <v>22</v>
      </c>
    </row>
    <row r="7673" ht="25.0" customHeight="true">
      <c r="A7673" t="s" s="2">
        <v>13</v>
      </c>
      <c r="B7673" t="s" s="2">
        <f>HYPERLINK("http://ts.21cn.com/tousu/show/id/1364941","投诉美团")</f>
      </c>
      <c r="C7673" t="s" s="2">
        <v>15</v>
      </c>
      <c r="D7673" t="s" s="2">
        <v>16</v>
      </c>
      <c r="E7673" t="s" s="2">
        <v>17</v>
      </c>
      <c r="F7673" t="s" s="2">
        <f>HYPERLINK("http://ts.21cn.com/tousu/show/id/1364941","http://ts.21cn.com/tousu/show/id/1364941")</f>
      </c>
      <c r="G7673" t="s" s="2">
        <v>17</v>
      </c>
      <c r="H7673" t="s" s="2">
        <v>19</v>
      </c>
      <c r="I7673" t="s" s="2">
        <v>29642</v>
      </c>
      <c r="J7673" t="s" s="2">
        <v>29643</v>
      </c>
      <c r="K7673" t="s" s="2">
        <v>22</v>
      </c>
      <c r="L7673" t="s" s="2">
        <v>22</v>
      </c>
      <c r="M7673" t="s" s="2">
        <v>22</v>
      </c>
    </row>
    <row r="7674" ht="25.0" customHeight="true">
      <c r="A7674" t="s" s="2">
        <v>13</v>
      </c>
      <c r="B7674" t="s" s="2">
        <f>HYPERLINK("http://ts.21cn.com/tousu/show/id/1364939","苏宁易购出售问题商品")</f>
      </c>
      <c r="C7674" t="s" s="2">
        <v>15</v>
      </c>
      <c r="D7674" t="s" s="2">
        <v>16</v>
      </c>
      <c r="E7674" t="s" s="2">
        <v>17</v>
      </c>
      <c r="F7674" t="s" s="2">
        <f>HYPERLINK("http://ts.21cn.com/tousu/show/id/1364939","http://ts.21cn.com/tousu/show/id/1364939")</f>
      </c>
      <c r="G7674" t="s" s="2">
        <v>17</v>
      </c>
      <c r="H7674" t="s" s="2">
        <v>19</v>
      </c>
      <c r="I7674" t="s" s="2">
        <v>29646</v>
      </c>
      <c r="J7674" t="s" s="2">
        <v>29647</v>
      </c>
      <c r="K7674" t="s" s="2">
        <v>22</v>
      </c>
      <c r="L7674" t="s" s="2">
        <v>22</v>
      </c>
      <c r="M7674" t="s" s="2">
        <v>22</v>
      </c>
    </row>
    <row r="7675" ht="25.0" customHeight="true">
      <c r="A7675" t="s" s="2">
        <v>13</v>
      </c>
      <c r="B7675" t="s" s="2">
        <f>HYPERLINK("http://ts.21cn.com/tousu/show/id/1364938","my钱包高额担保服务费")</f>
      </c>
      <c r="C7675" t="s" s="2">
        <v>15</v>
      </c>
      <c r="D7675" t="s" s="2">
        <v>16</v>
      </c>
      <c r="E7675" t="s" s="2">
        <v>17</v>
      </c>
      <c r="F7675" t="s" s="2">
        <f>HYPERLINK("http://ts.21cn.com/tousu/show/id/1364938","http://ts.21cn.com/tousu/show/id/1364938")</f>
      </c>
      <c r="G7675" t="s" s="2">
        <v>17</v>
      </c>
      <c r="H7675" t="s" s="2">
        <v>19</v>
      </c>
      <c r="I7675" t="s" s="2">
        <v>29650</v>
      </c>
      <c r="J7675" t="s" s="2">
        <v>29651</v>
      </c>
      <c r="K7675" t="s" s="2">
        <v>22</v>
      </c>
      <c r="L7675" t="s" s="2">
        <v>22</v>
      </c>
      <c r="M7675" t="s" s="2">
        <v>22</v>
      </c>
    </row>
    <row r="7676" ht="25.0" customHeight="true">
      <c r="A7676" t="s" s="2">
        <v>13</v>
      </c>
      <c r="B7676" t="s" s="2">
        <f>HYPERLINK("http://ts.21cn.com/tousu/show/id/1364937","无缘无故卡里钱被这家新生海南圣云可网络科技有限公司扣了398元，并无这家公司有业务往来，希望可以严查")</f>
      </c>
      <c r="C7676" t="s" s="2">
        <v>15</v>
      </c>
      <c r="D7676" t="s" s="2">
        <v>16</v>
      </c>
      <c r="E7676" t="s" s="2">
        <v>17</v>
      </c>
      <c r="F7676" t="s" s="2">
        <f>HYPERLINK("http://ts.21cn.com/tousu/show/id/1364937","http://ts.21cn.com/tousu/show/id/1364937")</f>
      </c>
      <c r="G7676" t="s" s="2">
        <v>17</v>
      </c>
      <c r="H7676" t="s" s="2">
        <v>19</v>
      </c>
      <c r="I7676" t="s" s="2">
        <v>29654</v>
      </c>
      <c r="J7676" t="s" s="2">
        <v>29655</v>
      </c>
      <c r="K7676" t="s" s="2">
        <v>22</v>
      </c>
      <c r="L7676" t="s" s="2">
        <v>22</v>
      </c>
      <c r="M7676" t="s" s="2">
        <v>22</v>
      </c>
    </row>
    <row r="7677" ht="25.0" customHeight="true">
      <c r="A7677" t="s" s="2">
        <v>13</v>
      </c>
      <c r="B7677" t="s" s="2">
        <f>HYPERLINK("http://ts.21cn.com/tousu/show/id/1364936","拼多多商户涉嫌为博彩黑平台收款")</f>
      </c>
      <c r="C7677" t="s" s="2">
        <v>15</v>
      </c>
      <c r="D7677" t="s" s="2">
        <v>16</v>
      </c>
      <c r="E7677" t="s" s="2">
        <v>17</v>
      </c>
      <c r="F7677" t="s" s="2">
        <f>HYPERLINK("http://ts.21cn.com/tousu/show/id/1364936","http://ts.21cn.com/tousu/show/id/1364936")</f>
      </c>
      <c r="G7677" t="s" s="2">
        <v>17</v>
      </c>
      <c r="H7677" t="s" s="2">
        <v>19</v>
      </c>
      <c r="I7677" t="s" s="2">
        <v>29657</v>
      </c>
      <c r="J7677" t="s" s="2">
        <v>29658</v>
      </c>
      <c r="K7677" t="s" s="2">
        <v>22</v>
      </c>
      <c r="L7677" t="s" s="2">
        <v>22</v>
      </c>
      <c r="M7677" t="s" s="2">
        <v>22</v>
      </c>
    </row>
    <row r="7678" ht="25.0" customHeight="true">
      <c r="A7678" t="s" s="2">
        <v>13</v>
      </c>
      <c r="B7678" t="s" s="2">
        <f>HYPERLINK("http://ts.21cn.com/tousu/show/id/1364933","拍拍贷暴力催收恶意损害他人名誉")</f>
      </c>
      <c r="C7678" t="s" s="2">
        <v>15</v>
      </c>
      <c r="D7678" t="s" s="2">
        <v>16</v>
      </c>
      <c r="E7678" t="s" s="2">
        <v>17</v>
      </c>
      <c r="F7678" t="s" s="2">
        <f>HYPERLINK("http://ts.21cn.com/tousu/show/id/1364933","http://ts.21cn.com/tousu/show/id/1364933")</f>
      </c>
      <c r="G7678" t="s" s="2">
        <v>17</v>
      </c>
      <c r="H7678" t="s" s="2">
        <v>19</v>
      </c>
      <c r="I7678" t="s" s="2">
        <v>29661</v>
      </c>
      <c r="J7678" t="s" s="2">
        <v>29662</v>
      </c>
      <c r="K7678" t="s" s="2">
        <v>22</v>
      </c>
      <c r="L7678" t="s" s="2">
        <v>22</v>
      </c>
      <c r="M7678" t="s" s="2">
        <v>22</v>
      </c>
    </row>
    <row r="7679" ht="25.0" customHeight="true">
      <c r="A7679" t="s" s="2">
        <v>13</v>
      </c>
      <c r="B7679" t="s" s="2">
        <f>HYPERLINK("http://ts.21cn.com/tousu/show/id/1364932","中国建设银行客户表明就是老大")</f>
      </c>
      <c r="C7679" t="s" s="2">
        <v>15</v>
      </c>
      <c r="D7679" t="s" s="2">
        <v>16</v>
      </c>
      <c r="E7679" t="s" s="2">
        <v>17</v>
      </c>
      <c r="F7679" t="s" s="2">
        <f>HYPERLINK("http://ts.21cn.com/tousu/show/id/1364932","http://ts.21cn.com/tousu/show/id/1364932")</f>
      </c>
      <c r="G7679" t="s" s="2">
        <v>17</v>
      </c>
      <c r="H7679" t="s" s="2">
        <v>19</v>
      </c>
      <c r="I7679" t="s" s="2">
        <v>29665</v>
      </c>
      <c r="J7679" t="s" s="2">
        <v>29666</v>
      </c>
      <c r="K7679" t="s" s="2">
        <v>22</v>
      </c>
      <c r="L7679" t="s" s="2">
        <v>22</v>
      </c>
      <c r="M7679" t="s" s="2">
        <v>22</v>
      </c>
    </row>
    <row r="7680" ht="25.0" customHeight="true">
      <c r="A7680" t="s" s="2">
        <v>13</v>
      </c>
      <c r="B7680" t="s" s="2">
        <f>HYPERLINK("http://ts.21cn.com/tousu/show/id/1364935","拼多多货款提现网络繁忙，不让提现，搞倾家荡产")</f>
      </c>
      <c r="C7680" t="s" s="2">
        <v>15</v>
      </c>
      <c r="D7680" t="s" s="2">
        <v>16</v>
      </c>
      <c r="E7680" t="s" s="2">
        <v>17</v>
      </c>
      <c r="F7680" t="s" s="2">
        <f>HYPERLINK("http://ts.21cn.com/tousu/show/id/1364935","http://ts.21cn.com/tousu/show/id/1364935")</f>
      </c>
      <c r="G7680" t="s" s="2">
        <v>17</v>
      </c>
      <c r="H7680" t="s" s="2">
        <v>19</v>
      </c>
      <c r="I7680" t="s" s="2">
        <v>29668</v>
      </c>
      <c r="J7680" t="s" s="2">
        <v>29669</v>
      </c>
      <c r="K7680" t="s" s="2">
        <v>22</v>
      </c>
      <c r="L7680" t="s" s="2">
        <v>22</v>
      </c>
      <c r="M7680" t="s" s="2">
        <v>22</v>
      </c>
    </row>
    <row r="7681" ht="25.0" customHeight="true">
      <c r="A7681" t="s" s="2">
        <v>13</v>
      </c>
      <c r="B7681" t="s" s="2">
        <f>HYPERLINK("http://ts.21cn.com/tousu/show/id/1364930","融e购购买门票商家虚假出票并拒绝退款，本人要求退款")</f>
      </c>
      <c r="C7681" t="s" s="2">
        <v>15</v>
      </c>
      <c r="D7681" t="s" s="2">
        <v>16</v>
      </c>
      <c r="E7681" t="s" s="2">
        <v>17</v>
      </c>
      <c r="F7681" t="s" s="2">
        <f>HYPERLINK("http://ts.21cn.com/tousu/show/id/1364930","http://ts.21cn.com/tousu/show/id/1364930")</f>
      </c>
      <c r="G7681" t="s" s="2">
        <v>17</v>
      </c>
      <c r="H7681" t="s" s="2">
        <v>19</v>
      </c>
      <c r="I7681" t="s" s="2">
        <v>29668</v>
      </c>
      <c r="J7681" t="s" s="2">
        <v>29672</v>
      </c>
      <c r="K7681" t="s" s="2">
        <v>22</v>
      </c>
      <c r="L7681" t="s" s="2">
        <v>22</v>
      </c>
      <c r="M7681" t="s" s="2">
        <v>22</v>
      </c>
    </row>
    <row r="7682" ht="25.0" customHeight="true">
      <c r="A7682" t="s" s="2">
        <v>13</v>
      </c>
      <c r="B7682" t="s" s="2">
        <f>HYPERLINK("http://ts.21cn.com/tousu/show/id/1364931","友信信贷在未逾期的时间内对借款人进行暴力催收")</f>
      </c>
      <c r="C7682" t="s" s="2">
        <v>15</v>
      </c>
      <c r="D7682" t="s" s="2">
        <v>16</v>
      </c>
      <c r="E7682" t="s" s="2">
        <v>17</v>
      </c>
      <c r="F7682" t="s" s="2">
        <f>HYPERLINK("http://ts.21cn.com/tousu/show/id/1364931","http://ts.21cn.com/tousu/show/id/1364931")</f>
      </c>
      <c r="G7682" t="s" s="2">
        <v>17</v>
      </c>
      <c r="H7682" t="s" s="2">
        <v>19</v>
      </c>
      <c r="I7682" t="s" s="2">
        <v>29674</v>
      </c>
      <c r="J7682" t="s" s="2">
        <v>29675</v>
      </c>
      <c r="K7682" t="s" s="2">
        <v>22</v>
      </c>
      <c r="L7682" t="s" s="2">
        <v>22</v>
      </c>
      <c r="M7682" t="s" s="2">
        <v>22</v>
      </c>
    </row>
    <row r="7683" ht="25.0" customHeight="true">
      <c r="A7683" t="s" s="2">
        <v>13</v>
      </c>
      <c r="B7683" t="s" s="2">
        <f>HYPERLINK("http://ts.21cn.com/tousu/show/id/1364920","支付宝、中国银联、商银信、中国农业银行为非法网站及商户提供支付接口、支付服务，涉嫌合伙欺诈，导致大量用户蒙受巨大损失。")</f>
      </c>
      <c r="C7683" t="s" s="2">
        <v>15</v>
      </c>
      <c r="D7683" t="s" s="2">
        <v>16</v>
      </c>
      <c r="E7683" t="s" s="2">
        <v>17</v>
      </c>
      <c r="F7683" t="s" s="2">
        <f>HYPERLINK("http://ts.21cn.com/tousu/show/id/1364920","http://ts.21cn.com/tousu/show/id/1364920")</f>
      </c>
      <c r="G7683" t="s" s="2">
        <v>17</v>
      </c>
      <c r="H7683" t="s" s="2">
        <v>19</v>
      </c>
      <c r="I7683" t="s" s="2">
        <v>29677</v>
      </c>
      <c r="J7683" t="s" s="2">
        <v>29678</v>
      </c>
      <c r="K7683" t="s" s="2">
        <v>22</v>
      </c>
      <c r="L7683" t="s" s="2">
        <v>22</v>
      </c>
      <c r="M7683" t="s" s="2">
        <v>22</v>
      </c>
    </row>
    <row r="7684" ht="25.0" customHeight="true">
      <c r="A7684" t="s" s="2">
        <v>13</v>
      </c>
      <c r="B7684" t="s" s="2">
        <f>HYPERLINK("http://ts.21cn.com/tousu/show/id/1364927","中汇支付刷卡没到账")</f>
      </c>
      <c r="C7684" t="s" s="2">
        <v>15</v>
      </c>
      <c r="D7684" t="s" s="2">
        <v>16</v>
      </c>
      <c r="E7684" t="s" s="2">
        <v>17</v>
      </c>
      <c r="F7684" t="s" s="2">
        <f>HYPERLINK("http://ts.21cn.com/tousu/show/id/1364927","http://ts.21cn.com/tousu/show/id/1364927")</f>
      </c>
      <c r="G7684" t="s" s="2">
        <v>17</v>
      </c>
      <c r="H7684" t="s" s="2">
        <v>19</v>
      </c>
      <c r="I7684" t="s" s="2">
        <v>29681</v>
      </c>
      <c r="J7684" t="s" s="2">
        <v>29682</v>
      </c>
      <c r="K7684" t="s" s="2">
        <v>22</v>
      </c>
      <c r="L7684" t="s" s="2">
        <v>22</v>
      </c>
      <c r="M7684" t="s" s="2">
        <v>22</v>
      </c>
    </row>
    <row r="7685" ht="25.0" customHeight="true">
      <c r="A7685" t="s" s="2">
        <v>13</v>
      </c>
      <c r="B7685" t="s" s="2">
        <f>HYPERLINK("http://ts.21cn.com/tousu/show/id/1364916","合同欺诈，高利贷")</f>
      </c>
      <c r="C7685" t="s" s="2">
        <v>15</v>
      </c>
      <c r="D7685" t="s" s="2">
        <v>16</v>
      </c>
      <c r="E7685" t="s" s="2">
        <v>17</v>
      </c>
      <c r="F7685" t="s" s="2">
        <f>HYPERLINK("http://ts.21cn.com/tousu/show/id/1364916","http://ts.21cn.com/tousu/show/id/1364916")</f>
      </c>
      <c r="G7685" t="s" s="2">
        <v>17</v>
      </c>
      <c r="H7685" t="s" s="2">
        <v>19</v>
      </c>
      <c r="I7685" t="s" s="2">
        <v>29685</v>
      </c>
      <c r="J7685" t="s" s="2">
        <v>29686</v>
      </c>
      <c r="K7685" t="s" s="2">
        <v>22</v>
      </c>
      <c r="L7685" t="s" s="2">
        <v>22</v>
      </c>
      <c r="M7685" t="s" s="2">
        <v>22</v>
      </c>
    </row>
    <row r="7686" ht="25.0" customHeight="true">
      <c r="A7686" t="s" s="2">
        <v>13</v>
      </c>
      <c r="B7686" t="s" s="2">
        <f>HYPERLINK("http://ts.21cn.com/tousu/show/id/1364926","拼多多账户资金无法提现")</f>
      </c>
      <c r="C7686" t="s" s="2">
        <v>15</v>
      </c>
      <c r="D7686" t="s" s="2">
        <v>16</v>
      </c>
      <c r="E7686" t="s" s="2">
        <v>17</v>
      </c>
      <c r="F7686" t="s" s="2">
        <f>HYPERLINK("http://ts.21cn.com/tousu/show/id/1364926","http://ts.21cn.com/tousu/show/id/1364926")</f>
      </c>
      <c r="G7686" t="s" s="2">
        <v>17</v>
      </c>
      <c r="H7686" t="s" s="2">
        <v>19</v>
      </c>
      <c r="I7686" t="s" s="2">
        <v>29689</v>
      </c>
      <c r="J7686" t="s" s="2">
        <v>29690</v>
      </c>
      <c r="K7686" t="s" s="2">
        <v>22</v>
      </c>
      <c r="L7686" t="s" s="2">
        <v>22</v>
      </c>
      <c r="M7686" t="s" s="2">
        <v>22</v>
      </c>
    </row>
    <row r="7687" ht="25.0" customHeight="true">
      <c r="A7687" t="s" s="2">
        <v>13</v>
      </c>
      <c r="B7687" t="s" s="2">
        <f>HYPERLINK("http://ts.21cn.com/tousu/show/id/1364925","拼多多无缘无故冻结我资金不让我提现，搞倾家荡产")</f>
      </c>
      <c r="C7687" t="s" s="2">
        <v>15</v>
      </c>
      <c r="D7687" t="s" s="2">
        <v>16</v>
      </c>
      <c r="E7687" t="s" s="2">
        <v>17</v>
      </c>
      <c r="F7687" t="s" s="2">
        <f>HYPERLINK("http://ts.21cn.com/tousu/show/id/1364925","http://ts.21cn.com/tousu/show/id/1364925")</f>
      </c>
      <c r="G7687" t="s" s="2">
        <v>17</v>
      </c>
      <c r="H7687" t="s" s="2">
        <v>19</v>
      </c>
      <c r="I7687" t="s" s="2">
        <v>29693</v>
      </c>
      <c r="J7687" t="s" s="2">
        <v>29694</v>
      </c>
      <c r="K7687" t="s" s="2">
        <v>22</v>
      </c>
      <c r="L7687" t="s" s="2">
        <v>22</v>
      </c>
      <c r="M7687" t="s" s="2">
        <v>22</v>
      </c>
    </row>
    <row r="7688" ht="25.0" customHeight="true">
      <c r="A7688" t="s" s="2">
        <v>13</v>
      </c>
      <c r="B7688" t="s" s="2">
        <f>HYPERLINK("http://ts.21cn.com/tousu/show/id/1364924","销帐")</f>
      </c>
      <c r="C7688" t="s" s="2">
        <v>52</v>
      </c>
      <c r="D7688" t="s" s="2">
        <v>16</v>
      </c>
      <c r="E7688" t="s" s="2">
        <v>17</v>
      </c>
      <c r="F7688" t="s" s="2">
        <f>HYPERLINK("http://ts.21cn.com/tousu/show/id/1364924","http://ts.21cn.com/tousu/show/id/1364924")</f>
      </c>
      <c r="G7688" t="s" s="2">
        <v>17</v>
      </c>
      <c r="H7688" t="s" s="2">
        <v>19</v>
      </c>
      <c r="I7688" t="s" s="2">
        <v>29697</v>
      </c>
      <c r="J7688" t="s" s="2">
        <v>29698</v>
      </c>
      <c r="K7688" t="s" s="2">
        <v>22</v>
      </c>
      <c r="L7688" t="s" s="2">
        <v>22</v>
      </c>
      <c r="M7688" t="s" s="2">
        <v>22</v>
      </c>
    </row>
    <row r="7689" ht="25.0" customHeight="true">
      <c r="A7689" t="s" s="2">
        <v>13</v>
      </c>
      <c r="B7689" t="s" s="2">
        <f>HYPERLINK("http://ts.21cn.com/tousu/show/id/1364923","退咨询费")</f>
      </c>
      <c r="C7689" t="s" s="2">
        <v>15</v>
      </c>
      <c r="D7689" t="s" s="2">
        <v>16</v>
      </c>
      <c r="E7689" t="s" s="2">
        <v>17</v>
      </c>
      <c r="F7689" t="s" s="2">
        <f>HYPERLINK("http://ts.21cn.com/tousu/show/id/1364923","http://ts.21cn.com/tousu/show/id/1364923")</f>
      </c>
      <c r="G7689" t="s" s="2">
        <v>17</v>
      </c>
      <c r="H7689" t="s" s="2">
        <v>19</v>
      </c>
      <c r="I7689" t="s" s="2">
        <v>29701</v>
      </c>
      <c r="J7689" t="s" s="2">
        <v>29702</v>
      </c>
      <c r="K7689" t="s" s="2">
        <v>22</v>
      </c>
      <c r="L7689" t="s" s="2">
        <v>22</v>
      </c>
      <c r="M7689" t="s" s="2">
        <v>22</v>
      </c>
    </row>
    <row r="7690" ht="25.0" customHeight="true">
      <c r="A7690" t="s" s="2">
        <v>13</v>
      </c>
      <c r="B7690" t="s" s="2">
        <f>HYPERLINK("http://ts.21cn.com/tousu/show/id/1364922","西安智购网络科技有限公司给赌博平台提供充值平台")</f>
      </c>
      <c r="C7690" t="s" s="2">
        <v>15</v>
      </c>
      <c r="D7690" t="s" s="2">
        <v>16</v>
      </c>
      <c r="E7690" t="s" s="2">
        <v>17</v>
      </c>
      <c r="F7690" t="s" s="2">
        <f>HYPERLINK("http://ts.21cn.com/tousu/show/id/1364922","http://ts.21cn.com/tousu/show/id/1364922")</f>
      </c>
      <c r="G7690" t="s" s="2">
        <v>17</v>
      </c>
      <c r="H7690" t="s" s="2">
        <v>19</v>
      </c>
      <c r="I7690" t="s" s="2">
        <v>29705</v>
      </c>
      <c r="J7690" t="s" s="2">
        <v>29706</v>
      </c>
      <c r="K7690" t="s" s="2">
        <v>22</v>
      </c>
      <c r="L7690" t="s" s="2">
        <v>22</v>
      </c>
      <c r="M7690" t="s" s="2">
        <v>22</v>
      </c>
    </row>
    <row r="7691" ht="25.0" customHeight="true">
      <c r="A7691" t="s" s="2">
        <v>13</v>
      </c>
      <c r="B7691" t="s" s="2">
        <f>HYPERLINK("http://ts.21cn.com/tousu/show/id/1364921","兴业银行备用金虚假误导")</f>
      </c>
      <c r="C7691" t="s" s="2">
        <v>15</v>
      </c>
      <c r="D7691" t="s" s="2">
        <v>16</v>
      </c>
      <c r="E7691" t="s" s="2">
        <v>17</v>
      </c>
      <c r="F7691" t="s" s="2">
        <f>HYPERLINK("http://ts.21cn.com/tousu/show/id/1364921","http://ts.21cn.com/tousu/show/id/1364921")</f>
      </c>
      <c r="G7691" t="s" s="2">
        <v>17</v>
      </c>
      <c r="H7691" t="s" s="2">
        <v>19</v>
      </c>
      <c r="I7691" t="s" s="2">
        <v>29709</v>
      </c>
      <c r="J7691" t="s" s="2">
        <v>29710</v>
      </c>
      <c r="K7691" t="s" s="2">
        <v>22</v>
      </c>
      <c r="L7691" t="s" s="2">
        <v>22</v>
      </c>
      <c r="M7691" t="s" s="2">
        <v>22</v>
      </c>
    </row>
    <row r="7692" ht="25.0" customHeight="true">
      <c r="A7692" t="s" s="2">
        <v>13</v>
      </c>
      <c r="B7692" t="s" s="2">
        <f>HYPERLINK("http://ts.21cn.com/tousu/show/id/1364919","拼多多无法提款，导致资金链短缺，商家破产")</f>
      </c>
      <c r="C7692" t="s" s="2">
        <v>15</v>
      </c>
      <c r="D7692" t="s" s="2">
        <v>16</v>
      </c>
      <c r="E7692" t="s" s="2">
        <v>17</v>
      </c>
      <c r="F7692" t="s" s="2">
        <f>HYPERLINK("http://ts.21cn.com/tousu/show/id/1364919","http://ts.21cn.com/tousu/show/id/1364919")</f>
      </c>
      <c r="G7692" t="s" s="2">
        <v>17</v>
      </c>
      <c r="H7692" t="s" s="2">
        <v>19</v>
      </c>
      <c r="I7692" t="s" s="2">
        <v>29713</v>
      </c>
      <c r="J7692" t="s" s="2">
        <v>29714</v>
      </c>
      <c r="K7692" t="s" s="2">
        <v>22</v>
      </c>
      <c r="L7692" t="s" s="2">
        <v>22</v>
      </c>
      <c r="M7692" t="s" s="2">
        <v>22</v>
      </c>
    </row>
    <row r="7693" ht="25.0" customHeight="true">
      <c r="A7693" t="s" s="2">
        <v>13</v>
      </c>
      <c r="B7693" t="s" s="2">
        <f>HYPERLINK("http://ts.21cn.com/tousu/show/id/1364917","拼多多货款提现网络繁忙，不让商家提现，搞人倾家荡产")</f>
      </c>
      <c r="C7693" t="s" s="2">
        <v>15</v>
      </c>
      <c r="D7693" t="s" s="2">
        <v>16</v>
      </c>
      <c r="E7693" t="s" s="2">
        <v>17</v>
      </c>
      <c r="F7693" t="s" s="2">
        <f>HYPERLINK("http://ts.21cn.com/tousu/show/id/1364917","http://ts.21cn.com/tousu/show/id/1364917")</f>
      </c>
      <c r="G7693" t="s" s="2">
        <v>17</v>
      </c>
      <c r="H7693" t="s" s="2">
        <v>19</v>
      </c>
      <c r="I7693" t="s" s="2">
        <v>29717</v>
      </c>
      <c r="J7693" t="s" s="2">
        <v>29718</v>
      </c>
      <c r="K7693" t="s" s="2">
        <v>22</v>
      </c>
      <c r="L7693" t="s" s="2">
        <v>22</v>
      </c>
      <c r="M7693" t="s" s="2">
        <v>22</v>
      </c>
    </row>
    <row r="7694" ht="25.0" customHeight="true">
      <c r="A7694" t="s" s="2">
        <v>13</v>
      </c>
      <c r="B7694" t="s" s="2">
        <f>HYPERLINK("http://ts.21cn.com/tousu/show/id/1364915","金牛借钱未经本人同意扣款")</f>
      </c>
      <c r="C7694" t="s" s="2">
        <v>52</v>
      </c>
      <c r="D7694" t="s" s="2">
        <v>16</v>
      </c>
      <c r="E7694" t="s" s="2">
        <v>17</v>
      </c>
      <c r="F7694" t="s" s="2">
        <f>HYPERLINK("http://ts.21cn.com/tousu/show/id/1364915","http://ts.21cn.com/tousu/show/id/1364915")</f>
      </c>
      <c r="G7694" t="s" s="2">
        <v>17</v>
      </c>
      <c r="H7694" t="s" s="2">
        <v>19</v>
      </c>
      <c r="I7694" t="s" s="2">
        <v>29721</v>
      </c>
      <c r="J7694" t="s" s="2">
        <v>29722</v>
      </c>
      <c r="K7694" t="s" s="2">
        <v>22</v>
      </c>
      <c r="L7694" t="s" s="2">
        <v>22</v>
      </c>
      <c r="M7694" t="s" s="2">
        <v>22</v>
      </c>
    </row>
    <row r="7695" ht="25.0" customHeight="true">
      <c r="A7695" t="s" s="2">
        <v>13</v>
      </c>
      <c r="B7695" t="s" s="2">
        <f>HYPERLINK("http://ts.21cn.com/tousu/show/id/1364914","福贷砍头息")</f>
      </c>
      <c r="C7695" t="s" s="2">
        <v>52</v>
      </c>
      <c r="D7695" t="s" s="2">
        <v>16</v>
      </c>
      <c r="E7695" t="s" s="2">
        <v>17</v>
      </c>
      <c r="F7695" t="s" s="2">
        <f>HYPERLINK("http://ts.21cn.com/tousu/show/id/1364914","http://ts.21cn.com/tousu/show/id/1364914")</f>
      </c>
      <c r="G7695" t="s" s="2">
        <v>17</v>
      </c>
      <c r="H7695" t="s" s="2">
        <v>19</v>
      </c>
      <c r="I7695" t="s" s="2">
        <v>29725</v>
      </c>
      <c r="J7695" t="s" s="2">
        <v>29726</v>
      </c>
      <c r="K7695" t="s" s="2">
        <v>22</v>
      </c>
      <c r="L7695" t="s" s="2">
        <v>22</v>
      </c>
      <c r="M7695" t="s" s="2">
        <v>22</v>
      </c>
    </row>
    <row r="7696" ht="25.0" customHeight="true">
      <c r="A7696" t="s" s="2">
        <v>13</v>
      </c>
      <c r="B7696" t="s" s="2">
        <f>HYPERLINK("http://ts.21cn.com/tousu/show/id/1364913","上海造艺百事普惠恶意扣款")</f>
      </c>
      <c r="C7696" t="s" s="2">
        <v>15</v>
      </c>
      <c r="D7696" t="s" s="2">
        <v>16</v>
      </c>
      <c r="E7696" t="s" s="2">
        <v>17</v>
      </c>
      <c r="F7696" t="s" s="2">
        <f>HYPERLINK("http://ts.21cn.com/tousu/show/id/1364913","http://ts.21cn.com/tousu/show/id/1364913")</f>
      </c>
      <c r="G7696" t="s" s="2">
        <v>17</v>
      </c>
      <c r="H7696" t="s" s="2">
        <v>19</v>
      </c>
      <c r="I7696" t="s" s="2">
        <v>29729</v>
      </c>
      <c r="J7696" t="s" s="2">
        <v>29730</v>
      </c>
      <c r="K7696" t="s" s="2">
        <v>22</v>
      </c>
      <c r="L7696" t="s" s="2">
        <v>22</v>
      </c>
      <c r="M7696" t="s" s="2">
        <v>22</v>
      </c>
    </row>
    <row r="7697" ht="25.0" customHeight="true">
      <c r="A7697" t="s" s="2">
        <v>13</v>
      </c>
      <c r="B7697" t="s" s="2">
        <f>HYPERLINK("http://ts.21cn.com/tousu/show/id/1364911","美团外卖吃了拉肚子投诉没门")</f>
      </c>
      <c r="C7697" t="s" s="2">
        <v>52</v>
      </c>
      <c r="D7697" t="s" s="2">
        <v>16</v>
      </c>
      <c r="E7697" t="s" s="2">
        <v>17</v>
      </c>
      <c r="F7697" t="s" s="2">
        <f>HYPERLINK("http://ts.21cn.com/tousu/show/id/1364911","http://ts.21cn.com/tousu/show/id/1364911")</f>
      </c>
      <c r="G7697" t="s" s="2">
        <v>17</v>
      </c>
      <c r="H7697" t="s" s="2">
        <v>19</v>
      </c>
      <c r="I7697" t="s" s="2">
        <v>29733</v>
      </c>
      <c r="J7697" t="s" s="2">
        <v>29734</v>
      </c>
      <c r="K7697" t="s" s="2">
        <v>22</v>
      </c>
      <c r="L7697" t="s" s="2">
        <v>22</v>
      </c>
      <c r="M7697" t="s" s="2">
        <v>22</v>
      </c>
    </row>
    <row r="7698" ht="25.0" customHeight="true">
      <c r="A7698" t="s" s="2">
        <v>13</v>
      </c>
      <c r="B7698" t="s" s="2">
        <f>HYPERLINK("http://ts.21cn.com/tousu/show/id/1364910","卡里钱无缘无故被扣")</f>
      </c>
      <c r="C7698" t="s" s="2">
        <v>15</v>
      </c>
      <c r="D7698" t="s" s="2">
        <v>16</v>
      </c>
      <c r="E7698" t="s" s="2">
        <v>17</v>
      </c>
      <c r="F7698" t="s" s="2">
        <f>HYPERLINK("http://ts.21cn.com/tousu/show/id/1364910","http://ts.21cn.com/tousu/show/id/1364910")</f>
      </c>
      <c r="G7698" t="s" s="2">
        <v>17</v>
      </c>
      <c r="H7698" t="s" s="2">
        <v>19</v>
      </c>
      <c r="I7698" t="s" s="2">
        <v>29737</v>
      </c>
      <c r="J7698" t="s" s="2">
        <v>29738</v>
      </c>
      <c r="K7698" t="s" s="2">
        <v>22</v>
      </c>
      <c r="L7698" t="s" s="2">
        <v>22</v>
      </c>
      <c r="M7698" t="s" s="2">
        <v>22</v>
      </c>
    </row>
    <row r="7699" ht="25.0" customHeight="true">
      <c r="A7699" t="s" s="2">
        <v>13</v>
      </c>
      <c r="B7699" t="s" s="2">
        <f>HYPERLINK("http://ts.21cn.com/tousu/show/id/1364898","莫名其妙银行卡钱被扣走")</f>
      </c>
      <c r="C7699" t="s" s="2">
        <v>52</v>
      </c>
      <c r="D7699" t="s" s="2">
        <v>16</v>
      </c>
      <c r="E7699" t="s" s="2">
        <v>17</v>
      </c>
      <c r="F7699" t="s" s="2">
        <f>HYPERLINK("http://ts.21cn.com/tousu/show/id/1364898","http://ts.21cn.com/tousu/show/id/1364898")</f>
      </c>
      <c r="G7699" t="s" s="2">
        <v>17</v>
      </c>
      <c r="H7699" t="s" s="2">
        <v>19</v>
      </c>
      <c r="I7699" t="s" s="2">
        <v>29741</v>
      </c>
      <c r="J7699" t="s" s="2">
        <v>29742</v>
      </c>
      <c r="K7699" t="s" s="2">
        <v>22</v>
      </c>
      <c r="L7699" t="s" s="2">
        <v>22</v>
      </c>
      <c r="M7699" t="s" s="2">
        <v>22</v>
      </c>
    </row>
    <row r="7700" ht="25.0" customHeight="true">
      <c r="A7700" t="s" s="2">
        <v>13</v>
      </c>
      <c r="B7700" t="s" s="2">
        <f>HYPERLINK("http://ts.21cn.com/tousu/show/id/1364907","滴答顺风司机上车要加钱")</f>
      </c>
      <c r="C7700" t="s" s="2">
        <v>52</v>
      </c>
      <c r="D7700" t="s" s="2">
        <v>16</v>
      </c>
      <c r="E7700" t="s" s="2">
        <v>17</v>
      </c>
      <c r="F7700" t="s" s="2">
        <f>HYPERLINK("http://ts.21cn.com/tousu/show/id/1364907","http://ts.21cn.com/tousu/show/id/1364907")</f>
      </c>
      <c r="G7700" t="s" s="2">
        <v>17</v>
      </c>
      <c r="H7700" t="s" s="2">
        <v>19</v>
      </c>
      <c r="I7700" t="s" s="2">
        <v>29745</v>
      </c>
      <c r="J7700" t="s" s="2">
        <v>29746</v>
      </c>
      <c r="K7700" t="s" s="2">
        <v>22</v>
      </c>
      <c r="L7700" t="s" s="2">
        <v>22</v>
      </c>
      <c r="M7700" t="s" s="2">
        <v>22</v>
      </c>
    </row>
    <row r="7701" ht="25.0" customHeight="true">
      <c r="A7701" t="s" s="2">
        <v>13</v>
      </c>
      <c r="B7701" t="s" s="2">
        <f>HYPERLINK("http://ts.21cn.com/tousu/show/id/1364905","多次与招商银行多次协商分期还款无果，工作人员态度恶劣甚至辱骂，恐吓")</f>
      </c>
      <c r="C7701" t="s" s="2">
        <v>15</v>
      </c>
      <c r="D7701" t="s" s="2">
        <v>16</v>
      </c>
      <c r="E7701" t="s" s="2">
        <v>17</v>
      </c>
      <c r="F7701" t="s" s="2">
        <f>HYPERLINK("http://ts.21cn.com/tousu/show/id/1364905","http://ts.21cn.com/tousu/show/id/1364905")</f>
      </c>
      <c r="G7701" t="s" s="2">
        <v>17</v>
      </c>
      <c r="H7701" t="s" s="2">
        <v>19</v>
      </c>
      <c r="I7701" t="s" s="2">
        <v>29749</v>
      </c>
      <c r="J7701" t="s" s="2">
        <v>29750</v>
      </c>
      <c r="K7701" t="s" s="2">
        <v>22</v>
      </c>
      <c r="L7701" t="s" s="2">
        <v>22</v>
      </c>
      <c r="M7701" t="s" s="2">
        <v>22</v>
      </c>
    </row>
    <row r="7702" ht="25.0" customHeight="true">
      <c r="A7702" t="s" s="2">
        <v>13</v>
      </c>
      <c r="B7702" t="s" s="2">
        <f>HYPERLINK("http://ts.21cn.com/tousu/show/id/1364904","淘集集商家")</f>
      </c>
      <c r="C7702" t="s" s="2">
        <v>15</v>
      </c>
      <c r="D7702" t="s" s="2">
        <v>16</v>
      </c>
      <c r="E7702" t="s" s="2">
        <v>17</v>
      </c>
      <c r="F7702" t="s" s="2">
        <f>HYPERLINK("http://ts.21cn.com/tousu/show/id/1364904","http://ts.21cn.com/tousu/show/id/1364904")</f>
      </c>
      <c r="G7702" t="s" s="2">
        <v>17</v>
      </c>
      <c r="H7702" t="s" s="2">
        <v>19</v>
      </c>
      <c r="I7702" t="s" s="2">
        <v>29753</v>
      </c>
      <c r="J7702" t="s" s="2">
        <v>29754</v>
      </c>
      <c r="K7702" t="s" s="2">
        <v>22</v>
      </c>
      <c r="L7702" t="s" s="2">
        <v>22</v>
      </c>
      <c r="M7702" t="s" s="2">
        <v>22</v>
      </c>
    </row>
    <row r="7703" ht="25.0" customHeight="true">
      <c r="A7703" t="s" s="2">
        <v>13</v>
      </c>
      <c r="B7703" t="s" s="2">
        <f>HYPERLINK("http://ts.21cn.com/tousu/show/id/1364906","拼多多账号不给提款")</f>
      </c>
      <c r="C7703" t="s" s="2">
        <v>15</v>
      </c>
      <c r="D7703" t="s" s="2">
        <v>16</v>
      </c>
      <c r="E7703" t="s" s="2">
        <v>17</v>
      </c>
      <c r="F7703" t="s" s="2">
        <f>HYPERLINK("http://ts.21cn.com/tousu/show/id/1364906","http://ts.21cn.com/tousu/show/id/1364906")</f>
      </c>
      <c r="G7703" t="s" s="2">
        <v>17</v>
      </c>
      <c r="H7703" t="s" s="2">
        <v>19</v>
      </c>
      <c r="I7703" t="s" s="2">
        <v>29757</v>
      </c>
      <c r="J7703" t="s" s="2">
        <v>29758</v>
      </c>
      <c r="K7703" t="s" s="2">
        <v>22</v>
      </c>
      <c r="L7703" t="s" s="2">
        <v>22</v>
      </c>
      <c r="M7703" t="s" s="2">
        <v>22</v>
      </c>
    </row>
    <row r="7704" ht="25.0" customHeight="true">
      <c r="A7704" t="s" s="2">
        <v>13</v>
      </c>
      <c r="B7704" t="s" s="2">
        <f>HYPERLINK("http://ts.21cn.com/tousu/show/id/1364903","平安普惠贷款隐瞒隐藏并强制收取高额保险费管理费投诉事宜")</f>
      </c>
      <c r="C7704" t="s" s="2">
        <v>15</v>
      </c>
      <c r="D7704" t="s" s="2">
        <v>16</v>
      </c>
      <c r="E7704" t="s" s="2">
        <v>17</v>
      </c>
      <c r="F7704" t="s" s="2">
        <f>HYPERLINK("http://ts.21cn.com/tousu/show/id/1364903","http://ts.21cn.com/tousu/show/id/1364903")</f>
      </c>
      <c r="G7704" t="s" s="2">
        <v>17</v>
      </c>
      <c r="H7704" t="s" s="2">
        <v>19</v>
      </c>
      <c r="I7704" t="s" s="2">
        <v>29760</v>
      </c>
      <c r="J7704" t="s" s="2">
        <v>29761</v>
      </c>
      <c r="K7704" t="s" s="2">
        <v>22</v>
      </c>
      <c r="L7704" t="s" s="2">
        <v>22</v>
      </c>
      <c r="M7704" t="s" s="2">
        <v>22</v>
      </c>
    </row>
    <row r="7705" ht="25.0" customHeight="true">
      <c r="A7705" t="s" s="2">
        <v>13</v>
      </c>
      <c r="B7705" t="s" s="2">
        <f>HYPERLINK("http://ts.21cn.com/tousu/show/id/1364901","银盛支付公司Pos收款未到账强制挪用我们商户的钱，不同意无息分期，要求全款")</f>
      </c>
      <c r="C7705" t="s" s="2">
        <v>15</v>
      </c>
      <c r="D7705" t="s" s="2">
        <v>16</v>
      </c>
      <c r="E7705" t="s" s="2">
        <v>17</v>
      </c>
      <c r="F7705" t="s" s="2">
        <f>HYPERLINK("http://ts.21cn.com/tousu/show/id/1364901","http://ts.21cn.com/tousu/show/id/1364901")</f>
      </c>
      <c r="G7705" t="s" s="2">
        <v>17</v>
      </c>
      <c r="H7705" t="s" s="2">
        <v>19</v>
      </c>
      <c r="I7705" t="s" s="2">
        <v>29760</v>
      </c>
      <c r="J7705" t="s" s="2">
        <v>29763</v>
      </c>
      <c r="K7705" t="s" s="2">
        <v>22</v>
      </c>
      <c r="L7705" t="s" s="2">
        <v>22</v>
      </c>
      <c r="M7705" t="s" s="2">
        <v>22</v>
      </c>
    </row>
    <row r="7706" ht="25.0" customHeight="true">
      <c r="A7706" t="s" s="2">
        <v>13</v>
      </c>
      <c r="B7706" t="s" s="2">
        <f>HYPERLINK("http://ts.21cn.com/tousu/show/id/1364900","阳光出行乱扣费")</f>
      </c>
      <c r="C7706" t="s" s="2">
        <v>15</v>
      </c>
      <c r="D7706" t="s" s="2">
        <v>16</v>
      </c>
      <c r="E7706" t="s" s="2">
        <v>17</v>
      </c>
      <c r="F7706" t="s" s="2">
        <f>HYPERLINK("http://ts.21cn.com/tousu/show/id/1364900","http://ts.21cn.com/tousu/show/id/1364900")</f>
      </c>
      <c r="G7706" t="s" s="2">
        <v>17</v>
      </c>
      <c r="H7706" t="s" s="2">
        <v>19</v>
      </c>
      <c r="I7706" t="s" s="2">
        <v>29766</v>
      </c>
      <c r="J7706" t="s" s="2">
        <v>29767</v>
      </c>
      <c r="K7706" t="s" s="2">
        <v>22</v>
      </c>
      <c r="L7706" t="s" s="2">
        <v>22</v>
      </c>
      <c r="M7706" t="s" s="2">
        <v>22</v>
      </c>
    </row>
    <row r="7707" ht="25.0" customHeight="true">
      <c r="A7707" t="s" s="2">
        <v>13</v>
      </c>
      <c r="B7707" t="s" s="2">
        <f>HYPERLINK("http://ts.21cn.com/tousu/show/id/1364899","奇秀账号余额不给提现")</f>
      </c>
      <c r="C7707" t="s" s="2">
        <v>15</v>
      </c>
      <c r="D7707" t="s" s="2">
        <v>16</v>
      </c>
      <c r="E7707" t="s" s="2">
        <v>17</v>
      </c>
      <c r="F7707" t="s" s="2">
        <f>HYPERLINK("http://ts.21cn.com/tousu/show/id/1364899","http://ts.21cn.com/tousu/show/id/1364899")</f>
      </c>
      <c r="G7707" t="s" s="2">
        <v>17</v>
      </c>
      <c r="H7707" t="s" s="2">
        <v>19</v>
      </c>
      <c r="I7707" t="s" s="2">
        <v>29770</v>
      </c>
      <c r="J7707" t="s" s="2">
        <v>29771</v>
      </c>
      <c r="K7707" t="s" s="2">
        <v>22</v>
      </c>
      <c r="L7707" t="s" s="2">
        <v>22</v>
      </c>
      <c r="M7707" t="s" s="2">
        <v>22</v>
      </c>
    </row>
    <row r="7708" ht="25.0" customHeight="true">
      <c r="A7708" t="s" s="2">
        <v>13</v>
      </c>
      <c r="B7708" t="s" s="2">
        <f>HYPERLINK("http://ts.21cn.com/tousu/show/id/1364897","上海造艺网络技术有限公司乱扣费")</f>
      </c>
      <c r="C7708" t="s" s="2">
        <v>15</v>
      </c>
      <c r="D7708" t="s" s="2">
        <v>16</v>
      </c>
      <c r="E7708" t="s" s="2">
        <v>17</v>
      </c>
      <c r="F7708" t="s" s="2">
        <f>HYPERLINK("http://ts.21cn.com/tousu/show/id/1364897","http://ts.21cn.com/tousu/show/id/1364897")</f>
      </c>
      <c r="G7708" t="s" s="2">
        <v>17</v>
      </c>
      <c r="H7708" t="s" s="2">
        <v>19</v>
      </c>
      <c r="I7708" t="s" s="2">
        <v>29774</v>
      </c>
      <c r="J7708" t="s" s="2">
        <v>29775</v>
      </c>
      <c r="K7708" t="s" s="2">
        <v>22</v>
      </c>
      <c r="L7708" t="s" s="2">
        <v>22</v>
      </c>
      <c r="M7708" t="s" s="2">
        <v>22</v>
      </c>
    </row>
    <row r="7709" ht="25.0" customHeight="true">
      <c r="A7709" t="s" s="2">
        <v>13</v>
      </c>
      <c r="B7709" t="s" s="2">
        <f>HYPERLINK("http://ts.21cn.com/tousu/show/id/1364894","淘手游客服迟迟不接单和卖家协商退款")</f>
      </c>
      <c r="C7709" t="s" s="2">
        <v>15</v>
      </c>
      <c r="D7709" t="s" s="2">
        <v>16</v>
      </c>
      <c r="E7709" t="s" s="2">
        <v>17</v>
      </c>
      <c r="F7709" t="s" s="2">
        <f>HYPERLINK("http://ts.21cn.com/tousu/show/id/1364894","http://ts.21cn.com/tousu/show/id/1364894")</f>
      </c>
      <c r="G7709" t="s" s="2">
        <v>17</v>
      </c>
      <c r="H7709" t="s" s="2">
        <v>19</v>
      </c>
      <c r="I7709" t="s" s="2">
        <v>29778</v>
      </c>
      <c r="J7709" t="s" s="2">
        <v>29779</v>
      </c>
      <c r="K7709" t="s" s="2">
        <v>22</v>
      </c>
      <c r="L7709" t="s" s="2">
        <v>22</v>
      </c>
      <c r="M7709" t="s" s="2">
        <v>22</v>
      </c>
    </row>
    <row r="7710" ht="25.0" customHeight="true">
      <c r="A7710" t="s" s="2">
        <v>13</v>
      </c>
      <c r="B7710" t="s" s="2">
        <f>HYPERLINK("http://ts.21cn.com/tousu/show/id/1364893","贷款1分未收到，360借条竟然通知分期还款。")</f>
      </c>
      <c r="C7710" t="s" s="2">
        <v>15</v>
      </c>
      <c r="D7710" t="s" s="2">
        <v>16</v>
      </c>
      <c r="E7710" t="s" s="2">
        <v>17</v>
      </c>
      <c r="F7710" t="s" s="2">
        <f>HYPERLINK("http://ts.21cn.com/tousu/show/id/1364893","http://ts.21cn.com/tousu/show/id/1364893")</f>
      </c>
      <c r="G7710" t="s" s="2">
        <v>17</v>
      </c>
      <c r="H7710" t="s" s="2">
        <v>19</v>
      </c>
      <c r="I7710" t="s" s="2">
        <v>29782</v>
      </c>
      <c r="J7710" t="s" s="2">
        <v>29783</v>
      </c>
      <c r="K7710" t="s" s="2">
        <v>22</v>
      </c>
      <c r="L7710" t="s" s="2">
        <v>22</v>
      </c>
      <c r="M7710" t="s" s="2">
        <v>22</v>
      </c>
    </row>
    <row r="7711" ht="25.0" customHeight="true">
      <c r="A7711" t="s" s="2">
        <v>13</v>
      </c>
      <c r="B7711" t="s" s="2">
        <f>HYPERLINK("http://ts.21cn.com/tousu/show/id/1364892","兴业银行备用金虚假误导")</f>
      </c>
      <c r="C7711" t="s" s="2">
        <v>15</v>
      </c>
      <c r="D7711" t="s" s="2">
        <v>16</v>
      </c>
      <c r="E7711" t="s" s="2">
        <v>17</v>
      </c>
      <c r="F7711" t="s" s="2">
        <f>HYPERLINK("http://ts.21cn.com/tousu/show/id/1364892","http://ts.21cn.com/tousu/show/id/1364892")</f>
      </c>
      <c r="G7711" t="s" s="2">
        <v>17</v>
      </c>
      <c r="H7711" t="s" s="2">
        <v>19</v>
      </c>
      <c r="I7711" t="s" s="2">
        <v>29785</v>
      </c>
      <c r="J7711" t="s" s="2">
        <v>29710</v>
      </c>
      <c r="K7711" t="s" s="2">
        <v>22</v>
      </c>
      <c r="L7711" t="s" s="2">
        <v>22</v>
      </c>
      <c r="M7711" t="s" s="2">
        <v>22</v>
      </c>
    </row>
    <row r="7712" ht="25.0" customHeight="true">
      <c r="A7712" t="s" s="2">
        <v>13</v>
      </c>
      <c r="B7712" t="s" s="2">
        <f>HYPERLINK("http://ts.21cn.com/tousu/show/id/1364891","友信信贷在未逾期的时间内对借款人进行暴力催收")</f>
      </c>
      <c r="C7712" t="s" s="2">
        <v>15</v>
      </c>
      <c r="D7712" t="s" s="2">
        <v>16</v>
      </c>
      <c r="E7712" t="s" s="2">
        <v>17</v>
      </c>
      <c r="F7712" t="s" s="2">
        <f>HYPERLINK("http://ts.21cn.com/tousu/show/id/1364891","http://ts.21cn.com/tousu/show/id/1364891")</f>
      </c>
      <c r="G7712" t="s" s="2">
        <v>17</v>
      </c>
      <c r="H7712" t="s" s="2">
        <v>19</v>
      </c>
      <c r="I7712" t="s" s="2">
        <v>29787</v>
      </c>
      <c r="J7712" t="s" s="2">
        <v>29788</v>
      </c>
      <c r="K7712" t="s" s="2">
        <v>22</v>
      </c>
      <c r="L7712" t="s" s="2">
        <v>22</v>
      </c>
      <c r="M7712" t="s" s="2">
        <v>22</v>
      </c>
    </row>
    <row r="7713" ht="25.0" customHeight="true">
      <c r="A7713" t="s" s="2">
        <v>13</v>
      </c>
      <c r="B7713" t="s" s="2">
        <f>HYPERLINK("http://ts.21cn.com/tousu/show/id/1364890","水莲金条高利贷")</f>
      </c>
      <c r="C7713" t="s" s="2">
        <v>15</v>
      </c>
      <c r="D7713" t="s" s="2">
        <v>16</v>
      </c>
      <c r="E7713" t="s" s="2">
        <v>17</v>
      </c>
      <c r="F7713" t="s" s="2">
        <f>HYPERLINK("http://ts.21cn.com/tousu/show/id/1364890","http://ts.21cn.com/tousu/show/id/1364890")</f>
      </c>
      <c r="G7713" t="s" s="2">
        <v>17</v>
      </c>
      <c r="H7713" t="s" s="2">
        <v>19</v>
      </c>
      <c r="I7713" t="s" s="2">
        <v>29791</v>
      </c>
      <c r="J7713" t="s" s="2">
        <v>29792</v>
      </c>
      <c r="K7713" t="s" s="2">
        <v>22</v>
      </c>
      <c r="L7713" t="s" s="2">
        <v>22</v>
      </c>
      <c r="M7713" t="s" s="2">
        <v>22</v>
      </c>
    </row>
    <row r="7714" ht="25.0" customHeight="true">
      <c r="A7714" t="s" s="2">
        <v>13</v>
      </c>
      <c r="B7714" t="s" s="2">
        <f>HYPERLINK("http://ts.21cn.com/tousu/show/id/1364889","我想退还捷信的高额利息")</f>
      </c>
      <c r="C7714" t="s" s="2">
        <v>15</v>
      </c>
      <c r="D7714" t="s" s="2">
        <v>16</v>
      </c>
      <c r="E7714" t="s" s="2">
        <v>17</v>
      </c>
      <c r="F7714" t="s" s="2">
        <f>HYPERLINK("http://ts.21cn.com/tousu/show/id/1364889","http://ts.21cn.com/tousu/show/id/1364889")</f>
      </c>
      <c r="G7714" t="s" s="2">
        <v>17</v>
      </c>
      <c r="H7714" t="s" s="2">
        <v>19</v>
      </c>
      <c r="I7714" t="s" s="2">
        <v>29795</v>
      </c>
      <c r="J7714" t="s" s="2">
        <v>29796</v>
      </c>
      <c r="K7714" t="s" s="2">
        <v>22</v>
      </c>
      <c r="L7714" t="s" s="2">
        <v>22</v>
      </c>
      <c r="M7714" t="s" s="2">
        <v>22</v>
      </c>
    </row>
    <row r="7715" ht="25.0" customHeight="true">
      <c r="A7715" t="s" s="2">
        <v>13</v>
      </c>
      <c r="B7715" t="s" s="2">
        <f>HYPERLINK("http://ts.21cn.com/tousu/show/id/1364888","未经本人同意乱扣服务费198元，用不了他们的服务")</f>
      </c>
      <c r="C7715" t="s" s="2">
        <v>15</v>
      </c>
      <c r="D7715" t="s" s="2">
        <v>16</v>
      </c>
      <c r="E7715" t="s" s="2">
        <v>17</v>
      </c>
      <c r="F7715" t="s" s="2">
        <f>HYPERLINK("http://ts.21cn.com/tousu/show/id/1364888","http://ts.21cn.com/tousu/show/id/1364888")</f>
      </c>
      <c r="G7715" t="s" s="2">
        <v>17</v>
      </c>
      <c r="H7715" t="s" s="2">
        <v>19</v>
      </c>
      <c r="I7715" t="s" s="2">
        <v>29799</v>
      </c>
      <c r="J7715" t="s" s="2">
        <v>29800</v>
      </c>
      <c r="K7715" t="s" s="2">
        <v>22</v>
      </c>
      <c r="L7715" t="s" s="2">
        <v>22</v>
      </c>
      <c r="M7715" t="s" s="2">
        <v>22</v>
      </c>
    </row>
    <row r="7716" ht="25.0" customHeight="true">
      <c r="A7716" t="s" s="2">
        <v>13</v>
      </c>
      <c r="B7716" t="s" s="2">
        <f>HYPERLINK("http://ts.21cn.com/tousu/show/id/1364887","拼多多冻结资金")</f>
      </c>
      <c r="C7716" t="s" s="2">
        <v>15</v>
      </c>
      <c r="D7716" t="s" s="2">
        <v>16</v>
      </c>
      <c r="E7716" t="s" s="2">
        <v>17</v>
      </c>
      <c r="F7716" t="s" s="2">
        <f>HYPERLINK("http://ts.21cn.com/tousu/show/id/1364887","http://ts.21cn.com/tousu/show/id/1364887")</f>
      </c>
      <c r="G7716" t="s" s="2">
        <v>17</v>
      </c>
      <c r="H7716" t="s" s="2">
        <v>19</v>
      </c>
      <c r="I7716" t="s" s="2">
        <v>29803</v>
      </c>
      <c r="J7716" t="s" s="2">
        <v>29804</v>
      </c>
      <c r="K7716" t="s" s="2">
        <v>22</v>
      </c>
      <c r="L7716" t="s" s="2">
        <v>22</v>
      </c>
      <c r="M7716" t="s" s="2">
        <v>22</v>
      </c>
    </row>
    <row r="7717" ht="25.0" customHeight="true">
      <c r="A7717" t="s" s="2">
        <v>13</v>
      </c>
      <c r="B7717" t="s" s="2">
        <f>HYPERLINK("http://ts.21cn.com/tousu/show/id/1364886","友信信贷在未逾期的时间内对借款人进行暴力催收")</f>
      </c>
      <c r="C7717" t="s" s="2">
        <v>15</v>
      </c>
      <c r="D7717" t="s" s="2">
        <v>16</v>
      </c>
      <c r="E7717" t="s" s="2">
        <v>17</v>
      </c>
      <c r="F7717" t="s" s="2">
        <f>HYPERLINK("http://ts.21cn.com/tousu/show/id/1364886","http://ts.21cn.com/tousu/show/id/1364886")</f>
      </c>
      <c r="G7717" t="s" s="2">
        <v>17</v>
      </c>
      <c r="H7717" t="s" s="2">
        <v>19</v>
      </c>
      <c r="I7717" t="s" s="2">
        <v>29806</v>
      </c>
      <c r="J7717" t="s" s="2">
        <v>29807</v>
      </c>
      <c r="K7717" t="s" s="2">
        <v>22</v>
      </c>
      <c r="L7717" t="s" s="2">
        <v>22</v>
      </c>
      <c r="M7717" t="s" s="2">
        <v>22</v>
      </c>
    </row>
    <row r="7718" ht="25.0" customHeight="true">
      <c r="A7718" t="s" s="2">
        <v>13</v>
      </c>
      <c r="B7718" t="s" s="2">
        <f>HYPERLINK("http://ts.21cn.com/tousu/show/id/1364884","你我贷还款充值余额显示为0")</f>
      </c>
      <c r="C7718" t="s" s="2">
        <v>15</v>
      </c>
      <c r="D7718" t="s" s="2">
        <v>16</v>
      </c>
      <c r="E7718" t="s" s="2">
        <v>17</v>
      </c>
      <c r="F7718" t="s" s="2">
        <f>HYPERLINK("http://ts.21cn.com/tousu/show/id/1364884","http://ts.21cn.com/tousu/show/id/1364884")</f>
      </c>
      <c r="G7718" t="s" s="2">
        <v>17</v>
      </c>
      <c r="H7718" t="s" s="2">
        <v>19</v>
      </c>
      <c r="I7718" t="s" s="2">
        <v>29810</v>
      </c>
      <c r="J7718" t="s" s="2">
        <v>29811</v>
      </c>
      <c r="K7718" t="s" s="2">
        <v>22</v>
      </c>
      <c r="L7718" t="s" s="2">
        <v>22</v>
      </c>
      <c r="M7718" t="s" s="2">
        <v>22</v>
      </c>
    </row>
    <row r="7719" ht="25.0" customHeight="true">
      <c r="A7719" t="s" s="2">
        <v>13</v>
      </c>
      <c r="B7719" t="s" s="2">
        <f>HYPERLINK("http://ts.21cn.com/tousu/show/id/1364874","支付宝中的租赁商户欺诈消费者")</f>
      </c>
      <c r="C7719" t="s" s="2">
        <v>15</v>
      </c>
      <c r="D7719" t="s" s="2">
        <v>16</v>
      </c>
      <c r="E7719" t="s" s="2">
        <v>17</v>
      </c>
      <c r="F7719" t="s" s="2">
        <f>HYPERLINK("http://ts.21cn.com/tousu/show/id/1364874","http://ts.21cn.com/tousu/show/id/1364874")</f>
      </c>
      <c r="G7719" t="s" s="2">
        <v>17</v>
      </c>
      <c r="H7719" t="s" s="2">
        <v>19</v>
      </c>
      <c r="I7719" t="s" s="2">
        <v>29814</v>
      </c>
      <c r="J7719" t="s" s="2">
        <v>29815</v>
      </c>
      <c r="K7719" t="s" s="2">
        <v>22</v>
      </c>
      <c r="L7719" t="s" s="2">
        <v>22</v>
      </c>
      <c r="M7719" t="s" s="2">
        <v>22</v>
      </c>
    </row>
    <row r="7720" ht="25.0" customHeight="true">
      <c r="A7720" t="s" s="2">
        <v>13</v>
      </c>
      <c r="B7720" t="s" s="2">
        <f>HYPERLINK("http://ts.21cn.com/tousu/show/id/1364883","拼多多资金无法提款")</f>
      </c>
      <c r="C7720" t="s" s="2">
        <v>15</v>
      </c>
      <c r="D7720" t="s" s="2">
        <v>16</v>
      </c>
      <c r="E7720" t="s" s="2">
        <v>17</v>
      </c>
      <c r="F7720" t="s" s="2">
        <f>HYPERLINK("http://ts.21cn.com/tousu/show/id/1364883","http://ts.21cn.com/tousu/show/id/1364883")</f>
      </c>
      <c r="G7720" t="s" s="2">
        <v>17</v>
      </c>
      <c r="H7720" t="s" s="2">
        <v>19</v>
      </c>
      <c r="I7720" t="s" s="2">
        <v>29818</v>
      </c>
      <c r="J7720" t="s" s="2">
        <v>29819</v>
      </c>
      <c r="K7720" t="s" s="2">
        <v>22</v>
      </c>
      <c r="L7720" t="s" s="2">
        <v>22</v>
      </c>
      <c r="M7720" t="s" s="2">
        <v>22</v>
      </c>
    </row>
    <row r="7721" ht="25.0" customHeight="true">
      <c r="A7721" t="s" s="2">
        <v>13</v>
      </c>
      <c r="B7721" t="s" s="2">
        <f>HYPERLINK("http://ts.21cn.com/tousu/show/id/1364881","网贷平台乱收取费用")</f>
      </c>
      <c r="C7721" t="s" s="2">
        <v>15</v>
      </c>
      <c r="D7721" t="s" s="2">
        <v>16</v>
      </c>
      <c r="E7721" t="s" s="2">
        <v>17</v>
      </c>
      <c r="F7721" t="s" s="2">
        <f>HYPERLINK("http://ts.21cn.com/tousu/show/id/1364881","http://ts.21cn.com/tousu/show/id/1364881")</f>
      </c>
      <c r="G7721" t="s" s="2">
        <v>17</v>
      </c>
      <c r="H7721" t="s" s="2">
        <v>19</v>
      </c>
      <c r="I7721" t="s" s="2">
        <v>29822</v>
      </c>
      <c r="J7721" t="s" s="2">
        <v>29823</v>
      </c>
      <c r="K7721" t="s" s="2">
        <v>22</v>
      </c>
      <c r="L7721" t="s" s="2">
        <v>22</v>
      </c>
      <c r="M7721" t="s" s="2">
        <v>22</v>
      </c>
    </row>
    <row r="7722" ht="25.0" customHeight="true">
      <c r="A7722" t="s" s="2">
        <v>13</v>
      </c>
      <c r="B7722" t="s" s="2">
        <f>HYPERLINK("http://ts.21cn.com/tousu/show/id/1364882","利息高过本金的平台")</f>
      </c>
      <c r="C7722" t="s" s="2">
        <v>15</v>
      </c>
      <c r="D7722" t="s" s="2">
        <v>16</v>
      </c>
      <c r="E7722" t="s" s="2">
        <v>17</v>
      </c>
      <c r="F7722" t="s" s="2">
        <f>HYPERLINK("http://ts.21cn.com/tousu/show/id/1364882","http://ts.21cn.com/tousu/show/id/1364882")</f>
      </c>
      <c r="G7722" t="s" s="2">
        <v>17</v>
      </c>
      <c r="H7722" t="s" s="2">
        <v>19</v>
      </c>
      <c r="I7722" t="s" s="2">
        <v>29826</v>
      </c>
      <c r="J7722" t="s" s="2">
        <v>29827</v>
      </c>
      <c r="K7722" t="s" s="2">
        <v>22</v>
      </c>
      <c r="L7722" t="s" s="2">
        <v>22</v>
      </c>
      <c r="M7722" t="s" s="2">
        <v>22</v>
      </c>
    </row>
    <row r="7723" ht="25.0" customHeight="true">
      <c r="A7723" t="s" s="2">
        <v>13</v>
      </c>
      <c r="B7723" t="s" s="2">
        <f>HYPERLINK("http://ts.21cn.com/tousu/show/id/1364880","微信支付无故限制不能用")</f>
      </c>
      <c r="C7723" t="s" s="2">
        <v>15</v>
      </c>
      <c r="D7723" t="s" s="2">
        <v>16</v>
      </c>
      <c r="E7723" t="s" s="2">
        <v>17</v>
      </c>
      <c r="F7723" t="s" s="2">
        <f>HYPERLINK("http://ts.21cn.com/tousu/show/id/1364880","http://ts.21cn.com/tousu/show/id/1364880")</f>
      </c>
      <c r="G7723" t="s" s="2">
        <v>17</v>
      </c>
      <c r="H7723" t="s" s="2">
        <v>19</v>
      </c>
      <c r="I7723" t="s" s="2">
        <v>29830</v>
      </c>
      <c r="J7723" t="s" s="2">
        <v>29831</v>
      </c>
      <c r="K7723" t="s" s="2">
        <v>22</v>
      </c>
      <c r="L7723" t="s" s="2">
        <v>22</v>
      </c>
      <c r="M7723" t="s" s="2">
        <v>22</v>
      </c>
    </row>
    <row r="7724" ht="25.0" customHeight="true">
      <c r="A7724" t="s" s="2">
        <v>13</v>
      </c>
      <c r="B7724" t="s" s="2">
        <f>HYPERLINK("http://ts.21cn.com/tousu/show/id/1364879","人人花乱扣费")</f>
      </c>
      <c r="C7724" t="s" s="2">
        <v>15</v>
      </c>
      <c r="D7724" t="s" s="2">
        <v>16</v>
      </c>
      <c r="E7724" t="s" s="2">
        <v>17</v>
      </c>
      <c r="F7724" t="s" s="2">
        <f>HYPERLINK("http://ts.21cn.com/tousu/show/id/1364879","http://ts.21cn.com/tousu/show/id/1364879")</f>
      </c>
      <c r="G7724" t="s" s="2">
        <v>17</v>
      </c>
      <c r="H7724" t="s" s="2">
        <v>19</v>
      </c>
      <c r="I7724" t="s" s="2">
        <v>29833</v>
      </c>
      <c r="J7724" t="s" s="2">
        <v>29834</v>
      </c>
      <c r="K7724" t="s" s="2">
        <v>22</v>
      </c>
      <c r="L7724" t="s" s="2">
        <v>22</v>
      </c>
      <c r="M7724" t="s" s="2">
        <v>22</v>
      </c>
    </row>
    <row r="7725" ht="25.0" customHeight="true">
      <c r="A7725" t="s" s="2">
        <v>13</v>
      </c>
      <c r="B7725" t="s" s="2">
        <f>HYPERLINK("http://ts.21cn.com/tousu/show/id/1364878","无故扣我钱")</f>
      </c>
      <c r="C7725" t="s" s="2">
        <v>52</v>
      </c>
      <c r="D7725" t="s" s="2">
        <v>16</v>
      </c>
      <c r="E7725" t="s" s="2">
        <v>17</v>
      </c>
      <c r="F7725" t="s" s="2">
        <f>HYPERLINK("http://ts.21cn.com/tousu/show/id/1364878","http://ts.21cn.com/tousu/show/id/1364878")</f>
      </c>
      <c r="G7725" t="s" s="2">
        <v>17</v>
      </c>
      <c r="H7725" t="s" s="2">
        <v>19</v>
      </c>
      <c r="I7725" t="s" s="2">
        <v>29837</v>
      </c>
      <c r="J7725" t="s" s="2">
        <v>29838</v>
      </c>
      <c r="K7725" t="s" s="2">
        <v>22</v>
      </c>
      <c r="L7725" t="s" s="2">
        <v>22</v>
      </c>
      <c r="M7725" t="s" s="2">
        <v>22</v>
      </c>
    </row>
    <row r="7726" ht="25.0" customHeight="true">
      <c r="A7726" t="s" s="2">
        <v>13</v>
      </c>
      <c r="B7726" t="s" s="2">
        <f>HYPERLINK("http://ts.21cn.com/tousu/show/id/1364876","友信普惠变相高利贷")</f>
      </c>
      <c r="C7726" t="s" s="2">
        <v>15</v>
      </c>
      <c r="D7726" t="s" s="2">
        <v>16</v>
      </c>
      <c r="E7726" t="s" s="2">
        <v>17</v>
      </c>
      <c r="F7726" t="s" s="2">
        <f>HYPERLINK("http://ts.21cn.com/tousu/show/id/1364876","http://ts.21cn.com/tousu/show/id/1364876")</f>
      </c>
      <c r="G7726" t="s" s="2">
        <v>17</v>
      </c>
      <c r="H7726" t="s" s="2">
        <v>19</v>
      </c>
      <c r="I7726" t="s" s="2">
        <v>29841</v>
      </c>
      <c r="J7726" t="s" s="2">
        <v>29842</v>
      </c>
      <c r="K7726" t="s" s="2">
        <v>22</v>
      </c>
      <c r="L7726" t="s" s="2">
        <v>22</v>
      </c>
      <c r="M7726" t="s" s="2">
        <v>22</v>
      </c>
    </row>
    <row r="7727" ht="25.0" customHeight="true">
      <c r="A7727" t="s" s="2">
        <v>13</v>
      </c>
      <c r="B7727" t="s" s="2">
        <f>HYPERLINK("http://ts.21cn.com/tousu/show/id/1364877","网贷逾期，电话短信轰炸")</f>
      </c>
      <c r="C7727" t="s" s="2">
        <v>15</v>
      </c>
      <c r="D7727" t="s" s="2">
        <v>16</v>
      </c>
      <c r="E7727" t="s" s="2">
        <v>17</v>
      </c>
      <c r="F7727" t="s" s="2">
        <f>HYPERLINK("http://ts.21cn.com/tousu/show/id/1364877","http://ts.21cn.com/tousu/show/id/1364877")</f>
      </c>
      <c r="G7727" t="s" s="2">
        <v>17</v>
      </c>
      <c r="H7727" t="s" s="2">
        <v>19</v>
      </c>
      <c r="I7727" t="s" s="2">
        <v>29845</v>
      </c>
      <c r="J7727" t="s" s="2">
        <v>29846</v>
      </c>
      <c r="K7727" t="s" s="2">
        <v>22</v>
      </c>
      <c r="L7727" t="s" s="2">
        <v>22</v>
      </c>
      <c r="M7727" t="s" s="2">
        <v>22</v>
      </c>
    </row>
    <row r="7728" ht="25.0" customHeight="true">
      <c r="A7728" t="s" s="2">
        <v>13</v>
      </c>
      <c r="B7728" t="s" s="2">
        <f>HYPERLINK("http://ts.21cn.com/tousu/show/id/1364865","湖北农商银行信用卡超高罚息")</f>
      </c>
      <c r="C7728" t="s" s="2">
        <v>15</v>
      </c>
      <c r="D7728" t="s" s="2">
        <v>16</v>
      </c>
      <c r="E7728" t="s" s="2">
        <v>17</v>
      </c>
      <c r="F7728" t="s" s="2">
        <f>HYPERLINK("http://ts.21cn.com/tousu/show/id/1364865","http://ts.21cn.com/tousu/show/id/1364865")</f>
      </c>
      <c r="G7728" t="s" s="2">
        <v>17</v>
      </c>
      <c r="H7728" t="s" s="2">
        <v>19</v>
      </c>
      <c r="I7728" t="s" s="2">
        <v>29849</v>
      </c>
      <c r="J7728" t="s" s="2">
        <v>29850</v>
      </c>
      <c r="K7728" t="s" s="2">
        <v>22</v>
      </c>
      <c r="L7728" t="s" s="2">
        <v>22</v>
      </c>
      <c r="M7728" t="s" s="2">
        <v>22</v>
      </c>
    </row>
    <row r="7729" ht="25.0" customHeight="true">
      <c r="A7729" t="s" s="2">
        <v>13</v>
      </c>
      <c r="B7729" t="s" s="2">
        <f>HYPERLINK("http://ts.21cn.com/tousu/show/id/1364873","小清新借款平台无法还款，APP也进入不了")</f>
      </c>
      <c r="C7729" t="s" s="2">
        <v>15</v>
      </c>
      <c r="D7729" t="s" s="2">
        <v>16</v>
      </c>
      <c r="E7729" t="s" s="2">
        <v>17</v>
      </c>
      <c r="F7729" t="s" s="2">
        <f>HYPERLINK("http://ts.21cn.com/tousu/show/id/1364873","http://ts.21cn.com/tousu/show/id/1364873")</f>
      </c>
      <c r="G7729" t="s" s="2">
        <v>17</v>
      </c>
      <c r="H7729" t="s" s="2">
        <v>19</v>
      </c>
      <c r="I7729" t="s" s="2">
        <v>29853</v>
      </c>
      <c r="J7729" t="s" s="2">
        <v>29854</v>
      </c>
      <c r="K7729" t="s" s="2">
        <v>22</v>
      </c>
      <c r="L7729" t="s" s="2">
        <v>22</v>
      </c>
      <c r="M7729" t="s" s="2">
        <v>22</v>
      </c>
    </row>
    <row r="7730" ht="25.0" customHeight="true">
      <c r="A7730" t="s" s="2">
        <v>13</v>
      </c>
      <c r="B7730" t="s" s="2">
        <f>HYPERLINK("http://ts.21cn.com/tousu/show/id/1364872","华夏银行暴力催收")</f>
      </c>
      <c r="C7730" t="s" s="2">
        <v>15</v>
      </c>
      <c r="D7730" t="s" s="2">
        <v>16</v>
      </c>
      <c r="E7730" t="s" s="2">
        <v>17</v>
      </c>
      <c r="F7730" t="s" s="2">
        <f>HYPERLINK("http://ts.21cn.com/tousu/show/id/1364872","http://ts.21cn.com/tousu/show/id/1364872")</f>
      </c>
      <c r="G7730" t="s" s="2">
        <v>17</v>
      </c>
      <c r="H7730" t="s" s="2">
        <v>19</v>
      </c>
      <c r="I7730" t="s" s="2">
        <v>29857</v>
      </c>
      <c r="J7730" t="s" s="2">
        <v>29858</v>
      </c>
      <c r="K7730" t="s" s="2">
        <v>22</v>
      </c>
      <c r="L7730" t="s" s="2">
        <v>22</v>
      </c>
      <c r="M7730" t="s" s="2">
        <v>22</v>
      </c>
    </row>
    <row r="7731" ht="25.0" customHeight="true">
      <c r="A7731" t="s" s="2">
        <v>13</v>
      </c>
      <c r="B7731" t="s" s="2">
        <f>HYPERLINK("http://ts.21cn.com/tousu/show/id/1364871","高利贷平台")</f>
      </c>
      <c r="C7731" t="s" s="2">
        <v>15</v>
      </c>
      <c r="D7731" t="s" s="2">
        <v>16</v>
      </c>
      <c r="E7731" t="s" s="2">
        <v>17</v>
      </c>
      <c r="F7731" t="s" s="2">
        <f>HYPERLINK("http://ts.21cn.com/tousu/show/id/1364871","http://ts.21cn.com/tousu/show/id/1364871")</f>
      </c>
      <c r="G7731" t="s" s="2">
        <v>17</v>
      </c>
      <c r="H7731" t="s" s="2">
        <v>19</v>
      </c>
      <c r="I7731" t="s" s="2">
        <v>29860</v>
      </c>
      <c r="J7731" t="s" s="2">
        <v>29861</v>
      </c>
      <c r="K7731" t="s" s="2">
        <v>22</v>
      </c>
      <c r="L7731" t="s" s="2">
        <v>22</v>
      </c>
      <c r="M7731" t="s" s="2">
        <v>22</v>
      </c>
    </row>
    <row r="7732" ht="25.0" customHeight="true">
      <c r="A7732" t="s" s="2">
        <v>13</v>
      </c>
      <c r="B7732" t="s" s="2">
        <f>HYPERLINK("http://ts.21cn.com/tousu/show/id/1364870","达飞云贷高利贷，利息超本金，提额调贷增加债务人债务")</f>
      </c>
      <c r="C7732" t="s" s="2">
        <v>15</v>
      </c>
      <c r="D7732" t="s" s="2">
        <v>16</v>
      </c>
      <c r="E7732" t="s" s="2">
        <v>17</v>
      </c>
      <c r="F7732" t="s" s="2">
        <f>HYPERLINK("http://ts.21cn.com/tousu/show/id/1364870","http://ts.21cn.com/tousu/show/id/1364870")</f>
      </c>
      <c r="G7732" t="s" s="2">
        <v>17</v>
      </c>
      <c r="H7732" t="s" s="2">
        <v>19</v>
      </c>
      <c r="I7732" t="s" s="2">
        <v>29864</v>
      </c>
      <c r="J7732" t="s" s="2">
        <v>29865</v>
      </c>
      <c r="K7732" t="s" s="2">
        <v>22</v>
      </c>
      <c r="L7732" t="s" s="2">
        <v>22</v>
      </c>
      <c r="M7732" t="s" s="2">
        <v>22</v>
      </c>
    </row>
    <row r="7733" ht="25.0" customHeight="true">
      <c r="A7733" t="s" s="2">
        <v>13</v>
      </c>
      <c r="B7733" t="s" s="2">
        <f>HYPERLINK("http://ts.21cn.com/tousu/show/id/1364869","上海拍拍贷暴力催收恐吓")</f>
      </c>
      <c r="C7733" t="s" s="2">
        <v>15</v>
      </c>
      <c r="D7733" t="s" s="2">
        <v>16</v>
      </c>
      <c r="E7733" t="s" s="2">
        <v>17</v>
      </c>
      <c r="F7733" t="s" s="2">
        <f>HYPERLINK("http://ts.21cn.com/tousu/show/id/1364869","http://ts.21cn.com/tousu/show/id/1364869")</f>
      </c>
      <c r="G7733" t="s" s="2">
        <v>17</v>
      </c>
      <c r="H7733" t="s" s="2">
        <v>19</v>
      </c>
      <c r="I7733" t="s" s="2">
        <v>29868</v>
      </c>
      <c r="J7733" t="s" s="2">
        <v>29869</v>
      </c>
      <c r="K7733" t="s" s="2">
        <v>22</v>
      </c>
      <c r="L7733" t="s" s="2">
        <v>22</v>
      </c>
      <c r="M7733" t="s" s="2">
        <v>22</v>
      </c>
    </row>
    <row r="7734" ht="25.0" customHeight="true">
      <c r="A7734" t="s" s="2">
        <v>13</v>
      </c>
      <c r="B7734" t="s" s="2">
        <f>HYPERLINK("http://ts.21cn.com/tousu/show/id/1364860","淘宝购买美版新机，实际给发的是翻新机。")</f>
      </c>
      <c r="C7734" t="s" s="2">
        <v>15</v>
      </c>
      <c r="D7734" t="s" s="2">
        <v>16</v>
      </c>
      <c r="E7734" t="s" s="2">
        <v>17</v>
      </c>
      <c r="F7734" t="s" s="2">
        <f>HYPERLINK("http://ts.21cn.com/tousu/show/id/1364860","http://ts.21cn.com/tousu/show/id/1364860")</f>
      </c>
      <c r="G7734" t="s" s="2">
        <v>17</v>
      </c>
      <c r="H7734" t="s" s="2">
        <v>19</v>
      </c>
      <c r="I7734" t="s" s="2">
        <v>29872</v>
      </c>
      <c r="J7734" t="s" s="2">
        <v>29873</v>
      </c>
      <c r="K7734" t="s" s="2">
        <v>22</v>
      </c>
      <c r="L7734" t="s" s="2">
        <v>22</v>
      </c>
      <c r="M7734" t="s" s="2">
        <v>22</v>
      </c>
    </row>
    <row r="7735" ht="25.0" customHeight="true">
      <c r="A7735" t="s" s="2">
        <v>13</v>
      </c>
      <c r="B7735" t="s" s="2">
        <f>HYPERLINK("http://ts.21cn.com/tousu/show/id/1364868","程咬金借款砍头息续费高")</f>
      </c>
      <c r="C7735" t="s" s="2">
        <v>52</v>
      </c>
      <c r="D7735" t="s" s="2">
        <v>16</v>
      </c>
      <c r="E7735" t="s" s="2">
        <v>17</v>
      </c>
      <c r="F7735" t="s" s="2">
        <f>HYPERLINK("http://ts.21cn.com/tousu/show/id/1364868","http://ts.21cn.com/tousu/show/id/1364868")</f>
      </c>
      <c r="G7735" t="s" s="2">
        <v>17</v>
      </c>
      <c r="H7735" t="s" s="2">
        <v>19</v>
      </c>
      <c r="I7735" t="s" s="2">
        <v>29876</v>
      </c>
      <c r="J7735" t="s" s="2">
        <v>29877</v>
      </c>
      <c r="K7735" t="s" s="2">
        <v>22</v>
      </c>
      <c r="L7735" t="s" s="2">
        <v>22</v>
      </c>
      <c r="M7735" t="s" s="2">
        <v>22</v>
      </c>
    </row>
    <row r="7736" ht="25.0" customHeight="true">
      <c r="A7736" t="s" s="2">
        <v>13</v>
      </c>
      <c r="B7736" t="s" s="2">
        <f>HYPERLINK("http://ts.21cn.com/tousu/show/id/1364867","拼多多账户资金无法提现，原因不明，联系客服也无法解决。")</f>
      </c>
      <c r="C7736" t="s" s="2">
        <v>15</v>
      </c>
      <c r="D7736" t="s" s="2">
        <v>16</v>
      </c>
      <c r="E7736" t="s" s="2">
        <v>17</v>
      </c>
      <c r="F7736" t="s" s="2">
        <f>HYPERLINK("http://ts.21cn.com/tousu/show/id/1364867","http://ts.21cn.com/tousu/show/id/1364867")</f>
      </c>
      <c r="G7736" t="s" s="2">
        <v>17</v>
      </c>
      <c r="H7736" t="s" s="2">
        <v>19</v>
      </c>
      <c r="I7736" t="s" s="2">
        <v>29880</v>
      </c>
      <c r="J7736" t="s" s="2">
        <v>29881</v>
      </c>
      <c r="K7736" t="s" s="2">
        <v>22</v>
      </c>
      <c r="L7736" t="s" s="2">
        <v>22</v>
      </c>
      <c r="M7736" t="s" s="2">
        <v>22</v>
      </c>
    </row>
    <row r="7737" ht="25.0" customHeight="true">
      <c r="A7737" t="s" s="2">
        <v>13</v>
      </c>
      <c r="B7737" t="s" s="2">
        <f>HYPERLINK("http://ts.21cn.com/tousu/show/id/1364864","滴滴滴司机随性取消订单，态度恶劣不顾消费者感受，滴滴客服极其维护")</f>
      </c>
      <c r="C7737" t="s" s="2">
        <v>15</v>
      </c>
      <c r="D7737" t="s" s="2">
        <v>16</v>
      </c>
      <c r="E7737" t="s" s="2">
        <v>17</v>
      </c>
      <c r="F7737" t="s" s="2">
        <f>HYPERLINK("http://ts.21cn.com/tousu/show/id/1364864","http://ts.21cn.com/tousu/show/id/1364864")</f>
      </c>
      <c r="G7737" t="s" s="2">
        <v>17</v>
      </c>
      <c r="H7737" t="s" s="2">
        <v>19</v>
      </c>
      <c r="I7737" t="s" s="2">
        <v>29884</v>
      </c>
      <c r="J7737" t="s" s="2">
        <v>29885</v>
      </c>
      <c r="K7737" t="s" s="2">
        <v>22</v>
      </c>
      <c r="L7737" t="s" s="2">
        <v>22</v>
      </c>
      <c r="M7737" t="s" s="2">
        <v>22</v>
      </c>
    </row>
    <row r="7738" ht="25.0" customHeight="true">
      <c r="A7738" t="s" s="2">
        <v>13</v>
      </c>
      <c r="B7738" t="s" s="2">
        <f>HYPERLINK("http://ts.21cn.com/tousu/show/id/1364866","玖富万卡擅自改写合同，变相收费，套路贷，砍头息，阴阳合同")</f>
      </c>
      <c r="C7738" t="s" s="2">
        <v>15</v>
      </c>
      <c r="D7738" t="s" s="2">
        <v>16</v>
      </c>
      <c r="E7738" t="s" s="2">
        <v>17</v>
      </c>
      <c r="F7738" t="s" s="2">
        <f>HYPERLINK("http://ts.21cn.com/tousu/show/id/1364866","http://ts.21cn.com/tousu/show/id/1364866")</f>
      </c>
      <c r="G7738" t="s" s="2">
        <v>17</v>
      </c>
      <c r="H7738" t="s" s="2">
        <v>19</v>
      </c>
      <c r="I7738" t="s" s="2">
        <v>29888</v>
      </c>
      <c r="J7738" t="s" s="2">
        <v>29889</v>
      </c>
      <c r="K7738" t="s" s="2">
        <v>22</v>
      </c>
      <c r="L7738" t="s" s="2">
        <v>22</v>
      </c>
      <c r="M7738" t="s" s="2">
        <v>22</v>
      </c>
    </row>
    <row r="7739" ht="25.0" customHeight="true">
      <c r="A7739" t="s" s="2">
        <v>13</v>
      </c>
      <c r="B7739" t="s" s="2">
        <f>HYPERLINK("http://ts.21cn.com/tousu/show/id/1364853","立借平台暴力催收，爆通信录，高利息，违法放贷")</f>
      </c>
      <c r="C7739" t="s" s="2">
        <v>15</v>
      </c>
      <c r="D7739" t="s" s="2">
        <v>16</v>
      </c>
      <c r="E7739" t="s" s="2">
        <v>17</v>
      </c>
      <c r="F7739" t="s" s="2">
        <f>HYPERLINK("http://ts.21cn.com/tousu/show/id/1364853","http://ts.21cn.com/tousu/show/id/1364853")</f>
      </c>
      <c r="G7739" t="s" s="2">
        <v>17</v>
      </c>
      <c r="H7739" t="s" s="2">
        <v>19</v>
      </c>
      <c r="I7739" t="s" s="2">
        <v>29892</v>
      </c>
      <c r="J7739" t="s" s="2">
        <v>29893</v>
      </c>
      <c r="K7739" t="s" s="2">
        <v>22</v>
      </c>
      <c r="L7739" t="s" s="2">
        <v>22</v>
      </c>
      <c r="M7739" t="s" s="2">
        <v>22</v>
      </c>
    </row>
    <row r="7740" ht="25.0" customHeight="true">
      <c r="A7740" t="s" s="2">
        <v>13</v>
      </c>
      <c r="B7740" t="s" s="2">
        <f>HYPERLINK("http://ts.21cn.com/tousu/show/id/1364842","在桂林两江机场办理了悦程出行的卡结果只能抵扣机建费！")</f>
      </c>
      <c r="C7740" t="s" s="2">
        <v>15</v>
      </c>
      <c r="D7740" t="s" s="2">
        <v>16</v>
      </c>
      <c r="E7740" t="s" s="2">
        <v>17</v>
      </c>
      <c r="F7740" t="s" s="2">
        <f>HYPERLINK("http://ts.21cn.com/tousu/show/id/1364842","http://ts.21cn.com/tousu/show/id/1364842")</f>
      </c>
      <c r="G7740" t="s" s="2">
        <v>17</v>
      </c>
      <c r="H7740" t="s" s="2">
        <v>19</v>
      </c>
      <c r="I7740" t="s" s="2">
        <v>29896</v>
      </c>
      <c r="J7740" t="s" s="2">
        <v>29897</v>
      </c>
      <c r="K7740" t="s" s="2">
        <v>22</v>
      </c>
      <c r="L7740" t="s" s="2">
        <v>22</v>
      </c>
      <c r="M7740" t="s" s="2">
        <v>22</v>
      </c>
    </row>
    <row r="7741" ht="25.0" customHeight="true">
      <c r="A7741" t="s" s="2">
        <v>13</v>
      </c>
      <c r="B7741" t="s" s="2">
        <f>HYPERLINK("http://ts.21cn.com/tousu/show/id/1364834","敏付科技包庇旗下商户为非法平台提供支付通道要求退款")</f>
      </c>
      <c r="C7741" t="s" s="2">
        <v>15</v>
      </c>
      <c r="D7741" t="s" s="2">
        <v>16</v>
      </c>
      <c r="E7741" t="s" s="2">
        <v>17</v>
      </c>
      <c r="F7741" t="s" s="2">
        <f>HYPERLINK("http://ts.21cn.com/tousu/show/id/1364834","http://ts.21cn.com/tousu/show/id/1364834")</f>
      </c>
      <c r="G7741" t="s" s="2">
        <v>17</v>
      </c>
      <c r="H7741" t="s" s="2">
        <v>19</v>
      </c>
      <c r="I7741" t="s" s="2">
        <v>29900</v>
      </c>
      <c r="J7741" t="s" s="2">
        <v>29901</v>
      </c>
      <c r="K7741" t="s" s="2">
        <v>22</v>
      </c>
      <c r="L7741" t="s" s="2">
        <v>22</v>
      </c>
      <c r="M7741" t="s" s="2">
        <v>22</v>
      </c>
    </row>
    <row r="7742" ht="25.0" customHeight="true">
      <c r="A7742" t="s" s="2">
        <v>13</v>
      </c>
      <c r="B7742" t="s" s="2">
        <f>HYPERLINK("http://ts.21cn.com/tousu/show/id/1364831","平安普惠暴力催收，电话轰炸。")</f>
      </c>
      <c r="C7742" t="s" s="2">
        <v>15</v>
      </c>
      <c r="D7742" t="s" s="2">
        <v>16</v>
      </c>
      <c r="E7742" t="s" s="2">
        <v>17</v>
      </c>
      <c r="F7742" t="s" s="2">
        <f>HYPERLINK("http://ts.21cn.com/tousu/show/id/1364831","http://ts.21cn.com/tousu/show/id/1364831")</f>
      </c>
      <c r="G7742" t="s" s="2">
        <v>17</v>
      </c>
      <c r="H7742" t="s" s="2">
        <v>19</v>
      </c>
      <c r="I7742" t="s" s="2">
        <v>29904</v>
      </c>
      <c r="J7742" t="s" s="2">
        <v>29905</v>
      </c>
      <c r="K7742" t="s" s="2">
        <v>22</v>
      </c>
      <c r="L7742" t="s" s="2">
        <v>22</v>
      </c>
      <c r="M7742" t="s" s="2">
        <v>22</v>
      </c>
    </row>
    <row r="7743" ht="25.0" customHeight="true">
      <c r="A7743" t="s" s="2">
        <v>13</v>
      </c>
      <c r="B7743" t="s" s="2">
        <f>HYPERLINK("http://ts.21cn.com/tousu/show/id/1364820","拼多多货款提现网络繁忙，无缘无故冻结商家资金不让提现，拼多多无缘无故冻结我资金不让我提现")</f>
      </c>
      <c r="C7743" t="s" s="2">
        <v>15</v>
      </c>
      <c r="D7743" t="s" s="2">
        <v>16</v>
      </c>
      <c r="E7743" t="s" s="2">
        <v>17</v>
      </c>
      <c r="F7743" t="s" s="2">
        <f>HYPERLINK("http://ts.21cn.com/tousu/show/id/1364820","http://ts.21cn.com/tousu/show/id/1364820")</f>
      </c>
      <c r="G7743" t="s" s="2">
        <v>17</v>
      </c>
      <c r="H7743" t="s" s="2">
        <v>19</v>
      </c>
      <c r="I7743" t="s" s="2">
        <v>29908</v>
      </c>
      <c r="J7743" t="s" s="2">
        <v>29909</v>
      </c>
      <c r="K7743" t="s" s="2">
        <v>22</v>
      </c>
      <c r="L7743" t="s" s="2">
        <v>22</v>
      </c>
      <c r="M7743" t="s" s="2">
        <v>22</v>
      </c>
    </row>
    <row r="7744" ht="25.0" customHeight="true">
      <c r="A7744" t="s" s="2">
        <v>13</v>
      </c>
      <c r="B7744" t="s" s="2">
        <f>HYPERLINK("http://ts.21cn.com/tousu/show/id/1364372","云闪付给非法赌资提供交易平台")</f>
      </c>
      <c r="C7744" t="s" s="2">
        <v>15</v>
      </c>
      <c r="D7744" t="s" s="2">
        <v>16</v>
      </c>
      <c r="E7744" t="s" s="2">
        <v>17</v>
      </c>
      <c r="F7744" t="s" s="2">
        <f>HYPERLINK("http://ts.21cn.com/tousu/show/id/1364372","http://ts.21cn.com/tousu/show/id/1364372")</f>
      </c>
      <c r="G7744" t="s" s="2">
        <v>17</v>
      </c>
      <c r="H7744" t="s" s="2">
        <v>19</v>
      </c>
      <c r="I7744" t="s" s="2">
        <v>29912</v>
      </c>
      <c r="J7744" t="s" s="2">
        <v>29913</v>
      </c>
      <c r="K7744" t="s" s="2">
        <v>22</v>
      </c>
      <c r="L7744" t="s" s="2">
        <v>22</v>
      </c>
      <c r="M7744" t="s" s="2">
        <v>22</v>
      </c>
    </row>
    <row r="7745" ht="25.0" customHeight="true">
      <c r="A7745" t="s" s="2">
        <v>13</v>
      </c>
      <c r="B7745" t="s" s="2">
        <f>HYPERLINK("http://ts.21cn.com/tousu/show/id/1364798","维信金科不同意协商")</f>
      </c>
      <c r="C7745" t="s" s="2">
        <v>15</v>
      </c>
      <c r="D7745" t="s" s="2">
        <v>16</v>
      </c>
      <c r="E7745" t="s" s="2">
        <v>17</v>
      </c>
      <c r="F7745" t="s" s="2">
        <f>HYPERLINK("http://ts.21cn.com/tousu/show/id/1364798","http://ts.21cn.com/tousu/show/id/1364798")</f>
      </c>
      <c r="G7745" t="s" s="2">
        <v>17</v>
      </c>
      <c r="H7745" t="s" s="2">
        <v>19</v>
      </c>
      <c r="I7745" t="s" s="2">
        <v>29916</v>
      </c>
      <c r="J7745" t="s" s="2">
        <v>29917</v>
      </c>
      <c r="K7745" t="s" s="2">
        <v>22</v>
      </c>
      <c r="L7745" t="s" s="2">
        <v>22</v>
      </c>
      <c r="M7745" t="s" s="2">
        <v>22</v>
      </c>
    </row>
    <row r="7746" ht="25.0" customHeight="true">
      <c r="A7746" t="s" s="2">
        <v>13</v>
      </c>
      <c r="B7746" t="s" s="2">
        <f>HYPERLINK("http://ts.21cn.com/tousu/show/id/1364787","永恒优享非法砍头息退还")</f>
      </c>
      <c r="C7746" t="s" s="2">
        <v>15</v>
      </c>
      <c r="D7746" t="s" s="2">
        <v>16</v>
      </c>
      <c r="E7746" t="s" s="2">
        <v>17</v>
      </c>
      <c r="F7746" t="s" s="2">
        <f>HYPERLINK("http://ts.21cn.com/tousu/show/id/1364787","http://ts.21cn.com/tousu/show/id/1364787")</f>
      </c>
      <c r="G7746" t="s" s="2">
        <v>17</v>
      </c>
      <c r="H7746" t="s" s="2">
        <v>19</v>
      </c>
      <c r="I7746" t="s" s="2">
        <v>29920</v>
      </c>
      <c r="J7746" t="s" s="2">
        <v>29921</v>
      </c>
      <c r="K7746" t="s" s="2">
        <v>22</v>
      </c>
      <c r="L7746" t="s" s="2">
        <v>22</v>
      </c>
      <c r="M7746" t="s" s="2">
        <v>22</v>
      </c>
    </row>
    <row r="7747" ht="25.0" customHeight="true">
      <c r="A7747" t="s" s="2">
        <v>13</v>
      </c>
      <c r="B7747" t="s" s="2">
        <f>HYPERLINK("http://ts.21cn.com/tousu/show/id/1364776","账户资金无法提现，联系客服无法解决，收不到任何违规信息擅自冻结账户资金")</f>
      </c>
      <c r="C7747" t="s" s="2">
        <v>15</v>
      </c>
      <c r="D7747" t="s" s="2">
        <v>16</v>
      </c>
      <c r="E7747" t="s" s="2">
        <v>17</v>
      </c>
      <c r="F7747" t="s" s="2">
        <f>HYPERLINK("http://ts.21cn.com/tousu/show/id/1364776","http://ts.21cn.com/tousu/show/id/1364776")</f>
      </c>
      <c r="G7747" t="s" s="2">
        <v>17</v>
      </c>
      <c r="H7747" t="s" s="2">
        <v>19</v>
      </c>
      <c r="I7747" t="s" s="2">
        <v>29924</v>
      </c>
      <c r="J7747" t="s" s="2">
        <v>29925</v>
      </c>
      <c r="K7747" t="s" s="2">
        <v>22</v>
      </c>
      <c r="L7747" t="s" s="2">
        <v>22</v>
      </c>
      <c r="M7747" t="s" s="2">
        <v>22</v>
      </c>
    </row>
    <row r="7748" ht="25.0" customHeight="true">
      <c r="A7748" t="s" s="2">
        <v>13</v>
      </c>
      <c r="B7748" t="s" s="2">
        <f>HYPERLINK("http://ts.21cn.com/tousu/show/id/1364766","招商银行不肯协商，恐吓家属要让我坐牢")</f>
      </c>
      <c r="C7748" t="s" s="2">
        <v>15</v>
      </c>
      <c r="D7748" t="s" s="2">
        <v>16</v>
      </c>
      <c r="E7748" t="s" s="2">
        <v>17</v>
      </c>
      <c r="F7748" t="s" s="2">
        <f>HYPERLINK("http://ts.21cn.com/tousu/show/id/1364766","http://ts.21cn.com/tousu/show/id/1364766")</f>
      </c>
      <c r="G7748" t="s" s="2">
        <v>17</v>
      </c>
      <c r="H7748" t="s" s="2">
        <v>19</v>
      </c>
      <c r="I7748" t="s" s="2">
        <v>29928</v>
      </c>
      <c r="J7748" t="s" s="2">
        <v>29929</v>
      </c>
      <c r="K7748" t="s" s="2">
        <v>22</v>
      </c>
      <c r="L7748" t="s" s="2">
        <v>22</v>
      </c>
      <c r="M7748" t="s" s="2">
        <v>22</v>
      </c>
    </row>
    <row r="7749" ht="25.0" customHeight="true">
      <c r="A7749" t="s" s="2">
        <v>13</v>
      </c>
      <c r="B7749" t="s" s="2">
        <f>HYPERLINK("http://ts.21cn.com/tousu/show/id/1364765","暴力威胁恐吓")</f>
      </c>
      <c r="C7749" t="s" s="2">
        <v>15</v>
      </c>
      <c r="D7749" t="s" s="2">
        <v>16</v>
      </c>
      <c r="E7749" t="s" s="2">
        <v>17</v>
      </c>
      <c r="F7749" t="s" s="2">
        <f>HYPERLINK("http://ts.21cn.com/tousu/show/id/1364765","http://ts.21cn.com/tousu/show/id/1364765")</f>
      </c>
      <c r="G7749" t="s" s="2">
        <v>17</v>
      </c>
      <c r="H7749" t="s" s="2">
        <v>19</v>
      </c>
      <c r="I7749" t="s" s="2">
        <v>29931</v>
      </c>
      <c r="J7749" t="s" s="2">
        <v>29932</v>
      </c>
      <c r="K7749" t="s" s="2">
        <v>22</v>
      </c>
      <c r="L7749" t="s" s="2">
        <v>22</v>
      </c>
      <c r="M7749" t="s" s="2">
        <v>22</v>
      </c>
    </row>
    <row r="7750" ht="25.0" customHeight="true">
      <c r="A7750" t="s" s="2">
        <v>13</v>
      </c>
      <c r="B7750" t="s" s="2">
        <f>HYPERLINK("http://ts.21cn.com/tousu/show/id/1364756","易宝支付无缘无故扣款")</f>
      </c>
      <c r="C7750" t="s" s="2">
        <v>15</v>
      </c>
      <c r="D7750" t="s" s="2">
        <v>16</v>
      </c>
      <c r="E7750" t="s" s="2">
        <v>17</v>
      </c>
      <c r="F7750" t="s" s="2">
        <f>HYPERLINK("http://ts.21cn.com/tousu/show/id/1364756","http://ts.21cn.com/tousu/show/id/1364756")</f>
      </c>
      <c r="G7750" t="s" s="2">
        <v>17</v>
      </c>
      <c r="H7750" t="s" s="2">
        <v>19</v>
      </c>
      <c r="I7750" t="s" s="2">
        <v>29935</v>
      </c>
      <c r="J7750" t="s" s="2">
        <v>29936</v>
      </c>
      <c r="K7750" t="s" s="2">
        <v>22</v>
      </c>
      <c r="L7750" t="s" s="2">
        <v>22</v>
      </c>
      <c r="M7750" t="s" s="2">
        <v>22</v>
      </c>
    </row>
    <row r="7751" ht="25.0" customHeight="true">
      <c r="A7751" t="s" s="2">
        <v>13</v>
      </c>
      <c r="B7751" t="s" s="2">
        <f>HYPERLINK("http://ts.21cn.com/tousu/show/id/1364754","时光分期暴力催收，发恶意短信，骚扰")</f>
      </c>
      <c r="C7751" t="s" s="2">
        <v>15</v>
      </c>
      <c r="D7751" t="s" s="2">
        <v>16</v>
      </c>
      <c r="E7751" t="s" s="2">
        <v>17</v>
      </c>
      <c r="F7751" t="s" s="2">
        <f>HYPERLINK("http://ts.21cn.com/tousu/show/id/1364754","http://ts.21cn.com/tousu/show/id/1364754")</f>
      </c>
      <c r="G7751" t="s" s="2">
        <v>17</v>
      </c>
      <c r="H7751" t="s" s="2">
        <v>19</v>
      </c>
      <c r="I7751" t="s" s="2">
        <v>29939</v>
      </c>
      <c r="J7751" t="s" s="2">
        <v>29940</v>
      </c>
      <c r="K7751" t="s" s="2">
        <v>22</v>
      </c>
      <c r="L7751" t="s" s="2">
        <v>22</v>
      </c>
      <c r="M7751" t="s" s="2">
        <v>22</v>
      </c>
    </row>
    <row r="7752" ht="25.0" customHeight="true">
      <c r="A7752" t="s" s="2">
        <v>13</v>
      </c>
      <c r="B7752" t="s" s="2">
        <f>HYPERLINK("http://ts.21cn.com/tousu/show/id/1364753","套路贷")</f>
      </c>
      <c r="C7752" t="s" s="2">
        <v>15</v>
      </c>
      <c r="D7752" t="s" s="2">
        <v>16</v>
      </c>
      <c r="E7752" t="s" s="2">
        <v>17</v>
      </c>
      <c r="F7752" t="s" s="2">
        <f>HYPERLINK("http://ts.21cn.com/tousu/show/id/1364753","http://ts.21cn.com/tousu/show/id/1364753")</f>
      </c>
      <c r="G7752" t="s" s="2">
        <v>17</v>
      </c>
      <c r="H7752" t="s" s="2">
        <v>19</v>
      </c>
      <c r="I7752" t="s" s="2">
        <v>29942</v>
      </c>
      <c r="J7752" t="s" s="2">
        <v>29943</v>
      </c>
      <c r="K7752" t="s" s="2">
        <v>22</v>
      </c>
      <c r="L7752" t="s" s="2">
        <v>22</v>
      </c>
      <c r="M7752" t="s" s="2">
        <v>22</v>
      </c>
    </row>
    <row r="7753" ht="25.0" customHeight="true">
      <c r="A7753" t="s" s="2">
        <v>13</v>
      </c>
      <c r="B7753" t="s" s="2">
        <f>HYPERLINK("http://ts.21cn.com/tousu/show/id/1364732","还款金额跟销售说的还有合同对不上")</f>
      </c>
      <c r="C7753" t="s" s="2">
        <v>15</v>
      </c>
      <c r="D7753" t="s" s="2">
        <v>16</v>
      </c>
      <c r="E7753" t="s" s="2">
        <v>17</v>
      </c>
      <c r="F7753" t="s" s="2">
        <f>HYPERLINK("http://ts.21cn.com/tousu/show/id/1364732","http://ts.21cn.com/tousu/show/id/1364732")</f>
      </c>
      <c r="G7753" t="s" s="2">
        <v>17</v>
      </c>
      <c r="H7753" t="s" s="2">
        <v>19</v>
      </c>
      <c r="I7753" t="s" s="2">
        <v>29946</v>
      </c>
      <c r="J7753" t="s" s="2">
        <v>29947</v>
      </c>
      <c r="K7753" t="s" s="2">
        <v>22</v>
      </c>
      <c r="L7753" t="s" s="2">
        <v>22</v>
      </c>
      <c r="M7753" t="s" s="2">
        <v>22</v>
      </c>
    </row>
    <row r="7754" ht="25.0" customHeight="true">
      <c r="A7754" t="s" s="2">
        <v>13</v>
      </c>
      <c r="B7754" t="s" s="2">
        <f>HYPERLINK("http://ts.21cn.com/tousu/show/id/1364743","中通快递丢件，不赔偿就算了还没态度")</f>
      </c>
      <c r="C7754" t="s" s="2">
        <v>15</v>
      </c>
      <c r="D7754" t="s" s="2">
        <v>16</v>
      </c>
      <c r="E7754" t="s" s="2">
        <v>17</v>
      </c>
      <c r="F7754" t="s" s="2">
        <f>HYPERLINK("http://ts.21cn.com/tousu/show/id/1364743","http://ts.21cn.com/tousu/show/id/1364743")</f>
      </c>
      <c r="G7754" t="s" s="2">
        <v>17</v>
      </c>
      <c r="H7754" t="s" s="2">
        <v>19</v>
      </c>
      <c r="I7754" t="s" s="2">
        <v>29950</v>
      </c>
      <c r="J7754" t="s" s="2">
        <v>29951</v>
      </c>
      <c r="K7754" t="s" s="2">
        <v>22</v>
      </c>
      <c r="L7754" t="s" s="2">
        <v>22</v>
      </c>
      <c r="M7754" t="s" s="2">
        <v>22</v>
      </c>
    </row>
    <row r="7755" ht="25.0" customHeight="true">
      <c r="A7755" t="s" s="2">
        <v>13</v>
      </c>
      <c r="B7755" t="s" s="2">
        <f>HYPERLINK("http://ts.21cn.com/tousu/show/id/1364710","易宝支付盗刷资金")</f>
      </c>
      <c r="C7755" t="s" s="2">
        <v>15</v>
      </c>
      <c r="D7755" t="s" s="2">
        <v>16</v>
      </c>
      <c r="E7755" t="s" s="2">
        <v>17</v>
      </c>
      <c r="F7755" t="s" s="2">
        <f>HYPERLINK("http://ts.21cn.com/tousu/show/id/1364710","http://ts.21cn.com/tousu/show/id/1364710")</f>
      </c>
      <c r="G7755" t="s" s="2">
        <v>17</v>
      </c>
      <c r="H7755" t="s" s="2">
        <v>19</v>
      </c>
      <c r="I7755" t="s" s="2">
        <v>29954</v>
      </c>
      <c r="J7755" t="s" s="2">
        <v>29955</v>
      </c>
      <c r="K7755" t="s" s="2">
        <v>22</v>
      </c>
      <c r="L7755" t="s" s="2">
        <v>22</v>
      </c>
      <c r="M7755" t="s" s="2">
        <v>22</v>
      </c>
    </row>
    <row r="7756" ht="25.0" customHeight="true">
      <c r="A7756" t="s" s="2">
        <v>13</v>
      </c>
      <c r="B7756" t="s" s="2">
        <f>HYPERLINK("http://ts.21cn.com/tousu/show/id/1364688","网贷逾期遭暴力催收")</f>
      </c>
      <c r="C7756" t="s" s="2">
        <v>15</v>
      </c>
      <c r="D7756" t="s" s="2">
        <v>16</v>
      </c>
      <c r="E7756" t="s" s="2">
        <v>17</v>
      </c>
      <c r="F7756" t="s" s="2">
        <f>HYPERLINK("http://ts.21cn.com/tousu/show/id/1364688","http://ts.21cn.com/tousu/show/id/1364688")</f>
      </c>
      <c r="G7756" t="s" s="2">
        <v>17</v>
      </c>
      <c r="H7756" t="s" s="2">
        <v>19</v>
      </c>
      <c r="I7756" t="s" s="2">
        <v>29958</v>
      </c>
      <c r="J7756" t="s" s="2">
        <v>29959</v>
      </c>
      <c r="K7756" t="s" s="2">
        <v>22</v>
      </c>
      <c r="L7756" t="s" s="2">
        <v>22</v>
      </c>
      <c r="M7756" t="s" s="2">
        <v>22</v>
      </c>
    </row>
    <row r="7757" ht="25.0" customHeight="true">
      <c r="A7757" t="s" s="2">
        <v>13</v>
      </c>
      <c r="B7757" t="s" s="2">
        <f>HYPERLINK("http://ts.21cn.com/tousu/show/id/1364677","58同城网络兼职交押金，不予退还")</f>
      </c>
      <c r="C7757" t="s" s="2">
        <v>15</v>
      </c>
      <c r="D7757" t="s" s="2">
        <v>16</v>
      </c>
      <c r="E7757" t="s" s="2">
        <v>17</v>
      </c>
      <c r="F7757" t="s" s="2">
        <f>HYPERLINK("http://ts.21cn.com/tousu/show/id/1364677","http://ts.21cn.com/tousu/show/id/1364677")</f>
      </c>
      <c r="G7757" t="s" s="2">
        <v>17</v>
      </c>
      <c r="H7757" t="s" s="2">
        <v>19</v>
      </c>
      <c r="I7757" t="s" s="2">
        <v>29962</v>
      </c>
      <c r="J7757" t="s" s="2">
        <v>29963</v>
      </c>
      <c r="K7757" t="s" s="2">
        <v>22</v>
      </c>
      <c r="L7757" t="s" s="2">
        <v>22</v>
      </c>
      <c r="M7757" t="s" s="2">
        <v>22</v>
      </c>
    </row>
    <row r="7758" ht="25.0" customHeight="true">
      <c r="A7758" t="s" s="2">
        <v>13</v>
      </c>
      <c r="B7758" t="s" s="2">
        <f>HYPERLINK("http://ts.21cn.com/tousu/show/id/1364668","360借条霸王条款，态度恶劣，利息远远高于高利贷")</f>
      </c>
      <c r="C7758" t="s" s="2">
        <v>15</v>
      </c>
      <c r="D7758" t="s" s="2">
        <v>16</v>
      </c>
      <c r="E7758" t="s" s="2">
        <v>17</v>
      </c>
      <c r="F7758" t="s" s="2">
        <f>HYPERLINK("http://ts.21cn.com/tousu/show/id/1364668","http://ts.21cn.com/tousu/show/id/1364668")</f>
      </c>
      <c r="G7758" t="s" s="2">
        <v>17</v>
      </c>
      <c r="H7758" t="s" s="2">
        <v>19</v>
      </c>
      <c r="I7758" t="s" s="2">
        <v>29966</v>
      </c>
      <c r="J7758" t="s" s="2">
        <v>29967</v>
      </c>
      <c r="K7758" t="s" s="2">
        <v>22</v>
      </c>
      <c r="L7758" t="s" s="2">
        <v>22</v>
      </c>
      <c r="M7758" t="s" s="2">
        <v>22</v>
      </c>
    </row>
    <row r="7759" ht="25.0" customHeight="true">
      <c r="A7759" t="s" s="2">
        <v>13</v>
      </c>
      <c r="B7759" t="s" s="2">
        <f>HYPERLINK("http://ts.21cn.com/tousu/show/id/1364655","达内虚假承诺")</f>
      </c>
      <c r="C7759" t="s" s="2">
        <v>15</v>
      </c>
      <c r="D7759" t="s" s="2">
        <v>16</v>
      </c>
      <c r="E7759" t="s" s="2">
        <v>17</v>
      </c>
      <c r="F7759" t="s" s="2">
        <f>HYPERLINK("http://ts.21cn.com/tousu/show/id/1364655","http://ts.21cn.com/tousu/show/id/1364655")</f>
      </c>
      <c r="G7759" t="s" s="2">
        <v>17</v>
      </c>
      <c r="H7759" t="s" s="2">
        <v>19</v>
      </c>
      <c r="I7759" t="s" s="2">
        <v>29970</v>
      </c>
      <c r="J7759" t="s" s="2">
        <v>29971</v>
      </c>
      <c r="K7759" t="s" s="2">
        <v>22</v>
      </c>
      <c r="L7759" t="s" s="2">
        <v>22</v>
      </c>
      <c r="M7759" t="s" s="2">
        <v>22</v>
      </c>
    </row>
    <row r="7760" ht="25.0" customHeight="true">
      <c r="A7760" t="s" s="2">
        <v>13</v>
      </c>
      <c r="B7760" t="s" s="2">
        <f>HYPERLINK("http://ts.21cn.com/tousu/show/id/1364646","无协议情况下未经本人同意从我银行卡扣款")</f>
      </c>
      <c r="C7760" t="s" s="2">
        <v>15</v>
      </c>
      <c r="D7760" t="s" s="2">
        <v>16</v>
      </c>
      <c r="E7760" t="s" s="2">
        <v>17</v>
      </c>
      <c r="F7760" t="s" s="2">
        <f>HYPERLINK("http://ts.21cn.com/tousu/show/id/1364646","http://ts.21cn.com/tousu/show/id/1364646")</f>
      </c>
      <c r="G7760" t="s" s="2">
        <v>17</v>
      </c>
      <c r="H7760" t="s" s="2">
        <v>19</v>
      </c>
      <c r="I7760" t="s" s="2">
        <v>29974</v>
      </c>
      <c r="J7760" t="s" s="2">
        <v>29975</v>
      </c>
      <c r="K7760" t="s" s="2">
        <v>22</v>
      </c>
      <c r="L7760" t="s" s="2">
        <v>22</v>
      </c>
      <c r="M7760" t="s" s="2">
        <v>22</v>
      </c>
    </row>
    <row r="7761" ht="25.0" customHeight="true">
      <c r="A7761" t="s" s="2">
        <v>13</v>
      </c>
      <c r="B7761" t="s" s="2">
        <f>HYPERLINK("http://ts.21cn.com/tousu/show/id/1364613","上海翰银为赌博输平台提供收款渠道导致个人损失60余万，请求瀚银为我退款挽回经济损失")</f>
      </c>
      <c r="C7761" t="s" s="2">
        <v>15</v>
      </c>
      <c r="D7761" t="s" s="2">
        <v>16</v>
      </c>
      <c r="E7761" t="s" s="2">
        <v>17</v>
      </c>
      <c r="F7761" t="s" s="2">
        <f>HYPERLINK("http://ts.21cn.com/tousu/show/id/1364613","http://ts.21cn.com/tousu/show/id/1364613")</f>
      </c>
      <c r="G7761" t="s" s="2">
        <v>17</v>
      </c>
      <c r="H7761" t="s" s="2">
        <v>19</v>
      </c>
      <c r="I7761" t="s" s="2">
        <v>29977</v>
      </c>
      <c r="J7761" t="s" s="2">
        <v>29978</v>
      </c>
      <c r="K7761" t="s" s="2">
        <v>22</v>
      </c>
      <c r="L7761" t="s" s="2">
        <v>22</v>
      </c>
      <c r="M7761" t="s" s="2">
        <v>22</v>
      </c>
    </row>
    <row r="7762" ht="25.0" customHeight="true">
      <c r="A7762" t="s" s="2">
        <v>13</v>
      </c>
      <c r="B7762" t="s" s="2">
        <f>HYPERLINK("http://ts.21cn.com/tousu/show/id/1364644","维信金科平台高额逾期费用，非法平台")</f>
      </c>
      <c r="C7762" t="s" s="2">
        <v>15</v>
      </c>
      <c r="D7762" t="s" s="2">
        <v>16</v>
      </c>
      <c r="E7762" t="s" s="2">
        <v>17</v>
      </c>
      <c r="F7762" t="s" s="2">
        <f>HYPERLINK("http://ts.21cn.com/tousu/show/id/1364644","http://ts.21cn.com/tousu/show/id/1364644")</f>
      </c>
      <c r="G7762" t="s" s="2">
        <v>17</v>
      </c>
      <c r="H7762" t="s" s="2">
        <v>19</v>
      </c>
      <c r="I7762" t="s" s="2">
        <v>29981</v>
      </c>
      <c r="J7762" t="s" s="2">
        <v>29982</v>
      </c>
      <c r="K7762" t="s" s="2">
        <v>22</v>
      </c>
      <c r="L7762" t="s" s="2">
        <v>22</v>
      </c>
      <c r="M7762" t="s" s="2">
        <v>22</v>
      </c>
    </row>
    <row r="7763" ht="25.0" customHeight="true">
      <c r="A7763" t="s" s="2">
        <v>13</v>
      </c>
      <c r="B7763" t="s" s="2">
        <f>HYPERLINK("http://ts.21cn.com/tousu/show/id/1364643","微粒贷催收短信骚扰亲朋好友")</f>
      </c>
      <c r="C7763" t="s" s="2">
        <v>15</v>
      </c>
      <c r="D7763" t="s" s="2">
        <v>16</v>
      </c>
      <c r="E7763" t="s" s="2">
        <v>17</v>
      </c>
      <c r="F7763" t="s" s="2">
        <f>HYPERLINK("http://ts.21cn.com/tousu/show/id/1364643","http://ts.21cn.com/tousu/show/id/1364643")</f>
      </c>
      <c r="G7763" t="s" s="2">
        <v>17</v>
      </c>
      <c r="H7763" t="s" s="2">
        <v>19</v>
      </c>
      <c r="I7763" t="s" s="2">
        <v>29985</v>
      </c>
      <c r="J7763" t="s" s="2">
        <v>29986</v>
      </c>
      <c r="K7763" t="s" s="2">
        <v>22</v>
      </c>
      <c r="L7763" t="s" s="2">
        <v>22</v>
      </c>
      <c r="M7763" t="s" s="2">
        <v>22</v>
      </c>
    </row>
    <row r="7764" ht="25.0" customHeight="true">
      <c r="A7764" t="s" s="2">
        <v>13</v>
      </c>
      <c r="B7764" t="s" s="2">
        <f>HYPERLINK("http://ts.21cn.com/tousu/show/id/1364634","拍拍贷对通讯录里的好友轰炸发短信威胁恐吓")</f>
      </c>
      <c r="C7764" t="s" s="2">
        <v>15</v>
      </c>
      <c r="D7764" t="s" s="2">
        <v>16</v>
      </c>
      <c r="E7764" t="s" s="2">
        <v>17</v>
      </c>
      <c r="F7764" t="s" s="2">
        <f>HYPERLINK("http://ts.21cn.com/tousu/show/id/1364634","http://ts.21cn.com/tousu/show/id/1364634")</f>
      </c>
      <c r="G7764" t="s" s="2">
        <v>17</v>
      </c>
      <c r="H7764" t="s" s="2">
        <v>19</v>
      </c>
      <c r="I7764" t="s" s="2">
        <v>29989</v>
      </c>
      <c r="J7764" t="s" s="2">
        <v>29990</v>
      </c>
      <c r="K7764" t="s" s="2">
        <v>22</v>
      </c>
      <c r="L7764" t="s" s="2">
        <v>22</v>
      </c>
      <c r="M7764" t="s" s="2">
        <v>22</v>
      </c>
    </row>
    <row r="7765" ht="25.0" customHeight="true">
      <c r="A7765" t="s" s="2">
        <v>13</v>
      </c>
      <c r="B7765" t="s" s="2">
        <f>HYPERLINK("http://ts.21cn.com/tousu/show/id/1364633","来分期拒绝用户提前还款，影响用户房贷申请")</f>
      </c>
      <c r="C7765" t="s" s="2">
        <v>15</v>
      </c>
      <c r="D7765" t="s" s="2">
        <v>16</v>
      </c>
      <c r="E7765" t="s" s="2">
        <v>17</v>
      </c>
      <c r="F7765" t="s" s="2">
        <f>HYPERLINK("http://ts.21cn.com/tousu/show/id/1364633","http://ts.21cn.com/tousu/show/id/1364633")</f>
      </c>
      <c r="G7765" t="s" s="2">
        <v>17</v>
      </c>
      <c r="H7765" t="s" s="2">
        <v>19</v>
      </c>
      <c r="I7765" t="s" s="2">
        <v>29993</v>
      </c>
      <c r="J7765" t="s" s="2">
        <v>29994</v>
      </c>
      <c r="K7765" t="s" s="2">
        <v>22</v>
      </c>
      <c r="L7765" t="s" s="2">
        <v>22</v>
      </c>
      <c r="M7765" t="s" s="2">
        <v>22</v>
      </c>
    </row>
    <row r="7766" ht="25.0" customHeight="true">
      <c r="A7766" t="s" s="2">
        <v>13</v>
      </c>
      <c r="B7766" t="s" s="2">
        <f>HYPERLINK("http://ts.21cn.com/tousu/show/id/1364622","及贷非法暴力催收")</f>
      </c>
      <c r="C7766" t="s" s="2">
        <v>15</v>
      </c>
      <c r="D7766" t="s" s="2">
        <v>16</v>
      </c>
      <c r="E7766" t="s" s="2">
        <v>17</v>
      </c>
      <c r="F7766" t="s" s="2">
        <f>HYPERLINK("http://ts.21cn.com/tousu/show/id/1364622","http://ts.21cn.com/tousu/show/id/1364622")</f>
      </c>
      <c r="G7766" t="s" s="2">
        <v>17</v>
      </c>
      <c r="H7766" t="s" s="2">
        <v>19</v>
      </c>
      <c r="I7766" t="s" s="2">
        <v>29997</v>
      </c>
      <c r="J7766" t="s" s="2">
        <v>29998</v>
      </c>
      <c r="K7766" t="s" s="2">
        <v>22</v>
      </c>
      <c r="L7766" t="s" s="2">
        <v>22</v>
      </c>
      <c r="M7766" t="s" s="2">
        <v>22</v>
      </c>
    </row>
    <row r="7767" ht="25.0" customHeight="true">
      <c r="A7767" t="s" s="2">
        <v>13</v>
      </c>
      <c r="B7767" t="s" s="2">
        <f>HYPERLINK("http://ts.21cn.com/tousu/show/id/1364618","小象优品骚扰通讯录，私自拷贝借款人通讯录")</f>
      </c>
      <c r="C7767" t="s" s="2">
        <v>15</v>
      </c>
      <c r="D7767" t="s" s="2">
        <v>16</v>
      </c>
      <c r="E7767" t="s" s="2">
        <v>17</v>
      </c>
      <c r="F7767" t="s" s="2">
        <f>HYPERLINK("http://ts.21cn.com/tousu/show/id/1364618","http://ts.21cn.com/tousu/show/id/1364618")</f>
      </c>
      <c r="G7767" t="s" s="2">
        <v>17</v>
      </c>
      <c r="H7767" t="s" s="2">
        <v>19</v>
      </c>
      <c r="I7767" t="s" s="2">
        <v>30001</v>
      </c>
      <c r="J7767" t="s" s="2">
        <v>30002</v>
      </c>
      <c r="K7767" t="s" s="2">
        <v>22</v>
      </c>
      <c r="L7767" t="s" s="2">
        <v>22</v>
      </c>
      <c r="M7767" t="s" s="2">
        <v>22</v>
      </c>
    </row>
    <row r="7768" ht="25.0" customHeight="true">
      <c r="A7768" t="s" s="2">
        <v>13</v>
      </c>
      <c r="B7768" t="s" s="2">
        <f>HYPERLINK("http://ts.21cn.com/tousu/show/id/1364611","维信金科平台乱收取金融服务费")</f>
      </c>
      <c r="C7768" t="s" s="2">
        <v>15</v>
      </c>
      <c r="D7768" t="s" s="2">
        <v>16</v>
      </c>
      <c r="E7768" t="s" s="2">
        <v>17</v>
      </c>
      <c r="F7768" t="s" s="2">
        <f>HYPERLINK("http://ts.21cn.com/tousu/show/id/1364611","http://ts.21cn.com/tousu/show/id/1364611")</f>
      </c>
      <c r="G7768" t="s" s="2">
        <v>17</v>
      </c>
      <c r="H7768" t="s" s="2">
        <v>19</v>
      </c>
      <c r="I7768" t="s" s="2">
        <v>30005</v>
      </c>
      <c r="J7768" t="s" s="2">
        <v>30006</v>
      </c>
      <c r="K7768" t="s" s="2">
        <v>22</v>
      </c>
      <c r="L7768" t="s" s="2">
        <v>22</v>
      </c>
      <c r="M7768" t="s" s="2">
        <v>22</v>
      </c>
    </row>
    <row r="7769" ht="25.0" customHeight="true">
      <c r="A7769" t="s" s="2">
        <v>13</v>
      </c>
      <c r="B7769" t="s" s="2">
        <f>HYPERLINK("http://ts.21cn.com/tousu/show/id/1364600","苏宁易购冻结我的任性付，有额度，购买商品无法使用任性付支付")</f>
      </c>
      <c r="C7769" t="s" s="2">
        <v>52</v>
      </c>
      <c r="D7769" t="s" s="2">
        <v>16</v>
      </c>
      <c r="E7769" t="s" s="2">
        <v>17</v>
      </c>
      <c r="F7769" t="s" s="2">
        <f>HYPERLINK("http://ts.21cn.com/tousu/show/id/1364600","http://ts.21cn.com/tousu/show/id/1364600")</f>
      </c>
      <c r="G7769" t="s" s="2">
        <v>17</v>
      </c>
      <c r="H7769" t="s" s="2">
        <v>19</v>
      </c>
      <c r="I7769" t="s" s="2">
        <v>30009</v>
      </c>
      <c r="J7769" t="s" s="2">
        <v>30010</v>
      </c>
      <c r="K7769" t="s" s="2">
        <v>22</v>
      </c>
      <c r="L7769" t="s" s="2">
        <v>22</v>
      </c>
      <c r="M7769" t="s" s="2">
        <v>22</v>
      </c>
    </row>
    <row r="7770" ht="25.0" customHeight="true">
      <c r="A7770" t="s" s="2">
        <v>13</v>
      </c>
      <c r="B7770" t="s" s="2">
        <f>HYPERLINK("http://ts.21cn.com/tousu/show/id/1364519","上海联通")</f>
      </c>
      <c r="C7770" t="s" s="2">
        <v>15</v>
      </c>
      <c r="D7770" t="s" s="2">
        <v>16</v>
      </c>
      <c r="E7770" t="s" s="2">
        <v>17</v>
      </c>
      <c r="F7770" t="s" s="2">
        <f>HYPERLINK("http://ts.21cn.com/tousu/show/id/1364519","http://ts.21cn.com/tousu/show/id/1364519")</f>
      </c>
      <c r="G7770" t="s" s="2">
        <v>17</v>
      </c>
      <c r="H7770" t="s" s="2">
        <v>19</v>
      </c>
      <c r="I7770" t="s" s="2">
        <v>30013</v>
      </c>
      <c r="J7770" t="s" s="2">
        <v>30014</v>
      </c>
      <c r="K7770" t="s" s="2">
        <v>22</v>
      </c>
      <c r="L7770" t="s" s="2">
        <v>22</v>
      </c>
      <c r="M7770" t="s" s="2">
        <v>22</v>
      </c>
    </row>
    <row r="7771" ht="25.0" customHeight="true">
      <c r="A7771" t="s" s="2">
        <v>13</v>
      </c>
      <c r="B7771" t="s" s="2">
        <f>HYPERLINK("http://ts.21cn.com/tousu/show/id/1364589","协商后还款还不了造成逾期")</f>
      </c>
      <c r="C7771" t="s" s="2">
        <v>15</v>
      </c>
      <c r="D7771" t="s" s="2">
        <v>16</v>
      </c>
      <c r="E7771" t="s" s="2">
        <v>17</v>
      </c>
      <c r="F7771" t="s" s="2">
        <f>HYPERLINK("http://ts.21cn.com/tousu/show/id/1364589","http://ts.21cn.com/tousu/show/id/1364589")</f>
      </c>
      <c r="G7771" t="s" s="2">
        <v>17</v>
      </c>
      <c r="H7771" t="s" s="2">
        <v>19</v>
      </c>
      <c r="I7771" t="s" s="2">
        <v>30017</v>
      </c>
      <c r="J7771" t="s" s="2">
        <v>30018</v>
      </c>
      <c r="K7771" t="s" s="2">
        <v>22</v>
      </c>
      <c r="L7771" t="s" s="2">
        <v>22</v>
      </c>
      <c r="M7771" t="s" s="2">
        <v>22</v>
      </c>
    </row>
    <row r="7772" ht="25.0" customHeight="true">
      <c r="A7772" t="s" s="2">
        <v>13</v>
      </c>
      <c r="B7772" t="s" s="2">
        <f>HYPERLINK("http://ts.21cn.com/tousu/show/id/1364523","关于中国移动通信集团浙江省杭州市移动公司不按照实名制盗用他人身份信息为不法分子提供便利")</f>
      </c>
      <c r="C7772" t="s" s="2">
        <v>15</v>
      </c>
      <c r="D7772" t="s" s="2">
        <v>16</v>
      </c>
      <c r="E7772" t="s" s="2">
        <v>17</v>
      </c>
      <c r="F7772" t="s" s="2">
        <f>HYPERLINK("http://ts.21cn.com/tousu/show/id/1364523","http://ts.21cn.com/tousu/show/id/1364523")</f>
      </c>
      <c r="G7772" t="s" s="2">
        <v>17</v>
      </c>
      <c r="H7772" t="s" s="2">
        <v>19</v>
      </c>
      <c r="I7772" t="s" s="2">
        <v>30021</v>
      </c>
      <c r="J7772" t="s" s="2">
        <v>30022</v>
      </c>
      <c r="K7772" t="s" s="2">
        <v>22</v>
      </c>
      <c r="L7772" t="s" s="2">
        <v>22</v>
      </c>
      <c r="M7772" t="s" s="2">
        <v>22</v>
      </c>
    </row>
    <row r="7773" ht="25.0" customHeight="true">
      <c r="A7773" t="s" s="2">
        <v>13</v>
      </c>
      <c r="B7773" t="s" s="2">
        <f>HYPERLINK("http://ts.21cn.com/tousu/show/id/1364581","易到用车不给司机提现")</f>
      </c>
      <c r="C7773" t="s" s="2">
        <v>15</v>
      </c>
      <c r="D7773" t="s" s="2">
        <v>16</v>
      </c>
      <c r="E7773" t="s" s="2">
        <v>17</v>
      </c>
      <c r="F7773" t="s" s="2">
        <f>HYPERLINK("http://ts.21cn.com/tousu/show/id/1364581","http://ts.21cn.com/tousu/show/id/1364581")</f>
      </c>
      <c r="G7773" t="s" s="2">
        <v>17</v>
      </c>
      <c r="H7773" t="s" s="2">
        <v>19</v>
      </c>
      <c r="I7773" t="s" s="2">
        <v>30025</v>
      </c>
      <c r="J7773" t="s" s="2">
        <v>30026</v>
      </c>
      <c r="K7773" t="s" s="2">
        <v>22</v>
      </c>
      <c r="L7773" t="s" s="2">
        <v>22</v>
      </c>
      <c r="M7773" t="s" s="2">
        <v>22</v>
      </c>
    </row>
    <row r="7774" ht="25.0" customHeight="true">
      <c r="A7774" t="s" s="2">
        <v>13</v>
      </c>
      <c r="B7774" t="s" s="2">
        <f>HYPERLINK("http://ts.21cn.com/tousu/show/id/1364578","拍拍贷年化利息35.998%.")</f>
      </c>
      <c r="C7774" t="s" s="2">
        <v>15</v>
      </c>
      <c r="D7774" t="s" s="2">
        <v>16</v>
      </c>
      <c r="E7774" t="s" s="2">
        <v>17</v>
      </c>
      <c r="F7774" t="s" s="2">
        <f>HYPERLINK("http://ts.21cn.com/tousu/show/id/1364578","http://ts.21cn.com/tousu/show/id/1364578")</f>
      </c>
      <c r="G7774" t="s" s="2">
        <v>17</v>
      </c>
      <c r="H7774" t="s" s="2">
        <v>19</v>
      </c>
      <c r="I7774" t="s" s="2">
        <v>30029</v>
      </c>
      <c r="J7774" t="s" s="2">
        <v>30030</v>
      </c>
      <c r="K7774" t="s" s="2">
        <v>22</v>
      </c>
      <c r="L7774" t="s" s="2">
        <v>22</v>
      </c>
      <c r="M7774" t="s" s="2">
        <v>22</v>
      </c>
    </row>
    <row r="7775" ht="25.0" customHeight="true">
      <c r="A7775" t="s" s="2">
        <v>13</v>
      </c>
      <c r="B7775" t="s" s="2">
        <f>HYPERLINK("http://ts.21cn.com/tousu/show/id/1364560","上海翰银为赌博输平台收单，请求瀚银为我退款挽回经济损失")</f>
      </c>
      <c r="C7775" t="s" s="2">
        <v>15</v>
      </c>
      <c r="D7775" t="s" s="2">
        <v>16</v>
      </c>
      <c r="E7775" t="s" s="2">
        <v>17</v>
      </c>
      <c r="F7775" t="s" s="2">
        <f>HYPERLINK("http://ts.21cn.com/tousu/show/id/1364560","http://ts.21cn.com/tousu/show/id/1364560")</f>
      </c>
      <c r="G7775" t="s" s="2">
        <v>17</v>
      </c>
      <c r="H7775" t="s" s="2">
        <v>19</v>
      </c>
      <c r="I7775" t="s" s="2">
        <v>30032</v>
      </c>
      <c r="J7775" t="s" s="2">
        <v>30033</v>
      </c>
      <c r="K7775" t="s" s="2">
        <v>22</v>
      </c>
      <c r="L7775" t="s" s="2">
        <v>22</v>
      </c>
      <c r="M7775" t="s" s="2">
        <v>22</v>
      </c>
    </row>
    <row r="7776" ht="25.0" customHeight="true">
      <c r="A7776" t="s" s="2">
        <v>13</v>
      </c>
      <c r="B7776" t="s" s="2">
        <f>HYPERLINK("http://ts.21cn.com/tousu/show/id/1364567","合同欺诈，私自扣款")</f>
      </c>
      <c r="C7776" t="s" s="2">
        <v>15</v>
      </c>
      <c r="D7776" t="s" s="2">
        <v>16</v>
      </c>
      <c r="E7776" t="s" s="2">
        <v>17</v>
      </c>
      <c r="F7776" t="s" s="2">
        <f>HYPERLINK("http://ts.21cn.com/tousu/show/id/1364567","http://ts.21cn.com/tousu/show/id/1364567")</f>
      </c>
      <c r="G7776" t="s" s="2">
        <v>17</v>
      </c>
      <c r="H7776" t="s" s="2">
        <v>19</v>
      </c>
      <c r="I7776" t="s" s="2">
        <v>30035</v>
      </c>
      <c r="J7776" t="s" s="2">
        <v>30036</v>
      </c>
      <c r="K7776" t="s" s="2">
        <v>22</v>
      </c>
      <c r="L7776" t="s" s="2">
        <v>22</v>
      </c>
      <c r="M7776" t="s" s="2">
        <v>22</v>
      </c>
    </row>
    <row r="7777" ht="25.0" customHeight="true">
      <c r="A7777" t="s" s="2">
        <v>13</v>
      </c>
      <c r="B7777" t="s" s="2">
        <f>HYPERLINK("http://ts.21cn.com/tousu/show/id/1364514","上海瀚银信息科技有限公司")</f>
      </c>
      <c r="C7777" t="s" s="2">
        <v>15</v>
      </c>
      <c r="D7777" t="s" s="2">
        <v>16</v>
      </c>
      <c r="E7777" t="s" s="2">
        <v>17</v>
      </c>
      <c r="F7777" t="s" s="2">
        <f>HYPERLINK("http://ts.21cn.com/tousu/show/id/1364514","http://ts.21cn.com/tousu/show/id/1364514")</f>
      </c>
      <c r="G7777" t="s" s="2">
        <v>17</v>
      </c>
      <c r="H7777" t="s" s="2">
        <v>19</v>
      </c>
      <c r="I7777" t="s" s="2">
        <v>30039</v>
      </c>
      <c r="J7777" t="s" s="2">
        <v>30040</v>
      </c>
      <c r="K7777" t="s" s="2">
        <v>22</v>
      </c>
      <c r="L7777" t="s" s="2">
        <v>22</v>
      </c>
      <c r="M7777" t="s" s="2">
        <v>22</v>
      </c>
    </row>
    <row r="7778" ht="25.0" customHeight="true">
      <c r="A7778" t="s" s="2">
        <v>13</v>
      </c>
      <c r="B7778" t="s" s="2">
        <f>HYPERLINK("http://ts.21cn.com/tousu/show/id/1364551","好易借高利贷非法爆通讯录，对我造成恶劣影响")</f>
      </c>
      <c r="C7778" t="s" s="2">
        <v>15</v>
      </c>
      <c r="D7778" t="s" s="2">
        <v>16</v>
      </c>
      <c r="E7778" t="s" s="2">
        <v>17</v>
      </c>
      <c r="F7778" t="s" s="2">
        <f>HYPERLINK("http://ts.21cn.com/tousu/show/id/1364551","http://ts.21cn.com/tousu/show/id/1364551")</f>
      </c>
      <c r="G7778" t="s" s="2">
        <v>17</v>
      </c>
      <c r="H7778" t="s" s="2">
        <v>19</v>
      </c>
      <c r="I7778" t="s" s="2">
        <v>30043</v>
      </c>
      <c r="J7778" t="s" s="2">
        <v>30044</v>
      </c>
      <c r="K7778" t="s" s="2">
        <v>22</v>
      </c>
      <c r="L7778" t="s" s="2">
        <v>22</v>
      </c>
      <c r="M7778" t="s" s="2">
        <v>22</v>
      </c>
    </row>
    <row r="7779" ht="25.0" customHeight="true">
      <c r="A7779" t="s" s="2">
        <v>13</v>
      </c>
      <c r="B7779" t="s" s="2">
        <f>HYPERLINK("http://ts.21cn.com/tousu/show/id/1364545","维信金科旗下安趣花平台引导充值会员后审核失败")</f>
      </c>
      <c r="C7779" t="s" s="2">
        <v>52</v>
      </c>
      <c r="D7779" t="s" s="2">
        <v>16</v>
      </c>
      <c r="E7779" t="s" s="2">
        <v>17</v>
      </c>
      <c r="F7779" t="s" s="2">
        <f>HYPERLINK("http://ts.21cn.com/tousu/show/id/1364545","http://ts.21cn.com/tousu/show/id/1364545")</f>
      </c>
      <c r="G7779" t="s" s="2">
        <v>17</v>
      </c>
      <c r="H7779" t="s" s="2">
        <v>19</v>
      </c>
      <c r="I7779" t="s" s="2">
        <v>30047</v>
      </c>
      <c r="J7779" t="s" s="2">
        <v>30048</v>
      </c>
      <c r="K7779" t="s" s="2">
        <v>22</v>
      </c>
      <c r="L7779" t="s" s="2">
        <v>22</v>
      </c>
      <c r="M7779" t="s" s="2">
        <v>22</v>
      </c>
    </row>
    <row r="7780" ht="25.0" customHeight="true">
      <c r="A7780" t="s" s="2">
        <v>13</v>
      </c>
      <c r="B7780" t="s" s="2">
        <f>HYPERLINK("http://ts.21cn.com/tousu/show/id/1364538","暴力催收")</f>
      </c>
      <c r="C7780" t="s" s="2">
        <v>15</v>
      </c>
      <c r="D7780" t="s" s="2">
        <v>16</v>
      </c>
      <c r="E7780" t="s" s="2">
        <v>17</v>
      </c>
      <c r="F7780" t="s" s="2">
        <f>HYPERLINK("http://ts.21cn.com/tousu/show/id/1364538","http://ts.21cn.com/tousu/show/id/1364538")</f>
      </c>
      <c r="G7780" t="s" s="2">
        <v>17</v>
      </c>
      <c r="H7780" t="s" s="2">
        <v>19</v>
      </c>
      <c r="I7780" t="s" s="2">
        <v>30050</v>
      </c>
      <c r="J7780" t="s" s="2">
        <v>30051</v>
      </c>
      <c r="K7780" t="s" s="2">
        <v>22</v>
      </c>
      <c r="L7780" t="s" s="2">
        <v>22</v>
      </c>
      <c r="M7780" t="s" s="2">
        <v>22</v>
      </c>
    </row>
    <row r="7781" ht="25.0" customHeight="true">
      <c r="A7781" t="s" s="2">
        <v>13</v>
      </c>
      <c r="B7781" t="s" s="2">
        <f>HYPERLINK("http://ts.21cn.com/tousu/show/id/1364534","请求玖富万卡协商")</f>
      </c>
      <c r="C7781" t="s" s="2">
        <v>15</v>
      </c>
      <c r="D7781" t="s" s="2">
        <v>16</v>
      </c>
      <c r="E7781" t="s" s="2">
        <v>17</v>
      </c>
      <c r="F7781" t="s" s="2">
        <f>HYPERLINK("http://ts.21cn.com/tousu/show/id/1364534","http://ts.21cn.com/tousu/show/id/1364534")</f>
      </c>
      <c r="G7781" t="s" s="2">
        <v>17</v>
      </c>
      <c r="H7781" t="s" s="2">
        <v>19</v>
      </c>
      <c r="I7781" t="s" s="2">
        <v>30054</v>
      </c>
      <c r="J7781" t="s" s="2">
        <v>30055</v>
      </c>
      <c r="K7781" t="s" s="2">
        <v>22</v>
      </c>
      <c r="L7781" t="s" s="2">
        <v>22</v>
      </c>
      <c r="M7781" t="s" s="2">
        <v>22</v>
      </c>
    </row>
    <row r="7782" ht="25.0" customHeight="true">
      <c r="A7782" t="s" s="2">
        <v>13</v>
      </c>
      <c r="B7782" t="s" s="2">
        <f>HYPERLINK("http://ts.21cn.com/tousu/show/id/1364512","我在申请网贷时候提示自己的身份证被别的手机号绑定")</f>
      </c>
      <c r="C7782" t="s" s="2">
        <v>15</v>
      </c>
      <c r="D7782" t="s" s="2">
        <v>16</v>
      </c>
      <c r="E7782" t="s" s="2">
        <v>17</v>
      </c>
      <c r="F7782" t="s" s="2">
        <f>HYPERLINK("http://ts.21cn.com/tousu/show/id/1364512","http://ts.21cn.com/tousu/show/id/1364512")</f>
      </c>
      <c r="G7782" t="s" s="2">
        <v>17</v>
      </c>
      <c r="H7782" t="s" s="2">
        <v>19</v>
      </c>
      <c r="I7782" t="s" s="2">
        <v>30058</v>
      </c>
      <c r="J7782" t="s" s="2">
        <v>30059</v>
      </c>
      <c r="K7782" t="s" s="2">
        <v>22</v>
      </c>
      <c r="L7782" t="s" s="2">
        <v>22</v>
      </c>
      <c r="M7782" t="s" s="2">
        <v>22</v>
      </c>
    </row>
    <row r="7783" ht="25.0" customHeight="true">
      <c r="A7783" t="s" s="2">
        <v>13</v>
      </c>
      <c r="B7783" t="s" s="2">
        <f>HYPERLINK("http://ts.21cn.com/tousu/show/id/1364501","拍拍贷催帐骚扰电话")</f>
      </c>
      <c r="C7783" t="s" s="2">
        <v>15</v>
      </c>
      <c r="D7783" t="s" s="2">
        <v>16</v>
      </c>
      <c r="E7783" t="s" s="2">
        <v>17</v>
      </c>
      <c r="F7783" t="s" s="2">
        <f>HYPERLINK("http://ts.21cn.com/tousu/show/id/1364501","http://ts.21cn.com/tousu/show/id/1364501")</f>
      </c>
      <c r="G7783" t="s" s="2">
        <v>17</v>
      </c>
      <c r="H7783" t="s" s="2">
        <v>19</v>
      </c>
      <c r="I7783" t="s" s="2">
        <v>30062</v>
      </c>
      <c r="J7783" t="s" s="2">
        <v>30063</v>
      </c>
      <c r="K7783" t="s" s="2">
        <v>22</v>
      </c>
      <c r="L7783" t="s" s="2">
        <v>22</v>
      </c>
      <c r="M7783" t="s" s="2">
        <v>22</v>
      </c>
    </row>
    <row r="7784" ht="25.0" customHeight="true">
      <c r="A7784" t="s" s="2">
        <v>13</v>
      </c>
      <c r="B7784" t="s" s="2">
        <f>HYPERLINK("http://ts.21cn.com/tousu/show/id/1364481","客服无故挂断电话")</f>
      </c>
      <c r="C7784" t="s" s="2">
        <v>15</v>
      </c>
      <c r="D7784" t="s" s="2">
        <v>16</v>
      </c>
      <c r="E7784" t="s" s="2">
        <v>17</v>
      </c>
      <c r="F7784" t="s" s="2">
        <f>HYPERLINK("http://ts.21cn.com/tousu/show/id/1364481","http://ts.21cn.com/tousu/show/id/1364481")</f>
      </c>
      <c r="G7784" t="s" s="2">
        <v>17</v>
      </c>
      <c r="H7784" t="s" s="2">
        <v>19</v>
      </c>
      <c r="I7784" t="s" s="2">
        <v>30066</v>
      </c>
      <c r="J7784" t="s" s="2">
        <v>30067</v>
      </c>
      <c r="K7784" t="s" s="2">
        <v>22</v>
      </c>
      <c r="L7784" t="s" s="2">
        <v>22</v>
      </c>
      <c r="M7784" t="s" s="2">
        <v>22</v>
      </c>
    </row>
    <row r="7785" ht="25.0" customHeight="true">
      <c r="A7785" t="s" s="2">
        <v>13</v>
      </c>
      <c r="B7785" t="s" s="2">
        <f>HYPERLINK("http://ts.21cn.com/tousu/show/id/1364479","素质低，毫无底线")</f>
      </c>
      <c r="C7785" t="s" s="2">
        <v>15</v>
      </c>
      <c r="D7785" t="s" s="2">
        <v>16</v>
      </c>
      <c r="E7785" t="s" s="2">
        <v>17</v>
      </c>
      <c r="F7785" t="s" s="2">
        <f>HYPERLINK("http://ts.21cn.com/tousu/show/id/1364479","http://ts.21cn.com/tousu/show/id/1364479")</f>
      </c>
      <c r="G7785" t="s" s="2">
        <v>17</v>
      </c>
      <c r="H7785" t="s" s="2">
        <v>19</v>
      </c>
      <c r="I7785" t="s" s="2">
        <v>30070</v>
      </c>
      <c r="J7785" t="s" s="2">
        <v>30071</v>
      </c>
      <c r="K7785" t="s" s="2">
        <v>22</v>
      </c>
      <c r="L7785" t="s" s="2">
        <v>22</v>
      </c>
      <c r="M7785" t="s" s="2">
        <v>22</v>
      </c>
    </row>
    <row r="7786" ht="25.0" customHeight="true">
      <c r="A7786" t="s" s="2">
        <v>13</v>
      </c>
      <c r="B7786" t="s" s="2">
        <f>HYPERLINK("http://ts.21cn.com/tousu/show/id/1364468","拍拍贷高利贷，恶意骚扰家人")</f>
      </c>
      <c r="C7786" t="s" s="2">
        <v>15</v>
      </c>
      <c r="D7786" t="s" s="2">
        <v>16</v>
      </c>
      <c r="E7786" t="s" s="2">
        <v>17</v>
      </c>
      <c r="F7786" t="s" s="2">
        <f>HYPERLINK("http://ts.21cn.com/tousu/show/id/1364468","http://ts.21cn.com/tousu/show/id/1364468")</f>
      </c>
      <c r="G7786" t="s" s="2">
        <v>17</v>
      </c>
      <c r="H7786" t="s" s="2">
        <v>19</v>
      </c>
      <c r="I7786" t="s" s="2">
        <v>30074</v>
      </c>
      <c r="J7786" t="s" s="2">
        <v>30075</v>
      </c>
      <c r="K7786" t="s" s="2">
        <v>22</v>
      </c>
      <c r="L7786" t="s" s="2">
        <v>22</v>
      </c>
      <c r="M7786" t="s" s="2">
        <v>22</v>
      </c>
    </row>
    <row r="7787" ht="25.0" customHeight="true">
      <c r="A7787" t="s" s="2">
        <v>13</v>
      </c>
      <c r="B7787" t="s" s="2">
        <f>HYPERLINK("http://ts.21cn.com/tousu/show/id/1364457","无良心的拼多多")</f>
      </c>
      <c r="C7787" t="s" s="2">
        <v>15</v>
      </c>
      <c r="D7787" t="s" s="2">
        <v>16</v>
      </c>
      <c r="E7787" t="s" s="2">
        <v>17</v>
      </c>
      <c r="F7787" t="s" s="2">
        <f>HYPERLINK("http://ts.21cn.com/tousu/show/id/1364457","http://ts.21cn.com/tousu/show/id/1364457")</f>
      </c>
      <c r="G7787" t="s" s="2">
        <v>17</v>
      </c>
      <c r="H7787" t="s" s="2">
        <v>19</v>
      </c>
      <c r="I7787" t="s" s="2">
        <v>30078</v>
      </c>
      <c r="J7787" t="s" s="2">
        <v>30079</v>
      </c>
      <c r="K7787" t="s" s="2">
        <v>22</v>
      </c>
      <c r="L7787" t="s" s="2">
        <v>22</v>
      </c>
      <c r="M7787" t="s" s="2">
        <v>22</v>
      </c>
    </row>
    <row r="7788" ht="25.0" customHeight="true">
      <c r="A7788" t="s" s="2">
        <v>13</v>
      </c>
      <c r="B7788" t="s" s="2">
        <f>HYPERLINK("http://ts.21cn.com/tousu/show/id/1364446","爆通讯录威胁家人")</f>
      </c>
      <c r="C7788" t="s" s="2">
        <v>15</v>
      </c>
      <c r="D7788" t="s" s="2">
        <v>16</v>
      </c>
      <c r="E7788" t="s" s="2">
        <v>17</v>
      </c>
      <c r="F7788" t="s" s="2">
        <f>HYPERLINK("http://ts.21cn.com/tousu/show/id/1364446","http://ts.21cn.com/tousu/show/id/1364446")</f>
      </c>
      <c r="G7788" t="s" s="2">
        <v>17</v>
      </c>
      <c r="H7788" t="s" s="2">
        <v>19</v>
      </c>
      <c r="I7788" t="s" s="2">
        <v>30082</v>
      </c>
      <c r="J7788" t="s" s="2">
        <v>30083</v>
      </c>
      <c r="K7788" t="s" s="2">
        <v>22</v>
      </c>
      <c r="L7788" t="s" s="2">
        <v>22</v>
      </c>
      <c r="M7788" t="s" s="2">
        <v>22</v>
      </c>
    </row>
    <row r="7789" ht="25.0" customHeight="true">
      <c r="A7789" t="s" s="2">
        <v>13</v>
      </c>
      <c r="B7789" t="s" s="2">
        <f>HYPERLINK("http://ts.21cn.com/tousu/show/id/1364435","马上金融平台雇佣恶势力进行电话恐吓")</f>
      </c>
      <c r="C7789" t="s" s="2">
        <v>15</v>
      </c>
      <c r="D7789" t="s" s="2">
        <v>16</v>
      </c>
      <c r="E7789" t="s" s="2">
        <v>17</v>
      </c>
      <c r="F7789" t="s" s="2">
        <f>HYPERLINK("http://ts.21cn.com/tousu/show/id/1364435","http://ts.21cn.com/tousu/show/id/1364435")</f>
      </c>
      <c r="G7789" t="s" s="2">
        <v>17</v>
      </c>
      <c r="H7789" t="s" s="2">
        <v>19</v>
      </c>
      <c r="I7789" t="s" s="2">
        <v>30086</v>
      </c>
      <c r="J7789" t="s" s="2">
        <v>30087</v>
      </c>
      <c r="K7789" t="s" s="2">
        <v>22</v>
      </c>
      <c r="L7789" t="s" s="2">
        <v>22</v>
      </c>
      <c r="M7789" t="s" s="2">
        <v>22</v>
      </c>
    </row>
    <row r="7790" ht="25.0" customHeight="true">
      <c r="A7790" t="s" s="2">
        <v>13</v>
      </c>
      <c r="B7790" t="s" s="2">
        <f>HYPERLINK("http://ts.21cn.com/tousu/show/id/1364424","阴阳合同，高利贷")</f>
      </c>
      <c r="C7790" t="s" s="2">
        <v>15</v>
      </c>
      <c r="D7790" t="s" s="2">
        <v>16</v>
      </c>
      <c r="E7790" t="s" s="2">
        <v>17</v>
      </c>
      <c r="F7790" t="s" s="2">
        <f>HYPERLINK("http://ts.21cn.com/tousu/show/id/1364424","http://ts.21cn.com/tousu/show/id/1364424")</f>
      </c>
      <c r="G7790" t="s" s="2">
        <v>17</v>
      </c>
      <c r="H7790" t="s" s="2">
        <v>19</v>
      </c>
      <c r="I7790" t="s" s="2">
        <v>30089</v>
      </c>
      <c r="J7790" t="s" s="2">
        <v>30090</v>
      </c>
      <c r="K7790" t="s" s="2">
        <v>22</v>
      </c>
      <c r="L7790" t="s" s="2">
        <v>22</v>
      </c>
      <c r="M7790" t="s" s="2">
        <v>22</v>
      </c>
    </row>
    <row r="7791" ht="25.0" customHeight="true">
      <c r="A7791" t="s" s="2">
        <v>13</v>
      </c>
      <c r="B7791" t="s" s="2">
        <f>HYPERLINK("http://ts.21cn.com/tousu/show/id/1364418","小象优品不合理手续费")</f>
      </c>
      <c r="C7791" t="s" s="2">
        <v>15</v>
      </c>
      <c r="D7791" t="s" s="2">
        <v>16</v>
      </c>
      <c r="E7791" t="s" s="2">
        <v>17</v>
      </c>
      <c r="F7791" t="s" s="2">
        <f>HYPERLINK("http://ts.21cn.com/tousu/show/id/1364418","http://ts.21cn.com/tousu/show/id/1364418")</f>
      </c>
      <c r="G7791" t="s" s="2">
        <v>17</v>
      </c>
      <c r="H7791" t="s" s="2">
        <v>19</v>
      </c>
      <c r="I7791" t="s" s="2">
        <v>30093</v>
      </c>
      <c r="J7791" t="s" s="2">
        <v>30094</v>
      </c>
      <c r="K7791" t="s" s="2">
        <v>22</v>
      </c>
      <c r="L7791" t="s" s="2">
        <v>22</v>
      </c>
      <c r="M7791" t="s" s="2">
        <v>22</v>
      </c>
    </row>
    <row r="7792" ht="25.0" customHeight="true">
      <c r="A7792" t="s" s="2">
        <v>13</v>
      </c>
      <c r="B7792" t="s" s="2">
        <f>HYPERLINK("http://ts.21cn.com/tousu/show/id/1364413","为境外非法博彩网站提供充值渠道")</f>
      </c>
      <c r="C7792" t="s" s="2">
        <v>15</v>
      </c>
      <c r="D7792" t="s" s="2">
        <v>16</v>
      </c>
      <c r="E7792" t="s" s="2">
        <v>17</v>
      </c>
      <c r="F7792" t="s" s="2">
        <f>HYPERLINK("http://ts.21cn.com/tousu/show/id/1364413","http://ts.21cn.com/tousu/show/id/1364413")</f>
      </c>
      <c r="G7792" t="s" s="2">
        <v>17</v>
      </c>
      <c r="H7792" t="s" s="2">
        <v>19</v>
      </c>
      <c r="I7792" t="s" s="2">
        <v>30097</v>
      </c>
      <c r="J7792" t="s" s="2">
        <v>30098</v>
      </c>
      <c r="K7792" t="s" s="2">
        <v>22</v>
      </c>
      <c r="L7792" t="s" s="2">
        <v>22</v>
      </c>
      <c r="M7792" t="s" s="2">
        <v>22</v>
      </c>
    </row>
    <row r="7793" ht="25.0" customHeight="true">
      <c r="A7793" t="s" s="2">
        <v>13</v>
      </c>
      <c r="B7793" t="s" s="2">
        <f>HYPERLINK("http://ts.21cn.com/tousu/show/id/1364410","宝付支付私自乱扣费")</f>
      </c>
      <c r="C7793" t="s" s="2">
        <v>15</v>
      </c>
      <c r="D7793" t="s" s="2">
        <v>16</v>
      </c>
      <c r="E7793" t="s" s="2">
        <v>17</v>
      </c>
      <c r="F7793" t="s" s="2">
        <f>HYPERLINK("http://ts.21cn.com/tousu/show/id/1364410","http://ts.21cn.com/tousu/show/id/1364410")</f>
      </c>
      <c r="G7793" t="s" s="2">
        <v>17</v>
      </c>
      <c r="H7793" t="s" s="2">
        <v>19</v>
      </c>
      <c r="I7793" t="s" s="2">
        <v>30101</v>
      </c>
      <c r="J7793" t="s" s="2">
        <v>30102</v>
      </c>
      <c r="K7793" t="s" s="2">
        <v>22</v>
      </c>
      <c r="L7793" t="s" s="2">
        <v>22</v>
      </c>
      <c r="M7793" t="s" s="2">
        <v>22</v>
      </c>
    </row>
    <row r="7794" ht="25.0" customHeight="true">
      <c r="A7794" t="s" s="2">
        <v>13</v>
      </c>
      <c r="B7794" t="s" s="2">
        <f>HYPERLINK("http://ts.21cn.com/tousu/show/id/1364402","骚扰联系人")</f>
      </c>
      <c r="C7794" t="s" s="2">
        <v>15</v>
      </c>
      <c r="D7794" t="s" s="2">
        <v>16</v>
      </c>
      <c r="E7794" t="s" s="2">
        <v>17</v>
      </c>
      <c r="F7794" t="s" s="2">
        <f>HYPERLINK("http://ts.21cn.com/tousu/show/id/1364402","http://ts.21cn.com/tousu/show/id/1364402")</f>
      </c>
      <c r="G7794" t="s" s="2">
        <v>17</v>
      </c>
      <c r="H7794" t="s" s="2">
        <v>19</v>
      </c>
      <c r="I7794" t="s" s="2">
        <v>30104</v>
      </c>
      <c r="J7794" t="s" s="2">
        <v>30105</v>
      </c>
      <c r="K7794" t="s" s="2">
        <v>22</v>
      </c>
      <c r="L7794" t="s" s="2">
        <v>22</v>
      </c>
      <c r="M7794" t="s" s="2">
        <v>22</v>
      </c>
    </row>
    <row r="7795" ht="25.0" customHeight="true">
      <c r="A7795" t="s" s="2">
        <v>13</v>
      </c>
      <c r="B7795" t="s" s="2">
        <f>HYPERLINK("http://ts.21cn.com/tousu/show/id/1364401","被人忽悠使用360借条借钱")</f>
      </c>
      <c r="C7795" t="s" s="2">
        <v>15</v>
      </c>
      <c r="D7795" t="s" s="2">
        <v>16</v>
      </c>
      <c r="E7795" t="s" s="2">
        <v>17</v>
      </c>
      <c r="F7795" t="s" s="2">
        <f>HYPERLINK("http://ts.21cn.com/tousu/show/id/1364401","http://ts.21cn.com/tousu/show/id/1364401")</f>
      </c>
      <c r="G7795" t="s" s="2">
        <v>17</v>
      </c>
      <c r="H7795" t="s" s="2">
        <v>19</v>
      </c>
      <c r="I7795" t="s" s="2">
        <v>30108</v>
      </c>
      <c r="J7795" t="s" s="2">
        <v>30109</v>
      </c>
      <c r="K7795" t="s" s="2">
        <v>22</v>
      </c>
      <c r="L7795" t="s" s="2">
        <v>22</v>
      </c>
      <c r="M7795" t="s" s="2">
        <v>22</v>
      </c>
    </row>
    <row r="7796" ht="25.0" customHeight="true">
      <c r="A7796" t="s" s="2">
        <v>13</v>
      </c>
      <c r="B7796" t="s" s="2">
        <f>HYPERLINK("http://ts.21cn.com/tousu/show/id/1364390","招联金融曝通讯录，电话，短信，轮流辱骂")</f>
      </c>
      <c r="C7796" t="s" s="2">
        <v>15</v>
      </c>
      <c r="D7796" t="s" s="2">
        <v>16</v>
      </c>
      <c r="E7796" t="s" s="2">
        <v>17</v>
      </c>
      <c r="F7796" t="s" s="2">
        <f>HYPERLINK("http://ts.21cn.com/tousu/show/id/1364390","http://ts.21cn.com/tousu/show/id/1364390")</f>
      </c>
      <c r="G7796" t="s" s="2">
        <v>17</v>
      </c>
      <c r="H7796" t="s" s="2">
        <v>19</v>
      </c>
      <c r="I7796" t="s" s="2">
        <v>30112</v>
      </c>
      <c r="J7796" t="s" s="2">
        <v>30113</v>
      </c>
      <c r="K7796" t="s" s="2">
        <v>22</v>
      </c>
      <c r="L7796" t="s" s="2">
        <v>22</v>
      </c>
      <c r="M7796" t="s" s="2">
        <v>22</v>
      </c>
    </row>
    <row r="7797" ht="25.0" customHeight="true">
      <c r="A7797" t="s" s="2">
        <v>13</v>
      </c>
      <c r="B7797" t="s" s="2">
        <f>HYPERLINK("http://ts.21cn.com/tousu/show/id/1364369","玖富万卡擅自改写合同，变相收取费用，高利贷")</f>
      </c>
      <c r="C7797" t="s" s="2">
        <v>15</v>
      </c>
      <c r="D7797" t="s" s="2">
        <v>16</v>
      </c>
      <c r="E7797" t="s" s="2">
        <v>17</v>
      </c>
      <c r="F7797" t="s" s="2">
        <f>HYPERLINK("http://ts.21cn.com/tousu/show/id/1364369","http://ts.21cn.com/tousu/show/id/1364369")</f>
      </c>
      <c r="G7797" t="s" s="2">
        <v>17</v>
      </c>
      <c r="H7797" t="s" s="2">
        <v>19</v>
      </c>
      <c r="I7797" t="s" s="2">
        <v>30115</v>
      </c>
      <c r="J7797" t="s" s="2">
        <v>30116</v>
      </c>
      <c r="K7797" t="s" s="2">
        <v>22</v>
      </c>
      <c r="L7797" t="s" s="2">
        <v>22</v>
      </c>
      <c r="M7797" t="s" s="2">
        <v>22</v>
      </c>
    </row>
    <row r="7798" ht="25.0" customHeight="true">
      <c r="A7798" t="s" s="2">
        <v>13</v>
      </c>
      <c r="B7798" t="s" s="2">
        <f>HYPERLINK("http://ts.21cn.com/tousu/show/id/1364358","暴力催收恶意骚扰通讯录短信群发欠债人的资料及个人信息")</f>
      </c>
      <c r="C7798" t="s" s="2">
        <v>15</v>
      </c>
      <c r="D7798" t="s" s="2">
        <v>16</v>
      </c>
      <c r="E7798" t="s" s="2">
        <v>17</v>
      </c>
      <c r="F7798" t="s" s="2">
        <f>HYPERLINK("http://ts.21cn.com/tousu/show/id/1364358","http://ts.21cn.com/tousu/show/id/1364358")</f>
      </c>
      <c r="G7798" t="s" s="2">
        <v>17</v>
      </c>
      <c r="H7798" t="s" s="2">
        <v>19</v>
      </c>
      <c r="I7798" t="s" s="2">
        <v>30119</v>
      </c>
      <c r="J7798" t="s" s="2">
        <v>30120</v>
      </c>
      <c r="K7798" t="s" s="2">
        <v>22</v>
      </c>
      <c r="L7798" t="s" s="2">
        <v>22</v>
      </c>
      <c r="M7798" t="s" s="2">
        <v>22</v>
      </c>
    </row>
    <row r="7799" ht="25.0" customHeight="true">
      <c r="A7799" t="s" s="2">
        <v>13</v>
      </c>
      <c r="B7799" t="s" s="2">
        <f>HYPERLINK("http://ts.21cn.com/tousu/show/id/1364347","广发银行高埗支行不入账我的美金")</f>
      </c>
      <c r="C7799" t="s" s="2">
        <v>15</v>
      </c>
      <c r="D7799" t="s" s="2">
        <v>16</v>
      </c>
      <c r="E7799" t="s" s="2">
        <v>17</v>
      </c>
      <c r="F7799" t="s" s="2">
        <f>HYPERLINK("http://ts.21cn.com/tousu/show/id/1364347","http://ts.21cn.com/tousu/show/id/1364347")</f>
      </c>
      <c r="G7799" t="s" s="2">
        <v>17</v>
      </c>
      <c r="H7799" t="s" s="2">
        <v>19</v>
      </c>
      <c r="I7799" t="s" s="2">
        <v>30123</v>
      </c>
      <c r="J7799" t="s" s="2">
        <v>30124</v>
      </c>
      <c r="K7799" t="s" s="2">
        <v>22</v>
      </c>
      <c r="L7799" t="s" s="2">
        <v>22</v>
      </c>
      <c r="M7799" t="s" s="2">
        <v>22</v>
      </c>
    </row>
    <row r="7800" ht="25.0" customHeight="true">
      <c r="A7800" t="s" s="2">
        <v>13</v>
      </c>
      <c r="B7800" t="s" s="2">
        <f>HYPERLINK("http://ts.21cn.com/tousu/show/id/1364336","小闪卡贷暴力催收，以及砍头息")</f>
      </c>
      <c r="C7800" t="s" s="2">
        <v>15</v>
      </c>
      <c r="D7800" t="s" s="2">
        <v>16</v>
      </c>
      <c r="E7800" t="s" s="2">
        <v>17</v>
      </c>
      <c r="F7800" t="s" s="2">
        <f>HYPERLINK("http://ts.21cn.com/tousu/show/id/1364336","http://ts.21cn.com/tousu/show/id/1364336")</f>
      </c>
      <c r="G7800" t="s" s="2">
        <v>17</v>
      </c>
      <c r="H7800" t="s" s="2">
        <v>19</v>
      </c>
      <c r="I7800" t="s" s="2">
        <v>30126</v>
      </c>
      <c r="J7800" t="s" s="2">
        <v>30127</v>
      </c>
      <c r="K7800" t="s" s="2">
        <v>22</v>
      </c>
      <c r="L7800" t="s" s="2">
        <v>22</v>
      </c>
      <c r="M7800" t="s" s="2">
        <v>22</v>
      </c>
    </row>
    <row r="7801" ht="25.0" customHeight="true">
      <c r="A7801" t="s" s="2">
        <v>13</v>
      </c>
      <c r="B7801" t="s" s="2">
        <f>HYPERLINK("http://ts.21cn.com/tousu/show/id/1364325","海风教育退费慢，拖延")</f>
      </c>
      <c r="C7801" t="s" s="2">
        <v>15</v>
      </c>
      <c r="D7801" t="s" s="2">
        <v>16</v>
      </c>
      <c r="E7801" t="s" s="2">
        <v>17</v>
      </c>
      <c r="F7801" t="s" s="2">
        <f>HYPERLINK("http://ts.21cn.com/tousu/show/id/1364325","http://ts.21cn.com/tousu/show/id/1364325")</f>
      </c>
      <c r="G7801" t="s" s="2">
        <v>17</v>
      </c>
      <c r="H7801" t="s" s="2">
        <v>19</v>
      </c>
      <c r="I7801" t="s" s="2">
        <v>30130</v>
      </c>
      <c r="J7801" t="s" s="2">
        <v>30131</v>
      </c>
      <c r="K7801" t="s" s="2">
        <v>22</v>
      </c>
      <c r="L7801" t="s" s="2">
        <v>22</v>
      </c>
      <c r="M7801" t="s" s="2">
        <v>22</v>
      </c>
    </row>
    <row r="7802" ht="25.0" customHeight="true">
      <c r="A7802" t="s" s="2">
        <v>13</v>
      </c>
      <c r="B7802" t="s" s="2">
        <f>HYPERLINK("http://ts.21cn.com/tousu/show/id/1364314","美团逾期遭到催收爆破亲朋电话")</f>
      </c>
      <c r="C7802" t="s" s="2">
        <v>15</v>
      </c>
      <c r="D7802" t="s" s="2">
        <v>16</v>
      </c>
      <c r="E7802" t="s" s="2">
        <v>17</v>
      </c>
      <c r="F7802" t="s" s="2">
        <f>HYPERLINK("http://ts.21cn.com/tousu/show/id/1364314","http://ts.21cn.com/tousu/show/id/1364314")</f>
      </c>
      <c r="G7802" t="s" s="2">
        <v>17</v>
      </c>
      <c r="H7802" t="s" s="2">
        <v>19</v>
      </c>
      <c r="I7802" t="s" s="2">
        <v>30134</v>
      </c>
      <c r="J7802" t="s" s="2">
        <v>30135</v>
      </c>
      <c r="K7802" t="s" s="2">
        <v>22</v>
      </c>
      <c r="L7802" t="s" s="2">
        <v>22</v>
      </c>
      <c r="M7802" t="s" s="2">
        <v>22</v>
      </c>
    </row>
    <row r="7803" ht="25.0" customHeight="true">
      <c r="A7803" t="s" s="2">
        <v>13</v>
      </c>
      <c r="B7803" t="s" s="2">
        <f>HYPERLINK("http://ts.21cn.com/tousu/show/id/1364303","贷上钱高利贷，轰炸通讯录")</f>
      </c>
      <c r="C7803" t="s" s="2">
        <v>15</v>
      </c>
      <c r="D7803" t="s" s="2">
        <v>16</v>
      </c>
      <c r="E7803" t="s" s="2">
        <v>17</v>
      </c>
      <c r="F7803" t="s" s="2">
        <f>HYPERLINK("http://ts.21cn.com/tousu/show/id/1364303","http://ts.21cn.com/tousu/show/id/1364303")</f>
      </c>
      <c r="G7803" t="s" s="2">
        <v>17</v>
      </c>
      <c r="H7803" t="s" s="2">
        <v>19</v>
      </c>
      <c r="I7803" t="s" s="2">
        <v>30138</v>
      </c>
      <c r="J7803" t="s" s="2">
        <v>30139</v>
      </c>
      <c r="K7803" t="s" s="2">
        <v>22</v>
      </c>
      <c r="L7803" t="s" s="2">
        <v>22</v>
      </c>
      <c r="M7803" t="s" s="2">
        <v>22</v>
      </c>
    </row>
    <row r="7804" ht="25.0" customHeight="true">
      <c r="A7804" t="s" s="2">
        <v>13</v>
      </c>
      <c r="B7804" t="s" s="2">
        <f>HYPERLINK("http://ts.21cn.com/tousu/show/id/1361266","平安银行给赌博商户提供支付结算")</f>
      </c>
      <c r="C7804" t="s" s="2">
        <v>15</v>
      </c>
      <c r="D7804" t="s" s="2">
        <v>16</v>
      </c>
      <c r="E7804" t="s" s="2">
        <v>17</v>
      </c>
      <c r="F7804" t="s" s="2">
        <f>HYPERLINK("http://ts.21cn.com/tousu/show/id/1361266","http://ts.21cn.com/tousu/show/id/1361266")</f>
      </c>
      <c r="G7804" t="s" s="2">
        <v>17</v>
      </c>
      <c r="H7804" t="s" s="2">
        <v>19</v>
      </c>
      <c r="I7804" t="s" s="2">
        <v>30142</v>
      </c>
      <c r="J7804" t="s" s="2">
        <v>30143</v>
      </c>
      <c r="K7804" t="s" s="2">
        <v>22</v>
      </c>
      <c r="L7804" t="s" s="2">
        <v>22</v>
      </c>
      <c r="M7804" t="s" s="2">
        <v>22</v>
      </c>
    </row>
    <row r="7805" ht="25.0" customHeight="true">
      <c r="A7805" t="s" s="2">
        <v>13</v>
      </c>
      <c r="B7805" t="s" s="2">
        <f>HYPERLINK("http://ts.21cn.com/tousu/show/id/1364291","银盛通pos机扣刷卡费")</f>
      </c>
      <c r="C7805" t="s" s="2">
        <v>15</v>
      </c>
      <c r="D7805" t="s" s="2">
        <v>16</v>
      </c>
      <c r="E7805" t="s" s="2">
        <v>17</v>
      </c>
      <c r="F7805" t="s" s="2">
        <f>HYPERLINK("http://ts.21cn.com/tousu/show/id/1364291","http://ts.21cn.com/tousu/show/id/1364291")</f>
      </c>
      <c r="G7805" t="s" s="2">
        <v>17</v>
      </c>
      <c r="H7805" t="s" s="2">
        <v>19</v>
      </c>
      <c r="I7805" t="s" s="2">
        <v>30146</v>
      </c>
      <c r="J7805" t="s" s="2">
        <v>30147</v>
      </c>
      <c r="K7805" t="s" s="2">
        <v>22</v>
      </c>
      <c r="L7805" t="s" s="2">
        <v>22</v>
      </c>
      <c r="M7805" t="s" s="2">
        <v>22</v>
      </c>
    </row>
    <row r="7806" ht="25.0" customHeight="true">
      <c r="A7806" t="s" s="2">
        <v>13</v>
      </c>
      <c r="B7806" t="s" s="2">
        <f>HYPERLINK("http://ts.21cn.com/tousu/show/id/1364280","恶意扣款")</f>
      </c>
      <c r="C7806" t="s" s="2">
        <v>15</v>
      </c>
      <c r="D7806" t="s" s="2">
        <v>16</v>
      </c>
      <c r="E7806" t="s" s="2">
        <v>17</v>
      </c>
      <c r="F7806" t="s" s="2">
        <f>HYPERLINK("http://ts.21cn.com/tousu/show/id/1364280","http://ts.21cn.com/tousu/show/id/1364280")</f>
      </c>
      <c r="G7806" t="s" s="2">
        <v>17</v>
      </c>
      <c r="H7806" t="s" s="2">
        <v>19</v>
      </c>
      <c r="I7806" t="s" s="2">
        <v>30149</v>
      </c>
      <c r="J7806" t="s" s="2">
        <v>30150</v>
      </c>
      <c r="K7806" t="s" s="2">
        <v>22</v>
      </c>
      <c r="L7806" t="s" s="2">
        <v>22</v>
      </c>
      <c r="M7806" t="s" s="2">
        <v>22</v>
      </c>
    </row>
    <row r="7807" ht="25.0" customHeight="true">
      <c r="A7807" t="s" s="2">
        <v>13</v>
      </c>
      <c r="B7807" t="s" s="2">
        <f>HYPERLINK("http://ts.21cn.com/tousu/show/id/1364259","宜人贷骚扰，暴力催收")</f>
      </c>
      <c r="C7807" t="s" s="2">
        <v>15</v>
      </c>
      <c r="D7807" t="s" s="2">
        <v>16</v>
      </c>
      <c r="E7807" t="s" s="2">
        <v>17</v>
      </c>
      <c r="F7807" t="s" s="2">
        <f>HYPERLINK("http://ts.21cn.com/tousu/show/id/1364259","http://ts.21cn.com/tousu/show/id/1364259")</f>
      </c>
      <c r="G7807" t="s" s="2">
        <v>17</v>
      </c>
      <c r="H7807" t="s" s="2">
        <v>19</v>
      </c>
      <c r="I7807" t="s" s="2">
        <v>30153</v>
      </c>
      <c r="J7807" t="s" s="2">
        <v>30154</v>
      </c>
      <c r="K7807" t="s" s="2">
        <v>22</v>
      </c>
      <c r="L7807" t="s" s="2">
        <v>22</v>
      </c>
      <c r="M7807" t="s" s="2">
        <v>22</v>
      </c>
    </row>
    <row r="7808" ht="25.0" customHeight="true">
      <c r="A7808" t="s" s="2">
        <v>13</v>
      </c>
      <c r="B7808" t="s" s="2">
        <f>HYPERLINK("http://ts.21cn.com/tousu/show/id/1364248","（特约）中智（消费）莫名扣款")</f>
      </c>
      <c r="C7808" t="s" s="2">
        <v>52</v>
      </c>
      <c r="D7808" t="s" s="2">
        <v>16</v>
      </c>
      <c r="E7808" t="s" s="2">
        <v>17</v>
      </c>
      <c r="F7808" t="s" s="2">
        <f>HYPERLINK("http://ts.21cn.com/tousu/show/id/1364248","http://ts.21cn.com/tousu/show/id/1364248")</f>
      </c>
      <c r="G7808" t="s" s="2">
        <v>17</v>
      </c>
      <c r="H7808" t="s" s="2">
        <v>19</v>
      </c>
      <c r="I7808" t="s" s="2">
        <v>30157</v>
      </c>
      <c r="J7808" t="s" s="2">
        <v>30158</v>
      </c>
      <c r="K7808" t="s" s="2">
        <v>22</v>
      </c>
      <c r="L7808" t="s" s="2">
        <v>22</v>
      </c>
      <c r="M7808" t="s" s="2">
        <v>22</v>
      </c>
    </row>
    <row r="7809" ht="25.0" customHeight="true">
      <c r="A7809" t="s" s="2">
        <v>13</v>
      </c>
      <c r="B7809" t="s" s="2">
        <f>HYPERLINK("http://ts.21cn.com/tousu/show/id/1364237","注销账户")</f>
      </c>
      <c r="C7809" t="s" s="2">
        <v>15</v>
      </c>
      <c r="D7809" t="s" s="2">
        <v>16</v>
      </c>
      <c r="E7809" t="s" s="2">
        <v>17</v>
      </c>
      <c r="F7809" t="s" s="2">
        <f>HYPERLINK("http://ts.21cn.com/tousu/show/id/1364237","http://ts.21cn.com/tousu/show/id/1364237")</f>
      </c>
      <c r="G7809" t="s" s="2">
        <v>17</v>
      </c>
      <c r="H7809" t="s" s="2">
        <v>19</v>
      </c>
      <c r="I7809" t="s" s="2">
        <v>30161</v>
      </c>
      <c r="J7809" t="s" s="2">
        <v>30162</v>
      </c>
      <c r="K7809" t="s" s="2">
        <v>22</v>
      </c>
      <c r="L7809" t="s" s="2">
        <v>22</v>
      </c>
      <c r="M7809" t="s" s="2">
        <v>22</v>
      </c>
    </row>
    <row r="7810" ht="25.0" customHeight="true">
      <c r="A7810" t="s" s="2">
        <v>13</v>
      </c>
      <c r="B7810" t="s" s="2">
        <f>HYPERLINK("http://ts.21cn.com/tousu/show/id/1364226","拍拍贷恶意催收，爆通讯录")</f>
      </c>
      <c r="C7810" t="s" s="2">
        <v>15</v>
      </c>
      <c r="D7810" t="s" s="2">
        <v>16</v>
      </c>
      <c r="E7810" t="s" s="2">
        <v>17</v>
      </c>
      <c r="F7810" t="s" s="2">
        <f>HYPERLINK("http://ts.21cn.com/tousu/show/id/1364226","http://ts.21cn.com/tousu/show/id/1364226")</f>
      </c>
      <c r="G7810" t="s" s="2">
        <v>17</v>
      </c>
      <c r="H7810" t="s" s="2">
        <v>19</v>
      </c>
      <c r="I7810" t="s" s="2">
        <v>30165</v>
      </c>
      <c r="J7810" t="s" s="2">
        <v>30166</v>
      </c>
      <c r="K7810" t="s" s="2">
        <v>22</v>
      </c>
      <c r="L7810" t="s" s="2">
        <v>22</v>
      </c>
      <c r="M7810" t="s" s="2">
        <v>22</v>
      </c>
    </row>
    <row r="7811" ht="25.0" customHeight="true">
      <c r="A7811" t="s" s="2">
        <v>13</v>
      </c>
      <c r="B7811" t="s" s="2">
        <f>HYPERLINK("http://ts.21cn.com/tousu/show/id/1364224","闪电借款高额砍头息高利贷")</f>
      </c>
      <c r="C7811" t="s" s="2">
        <v>15</v>
      </c>
      <c r="D7811" t="s" s="2">
        <v>16</v>
      </c>
      <c r="E7811" t="s" s="2">
        <v>17</v>
      </c>
      <c r="F7811" t="s" s="2">
        <f>HYPERLINK("http://ts.21cn.com/tousu/show/id/1364224","http://ts.21cn.com/tousu/show/id/1364224")</f>
      </c>
      <c r="G7811" t="s" s="2">
        <v>17</v>
      </c>
      <c r="H7811" t="s" s="2">
        <v>19</v>
      </c>
      <c r="I7811" t="s" s="2">
        <v>30168</v>
      </c>
      <c r="J7811" t="s" s="2">
        <v>30169</v>
      </c>
      <c r="K7811" t="s" s="2">
        <v>22</v>
      </c>
      <c r="L7811" t="s" s="2">
        <v>22</v>
      </c>
      <c r="M7811" t="s" s="2">
        <v>22</v>
      </c>
    </row>
    <row r="7812" ht="25.0" customHeight="true">
      <c r="A7812" t="s" s="2">
        <v>13</v>
      </c>
      <c r="B7812" t="s" s="2">
        <f>HYPERLINK("http://ts.21cn.com/tousu/show/id/1363797","快来贷言语威胁")</f>
      </c>
      <c r="C7812" t="s" s="2">
        <v>15</v>
      </c>
      <c r="D7812" t="s" s="2">
        <v>16</v>
      </c>
      <c r="E7812" t="s" s="2">
        <v>17</v>
      </c>
      <c r="F7812" t="s" s="2">
        <f>HYPERLINK("http://ts.21cn.com/tousu/show/id/1363797","http://ts.21cn.com/tousu/show/id/1363797")</f>
      </c>
      <c r="G7812" t="s" s="2">
        <v>17</v>
      </c>
      <c r="H7812" t="s" s="2">
        <v>19</v>
      </c>
      <c r="I7812" t="s" s="2">
        <v>30172</v>
      </c>
      <c r="J7812" t="s" s="2">
        <v>30173</v>
      </c>
      <c r="K7812" t="s" s="2">
        <v>22</v>
      </c>
      <c r="L7812" t="s" s="2">
        <v>22</v>
      </c>
      <c r="M7812" t="s" s="2">
        <v>22</v>
      </c>
    </row>
    <row r="7813" ht="25.0" customHeight="true">
      <c r="A7813" t="s" s="2">
        <v>13</v>
      </c>
      <c r="B7813" t="s" s="2">
        <f>HYPERLINK("http://ts.21cn.com/tousu/show/id/1364215","聚富分期APP未经同意私自扣款")</f>
      </c>
      <c r="C7813" t="s" s="2">
        <v>15</v>
      </c>
      <c r="D7813" t="s" s="2">
        <v>16</v>
      </c>
      <c r="E7813" t="s" s="2">
        <v>17</v>
      </c>
      <c r="F7813" t="s" s="2">
        <f>HYPERLINK("http://ts.21cn.com/tousu/show/id/1364215","http://ts.21cn.com/tousu/show/id/1364215")</f>
      </c>
      <c r="G7813" t="s" s="2">
        <v>17</v>
      </c>
      <c r="H7813" t="s" s="2">
        <v>19</v>
      </c>
      <c r="I7813" t="s" s="2">
        <v>30176</v>
      </c>
      <c r="J7813" t="s" s="2">
        <v>30177</v>
      </c>
      <c r="K7813" t="s" s="2">
        <v>22</v>
      </c>
      <c r="L7813" t="s" s="2">
        <v>22</v>
      </c>
      <c r="M7813" t="s" s="2">
        <v>22</v>
      </c>
    </row>
    <row r="7814" ht="25.0" customHeight="true">
      <c r="A7814" t="s" s="2">
        <v>13</v>
      </c>
      <c r="B7814" t="s" s="2">
        <f>HYPERLINK("http://ts.21cn.com/tousu/show/id/1364204","网贷未到期被曝光通讯录")</f>
      </c>
      <c r="C7814" t="s" s="2">
        <v>15</v>
      </c>
      <c r="D7814" t="s" s="2">
        <v>16</v>
      </c>
      <c r="E7814" t="s" s="2">
        <v>17</v>
      </c>
      <c r="F7814" t="s" s="2">
        <f>HYPERLINK("http://ts.21cn.com/tousu/show/id/1364204","http://ts.21cn.com/tousu/show/id/1364204")</f>
      </c>
      <c r="G7814" t="s" s="2">
        <v>17</v>
      </c>
      <c r="H7814" t="s" s="2">
        <v>19</v>
      </c>
      <c r="I7814" t="s" s="2">
        <v>30180</v>
      </c>
      <c r="J7814" t="s" s="2">
        <v>30181</v>
      </c>
      <c r="K7814" t="s" s="2">
        <v>22</v>
      </c>
      <c r="L7814" t="s" s="2">
        <v>22</v>
      </c>
      <c r="M7814" t="s" s="2">
        <v>22</v>
      </c>
    </row>
    <row r="7815" ht="25.0" customHeight="true">
      <c r="A7815" t="s" s="2">
        <v>13</v>
      </c>
      <c r="B7815" t="s" s="2">
        <f>HYPERLINK("http://ts.21cn.com/tousu/show/id/1364198","交通银行恶意催收")</f>
      </c>
      <c r="C7815" t="s" s="2">
        <v>15</v>
      </c>
      <c r="D7815" t="s" s="2">
        <v>16</v>
      </c>
      <c r="E7815" t="s" s="2">
        <v>17</v>
      </c>
      <c r="F7815" t="s" s="2">
        <f>HYPERLINK("http://ts.21cn.com/tousu/show/id/1364198","http://ts.21cn.com/tousu/show/id/1364198")</f>
      </c>
      <c r="G7815" t="s" s="2">
        <v>17</v>
      </c>
      <c r="H7815" t="s" s="2">
        <v>19</v>
      </c>
      <c r="I7815" t="s" s="2">
        <v>30183</v>
      </c>
      <c r="J7815" t="s" s="2">
        <v>30184</v>
      </c>
      <c r="K7815" t="s" s="2">
        <v>22</v>
      </c>
      <c r="L7815" t="s" s="2">
        <v>22</v>
      </c>
      <c r="M7815" t="s" s="2">
        <v>22</v>
      </c>
    </row>
    <row r="7816" ht="25.0" customHeight="true">
      <c r="A7816" t="s" s="2">
        <v>13</v>
      </c>
      <c r="B7816" t="s" s="2">
        <f>HYPERLINK("http://ts.21cn.com/tousu/show/id/1364192","招联金融催收问题")</f>
      </c>
      <c r="C7816" t="s" s="2">
        <v>15</v>
      </c>
      <c r="D7816" t="s" s="2">
        <v>16</v>
      </c>
      <c r="E7816" t="s" s="2">
        <v>17</v>
      </c>
      <c r="F7816" t="s" s="2">
        <f>HYPERLINK("http://ts.21cn.com/tousu/show/id/1364192","http://ts.21cn.com/tousu/show/id/1364192")</f>
      </c>
      <c r="G7816" t="s" s="2">
        <v>17</v>
      </c>
      <c r="H7816" t="s" s="2">
        <v>19</v>
      </c>
      <c r="I7816" t="s" s="2">
        <v>30187</v>
      </c>
      <c r="J7816" t="s" s="2">
        <v>30188</v>
      </c>
      <c r="K7816" t="s" s="2">
        <v>22</v>
      </c>
      <c r="L7816" t="s" s="2">
        <v>22</v>
      </c>
      <c r="M7816" t="s" s="2">
        <v>22</v>
      </c>
    </row>
    <row r="7817" ht="25.0" customHeight="true">
      <c r="A7817" t="s" s="2">
        <v>13</v>
      </c>
      <c r="B7817" t="s" s="2">
        <f>HYPERLINK("http://ts.21cn.com/tousu/show/id/1364181","宜人贷违法催收，骚扰电话")</f>
      </c>
      <c r="C7817" t="s" s="2">
        <v>15</v>
      </c>
      <c r="D7817" t="s" s="2">
        <v>16</v>
      </c>
      <c r="E7817" t="s" s="2">
        <v>17</v>
      </c>
      <c r="F7817" t="s" s="2">
        <f>HYPERLINK("http://ts.21cn.com/tousu/show/id/1364181","http://ts.21cn.com/tousu/show/id/1364181")</f>
      </c>
      <c r="G7817" t="s" s="2">
        <v>17</v>
      </c>
      <c r="H7817" t="s" s="2">
        <v>19</v>
      </c>
      <c r="I7817" t="s" s="2">
        <v>30191</v>
      </c>
      <c r="J7817" t="s" s="2">
        <v>30192</v>
      </c>
      <c r="K7817" t="s" s="2">
        <v>22</v>
      </c>
      <c r="L7817" t="s" s="2">
        <v>22</v>
      </c>
      <c r="M7817" t="s" s="2">
        <v>22</v>
      </c>
    </row>
    <row r="7818" ht="25.0" customHeight="true">
      <c r="A7818" t="s" s="2">
        <v>13</v>
      </c>
      <c r="B7818" t="s" s="2">
        <f>HYPERLINK("http://ts.21cn.com/tousu/show/id/1364170","威胁恐吓上门催收，爆打通讯，短信轰炸")</f>
      </c>
      <c r="C7818" t="s" s="2">
        <v>15</v>
      </c>
      <c r="D7818" t="s" s="2">
        <v>16</v>
      </c>
      <c r="E7818" t="s" s="2">
        <v>17</v>
      </c>
      <c r="F7818" t="s" s="2">
        <f>HYPERLINK("http://ts.21cn.com/tousu/show/id/1364170","http://ts.21cn.com/tousu/show/id/1364170")</f>
      </c>
      <c r="G7818" t="s" s="2">
        <v>17</v>
      </c>
      <c r="H7818" t="s" s="2">
        <v>19</v>
      </c>
      <c r="I7818" t="s" s="2">
        <v>30195</v>
      </c>
      <c r="J7818" t="s" s="2">
        <v>30196</v>
      </c>
      <c r="K7818" t="s" s="2">
        <v>22</v>
      </c>
      <c r="L7818" t="s" s="2">
        <v>22</v>
      </c>
      <c r="M7818" t="s" s="2">
        <v>22</v>
      </c>
    </row>
    <row r="7819" ht="25.0" customHeight="true">
      <c r="A7819" t="s" s="2">
        <v>13</v>
      </c>
      <c r="B7819" t="s" s="2">
        <f>HYPERLINK("http://ts.21cn.com/tousu/show/id/1364149","交通银行暴力催收")</f>
      </c>
      <c r="C7819" t="s" s="2">
        <v>15</v>
      </c>
      <c r="D7819" t="s" s="2">
        <v>16</v>
      </c>
      <c r="E7819" t="s" s="2">
        <v>17</v>
      </c>
      <c r="F7819" t="s" s="2">
        <f>HYPERLINK("http://ts.21cn.com/tousu/show/id/1364149","http://ts.21cn.com/tousu/show/id/1364149")</f>
      </c>
      <c r="G7819" t="s" s="2">
        <v>17</v>
      </c>
      <c r="H7819" t="s" s="2">
        <v>19</v>
      </c>
      <c r="I7819" t="s" s="2">
        <v>30198</v>
      </c>
      <c r="J7819" t="s" s="2">
        <v>30199</v>
      </c>
      <c r="K7819" t="s" s="2">
        <v>22</v>
      </c>
      <c r="L7819" t="s" s="2">
        <v>22</v>
      </c>
      <c r="M7819" t="s" s="2">
        <v>22</v>
      </c>
    </row>
    <row r="7820" ht="25.0" customHeight="true">
      <c r="A7820" t="s" s="2">
        <v>13</v>
      </c>
      <c r="B7820" t="s" s="2">
        <f>HYPERLINK("http://ts.21cn.com/tousu/show/id/1364138","恶意催收爆通讯录、")</f>
      </c>
      <c r="C7820" t="s" s="2">
        <v>15</v>
      </c>
      <c r="D7820" t="s" s="2">
        <v>16</v>
      </c>
      <c r="E7820" t="s" s="2">
        <v>17</v>
      </c>
      <c r="F7820" t="s" s="2">
        <f>HYPERLINK("http://ts.21cn.com/tousu/show/id/1364138","http://ts.21cn.com/tousu/show/id/1364138")</f>
      </c>
      <c r="G7820" t="s" s="2">
        <v>17</v>
      </c>
      <c r="H7820" t="s" s="2">
        <v>19</v>
      </c>
      <c r="I7820" t="s" s="2">
        <v>30202</v>
      </c>
      <c r="J7820" t="s" s="2">
        <v>30203</v>
      </c>
      <c r="K7820" t="s" s="2">
        <v>22</v>
      </c>
      <c r="L7820" t="s" s="2">
        <v>22</v>
      </c>
      <c r="M7820" t="s" s="2">
        <v>22</v>
      </c>
    </row>
    <row r="7821" ht="25.0" customHeight="true">
      <c r="A7821" t="s" s="2">
        <v>13</v>
      </c>
      <c r="B7821" t="s" s="2">
        <f>HYPERLINK("http://ts.21cn.com/tousu/show/id/1364127","聚富分期申请延期还款")</f>
      </c>
      <c r="C7821" t="s" s="2">
        <v>52</v>
      </c>
      <c r="D7821" t="s" s="2">
        <v>16</v>
      </c>
      <c r="E7821" t="s" s="2">
        <v>17</v>
      </c>
      <c r="F7821" t="s" s="2">
        <f>HYPERLINK("http://ts.21cn.com/tousu/show/id/1364127","http://ts.21cn.com/tousu/show/id/1364127")</f>
      </c>
      <c r="G7821" t="s" s="2">
        <v>17</v>
      </c>
      <c r="H7821" t="s" s="2">
        <v>19</v>
      </c>
      <c r="I7821" t="s" s="2">
        <v>30206</v>
      </c>
      <c r="J7821" t="s" s="2">
        <v>30207</v>
      </c>
      <c r="K7821" t="s" s="2">
        <v>22</v>
      </c>
      <c r="L7821" t="s" s="2">
        <v>22</v>
      </c>
      <c r="M7821" t="s" s="2">
        <v>22</v>
      </c>
    </row>
    <row r="7822" ht="25.0" customHeight="true">
      <c r="A7822" t="s" s="2">
        <v>13</v>
      </c>
      <c r="B7822" t="s" s="2">
        <f>HYPERLINK("http://ts.21cn.com/tousu/show/id/1364121","小象优品骚扰我通讯录好友，还不承认，答应今天还款，现在今天还没过就炸我通讯录亲朋好友")</f>
      </c>
      <c r="C7822" t="s" s="2">
        <v>15</v>
      </c>
      <c r="D7822" t="s" s="2">
        <v>16</v>
      </c>
      <c r="E7822" t="s" s="2">
        <v>17</v>
      </c>
      <c r="F7822" t="s" s="2">
        <f>HYPERLINK("http://ts.21cn.com/tousu/show/id/1364121","http://ts.21cn.com/tousu/show/id/1364121")</f>
      </c>
      <c r="G7822" t="s" s="2">
        <v>17</v>
      </c>
      <c r="H7822" t="s" s="2">
        <v>19</v>
      </c>
      <c r="I7822" t="s" s="2">
        <v>30210</v>
      </c>
      <c r="J7822" t="s" s="2">
        <v>30211</v>
      </c>
      <c r="K7822" t="s" s="2">
        <v>22</v>
      </c>
      <c r="L7822" t="s" s="2">
        <v>22</v>
      </c>
      <c r="M7822" t="s" s="2">
        <v>22</v>
      </c>
    </row>
    <row r="7823" ht="25.0" customHeight="true">
      <c r="A7823" t="s" s="2">
        <v>13</v>
      </c>
      <c r="B7823" t="s" s="2">
        <f>HYPERLINK("http://ts.21cn.com/tousu/show/id/1364116","曝光通讯录暴力催款")</f>
      </c>
      <c r="C7823" t="s" s="2">
        <v>15</v>
      </c>
      <c r="D7823" t="s" s="2">
        <v>16</v>
      </c>
      <c r="E7823" t="s" s="2">
        <v>17</v>
      </c>
      <c r="F7823" t="s" s="2">
        <f>HYPERLINK("http://ts.21cn.com/tousu/show/id/1364116","http://ts.21cn.com/tousu/show/id/1364116")</f>
      </c>
      <c r="G7823" t="s" s="2">
        <v>17</v>
      </c>
      <c r="H7823" t="s" s="2">
        <v>19</v>
      </c>
      <c r="I7823" t="s" s="2">
        <v>30214</v>
      </c>
      <c r="J7823" t="s" s="2">
        <v>30215</v>
      </c>
      <c r="K7823" t="s" s="2">
        <v>22</v>
      </c>
      <c r="L7823" t="s" s="2">
        <v>22</v>
      </c>
      <c r="M7823" t="s" s="2">
        <v>22</v>
      </c>
    </row>
    <row r="7824" ht="25.0" customHeight="true">
      <c r="A7824" t="s" s="2">
        <v>13</v>
      </c>
      <c r="B7824" t="s" s="2">
        <f>HYPERLINK("http://ts.21cn.com/tousu/show/id/1364105","骚扰")</f>
      </c>
      <c r="C7824" t="s" s="2">
        <v>15</v>
      </c>
      <c r="D7824" t="s" s="2">
        <v>16</v>
      </c>
      <c r="E7824" t="s" s="2">
        <v>17</v>
      </c>
      <c r="F7824" t="s" s="2">
        <f>HYPERLINK("http://ts.21cn.com/tousu/show/id/1364105","http://ts.21cn.com/tousu/show/id/1364105")</f>
      </c>
      <c r="G7824" t="s" s="2">
        <v>17</v>
      </c>
      <c r="H7824" t="s" s="2">
        <v>19</v>
      </c>
      <c r="I7824" t="s" s="2">
        <v>30217</v>
      </c>
      <c r="J7824" t="s" s="2">
        <v>30218</v>
      </c>
      <c r="K7824" t="s" s="2">
        <v>22</v>
      </c>
      <c r="L7824" t="s" s="2">
        <v>22</v>
      </c>
      <c r="M7824" t="s" s="2">
        <v>22</v>
      </c>
    </row>
    <row r="7825" ht="25.0" customHeight="true">
      <c r="A7825" t="s" s="2">
        <v>13</v>
      </c>
      <c r="B7825" t="s" s="2">
        <f>HYPERLINK("http://ts.21cn.com/tousu/show/id/1364093","及贷提前还款费用不合理")</f>
      </c>
      <c r="C7825" t="s" s="2">
        <v>15</v>
      </c>
      <c r="D7825" t="s" s="2">
        <v>16</v>
      </c>
      <c r="E7825" t="s" s="2">
        <v>17</v>
      </c>
      <c r="F7825" t="s" s="2">
        <f>HYPERLINK("http://ts.21cn.com/tousu/show/id/1364093","http://ts.21cn.com/tousu/show/id/1364093")</f>
      </c>
      <c r="G7825" t="s" s="2">
        <v>17</v>
      </c>
      <c r="H7825" t="s" s="2">
        <v>19</v>
      </c>
      <c r="I7825" t="s" s="2">
        <v>30221</v>
      </c>
      <c r="J7825" t="s" s="2">
        <v>30222</v>
      </c>
      <c r="K7825" t="s" s="2">
        <v>22</v>
      </c>
      <c r="L7825" t="s" s="2">
        <v>22</v>
      </c>
      <c r="M7825" t="s" s="2">
        <v>22</v>
      </c>
    </row>
    <row r="7826" ht="25.0" customHeight="true">
      <c r="A7826" t="s" s="2">
        <v>13</v>
      </c>
      <c r="B7826" t="s" s="2">
        <f>HYPERLINK("http://ts.21cn.com/tousu/show/id/1364082","心上平台寄卖货品丢失不管")</f>
      </c>
      <c r="C7826" t="s" s="2">
        <v>15</v>
      </c>
      <c r="D7826" t="s" s="2">
        <v>16</v>
      </c>
      <c r="E7826" t="s" s="2">
        <v>17</v>
      </c>
      <c r="F7826" t="s" s="2">
        <f>HYPERLINK("http://ts.21cn.com/tousu/show/id/1364082","http://ts.21cn.com/tousu/show/id/1364082")</f>
      </c>
      <c r="G7826" t="s" s="2">
        <v>17</v>
      </c>
      <c r="H7826" t="s" s="2">
        <v>19</v>
      </c>
      <c r="I7826" t="s" s="2">
        <v>30225</v>
      </c>
      <c r="J7826" t="s" s="2">
        <v>30226</v>
      </c>
      <c r="K7826" t="s" s="2">
        <v>22</v>
      </c>
      <c r="L7826" t="s" s="2">
        <v>22</v>
      </c>
      <c r="M7826" t="s" s="2">
        <v>22</v>
      </c>
    </row>
    <row r="7827" ht="25.0" customHeight="true">
      <c r="A7827" t="s" s="2">
        <v>13</v>
      </c>
      <c r="B7827" t="s" s="2">
        <f>HYPERLINK("http://ts.21cn.com/tousu/show/id/1364071","投诉买单侠还款后还继续骚扰（家人）")</f>
      </c>
      <c r="C7827" t="s" s="2">
        <v>15</v>
      </c>
      <c r="D7827" t="s" s="2">
        <v>16</v>
      </c>
      <c r="E7827" t="s" s="2">
        <v>17</v>
      </c>
      <c r="F7827" t="s" s="2">
        <f>HYPERLINK("http://ts.21cn.com/tousu/show/id/1364071","http://ts.21cn.com/tousu/show/id/1364071")</f>
      </c>
      <c r="G7827" t="s" s="2">
        <v>17</v>
      </c>
      <c r="H7827" t="s" s="2">
        <v>19</v>
      </c>
      <c r="I7827" t="s" s="2">
        <v>30229</v>
      </c>
      <c r="J7827" t="s" s="2">
        <v>30230</v>
      </c>
      <c r="K7827" t="s" s="2">
        <v>22</v>
      </c>
      <c r="L7827" t="s" s="2">
        <v>22</v>
      </c>
      <c r="M7827" t="s" s="2">
        <v>22</v>
      </c>
    </row>
    <row r="7828" ht="25.0" customHeight="true">
      <c r="A7828" t="s" s="2">
        <v>13</v>
      </c>
      <c r="B7828" t="s" s="2">
        <f>HYPERLINK("http://ts.21cn.com/tousu/show/id/1364060","恶意获取通讯录骚扰亲人好友暴力违法催收")</f>
      </c>
      <c r="C7828" t="s" s="2">
        <v>15</v>
      </c>
      <c r="D7828" t="s" s="2">
        <v>16</v>
      </c>
      <c r="E7828" t="s" s="2">
        <v>17</v>
      </c>
      <c r="F7828" t="s" s="2">
        <f>HYPERLINK("http://ts.21cn.com/tousu/show/id/1364060","http://ts.21cn.com/tousu/show/id/1364060")</f>
      </c>
      <c r="G7828" t="s" s="2">
        <v>17</v>
      </c>
      <c r="H7828" t="s" s="2">
        <v>19</v>
      </c>
      <c r="I7828" t="s" s="2">
        <v>30233</v>
      </c>
      <c r="J7828" t="s" s="2">
        <v>30234</v>
      </c>
      <c r="K7828" t="s" s="2">
        <v>22</v>
      </c>
      <c r="L7828" t="s" s="2">
        <v>22</v>
      </c>
      <c r="M7828" t="s" s="2">
        <v>22</v>
      </c>
    </row>
    <row r="7829" ht="25.0" customHeight="true">
      <c r="A7829" t="s" s="2">
        <v>13</v>
      </c>
      <c r="B7829" t="s" s="2">
        <f>HYPERLINK("http://ts.21cn.com/tousu/show/id/1364054","银行卡扣费")</f>
      </c>
      <c r="C7829" t="s" s="2">
        <v>52</v>
      </c>
      <c r="D7829" t="s" s="2">
        <v>16</v>
      </c>
      <c r="E7829" t="s" s="2">
        <v>17</v>
      </c>
      <c r="F7829" t="s" s="2">
        <f>HYPERLINK("http://ts.21cn.com/tousu/show/id/1364054","http://ts.21cn.com/tousu/show/id/1364054")</f>
      </c>
      <c r="G7829" t="s" s="2">
        <v>17</v>
      </c>
      <c r="H7829" t="s" s="2">
        <v>19</v>
      </c>
      <c r="I7829" t="s" s="2">
        <v>30237</v>
      </c>
      <c r="J7829" t="s" s="2">
        <v>30238</v>
      </c>
      <c r="K7829" t="s" s="2">
        <v>22</v>
      </c>
      <c r="L7829" t="s" s="2">
        <v>22</v>
      </c>
      <c r="M7829" t="s" s="2">
        <v>22</v>
      </c>
    </row>
    <row r="7830" ht="25.0" customHeight="true">
      <c r="A7830" t="s" s="2">
        <v>13</v>
      </c>
      <c r="B7830" t="s" s="2">
        <f>HYPERLINK("http://ts.21cn.com/tousu/show/id/1364010","卖家代充值导致账号被封，交易猫无底线偏袒入驻店铺，此平台谁来治理？")</f>
      </c>
      <c r="C7830" t="s" s="2">
        <v>15</v>
      </c>
      <c r="D7830" t="s" s="2">
        <v>16</v>
      </c>
      <c r="E7830" t="s" s="2">
        <v>17</v>
      </c>
      <c r="F7830" t="s" s="2">
        <f>HYPERLINK("http://ts.21cn.com/tousu/show/id/1364010","http://ts.21cn.com/tousu/show/id/1364010")</f>
      </c>
      <c r="G7830" t="s" s="2">
        <v>17</v>
      </c>
      <c r="H7830" t="s" s="2">
        <v>19</v>
      </c>
      <c r="I7830" t="s" s="2">
        <v>30241</v>
      </c>
      <c r="J7830" t="s" s="2">
        <v>30242</v>
      </c>
      <c r="K7830" t="s" s="2">
        <v>22</v>
      </c>
      <c r="L7830" t="s" s="2">
        <v>22</v>
      </c>
      <c r="M7830" t="s" s="2">
        <v>22</v>
      </c>
    </row>
    <row r="7831" ht="25.0" customHeight="true">
      <c r="A7831" t="s" s="2">
        <v>13</v>
      </c>
      <c r="B7831" t="s" s="2">
        <f>HYPERLINK("http://ts.21cn.com/tousu/show/id/1364039","盐城金邦商贸有限公司拒绝发货")</f>
      </c>
      <c r="C7831" t="s" s="2">
        <v>15</v>
      </c>
      <c r="D7831" t="s" s="2">
        <v>16</v>
      </c>
      <c r="E7831" t="s" s="2">
        <v>17</v>
      </c>
      <c r="F7831" t="s" s="2">
        <f>HYPERLINK("http://ts.21cn.com/tousu/show/id/1364039","http://ts.21cn.com/tousu/show/id/1364039")</f>
      </c>
      <c r="G7831" t="s" s="2">
        <v>17</v>
      </c>
      <c r="H7831" t="s" s="2">
        <v>19</v>
      </c>
      <c r="I7831" t="s" s="2">
        <v>30245</v>
      </c>
      <c r="J7831" t="s" s="2">
        <v>30246</v>
      </c>
      <c r="K7831" t="s" s="2">
        <v>22</v>
      </c>
      <c r="L7831" t="s" s="2">
        <v>22</v>
      </c>
      <c r="M7831" t="s" s="2">
        <v>22</v>
      </c>
    </row>
    <row r="7832" ht="25.0" customHeight="true">
      <c r="A7832" t="s" s="2">
        <v>13</v>
      </c>
      <c r="B7832" t="s" s="2">
        <f>HYPERLINK("http://ts.21cn.com/tousu/show/id/1364036","钱站高利贷阴阳合同")</f>
      </c>
      <c r="C7832" t="s" s="2">
        <v>15</v>
      </c>
      <c r="D7832" t="s" s="2">
        <v>16</v>
      </c>
      <c r="E7832" t="s" s="2">
        <v>17</v>
      </c>
      <c r="F7832" t="s" s="2">
        <f>HYPERLINK("http://ts.21cn.com/tousu/show/id/1364036","http://ts.21cn.com/tousu/show/id/1364036")</f>
      </c>
      <c r="G7832" t="s" s="2">
        <v>17</v>
      </c>
      <c r="H7832" t="s" s="2">
        <v>19</v>
      </c>
      <c r="I7832" t="s" s="2">
        <v>30248</v>
      </c>
      <c r="J7832" t="s" s="2">
        <v>30249</v>
      </c>
      <c r="K7832" t="s" s="2">
        <v>22</v>
      </c>
      <c r="L7832" t="s" s="2">
        <v>22</v>
      </c>
      <c r="M7832" t="s" s="2">
        <v>22</v>
      </c>
    </row>
    <row r="7833" ht="25.0" customHeight="true">
      <c r="A7833" t="s" s="2">
        <v>13</v>
      </c>
      <c r="B7833" t="s" s="2">
        <f>HYPERLINK("http://ts.21cn.com/tousu/show/id/1364030","单方面暂停加油卡,且强制按照折扣退款,造成个人损失")</f>
      </c>
      <c r="C7833" t="s" s="2">
        <v>15</v>
      </c>
      <c r="D7833" t="s" s="2">
        <v>16</v>
      </c>
      <c r="E7833" t="s" s="2">
        <v>17</v>
      </c>
      <c r="F7833" t="s" s="2">
        <f>HYPERLINK("http://ts.21cn.com/tousu/show/id/1364030","http://ts.21cn.com/tousu/show/id/1364030")</f>
      </c>
      <c r="G7833" t="s" s="2">
        <v>17</v>
      </c>
      <c r="H7833" t="s" s="2">
        <v>19</v>
      </c>
      <c r="I7833" t="s" s="2">
        <v>30252</v>
      </c>
      <c r="J7833" t="s" s="2">
        <v>30253</v>
      </c>
      <c r="K7833" t="s" s="2">
        <v>22</v>
      </c>
      <c r="L7833" t="s" s="2">
        <v>22</v>
      </c>
      <c r="M7833" t="s" s="2">
        <v>22</v>
      </c>
    </row>
    <row r="7834" ht="25.0" customHeight="true">
      <c r="A7834" t="s" s="2">
        <v>13</v>
      </c>
      <c r="B7834" t="s" s="2">
        <f>HYPERLINK("http://ts.21cn.com/tousu/show/id/1364029","信息泄露，还呗频繁骚扰")</f>
      </c>
      <c r="C7834" t="s" s="2">
        <v>15</v>
      </c>
      <c r="D7834" t="s" s="2">
        <v>16</v>
      </c>
      <c r="E7834" t="s" s="2">
        <v>17</v>
      </c>
      <c r="F7834" t="s" s="2">
        <f>HYPERLINK("http://ts.21cn.com/tousu/show/id/1364029","http://ts.21cn.com/tousu/show/id/1364029")</f>
      </c>
      <c r="G7834" t="s" s="2">
        <v>17</v>
      </c>
      <c r="H7834" t="s" s="2">
        <v>19</v>
      </c>
      <c r="I7834" t="s" s="2">
        <v>30256</v>
      </c>
      <c r="J7834" t="s" s="2">
        <v>30257</v>
      </c>
      <c r="K7834" t="s" s="2">
        <v>22</v>
      </c>
      <c r="L7834" t="s" s="2">
        <v>22</v>
      </c>
      <c r="M7834" t="s" s="2">
        <v>22</v>
      </c>
    </row>
    <row r="7835" ht="25.0" customHeight="true">
      <c r="A7835" t="s" s="2">
        <v>13</v>
      </c>
      <c r="B7835" t="s" s="2">
        <f>HYPERLINK("http://ts.21cn.com/tousu/show/id/1364028","利息不合规，自己是有还款的愿意可是对方不予以接受")</f>
      </c>
      <c r="C7835" t="s" s="2">
        <v>15</v>
      </c>
      <c r="D7835" t="s" s="2">
        <v>16</v>
      </c>
      <c r="E7835" t="s" s="2">
        <v>17</v>
      </c>
      <c r="F7835" t="s" s="2">
        <f>HYPERLINK("http://ts.21cn.com/tousu/show/id/1364028","http://ts.21cn.com/tousu/show/id/1364028")</f>
      </c>
      <c r="G7835" t="s" s="2">
        <v>17</v>
      </c>
      <c r="H7835" t="s" s="2">
        <v>19</v>
      </c>
      <c r="I7835" t="s" s="2">
        <v>30260</v>
      </c>
      <c r="J7835" t="s" s="2">
        <v>30261</v>
      </c>
      <c r="K7835" t="s" s="2">
        <v>22</v>
      </c>
      <c r="L7835" t="s" s="2">
        <v>22</v>
      </c>
      <c r="M7835" t="s" s="2">
        <v>22</v>
      </c>
    </row>
    <row r="7836" ht="25.0" customHeight="true">
      <c r="A7836" t="s" s="2">
        <v>13</v>
      </c>
      <c r="B7836" t="s" s="2">
        <f>HYPERLINK("http://ts.21cn.com/tousu/show/id/1364025","买到假货")</f>
      </c>
      <c r="C7836" t="s" s="2">
        <v>15</v>
      </c>
      <c r="D7836" t="s" s="2">
        <v>16</v>
      </c>
      <c r="E7836" t="s" s="2">
        <v>17</v>
      </c>
      <c r="F7836" t="s" s="2">
        <f>HYPERLINK("http://ts.21cn.com/tousu/show/id/1364025","http://ts.21cn.com/tousu/show/id/1364025")</f>
      </c>
      <c r="G7836" t="s" s="2">
        <v>17</v>
      </c>
      <c r="H7836" t="s" s="2">
        <v>19</v>
      </c>
      <c r="I7836" t="s" s="2">
        <v>30264</v>
      </c>
      <c r="J7836" t="s" s="2">
        <v>30265</v>
      </c>
      <c r="K7836" t="s" s="2">
        <v>22</v>
      </c>
      <c r="L7836" t="s" s="2">
        <v>22</v>
      </c>
      <c r="M7836" t="s" s="2">
        <v>22</v>
      </c>
    </row>
    <row r="7837" ht="25.0" customHeight="true">
      <c r="A7837" t="s" s="2">
        <v>13</v>
      </c>
      <c r="B7837" t="s" s="2">
        <f>HYPERLINK("http://ts.21cn.com/tousu/show/id/1364017","欺诈合作承诺")</f>
      </c>
      <c r="C7837" t="s" s="2">
        <v>15</v>
      </c>
      <c r="D7837" t="s" s="2">
        <v>16</v>
      </c>
      <c r="E7837" t="s" s="2">
        <v>17</v>
      </c>
      <c r="F7837" t="s" s="2">
        <f>HYPERLINK("http://ts.21cn.com/tousu/show/id/1364017","http://ts.21cn.com/tousu/show/id/1364017")</f>
      </c>
      <c r="G7837" t="s" s="2">
        <v>17</v>
      </c>
      <c r="H7837" t="s" s="2">
        <v>19</v>
      </c>
      <c r="I7837" t="s" s="2">
        <v>30268</v>
      </c>
      <c r="J7837" t="s" s="2">
        <v>30269</v>
      </c>
      <c r="K7837" t="s" s="2">
        <v>22</v>
      </c>
      <c r="L7837" t="s" s="2">
        <v>22</v>
      </c>
      <c r="M7837" t="s" s="2">
        <v>22</v>
      </c>
    </row>
    <row r="7838" ht="25.0" customHeight="true">
      <c r="A7838" t="s" s="2">
        <v>13</v>
      </c>
      <c r="B7838" t="s" s="2">
        <f>HYPERLINK("http://ts.21cn.com/tousu/show/id/1364014","天猫匡威鞋子质量问题拒绝退费")</f>
      </c>
      <c r="C7838" t="s" s="2">
        <v>15</v>
      </c>
      <c r="D7838" t="s" s="2">
        <v>16</v>
      </c>
      <c r="E7838" t="s" s="2">
        <v>17</v>
      </c>
      <c r="F7838" t="s" s="2">
        <f>HYPERLINK("http://ts.21cn.com/tousu/show/id/1364014","http://ts.21cn.com/tousu/show/id/1364014")</f>
      </c>
      <c r="G7838" t="s" s="2">
        <v>17</v>
      </c>
      <c r="H7838" t="s" s="2">
        <v>19</v>
      </c>
      <c r="I7838" t="s" s="2">
        <v>30272</v>
      </c>
      <c r="J7838" t="s" s="2">
        <v>30273</v>
      </c>
      <c r="K7838" t="s" s="2">
        <v>22</v>
      </c>
      <c r="L7838" t="s" s="2">
        <v>22</v>
      </c>
      <c r="M7838" t="s" s="2">
        <v>22</v>
      </c>
    </row>
    <row r="7839" ht="25.0" customHeight="true">
      <c r="A7839" t="s" s="2">
        <v>13</v>
      </c>
      <c r="B7839" t="s" s="2">
        <f>HYPERLINK("http://ts.21cn.com/tousu/show/id/1364009","魅族手机质量问题，不予退货")</f>
      </c>
      <c r="C7839" t="s" s="2">
        <v>15</v>
      </c>
      <c r="D7839" t="s" s="2">
        <v>16</v>
      </c>
      <c r="E7839" t="s" s="2">
        <v>17</v>
      </c>
      <c r="F7839" t="s" s="2">
        <f>HYPERLINK("http://ts.21cn.com/tousu/show/id/1364009","http://ts.21cn.com/tousu/show/id/1364009")</f>
      </c>
      <c r="G7839" t="s" s="2">
        <v>17</v>
      </c>
      <c r="H7839" t="s" s="2">
        <v>19</v>
      </c>
      <c r="I7839" t="s" s="2">
        <v>30276</v>
      </c>
      <c r="J7839" t="s" s="2">
        <v>30277</v>
      </c>
      <c r="K7839" t="s" s="2">
        <v>22</v>
      </c>
      <c r="L7839" t="s" s="2">
        <v>22</v>
      </c>
      <c r="M7839" t="s" s="2">
        <v>22</v>
      </c>
    </row>
    <row r="7840" ht="25.0" customHeight="true">
      <c r="A7840" t="s" s="2">
        <v>13</v>
      </c>
      <c r="B7840" t="s" s="2">
        <f>HYPERLINK("http://ts.21cn.com/tousu/show/id/1364011","暴力恶意催收，不接收协商")</f>
      </c>
      <c r="C7840" t="s" s="2">
        <v>15</v>
      </c>
      <c r="D7840" t="s" s="2">
        <v>16</v>
      </c>
      <c r="E7840" t="s" s="2">
        <v>17</v>
      </c>
      <c r="F7840" t="s" s="2">
        <f>HYPERLINK("http://ts.21cn.com/tousu/show/id/1364011","http://ts.21cn.com/tousu/show/id/1364011")</f>
      </c>
      <c r="G7840" t="s" s="2">
        <v>17</v>
      </c>
      <c r="H7840" t="s" s="2">
        <v>19</v>
      </c>
      <c r="I7840" t="s" s="2">
        <v>30280</v>
      </c>
      <c r="J7840" t="s" s="2">
        <v>30281</v>
      </c>
      <c r="K7840" t="s" s="2">
        <v>22</v>
      </c>
      <c r="L7840" t="s" s="2">
        <v>22</v>
      </c>
      <c r="M7840" t="s" s="2">
        <v>22</v>
      </c>
    </row>
    <row r="7841" ht="25.0" customHeight="true">
      <c r="A7841" t="s" s="2">
        <v>13</v>
      </c>
      <c r="B7841" t="s" s="2">
        <f>HYPERLINK("http://ts.21cn.com/tousu/show/id/1364007","协商解决")</f>
      </c>
      <c r="C7841" t="s" s="2">
        <v>15</v>
      </c>
      <c r="D7841" t="s" s="2">
        <v>16</v>
      </c>
      <c r="E7841" t="s" s="2">
        <v>17</v>
      </c>
      <c r="F7841" t="s" s="2">
        <f>HYPERLINK("http://ts.21cn.com/tousu/show/id/1364007","http://ts.21cn.com/tousu/show/id/1364007")</f>
      </c>
      <c r="G7841" t="s" s="2">
        <v>17</v>
      </c>
      <c r="H7841" t="s" s="2">
        <v>19</v>
      </c>
      <c r="I7841" t="s" s="2">
        <v>30284</v>
      </c>
      <c r="J7841" t="s" s="2">
        <v>30285</v>
      </c>
      <c r="K7841" t="s" s="2">
        <v>22</v>
      </c>
      <c r="L7841" t="s" s="2">
        <v>22</v>
      </c>
      <c r="M7841" t="s" s="2">
        <v>22</v>
      </c>
    </row>
    <row r="7842" ht="25.0" customHeight="true">
      <c r="A7842" t="s" s="2">
        <v>13</v>
      </c>
      <c r="B7842" t="s" s="2">
        <f>HYPERLINK("http://ts.21cn.com/tousu/show/id/1364006","易班宝支付盗刷")</f>
      </c>
      <c r="C7842" t="s" s="2">
        <v>15</v>
      </c>
      <c r="D7842" t="s" s="2">
        <v>16</v>
      </c>
      <c r="E7842" t="s" s="2">
        <v>17</v>
      </c>
      <c r="F7842" t="s" s="2">
        <f>HYPERLINK("http://ts.21cn.com/tousu/show/id/1364006","http://ts.21cn.com/tousu/show/id/1364006")</f>
      </c>
      <c r="G7842" t="s" s="2">
        <v>17</v>
      </c>
      <c r="H7842" t="s" s="2">
        <v>19</v>
      </c>
      <c r="I7842" t="s" s="2">
        <v>30288</v>
      </c>
      <c r="J7842" t="s" s="2">
        <v>30289</v>
      </c>
      <c r="K7842" t="s" s="2">
        <v>22</v>
      </c>
      <c r="L7842" t="s" s="2">
        <v>22</v>
      </c>
      <c r="M7842" t="s" s="2">
        <v>22</v>
      </c>
    </row>
    <row r="7843" ht="25.0" customHeight="true">
      <c r="A7843" t="s" s="2">
        <v>13</v>
      </c>
      <c r="B7843" t="s" s="2">
        <f>HYPERLINK("http://ts.21cn.com/tousu/show/id/1364003","暴力催收暴力短信催收")</f>
      </c>
      <c r="C7843" t="s" s="2">
        <v>15</v>
      </c>
      <c r="D7843" t="s" s="2">
        <v>16</v>
      </c>
      <c r="E7843" t="s" s="2">
        <v>17</v>
      </c>
      <c r="F7843" t="s" s="2">
        <f>HYPERLINK("http://ts.21cn.com/tousu/show/id/1364003","http://ts.21cn.com/tousu/show/id/1364003")</f>
      </c>
      <c r="G7843" t="s" s="2">
        <v>17</v>
      </c>
      <c r="H7843" t="s" s="2">
        <v>19</v>
      </c>
      <c r="I7843" t="s" s="2">
        <v>30292</v>
      </c>
      <c r="J7843" t="s" s="2">
        <v>30293</v>
      </c>
      <c r="K7843" t="s" s="2">
        <v>22</v>
      </c>
      <c r="L7843" t="s" s="2">
        <v>22</v>
      </c>
      <c r="M7843" t="s" s="2">
        <v>22</v>
      </c>
    </row>
    <row r="7844" ht="25.0" customHeight="true">
      <c r="A7844" t="s" s="2">
        <v>13</v>
      </c>
      <c r="B7844" t="s" s="2">
        <f>HYPERLINK("http://ts.21cn.com/tousu/show/id/1363998","拍拍贷高利贷且违规收取手续费")</f>
      </c>
      <c r="C7844" t="s" s="2">
        <v>15</v>
      </c>
      <c r="D7844" t="s" s="2">
        <v>16</v>
      </c>
      <c r="E7844" t="s" s="2">
        <v>17</v>
      </c>
      <c r="F7844" t="s" s="2">
        <f>HYPERLINK("http://ts.21cn.com/tousu/show/id/1363998","http://ts.21cn.com/tousu/show/id/1363998")</f>
      </c>
      <c r="G7844" t="s" s="2">
        <v>17</v>
      </c>
      <c r="H7844" t="s" s="2">
        <v>19</v>
      </c>
      <c r="I7844" t="s" s="2">
        <v>30296</v>
      </c>
      <c r="J7844" t="s" s="2">
        <v>30297</v>
      </c>
      <c r="K7844" t="s" s="2">
        <v>22</v>
      </c>
      <c r="L7844" t="s" s="2">
        <v>22</v>
      </c>
      <c r="M7844" t="s" s="2">
        <v>22</v>
      </c>
    </row>
    <row r="7845" ht="25.0" customHeight="true">
      <c r="A7845" t="s" s="2">
        <v>13</v>
      </c>
      <c r="B7845" t="s" s="2">
        <f>HYPERLINK("http://ts.21cn.com/tousu/show/id/1363996","立借钱置宝app造成逾期")</f>
      </c>
      <c r="C7845" t="s" s="2">
        <v>15</v>
      </c>
      <c r="D7845" t="s" s="2">
        <v>16</v>
      </c>
      <c r="E7845" t="s" s="2">
        <v>17</v>
      </c>
      <c r="F7845" t="s" s="2">
        <f>HYPERLINK("http://ts.21cn.com/tousu/show/id/1363996","http://ts.21cn.com/tousu/show/id/1363996")</f>
      </c>
      <c r="G7845" t="s" s="2">
        <v>17</v>
      </c>
      <c r="H7845" t="s" s="2">
        <v>19</v>
      </c>
      <c r="I7845" t="s" s="2">
        <v>30300</v>
      </c>
      <c r="J7845" t="s" s="2">
        <v>30301</v>
      </c>
      <c r="K7845" t="s" s="2">
        <v>22</v>
      </c>
      <c r="L7845" t="s" s="2">
        <v>22</v>
      </c>
      <c r="M7845" t="s" s="2">
        <v>22</v>
      </c>
    </row>
    <row r="7846" ht="25.0" customHeight="true">
      <c r="A7846" t="s" s="2">
        <v>13</v>
      </c>
      <c r="B7846" t="s" s="2">
        <f>HYPERLINK("http://ts.21cn.com/tousu/show/id/1363995","高利贷阴阳合同分12期实际就是3期严重超出国家规定年利率")</f>
      </c>
      <c r="C7846" t="s" s="2">
        <v>15</v>
      </c>
      <c r="D7846" t="s" s="2">
        <v>16</v>
      </c>
      <c r="E7846" t="s" s="2">
        <v>17</v>
      </c>
      <c r="F7846" t="s" s="2">
        <f>HYPERLINK("http://ts.21cn.com/tousu/show/id/1363995","http://ts.21cn.com/tousu/show/id/1363995")</f>
      </c>
      <c r="G7846" t="s" s="2">
        <v>17</v>
      </c>
      <c r="H7846" t="s" s="2">
        <v>19</v>
      </c>
      <c r="I7846" t="s" s="2">
        <v>30304</v>
      </c>
      <c r="J7846" t="s" s="2">
        <v>30305</v>
      </c>
      <c r="K7846" t="s" s="2">
        <v>22</v>
      </c>
      <c r="L7846" t="s" s="2">
        <v>22</v>
      </c>
      <c r="M7846" t="s" s="2">
        <v>22</v>
      </c>
    </row>
    <row r="7847" ht="25.0" customHeight="true">
      <c r="A7847" t="s" s="2">
        <v>13</v>
      </c>
      <c r="B7847" t="s" s="2">
        <f>HYPERLINK("http://ts.21cn.com/tousu/show/id/1363992","钱站暴力催收，威胁恐吓侮辱诽谤")</f>
      </c>
      <c r="C7847" t="s" s="2">
        <v>15</v>
      </c>
      <c r="D7847" t="s" s="2">
        <v>16</v>
      </c>
      <c r="E7847" t="s" s="2">
        <v>17</v>
      </c>
      <c r="F7847" t="s" s="2">
        <f>HYPERLINK("http://ts.21cn.com/tousu/show/id/1363992","http://ts.21cn.com/tousu/show/id/1363992")</f>
      </c>
      <c r="G7847" t="s" s="2">
        <v>17</v>
      </c>
      <c r="H7847" t="s" s="2">
        <v>19</v>
      </c>
      <c r="I7847" t="s" s="2">
        <v>30308</v>
      </c>
      <c r="J7847" t="s" s="2">
        <v>30309</v>
      </c>
      <c r="K7847" t="s" s="2">
        <v>22</v>
      </c>
      <c r="L7847" t="s" s="2">
        <v>22</v>
      </c>
      <c r="M7847" t="s" s="2">
        <v>22</v>
      </c>
    </row>
    <row r="7848" ht="25.0" customHeight="true">
      <c r="A7848" t="s" s="2">
        <v>13</v>
      </c>
      <c r="B7848" t="s" s="2">
        <f>HYPERLINK("http://ts.21cn.com/tousu/show/id/1363988","违规进行第三方支付，违规涉P2P网贷")</f>
      </c>
      <c r="C7848" t="s" s="2">
        <v>15</v>
      </c>
      <c r="D7848" t="s" s="2">
        <v>16</v>
      </c>
      <c r="E7848" t="s" s="2">
        <v>17</v>
      </c>
      <c r="F7848" t="s" s="2">
        <f>HYPERLINK("http://ts.21cn.com/tousu/show/id/1363988","http://ts.21cn.com/tousu/show/id/1363988")</f>
      </c>
      <c r="G7848" t="s" s="2">
        <v>17</v>
      </c>
      <c r="H7848" t="s" s="2">
        <v>19</v>
      </c>
      <c r="I7848" t="s" s="2">
        <v>30312</v>
      </c>
      <c r="J7848" t="s" s="2">
        <v>30313</v>
      </c>
      <c r="K7848" t="s" s="2">
        <v>22</v>
      </c>
      <c r="L7848" t="s" s="2">
        <v>22</v>
      </c>
      <c r="M7848" t="s" s="2">
        <v>22</v>
      </c>
    </row>
    <row r="7849" ht="25.0" customHeight="true">
      <c r="A7849" t="s" s="2">
        <v>13</v>
      </c>
      <c r="B7849" t="s" s="2">
        <f>HYPERLINK("http://ts.21cn.com/tousu/show/id/1363985","兴业银行信用卡暴力催收恐吓威胁诽谤")</f>
      </c>
      <c r="C7849" t="s" s="2">
        <v>15</v>
      </c>
      <c r="D7849" t="s" s="2">
        <v>16</v>
      </c>
      <c r="E7849" t="s" s="2">
        <v>17</v>
      </c>
      <c r="F7849" t="s" s="2">
        <f>HYPERLINK("http://ts.21cn.com/tousu/show/id/1363985","http://ts.21cn.com/tousu/show/id/1363985")</f>
      </c>
      <c r="G7849" t="s" s="2">
        <v>17</v>
      </c>
      <c r="H7849" t="s" s="2">
        <v>19</v>
      </c>
      <c r="I7849" t="s" s="2">
        <v>30316</v>
      </c>
      <c r="J7849" t="s" s="2">
        <v>30317</v>
      </c>
      <c r="K7849" t="s" s="2">
        <v>22</v>
      </c>
      <c r="L7849" t="s" s="2">
        <v>22</v>
      </c>
      <c r="M7849" t="s" s="2">
        <v>22</v>
      </c>
    </row>
    <row r="7850" ht="25.0" customHeight="true">
      <c r="A7850" t="s" s="2">
        <v>13</v>
      </c>
      <c r="B7850" t="s" s="2">
        <f>HYPERLINK("http://ts.21cn.com/tousu/show/id/1363987","小笼宝高利贷")</f>
      </c>
      <c r="C7850" t="s" s="2">
        <v>15</v>
      </c>
      <c r="D7850" t="s" s="2">
        <v>16</v>
      </c>
      <c r="E7850" t="s" s="2">
        <v>17</v>
      </c>
      <c r="F7850" t="s" s="2">
        <f>HYPERLINK("http://ts.21cn.com/tousu/show/id/1363987","http://ts.21cn.com/tousu/show/id/1363987")</f>
      </c>
      <c r="G7850" t="s" s="2">
        <v>17</v>
      </c>
      <c r="H7850" t="s" s="2">
        <v>19</v>
      </c>
      <c r="I7850" t="s" s="2">
        <v>30320</v>
      </c>
      <c r="J7850" t="s" s="2">
        <v>30321</v>
      </c>
      <c r="K7850" t="s" s="2">
        <v>22</v>
      </c>
      <c r="L7850" t="s" s="2">
        <v>22</v>
      </c>
      <c r="M7850" t="s" s="2">
        <v>22</v>
      </c>
    </row>
    <row r="7851" ht="25.0" customHeight="true">
      <c r="A7851" t="s" s="2">
        <v>13</v>
      </c>
      <c r="B7851" t="s" s="2">
        <f>HYPERLINK("http://ts.21cn.com/tousu/show/id/1363984","肥猫贷，砍头息")</f>
      </c>
      <c r="C7851" t="s" s="2">
        <v>15</v>
      </c>
      <c r="D7851" t="s" s="2">
        <v>16</v>
      </c>
      <c r="E7851" t="s" s="2">
        <v>17</v>
      </c>
      <c r="F7851" t="s" s="2">
        <f>HYPERLINK("http://ts.21cn.com/tousu/show/id/1363984","http://ts.21cn.com/tousu/show/id/1363984")</f>
      </c>
      <c r="G7851" t="s" s="2">
        <v>17</v>
      </c>
      <c r="H7851" t="s" s="2">
        <v>19</v>
      </c>
      <c r="I7851" t="s" s="2">
        <v>30324</v>
      </c>
      <c r="J7851" t="s" s="2">
        <v>30325</v>
      </c>
      <c r="K7851" t="s" s="2">
        <v>22</v>
      </c>
      <c r="L7851" t="s" s="2">
        <v>22</v>
      </c>
      <c r="M7851" t="s" s="2">
        <v>22</v>
      </c>
    </row>
    <row r="7852" ht="25.0" customHeight="true">
      <c r="A7852" t="s" s="2">
        <v>13</v>
      </c>
      <c r="B7852" t="s" s="2">
        <f>HYPERLINK("http://ts.21cn.com/tousu/show/id/1363981","邮政银行工作人员态度恶劣")</f>
      </c>
      <c r="C7852" t="s" s="2">
        <v>15</v>
      </c>
      <c r="D7852" t="s" s="2">
        <v>16</v>
      </c>
      <c r="E7852" t="s" s="2">
        <v>17</v>
      </c>
      <c r="F7852" t="s" s="2">
        <f>HYPERLINK("http://ts.21cn.com/tousu/show/id/1363981","http://ts.21cn.com/tousu/show/id/1363981")</f>
      </c>
      <c r="G7852" t="s" s="2">
        <v>17</v>
      </c>
      <c r="H7852" t="s" s="2">
        <v>19</v>
      </c>
      <c r="I7852" t="s" s="2">
        <v>30328</v>
      </c>
      <c r="J7852" t="s" s="2">
        <v>30329</v>
      </c>
      <c r="K7852" t="s" s="2">
        <v>22</v>
      </c>
      <c r="L7852" t="s" s="2">
        <v>22</v>
      </c>
      <c r="M7852" t="s" s="2">
        <v>22</v>
      </c>
    </row>
    <row r="7853" ht="25.0" customHeight="true">
      <c r="A7853" t="s" s="2">
        <v>13</v>
      </c>
      <c r="B7853" t="s" s="2">
        <f>HYPERLINK("http://ts.21cn.com/tousu/show/id/1363974","安逸花灵活还款服务包")</f>
      </c>
      <c r="C7853" t="s" s="2">
        <v>15</v>
      </c>
      <c r="D7853" t="s" s="2">
        <v>16</v>
      </c>
      <c r="E7853" t="s" s="2">
        <v>17</v>
      </c>
      <c r="F7853" t="s" s="2">
        <f>HYPERLINK("http://ts.21cn.com/tousu/show/id/1363974","http://ts.21cn.com/tousu/show/id/1363974")</f>
      </c>
      <c r="G7853" t="s" s="2">
        <v>17</v>
      </c>
      <c r="H7853" t="s" s="2">
        <v>19</v>
      </c>
      <c r="I7853" t="s" s="2">
        <v>30332</v>
      </c>
      <c r="J7853" t="s" s="2">
        <v>30333</v>
      </c>
      <c r="K7853" t="s" s="2">
        <v>22</v>
      </c>
      <c r="L7853" t="s" s="2">
        <v>22</v>
      </c>
      <c r="M7853" t="s" s="2">
        <v>22</v>
      </c>
    </row>
    <row r="7854" ht="25.0" customHeight="true">
      <c r="A7854" t="s" s="2">
        <v>13</v>
      </c>
      <c r="B7854" t="s" s="2">
        <f>HYPERLINK("http://ts.21cn.com/tousu/show/id/1363973","升学教育虚假宣传，诱导消费")</f>
      </c>
      <c r="C7854" t="s" s="2">
        <v>15</v>
      </c>
      <c r="D7854" t="s" s="2">
        <v>16</v>
      </c>
      <c r="E7854" t="s" s="2">
        <v>17</v>
      </c>
      <c r="F7854" t="s" s="2">
        <f>HYPERLINK("http://ts.21cn.com/tousu/show/id/1363973","http://ts.21cn.com/tousu/show/id/1363973")</f>
      </c>
      <c r="G7854" t="s" s="2">
        <v>17</v>
      </c>
      <c r="H7854" t="s" s="2">
        <v>19</v>
      </c>
      <c r="I7854" t="s" s="2">
        <v>30336</v>
      </c>
      <c r="J7854" t="s" s="2">
        <v>30337</v>
      </c>
      <c r="K7854" t="s" s="2">
        <v>22</v>
      </c>
      <c r="L7854" t="s" s="2">
        <v>22</v>
      </c>
      <c r="M7854" t="s" s="2">
        <v>22</v>
      </c>
    </row>
    <row r="7855" ht="25.0" customHeight="true">
      <c r="A7855" t="s" s="2">
        <v>13</v>
      </c>
      <c r="B7855" t="s" s="2">
        <f>HYPERLINK("http://ts.21cn.com/tousu/show/id/1363970","催收威胁电话")</f>
      </c>
      <c r="C7855" t="s" s="2">
        <v>15</v>
      </c>
      <c r="D7855" t="s" s="2">
        <v>16</v>
      </c>
      <c r="E7855" t="s" s="2">
        <v>17</v>
      </c>
      <c r="F7855" t="s" s="2">
        <f>HYPERLINK("http://ts.21cn.com/tousu/show/id/1363970","http://ts.21cn.com/tousu/show/id/1363970")</f>
      </c>
      <c r="G7855" t="s" s="2">
        <v>17</v>
      </c>
      <c r="H7855" t="s" s="2">
        <v>19</v>
      </c>
      <c r="I7855" t="s" s="2">
        <v>30340</v>
      </c>
      <c r="J7855" t="s" s="2">
        <v>30341</v>
      </c>
      <c r="K7855" t="s" s="2">
        <v>22</v>
      </c>
      <c r="L7855" t="s" s="2">
        <v>22</v>
      </c>
      <c r="M7855" t="s" s="2">
        <v>22</v>
      </c>
    </row>
    <row r="7856" ht="25.0" customHeight="true">
      <c r="A7856" t="s" s="2">
        <v>13</v>
      </c>
      <c r="B7856" t="s" s="2">
        <f>HYPERLINK("http://ts.21cn.com/tousu/show/id/1363965","暴力催收惊吓")</f>
      </c>
      <c r="C7856" t="s" s="2">
        <v>15</v>
      </c>
      <c r="D7856" t="s" s="2">
        <v>16</v>
      </c>
      <c r="E7856" t="s" s="2">
        <v>17</v>
      </c>
      <c r="F7856" t="s" s="2">
        <f>HYPERLINK("http://ts.21cn.com/tousu/show/id/1363965","http://ts.21cn.com/tousu/show/id/1363965")</f>
      </c>
      <c r="G7856" t="s" s="2">
        <v>17</v>
      </c>
      <c r="H7856" t="s" s="2">
        <v>19</v>
      </c>
      <c r="I7856" t="s" s="2">
        <v>30344</v>
      </c>
      <c r="J7856" t="s" s="2">
        <v>30345</v>
      </c>
      <c r="K7856" t="s" s="2">
        <v>22</v>
      </c>
      <c r="L7856" t="s" s="2">
        <v>22</v>
      </c>
      <c r="M7856" t="s" s="2">
        <v>22</v>
      </c>
    </row>
    <row r="7857" ht="25.0" customHeight="true">
      <c r="A7857" t="s" s="2">
        <v>13</v>
      </c>
      <c r="B7857" t="s" s="2">
        <f>HYPERLINK("http://ts.21cn.com/tousu/show/id/1363962","腾讯网游加速不好用频繁掉线")</f>
      </c>
      <c r="C7857" t="s" s="2">
        <v>52</v>
      </c>
      <c r="D7857" t="s" s="2">
        <v>16</v>
      </c>
      <c r="E7857" t="s" s="2">
        <v>17</v>
      </c>
      <c r="F7857" t="s" s="2">
        <f>HYPERLINK("http://ts.21cn.com/tousu/show/id/1363962","http://ts.21cn.com/tousu/show/id/1363962")</f>
      </c>
      <c r="G7857" t="s" s="2">
        <v>17</v>
      </c>
      <c r="H7857" t="s" s="2">
        <v>19</v>
      </c>
      <c r="I7857" t="s" s="2">
        <v>30348</v>
      </c>
      <c r="J7857" t="s" s="2">
        <v>30349</v>
      </c>
      <c r="K7857" t="s" s="2">
        <v>22</v>
      </c>
      <c r="L7857" t="s" s="2">
        <v>22</v>
      </c>
      <c r="M7857" t="s" s="2">
        <v>22</v>
      </c>
    </row>
    <row r="7858" ht="25.0" customHeight="true">
      <c r="A7858" t="s" s="2">
        <v>13</v>
      </c>
      <c r="B7858" t="s" s="2">
        <f>HYPERLINK("http://ts.21cn.com/tousu/show/id/1363954","钱站高利息")</f>
      </c>
      <c r="C7858" t="s" s="2">
        <v>52</v>
      </c>
      <c r="D7858" t="s" s="2">
        <v>16</v>
      </c>
      <c r="E7858" t="s" s="2">
        <v>17</v>
      </c>
      <c r="F7858" t="s" s="2">
        <f>HYPERLINK("http://ts.21cn.com/tousu/show/id/1363954","http://ts.21cn.com/tousu/show/id/1363954")</f>
      </c>
      <c r="G7858" t="s" s="2">
        <v>17</v>
      </c>
      <c r="H7858" t="s" s="2">
        <v>19</v>
      </c>
      <c r="I7858" t="s" s="2">
        <v>30351</v>
      </c>
      <c r="J7858" t="s" s="2">
        <v>30352</v>
      </c>
      <c r="K7858" t="s" s="2">
        <v>22</v>
      </c>
      <c r="L7858" t="s" s="2">
        <v>22</v>
      </c>
      <c r="M7858" t="s" s="2">
        <v>22</v>
      </c>
    </row>
    <row r="7859" ht="25.0" customHeight="true">
      <c r="A7859" t="s" s="2">
        <v>13</v>
      </c>
      <c r="B7859" t="s" s="2">
        <f>HYPERLINK("http://ts.21cn.com/tousu/show/id/1363951","已经协商了15号晚上7点还款，还是暴力催收")</f>
      </c>
      <c r="C7859" t="s" s="2">
        <v>15</v>
      </c>
      <c r="D7859" t="s" s="2">
        <v>16</v>
      </c>
      <c r="E7859" t="s" s="2">
        <v>17</v>
      </c>
      <c r="F7859" t="s" s="2">
        <f>HYPERLINK("http://ts.21cn.com/tousu/show/id/1363951","http://ts.21cn.com/tousu/show/id/1363951")</f>
      </c>
      <c r="G7859" t="s" s="2">
        <v>17</v>
      </c>
      <c r="H7859" t="s" s="2">
        <v>19</v>
      </c>
      <c r="I7859" t="s" s="2">
        <v>30355</v>
      </c>
      <c r="J7859" t="s" s="2">
        <v>30356</v>
      </c>
      <c r="K7859" t="s" s="2">
        <v>22</v>
      </c>
      <c r="L7859" t="s" s="2">
        <v>22</v>
      </c>
      <c r="M7859" t="s" s="2">
        <v>22</v>
      </c>
    </row>
    <row r="7860" ht="25.0" customHeight="true">
      <c r="A7860" t="s" s="2">
        <v>13</v>
      </c>
      <c r="B7860" t="s" s="2">
        <f>HYPERLINK("http://ts.21cn.com/tousu/show/id/1363952","信汇支付")</f>
      </c>
      <c r="C7860" t="s" s="2">
        <v>15</v>
      </c>
      <c r="D7860" t="s" s="2">
        <v>16</v>
      </c>
      <c r="E7860" t="s" s="2">
        <v>17</v>
      </c>
      <c r="F7860" t="s" s="2">
        <f>HYPERLINK("http://ts.21cn.com/tousu/show/id/1363952","http://ts.21cn.com/tousu/show/id/1363952")</f>
      </c>
      <c r="G7860" t="s" s="2">
        <v>17</v>
      </c>
      <c r="H7860" t="s" s="2">
        <v>19</v>
      </c>
      <c r="I7860" t="s" s="2">
        <v>30359</v>
      </c>
      <c r="J7860" t="s" s="2">
        <v>30360</v>
      </c>
      <c r="K7860" t="s" s="2">
        <v>22</v>
      </c>
      <c r="L7860" t="s" s="2">
        <v>22</v>
      </c>
      <c r="M7860" t="s" s="2">
        <v>22</v>
      </c>
    </row>
    <row r="7861" ht="25.0" customHeight="true">
      <c r="A7861" t="s" s="2">
        <v>13</v>
      </c>
      <c r="B7861" t="s" s="2">
        <f>HYPERLINK("http://ts.21cn.com/tousu/show/id/1363949","翼支付参加活动未返利")</f>
      </c>
      <c r="C7861" t="s" s="2">
        <v>52</v>
      </c>
      <c r="D7861" t="s" s="2">
        <v>16</v>
      </c>
      <c r="E7861" t="s" s="2">
        <v>17</v>
      </c>
      <c r="F7861" t="s" s="2">
        <f>HYPERLINK("http://ts.21cn.com/tousu/show/id/1363949","http://ts.21cn.com/tousu/show/id/1363949")</f>
      </c>
      <c r="G7861" t="s" s="2">
        <v>17</v>
      </c>
      <c r="H7861" t="s" s="2">
        <v>19</v>
      </c>
      <c r="I7861" t="s" s="2">
        <v>30363</v>
      </c>
      <c r="J7861" t="s" s="2">
        <v>30364</v>
      </c>
      <c r="K7861" t="s" s="2">
        <v>22</v>
      </c>
      <c r="L7861" t="s" s="2">
        <v>22</v>
      </c>
      <c r="M7861" t="s" s="2">
        <v>22</v>
      </c>
    </row>
    <row r="7862" ht="25.0" customHeight="true">
      <c r="A7862" t="s" s="2">
        <v>13</v>
      </c>
      <c r="B7862" t="s" s="2">
        <f>HYPERLINK("http://ts.21cn.com/tousu/show/id/1363946","代练猫订单乱仲裁")</f>
      </c>
      <c r="C7862" t="s" s="2">
        <v>52</v>
      </c>
      <c r="D7862" t="s" s="2">
        <v>16</v>
      </c>
      <c r="E7862" t="s" s="2">
        <v>17</v>
      </c>
      <c r="F7862" t="s" s="2">
        <f>HYPERLINK("http://ts.21cn.com/tousu/show/id/1363946","http://ts.21cn.com/tousu/show/id/1363946")</f>
      </c>
      <c r="G7862" t="s" s="2">
        <v>17</v>
      </c>
      <c r="H7862" t="s" s="2">
        <v>19</v>
      </c>
      <c r="I7862" t="s" s="2">
        <v>30367</v>
      </c>
      <c r="J7862" t="s" s="2">
        <v>30368</v>
      </c>
      <c r="K7862" t="s" s="2">
        <v>22</v>
      </c>
      <c r="L7862" t="s" s="2">
        <v>22</v>
      </c>
      <c r="M7862" t="s" s="2">
        <v>22</v>
      </c>
    </row>
    <row r="7863" ht="25.0" customHeight="true">
      <c r="A7863" t="s" s="2">
        <v>13</v>
      </c>
      <c r="B7863" t="s" s="2">
        <f>HYPERLINK("http://ts.21cn.com/tousu/show/id/1363911","我要投诉慧金宝敏付科技违规为赌博行业提供支付渠道")</f>
      </c>
      <c r="C7863" t="s" s="2">
        <v>15</v>
      </c>
      <c r="D7863" t="s" s="2">
        <v>16</v>
      </c>
      <c r="E7863" t="s" s="2">
        <v>17</v>
      </c>
      <c r="F7863" t="s" s="2">
        <f>HYPERLINK("http://ts.21cn.com/tousu/show/id/1363911","http://ts.21cn.com/tousu/show/id/1363911")</f>
      </c>
      <c r="G7863" t="s" s="2">
        <v>17</v>
      </c>
      <c r="H7863" t="s" s="2">
        <v>19</v>
      </c>
      <c r="I7863" t="s" s="2">
        <v>30371</v>
      </c>
      <c r="J7863" t="s" s="2">
        <v>30372</v>
      </c>
      <c r="K7863" t="s" s="2">
        <v>22</v>
      </c>
      <c r="L7863" t="s" s="2">
        <v>22</v>
      </c>
      <c r="M7863" t="s" s="2">
        <v>22</v>
      </c>
    </row>
    <row r="7864" ht="25.0" customHeight="true">
      <c r="A7864" t="s" s="2">
        <v>13</v>
      </c>
      <c r="B7864" t="s" s="2">
        <f>HYPERLINK("http://ts.21cn.com/tousu/show/id/1363943","减免费用")</f>
      </c>
      <c r="C7864" t="s" s="2">
        <v>52</v>
      </c>
      <c r="D7864" t="s" s="2">
        <v>16</v>
      </c>
      <c r="E7864" t="s" s="2">
        <v>17</v>
      </c>
      <c r="F7864" t="s" s="2">
        <f>HYPERLINK("http://ts.21cn.com/tousu/show/id/1363943","http://ts.21cn.com/tousu/show/id/1363943")</f>
      </c>
      <c r="G7864" t="s" s="2">
        <v>17</v>
      </c>
      <c r="H7864" t="s" s="2">
        <v>19</v>
      </c>
      <c r="I7864" t="s" s="2">
        <v>30375</v>
      </c>
      <c r="J7864" t="s" s="2">
        <v>30376</v>
      </c>
      <c r="K7864" t="s" s="2">
        <v>22</v>
      </c>
      <c r="L7864" t="s" s="2">
        <v>22</v>
      </c>
      <c r="M7864" t="s" s="2">
        <v>22</v>
      </c>
    </row>
    <row r="7865" ht="25.0" customHeight="true">
      <c r="A7865" t="s" s="2">
        <v>13</v>
      </c>
      <c r="B7865" t="s" s="2">
        <f>HYPERLINK("http://ts.21cn.com/tousu/show/id/1363941","合肥拍拍贷恐吓催收")</f>
      </c>
      <c r="C7865" t="s" s="2">
        <v>15</v>
      </c>
      <c r="D7865" t="s" s="2">
        <v>16</v>
      </c>
      <c r="E7865" t="s" s="2">
        <v>17</v>
      </c>
      <c r="F7865" t="s" s="2">
        <f>HYPERLINK("http://ts.21cn.com/tousu/show/id/1363941","http://ts.21cn.com/tousu/show/id/1363941")</f>
      </c>
      <c r="G7865" t="s" s="2">
        <v>17</v>
      </c>
      <c r="H7865" t="s" s="2">
        <v>19</v>
      </c>
      <c r="I7865" t="s" s="2">
        <v>30379</v>
      </c>
      <c r="J7865" t="s" s="2">
        <v>30380</v>
      </c>
      <c r="K7865" t="s" s="2">
        <v>22</v>
      </c>
      <c r="L7865" t="s" s="2">
        <v>22</v>
      </c>
      <c r="M7865" t="s" s="2">
        <v>22</v>
      </c>
    </row>
    <row r="7866" ht="25.0" customHeight="true">
      <c r="A7866" t="s" s="2">
        <v>13</v>
      </c>
      <c r="B7866" t="s" s="2">
        <f>HYPERLINK("http://ts.21cn.com/tousu/show/id/1363940","利息过高无力还款请求协商")</f>
      </c>
      <c r="C7866" t="s" s="2">
        <v>52</v>
      </c>
      <c r="D7866" t="s" s="2">
        <v>16</v>
      </c>
      <c r="E7866" t="s" s="2">
        <v>17</v>
      </c>
      <c r="F7866" t="s" s="2">
        <f>HYPERLINK("http://ts.21cn.com/tousu/show/id/1363940","http://ts.21cn.com/tousu/show/id/1363940")</f>
      </c>
      <c r="G7866" t="s" s="2">
        <v>17</v>
      </c>
      <c r="H7866" t="s" s="2">
        <v>19</v>
      </c>
      <c r="I7866" t="s" s="2">
        <v>30383</v>
      </c>
      <c r="J7866" t="s" s="2">
        <v>30384</v>
      </c>
      <c r="K7866" t="s" s="2">
        <v>22</v>
      </c>
      <c r="L7866" t="s" s="2">
        <v>22</v>
      </c>
      <c r="M7866" t="s" s="2">
        <v>22</v>
      </c>
    </row>
    <row r="7867" ht="25.0" customHeight="true">
      <c r="A7867" t="s" s="2">
        <v>13</v>
      </c>
      <c r="B7867" t="s" s="2">
        <f>HYPERLINK("http://ts.21cn.com/tousu/show/id/1363938","玖富万卡客服相互推诿，不给解决问题，导致我逾期被上征信")</f>
      </c>
      <c r="C7867" t="s" s="2">
        <v>15</v>
      </c>
      <c r="D7867" t="s" s="2">
        <v>16</v>
      </c>
      <c r="E7867" t="s" s="2">
        <v>17</v>
      </c>
      <c r="F7867" t="s" s="2">
        <f>HYPERLINK("http://ts.21cn.com/tousu/show/id/1363938","http://ts.21cn.com/tousu/show/id/1363938")</f>
      </c>
      <c r="G7867" t="s" s="2">
        <v>17</v>
      </c>
      <c r="H7867" t="s" s="2">
        <v>19</v>
      </c>
      <c r="I7867" t="s" s="2">
        <v>30387</v>
      </c>
      <c r="J7867" t="s" s="2">
        <v>30388</v>
      </c>
      <c r="K7867" t="s" s="2">
        <v>22</v>
      </c>
      <c r="L7867" t="s" s="2">
        <v>22</v>
      </c>
      <c r="M7867" t="s" s="2">
        <v>22</v>
      </c>
    </row>
    <row r="7868" ht="25.0" customHeight="true">
      <c r="A7868" t="s" s="2">
        <v>13</v>
      </c>
      <c r="B7868" t="s" s="2">
        <f>HYPERLINK("http://ts.21cn.com/tousu/show/id/1363932","京东赠品不价保")</f>
      </c>
      <c r="C7868" t="s" s="2">
        <v>15</v>
      </c>
      <c r="D7868" t="s" s="2">
        <v>16</v>
      </c>
      <c r="E7868" t="s" s="2">
        <v>17</v>
      </c>
      <c r="F7868" t="s" s="2">
        <f>HYPERLINK("http://ts.21cn.com/tousu/show/id/1363932","http://ts.21cn.com/tousu/show/id/1363932")</f>
      </c>
      <c r="G7868" t="s" s="2">
        <v>17</v>
      </c>
      <c r="H7868" t="s" s="2">
        <v>19</v>
      </c>
      <c r="I7868" t="s" s="2">
        <v>30391</v>
      </c>
      <c r="J7868" t="s" s="2">
        <v>30392</v>
      </c>
      <c r="K7868" t="s" s="2">
        <v>22</v>
      </c>
      <c r="L7868" t="s" s="2">
        <v>22</v>
      </c>
      <c r="M7868" t="s" s="2">
        <v>22</v>
      </c>
    </row>
    <row r="7869" ht="25.0" customHeight="true">
      <c r="A7869" t="s" s="2">
        <v>13</v>
      </c>
      <c r="B7869" t="s" s="2">
        <f>HYPERLINK("http://ts.21cn.com/tousu/show/id/1363930","马蜂窝拒绝退酒店费用")</f>
      </c>
      <c r="C7869" t="s" s="2">
        <v>15</v>
      </c>
      <c r="D7869" t="s" s="2">
        <v>16</v>
      </c>
      <c r="E7869" t="s" s="2">
        <v>17</v>
      </c>
      <c r="F7869" t="s" s="2">
        <f>HYPERLINK("http://ts.21cn.com/tousu/show/id/1363930","http://ts.21cn.com/tousu/show/id/1363930")</f>
      </c>
      <c r="G7869" t="s" s="2">
        <v>17</v>
      </c>
      <c r="H7869" t="s" s="2">
        <v>19</v>
      </c>
      <c r="I7869" t="s" s="2">
        <v>30395</v>
      </c>
      <c r="J7869" t="s" s="2">
        <v>30396</v>
      </c>
      <c r="K7869" t="s" s="2">
        <v>22</v>
      </c>
      <c r="L7869" t="s" s="2">
        <v>22</v>
      </c>
      <c r="M7869" t="s" s="2">
        <v>22</v>
      </c>
    </row>
    <row r="7870" ht="25.0" customHeight="true">
      <c r="A7870" t="s" s="2">
        <v>13</v>
      </c>
      <c r="B7870" t="s" s="2">
        <f>HYPERLINK("http://ts.21cn.com/tousu/show/id/1363927","已还款不销账还电话催收骚扰。")</f>
      </c>
      <c r="C7870" t="s" s="2">
        <v>15</v>
      </c>
      <c r="D7870" t="s" s="2">
        <v>16</v>
      </c>
      <c r="E7870" t="s" s="2">
        <v>17</v>
      </c>
      <c r="F7870" t="s" s="2">
        <f>HYPERLINK("http://ts.21cn.com/tousu/show/id/1363927","http://ts.21cn.com/tousu/show/id/1363927")</f>
      </c>
      <c r="G7870" t="s" s="2">
        <v>17</v>
      </c>
      <c r="H7870" t="s" s="2">
        <v>19</v>
      </c>
      <c r="I7870" t="s" s="2">
        <v>30399</v>
      </c>
      <c r="J7870" t="s" s="2">
        <v>30400</v>
      </c>
      <c r="K7870" t="s" s="2">
        <v>22</v>
      </c>
      <c r="L7870" t="s" s="2">
        <v>22</v>
      </c>
      <c r="M7870" t="s" s="2">
        <v>22</v>
      </c>
    </row>
    <row r="7871" ht="25.0" customHeight="true">
      <c r="A7871" t="s" s="2">
        <v>13</v>
      </c>
      <c r="B7871" t="s" s="2">
        <f>HYPERLINK("http://ts.21cn.com/tousu/show/id/1363921","捷信金融消费贷款公司高利贷")</f>
      </c>
      <c r="C7871" t="s" s="2">
        <v>15</v>
      </c>
      <c r="D7871" t="s" s="2">
        <v>16</v>
      </c>
      <c r="E7871" t="s" s="2">
        <v>17</v>
      </c>
      <c r="F7871" t="s" s="2">
        <f>HYPERLINK("http://ts.21cn.com/tousu/show/id/1363921","http://ts.21cn.com/tousu/show/id/1363921")</f>
      </c>
      <c r="G7871" t="s" s="2">
        <v>17</v>
      </c>
      <c r="H7871" t="s" s="2">
        <v>19</v>
      </c>
      <c r="I7871" t="s" s="2">
        <v>30403</v>
      </c>
      <c r="J7871" t="s" s="2">
        <v>30404</v>
      </c>
      <c r="K7871" t="s" s="2">
        <v>22</v>
      </c>
      <c r="L7871" t="s" s="2">
        <v>22</v>
      </c>
      <c r="M7871" t="s" s="2">
        <v>22</v>
      </c>
    </row>
    <row r="7872" ht="25.0" customHeight="true">
      <c r="A7872" t="s" s="2">
        <v>13</v>
      </c>
      <c r="B7872" t="s" s="2">
        <f>HYPERLINK("http://ts.21cn.com/tousu/show/id/1363919","钱橙无忧自己扣掉钱没有任何提示")</f>
      </c>
      <c r="C7872" t="s" s="2">
        <v>15</v>
      </c>
      <c r="D7872" t="s" s="2">
        <v>16</v>
      </c>
      <c r="E7872" t="s" s="2">
        <v>17</v>
      </c>
      <c r="F7872" t="s" s="2">
        <f>HYPERLINK("http://ts.21cn.com/tousu/show/id/1363919","http://ts.21cn.com/tousu/show/id/1363919")</f>
      </c>
      <c r="G7872" t="s" s="2">
        <v>17</v>
      </c>
      <c r="H7872" t="s" s="2">
        <v>19</v>
      </c>
      <c r="I7872" t="s" s="2">
        <v>30407</v>
      </c>
      <c r="J7872" t="s" s="2">
        <v>30408</v>
      </c>
      <c r="K7872" t="s" s="2">
        <v>22</v>
      </c>
      <c r="L7872" t="s" s="2">
        <v>22</v>
      </c>
      <c r="M7872" t="s" s="2">
        <v>22</v>
      </c>
    </row>
    <row r="7873" ht="25.0" customHeight="true">
      <c r="A7873" t="s" s="2">
        <v>13</v>
      </c>
      <c r="B7873" t="s" s="2">
        <f>HYPERLINK("http://ts.21cn.com/tousu/show/id/1363916","万达旗下快钱快易花乱上征信")</f>
      </c>
      <c r="C7873" t="s" s="2">
        <v>15</v>
      </c>
      <c r="D7873" t="s" s="2">
        <v>16</v>
      </c>
      <c r="E7873" t="s" s="2">
        <v>17</v>
      </c>
      <c r="F7873" t="s" s="2">
        <f>HYPERLINK("http://ts.21cn.com/tousu/show/id/1363916","http://ts.21cn.com/tousu/show/id/1363916")</f>
      </c>
      <c r="G7873" t="s" s="2">
        <v>17</v>
      </c>
      <c r="H7873" t="s" s="2">
        <v>19</v>
      </c>
      <c r="I7873" t="s" s="2">
        <v>30411</v>
      </c>
      <c r="J7873" t="s" s="2">
        <v>30412</v>
      </c>
      <c r="K7873" t="s" s="2">
        <v>22</v>
      </c>
      <c r="L7873" t="s" s="2">
        <v>22</v>
      </c>
      <c r="M7873" t="s" s="2">
        <v>22</v>
      </c>
    </row>
    <row r="7874" ht="25.0" customHeight="true">
      <c r="A7874" t="s" s="2">
        <v>13</v>
      </c>
      <c r="B7874" t="s" s="2">
        <f>HYPERLINK("http://ts.21cn.com/tousu/show/id/1363882","招联金融借款人还款")</f>
      </c>
      <c r="C7874" t="s" s="2">
        <v>52</v>
      </c>
      <c r="D7874" t="s" s="2">
        <v>16</v>
      </c>
      <c r="E7874" t="s" s="2">
        <v>17</v>
      </c>
      <c r="F7874" t="s" s="2">
        <f>HYPERLINK("http://ts.21cn.com/tousu/show/id/1363882","http://ts.21cn.com/tousu/show/id/1363882")</f>
      </c>
      <c r="G7874" t="s" s="2">
        <v>17</v>
      </c>
      <c r="H7874" t="s" s="2">
        <v>19</v>
      </c>
      <c r="I7874" t="s" s="2">
        <v>30415</v>
      </c>
      <c r="J7874" t="s" s="2">
        <v>30416</v>
      </c>
      <c r="K7874" t="s" s="2">
        <v>22</v>
      </c>
      <c r="L7874" t="s" s="2">
        <v>22</v>
      </c>
      <c r="M7874" t="s" s="2">
        <v>22</v>
      </c>
    </row>
    <row r="7875" ht="25.0" customHeight="true">
      <c r="A7875" t="s" s="2">
        <v>13</v>
      </c>
      <c r="B7875" t="s" s="2">
        <f>HYPERLINK("http://ts.21cn.com/tousu/show/id/1363910","高利贷，强迫交易，高额逾期费")</f>
      </c>
      <c r="C7875" t="s" s="2">
        <v>15</v>
      </c>
      <c r="D7875" t="s" s="2">
        <v>16</v>
      </c>
      <c r="E7875" t="s" s="2">
        <v>17</v>
      </c>
      <c r="F7875" t="s" s="2">
        <f>HYPERLINK("http://ts.21cn.com/tousu/show/id/1363910","http://ts.21cn.com/tousu/show/id/1363910")</f>
      </c>
      <c r="G7875" t="s" s="2">
        <v>17</v>
      </c>
      <c r="H7875" t="s" s="2">
        <v>19</v>
      </c>
      <c r="I7875" t="s" s="2">
        <v>30419</v>
      </c>
      <c r="J7875" t="s" s="2">
        <v>30420</v>
      </c>
      <c r="K7875" t="s" s="2">
        <v>22</v>
      </c>
      <c r="L7875" t="s" s="2">
        <v>22</v>
      </c>
      <c r="M7875" t="s" s="2">
        <v>22</v>
      </c>
    </row>
    <row r="7876" ht="25.0" customHeight="true">
      <c r="A7876" t="s" s="2">
        <v>13</v>
      </c>
      <c r="B7876" t="s" s="2">
        <f>HYPERLINK("http://ts.21cn.com/tousu/show/id/1363909","给予照顾、调整利率")</f>
      </c>
      <c r="C7876" t="s" s="2">
        <v>15</v>
      </c>
      <c r="D7876" t="s" s="2">
        <v>16</v>
      </c>
      <c r="E7876" t="s" s="2">
        <v>17</v>
      </c>
      <c r="F7876" t="s" s="2">
        <f>HYPERLINK("http://ts.21cn.com/tousu/show/id/1363909","http://ts.21cn.com/tousu/show/id/1363909")</f>
      </c>
      <c r="G7876" t="s" s="2">
        <v>17</v>
      </c>
      <c r="H7876" t="s" s="2">
        <v>19</v>
      </c>
      <c r="I7876" t="s" s="2">
        <v>30423</v>
      </c>
      <c r="J7876" t="s" s="2">
        <v>30424</v>
      </c>
      <c r="K7876" t="s" s="2">
        <v>22</v>
      </c>
      <c r="L7876" t="s" s="2">
        <v>22</v>
      </c>
      <c r="M7876" t="s" s="2">
        <v>22</v>
      </c>
    </row>
    <row r="7877" ht="25.0" customHeight="true">
      <c r="A7877" t="s" s="2">
        <v>13</v>
      </c>
      <c r="B7877" t="s" s="2">
        <f>HYPERLINK("http://ts.21cn.com/tousu/show/id/1363908","拿小孩做文章，威胁还款")</f>
      </c>
      <c r="C7877" t="s" s="2">
        <v>15</v>
      </c>
      <c r="D7877" t="s" s="2">
        <v>16</v>
      </c>
      <c r="E7877" t="s" s="2">
        <v>17</v>
      </c>
      <c r="F7877" t="s" s="2">
        <f>HYPERLINK("http://ts.21cn.com/tousu/show/id/1363908","http://ts.21cn.com/tousu/show/id/1363908")</f>
      </c>
      <c r="G7877" t="s" s="2">
        <v>17</v>
      </c>
      <c r="H7877" t="s" s="2">
        <v>19</v>
      </c>
      <c r="I7877" t="s" s="2">
        <v>30427</v>
      </c>
      <c r="J7877" t="s" s="2">
        <v>30428</v>
      </c>
      <c r="K7877" t="s" s="2">
        <v>22</v>
      </c>
      <c r="L7877" t="s" s="2">
        <v>22</v>
      </c>
      <c r="M7877" t="s" s="2">
        <v>22</v>
      </c>
    </row>
    <row r="7878" ht="25.0" customHeight="true">
      <c r="A7878" t="s" s="2">
        <v>13</v>
      </c>
      <c r="B7878" t="s" s="2">
        <f>HYPERLINK("http://ts.21cn.com/tousu/show/id/1363897","即有分期没给我结清证明")</f>
      </c>
      <c r="C7878" t="s" s="2">
        <v>52</v>
      </c>
      <c r="D7878" t="s" s="2">
        <v>16</v>
      </c>
      <c r="E7878" t="s" s="2">
        <v>17</v>
      </c>
      <c r="F7878" t="s" s="2">
        <f>HYPERLINK("http://ts.21cn.com/tousu/show/id/1363897","http://ts.21cn.com/tousu/show/id/1363897")</f>
      </c>
      <c r="G7878" t="s" s="2">
        <v>17</v>
      </c>
      <c r="H7878" t="s" s="2">
        <v>19</v>
      </c>
      <c r="I7878" t="s" s="2">
        <v>30431</v>
      </c>
      <c r="J7878" t="s" s="2">
        <v>30432</v>
      </c>
      <c r="K7878" t="s" s="2">
        <v>22</v>
      </c>
      <c r="L7878" t="s" s="2">
        <v>22</v>
      </c>
      <c r="M7878" t="s" s="2">
        <v>22</v>
      </c>
    </row>
    <row r="7879" ht="25.0" customHeight="true">
      <c r="A7879" t="s" s="2">
        <v>13</v>
      </c>
      <c r="B7879" t="s" s="2">
        <f>HYPERLINK("http://ts.21cn.com/tousu/show/id/1363896","骚扰家人")</f>
      </c>
      <c r="C7879" t="s" s="2">
        <v>52</v>
      </c>
      <c r="D7879" t="s" s="2">
        <v>16</v>
      </c>
      <c r="E7879" t="s" s="2">
        <v>17</v>
      </c>
      <c r="F7879" t="s" s="2">
        <f>HYPERLINK("http://ts.21cn.com/tousu/show/id/1363896","http://ts.21cn.com/tousu/show/id/1363896")</f>
      </c>
      <c r="G7879" t="s" s="2">
        <v>17</v>
      </c>
      <c r="H7879" t="s" s="2">
        <v>19</v>
      </c>
      <c r="I7879" t="s" s="2">
        <v>30434</v>
      </c>
      <c r="J7879" t="s" s="2">
        <v>30435</v>
      </c>
      <c r="K7879" t="s" s="2">
        <v>22</v>
      </c>
      <c r="L7879" t="s" s="2">
        <v>22</v>
      </c>
      <c r="M7879" t="s" s="2">
        <v>22</v>
      </c>
    </row>
    <row r="7880" ht="25.0" customHeight="true">
      <c r="A7880" t="s" s="2">
        <v>13</v>
      </c>
      <c r="B7880" t="s" s="2">
        <f>HYPERLINK("http://ts.21cn.com/tousu/show/id/1363893","众人帮悬赏主恶意不通过")</f>
      </c>
      <c r="C7880" t="s" s="2">
        <v>52</v>
      </c>
      <c r="D7880" t="s" s="2">
        <v>16</v>
      </c>
      <c r="E7880" t="s" s="2">
        <v>17</v>
      </c>
      <c r="F7880" t="s" s="2">
        <f>HYPERLINK("http://ts.21cn.com/tousu/show/id/1363893","http://ts.21cn.com/tousu/show/id/1363893")</f>
      </c>
      <c r="G7880" t="s" s="2">
        <v>17</v>
      </c>
      <c r="H7880" t="s" s="2">
        <v>19</v>
      </c>
      <c r="I7880" t="s" s="2">
        <v>30438</v>
      </c>
      <c r="J7880" t="s" s="2">
        <v>30439</v>
      </c>
      <c r="K7880" t="s" s="2">
        <v>22</v>
      </c>
      <c r="L7880" t="s" s="2">
        <v>22</v>
      </c>
      <c r="M7880" t="s" s="2">
        <v>22</v>
      </c>
    </row>
    <row r="7881" ht="25.0" customHeight="true">
      <c r="A7881" t="s" s="2">
        <v>13</v>
      </c>
      <c r="B7881" t="s" s="2">
        <f>HYPERLINK("http://ts.21cn.com/tousu/show/id/1363888","立借钱置宝高利贷")</f>
      </c>
      <c r="C7881" t="s" s="2">
        <v>15</v>
      </c>
      <c r="D7881" t="s" s="2">
        <v>16</v>
      </c>
      <c r="E7881" t="s" s="2">
        <v>17</v>
      </c>
      <c r="F7881" t="s" s="2">
        <f>HYPERLINK("http://ts.21cn.com/tousu/show/id/1363888","http://ts.21cn.com/tousu/show/id/1363888")</f>
      </c>
      <c r="G7881" t="s" s="2">
        <v>17</v>
      </c>
      <c r="H7881" t="s" s="2">
        <v>19</v>
      </c>
      <c r="I7881" t="s" s="2">
        <v>30441</v>
      </c>
      <c r="J7881" t="s" s="2">
        <v>30442</v>
      </c>
      <c r="K7881" t="s" s="2">
        <v>22</v>
      </c>
      <c r="L7881" t="s" s="2">
        <v>22</v>
      </c>
      <c r="M7881" t="s" s="2">
        <v>22</v>
      </c>
    </row>
    <row r="7882" ht="25.0" customHeight="true">
      <c r="A7882" t="s" s="2">
        <v>13</v>
      </c>
      <c r="B7882" t="s" s="2">
        <f>HYPERLINK("http://ts.21cn.com/tousu/show/id/1363886","速金服超高利息坑人")</f>
      </c>
      <c r="C7882" t="s" s="2">
        <v>15</v>
      </c>
      <c r="D7882" t="s" s="2">
        <v>16</v>
      </c>
      <c r="E7882" t="s" s="2">
        <v>17</v>
      </c>
      <c r="F7882" t="s" s="2">
        <f>HYPERLINK("http://ts.21cn.com/tousu/show/id/1363886","http://ts.21cn.com/tousu/show/id/1363886")</f>
      </c>
      <c r="G7882" t="s" s="2">
        <v>17</v>
      </c>
      <c r="H7882" t="s" s="2">
        <v>19</v>
      </c>
      <c r="I7882" t="s" s="2">
        <v>30445</v>
      </c>
      <c r="J7882" t="s" s="2">
        <v>30446</v>
      </c>
      <c r="K7882" t="s" s="2">
        <v>22</v>
      </c>
      <c r="L7882" t="s" s="2">
        <v>22</v>
      </c>
      <c r="M7882" t="s" s="2">
        <v>22</v>
      </c>
    </row>
    <row r="7883" ht="25.0" customHeight="true">
      <c r="A7883" t="s" s="2">
        <v>13</v>
      </c>
      <c r="B7883" t="s" s="2">
        <f>HYPERLINK("http://ts.21cn.com/tousu/show/id/1363885","到件不派送")</f>
      </c>
      <c r="C7883" t="s" s="2">
        <v>15</v>
      </c>
      <c r="D7883" t="s" s="2">
        <v>16</v>
      </c>
      <c r="E7883" t="s" s="2">
        <v>17</v>
      </c>
      <c r="F7883" t="s" s="2">
        <f>HYPERLINK("http://ts.21cn.com/tousu/show/id/1363885","http://ts.21cn.com/tousu/show/id/1363885")</f>
      </c>
      <c r="G7883" t="s" s="2">
        <v>17</v>
      </c>
      <c r="H7883" t="s" s="2">
        <v>19</v>
      </c>
      <c r="I7883" t="s" s="2">
        <v>30449</v>
      </c>
      <c r="J7883" t="s" s="2">
        <v>30450</v>
      </c>
      <c r="K7883" t="s" s="2">
        <v>22</v>
      </c>
      <c r="L7883" t="s" s="2">
        <v>22</v>
      </c>
      <c r="M7883" t="s" s="2">
        <v>22</v>
      </c>
    </row>
    <row r="7884" ht="25.0" customHeight="true">
      <c r="A7884" t="s" s="2">
        <v>13</v>
      </c>
      <c r="B7884" t="s" s="2">
        <f>HYPERLINK("http://ts.21cn.com/tousu/show/id/1363877","拼多多不让我提现货款")</f>
      </c>
      <c r="C7884" t="s" s="2">
        <v>15</v>
      </c>
      <c r="D7884" t="s" s="2">
        <v>16</v>
      </c>
      <c r="E7884" t="s" s="2">
        <v>17</v>
      </c>
      <c r="F7884" t="s" s="2">
        <f>HYPERLINK("http://ts.21cn.com/tousu/show/id/1363877","http://ts.21cn.com/tousu/show/id/1363877")</f>
      </c>
      <c r="G7884" t="s" s="2">
        <v>17</v>
      </c>
      <c r="H7884" t="s" s="2">
        <v>19</v>
      </c>
      <c r="I7884" t="s" s="2">
        <v>30453</v>
      </c>
      <c r="J7884" t="s" s="2">
        <v>30454</v>
      </c>
      <c r="K7884" t="s" s="2">
        <v>22</v>
      </c>
      <c r="L7884" t="s" s="2">
        <v>22</v>
      </c>
      <c r="M7884" t="s" s="2">
        <v>22</v>
      </c>
    </row>
    <row r="7885" ht="25.0" customHeight="true">
      <c r="A7885" t="s" s="2">
        <v>13</v>
      </c>
      <c r="B7885" t="s" s="2">
        <f>HYPERLINK("http://ts.21cn.com/tousu/show/id/1363875","胡乱添加我好友微信，发信息恐吓")</f>
      </c>
      <c r="C7885" t="s" s="2">
        <v>15</v>
      </c>
      <c r="D7885" t="s" s="2">
        <v>16</v>
      </c>
      <c r="E7885" t="s" s="2">
        <v>17</v>
      </c>
      <c r="F7885" t="s" s="2">
        <f>HYPERLINK("http://ts.21cn.com/tousu/show/id/1363875","http://ts.21cn.com/tousu/show/id/1363875")</f>
      </c>
      <c r="G7885" t="s" s="2">
        <v>17</v>
      </c>
      <c r="H7885" t="s" s="2">
        <v>19</v>
      </c>
      <c r="I7885" t="s" s="2">
        <v>30457</v>
      </c>
      <c r="J7885" t="s" s="2">
        <v>30458</v>
      </c>
      <c r="K7885" t="s" s="2">
        <v>22</v>
      </c>
      <c r="L7885" t="s" s="2">
        <v>22</v>
      </c>
      <c r="M7885" t="s" s="2">
        <v>22</v>
      </c>
    </row>
    <row r="7886" ht="25.0" customHeight="true">
      <c r="A7886" t="s" s="2">
        <v>13</v>
      </c>
      <c r="B7886" t="s" s="2">
        <f>HYPERLINK("http://ts.21cn.com/tousu/show/id/1363867","移动店员态度恶劣，胡乱收费")</f>
      </c>
      <c r="C7886" t="s" s="2">
        <v>15</v>
      </c>
      <c r="D7886" t="s" s="2">
        <v>16</v>
      </c>
      <c r="E7886" t="s" s="2">
        <v>17</v>
      </c>
      <c r="F7886" t="s" s="2">
        <f>HYPERLINK("http://ts.21cn.com/tousu/show/id/1363867","http://ts.21cn.com/tousu/show/id/1363867")</f>
      </c>
      <c r="G7886" t="s" s="2">
        <v>17</v>
      </c>
      <c r="H7886" t="s" s="2">
        <v>19</v>
      </c>
      <c r="I7886" t="s" s="2">
        <v>30461</v>
      </c>
      <c r="J7886" t="s" s="2">
        <v>30462</v>
      </c>
      <c r="K7886" t="s" s="2">
        <v>22</v>
      </c>
      <c r="L7886" t="s" s="2">
        <v>22</v>
      </c>
      <c r="M7886" t="s" s="2">
        <v>22</v>
      </c>
    </row>
    <row r="7887" ht="25.0" customHeight="true">
      <c r="A7887" t="s" s="2">
        <v>13</v>
      </c>
      <c r="B7887" t="s" s="2">
        <f>HYPERLINK("http://ts.21cn.com/tousu/show/id/1363866","恒易昌催收短信轰炸")</f>
      </c>
      <c r="C7887" t="s" s="2">
        <v>15</v>
      </c>
      <c r="D7887" t="s" s="2">
        <v>16</v>
      </c>
      <c r="E7887" t="s" s="2">
        <v>17</v>
      </c>
      <c r="F7887" t="s" s="2">
        <f>HYPERLINK("http://ts.21cn.com/tousu/show/id/1363866","http://ts.21cn.com/tousu/show/id/1363866")</f>
      </c>
      <c r="G7887" t="s" s="2">
        <v>17</v>
      </c>
      <c r="H7887" t="s" s="2">
        <v>19</v>
      </c>
      <c r="I7887" t="s" s="2">
        <v>30465</v>
      </c>
      <c r="J7887" t="s" s="2">
        <v>30466</v>
      </c>
      <c r="K7887" t="s" s="2">
        <v>22</v>
      </c>
      <c r="L7887" t="s" s="2">
        <v>22</v>
      </c>
      <c r="M7887" t="s" s="2">
        <v>22</v>
      </c>
    </row>
    <row r="7888" ht="25.0" customHeight="true">
      <c r="A7888" t="s" s="2">
        <v>13</v>
      </c>
      <c r="B7888" t="s" s="2">
        <f>HYPERLINK("http://ts.21cn.com/tousu/show/id/1363864","淘宝店铺被他人违法使用导致永久封禁")</f>
      </c>
      <c r="C7888" t="s" s="2">
        <v>15</v>
      </c>
      <c r="D7888" t="s" s="2">
        <v>16</v>
      </c>
      <c r="E7888" t="s" s="2">
        <v>17</v>
      </c>
      <c r="F7888" t="s" s="2">
        <f>HYPERLINK("http://ts.21cn.com/tousu/show/id/1363864","http://ts.21cn.com/tousu/show/id/1363864")</f>
      </c>
      <c r="G7888" t="s" s="2">
        <v>17</v>
      </c>
      <c r="H7888" t="s" s="2">
        <v>19</v>
      </c>
      <c r="I7888" t="s" s="2">
        <v>30469</v>
      </c>
      <c r="J7888" t="s" s="2">
        <v>30470</v>
      </c>
      <c r="K7888" t="s" s="2">
        <v>22</v>
      </c>
      <c r="L7888" t="s" s="2">
        <v>22</v>
      </c>
      <c r="M7888" t="s" s="2">
        <v>22</v>
      </c>
    </row>
    <row r="7889" ht="25.0" customHeight="true">
      <c r="A7889" t="s" s="2">
        <v>13</v>
      </c>
      <c r="B7889" t="s" s="2">
        <f>HYPERLINK("http://ts.21cn.com/tousu/show/id/1363863","豹子贷无故扣钱不需要还要扣")</f>
      </c>
      <c r="C7889" t="s" s="2">
        <v>15</v>
      </c>
      <c r="D7889" t="s" s="2">
        <v>16</v>
      </c>
      <c r="E7889" t="s" s="2">
        <v>17</v>
      </c>
      <c r="F7889" t="s" s="2">
        <f>HYPERLINK("http://ts.21cn.com/tousu/show/id/1363863","http://ts.21cn.com/tousu/show/id/1363863")</f>
      </c>
      <c r="G7889" t="s" s="2">
        <v>17</v>
      </c>
      <c r="H7889" t="s" s="2">
        <v>19</v>
      </c>
      <c r="I7889" t="s" s="2">
        <v>30472</v>
      </c>
      <c r="J7889" t="s" s="2">
        <v>30473</v>
      </c>
      <c r="K7889" t="s" s="2">
        <v>22</v>
      </c>
      <c r="L7889" t="s" s="2">
        <v>22</v>
      </c>
      <c r="M7889" t="s" s="2">
        <v>22</v>
      </c>
    </row>
    <row r="7890" ht="25.0" customHeight="true">
      <c r="A7890" t="s" s="2">
        <v>13</v>
      </c>
      <c r="B7890" t="s" s="2">
        <f>HYPERLINK("http://ts.21cn.com/tousu/show/id/1363860","及贷泄露隐私恐吓")</f>
      </c>
      <c r="C7890" t="s" s="2">
        <v>15</v>
      </c>
      <c r="D7890" t="s" s="2">
        <v>16</v>
      </c>
      <c r="E7890" t="s" s="2">
        <v>17</v>
      </c>
      <c r="F7890" t="s" s="2">
        <f>HYPERLINK("http://ts.21cn.com/tousu/show/id/1363860","http://ts.21cn.com/tousu/show/id/1363860")</f>
      </c>
      <c r="G7890" t="s" s="2">
        <v>17</v>
      </c>
      <c r="H7890" t="s" s="2">
        <v>19</v>
      </c>
      <c r="I7890" t="s" s="2">
        <v>30476</v>
      </c>
      <c r="J7890" t="s" s="2">
        <v>30477</v>
      </c>
      <c r="K7890" t="s" s="2">
        <v>22</v>
      </c>
      <c r="L7890" t="s" s="2">
        <v>22</v>
      </c>
      <c r="M7890" t="s" s="2">
        <v>22</v>
      </c>
    </row>
    <row r="7891" ht="25.0" customHeight="true">
      <c r="A7891" t="s" s="2">
        <v>13</v>
      </c>
      <c r="B7891" t="s" s="2">
        <f>HYPERLINK("http://ts.21cn.com/tousu/show/id/1363855","在平台租手机乱扣款")</f>
      </c>
      <c r="C7891" t="s" s="2">
        <v>15</v>
      </c>
      <c r="D7891" t="s" s="2">
        <v>16</v>
      </c>
      <c r="E7891" t="s" s="2">
        <v>17</v>
      </c>
      <c r="F7891" t="s" s="2">
        <f>HYPERLINK("http://ts.21cn.com/tousu/show/id/1363855","http://ts.21cn.com/tousu/show/id/1363855")</f>
      </c>
      <c r="G7891" t="s" s="2">
        <v>17</v>
      </c>
      <c r="H7891" t="s" s="2">
        <v>19</v>
      </c>
      <c r="I7891" t="s" s="2">
        <v>30480</v>
      </c>
      <c r="J7891" t="s" s="2">
        <v>30481</v>
      </c>
      <c r="K7891" t="s" s="2">
        <v>22</v>
      </c>
      <c r="L7891" t="s" s="2">
        <v>22</v>
      </c>
      <c r="M7891" t="s" s="2">
        <v>22</v>
      </c>
    </row>
    <row r="7892" ht="25.0" customHeight="true">
      <c r="A7892" t="s" s="2">
        <v>13</v>
      </c>
      <c r="B7892" t="s" s="2">
        <f>HYPERLINK("http://ts.21cn.com/tousu/show/id/1363853","贷上钱暴力催收，态度嚣张恶劣")</f>
      </c>
      <c r="C7892" t="s" s="2">
        <v>15</v>
      </c>
      <c r="D7892" t="s" s="2">
        <v>16</v>
      </c>
      <c r="E7892" t="s" s="2">
        <v>17</v>
      </c>
      <c r="F7892" t="s" s="2">
        <f>HYPERLINK("http://ts.21cn.com/tousu/show/id/1363853","http://ts.21cn.com/tousu/show/id/1363853")</f>
      </c>
      <c r="G7892" t="s" s="2">
        <v>17</v>
      </c>
      <c r="H7892" t="s" s="2">
        <v>19</v>
      </c>
      <c r="I7892" t="s" s="2">
        <v>30484</v>
      </c>
      <c r="J7892" t="s" s="2">
        <v>30485</v>
      </c>
      <c r="K7892" t="s" s="2">
        <v>22</v>
      </c>
      <c r="L7892" t="s" s="2">
        <v>22</v>
      </c>
      <c r="M7892" t="s" s="2">
        <v>22</v>
      </c>
    </row>
    <row r="7893" ht="25.0" customHeight="true">
      <c r="A7893" t="s" s="2">
        <v>13</v>
      </c>
      <c r="B7893" t="s" s="2">
        <f>HYPERLINK("http://ts.21cn.com/tousu/show/id/1363852","蜂窝钱包砍头息")</f>
      </c>
      <c r="C7893" t="s" s="2">
        <v>15</v>
      </c>
      <c r="D7893" t="s" s="2">
        <v>16</v>
      </c>
      <c r="E7893" t="s" s="2">
        <v>17</v>
      </c>
      <c r="F7893" t="s" s="2">
        <f>HYPERLINK("http://ts.21cn.com/tousu/show/id/1363852","http://ts.21cn.com/tousu/show/id/1363852")</f>
      </c>
      <c r="G7893" t="s" s="2">
        <v>17</v>
      </c>
      <c r="H7893" t="s" s="2">
        <v>19</v>
      </c>
      <c r="I7893" t="s" s="2">
        <v>30488</v>
      </c>
      <c r="J7893" t="s" s="2">
        <v>30489</v>
      </c>
      <c r="K7893" t="s" s="2">
        <v>22</v>
      </c>
      <c r="L7893" t="s" s="2">
        <v>22</v>
      </c>
      <c r="M7893" t="s" s="2">
        <v>22</v>
      </c>
    </row>
    <row r="7894" ht="25.0" customHeight="true">
      <c r="A7894" t="s" s="2">
        <v>13</v>
      </c>
      <c r="B7894" t="s" s="2">
        <f>HYPERLINK("http://ts.21cn.com/tousu/show/id/1363844","升学教育机构不退款")</f>
      </c>
      <c r="C7894" t="s" s="2">
        <v>15</v>
      </c>
      <c r="D7894" t="s" s="2">
        <v>16</v>
      </c>
      <c r="E7894" t="s" s="2">
        <v>17</v>
      </c>
      <c r="F7894" t="s" s="2">
        <f>HYPERLINK("http://ts.21cn.com/tousu/show/id/1363844","http://ts.21cn.com/tousu/show/id/1363844")</f>
      </c>
      <c r="G7894" t="s" s="2">
        <v>17</v>
      </c>
      <c r="H7894" t="s" s="2">
        <v>19</v>
      </c>
      <c r="I7894" t="s" s="2">
        <v>30491</v>
      </c>
      <c r="J7894" t="s" s="2">
        <v>30492</v>
      </c>
      <c r="K7894" t="s" s="2">
        <v>22</v>
      </c>
      <c r="L7894" t="s" s="2">
        <v>22</v>
      </c>
      <c r="M7894" t="s" s="2">
        <v>22</v>
      </c>
    </row>
    <row r="7895" ht="25.0" customHeight="true">
      <c r="A7895" t="s" s="2">
        <v>13</v>
      </c>
      <c r="B7895" t="s" s="2">
        <f>HYPERLINK("http://ts.21cn.com/tousu/show/id/1363842","广发银行催收")</f>
      </c>
      <c r="C7895" t="s" s="2">
        <v>15</v>
      </c>
      <c r="D7895" t="s" s="2">
        <v>16</v>
      </c>
      <c r="E7895" t="s" s="2">
        <v>17</v>
      </c>
      <c r="F7895" t="s" s="2">
        <f>HYPERLINK("http://ts.21cn.com/tousu/show/id/1363842","http://ts.21cn.com/tousu/show/id/1363842")</f>
      </c>
      <c r="G7895" t="s" s="2">
        <v>17</v>
      </c>
      <c r="H7895" t="s" s="2">
        <v>19</v>
      </c>
      <c r="I7895" t="s" s="2">
        <v>30495</v>
      </c>
      <c r="J7895" t="s" s="2">
        <v>30496</v>
      </c>
      <c r="K7895" t="s" s="2">
        <v>22</v>
      </c>
      <c r="L7895" t="s" s="2">
        <v>22</v>
      </c>
      <c r="M7895" t="s" s="2">
        <v>22</v>
      </c>
    </row>
    <row r="7896" ht="25.0" customHeight="true">
      <c r="A7896" t="s" s="2">
        <v>13</v>
      </c>
      <c r="B7896" t="s" s="2">
        <f>HYPERLINK("http://ts.21cn.com/tousu/show/id/1363841","资金冻结")</f>
      </c>
      <c r="C7896" t="s" s="2">
        <v>15</v>
      </c>
      <c r="D7896" t="s" s="2">
        <v>16</v>
      </c>
      <c r="E7896" t="s" s="2">
        <v>17</v>
      </c>
      <c r="F7896" t="s" s="2">
        <f>HYPERLINK("http://ts.21cn.com/tousu/show/id/1363841","http://ts.21cn.com/tousu/show/id/1363841")</f>
      </c>
      <c r="G7896" t="s" s="2">
        <v>17</v>
      </c>
      <c r="H7896" t="s" s="2">
        <v>19</v>
      </c>
      <c r="I7896" t="s" s="2">
        <v>30498</v>
      </c>
      <c r="J7896" t="s" s="2">
        <v>30499</v>
      </c>
      <c r="K7896" t="s" s="2">
        <v>22</v>
      </c>
      <c r="L7896" t="s" s="2">
        <v>22</v>
      </c>
      <c r="M7896" t="s" s="2">
        <v>22</v>
      </c>
    </row>
    <row r="7897" ht="25.0" customHeight="true">
      <c r="A7897" t="s" s="2">
        <v>13</v>
      </c>
      <c r="B7897" t="s" s="2">
        <f>HYPERLINK("http://ts.21cn.com/tousu/show/id/1363839","富友支付违规扣款，违规为714高炮提供支付通道")</f>
      </c>
      <c r="C7897" t="s" s="2">
        <v>15</v>
      </c>
      <c r="D7897" t="s" s="2">
        <v>16</v>
      </c>
      <c r="E7897" t="s" s="2">
        <v>17</v>
      </c>
      <c r="F7897" t="s" s="2">
        <f>HYPERLINK("http://ts.21cn.com/tousu/show/id/1363839","http://ts.21cn.com/tousu/show/id/1363839")</f>
      </c>
      <c r="G7897" t="s" s="2">
        <v>17</v>
      </c>
      <c r="H7897" t="s" s="2">
        <v>19</v>
      </c>
      <c r="I7897" t="s" s="2">
        <v>30502</v>
      </c>
      <c r="J7897" t="s" s="2">
        <v>30503</v>
      </c>
      <c r="K7897" t="s" s="2">
        <v>22</v>
      </c>
      <c r="L7897" t="s" s="2">
        <v>22</v>
      </c>
      <c r="M7897" t="s" s="2">
        <v>22</v>
      </c>
    </row>
    <row r="7898" ht="25.0" customHeight="true">
      <c r="A7898" t="s" s="2">
        <v>13</v>
      </c>
      <c r="B7898" t="s" s="2">
        <f>HYPERLINK("http://ts.21cn.com/tousu/show/id/1363833","华夏银行无故骚扰家人")</f>
      </c>
      <c r="C7898" t="s" s="2">
        <v>15</v>
      </c>
      <c r="D7898" t="s" s="2">
        <v>16</v>
      </c>
      <c r="E7898" t="s" s="2">
        <v>17</v>
      </c>
      <c r="F7898" t="s" s="2">
        <f>HYPERLINK("http://ts.21cn.com/tousu/show/id/1363833","http://ts.21cn.com/tousu/show/id/1363833")</f>
      </c>
      <c r="G7898" t="s" s="2">
        <v>17</v>
      </c>
      <c r="H7898" t="s" s="2">
        <v>19</v>
      </c>
      <c r="I7898" t="s" s="2">
        <v>30506</v>
      </c>
      <c r="J7898" t="s" s="2">
        <v>30507</v>
      </c>
      <c r="K7898" t="s" s="2">
        <v>22</v>
      </c>
      <c r="L7898" t="s" s="2">
        <v>22</v>
      </c>
      <c r="M7898" t="s" s="2">
        <v>22</v>
      </c>
    </row>
    <row r="7899" ht="25.0" customHeight="true">
      <c r="A7899" t="s" s="2">
        <v>13</v>
      </c>
      <c r="B7899" t="s" s="2">
        <f>HYPERLINK("http://ts.21cn.com/tousu/show/id/1363831","宣传不符，收钱不干事，还不退钱")</f>
      </c>
      <c r="C7899" t="s" s="2">
        <v>15</v>
      </c>
      <c r="D7899" t="s" s="2">
        <v>16</v>
      </c>
      <c r="E7899" t="s" s="2">
        <v>17</v>
      </c>
      <c r="F7899" t="s" s="2">
        <f>HYPERLINK("http://ts.21cn.com/tousu/show/id/1363831","http://ts.21cn.com/tousu/show/id/1363831")</f>
      </c>
      <c r="G7899" t="s" s="2">
        <v>17</v>
      </c>
      <c r="H7899" t="s" s="2">
        <v>19</v>
      </c>
      <c r="I7899" t="s" s="2">
        <v>30510</v>
      </c>
      <c r="J7899" t="s" s="2">
        <v>30511</v>
      </c>
      <c r="K7899" t="s" s="2">
        <v>22</v>
      </c>
      <c r="L7899" t="s" s="2">
        <v>22</v>
      </c>
      <c r="M7899" t="s" s="2">
        <v>22</v>
      </c>
    </row>
    <row r="7900" ht="25.0" customHeight="true">
      <c r="A7900" t="s" s="2">
        <v>13</v>
      </c>
      <c r="B7900" t="s" s="2">
        <f>HYPERLINK("http://ts.21cn.com/tousu/show/id/1363830","高利贷，阴阳合同，砍头息")</f>
      </c>
      <c r="C7900" t="s" s="2">
        <v>15</v>
      </c>
      <c r="D7900" t="s" s="2">
        <v>16</v>
      </c>
      <c r="E7900" t="s" s="2">
        <v>17</v>
      </c>
      <c r="F7900" t="s" s="2">
        <f>HYPERLINK("http://ts.21cn.com/tousu/show/id/1363830","http://ts.21cn.com/tousu/show/id/1363830")</f>
      </c>
      <c r="G7900" t="s" s="2">
        <v>17</v>
      </c>
      <c r="H7900" t="s" s="2">
        <v>19</v>
      </c>
      <c r="I7900" t="s" s="2">
        <v>30514</v>
      </c>
      <c r="J7900" t="s" s="2">
        <v>30515</v>
      </c>
      <c r="K7900" t="s" s="2">
        <v>22</v>
      </c>
      <c r="L7900" t="s" s="2">
        <v>22</v>
      </c>
      <c r="M7900" t="s" s="2">
        <v>22</v>
      </c>
    </row>
    <row r="7901" ht="25.0" customHeight="true">
      <c r="A7901" t="s" s="2">
        <v>13</v>
      </c>
      <c r="B7901" t="s" s="2">
        <f>HYPERLINK("http://ts.21cn.com/tousu/show/id/1363828","不予协商")</f>
      </c>
      <c r="C7901" t="s" s="2">
        <v>15</v>
      </c>
      <c r="D7901" t="s" s="2">
        <v>16</v>
      </c>
      <c r="E7901" t="s" s="2">
        <v>17</v>
      </c>
      <c r="F7901" t="s" s="2">
        <f>HYPERLINK("http://ts.21cn.com/tousu/show/id/1363828","http://ts.21cn.com/tousu/show/id/1363828")</f>
      </c>
      <c r="G7901" t="s" s="2">
        <v>17</v>
      </c>
      <c r="H7901" t="s" s="2">
        <v>19</v>
      </c>
      <c r="I7901" t="s" s="2">
        <v>30518</v>
      </c>
      <c r="J7901" t="s" s="2">
        <v>30519</v>
      </c>
      <c r="K7901" t="s" s="2">
        <v>22</v>
      </c>
      <c r="L7901" t="s" s="2">
        <v>22</v>
      </c>
      <c r="M7901" t="s" s="2">
        <v>22</v>
      </c>
    </row>
    <row r="7902" ht="25.0" customHeight="true">
      <c r="A7902" t="s" s="2">
        <v>13</v>
      </c>
      <c r="B7902" t="s" s="2">
        <f>HYPERLINK("http://ts.21cn.com/tousu/show/id/1363822","贷款利息高，抵押金不许退回")</f>
      </c>
      <c r="C7902" t="s" s="2">
        <v>15</v>
      </c>
      <c r="D7902" t="s" s="2">
        <v>16</v>
      </c>
      <c r="E7902" t="s" s="2">
        <v>17</v>
      </c>
      <c r="F7902" t="s" s="2">
        <f>HYPERLINK("http://ts.21cn.com/tousu/show/id/1363822","http://ts.21cn.com/tousu/show/id/1363822")</f>
      </c>
      <c r="G7902" t="s" s="2">
        <v>17</v>
      </c>
      <c r="H7902" t="s" s="2">
        <v>19</v>
      </c>
      <c r="I7902" t="s" s="2">
        <v>30522</v>
      </c>
      <c r="J7902" t="s" s="2">
        <v>30523</v>
      </c>
      <c r="K7902" t="s" s="2">
        <v>22</v>
      </c>
      <c r="L7902" t="s" s="2">
        <v>22</v>
      </c>
      <c r="M7902" t="s" s="2">
        <v>22</v>
      </c>
    </row>
    <row r="7903" ht="25.0" customHeight="true">
      <c r="A7903" t="s" s="2">
        <v>13</v>
      </c>
      <c r="B7903" t="s" s="2">
        <f>HYPERLINK("http://ts.21cn.com/tousu/show/id/1363821","小象优品违规手续费，不提供合同协议")</f>
      </c>
      <c r="C7903" t="s" s="2">
        <v>15</v>
      </c>
      <c r="D7903" t="s" s="2">
        <v>16</v>
      </c>
      <c r="E7903" t="s" s="2">
        <v>17</v>
      </c>
      <c r="F7903" t="s" s="2">
        <f>HYPERLINK("http://ts.21cn.com/tousu/show/id/1363821","http://ts.21cn.com/tousu/show/id/1363821")</f>
      </c>
      <c r="G7903" t="s" s="2">
        <v>17</v>
      </c>
      <c r="H7903" t="s" s="2">
        <v>19</v>
      </c>
      <c r="I7903" t="s" s="2">
        <v>30526</v>
      </c>
      <c r="J7903" t="s" s="2">
        <v>30527</v>
      </c>
      <c r="K7903" t="s" s="2">
        <v>22</v>
      </c>
      <c r="L7903" t="s" s="2">
        <v>22</v>
      </c>
      <c r="M7903" t="s" s="2">
        <v>22</v>
      </c>
    </row>
    <row r="7904" ht="25.0" customHeight="true">
      <c r="A7904" t="s" s="2">
        <v>13</v>
      </c>
      <c r="B7904" t="s" s="2">
        <f>HYPERLINK("http://ts.21cn.com/tousu/show/id/1363820","小赢卡贷向在校大学生贷款侵犯个人隐私")</f>
      </c>
      <c r="C7904" t="s" s="2">
        <v>15</v>
      </c>
      <c r="D7904" t="s" s="2">
        <v>16</v>
      </c>
      <c r="E7904" t="s" s="2">
        <v>17</v>
      </c>
      <c r="F7904" t="s" s="2">
        <f>HYPERLINK("http://ts.21cn.com/tousu/show/id/1363820","http://ts.21cn.com/tousu/show/id/1363820")</f>
      </c>
      <c r="G7904" t="s" s="2">
        <v>17</v>
      </c>
      <c r="H7904" t="s" s="2">
        <v>19</v>
      </c>
      <c r="I7904" t="s" s="2">
        <v>30530</v>
      </c>
      <c r="J7904" t="s" s="2">
        <v>30531</v>
      </c>
      <c r="K7904" t="s" s="2">
        <v>22</v>
      </c>
      <c r="L7904" t="s" s="2">
        <v>22</v>
      </c>
      <c r="M7904" t="s" s="2">
        <v>22</v>
      </c>
    </row>
    <row r="7905" ht="25.0" customHeight="true">
      <c r="A7905" t="s" s="2">
        <v>13</v>
      </c>
      <c r="B7905" t="s" s="2">
        <f>HYPERLINK("http://ts.21cn.com/tousu/show/id/1363817","贷款公司骚扰")</f>
      </c>
      <c r="C7905" t="s" s="2">
        <v>15</v>
      </c>
      <c r="D7905" t="s" s="2">
        <v>16</v>
      </c>
      <c r="E7905" t="s" s="2">
        <v>17</v>
      </c>
      <c r="F7905" t="s" s="2">
        <f>HYPERLINK("http://ts.21cn.com/tousu/show/id/1363817","http://ts.21cn.com/tousu/show/id/1363817")</f>
      </c>
      <c r="G7905" t="s" s="2">
        <v>17</v>
      </c>
      <c r="H7905" t="s" s="2">
        <v>19</v>
      </c>
      <c r="I7905" t="s" s="2">
        <v>30534</v>
      </c>
      <c r="J7905" t="s" s="2">
        <v>30535</v>
      </c>
      <c r="K7905" t="s" s="2">
        <v>22</v>
      </c>
      <c r="L7905" t="s" s="2">
        <v>22</v>
      </c>
      <c r="M7905" t="s" s="2">
        <v>22</v>
      </c>
    </row>
    <row r="7906" ht="25.0" customHeight="true">
      <c r="A7906" t="s" s="2">
        <v>13</v>
      </c>
      <c r="B7906" t="s" s="2">
        <f>HYPERLINK("http://ts.21cn.com/tousu/show/id/1363809","阿里巴巴商家欺诈")</f>
      </c>
      <c r="C7906" t="s" s="2">
        <v>15</v>
      </c>
      <c r="D7906" t="s" s="2">
        <v>16</v>
      </c>
      <c r="E7906" t="s" s="2">
        <v>17</v>
      </c>
      <c r="F7906" t="s" s="2">
        <f>HYPERLINK("http://ts.21cn.com/tousu/show/id/1363809","http://ts.21cn.com/tousu/show/id/1363809")</f>
      </c>
      <c r="G7906" t="s" s="2">
        <v>17</v>
      </c>
      <c r="H7906" t="s" s="2">
        <v>19</v>
      </c>
      <c r="I7906" t="s" s="2">
        <v>30538</v>
      </c>
      <c r="J7906" t="s" s="2">
        <v>30539</v>
      </c>
      <c r="K7906" t="s" s="2">
        <v>22</v>
      </c>
      <c r="L7906" t="s" s="2">
        <v>22</v>
      </c>
      <c r="M7906" t="s" s="2">
        <v>22</v>
      </c>
    </row>
    <row r="7907" ht="25.0" customHeight="true">
      <c r="A7907" t="s" s="2">
        <v>13</v>
      </c>
      <c r="B7907" t="s" s="2">
        <f>HYPERLINK("http://ts.21cn.com/tousu/show/id/1363806","未借款说我有借款催收打电话恐吓")</f>
      </c>
      <c r="C7907" t="s" s="2">
        <v>15</v>
      </c>
      <c r="D7907" t="s" s="2">
        <v>16</v>
      </c>
      <c r="E7907" t="s" s="2">
        <v>17</v>
      </c>
      <c r="F7907" t="s" s="2">
        <f>HYPERLINK("http://ts.21cn.com/tousu/show/id/1363806","http://ts.21cn.com/tousu/show/id/1363806")</f>
      </c>
      <c r="G7907" t="s" s="2">
        <v>17</v>
      </c>
      <c r="H7907" t="s" s="2">
        <v>19</v>
      </c>
      <c r="I7907" t="s" s="2">
        <v>30542</v>
      </c>
      <c r="J7907" t="s" s="2">
        <v>30543</v>
      </c>
      <c r="K7907" t="s" s="2">
        <v>22</v>
      </c>
      <c r="L7907" t="s" s="2">
        <v>22</v>
      </c>
      <c r="M7907" t="s" s="2">
        <v>22</v>
      </c>
    </row>
    <row r="7908" ht="25.0" customHeight="true">
      <c r="A7908" t="s" s="2">
        <v>13</v>
      </c>
      <c r="B7908" t="s" s="2">
        <f>HYPERLINK("http://ts.21cn.com/tousu/show/id/1363489","优信二手车退车无门")</f>
      </c>
      <c r="C7908" t="s" s="2">
        <v>15</v>
      </c>
      <c r="D7908" t="s" s="2">
        <v>16</v>
      </c>
      <c r="E7908" t="s" s="2">
        <v>17</v>
      </c>
      <c r="F7908" t="s" s="2">
        <f>HYPERLINK("http://ts.21cn.com/tousu/show/id/1363489","http://ts.21cn.com/tousu/show/id/1363489")</f>
      </c>
      <c r="G7908" t="s" s="2">
        <v>17</v>
      </c>
      <c r="H7908" t="s" s="2">
        <v>19</v>
      </c>
      <c r="I7908" t="s" s="2">
        <v>30546</v>
      </c>
      <c r="J7908" t="s" s="2">
        <v>30547</v>
      </c>
      <c r="K7908" t="s" s="2">
        <v>22</v>
      </c>
      <c r="L7908" t="s" s="2">
        <v>22</v>
      </c>
      <c r="M7908" t="s" s="2">
        <v>22</v>
      </c>
    </row>
    <row r="7909" ht="25.0" customHeight="true">
      <c r="A7909" t="s" s="2">
        <v>13</v>
      </c>
      <c r="B7909" t="s" s="2">
        <f>HYPERLINK("http://ts.21cn.com/tousu/show/id/1363800","高利贷，罚息超过年利率24%")</f>
      </c>
      <c r="C7909" t="s" s="2">
        <v>15</v>
      </c>
      <c r="D7909" t="s" s="2">
        <v>16</v>
      </c>
      <c r="E7909" t="s" s="2">
        <v>17</v>
      </c>
      <c r="F7909" t="s" s="2">
        <f>HYPERLINK("http://ts.21cn.com/tousu/show/id/1363800","http://ts.21cn.com/tousu/show/id/1363800")</f>
      </c>
      <c r="G7909" t="s" s="2">
        <v>17</v>
      </c>
      <c r="H7909" t="s" s="2">
        <v>19</v>
      </c>
      <c r="I7909" t="s" s="2">
        <v>30550</v>
      </c>
      <c r="J7909" t="s" s="2">
        <v>30551</v>
      </c>
      <c r="K7909" t="s" s="2">
        <v>22</v>
      </c>
      <c r="L7909" t="s" s="2">
        <v>22</v>
      </c>
      <c r="M7909" t="s" s="2">
        <v>22</v>
      </c>
    </row>
    <row r="7910" ht="25.0" customHeight="true">
      <c r="A7910" t="s" s="2">
        <v>13</v>
      </c>
      <c r="B7910" t="s" s="2">
        <f>HYPERLINK("http://ts.21cn.com/tousu/show/id/1363798","拼多多提供网络赌博充值")</f>
      </c>
      <c r="C7910" t="s" s="2">
        <v>15</v>
      </c>
      <c r="D7910" t="s" s="2">
        <v>16</v>
      </c>
      <c r="E7910" t="s" s="2">
        <v>17</v>
      </c>
      <c r="F7910" t="s" s="2">
        <f>HYPERLINK("http://ts.21cn.com/tousu/show/id/1363798","http://ts.21cn.com/tousu/show/id/1363798")</f>
      </c>
      <c r="G7910" t="s" s="2">
        <v>17</v>
      </c>
      <c r="H7910" t="s" s="2">
        <v>19</v>
      </c>
      <c r="I7910" t="s" s="2">
        <v>30554</v>
      </c>
      <c r="J7910" t="s" s="2">
        <v>30555</v>
      </c>
      <c r="K7910" t="s" s="2">
        <v>22</v>
      </c>
      <c r="L7910" t="s" s="2">
        <v>22</v>
      </c>
      <c r="M7910" t="s" s="2">
        <v>22</v>
      </c>
    </row>
    <row r="7911" ht="25.0" customHeight="true">
      <c r="A7911" t="s" s="2">
        <v>13</v>
      </c>
      <c r="B7911" t="s" s="2">
        <f>HYPERLINK("http://ts.21cn.com/tousu/show/id/1363794","高额利息服务费")</f>
      </c>
      <c r="C7911" t="s" s="2">
        <v>15</v>
      </c>
      <c r="D7911" t="s" s="2">
        <v>16</v>
      </c>
      <c r="E7911" t="s" s="2">
        <v>17</v>
      </c>
      <c r="F7911" t="s" s="2">
        <f>HYPERLINK("http://ts.21cn.com/tousu/show/id/1363794","http://ts.21cn.com/tousu/show/id/1363794")</f>
      </c>
      <c r="G7911" t="s" s="2">
        <v>17</v>
      </c>
      <c r="H7911" t="s" s="2">
        <v>19</v>
      </c>
      <c r="I7911" t="s" s="2">
        <v>30558</v>
      </c>
      <c r="J7911" t="s" s="2">
        <v>30559</v>
      </c>
      <c r="K7911" t="s" s="2">
        <v>22</v>
      </c>
      <c r="L7911" t="s" s="2">
        <v>22</v>
      </c>
      <c r="M7911" t="s" s="2">
        <v>22</v>
      </c>
    </row>
    <row r="7912" ht="25.0" customHeight="true">
      <c r="A7912" t="s" s="2">
        <v>13</v>
      </c>
      <c r="B7912" t="s" s="2">
        <f>HYPERLINK("http://ts.21cn.com/tousu/show/id/1363789","中信银行暴力催收")</f>
      </c>
      <c r="C7912" t="s" s="2">
        <v>15</v>
      </c>
      <c r="D7912" t="s" s="2">
        <v>16</v>
      </c>
      <c r="E7912" t="s" s="2">
        <v>17</v>
      </c>
      <c r="F7912" t="s" s="2">
        <f>HYPERLINK("http://ts.21cn.com/tousu/show/id/1363789","http://ts.21cn.com/tousu/show/id/1363789")</f>
      </c>
      <c r="G7912" t="s" s="2">
        <v>17</v>
      </c>
      <c r="H7912" t="s" s="2">
        <v>19</v>
      </c>
      <c r="I7912" t="s" s="2">
        <v>30561</v>
      </c>
      <c r="J7912" t="s" s="2">
        <v>30562</v>
      </c>
      <c r="K7912" t="s" s="2">
        <v>22</v>
      </c>
      <c r="L7912" t="s" s="2">
        <v>22</v>
      </c>
      <c r="M7912" t="s" s="2">
        <v>22</v>
      </c>
    </row>
    <row r="7913" ht="25.0" customHeight="true">
      <c r="A7913" t="s" s="2">
        <v>13</v>
      </c>
      <c r="B7913" t="s" s="2">
        <f>HYPERLINK("http://ts.21cn.com/tousu/show/id/1363787","高利贷，暴力催收")</f>
      </c>
      <c r="C7913" t="s" s="2">
        <v>15</v>
      </c>
      <c r="D7913" t="s" s="2">
        <v>16</v>
      </c>
      <c r="E7913" t="s" s="2">
        <v>17</v>
      </c>
      <c r="F7913" t="s" s="2">
        <f>HYPERLINK("http://ts.21cn.com/tousu/show/id/1363787","http://ts.21cn.com/tousu/show/id/1363787")</f>
      </c>
      <c r="G7913" t="s" s="2">
        <v>17</v>
      </c>
      <c r="H7913" t="s" s="2">
        <v>19</v>
      </c>
      <c r="I7913" t="s" s="2">
        <v>30564</v>
      </c>
      <c r="J7913" t="s" s="2">
        <v>30565</v>
      </c>
      <c r="K7913" t="s" s="2">
        <v>22</v>
      </c>
      <c r="L7913" t="s" s="2">
        <v>22</v>
      </c>
      <c r="M7913" t="s" s="2">
        <v>22</v>
      </c>
    </row>
    <row r="7914" ht="25.0" customHeight="true">
      <c r="A7914" t="s" s="2">
        <v>13</v>
      </c>
      <c r="B7914" t="s" s="2">
        <f>HYPERLINK("http://ts.21cn.com/tousu/show/id/1363786","钱站威胁催收")</f>
      </c>
      <c r="C7914" t="s" s="2">
        <v>15</v>
      </c>
      <c r="D7914" t="s" s="2">
        <v>16</v>
      </c>
      <c r="E7914" t="s" s="2">
        <v>17</v>
      </c>
      <c r="F7914" t="s" s="2">
        <f>HYPERLINK("http://ts.21cn.com/tousu/show/id/1363786","http://ts.21cn.com/tousu/show/id/1363786")</f>
      </c>
      <c r="G7914" t="s" s="2">
        <v>17</v>
      </c>
      <c r="H7914" t="s" s="2">
        <v>19</v>
      </c>
      <c r="I7914" t="s" s="2">
        <v>30568</v>
      </c>
      <c r="J7914" t="s" s="2">
        <v>30569</v>
      </c>
      <c r="K7914" t="s" s="2">
        <v>22</v>
      </c>
      <c r="L7914" t="s" s="2">
        <v>22</v>
      </c>
      <c r="M7914" t="s" s="2">
        <v>22</v>
      </c>
    </row>
    <row r="7915" ht="25.0" customHeight="true">
      <c r="A7915" t="s" s="2">
        <v>13</v>
      </c>
      <c r="B7915" t="s" s="2">
        <f>HYPERLINK("http://ts.21cn.com/tousu/show/id/1363783","威胁")</f>
      </c>
      <c r="C7915" t="s" s="2">
        <v>15</v>
      </c>
      <c r="D7915" t="s" s="2">
        <v>16</v>
      </c>
      <c r="E7915" t="s" s="2">
        <v>17</v>
      </c>
      <c r="F7915" t="s" s="2">
        <f>HYPERLINK("http://ts.21cn.com/tousu/show/id/1363783","http://ts.21cn.com/tousu/show/id/1363783")</f>
      </c>
      <c r="G7915" t="s" s="2">
        <v>17</v>
      </c>
      <c r="H7915" t="s" s="2">
        <v>19</v>
      </c>
      <c r="I7915" t="s" s="2">
        <v>30571</v>
      </c>
      <c r="J7915" t="s" s="2">
        <v>30572</v>
      </c>
      <c r="K7915" t="s" s="2">
        <v>22</v>
      </c>
      <c r="L7915" t="s" s="2">
        <v>22</v>
      </c>
      <c r="M7915" t="s" s="2">
        <v>22</v>
      </c>
    </row>
    <row r="7916" ht="25.0" customHeight="true">
      <c r="A7916" t="s" s="2">
        <v>13</v>
      </c>
      <c r="B7916" t="s" s="2">
        <f>HYPERLINK("http://ts.21cn.com/tousu/show/id/1363778","你我贷骚扰电话")</f>
      </c>
      <c r="C7916" t="s" s="2">
        <v>15</v>
      </c>
      <c r="D7916" t="s" s="2">
        <v>16</v>
      </c>
      <c r="E7916" t="s" s="2">
        <v>17</v>
      </c>
      <c r="F7916" t="s" s="2">
        <f>HYPERLINK("http://ts.21cn.com/tousu/show/id/1363778","http://ts.21cn.com/tousu/show/id/1363778")</f>
      </c>
      <c r="G7916" t="s" s="2">
        <v>17</v>
      </c>
      <c r="H7916" t="s" s="2">
        <v>19</v>
      </c>
      <c r="I7916" t="s" s="2">
        <v>30575</v>
      </c>
      <c r="J7916" t="s" s="2">
        <v>30576</v>
      </c>
      <c r="K7916" t="s" s="2">
        <v>22</v>
      </c>
      <c r="L7916" t="s" s="2">
        <v>22</v>
      </c>
      <c r="M7916" t="s" s="2">
        <v>22</v>
      </c>
    </row>
    <row r="7917" ht="25.0" customHeight="true">
      <c r="A7917" t="s" s="2">
        <v>13</v>
      </c>
      <c r="B7917" t="s" s="2">
        <f>HYPERLINK("http://ts.21cn.com/tousu/show/id/1363776","拍拍贷委托方骚扰")</f>
      </c>
      <c r="C7917" t="s" s="2">
        <v>15</v>
      </c>
      <c r="D7917" t="s" s="2">
        <v>16</v>
      </c>
      <c r="E7917" t="s" s="2">
        <v>17</v>
      </c>
      <c r="F7917" t="s" s="2">
        <f>HYPERLINK("http://ts.21cn.com/tousu/show/id/1363776","http://ts.21cn.com/tousu/show/id/1363776")</f>
      </c>
      <c r="G7917" t="s" s="2">
        <v>17</v>
      </c>
      <c r="H7917" t="s" s="2">
        <v>19</v>
      </c>
      <c r="I7917" t="s" s="2">
        <v>30579</v>
      </c>
      <c r="J7917" t="s" s="2">
        <v>30580</v>
      </c>
      <c r="K7917" t="s" s="2">
        <v>22</v>
      </c>
      <c r="L7917" t="s" s="2">
        <v>22</v>
      </c>
      <c r="M7917" t="s" s="2">
        <v>22</v>
      </c>
    </row>
    <row r="7918" ht="25.0" customHeight="true">
      <c r="A7918" t="s" s="2">
        <v>13</v>
      </c>
      <c r="B7918" t="s" s="2">
        <f>HYPERLINK("http://ts.21cn.com/tousu/show/id/1363775","目无法律的高利贷")</f>
      </c>
      <c r="C7918" t="s" s="2">
        <v>15</v>
      </c>
      <c r="D7918" t="s" s="2">
        <v>16</v>
      </c>
      <c r="E7918" t="s" s="2">
        <v>17</v>
      </c>
      <c r="F7918" t="s" s="2">
        <f>HYPERLINK("http://ts.21cn.com/tousu/show/id/1363775","http://ts.21cn.com/tousu/show/id/1363775")</f>
      </c>
      <c r="G7918" t="s" s="2">
        <v>17</v>
      </c>
      <c r="H7918" t="s" s="2">
        <v>19</v>
      </c>
      <c r="I7918" t="s" s="2">
        <v>30583</v>
      </c>
      <c r="J7918" t="s" s="2">
        <v>30584</v>
      </c>
      <c r="K7918" t="s" s="2">
        <v>22</v>
      </c>
      <c r="L7918" t="s" s="2">
        <v>22</v>
      </c>
      <c r="M7918" t="s" s="2">
        <v>22</v>
      </c>
    </row>
    <row r="7919" ht="25.0" customHeight="true">
      <c r="A7919" t="s" s="2">
        <v>13</v>
      </c>
      <c r="B7919" t="s" s="2">
        <f>HYPERLINK("http://ts.21cn.com/tousu/show/id/1363772","光大银行授权第三方催收威胁家里人，把我们村的电话打过一遍，严重影响生活")</f>
      </c>
      <c r="C7919" t="s" s="2">
        <v>15</v>
      </c>
      <c r="D7919" t="s" s="2">
        <v>16</v>
      </c>
      <c r="E7919" t="s" s="2">
        <v>17</v>
      </c>
      <c r="F7919" t="s" s="2">
        <f>HYPERLINK("http://ts.21cn.com/tousu/show/id/1363772","http://ts.21cn.com/tousu/show/id/1363772")</f>
      </c>
      <c r="G7919" t="s" s="2">
        <v>17</v>
      </c>
      <c r="H7919" t="s" s="2">
        <v>19</v>
      </c>
      <c r="I7919" t="s" s="2">
        <v>30587</v>
      </c>
      <c r="J7919" t="s" s="2">
        <v>30588</v>
      </c>
      <c r="K7919" t="s" s="2">
        <v>22</v>
      </c>
      <c r="L7919" t="s" s="2">
        <v>22</v>
      </c>
      <c r="M7919" t="s" s="2">
        <v>22</v>
      </c>
    </row>
    <row r="7920" ht="25.0" customHeight="true">
      <c r="A7920" t="s" s="2">
        <v>13</v>
      </c>
      <c r="B7920" t="s" s="2">
        <f>HYPERLINK("http://ts.21cn.com/tousu/show/id/1363767","交通银行催收人员威胁恐吓")</f>
      </c>
      <c r="C7920" t="s" s="2">
        <v>15</v>
      </c>
      <c r="D7920" t="s" s="2">
        <v>16</v>
      </c>
      <c r="E7920" t="s" s="2">
        <v>17</v>
      </c>
      <c r="F7920" t="s" s="2">
        <f>HYPERLINK("http://ts.21cn.com/tousu/show/id/1363767","http://ts.21cn.com/tousu/show/id/1363767")</f>
      </c>
      <c r="G7920" t="s" s="2">
        <v>17</v>
      </c>
      <c r="H7920" t="s" s="2">
        <v>19</v>
      </c>
      <c r="I7920" t="s" s="2">
        <v>30591</v>
      </c>
      <c r="J7920" t="s" s="2">
        <v>30592</v>
      </c>
      <c r="K7920" t="s" s="2">
        <v>22</v>
      </c>
      <c r="L7920" t="s" s="2">
        <v>22</v>
      </c>
      <c r="M7920" t="s" s="2">
        <v>22</v>
      </c>
    </row>
    <row r="7921" ht="25.0" customHeight="true">
      <c r="A7921" t="s" s="2">
        <v>13</v>
      </c>
      <c r="B7921" t="s" s="2">
        <f>HYPERLINK("http://ts.21cn.com/tousu/show/id/1363765","招商银行信用卡协商全额还款，希望减免滞纳金逾期费用和利息")</f>
      </c>
      <c r="C7921" t="s" s="2">
        <v>15</v>
      </c>
      <c r="D7921" t="s" s="2">
        <v>16</v>
      </c>
      <c r="E7921" t="s" s="2">
        <v>17</v>
      </c>
      <c r="F7921" t="s" s="2">
        <f>HYPERLINK("http://ts.21cn.com/tousu/show/id/1363765","http://ts.21cn.com/tousu/show/id/1363765")</f>
      </c>
      <c r="G7921" t="s" s="2">
        <v>17</v>
      </c>
      <c r="H7921" t="s" s="2">
        <v>19</v>
      </c>
      <c r="I7921" t="s" s="2">
        <v>30595</v>
      </c>
      <c r="J7921" t="s" s="2">
        <v>30596</v>
      </c>
      <c r="K7921" t="s" s="2">
        <v>22</v>
      </c>
      <c r="L7921" t="s" s="2">
        <v>22</v>
      </c>
      <c r="M7921" t="s" s="2">
        <v>22</v>
      </c>
    </row>
    <row r="7922" ht="25.0" customHeight="true">
      <c r="A7922" t="s" s="2">
        <v>13</v>
      </c>
      <c r="B7922" t="s" s="2">
        <f>HYPERLINK("http://ts.21cn.com/tousu/show/id/1363764","钱站阴阳合同收取高额利息")</f>
      </c>
      <c r="C7922" t="s" s="2">
        <v>15</v>
      </c>
      <c r="D7922" t="s" s="2">
        <v>16</v>
      </c>
      <c r="E7922" t="s" s="2">
        <v>17</v>
      </c>
      <c r="F7922" t="s" s="2">
        <f>HYPERLINK("http://ts.21cn.com/tousu/show/id/1363764","http://ts.21cn.com/tousu/show/id/1363764")</f>
      </c>
      <c r="G7922" t="s" s="2">
        <v>17</v>
      </c>
      <c r="H7922" t="s" s="2">
        <v>19</v>
      </c>
      <c r="I7922" t="s" s="2">
        <v>30599</v>
      </c>
      <c r="J7922" t="s" s="2">
        <v>30600</v>
      </c>
      <c r="K7922" t="s" s="2">
        <v>22</v>
      </c>
      <c r="L7922" t="s" s="2">
        <v>22</v>
      </c>
      <c r="M7922" t="s" s="2">
        <v>22</v>
      </c>
    </row>
    <row r="7923" ht="25.0" customHeight="true">
      <c r="A7923" t="s" s="2">
        <v>13</v>
      </c>
      <c r="B7923" t="s" s="2">
        <f>HYPERLINK("http://ts.21cn.com/tousu/show/id/1363761","借款不到账一个月后催还钱")</f>
      </c>
      <c r="C7923" t="s" s="2">
        <v>15</v>
      </c>
      <c r="D7923" t="s" s="2">
        <v>16</v>
      </c>
      <c r="E7923" t="s" s="2">
        <v>17</v>
      </c>
      <c r="F7923" t="s" s="2">
        <f>HYPERLINK("http://ts.21cn.com/tousu/show/id/1363761","http://ts.21cn.com/tousu/show/id/1363761")</f>
      </c>
      <c r="G7923" t="s" s="2">
        <v>17</v>
      </c>
      <c r="H7923" t="s" s="2">
        <v>19</v>
      </c>
      <c r="I7923" t="s" s="2">
        <v>30603</v>
      </c>
      <c r="J7923" t="s" s="2">
        <v>30604</v>
      </c>
      <c r="K7923" t="s" s="2">
        <v>22</v>
      </c>
      <c r="L7923" t="s" s="2">
        <v>22</v>
      </c>
      <c r="M7923" t="s" s="2">
        <v>22</v>
      </c>
    </row>
    <row r="7924" ht="25.0" customHeight="true">
      <c r="A7924" t="s" s="2">
        <v>13</v>
      </c>
      <c r="B7924" t="s" s="2">
        <f>HYPERLINK("http://ts.21cn.com/tousu/show/id/1363756","软暴力")</f>
      </c>
      <c r="C7924" t="s" s="2">
        <v>15</v>
      </c>
      <c r="D7924" t="s" s="2">
        <v>16</v>
      </c>
      <c r="E7924" t="s" s="2">
        <v>17</v>
      </c>
      <c r="F7924" t="s" s="2">
        <f>HYPERLINK("http://ts.21cn.com/tousu/show/id/1363756","http://ts.21cn.com/tousu/show/id/1363756")</f>
      </c>
      <c r="G7924" t="s" s="2">
        <v>17</v>
      </c>
      <c r="H7924" t="s" s="2">
        <v>19</v>
      </c>
      <c r="I7924" t="s" s="2">
        <v>30607</v>
      </c>
      <c r="J7924" t="s" s="2">
        <v>30608</v>
      </c>
      <c r="K7924" t="s" s="2">
        <v>22</v>
      </c>
      <c r="L7924" t="s" s="2">
        <v>22</v>
      </c>
      <c r="M7924" t="s" s="2">
        <v>22</v>
      </c>
    </row>
    <row r="7925" ht="25.0" customHeight="true">
      <c r="A7925" t="s" s="2">
        <v>13</v>
      </c>
      <c r="B7925" t="s" s="2">
        <f>HYPERLINK("http://ts.21cn.com/tousu/show/id/1363753","兴业银行信用卡暴力催收")</f>
      </c>
      <c r="C7925" t="s" s="2">
        <v>15</v>
      </c>
      <c r="D7925" t="s" s="2">
        <v>16</v>
      </c>
      <c r="E7925" t="s" s="2">
        <v>17</v>
      </c>
      <c r="F7925" t="s" s="2">
        <f>HYPERLINK("http://ts.21cn.com/tousu/show/id/1363753","http://ts.21cn.com/tousu/show/id/1363753")</f>
      </c>
      <c r="G7925" t="s" s="2">
        <v>17</v>
      </c>
      <c r="H7925" t="s" s="2">
        <v>19</v>
      </c>
      <c r="I7925" t="s" s="2">
        <v>30610</v>
      </c>
      <c r="J7925" t="s" s="2">
        <v>30611</v>
      </c>
      <c r="K7925" t="s" s="2">
        <v>22</v>
      </c>
      <c r="L7925" t="s" s="2">
        <v>22</v>
      </c>
      <c r="M7925" t="s" s="2">
        <v>22</v>
      </c>
    </row>
    <row r="7926" ht="25.0" customHeight="true">
      <c r="A7926" t="s" s="2">
        <v>13</v>
      </c>
      <c r="B7926" t="s" s="2">
        <f>HYPERLINK("http://ts.21cn.com/tousu/show/id/1363750","中原消费金融各种推脱责任，与合作平台狼狈为奸")</f>
      </c>
      <c r="C7926" t="s" s="2">
        <v>15</v>
      </c>
      <c r="D7926" t="s" s="2">
        <v>16</v>
      </c>
      <c r="E7926" t="s" s="2">
        <v>17</v>
      </c>
      <c r="F7926" t="s" s="2">
        <f>HYPERLINK("http://ts.21cn.com/tousu/show/id/1363750","http://ts.21cn.com/tousu/show/id/1363750")</f>
      </c>
      <c r="G7926" t="s" s="2">
        <v>17</v>
      </c>
      <c r="H7926" t="s" s="2">
        <v>19</v>
      </c>
      <c r="I7926" t="s" s="2">
        <v>30614</v>
      </c>
      <c r="J7926" t="s" s="2">
        <v>30615</v>
      </c>
      <c r="K7926" t="s" s="2">
        <v>22</v>
      </c>
      <c r="L7926" t="s" s="2">
        <v>22</v>
      </c>
      <c r="M7926" t="s" s="2">
        <v>22</v>
      </c>
    </row>
    <row r="7927" ht="25.0" customHeight="true">
      <c r="A7927" t="s" s="2">
        <v>13</v>
      </c>
      <c r="B7927" t="s" s="2">
        <f>HYPERLINK("http://ts.21cn.com/tousu/show/id/1363746","宝付支付与讯秒狼狈为奸，拒绝提供商户信息，导致讯秒主体公司注销无法追回违法利息，请宝付赔偿我损失")</f>
      </c>
      <c r="C7927" t="s" s="2">
        <v>15</v>
      </c>
      <c r="D7927" t="s" s="2">
        <v>16</v>
      </c>
      <c r="E7927" t="s" s="2">
        <v>17</v>
      </c>
      <c r="F7927" t="s" s="2">
        <f>HYPERLINK("http://ts.21cn.com/tousu/show/id/1363746","http://ts.21cn.com/tousu/show/id/1363746")</f>
      </c>
      <c r="G7927" t="s" s="2">
        <v>17</v>
      </c>
      <c r="H7927" t="s" s="2">
        <v>19</v>
      </c>
      <c r="I7927" t="s" s="2">
        <v>30618</v>
      </c>
      <c r="J7927" t="s" s="2">
        <v>30619</v>
      </c>
      <c r="K7927" t="s" s="2">
        <v>22</v>
      </c>
      <c r="L7927" t="s" s="2">
        <v>22</v>
      </c>
      <c r="M7927" t="s" s="2">
        <v>22</v>
      </c>
    </row>
    <row r="7928" ht="25.0" customHeight="true">
      <c r="A7928" t="s" s="2">
        <v>13</v>
      </c>
      <c r="B7928" t="s" s="2">
        <f>HYPERLINK("http://ts.21cn.com/tousu/show/id/1363743","暴力催收无法无天")</f>
      </c>
      <c r="C7928" t="s" s="2">
        <v>15</v>
      </c>
      <c r="D7928" t="s" s="2">
        <v>16</v>
      </c>
      <c r="E7928" t="s" s="2">
        <v>17</v>
      </c>
      <c r="F7928" t="s" s="2">
        <f>HYPERLINK("http://ts.21cn.com/tousu/show/id/1363743","http://ts.21cn.com/tousu/show/id/1363743")</f>
      </c>
      <c r="G7928" t="s" s="2">
        <v>17</v>
      </c>
      <c r="H7928" t="s" s="2">
        <v>19</v>
      </c>
      <c r="I7928" t="s" s="2">
        <v>30622</v>
      </c>
      <c r="J7928" t="s" s="2">
        <v>30623</v>
      </c>
      <c r="K7928" t="s" s="2">
        <v>22</v>
      </c>
      <c r="L7928" t="s" s="2">
        <v>22</v>
      </c>
      <c r="M7928" t="s" s="2">
        <v>22</v>
      </c>
    </row>
    <row r="7929" ht="25.0" customHeight="true">
      <c r="A7929" t="s" s="2">
        <v>13</v>
      </c>
      <c r="B7929" t="s" s="2">
        <f>HYPERLINK("http://ts.21cn.com/tousu/show/id/1363742","评估费249不退")</f>
      </c>
      <c r="C7929" t="s" s="2">
        <v>52</v>
      </c>
      <c r="D7929" t="s" s="2">
        <v>16</v>
      </c>
      <c r="E7929" t="s" s="2">
        <v>17</v>
      </c>
      <c r="F7929" t="s" s="2">
        <f>HYPERLINK("http://ts.21cn.com/tousu/show/id/1363742","http://ts.21cn.com/tousu/show/id/1363742")</f>
      </c>
      <c r="G7929" t="s" s="2">
        <v>17</v>
      </c>
      <c r="H7929" t="s" s="2">
        <v>19</v>
      </c>
      <c r="I7929" t="s" s="2">
        <v>30626</v>
      </c>
      <c r="J7929" t="s" s="2">
        <v>30627</v>
      </c>
      <c r="K7929" t="s" s="2">
        <v>22</v>
      </c>
      <c r="L7929" t="s" s="2">
        <v>22</v>
      </c>
      <c r="M7929" t="s" s="2">
        <v>22</v>
      </c>
    </row>
    <row r="7930" ht="25.0" customHeight="true">
      <c r="A7930" t="s" s="2">
        <v>13</v>
      </c>
      <c r="B7930" t="s" s="2">
        <f>HYPERLINK("http://ts.21cn.com/tousu/show/id/1363654","无缘无故被扣费")</f>
      </c>
      <c r="C7930" t="s" s="2">
        <v>15</v>
      </c>
      <c r="D7930" t="s" s="2">
        <v>16</v>
      </c>
      <c r="E7930" t="s" s="2">
        <v>17</v>
      </c>
      <c r="F7930" t="s" s="2">
        <f>HYPERLINK("http://ts.21cn.com/tousu/show/id/1363654","http://ts.21cn.com/tousu/show/id/1363654")</f>
      </c>
      <c r="G7930" t="s" s="2">
        <v>17</v>
      </c>
      <c r="H7930" t="s" s="2">
        <v>19</v>
      </c>
      <c r="I7930" t="s" s="2">
        <v>30630</v>
      </c>
      <c r="J7930" t="s" s="2">
        <v>30631</v>
      </c>
      <c r="K7930" t="s" s="2">
        <v>22</v>
      </c>
      <c r="L7930" t="s" s="2">
        <v>22</v>
      </c>
      <c r="M7930" t="s" s="2">
        <v>22</v>
      </c>
    </row>
    <row r="7931" ht="25.0" customHeight="true">
      <c r="A7931" t="s" s="2">
        <v>13</v>
      </c>
      <c r="B7931" t="s" s="2">
        <f>HYPERLINK("http://ts.21cn.com/tousu/show/id/1363734","本人未签收却显示已签收。")</f>
      </c>
      <c r="C7931" t="s" s="2">
        <v>52</v>
      </c>
      <c r="D7931" t="s" s="2">
        <v>16</v>
      </c>
      <c r="E7931" t="s" s="2">
        <v>17</v>
      </c>
      <c r="F7931" t="s" s="2">
        <f>HYPERLINK("http://ts.21cn.com/tousu/show/id/1363734","http://ts.21cn.com/tousu/show/id/1363734")</f>
      </c>
      <c r="G7931" t="s" s="2">
        <v>17</v>
      </c>
      <c r="H7931" t="s" s="2">
        <v>19</v>
      </c>
      <c r="I7931" t="s" s="2">
        <v>30634</v>
      </c>
      <c r="J7931" t="s" s="2">
        <v>30635</v>
      </c>
      <c r="K7931" t="s" s="2">
        <v>22</v>
      </c>
      <c r="L7931" t="s" s="2">
        <v>22</v>
      </c>
      <c r="M7931" t="s" s="2">
        <v>22</v>
      </c>
    </row>
    <row r="7932" ht="25.0" customHeight="true">
      <c r="A7932" t="s" s="2">
        <v>13</v>
      </c>
      <c r="B7932" t="s" s="2">
        <f>HYPERLINK("http://ts.21cn.com/tousu/show/id/1363732","360借条高利贷、霸王合同")</f>
      </c>
      <c r="C7932" t="s" s="2">
        <v>15</v>
      </c>
      <c r="D7932" t="s" s="2">
        <v>16</v>
      </c>
      <c r="E7932" t="s" s="2">
        <v>17</v>
      </c>
      <c r="F7932" t="s" s="2">
        <f>HYPERLINK("http://ts.21cn.com/tousu/show/id/1363732","http://ts.21cn.com/tousu/show/id/1363732")</f>
      </c>
      <c r="G7932" t="s" s="2">
        <v>17</v>
      </c>
      <c r="H7932" t="s" s="2">
        <v>19</v>
      </c>
      <c r="I7932" t="s" s="2">
        <v>30638</v>
      </c>
      <c r="J7932" t="s" s="2">
        <v>30639</v>
      </c>
      <c r="K7932" t="s" s="2">
        <v>22</v>
      </c>
      <c r="L7932" t="s" s="2">
        <v>22</v>
      </c>
      <c r="M7932" t="s" s="2">
        <v>22</v>
      </c>
    </row>
    <row r="7933" ht="25.0" customHeight="true">
      <c r="A7933" t="s" s="2">
        <v>13</v>
      </c>
      <c r="B7933" t="s" s="2">
        <f>HYPERLINK("http://ts.21cn.com/tousu/show/id/1363731","恐吓，骚扰")</f>
      </c>
      <c r="C7933" t="s" s="2">
        <v>15</v>
      </c>
      <c r="D7933" t="s" s="2">
        <v>16</v>
      </c>
      <c r="E7933" t="s" s="2">
        <v>17</v>
      </c>
      <c r="F7933" t="s" s="2">
        <f>HYPERLINK("http://ts.21cn.com/tousu/show/id/1363731","http://ts.21cn.com/tousu/show/id/1363731")</f>
      </c>
      <c r="G7933" t="s" s="2">
        <v>17</v>
      </c>
      <c r="H7933" t="s" s="2">
        <v>19</v>
      </c>
      <c r="I7933" t="s" s="2">
        <v>30642</v>
      </c>
      <c r="J7933" t="s" s="2">
        <v>30643</v>
      </c>
      <c r="K7933" t="s" s="2">
        <v>22</v>
      </c>
      <c r="L7933" t="s" s="2">
        <v>22</v>
      </c>
      <c r="M7933" t="s" s="2">
        <v>22</v>
      </c>
    </row>
    <row r="7934" ht="25.0" customHeight="true">
      <c r="A7934" t="s" s="2">
        <v>13</v>
      </c>
      <c r="B7934" t="s" s="2">
        <f>HYPERLINK("http://ts.21cn.com/tousu/show/id/1363729","立借12337中国打黑办投诉")</f>
      </c>
      <c r="C7934" t="s" s="2">
        <v>15</v>
      </c>
      <c r="D7934" t="s" s="2">
        <v>16</v>
      </c>
      <c r="E7934" t="s" s="2">
        <v>17</v>
      </c>
      <c r="F7934" t="s" s="2">
        <f>HYPERLINK("http://ts.21cn.com/tousu/show/id/1363729","http://ts.21cn.com/tousu/show/id/1363729")</f>
      </c>
      <c r="G7934" t="s" s="2">
        <v>17</v>
      </c>
      <c r="H7934" t="s" s="2">
        <v>19</v>
      </c>
      <c r="I7934" t="s" s="2">
        <v>30646</v>
      </c>
      <c r="J7934" t="s" s="2">
        <v>30647</v>
      </c>
      <c r="K7934" t="s" s="2">
        <v>22</v>
      </c>
      <c r="L7934" t="s" s="2">
        <v>22</v>
      </c>
      <c r="M7934" t="s" s="2">
        <v>22</v>
      </c>
    </row>
    <row r="7935" ht="25.0" customHeight="true">
      <c r="A7935" t="s" s="2">
        <v>13</v>
      </c>
      <c r="B7935" t="s" s="2">
        <f>HYPERLINK("http://ts.21cn.com/tousu/show/id/1363723","上海点佰趣信息科技有限公司冒充工商银行以办理信用卡为前提，在我不知的情况盗刷我卡里298元，希望点佰趣尽快解决！")</f>
      </c>
      <c r="C7935" t="s" s="2">
        <v>15</v>
      </c>
      <c r="D7935" t="s" s="2">
        <v>16</v>
      </c>
      <c r="E7935" t="s" s="2">
        <v>17</v>
      </c>
      <c r="F7935" t="s" s="2">
        <f>HYPERLINK("http://ts.21cn.com/tousu/show/id/1363723","http://ts.21cn.com/tousu/show/id/1363723")</f>
      </c>
      <c r="G7935" t="s" s="2">
        <v>17</v>
      </c>
      <c r="H7935" t="s" s="2">
        <v>19</v>
      </c>
      <c r="I7935" t="s" s="2">
        <v>30650</v>
      </c>
      <c r="J7935" t="s" s="2">
        <v>30651</v>
      </c>
      <c r="K7935" t="s" s="2">
        <v>22</v>
      </c>
      <c r="L7935" t="s" s="2">
        <v>22</v>
      </c>
      <c r="M7935" t="s" s="2">
        <v>22</v>
      </c>
    </row>
    <row r="7936" ht="25.0" customHeight="true">
      <c r="A7936" t="s" s="2">
        <v>13</v>
      </c>
      <c r="B7936" t="s" s="2">
        <f>HYPERLINK("http://ts.21cn.com/tousu/show/id/1363721","海南圣云可网络科技有限公司")</f>
      </c>
      <c r="C7936" t="s" s="2">
        <v>15</v>
      </c>
      <c r="D7936" t="s" s="2">
        <v>16</v>
      </c>
      <c r="E7936" t="s" s="2">
        <v>17</v>
      </c>
      <c r="F7936" t="s" s="2">
        <f>HYPERLINK("http://ts.21cn.com/tousu/show/id/1363721","http://ts.21cn.com/tousu/show/id/1363721")</f>
      </c>
      <c r="G7936" t="s" s="2">
        <v>17</v>
      </c>
      <c r="H7936" t="s" s="2">
        <v>19</v>
      </c>
      <c r="I7936" t="s" s="2">
        <v>30654</v>
      </c>
      <c r="J7936" t="s" s="2">
        <v>30655</v>
      </c>
      <c r="K7936" t="s" s="2">
        <v>22</v>
      </c>
      <c r="L7936" t="s" s="2">
        <v>22</v>
      </c>
      <c r="M7936" t="s" s="2">
        <v>22</v>
      </c>
    </row>
    <row r="7937" ht="25.0" customHeight="true">
      <c r="A7937" t="s" s="2">
        <v>13</v>
      </c>
      <c r="B7937" t="s" s="2">
        <f>HYPERLINK("http://ts.21cn.com/tousu/show/id/1363720","神马借套路贷")</f>
      </c>
      <c r="C7937" t="s" s="2">
        <v>15</v>
      </c>
      <c r="D7937" t="s" s="2">
        <v>16</v>
      </c>
      <c r="E7937" t="s" s="2">
        <v>17</v>
      </c>
      <c r="F7937" t="s" s="2">
        <f>HYPERLINK("http://ts.21cn.com/tousu/show/id/1363720","http://ts.21cn.com/tousu/show/id/1363720")</f>
      </c>
      <c r="G7937" t="s" s="2">
        <v>17</v>
      </c>
      <c r="H7937" t="s" s="2">
        <v>19</v>
      </c>
      <c r="I7937" t="s" s="2">
        <v>30658</v>
      </c>
      <c r="J7937" t="s" s="2">
        <v>30659</v>
      </c>
      <c r="K7937" t="s" s="2">
        <v>22</v>
      </c>
      <c r="L7937" t="s" s="2">
        <v>22</v>
      </c>
      <c r="M7937" t="s" s="2">
        <v>22</v>
      </c>
    </row>
    <row r="7938" ht="25.0" customHeight="true">
      <c r="A7938" t="s" s="2">
        <v>13</v>
      </c>
      <c r="B7938" t="s" s="2">
        <f>HYPERLINK("http://ts.21cn.com/tousu/show/id/1363718","豹子贷不退钱")</f>
      </c>
      <c r="C7938" t="s" s="2">
        <v>15</v>
      </c>
      <c r="D7938" t="s" s="2">
        <v>16</v>
      </c>
      <c r="E7938" t="s" s="2">
        <v>17</v>
      </c>
      <c r="F7938" t="s" s="2">
        <f>HYPERLINK("http://ts.21cn.com/tousu/show/id/1363718","http://ts.21cn.com/tousu/show/id/1363718")</f>
      </c>
      <c r="G7938" t="s" s="2">
        <v>17</v>
      </c>
      <c r="H7938" t="s" s="2">
        <v>19</v>
      </c>
      <c r="I7938" t="s" s="2">
        <v>30662</v>
      </c>
      <c r="J7938" t="s" s="2">
        <v>30663</v>
      </c>
      <c r="K7938" t="s" s="2">
        <v>22</v>
      </c>
      <c r="L7938" t="s" s="2">
        <v>22</v>
      </c>
      <c r="M7938" t="s" s="2">
        <v>22</v>
      </c>
    </row>
    <row r="7939" ht="25.0" customHeight="true">
      <c r="A7939" t="s" s="2">
        <v>13</v>
      </c>
      <c r="B7939" t="s" s="2">
        <f>HYPERLINK("http://ts.21cn.com/tousu/show/id/1363712","拼多多无缘无故冻结我资金不给体现")</f>
      </c>
      <c r="C7939" t="s" s="2">
        <v>15</v>
      </c>
      <c r="D7939" t="s" s="2">
        <v>16</v>
      </c>
      <c r="E7939" t="s" s="2">
        <v>17</v>
      </c>
      <c r="F7939" t="s" s="2">
        <f>HYPERLINK("http://ts.21cn.com/tousu/show/id/1363712","http://ts.21cn.com/tousu/show/id/1363712")</f>
      </c>
      <c r="G7939" t="s" s="2">
        <v>17</v>
      </c>
      <c r="H7939" t="s" s="2">
        <v>19</v>
      </c>
      <c r="I7939" t="s" s="2">
        <v>30666</v>
      </c>
      <c r="J7939" t="s" s="2">
        <v>30667</v>
      </c>
      <c r="K7939" t="s" s="2">
        <v>22</v>
      </c>
      <c r="L7939" t="s" s="2">
        <v>22</v>
      </c>
      <c r="M7939" t="s" s="2">
        <v>22</v>
      </c>
    </row>
    <row r="7940" ht="25.0" customHeight="true">
      <c r="A7940" t="s" s="2">
        <v>13</v>
      </c>
      <c r="B7940" t="s" s="2">
        <f>HYPERLINK("http://ts.21cn.com/tousu/show/id/1363643","钱站高利贷阴阳合同收取高额利息")</f>
      </c>
      <c r="C7940" t="s" s="2">
        <v>15</v>
      </c>
      <c r="D7940" t="s" s="2">
        <v>16</v>
      </c>
      <c r="E7940" t="s" s="2">
        <v>17</v>
      </c>
      <c r="F7940" t="s" s="2">
        <f>HYPERLINK("http://ts.21cn.com/tousu/show/id/1363643","http://ts.21cn.com/tousu/show/id/1363643")</f>
      </c>
      <c r="G7940" t="s" s="2">
        <v>17</v>
      </c>
      <c r="H7940" t="s" s="2">
        <v>19</v>
      </c>
      <c r="I7940" t="s" s="2">
        <v>30669</v>
      </c>
      <c r="J7940" t="s" s="2">
        <v>30670</v>
      </c>
      <c r="K7940" t="s" s="2">
        <v>22</v>
      </c>
      <c r="L7940" t="s" s="2">
        <v>22</v>
      </c>
      <c r="M7940" t="s" s="2">
        <v>22</v>
      </c>
    </row>
    <row r="7941" ht="25.0" customHeight="true">
      <c r="A7941" t="s" s="2">
        <v>13</v>
      </c>
      <c r="B7941" t="s" s="2">
        <f>HYPERLINK("http://ts.21cn.com/tousu/show/id/1363710","捷信消费金融有限公司总是打骚扰电话，已经严重影响到了我的生活")</f>
      </c>
      <c r="C7941" t="s" s="2">
        <v>15</v>
      </c>
      <c r="D7941" t="s" s="2">
        <v>16</v>
      </c>
      <c r="E7941" t="s" s="2">
        <v>17</v>
      </c>
      <c r="F7941" t="s" s="2">
        <f>HYPERLINK("http://ts.21cn.com/tousu/show/id/1363710","http://ts.21cn.com/tousu/show/id/1363710")</f>
      </c>
      <c r="G7941" t="s" s="2">
        <v>17</v>
      </c>
      <c r="H7941" t="s" s="2">
        <v>19</v>
      </c>
      <c r="I7941" t="s" s="2">
        <v>30673</v>
      </c>
      <c r="J7941" t="s" s="2">
        <v>30674</v>
      </c>
      <c r="K7941" t="s" s="2">
        <v>22</v>
      </c>
      <c r="L7941" t="s" s="2">
        <v>22</v>
      </c>
      <c r="M7941" t="s" s="2">
        <v>22</v>
      </c>
    </row>
    <row r="7942" ht="25.0" customHeight="true">
      <c r="A7942" t="s" s="2">
        <v>13</v>
      </c>
      <c r="B7942" t="s" s="2">
        <f>HYPERLINK("http://ts.21cn.com/tousu/show/id/1363655","钱站恶意二次催收")</f>
      </c>
      <c r="C7942" t="s" s="2">
        <v>15</v>
      </c>
      <c r="D7942" t="s" s="2">
        <v>16</v>
      </c>
      <c r="E7942" t="s" s="2">
        <v>17</v>
      </c>
      <c r="F7942" t="s" s="2">
        <f>HYPERLINK("http://ts.21cn.com/tousu/show/id/1363655","http://ts.21cn.com/tousu/show/id/1363655")</f>
      </c>
      <c r="G7942" t="s" s="2">
        <v>17</v>
      </c>
      <c r="H7942" t="s" s="2">
        <v>19</v>
      </c>
      <c r="I7942" t="s" s="2">
        <v>30677</v>
      </c>
      <c r="J7942" t="s" s="2">
        <v>30678</v>
      </c>
      <c r="K7942" t="s" s="2">
        <v>22</v>
      </c>
      <c r="L7942" t="s" s="2">
        <v>22</v>
      </c>
      <c r="M7942" t="s" s="2">
        <v>22</v>
      </c>
    </row>
    <row r="7943" ht="25.0" customHeight="true">
      <c r="A7943" t="s" s="2">
        <v>13</v>
      </c>
      <c r="B7943" t="s" s="2">
        <f>HYPERLINK("http://ts.21cn.com/tousu/show/id/1363707","微信被创客用户恶意打标成狐狸")</f>
      </c>
      <c r="C7943" t="s" s="2">
        <v>52</v>
      </c>
      <c r="D7943" t="s" s="2">
        <v>16</v>
      </c>
      <c r="E7943" t="s" s="2">
        <v>17</v>
      </c>
      <c r="F7943" t="s" s="2">
        <f>HYPERLINK("http://ts.21cn.com/tousu/show/id/1363707","http://ts.21cn.com/tousu/show/id/1363707")</f>
      </c>
      <c r="G7943" t="s" s="2">
        <v>17</v>
      </c>
      <c r="H7943" t="s" s="2">
        <v>19</v>
      </c>
      <c r="I7943" t="s" s="2">
        <v>30681</v>
      </c>
      <c r="J7943" t="s" s="2">
        <v>30682</v>
      </c>
      <c r="K7943" t="s" s="2">
        <v>22</v>
      </c>
      <c r="L7943" t="s" s="2">
        <v>22</v>
      </c>
      <c r="M7943" t="s" s="2">
        <v>22</v>
      </c>
    </row>
    <row r="7944" ht="25.0" customHeight="true">
      <c r="A7944" t="s" s="2">
        <v>13</v>
      </c>
      <c r="B7944" t="s" s="2">
        <f>HYPERLINK("http://ts.21cn.com/tousu/show/id/1363701","微粒贷逾期未还说冻结我的微信账号和lai a")</f>
      </c>
      <c r="C7944" t="s" s="2">
        <v>15</v>
      </c>
      <c r="D7944" t="s" s="2">
        <v>16</v>
      </c>
      <c r="E7944" t="s" s="2">
        <v>17</v>
      </c>
      <c r="F7944" t="s" s="2">
        <f>HYPERLINK("http://ts.21cn.com/tousu/show/id/1363701","http://ts.21cn.com/tousu/show/id/1363701")</f>
      </c>
      <c r="G7944" t="s" s="2">
        <v>17</v>
      </c>
      <c r="H7944" t="s" s="2">
        <v>19</v>
      </c>
      <c r="I7944" t="s" s="2">
        <v>30685</v>
      </c>
      <c r="J7944" t="s" s="2">
        <v>30686</v>
      </c>
      <c r="K7944" t="s" s="2">
        <v>22</v>
      </c>
      <c r="L7944" t="s" s="2">
        <v>22</v>
      </c>
      <c r="M7944" t="s" s="2">
        <v>22</v>
      </c>
    </row>
    <row r="7945" ht="25.0" customHeight="true">
      <c r="A7945" t="s" s="2">
        <v>13</v>
      </c>
      <c r="B7945" t="s" s="2">
        <f>HYPERLINK("http://ts.21cn.com/tousu/show/id/1363699","骚扰")</f>
      </c>
      <c r="C7945" t="s" s="2">
        <v>15</v>
      </c>
      <c r="D7945" t="s" s="2">
        <v>16</v>
      </c>
      <c r="E7945" t="s" s="2">
        <v>17</v>
      </c>
      <c r="F7945" t="s" s="2">
        <f>HYPERLINK("http://ts.21cn.com/tousu/show/id/1363699","http://ts.21cn.com/tousu/show/id/1363699")</f>
      </c>
      <c r="G7945" t="s" s="2">
        <v>17</v>
      </c>
      <c r="H7945" t="s" s="2">
        <v>19</v>
      </c>
      <c r="I7945" t="s" s="2">
        <v>30688</v>
      </c>
      <c r="J7945" t="s" s="2">
        <v>30689</v>
      </c>
      <c r="K7945" t="s" s="2">
        <v>22</v>
      </c>
      <c r="L7945" t="s" s="2">
        <v>22</v>
      </c>
      <c r="M7945" t="s" s="2">
        <v>22</v>
      </c>
    </row>
    <row r="7946" ht="25.0" customHeight="true">
      <c r="A7946" t="s" s="2">
        <v>13</v>
      </c>
      <c r="B7946" t="s" s="2">
        <f>HYPERLINK("http://ts.21cn.com/tousu/show/id/1363698","拼多多无缘无故冻结我资金，不让我提现")</f>
      </c>
      <c r="C7946" t="s" s="2">
        <v>15</v>
      </c>
      <c r="D7946" t="s" s="2">
        <v>16</v>
      </c>
      <c r="E7946" t="s" s="2">
        <v>17</v>
      </c>
      <c r="F7946" t="s" s="2">
        <f>HYPERLINK("http://ts.21cn.com/tousu/show/id/1363698","http://ts.21cn.com/tousu/show/id/1363698")</f>
      </c>
      <c r="G7946" t="s" s="2">
        <v>17</v>
      </c>
      <c r="H7946" t="s" s="2">
        <v>19</v>
      </c>
      <c r="I7946" t="s" s="2">
        <v>30692</v>
      </c>
      <c r="J7946" t="s" s="2">
        <v>30693</v>
      </c>
      <c r="K7946" t="s" s="2">
        <v>22</v>
      </c>
      <c r="L7946" t="s" s="2">
        <v>22</v>
      </c>
      <c r="M7946" t="s" s="2">
        <v>22</v>
      </c>
    </row>
    <row r="7947" ht="25.0" customHeight="true">
      <c r="A7947" t="s" s="2">
        <v>13</v>
      </c>
      <c r="B7947" t="s" s="2">
        <f>HYPERLINK("http://ts.21cn.com/tousu/show/id/1363688","在万贯街借款1000元，实际到账800元，借款期限7天，实际只有6天时间")</f>
      </c>
      <c r="C7947" t="s" s="2">
        <v>52</v>
      </c>
      <c r="D7947" t="s" s="2">
        <v>16</v>
      </c>
      <c r="E7947" t="s" s="2">
        <v>17</v>
      </c>
      <c r="F7947" t="s" s="2">
        <f>HYPERLINK("http://ts.21cn.com/tousu/show/id/1363688","http://ts.21cn.com/tousu/show/id/1363688")</f>
      </c>
      <c r="G7947" t="s" s="2">
        <v>17</v>
      </c>
      <c r="H7947" t="s" s="2">
        <v>19</v>
      </c>
      <c r="I7947" t="s" s="2">
        <v>30696</v>
      </c>
      <c r="J7947" t="s" s="2">
        <v>30697</v>
      </c>
      <c r="K7947" t="s" s="2">
        <v>22</v>
      </c>
      <c r="L7947" t="s" s="2">
        <v>22</v>
      </c>
      <c r="M7947" t="s" s="2">
        <v>22</v>
      </c>
    </row>
    <row r="7948" ht="25.0" customHeight="true">
      <c r="A7948" t="s" s="2">
        <v>13</v>
      </c>
      <c r="B7948" t="s" s="2">
        <f>HYPERLINK("http://ts.21cn.com/tousu/show/id/1363684","国美为非法赌博平台提供充值渠道")</f>
      </c>
      <c r="C7948" t="s" s="2">
        <v>15</v>
      </c>
      <c r="D7948" t="s" s="2">
        <v>16</v>
      </c>
      <c r="E7948" t="s" s="2">
        <v>17</v>
      </c>
      <c r="F7948" t="s" s="2">
        <f>HYPERLINK("http://ts.21cn.com/tousu/show/id/1363684","http://ts.21cn.com/tousu/show/id/1363684")</f>
      </c>
      <c r="G7948" t="s" s="2">
        <v>17</v>
      </c>
      <c r="H7948" t="s" s="2">
        <v>19</v>
      </c>
      <c r="I7948" t="s" s="2">
        <v>30700</v>
      </c>
      <c r="J7948" t="s" s="2">
        <v>30701</v>
      </c>
      <c r="K7948" t="s" s="2">
        <v>22</v>
      </c>
      <c r="L7948" t="s" s="2">
        <v>22</v>
      </c>
      <c r="M7948" t="s" s="2">
        <v>22</v>
      </c>
    </row>
    <row r="7949" ht="25.0" customHeight="true">
      <c r="A7949" t="s" s="2">
        <v>13</v>
      </c>
      <c r="B7949" t="s" s="2">
        <f>HYPERLINK("http://ts.21cn.com/tousu/show/id/1363679","刚付款没签合同不给退款")</f>
      </c>
      <c r="C7949" t="s" s="2">
        <v>15</v>
      </c>
      <c r="D7949" t="s" s="2">
        <v>16</v>
      </c>
      <c r="E7949" t="s" s="2">
        <v>17</v>
      </c>
      <c r="F7949" t="s" s="2">
        <f>HYPERLINK("http://ts.21cn.com/tousu/show/id/1363679","http://ts.21cn.com/tousu/show/id/1363679")</f>
      </c>
      <c r="G7949" t="s" s="2">
        <v>17</v>
      </c>
      <c r="H7949" t="s" s="2">
        <v>19</v>
      </c>
      <c r="I7949" t="s" s="2">
        <v>30704</v>
      </c>
      <c r="J7949" t="s" s="2">
        <v>30705</v>
      </c>
      <c r="K7949" t="s" s="2">
        <v>22</v>
      </c>
      <c r="L7949" t="s" s="2">
        <v>22</v>
      </c>
      <c r="M7949" t="s" s="2">
        <v>22</v>
      </c>
    </row>
    <row r="7950" ht="25.0" customHeight="true">
      <c r="A7950" t="s" s="2">
        <v>13</v>
      </c>
      <c r="B7950" t="s" s="2">
        <f>HYPERLINK("http://ts.21cn.com/tousu/show/id/1363676","海尔电视拿去修理八个月还没好")</f>
      </c>
      <c r="C7950" t="s" s="2">
        <v>52</v>
      </c>
      <c r="D7950" t="s" s="2">
        <v>16</v>
      </c>
      <c r="E7950" t="s" s="2">
        <v>17</v>
      </c>
      <c r="F7950" t="s" s="2">
        <f>HYPERLINK("http://ts.21cn.com/tousu/show/id/1363676","http://ts.21cn.com/tousu/show/id/1363676")</f>
      </c>
      <c r="G7950" t="s" s="2">
        <v>17</v>
      </c>
      <c r="H7950" t="s" s="2">
        <v>19</v>
      </c>
      <c r="I7950" t="s" s="2">
        <v>30708</v>
      </c>
      <c r="J7950" t="s" s="2">
        <v>30709</v>
      </c>
      <c r="K7950" t="s" s="2">
        <v>22</v>
      </c>
      <c r="L7950" t="s" s="2">
        <v>22</v>
      </c>
      <c r="M7950" t="s" s="2">
        <v>22</v>
      </c>
    </row>
    <row r="7951" ht="25.0" customHeight="true">
      <c r="A7951" t="s" s="2">
        <v>13</v>
      </c>
      <c r="B7951" t="s" s="2">
        <f>HYPERLINK("http://ts.21cn.com/tousu/show/id/1363677","无故扣我的款，没有经过任何人同意，没有通知，就扣款")</f>
      </c>
      <c r="C7951" t="s" s="2">
        <v>15</v>
      </c>
      <c r="D7951" t="s" s="2">
        <v>16</v>
      </c>
      <c r="E7951" t="s" s="2">
        <v>17</v>
      </c>
      <c r="F7951" t="s" s="2">
        <f>HYPERLINK("http://ts.21cn.com/tousu/show/id/1363677","http://ts.21cn.com/tousu/show/id/1363677")</f>
      </c>
      <c r="G7951" t="s" s="2">
        <v>17</v>
      </c>
      <c r="H7951" t="s" s="2">
        <v>19</v>
      </c>
      <c r="I7951" t="s" s="2">
        <v>30712</v>
      </c>
      <c r="J7951" t="s" s="2">
        <v>30713</v>
      </c>
      <c r="K7951" t="s" s="2">
        <v>22</v>
      </c>
      <c r="L7951" t="s" s="2">
        <v>22</v>
      </c>
      <c r="M7951" t="s" s="2">
        <v>22</v>
      </c>
    </row>
    <row r="7952" ht="25.0" customHeight="true">
      <c r="A7952" t="s" s="2">
        <v>13</v>
      </c>
      <c r="B7952" t="s" s="2">
        <f>HYPERLINK("http://ts.21cn.com/tousu/show/id/1363673","立即贷套路贷")</f>
      </c>
      <c r="C7952" t="s" s="2">
        <v>15</v>
      </c>
      <c r="D7952" t="s" s="2">
        <v>16</v>
      </c>
      <c r="E7952" t="s" s="2">
        <v>17</v>
      </c>
      <c r="F7952" t="s" s="2">
        <f>HYPERLINK("http://ts.21cn.com/tousu/show/id/1363673","http://ts.21cn.com/tousu/show/id/1363673")</f>
      </c>
      <c r="G7952" t="s" s="2">
        <v>17</v>
      </c>
      <c r="H7952" t="s" s="2">
        <v>19</v>
      </c>
      <c r="I7952" t="s" s="2">
        <v>30716</v>
      </c>
      <c r="J7952" t="s" s="2">
        <v>30717</v>
      </c>
      <c r="K7952" t="s" s="2">
        <v>22</v>
      </c>
      <c r="L7952" t="s" s="2">
        <v>22</v>
      </c>
      <c r="M7952" t="s" s="2">
        <v>22</v>
      </c>
    </row>
    <row r="7953" ht="25.0" customHeight="true">
      <c r="A7953" t="s" s="2">
        <v>13</v>
      </c>
      <c r="B7953" t="s" s="2">
        <f>HYPERLINK("http://ts.21cn.com/tousu/show/id/1363668","期待合伙人暴力高息＋高服务费")</f>
      </c>
      <c r="C7953" t="s" s="2">
        <v>15</v>
      </c>
      <c r="D7953" t="s" s="2">
        <v>16</v>
      </c>
      <c r="E7953" t="s" s="2">
        <v>17</v>
      </c>
      <c r="F7953" t="s" s="2">
        <f>HYPERLINK("http://ts.21cn.com/tousu/show/id/1363668","http://ts.21cn.com/tousu/show/id/1363668")</f>
      </c>
      <c r="G7953" t="s" s="2">
        <v>17</v>
      </c>
      <c r="H7953" t="s" s="2">
        <v>19</v>
      </c>
      <c r="I7953" t="s" s="2">
        <v>30720</v>
      </c>
      <c r="J7953" t="s" s="2">
        <v>30721</v>
      </c>
      <c r="K7953" t="s" s="2">
        <v>22</v>
      </c>
      <c r="L7953" t="s" s="2">
        <v>22</v>
      </c>
      <c r="M7953" t="s" s="2">
        <v>22</v>
      </c>
    </row>
    <row r="7954" ht="25.0" customHeight="true">
      <c r="A7954" t="s" s="2">
        <v>13</v>
      </c>
      <c r="B7954" t="s" s="2">
        <f>HYPERLINK("http://ts.21cn.com/tousu/show/id/1363665","要求赔偿违约金")</f>
      </c>
      <c r="C7954" t="s" s="2">
        <v>15</v>
      </c>
      <c r="D7954" t="s" s="2">
        <v>16</v>
      </c>
      <c r="E7954" t="s" s="2">
        <v>17</v>
      </c>
      <c r="F7954" t="s" s="2">
        <f>HYPERLINK("http://ts.21cn.com/tousu/show/id/1363665","http://ts.21cn.com/tousu/show/id/1363665")</f>
      </c>
      <c r="G7954" t="s" s="2">
        <v>17</v>
      </c>
      <c r="H7954" t="s" s="2">
        <v>19</v>
      </c>
      <c r="I7954" t="s" s="2">
        <v>30724</v>
      </c>
      <c r="J7954" t="s" s="2">
        <v>30725</v>
      </c>
      <c r="K7954" t="s" s="2">
        <v>22</v>
      </c>
      <c r="L7954" t="s" s="2">
        <v>22</v>
      </c>
      <c r="M7954" t="s" s="2">
        <v>22</v>
      </c>
    </row>
    <row r="7955" ht="25.0" customHeight="true">
      <c r="A7955" t="s" s="2">
        <v>13</v>
      </c>
      <c r="B7955" t="s" s="2">
        <f>HYPERLINK("http://ts.21cn.com/tousu/show/id/1363666","恒昌公司旗下恒易贷合同金额远高于实际借款金额")</f>
      </c>
      <c r="C7955" t="s" s="2">
        <v>15</v>
      </c>
      <c r="D7955" t="s" s="2">
        <v>16</v>
      </c>
      <c r="E7955" t="s" s="2">
        <v>17</v>
      </c>
      <c r="F7955" t="s" s="2">
        <f>HYPERLINK("http://ts.21cn.com/tousu/show/id/1363666","http://ts.21cn.com/tousu/show/id/1363666")</f>
      </c>
      <c r="G7955" t="s" s="2">
        <v>17</v>
      </c>
      <c r="H7955" t="s" s="2">
        <v>19</v>
      </c>
      <c r="I7955" t="s" s="2">
        <v>30727</v>
      </c>
      <c r="J7955" t="s" s="2">
        <v>30728</v>
      </c>
      <c r="K7955" t="s" s="2">
        <v>22</v>
      </c>
      <c r="L7955" t="s" s="2">
        <v>22</v>
      </c>
      <c r="M7955" t="s" s="2">
        <v>22</v>
      </c>
    </row>
    <row r="7956" ht="25.0" customHeight="true">
      <c r="A7956" t="s" s="2">
        <v>13</v>
      </c>
      <c r="B7956" t="s" s="2">
        <f>HYPERLINK("http://ts.21cn.com/tousu/show/id/1363662","立马进钱呆呆苞高利贷恶意催收")</f>
      </c>
      <c r="C7956" t="s" s="2">
        <v>15</v>
      </c>
      <c r="D7956" t="s" s="2">
        <v>16</v>
      </c>
      <c r="E7956" t="s" s="2">
        <v>17</v>
      </c>
      <c r="F7956" t="s" s="2">
        <f>HYPERLINK("http://ts.21cn.com/tousu/show/id/1363662","http://ts.21cn.com/tousu/show/id/1363662")</f>
      </c>
      <c r="G7956" t="s" s="2">
        <v>17</v>
      </c>
      <c r="H7956" t="s" s="2">
        <v>19</v>
      </c>
      <c r="I7956" t="s" s="2">
        <v>30731</v>
      </c>
      <c r="J7956" t="s" s="2">
        <v>30732</v>
      </c>
      <c r="K7956" t="s" s="2">
        <v>22</v>
      </c>
      <c r="L7956" t="s" s="2">
        <v>22</v>
      </c>
      <c r="M7956" t="s" s="2">
        <v>22</v>
      </c>
    </row>
    <row r="7957" ht="25.0" customHeight="true">
      <c r="A7957" t="s" s="2">
        <v>13</v>
      </c>
      <c r="B7957" t="s" s="2">
        <f>HYPERLINK("http://ts.21cn.com/tousu/show/id/1363569","小木钱包")</f>
      </c>
      <c r="C7957" t="s" s="2">
        <v>52</v>
      </c>
      <c r="D7957" t="s" s="2">
        <v>16</v>
      </c>
      <c r="E7957" t="s" s="2">
        <v>17</v>
      </c>
      <c r="F7957" t="s" s="2">
        <f>HYPERLINK("http://ts.21cn.com/tousu/show/id/1363569","http://ts.21cn.com/tousu/show/id/1363569")</f>
      </c>
      <c r="G7957" t="s" s="2">
        <v>17</v>
      </c>
      <c r="H7957" t="s" s="2">
        <v>19</v>
      </c>
      <c r="I7957" t="s" s="2">
        <v>30734</v>
      </c>
      <c r="J7957" t="s" s="2">
        <v>30735</v>
      </c>
      <c r="K7957" t="s" s="2">
        <v>22</v>
      </c>
      <c r="L7957" t="s" s="2">
        <v>22</v>
      </c>
      <c r="M7957" t="s" s="2">
        <v>22</v>
      </c>
    </row>
    <row r="7958" ht="25.0" customHeight="true">
      <c r="A7958" t="s" s="2">
        <v>13</v>
      </c>
      <c r="B7958" t="s" s="2">
        <f>HYPERLINK("http://ts.21cn.com/tousu/show/id/1363657","在毒app上买到瑕疵鞋，专家鉴定过的鞋子，还能有瑕疵。鞋头都是歪的。")</f>
      </c>
      <c r="C7958" t="s" s="2">
        <v>15</v>
      </c>
      <c r="D7958" t="s" s="2">
        <v>16</v>
      </c>
      <c r="E7958" t="s" s="2">
        <v>17</v>
      </c>
      <c r="F7958" t="s" s="2">
        <f>HYPERLINK("http://ts.21cn.com/tousu/show/id/1363657","http://ts.21cn.com/tousu/show/id/1363657")</f>
      </c>
      <c r="G7958" t="s" s="2">
        <v>17</v>
      </c>
      <c r="H7958" t="s" s="2">
        <v>19</v>
      </c>
      <c r="I7958" t="s" s="2">
        <v>30738</v>
      </c>
      <c r="J7958" t="s" s="2">
        <v>30739</v>
      </c>
      <c r="K7958" t="s" s="2">
        <v>22</v>
      </c>
      <c r="L7958" t="s" s="2">
        <v>22</v>
      </c>
      <c r="M7958" t="s" s="2">
        <v>22</v>
      </c>
    </row>
    <row r="7959" ht="25.0" customHeight="true">
      <c r="A7959" t="s" s="2">
        <v>13</v>
      </c>
      <c r="B7959" t="s" s="2">
        <f>HYPERLINK("http://ts.21cn.com/tousu/show/id/1363646","拼多多无缘无故冻结资金不让我提现")</f>
      </c>
      <c r="C7959" t="s" s="2">
        <v>15</v>
      </c>
      <c r="D7959" t="s" s="2">
        <v>16</v>
      </c>
      <c r="E7959" t="s" s="2">
        <v>17</v>
      </c>
      <c r="F7959" t="s" s="2">
        <f>HYPERLINK("http://ts.21cn.com/tousu/show/id/1363646","http://ts.21cn.com/tousu/show/id/1363646")</f>
      </c>
      <c r="G7959" t="s" s="2">
        <v>17</v>
      </c>
      <c r="H7959" t="s" s="2">
        <v>19</v>
      </c>
      <c r="I7959" t="s" s="2">
        <v>30742</v>
      </c>
      <c r="J7959" t="s" s="2">
        <v>30743</v>
      </c>
      <c r="K7959" t="s" s="2">
        <v>22</v>
      </c>
      <c r="L7959" t="s" s="2">
        <v>22</v>
      </c>
      <c r="M7959" t="s" s="2">
        <v>22</v>
      </c>
    </row>
    <row r="7960" ht="25.0" customHeight="true">
      <c r="A7960" t="s" s="2">
        <v>13</v>
      </c>
      <c r="B7960" t="s" s="2">
        <f>HYPERLINK("http://ts.21cn.com/tousu/show/id/1363644","你我贷恐吓威胁家人")</f>
      </c>
      <c r="C7960" t="s" s="2">
        <v>15</v>
      </c>
      <c r="D7960" t="s" s="2">
        <v>16</v>
      </c>
      <c r="E7960" t="s" s="2">
        <v>17</v>
      </c>
      <c r="F7960" t="s" s="2">
        <f>HYPERLINK("http://ts.21cn.com/tousu/show/id/1363644","http://ts.21cn.com/tousu/show/id/1363644")</f>
      </c>
      <c r="G7960" t="s" s="2">
        <v>17</v>
      </c>
      <c r="H7960" t="s" s="2">
        <v>19</v>
      </c>
      <c r="I7960" t="s" s="2">
        <v>30746</v>
      </c>
      <c r="J7960" t="s" s="2">
        <v>30747</v>
      </c>
      <c r="K7960" t="s" s="2">
        <v>22</v>
      </c>
      <c r="L7960" t="s" s="2">
        <v>22</v>
      </c>
      <c r="M7960" t="s" s="2">
        <v>22</v>
      </c>
    </row>
    <row r="7961" ht="25.0" customHeight="true">
      <c r="A7961" t="s" s="2">
        <v>13</v>
      </c>
      <c r="B7961" t="s" s="2">
        <f>HYPERLINK("http://ts.21cn.com/tousu/show/id/1363640","停止骚扰，爆通讯录，本金已还完，剩余利息双方协商不能在产生多余利息")</f>
      </c>
      <c r="C7961" t="s" s="2">
        <v>15</v>
      </c>
      <c r="D7961" t="s" s="2">
        <v>16</v>
      </c>
      <c r="E7961" t="s" s="2">
        <v>17</v>
      </c>
      <c r="F7961" t="s" s="2">
        <f>HYPERLINK("http://ts.21cn.com/tousu/show/id/1363640","http://ts.21cn.com/tousu/show/id/1363640")</f>
      </c>
      <c r="G7961" t="s" s="2">
        <v>17</v>
      </c>
      <c r="H7961" t="s" s="2">
        <v>19</v>
      </c>
      <c r="I7961" t="s" s="2">
        <v>30750</v>
      </c>
      <c r="J7961" t="s" s="2">
        <v>30751</v>
      </c>
      <c r="K7961" t="s" s="2">
        <v>22</v>
      </c>
      <c r="L7961" t="s" s="2">
        <v>22</v>
      </c>
      <c r="M7961" t="s" s="2">
        <v>22</v>
      </c>
    </row>
    <row r="7962" ht="25.0" customHeight="true">
      <c r="A7962" t="s" s="2">
        <v>13</v>
      </c>
      <c r="B7962" t="s" s="2">
        <f>HYPERLINK("http://ts.21cn.com/tousu/show/id/1363635","说话不算数，逼死人")</f>
      </c>
      <c r="C7962" t="s" s="2">
        <v>15</v>
      </c>
      <c r="D7962" t="s" s="2">
        <v>16</v>
      </c>
      <c r="E7962" t="s" s="2">
        <v>17</v>
      </c>
      <c r="F7962" t="s" s="2">
        <f>HYPERLINK("http://ts.21cn.com/tousu/show/id/1363635","http://ts.21cn.com/tousu/show/id/1363635")</f>
      </c>
      <c r="G7962" t="s" s="2">
        <v>17</v>
      </c>
      <c r="H7962" t="s" s="2">
        <v>19</v>
      </c>
      <c r="I7962" t="s" s="2">
        <v>30754</v>
      </c>
      <c r="J7962" t="s" s="2">
        <v>30755</v>
      </c>
      <c r="K7962" t="s" s="2">
        <v>22</v>
      </c>
      <c r="L7962" t="s" s="2">
        <v>22</v>
      </c>
      <c r="M7962" t="s" s="2">
        <v>22</v>
      </c>
    </row>
    <row r="7963" ht="25.0" customHeight="true">
      <c r="A7963" t="s" s="2">
        <v>13</v>
      </c>
      <c r="B7963" t="s" s="2">
        <f>HYPERLINK("http://ts.21cn.com/tousu/show/id/1363632","浦发银行派没有出示任何证件的第三方催收上门")</f>
      </c>
      <c r="C7963" t="s" s="2">
        <v>15</v>
      </c>
      <c r="D7963" t="s" s="2">
        <v>16</v>
      </c>
      <c r="E7963" t="s" s="2">
        <v>17</v>
      </c>
      <c r="F7963" t="s" s="2">
        <f>HYPERLINK("http://ts.21cn.com/tousu/show/id/1363632","http://ts.21cn.com/tousu/show/id/1363632")</f>
      </c>
      <c r="G7963" t="s" s="2">
        <v>17</v>
      </c>
      <c r="H7963" t="s" s="2">
        <v>19</v>
      </c>
      <c r="I7963" t="s" s="2">
        <v>30758</v>
      </c>
      <c r="J7963" t="s" s="2">
        <v>30759</v>
      </c>
      <c r="K7963" t="s" s="2">
        <v>22</v>
      </c>
      <c r="L7963" t="s" s="2">
        <v>22</v>
      </c>
      <c r="M7963" t="s" s="2">
        <v>22</v>
      </c>
    </row>
    <row r="7964" ht="25.0" customHeight="true">
      <c r="A7964" t="s" s="2">
        <v>13</v>
      </c>
      <c r="B7964" t="s" s="2">
        <f>HYPERLINK("http://ts.21cn.com/tousu/show/id/1363633","拼多多客服不给处理问题")</f>
      </c>
      <c r="C7964" t="s" s="2">
        <v>15</v>
      </c>
      <c r="D7964" t="s" s="2">
        <v>16</v>
      </c>
      <c r="E7964" t="s" s="2">
        <v>17</v>
      </c>
      <c r="F7964" t="s" s="2">
        <f>HYPERLINK("http://ts.21cn.com/tousu/show/id/1363633","http://ts.21cn.com/tousu/show/id/1363633")</f>
      </c>
      <c r="G7964" t="s" s="2">
        <v>17</v>
      </c>
      <c r="H7964" t="s" s="2">
        <v>19</v>
      </c>
      <c r="I7964" t="s" s="2">
        <v>30758</v>
      </c>
      <c r="J7964" t="s" s="2">
        <v>30762</v>
      </c>
      <c r="K7964" t="s" s="2">
        <v>22</v>
      </c>
      <c r="L7964" t="s" s="2">
        <v>22</v>
      </c>
      <c r="M7964" t="s" s="2">
        <v>22</v>
      </c>
    </row>
    <row r="7965" ht="25.0" customHeight="true">
      <c r="A7965" t="s" s="2">
        <v>13</v>
      </c>
      <c r="B7965" t="s" s="2">
        <f>HYPERLINK("http://ts.21cn.com/tousu/show/id/1363602","违规放贷，高利贷，暴力催收")</f>
      </c>
      <c r="C7965" t="s" s="2">
        <v>15</v>
      </c>
      <c r="D7965" t="s" s="2">
        <v>16</v>
      </c>
      <c r="E7965" t="s" s="2">
        <v>17</v>
      </c>
      <c r="F7965" t="s" s="2">
        <f>HYPERLINK("http://ts.21cn.com/tousu/show/id/1363602","http://ts.21cn.com/tousu/show/id/1363602")</f>
      </c>
      <c r="G7965" t="s" s="2">
        <v>17</v>
      </c>
      <c r="H7965" t="s" s="2">
        <v>19</v>
      </c>
      <c r="I7965" t="s" s="2">
        <v>30765</v>
      </c>
      <c r="J7965" t="s" s="2">
        <v>30766</v>
      </c>
      <c r="K7965" t="s" s="2">
        <v>22</v>
      </c>
      <c r="L7965" t="s" s="2">
        <v>22</v>
      </c>
      <c r="M7965" t="s" s="2">
        <v>22</v>
      </c>
    </row>
    <row r="7966" ht="25.0" customHeight="true">
      <c r="A7966" t="s" s="2">
        <v>13</v>
      </c>
      <c r="B7966" t="s" s="2">
        <f>HYPERLINK("http://ts.21cn.com/tousu/show/id/1363622","京东金融工作人员那孩子威胁")</f>
      </c>
      <c r="C7966" t="s" s="2">
        <v>15</v>
      </c>
      <c r="D7966" t="s" s="2">
        <v>16</v>
      </c>
      <c r="E7966" t="s" s="2">
        <v>17</v>
      </c>
      <c r="F7966" t="s" s="2">
        <f>HYPERLINK("http://ts.21cn.com/tousu/show/id/1363622","http://ts.21cn.com/tousu/show/id/1363622")</f>
      </c>
      <c r="G7966" t="s" s="2">
        <v>17</v>
      </c>
      <c r="H7966" t="s" s="2">
        <v>19</v>
      </c>
      <c r="I7966" t="s" s="2">
        <v>30769</v>
      </c>
      <c r="J7966" t="s" s="2">
        <v>30770</v>
      </c>
      <c r="K7966" t="s" s="2">
        <v>22</v>
      </c>
      <c r="L7966" t="s" s="2">
        <v>22</v>
      </c>
      <c r="M7966" t="s" s="2">
        <v>22</v>
      </c>
    </row>
    <row r="7967" ht="25.0" customHeight="true">
      <c r="A7967" t="s" s="2">
        <v>13</v>
      </c>
      <c r="B7967" t="s" s="2">
        <f>HYPERLINK("http://ts.21cn.com/tousu/show/id/1363624","广州绿瘦公司")</f>
      </c>
      <c r="C7967" t="s" s="2">
        <v>15</v>
      </c>
      <c r="D7967" t="s" s="2">
        <v>16</v>
      </c>
      <c r="E7967" t="s" s="2">
        <v>17</v>
      </c>
      <c r="F7967" t="s" s="2">
        <f>HYPERLINK("http://ts.21cn.com/tousu/show/id/1363624","http://ts.21cn.com/tousu/show/id/1363624")</f>
      </c>
      <c r="G7967" t="s" s="2">
        <v>17</v>
      </c>
      <c r="H7967" t="s" s="2">
        <v>19</v>
      </c>
      <c r="I7967" t="s" s="2">
        <v>30773</v>
      </c>
      <c r="J7967" t="s" s="2">
        <v>30774</v>
      </c>
      <c r="K7967" t="s" s="2">
        <v>22</v>
      </c>
      <c r="L7967" t="s" s="2">
        <v>22</v>
      </c>
      <c r="M7967" t="s" s="2">
        <v>22</v>
      </c>
    </row>
    <row r="7968" ht="25.0" customHeight="true">
      <c r="A7968" t="s" s="2">
        <v>13</v>
      </c>
      <c r="B7968" t="s" s="2">
        <f>HYPERLINK("http://ts.21cn.com/tousu/show/id/1363621","爆通讯录，骚扰亲戚朋友")</f>
      </c>
      <c r="C7968" t="s" s="2">
        <v>15</v>
      </c>
      <c r="D7968" t="s" s="2">
        <v>16</v>
      </c>
      <c r="E7968" t="s" s="2">
        <v>17</v>
      </c>
      <c r="F7968" t="s" s="2">
        <f>HYPERLINK("http://ts.21cn.com/tousu/show/id/1363621","http://ts.21cn.com/tousu/show/id/1363621")</f>
      </c>
      <c r="G7968" t="s" s="2">
        <v>17</v>
      </c>
      <c r="H7968" t="s" s="2">
        <v>19</v>
      </c>
      <c r="I7968" t="s" s="2">
        <v>30776</v>
      </c>
      <c r="J7968" t="s" s="2">
        <v>30777</v>
      </c>
      <c r="K7968" t="s" s="2">
        <v>22</v>
      </c>
      <c r="L7968" t="s" s="2">
        <v>22</v>
      </c>
      <c r="M7968" t="s" s="2">
        <v>22</v>
      </c>
    </row>
    <row r="7969" ht="25.0" customHeight="true">
      <c r="A7969" t="s" s="2">
        <v>13</v>
      </c>
      <c r="B7969" t="s" s="2">
        <f>HYPERLINK("http://ts.21cn.com/tousu/show/id/1363613","EVC出行收费问题")</f>
      </c>
      <c r="C7969" t="s" s="2">
        <v>15</v>
      </c>
      <c r="D7969" t="s" s="2">
        <v>16</v>
      </c>
      <c r="E7969" t="s" s="2">
        <v>17</v>
      </c>
      <c r="F7969" t="s" s="2">
        <f>HYPERLINK("http://ts.21cn.com/tousu/show/id/1363613","http://ts.21cn.com/tousu/show/id/1363613")</f>
      </c>
      <c r="G7969" t="s" s="2">
        <v>17</v>
      </c>
      <c r="H7969" t="s" s="2">
        <v>19</v>
      </c>
      <c r="I7969" t="s" s="2">
        <v>30780</v>
      </c>
      <c r="J7969" t="s" s="2">
        <v>30781</v>
      </c>
      <c r="K7969" t="s" s="2">
        <v>22</v>
      </c>
      <c r="L7969" t="s" s="2">
        <v>22</v>
      </c>
      <c r="M7969" t="s" s="2">
        <v>22</v>
      </c>
    </row>
    <row r="7970" ht="25.0" customHeight="true">
      <c r="A7970" t="s" s="2">
        <v>13</v>
      </c>
      <c r="B7970" t="s" s="2">
        <f>HYPERLINK("http://ts.21cn.com/tousu/show/id/1363611","信用管家借款APP神马借套路贷")</f>
      </c>
      <c r="C7970" t="s" s="2">
        <v>15</v>
      </c>
      <c r="D7970" t="s" s="2">
        <v>16</v>
      </c>
      <c r="E7970" t="s" s="2">
        <v>17</v>
      </c>
      <c r="F7970" t="s" s="2">
        <f>HYPERLINK("http://ts.21cn.com/tousu/show/id/1363611","http://ts.21cn.com/tousu/show/id/1363611")</f>
      </c>
      <c r="G7970" t="s" s="2">
        <v>17</v>
      </c>
      <c r="H7970" t="s" s="2">
        <v>19</v>
      </c>
      <c r="I7970" t="s" s="2">
        <v>30784</v>
      </c>
      <c r="J7970" t="s" s="2">
        <v>30785</v>
      </c>
      <c r="K7970" t="s" s="2">
        <v>22</v>
      </c>
      <c r="L7970" t="s" s="2">
        <v>22</v>
      </c>
      <c r="M7970" t="s" s="2">
        <v>22</v>
      </c>
    </row>
    <row r="7971" ht="25.0" customHeight="true">
      <c r="A7971" t="s" s="2">
        <v>13</v>
      </c>
      <c r="B7971" t="s" s="2">
        <f>HYPERLINK("http://ts.21cn.com/tousu/show/id/1363610","虎虎贷恶意骚扰家人")</f>
      </c>
      <c r="C7971" t="s" s="2">
        <v>15</v>
      </c>
      <c r="D7971" t="s" s="2">
        <v>16</v>
      </c>
      <c r="E7971" t="s" s="2">
        <v>17</v>
      </c>
      <c r="F7971" t="s" s="2">
        <f>HYPERLINK("http://ts.21cn.com/tousu/show/id/1363610","http://ts.21cn.com/tousu/show/id/1363610")</f>
      </c>
      <c r="G7971" t="s" s="2">
        <v>17</v>
      </c>
      <c r="H7971" t="s" s="2">
        <v>19</v>
      </c>
      <c r="I7971" t="s" s="2">
        <v>30788</v>
      </c>
      <c r="J7971" t="s" s="2">
        <v>30789</v>
      </c>
      <c r="K7971" t="s" s="2">
        <v>22</v>
      </c>
      <c r="L7971" t="s" s="2">
        <v>22</v>
      </c>
      <c r="M7971" t="s" s="2">
        <v>22</v>
      </c>
    </row>
    <row r="7972" ht="25.0" customHeight="true">
      <c r="A7972" t="s" s="2">
        <v>13</v>
      </c>
      <c r="B7972" t="s" s="2">
        <f>HYPERLINK("http://ts.21cn.com/tousu/show/id/1363608","电话骚扰")</f>
      </c>
      <c r="C7972" t="s" s="2">
        <v>15</v>
      </c>
      <c r="D7972" t="s" s="2">
        <v>16</v>
      </c>
      <c r="E7972" t="s" s="2">
        <v>17</v>
      </c>
      <c r="F7972" t="s" s="2">
        <f>HYPERLINK("http://ts.21cn.com/tousu/show/id/1363608","http://ts.21cn.com/tousu/show/id/1363608")</f>
      </c>
      <c r="G7972" t="s" s="2">
        <v>17</v>
      </c>
      <c r="H7972" t="s" s="2">
        <v>19</v>
      </c>
      <c r="I7972" t="s" s="2">
        <v>30791</v>
      </c>
      <c r="J7972" t="s" s="2">
        <v>30792</v>
      </c>
      <c r="K7972" t="s" s="2">
        <v>22</v>
      </c>
      <c r="L7972" t="s" s="2">
        <v>22</v>
      </c>
      <c r="M7972" t="s" s="2">
        <v>22</v>
      </c>
    </row>
    <row r="7973" ht="25.0" customHeight="true">
      <c r="A7973" t="s" s="2">
        <v>13</v>
      </c>
      <c r="B7973" t="s" s="2">
        <f>HYPERLINK("http://ts.21cn.com/tousu/show/id/1363599","盼达退款")</f>
      </c>
      <c r="C7973" t="s" s="2">
        <v>15</v>
      </c>
      <c r="D7973" t="s" s="2">
        <v>16</v>
      </c>
      <c r="E7973" t="s" s="2">
        <v>17</v>
      </c>
      <c r="F7973" t="s" s="2">
        <f>HYPERLINK("http://ts.21cn.com/tousu/show/id/1363599","http://ts.21cn.com/tousu/show/id/1363599")</f>
      </c>
      <c r="G7973" t="s" s="2">
        <v>17</v>
      </c>
      <c r="H7973" t="s" s="2">
        <v>19</v>
      </c>
      <c r="I7973" t="s" s="2">
        <v>30795</v>
      </c>
      <c r="J7973" t="s" s="2">
        <v>30796</v>
      </c>
      <c r="K7973" t="s" s="2">
        <v>22</v>
      </c>
      <c r="L7973" t="s" s="2">
        <v>22</v>
      </c>
      <c r="M7973" t="s" s="2">
        <v>22</v>
      </c>
    </row>
    <row r="7974" ht="25.0" customHeight="true">
      <c r="A7974" t="s" s="2">
        <v>13</v>
      </c>
      <c r="B7974" t="s" s="2">
        <f>HYPERLINK("http://ts.21cn.com/tousu/show/id/1363596","交通银行银期转账活动虚假")</f>
      </c>
      <c r="C7974" t="s" s="2">
        <v>15</v>
      </c>
      <c r="D7974" t="s" s="2">
        <v>16</v>
      </c>
      <c r="E7974" t="s" s="2">
        <v>17</v>
      </c>
      <c r="F7974" t="s" s="2">
        <f>HYPERLINK("http://ts.21cn.com/tousu/show/id/1363596","http://ts.21cn.com/tousu/show/id/1363596")</f>
      </c>
      <c r="G7974" t="s" s="2">
        <v>17</v>
      </c>
      <c r="H7974" t="s" s="2">
        <v>19</v>
      </c>
      <c r="I7974" t="s" s="2">
        <v>30799</v>
      </c>
      <c r="J7974" t="s" s="2">
        <v>30800</v>
      </c>
      <c r="K7974" t="s" s="2">
        <v>22</v>
      </c>
      <c r="L7974" t="s" s="2">
        <v>22</v>
      </c>
      <c r="M7974" t="s" s="2">
        <v>22</v>
      </c>
    </row>
    <row r="7975" ht="25.0" customHeight="true">
      <c r="A7975" t="s" s="2">
        <v>13</v>
      </c>
      <c r="B7975" t="s" s="2">
        <f>HYPERLINK("http://ts.21cn.com/tousu/show/id/1363590","钱站砍头息高利贷")</f>
      </c>
      <c r="C7975" t="s" s="2">
        <v>15</v>
      </c>
      <c r="D7975" t="s" s="2">
        <v>16</v>
      </c>
      <c r="E7975" t="s" s="2">
        <v>17</v>
      </c>
      <c r="F7975" t="s" s="2">
        <f>HYPERLINK("http://ts.21cn.com/tousu/show/id/1363590","http://ts.21cn.com/tousu/show/id/1363590")</f>
      </c>
      <c r="G7975" t="s" s="2">
        <v>17</v>
      </c>
      <c r="H7975" t="s" s="2">
        <v>19</v>
      </c>
      <c r="I7975" t="s" s="2">
        <v>30803</v>
      </c>
      <c r="J7975" t="s" s="2">
        <v>30804</v>
      </c>
      <c r="K7975" t="s" s="2">
        <v>22</v>
      </c>
      <c r="L7975" t="s" s="2">
        <v>22</v>
      </c>
      <c r="M7975" t="s" s="2">
        <v>22</v>
      </c>
    </row>
    <row r="7976" ht="25.0" customHeight="true">
      <c r="A7976" t="s" s="2">
        <v>13</v>
      </c>
      <c r="B7976" t="s" s="2">
        <f>HYPERLINK("http://ts.21cn.com/tousu/show/id/1363589","威胁恐吓")</f>
      </c>
      <c r="C7976" t="s" s="2">
        <v>15</v>
      </c>
      <c r="D7976" t="s" s="2">
        <v>16</v>
      </c>
      <c r="E7976" t="s" s="2">
        <v>17</v>
      </c>
      <c r="F7976" t="s" s="2">
        <f>HYPERLINK("http://ts.21cn.com/tousu/show/id/1363589","http://ts.21cn.com/tousu/show/id/1363589")</f>
      </c>
      <c r="G7976" t="s" s="2">
        <v>17</v>
      </c>
      <c r="H7976" t="s" s="2">
        <v>19</v>
      </c>
      <c r="I7976" t="s" s="2">
        <v>30806</v>
      </c>
      <c r="J7976" t="s" s="2">
        <v>30807</v>
      </c>
      <c r="K7976" t="s" s="2">
        <v>22</v>
      </c>
      <c r="L7976" t="s" s="2">
        <v>22</v>
      </c>
      <c r="M7976" t="s" s="2">
        <v>22</v>
      </c>
    </row>
    <row r="7977" ht="25.0" customHeight="true">
      <c r="A7977" t="s" s="2">
        <v>13</v>
      </c>
      <c r="B7977" t="s" s="2">
        <f>HYPERLINK("http://ts.21cn.com/tousu/show/id/1363588","国美易卡买卖贷款人信息")</f>
      </c>
      <c r="C7977" t="s" s="2">
        <v>15</v>
      </c>
      <c r="D7977" t="s" s="2">
        <v>16</v>
      </c>
      <c r="E7977" t="s" s="2">
        <v>17</v>
      </c>
      <c r="F7977" t="s" s="2">
        <f>HYPERLINK("http://ts.21cn.com/tousu/show/id/1363588","http://ts.21cn.com/tousu/show/id/1363588")</f>
      </c>
      <c r="G7977" t="s" s="2">
        <v>17</v>
      </c>
      <c r="H7977" t="s" s="2">
        <v>19</v>
      </c>
      <c r="I7977" t="s" s="2">
        <v>30810</v>
      </c>
      <c r="J7977" t="s" s="2">
        <v>30811</v>
      </c>
      <c r="K7977" t="s" s="2">
        <v>22</v>
      </c>
      <c r="L7977" t="s" s="2">
        <v>22</v>
      </c>
      <c r="M7977" t="s" s="2">
        <v>22</v>
      </c>
    </row>
    <row r="7978" ht="25.0" customHeight="true">
      <c r="A7978" t="s" s="2">
        <v>13</v>
      </c>
      <c r="B7978" t="s" s="2">
        <f>HYPERLINK("http://ts.21cn.com/tousu/show/id/1363585","易行商旅虚假宣传，诱导误消费")</f>
      </c>
      <c r="C7978" t="s" s="2">
        <v>15</v>
      </c>
      <c r="D7978" t="s" s="2">
        <v>16</v>
      </c>
      <c r="E7978" t="s" s="2">
        <v>17</v>
      </c>
      <c r="F7978" t="s" s="2">
        <f>HYPERLINK("http://ts.21cn.com/tousu/show/id/1363585","http://ts.21cn.com/tousu/show/id/1363585")</f>
      </c>
      <c r="G7978" t="s" s="2">
        <v>17</v>
      </c>
      <c r="H7978" t="s" s="2">
        <v>19</v>
      </c>
      <c r="I7978" t="s" s="2">
        <v>30813</v>
      </c>
      <c r="J7978" t="s" s="2">
        <v>30814</v>
      </c>
      <c r="K7978" t="s" s="2">
        <v>22</v>
      </c>
      <c r="L7978" t="s" s="2">
        <v>22</v>
      </c>
      <c r="M7978" t="s" s="2">
        <v>22</v>
      </c>
    </row>
    <row r="7979" ht="25.0" customHeight="true">
      <c r="A7979" t="s" s="2">
        <v>13</v>
      </c>
      <c r="B7979" t="s" s="2">
        <f>HYPERLINK("http://ts.21cn.com/tousu/show/id/1363574","群发短信")</f>
      </c>
      <c r="C7979" t="s" s="2">
        <v>15</v>
      </c>
      <c r="D7979" t="s" s="2">
        <v>16</v>
      </c>
      <c r="E7979" t="s" s="2">
        <v>17</v>
      </c>
      <c r="F7979" t="s" s="2">
        <f>HYPERLINK("http://ts.21cn.com/tousu/show/id/1363574","http://ts.21cn.com/tousu/show/id/1363574")</f>
      </c>
      <c r="G7979" t="s" s="2">
        <v>17</v>
      </c>
      <c r="H7979" t="s" s="2">
        <v>19</v>
      </c>
      <c r="I7979" t="s" s="2">
        <v>30817</v>
      </c>
      <c r="J7979" t="s" s="2">
        <v>30818</v>
      </c>
      <c r="K7979" t="s" s="2">
        <v>22</v>
      </c>
      <c r="L7979" t="s" s="2">
        <v>22</v>
      </c>
      <c r="M7979" t="s" s="2">
        <v>22</v>
      </c>
    </row>
    <row r="7980" ht="25.0" customHeight="true">
      <c r="A7980" t="s" s="2">
        <v>13</v>
      </c>
      <c r="B7980" t="s" s="2">
        <f>HYPERLINK("http://ts.21cn.com/tousu/show/id/1363566","易借宝虚假借款催收")</f>
      </c>
      <c r="C7980" t="s" s="2">
        <v>15</v>
      </c>
      <c r="D7980" t="s" s="2">
        <v>16</v>
      </c>
      <c r="E7980" t="s" s="2">
        <v>17</v>
      </c>
      <c r="F7980" t="s" s="2">
        <f>HYPERLINK("http://ts.21cn.com/tousu/show/id/1363566","http://ts.21cn.com/tousu/show/id/1363566")</f>
      </c>
      <c r="G7980" t="s" s="2">
        <v>17</v>
      </c>
      <c r="H7980" t="s" s="2">
        <v>19</v>
      </c>
      <c r="I7980" t="s" s="2">
        <v>30821</v>
      </c>
      <c r="J7980" t="s" s="2">
        <v>30822</v>
      </c>
      <c r="K7980" t="s" s="2">
        <v>22</v>
      </c>
      <c r="L7980" t="s" s="2">
        <v>22</v>
      </c>
      <c r="M7980" t="s" s="2">
        <v>22</v>
      </c>
    </row>
    <row r="7981" ht="25.0" customHeight="true">
      <c r="A7981" t="s" s="2">
        <v>13</v>
      </c>
      <c r="B7981" t="s" s="2">
        <f>HYPERLINK("http://ts.21cn.com/tousu/show/id/1363563","瑞刷窃取通讯录电话骚扰通讯录里的人")</f>
      </c>
      <c r="C7981" t="s" s="2">
        <v>15</v>
      </c>
      <c r="D7981" t="s" s="2">
        <v>16</v>
      </c>
      <c r="E7981" t="s" s="2">
        <v>17</v>
      </c>
      <c r="F7981" t="s" s="2">
        <f>HYPERLINK("http://ts.21cn.com/tousu/show/id/1363563","http://ts.21cn.com/tousu/show/id/1363563")</f>
      </c>
      <c r="G7981" t="s" s="2">
        <v>17</v>
      </c>
      <c r="H7981" t="s" s="2">
        <v>19</v>
      </c>
      <c r="I7981" t="s" s="2">
        <v>30825</v>
      </c>
      <c r="J7981" t="s" s="2">
        <v>30826</v>
      </c>
      <c r="K7981" t="s" s="2">
        <v>22</v>
      </c>
      <c r="L7981" t="s" s="2">
        <v>22</v>
      </c>
      <c r="M7981" t="s" s="2">
        <v>22</v>
      </c>
    </row>
    <row r="7982" ht="25.0" customHeight="true">
      <c r="A7982" t="s" s="2">
        <v>13</v>
      </c>
      <c r="B7982" t="s" s="2">
        <f>HYPERLINK("http://ts.21cn.com/tousu/show/id/1363558","招联金融虚假宣传")</f>
      </c>
      <c r="C7982" t="s" s="2">
        <v>15</v>
      </c>
      <c r="D7982" t="s" s="2">
        <v>16</v>
      </c>
      <c r="E7982" t="s" s="2">
        <v>17</v>
      </c>
      <c r="F7982" t="s" s="2">
        <f>HYPERLINK("http://ts.21cn.com/tousu/show/id/1363558","http://ts.21cn.com/tousu/show/id/1363558")</f>
      </c>
      <c r="G7982" t="s" s="2">
        <v>17</v>
      </c>
      <c r="H7982" t="s" s="2">
        <v>19</v>
      </c>
      <c r="I7982" t="s" s="2">
        <v>30829</v>
      </c>
      <c r="J7982" t="s" s="2">
        <v>30830</v>
      </c>
      <c r="K7982" t="s" s="2">
        <v>22</v>
      </c>
      <c r="L7982" t="s" s="2">
        <v>22</v>
      </c>
      <c r="M7982" t="s" s="2">
        <v>22</v>
      </c>
    </row>
    <row r="7983" ht="25.0" customHeight="true">
      <c r="A7983" t="s" s="2">
        <v>13</v>
      </c>
      <c r="B7983" t="s" s="2">
        <f>HYPERLINK("http://ts.21cn.com/tousu/show/id/1363556","亿联银行违规发放高利贷")</f>
      </c>
      <c r="C7983" t="s" s="2">
        <v>15</v>
      </c>
      <c r="D7983" t="s" s="2">
        <v>16</v>
      </c>
      <c r="E7983" t="s" s="2">
        <v>17</v>
      </c>
      <c r="F7983" t="s" s="2">
        <f>HYPERLINK("http://ts.21cn.com/tousu/show/id/1363556","http://ts.21cn.com/tousu/show/id/1363556")</f>
      </c>
      <c r="G7983" t="s" s="2">
        <v>17</v>
      </c>
      <c r="H7983" t="s" s="2">
        <v>19</v>
      </c>
      <c r="I7983" t="s" s="2">
        <v>30833</v>
      </c>
      <c r="J7983" t="s" s="2">
        <v>30834</v>
      </c>
      <c r="K7983" t="s" s="2">
        <v>22</v>
      </c>
      <c r="L7983" t="s" s="2">
        <v>22</v>
      </c>
      <c r="M7983" t="s" s="2">
        <v>22</v>
      </c>
    </row>
    <row r="7984" ht="25.0" customHeight="true">
      <c r="A7984" t="s" s="2">
        <v>13</v>
      </c>
      <c r="B7984" t="s" s="2">
        <f>HYPERLINK("http://ts.21cn.com/tousu/show/id/1363503","大地信通担保公司通过通联支付扣款扣款")</f>
      </c>
      <c r="C7984" t="s" s="2">
        <v>15</v>
      </c>
      <c r="D7984" t="s" s="2">
        <v>16</v>
      </c>
      <c r="E7984" t="s" s="2">
        <v>17</v>
      </c>
      <c r="F7984" t="s" s="2">
        <f>HYPERLINK("http://ts.21cn.com/tousu/show/id/1363503","http://ts.21cn.com/tousu/show/id/1363503")</f>
      </c>
      <c r="G7984" t="s" s="2">
        <v>17</v>
      </c>
      <c r="H7984" t="s" s="2">
        <v>19</v>
      </c>
      <c r="I7984" t="s" s="2">
        <v>30837</v>
      </c>
      <c r="J7984" t="s" s="2">
        <v>30838</v>
      </c>
      <c r="K7984" t="s" s="2">
        <v>22</v>
      </c>
      <c r="L7984" t="s" s="2">
        <v>22</v>
      </c>
      <c r="M7984" t="s" s="2">
        <v>22</v>
      </c>
    </row>
    <row r="7985" ht="25.0" customHeight="true">
      <c r="A7985" t="s" s="2">
        <v>13</v>
      </c>
      <c r="B7985" t="s" s="2">
        <f>HYPERLINK("http://ts.21cn.com/tousu/show/id/1363555","淘手游客服态度极差，申诉账单一直得不到解决")</f>
      </c>
      <c r="C7985" t="s" s="2">
        <v>15</v>
      </c>
      <c r="D7985" t="s" s="2">
        <v>16</v>
      </c>
      <c r="E7985" t="s" s="2">
        <v>17</v>
      </c>
      <c r="F7985" t="s" s="2">
        <f>HYPERLINK("http://ts.21cn.com/tousu/show/id/1363555","http://ts.21cn.com/tousu/show/id/1363555")</f>
      </c>
      <c r="G7985" t="s" s="2">
        <v>17</v>
      </c>
      <c r="H7985" t="s" s="2">
        <v>19</v>
      </c>
      <c r="I7985" t="s" s="2">
        <v>30841</v>
      </c>
      <c r="J7985" t="s" s="2">
        <v>30842</v>
      </c>
      <c r="K7985" t="s" s="2">
        <v>22</v>
      </c>
      <c r="L7985" t="s" s="2">
        <v>22</v>
      </c>
      <c r="M7985" t="s" s="2">
        <v>22</v>
      </c>
    </row>
    <row r="7986" ht="25.0" customHeight="true">
      <c r="A7986" t="s" s="2">
        <v>13</v>
      </c>
      <c r="B7986" t="s" s="2">
        <f>HYPERLINK("http://ts.21cn.com/tousu/show/id/1363552","投诉菜鸟有钱")</f>
      </c>
      <c r="C7986" t="s" s="2">
        <v>15</v>
      </c>
      <c r="D7986" t="s" s="2">
        <v>16</v>
      </c>
      <c r="E7986" t="s" s="2">
        <v>17</v>
      </c>
      <c r="F7986" t="s" s="2">
        <f>HYPERLINK("http://ts.21cn.com/tousu/show/id/1363552","http://ts.21cn.com/tousu/show/id/1363552")</f>
      </c>
      <c r="G7986" t="s" s="2">
        <v>17</v>
      </c>
      <c r="H7986" t="s" s="2">
        <v>19</v>
      </c>
      <c r="I7986" t="s" s="2">
        <v>30845</v>
      </c>
      <c r="J7986" t="s" s="2">
        <v>30846</v>
      </c>
      <c r="K7986" t="s" s="2">
        <v>22</v>
      </c>
      <c r="L7986" t="s" s="2">
        <v>22</v>
      </c>
      <c r="M7986" t="s" s="2">
        <v>22</v>
      </c>
    </row>
    <row r="7987" ht="25.0" customHeight="true">
      <c r="A7987" t="s" s="2">
        <v>13</v>
      </c>
      <c r="B7987" t="s" s="2">
        <f>HYPERLINK("http://ts.21cn.com/tousu/show/id/1363550","易宝不审核资质与套路贷公司同流合污")</f>
      </c>
      <c r="C7987" t="s" s="2">
        <v>15</v>
      </c>
      <c r="D7987" t="s" s="2">
        <v>16</v>
      </c>
      <c r="E7987" t="s" s="2">
        <v>17</v>
      </c>
      <c r="F7987" t="s" s="2">
        <f>HYPERLINK("http://ts.21cn.com/tousu/show/id/1363550","http://ts.21cn.com/tousu/show/id/1363550")</f>
      </c>
      <c r="G7987" t="s" s="2">
        <v>17</v>
      </c>
      <c r="H7987" t="s" s="2">
        <v>19</v>
      </c>
      <c r="I7987" t="s" s="2">
        <v>30849</v>
      </c>
      <c r="J7987" t="s" s="2">
        <v>30850</v>
      </c>
      <c r="K7987" t="s" s="2">
        <v>22</v>
      </c>
      <c r="L7987" t="s" s="2">
        <v>22</v>
      </c>
      <c r="M7987" t="s" s="2">
        <v>22</v>
      </c>
    </row>
    <row r="7988" ht="25.0" customHeight="true">
      <c r="A7988" t="s" s="2">
        <v>13</v>
      </c>
      <c r="B7988" t="s" s="2">
        <f>HYPERLINK("http://ts.21cn.com/tousu/show/id/1363547","威胁恐吓，暴力催收")</f>
      </c>
      <c r="C7988" t="s" s="2">
        <v>15</v>
      </c>
      <c r="D7988" t="s" s="2">
        <v>16</v>
      </c>
      <c r="E7988" t="s" s="2">
        <v>17</v>
      </c>
      <c r="F7988" t="s" s="2">
        <f>HYPERLINK("http://ts.21cn.com/tousu/show/id/1363547","http://ts.21cn.com/tousu/show/id/1363547")</f>
      </c>
      <c r="G7988" t="s" s="2">
        <v>17</v>
      </c>
      <c r="H7988" t="s" s="2">
        <v>19</v>
      </c>
      <c r="I7988" t="s" s="2">
        <v>30852</v>
      </c>
      <c r="J7988" t="s" s="2">
        <v>30853</v>
      </c>
      <c r="K7988" t="s" s="2">
        <v>22</v>
      </c>
      <c r="L7988" t="s" s="2">
        <v>22</v>
      </c>
      <c r="M7988" t="s" s="2">
        <v>22</v>
      </c>
    </row>
    <row r="7989" ht="25.0" customHeight="true">
      <c r="A7989" t="s" s="2">
        <v>13</v>
      </c>
      <c r="B7989" t="s" s="2">
        <f>HYPERLINK("http://ts.21cn.com/tousu/show/id/1363544","无良黑心广州长城宽带")</f>
      </c>
      <c r="C7989" t="s" s="2">
        <v>15</v>
      </c>
      <c r="D7989" t="s" s="2">
        <v>16</v>
      </c>
      <c r="E7989" t="s" s="2">
        <v>17</v>
      </c>
      <c r="F7989" t="s" s="2">
        <f>HYPERLINK("http://ts.21cn.com/tousu/show/id/1363544","http://ts.21cn.com/tousu/show/id/1363544")</f>
      </c>
      <c r="G7989" t="s" s="2">
        <v>17</v>
      </c>
      <c r="H7989" t="s" s="2">
        <v>19</v>
      </c>
      <c r="I7989" t="s" s="2">
        <v>30856</v>
      </c>
      <c r="J7989" t="s" s="2">
        <v>30857</v>
      </c>
      <c r="K7989" t="s" s="2">
        <v>22</v>
      </c>
      <c r="L7989" t="s" s="2">
        <v>22</v>
      </c>
      <c r="M7989" t="s" s="2">
        <v>22</v>
      </c>
    </row>
    <row r="7990" ht="25.0" customHeight="true">
      <c r="A7990" t="s" s="2">
        <v>13</v>
      </c>
      <c r="B7990" t="s" s="2">
        <f>HYPERLINK("http://ts.21cn.com/tousu/show/id/1363545","京东白条暴力催收")</f>
      </c>
      <c r="C7990" t="s" s="2">
        <v>15</v>
      </c>
      <c r="D7990" t="s" s="2">
        <v>16</v>
      </c>
      <c r="E7990" t="s" s="2">
        <v>17</v>
      </c>
      <c r="F7990" t="s" s="2">
        <f>HYPERLINK("http://ts.21cn.com/tousu/show/id/1363545","http://ts.21cn.com/tousu/show/id/1363545")</f>
      </c>
      <c r="G7990" t="s" s="2">
        <v>17</v>
      </c>
      <c r="H7990" t="s" s="2">
        <v>19</v>
      </c>
      <c r="I7990" t="s" s="2">
        <v>30859</v>
      </c>
      <c r="J7990" t="s" s="2">
        <v>30860</v>
      </c>
      <c r="K7990" t="s" s="2">
        <v>22</v>
      </c>
      <c r="L7990" t="s" s="2">
        <v>22</v>
      </c>
      <c r="M7990" t="s" s="2">
        <v>22</v>
      </c>
    </row>
    <row r="7991" ht="25.0" customHeight="true">
      <c r="A7991" t="s" s="2">
        <v>13</v>
      </c>
      <c r="B7991" t="s" s="2">
        <f>HYPERLINK("http://ts.21cn.com/tousu/show/id/1363541","我因为资金没有发工资，我提前和拍拍贷客服报备说15号会还款，结果到了15号三点他们催收和我联系我要打我通信录")</f>
      </c>
      <c r="C7991" t="s" s="2">
        <v>15</v>
      </c>
      <c r="D7991" t="s" s="2">
        <v>16</v>
      </c>
      <c r="E7991" t="s" s="2">
        <v>17</v>
      </c>
      <c r="F7991" t="s" s="2">
        <f>HYPERLINK("http://ts.21cn.com/tousu/show/id/1363541","http://ts.21cn.com/tousu/show/id/1363541")</f>
      </c>
      <c r="G7991" t="s" s="2">
        <v>17</v>
      </c>
      <c r="H7991" t="s" s="2">
        <v>19</v>
      </c>
      <c r="I7991" t="s" s="2">
        <v>30863</v>
      </c>
      <c r="J7991" t="s" s="2">
        <v>30864</v>
      </c>
      <c r="K7991" t="s" s="2">
        <v>22</v>
      </c>
      <c r="L7991" t="s" s="2">
        <v>22</v>
      </c>
      <c r="M7991" t="s" s="2">
        <v>22</v>
      </c>
    </row>
    <row r="7992" ht="25.0" customHeight="true">
      <c r="A7992" t="s" s="2">
        <v>13</v>
      </c>
      <c r="B7992" t="s" s="2">
        <f>HYPERLINK("http://ts.21cn.com/tousu/show/id/1363536","闪银催收语言攻击，恶意威胁")</f>
      </c>
      <c r="C7992" t="s" s="2">
        <v>15</v>
      </c>
      <c r="D7992" t="s" s="2">
        <v>16</v>
      </c>
      <c r="E7992" t="s" s="2">
        <v>17</v>
      </c>
      <c r="F7992" t="s" s="2">
        <f>HYPERLINK("http://ts.21cn.com/tousu/show/id/1363536","http://ts.21cn.com/tousu/show/id/1363536")</f>
      </c>
      <c r="G7992" t="s" s="2">
        <v>17</v>
      </c>
      <c r="H7992" t="s" s="2">
        <v>19</v>
      </c>
      <c r="I7992" t="s" s="2">
        <v>30867</v>
      </c>
      <c r="J7992" t="s" s="2">
        <v>30868</v>
      </c>
      <c r="K7992" t="s" s="2">
        <v>22</v>
      </c>
      <c r="L7992" t="s" s="2">
        <v>22</v>
      </c>
      <c r="M7992" t="s" s="2">
        <v>22</v>
      </c>
    </row>
    <row r="7993" ht="25.0" customHeight="true">
      <c r="A7993" t="s" s="2">
        <v>13</v>
      </c>
      <c r="B7993" t="s" s="2">
        <f>HYPERLINK("http://ts.21cn.com/tousu/show/id/1363534","苏宁暴力催收")</f>
      </c>
      <c r="C7993" t="s" s="2">
        <v>15</v>
      </c>
      <c r="D7993" t="s" s="2">
        <v>16</v>
      </c>
      <c r="E7993" t="s" s="2">
        <v>17</v>
      </c>
      <c r="F7993" t="s" s="2">
        <f>HYPERLINK("http://ts.21cn.com/tousu/show/id/1363534","http://ts.21cn.com/tousu/show/id/1363534")</f>
      </c>
      <c r="G7993" t="s" s="2">
        <v>17</v>
      </c>
      <c r="H7993" t="s" s="2">
        <v>19</v>
      </c>
      <c r="I7993" t="s" s="2">
        <v>30871</v>
      </c>
      <c r="J7993" t="s" s="2">
        <v>30872</v>
      </c>
      <c r="K7993" t="s" s="2">
        <v>22</v>
      </c>
      <c r="L7993" t="s" s="2">
        <v>22</v>
      </c>
      <c r="M7993" t="s" s="2">
        <v>22</v>
      </c>
    </row>
    <row r="7994" ht="25.0" customHeight="true">
      <c r="A7994" t="s" s="2">
        <v>13</v>
      </c>
      <c r="B7994" t="s" s="2">
        <f>HYPERLINK("http://ts.21cn.com/tousu/show/id/1363533","我的压力很大")</f>
      </c>
      <c r="C7994" t="s" s="2">
        <v>15</v>
      </c>
      <c r="D7994" t="s" s="2">
        <v>16</v>
      </c>
      <c r="E7994" t="s" s="2">
        <v>17</v>
      </c>
      <c r="F7994" t="s" s="2">
        <f>HYPERLINK("http://ts.21cn.com/tousu/show/id/1363533","http://ts.21cn.com/tousu/show/id/1363533")</f>
      </c>
      <c r="G7994" t="s" s="2">
        <v>17</v>
      </c>
      <c r="H7994" t="s" s="2">
        <v>19</v>
      </c>
      <c r="I7994" t="s" s="2">
        <v>30875</v>
      </c>
      <c r="J7994" t="s" s="2">
        <v>30876</v>
      </c>
      <c r="K7994" t="s" s="2">
        <v>22</v>
      </c>
      <c r="L7994" t="s" s="2">
        <v>22</v>
      </c>
      <c r="M7994" t="s" s="2">
        <v>22</v>
      </c>
    </row>
    <row r="7995" ht="25.0" customHeight="true">
      <c r="A7995" t="s" s="2">
        <v>13</v>
      </c>
      <c r="B7995" t="s" s="2">
        <f>HYPERLINK("http://ts.21cn.com/tousu/show/id/1363530","被诱导充值")</f>
      </c>
      <c r="C7995" t="s" s="2">
        <v>15</v>
      </c>
      <c r="D7995" t="s" s="2">
        <v>16</v>
      </c>
      <c r="E7995" t="s" s="2">
        <v>17</v>
      </c>
      <c r="F7995" t="s" s="2">
        <f>HYPERLINK("http://ts.21cn.com/tousu/show/id/1363530","http://ts.21cn.com/tousu/show/id/1363530")</f>
      </c>
      <c r="G7995" t="s" s="2">
        <v>17</v>
      </c>
      <c r="H7995" t="s" s="2">
        <v>19</v>
      </c>
      <c r="I7995" t="s" s="2">
        <v>30879</v>
      </c>
      <c r="J7995" t="s" s="2">
        <v>30880</v>
      </c>
      <c r="K7995" t="s" s="2">
        <v>22</v>
      </c>
      <c r="L7995" t="s" s="2">
        <v>22</v>
      </c>
      <c r="M7995" t="s" s="2">
        <v>22</v>
      </c>
    </row>
    <row r="7996" ht="25.0" customHeight="true">
      <c r="A7996" t="s" s="2">
        <v>13</v>
      </c>
      <c r="B7996" t="s" s="2">
        <f>HYPERLINK("http://ts.21cn.com/tousu/show/id/1363525","蛮横无理、讽刺、人身攻击、侮辱")</f>
      </c>
      <c r="C7996" t="s" s="2">
        <v>15</v>
      </c>
      <c r="D7996" t="s" s="2">
        <v>16</v>
      </c>
      <c r="E7996" t="s" s="2">
        <v>17</v>
      </c>
      <c r="F7996" t="s" s="2">
        <f>HYPERLINK("http://ts.21cn.com/tousu/show/id/1363525","http://ts.21cn.com/tousu/show/id/1363525")</f>
      </c>
      <c r="G7996" t="s" s="2">
        <v>17</v>
      </c>
      <c r="H7996" t="s" s="2">
        <v>19</v>
      </c>
      <c r="I7996" t="s" s="2">
        <v>30883</v>
      </c>
      <c r="J7996" t="s" s="2">
        <v>30884</v>
      </c>
      <c r="K7996" t="s" s="2">
        <v>22</v>
      </c>
      <c r="L7996" t="s" s="2">
        <v>22</v>
      </c>
      <c r="M7996" t="s" s="2">
        <v>22</v>
      </c>
    </row>
    <row r="7997" ht="25.0" customHeight="true">
      <c r="A7997" t="s" s="2">
        <v>13</v>
      </c>
      <c r="B7997" t="s" s="2">
        <f>HYPERLINK("http://ts.21cn.com/tousu/show/id/1363523","暴力催收，骚扰，高利贷")</f>
      </c>
      <c r="C7997" t="s" s="2">
        <v>15</v>
      </c>
      <c r="D7997" t="s" s="2">
        <v>16</v>
      </c>
      <c r="E7997" t="s" s="2">
        <v>17</v>
      </c>
      <c r="F7997" t="s" s="2">
        <f>HYPERLINK("http://ts.21cn.com/tousu/show/id/1363523","http://ts.21cn.com/tousu/show/id/1363523")</f>
      </c>
      <c r="G7997" t="s" s="2">
        <v>17</v>
      </c>
      <c r="H7997" t="s" s="2">
        <v>19</v>
      </c>
      <c r="I7997" t="s" s="2">
        <v>30887</v>
      </c>
      <c r="J7997" t="s" s="2">
        <v>30888</v>
      </c>
      <c r="K7997" t="s" s="2">
        <v>22</v>
      </c>
      <c r="L7997" t="s" s="2">
        <v>22</v>
      </c>
      <c r="M7997" t="s" s="2">
        <v>22</v>
      </c>
    </row>
    <row r="7998" ht="25.0" customHeight="true">
      <c r="A7998" t="s" s="2">
        <v>13</v>
      </c>
      <c r="B7998" t="s" s="2">
        <f>HYPERLINK("http://ts.21cn.com/tousu/show/cid/18717","中华财险拒不按保险合同进行及时理赔")</f>
      </c>
      <c r="C7998" t="s" s="2">
        <v>52</v>
      </c>
      <c r="D7998" t="s" s="2">
        <v>30890</v>
      </c>
      <c r="E7998" t="s" s="2">
        <v>17</v>
      </c>
      <c r="F7998" t="s" s="2">
        <f>HYPERLINK("http://ts.21cn.com/tousu/show/cid/18717","http://ts.21cn.com/tousu/show/cid/18717")</f>
      </c>
      <c r="G7998" t="s" s="2">
        <v>17</v>
      </c>
      <c r="H7998" t="s" s="2">
        <v>30892</v>
      </c>
      <c r="I7998" t="s" s="2">
        <v>30893</v>
      </c>
      <c r="J7998" t="s" s="2">
        <v>30889</v>
      </c>
      <c r="K7998" t="s" s="2">
        <v>22</v>
      </c>
      <c r="L7998" t="s" s="2">
        <v>22</v>
      </c>
      <c r="M7998" t="s" s="2">
        <v>22</v>
      </c>
    </row>
    <row r="7999" ht="25.0" customHeight="true">
      <c r="A7999" t="s" s="2">
        <v>13</v>
      </c>
      <c r="B7999" t="s" s="2">
        <f>HYPERLINK("http://ts.21cn.com/tousu/show/id/1363522","中华财险拒不按保险合同进行及时理赔")</f>
      </c>
      <c r="C7999" t="s" s="2">
        <v>15</v>
      </c>
      <c r="D7999" t="s" s="2">
        <v>16</v>
      </c>
      <c r="E7999" t="s" s="2">
        <v>17</v>
      </c>
      <c r="F7999" t="s" s="2">
        <f>HYPERLINK("http://ts.21cn.com/tousu/show/id/1363522","http://ts.21cn.com/tousu/show/id/1363522")</f>
      </c>
      <c r="G7999" t="s" s="2">
        <v>17</v>
      </c>
      <c r="H7999" t="s" s="2">
        <v>19</v>
      </c>
      <c r="I7999" t="s" s="2">
        <v>30893</v>
      </c>
      <c r="J7999" t="s" s="2">
        <v>30895</v>
      </c>
      <c r="K7999" t="s" s="2">
        <v>22</v>
      </c>
      <c r="L7999" t="s" s="2">
        <v>22</v>
      </c>
      <c r="M7999" t="s" s="2">
        <v>22</v>
      </c>
    </row>
    <row r="8000" ht="25.0" customHeight="true">
      <c r="A8000" t="s" s="2">
        <v>13</v>
      </c>
      <c r="B8000" t="s" s="2">
        <f>HYPERLINK("http://ts.21cn.com/tousu/show/id/1363514","优亿金融高利贷暴利催收")</f>
      </c>
      <c r="C8000" t="s" s="2">
        <v>15</v>
      </c>
      <c r="D8000" t="s" s="2">
        <v>16</v>
      </c>
      <c r="E8000" t="s" s="2">
        <v>17</v>
      </c>
      <c r="F8000" t="s" s="2">
        <f>HYPERLINK("http://ts.21cn.com/tousu/show/id/1363514","http://ts.21cn.com/tousu/show/id/1363514")</f>
      </c>
      <c r="G8000" t="s" s="2">
        <v>17</v>
      </c>
      <c r="H8000" t="s" s="2">
        <v>19</v>
      </c>
      <c r="I8000" t="s" s="2">
        <v>30898</v>
      </c>
      <c r="J8000" t="s" s="2">
        <v>30899</v>
      </c>
      <c r="K8000" t="s" s="2">
        <v>22</v>
      </c>
      <c r="L8000" t="s" s="2">
        <v>22</v>
      </c>
      <c r="M8000" t="s" s="2">
        <v>22</v>
      </c>
    </row>
    <row r="8001" ht="25.0" customHeight="true">
      <c r="A8001" t="s" s="2">
        <v>13</v>
      </c>
      <c r="B8001" t="s" s="2">
        <f>HYPERLINK("http://ts.21cn.com/tousu/show/id/1363511","海云端诱导办卡虚假宣传")</f>
      </c>
      <c r="C8001" t="s" s="2">
        <v>15</v>
      </c>
      <c r="D8001" t="s" s="2">
        <v>16</v>
      </c>
      <c r="E8001" t="s" s="2">
        <v>17</v>
      </c>
      <c r="F8001" t="s" s="2">
        <f>HYPERLINK("http://ts.21cn.com/tousu/show/id/1363511","http://ts.21cn.com/tousu/show/id/1363511")</f>
      </c>
      <c r="G8001" t="s" s="2">
        <v>17</v>
      </c>
      <c r="H8001" t="s" s="2">
        <v>19</v>
      </c>
      <c r="I8001" t="s" s="2">
        <v>30902</v>
      </c>
      <c r="J8001" t="s" s="2">
        <v>30903</v>
      </c>
      <c r="K8001" t="s" s="2">
        <v>22</v>
      </c>
      <c r="L8001" t="s" s="2">
        <v>22</v>
      </c>
      <c r="M8001" t="s" s="2">
        <v>22</v>
      </c>
    </row>
    <row r="8002" ht="25.0" customHeight="true">
      <c r="A8002" t="s" s="2">
        <v>13</v>
      </c>
      <c r="B8002" t="s" s="2">
        <f>HYPERLINK("http://ts.21cn.com/tousu/show/id/1363512","中信银行信用卡电话轰炸骚扰")</f>
      </c>
      <c r="C8002" t="s" s="2">
        <v>15</v>
      </c>
      <c r="D8002" t="s" s="2">
        <v>16</v>
      </c>
      <c r="E8002" t="s" s="2">
        <v>17</v>
      </c>
      <c r="F8002" t="s" s="2">
        <f>HYPERLINK("http://ts.21cn.com/tousu/show/id/1363512","http://ts.21cn.com/tousu/show/id/1363512")</f>
      </c>
      <c r="G8002" t="s" s="2">
        <v>17</v>
      </c>
      <c r="H8002" t="s" s="2">
        <v>19</v>
      </c>
      <c r="I8002" t="s" s="2">
        <v>30906</v>
      </c>
      <c r="J8002" t="s" s="2">
        <v>30907</v>
      </c>
      <c r="K8002" t="s" s="2">
        <v>22</v>
      </c>
      <c r="L8002" t="s" s="2">
        <v>22</v>
      </c>
      <c r="M8002" t="s" s="2">
        <v>22</v>
      </c>
    </row>
    <row r="8003" ht="25.0" customHeight="true">
      <c r="A8003" t="s" s="2">
        <v>13</v>
      </c>
      <c r="B8003" t="s" s="2">
        <f>HYPERLINK("http://ts.21cn.com/tousu/show/id/1363509","数来宝高利贷")</f>
      </c>
      <c r="C8003" t="s" s="2">
        <v>15</v>
      </c>
      <c r="D8003" t="s" s="2">
        <v>16</v>
      </c>
      <c r="E8003" t="s" s="2">
        <v>17</v>
      </c>
      <c r="F8003" t="s" s="2">
        <f>HYPERLINK("http://ts.21cn.com/tousu/show/id/1363509","http://ts.21cn.com/tousu/show/id/1363509")</f>
      </c>
      <c r="G8003" t="s" s="2">
        <v>17</v>
      </c>
      <c r="H8003" t="s" s="2">
        <v>19</v>
      </c>
      <c r="I8003" t="s" s="2">
        <v>30910</v>
      </c>
      <c r="J8003" t="s" s="2">
        <v>30911</v>
      </c>
      <c r="K8003" t="s" s="2">
        <v>22</v>
      </c>
      <c r="L8003" t="s" s="2">
        <v>22</v>
      </c>
      <c r="M8003" t="s" s="2">
        <v>22</v>
      </c>
    </row>
    <row r="8004" ht="25.0" customHeight="true">
      <c r="A8004" t="s" s="2">
        <v>13</v>
      </c>
      <c r="B8004" t="s" s="2">
        <f>HYPERLINK("http://ts.21cn.com/tousu/show/id/1363501","钱老哥心意转，自己系统问题导致客户逾期，还收取爆额逾期费")</f>
      </c>
      <c r="C8004" t="s" s="2">
        <v>15</v>
      </c>
      <c r="D8004" t="s" s="2">
        <v>16</v>
      </c>
      <c r="E8004" t="s" s="2">
        <v>17</v>
      </c>
      <c r="F8004" t="s" s="2">
        <f>HYPERLINK("http://ts.21cn.com/tousu/show/id/1363501","http://ts.21cn.com/tousu/show/id/1363501")</f>
      </c>
      <c r="G8004" t="s" s="2">
        <v>17</v>
      </c>
      <c r="H8004" t="s" s="2">
        <v>19</v>
      </c>
      <c r="I8004" t="s" s="2">
        <v>30914</v>
      </c>
      <c r="J8004" t="s" s="2">
        <v>30915</v>
      </c>
      <c r="K8004" t="s" s="2">
        <v>22</v>
      </c>
      <c r="L8004" t="s" s="2">
        <v>22</v>
      </c>
      <c r="M8004" t="s" s="2">
        <v>22</v>
      </c>
    </row>
    <row r="8005" ht="25.0" customHeight="true">
      <c r="A8005" t="s" s="2">
        <v>13</v>
      </c>
      <c r="B8005" t="s" s="2">
        <f>HYPERLINK("http://ts.21cn.com/tousu/show/id/1363500","好不容易开的开店创业，好不容易做有点起色，拼多多不给提现，这不是逼人去死吗？？")</f>
      </c>
      <c r="C8005" t="s" s="2">
        <v>15</v>
      </c>
      <c r="D8005" t="s" s="2">
        <v>16</v>
      </c>
      <c r="E8005" t="s" s="2">
        <v>17</v>
      </c>
      <c r="F8005" t="s" s="2">
        <f>HYPERLINK("http://ts.21cn.com/tousu/show/id/1363500","http://ts.21cn.com/tousu/show/id/1363500")</f>
      </c>
      <c r="G8005" t="s" s="2">
        <v>17</v>
      </c>
      <c r="H8005" t="s" s="2">
        <v>19</v>
      </c>
      <c r="I8005" t="s" s="2">
        <v>30918</v>
      </c>
      <c r="J8005" t="s" s="2">
        <v>30919</v>
      </c>
      <c r="K8005" t="s" s="2">
        <v>22</v>
      </c>
      <c r="L8005" t="s" s="2">
        <v>22</v>
      </c>
      <c r="M8005" t="s" s="2">
        <v>22</v>
      </c>
    </row>
    <row r="8006" ht="25.0" customHeight="true">
      <c r="A8006" t="s" s="2">
        <v>13</v>
      </c>
      <c r="B8006" t="s" s="2">
        <f>HYPERLINK("http://ts.21cn.com/tousu/show/id/1363497","钱站恶意催收恐吓家人")</f>
      </c>
      <c r="C8006" t="s" s="2">
        <v>15</v>
      </c>
      <c r="D8006" t="s" s="2">
        <v>16</v>
      </c>
      <c r="E8006" t="s" s="2">
        <v>17</v>
      </c>
      <c r="F8006" t="s" s="2">
        <f>HYPERLINK("http://ts.21cn.com/tousu/show/id/1363497","http://ts.21cn.com/tousu/show/id/1363497")</f>
      </c>
      <c r="G8006" t="s" s="2">
        <v>17</v>
      </c>
      <c r="H8006" t="s" s="2">
        <v>19</v>
      </c>
      <c r="I8006" t="s" s="2">
        <v>30922</v>
      </c>
      <c r="J8006" t="s" s="2">
        <v>30923</v>
      </c>
      <c r="K8006" t="s" s="2">
        <v>22</v>
      </c>
      <c r="L8006" t="s" s="2">
        <v>22</v>
      </c>
      <c r="M8006" t="s" s="2">
        <v>22</v>
      </c>
    </row>
    <row r="8007" ht="25.0" customHeight="true">
      <c r="A8007" t="s" s="2">
        <v>13</v>
      </c>
      <c r="B8007" t="s" s="2">
        <f>HYPERLINK("http://ts.21cn.com/tousu/show/id/1363491","和信金融暴力催收，恐吓通讯录亲友")</f>
      </c>
      <c r="C8007" t="s" s="2">
        <v>15</v>
      </c>
      <c r="D8007" t="s" s="2">
        <v>16</v>
      </c>
      <c r="E8007" t="s" s="2">
        <v>17</v>
      </c>
      <c r="F8007" t="s" s="2">
        <f>HYPERLINK("http://ts.21cn.com/tousu/show/id/1363491","http://ts.21cn.com/tousu/show/id/1363491")</f>
      </c>
      <c r="G8007" t="s" s="2">
        <v>17</v>
      </c>
      <c r="H8007" t="s" s="2">
        <v>19</v>
      </c>
      <c r="I8007" t="s" s="2">
        <v>30926</v>
      </c>
      <c r="J8007" t="s" s="2">
        <v>30927</v>
      </c>
      <c r="K8007" t="s" s="2">
        <v>22</v>
      </c>
      <c r="L8007" t="s" s="2">
        <v>22</v>
      </c>
      <c r="M8007" t="s" s="2">
        <v>22</v>
      </c>
    </row>
    <row r="8008" ht="25.0" customHeight="true">
      <c r="A8008" t="s" s="2">
        <v>13</v>
      </c>
      <c r="B8008" t="s" s="2">
        <f>HYPERLINK("http://ts.21cn.com/tousu/show/id/1363479","停止爆电话，双方协商还款不产生利息")</f>
      </c>
      <c r="C8008" t="s" s="2">
        <v>15</v>
      </c>
      <c r="D8008" t="s" s="2">
        <v>16</v>
      </c>
      <c r="E8008" t="s" s="2">
        <v>17</v>
      </c>
      <c r="F8008" t="s" s="2">
        <f>HYPERLINK("http://ts.21cn.com/tousu/show/id/1363479","http://ts.21cn.com/tousu/show/id/1363479")</f>
      </c>
      <c r="G8008" t="s" s="2">
        <v>17</v>
      </c>
      <c r="H8008" t="s" s="2">
        <v>19</v>
      </c>
      <c r="I8008" t="s" s="2">
        <v>30930</v>
      </c>
      <c r="J8008" t="s" s="2">
        <v>30931</v>
      </c>
      <c r="K8008" t="s" s="2">
        <v>22</v>
      </c>
      <c r="L8008" t="s" s="2">
        <v>22</v>
      </c>
      <c r="M8008" t="s" s="2">
        <v>22</v>
      </c>
    </row>
    <row r="8009" ht="25.0" customHeight="true">
      <c r="A8009" t="s" s="2">
        <v>13</v>
      </c>
      <c r="B8009" t="s" s="2">
        <f>HYPERLINK("http://ts.21cn.com/tousu/show/id/1363480","昨天刚入学一节课没上，结果今天想退款就和我收百分之10的手续费")</f>
      </c>
      <c r="C8009" t="s" s="2">
        <v>52</v>
      </c>
      <c r="D8009" t="s" s="2">
        <v>16</v>
      </c>
      <c r="E8009" t="s" s="2">
        <v>17</v>
      </c>
      <c r="F8009" t="s" s="2">
        <f>HYPERLINK("http://ts.21cn.com/tousu/show/id/1363480","http://ts.21cn.com/tousu/show/id/1363480")</f>
      </c>
      <c r="G8009" t="s" s="2">
        <v>17</v>
      </c>
      <c r="H8009" t="s" s="2">
        <v>19</v>
      </c>
      <c r="I8009" t="s" s="2">
        <v>30934</v>
      </c>
      <c r="J8009" t="s" s="2">
        <v>30935</v>
      </c>
      <c r="K8009" t="s" s="2">
        <v>22</v>
      </c>
      <c r="L8009" t="s" s="2">
        <v>22</v>
      </c>
      <c r="M8009" t="s" s="2">
        <v>22</v>
      </c>
    </row>
    <row r="8010" ht="25.0" customHeight="true">
      <c r="A8010" t="s" s="2">
        <v>13</v>
      </c>
      <c r="B8010" t="s" s="2">
        <f>HYPERLINK("http://ts.21cn.com/tousu/show/id/1363478","招联金融群发彩信")</f>
      </c>
      <c r="C8010" t="s" s="2">
        <v>15</v>
      </c>
      <c r="D8010" t="s" s="2">
        <v>16</v>
      </c>
      <c r="E8010" t="s" s="2">
        <v>17</v>
      </c>
      <c r="F8010" t="s" s="2">
        <f>HYPERLINK("http://ts.21cn.com/tousu/show/id/1363478","http://ts.21cn.com/tousu/show/id/1363478")</f>
      </c>
      <c r="G8010" t="s" s="2">
        <v>17</v>
      </c>
      <c r="H8010" t="s" s="2">
        <v>19</v>
      </c>
      <c r="I8010" t="s" s="2">
        <v>30938</v>
      </c>
      <c r="J8010" t="s" s="2">
        <v>30939</v>
      </c>
      <c r="K8010" t="s" s="2">
        <v>22</v>
      </c>
      <c r="L8010" t="s" s="2">
        <v>22</v>
      </c>
      <c r="M8010" t="s" s="2">
        <v>22</v>
      </c>
    </row>
    <row r="8011" ht="25.0" customHeight="true">
      <c r="A8011" t="s" s="2">
        <v>13</v>
      </c>
      <c r="B8011" t="s" s="2">
        <f>HYPERLINK("http://ts.21cn.com/tousu/show/id/1363475","飞鸟分期高利贷")</f>
      </c>
      <c r="C8011" t="s" s="2">
        <v>15</v>
      </c>
      <c r="D8011" t="s" s="2">
        <v>16</v>
      </c>
      <c r="E8011" t="s" s="2">
        <v>17</v>
      </c>
      <c r="F8011" t="s" s="2">
        <f>HYPERLINK("http://ts.21cn.com/tousu/show/id/1363475","http://ts.21cn.com/tousu/show/id/1363475")</f>
      </c>
      <c r="G8011" t="s" s="2">
        <v>17</v>
      </c>
      <c r="H8011" t="s" s="2">
        <v>19</v>
      </c>
      <c r="I8011" t="s" s="2">
        <v>30942</v>
      </c>
      <c r="J8011" t="s" s="2">
        <v>30943</v>
      </c>
      <c r="K8011" t="s" s="2">
        <v>22</v>
      </c>
      <c r="L8011" t="s" s="2">
        <v>22</v>
      </c>
      <c r="M8011" t="s" s="2">
        <v>22</v>
      </c>
    </row>
    <row r="8012" ht="25.0" customHeight="true">
      <c r="A8012" t="s" s="2">
        <v>13</v>
      </c>
      <c r="B8012" t="s" s="2">
        <f>HYPERLINK("http://ts.21cn.com/tousu/show/id/1363383","高息威胁")</f>
      </c>
      <c r="C8012" t="s" s="2">
        <v>15</v>
      </c>
      <c r="D8012" t="s" s="2">
        <v>16</v>
      </c>
      <c r="E8012" t="s" s="2">
        <v>17</v>
      </c>
      <c r="F8012" t="s" s="2">
        <f>HYPERLINK("http://ts.21cn.com/tousu/show/id/1363383","http://ts.21cn.com/tousu/show/id/1363383")</f>
      </c>
      <c r="G8012" t="s" s="2">
        <v>17</v>
      </c>
      <c r="H8012" t="s" s="2">
        <v>19</v>
      </c>
      <c r="I8012" t="s" s="2">
        <v>30946</v>
      </c>
      <c r="J8012" t="s" s="2">
        <v>30947</v>
      </c>
      <c r="K8012" t="s" s="2">
        <v>22</v>
      </c>
      <c r="L8012" t="s" s="2">
        <v>22</v>
      </c>
      <c r="M8012" t="s" s="2">
        <v>22</v>
      </c>
    </row>
    <row r="8013" ht="25.0" customHeight="true">
      <c r="A8013" t="s" s="2">
        <v>13</v>
      </c>
      <c r="B8013" t="s" s="2">
        <f>HYPERLINK("http://ts.21cn.com/tousu/show/id/1363470","只在法律规定范围进行还款")</f>
      </c>
      <c r="C8013" t="s" s="2">
        <v>15</v>
      </c>
      <c r="D8013" t="s" s="2">
        <v>16</v>
      </c>
      <c r="E8013" t="s" s="2">
        <v>17</v>
      </c>
      <c r="F8013" t="s" s="2">
        <f>HYPERLINK("http://ts.21cn.com/tousu/show/id/1363470","http://ts.21cn.com/tousu/show/id/1363470")</f>
      </c>
      <c r="G8013" t="s" s="2">
        <v>17</v>
      </c>
      <c r="H8013" t="s" s="2">
        <v>19</v>
      </c>
      <c r="I8013" t="s" s="2">
        <v>30950</v>
      </c>
      <c r="J8013" t="s" s="2">
        <v>30951</v>
      </c>
      <c r="K8013" t="s" s="2">
        <v>22</v>
      </c>
      <c r="L8013" t="s" s="2">
        <v>22</v>
      </c>
      <c r="M8013" t="s" s="2">
        <v>22</v>
      </c>
    </row>
    <row r="8014" ht="25.0" customHeight="true">
      <c r="A8014" t="s" s="2">
        <v>13</v>
      </c>
      <c r="B8014" t="s" s="2">
        <f>HYPERLINK("http://ts.21cn.com/tousu/show/id/1363468","开店宝点POS不理会商户投诉")</f>
      </c>
      <c r="C8014" t="s" s="2">
        <v>15</v>
      </c>
      <c r="D8014" t="s" s="2">
        <v>16</v>
      </c>
      <c r="E8014" t="s" s="2">
        <v>17</v>
      </c>
      <c r="F8014" t="s" s="2">
        <f>HYPERLINK("http://ts.21cn.com/tousu/show/id/1363468","http://ts.21cn.com/tousu/show/id/1363468")</f>
      </c>
      <c r="G8014" t="s" s="2">
        <v>17</v>
      </c>
      <c r="H8014" t="s" s="2">
        <v>19</v>
      </c>
      <c r="I8014" t="s" s="2">
        <v>30954</v>
      </c>
      <c r="J8014" t="s" s="2">
        <v>30955</v>
      </c>
      <c r="K8014" t="s" s="2">
        <v>22</v>
      </c>
      <c r="L8014" t="s" s="2">
        <v>22</v>
      </c>
      <c r="M8014" t="s" s="2">
        <v>22</v>
      </c>
    </row>
    <row r="8015" ht="25.0" customHeight="true">
      <c r="A8015" t="s" s="2">
        <v>13</v>
      </c>
      <c r="B8015" t="s" s="2">
        <f>HYPERLINK("http://ts.21cn.com/tousu/show/id/1363467","闪银电话催收客服推卸责任")</f>
      </c>
      <c r="C8015" t="s" s="2">
        <v>15</v>
      </c>
      <c r="D8015" t="s" s="2">
        <v>16</v>
      </c>
      <c r="E8015" t="s" s="2">
        <v>17</v>
      </c>
      <c r="F8015" t="s" s="2">
        <f>HYPERLINK("http://ts.21cn.com/tousu/show/id/1363467","http://ts.21cn.com/tousu/show/id/1363467")</f>
      </c>
      <c r="G8015" t="s" s="2">
        <v>17</v>
      </c>
      <c r="H8015" t="s" s="2">
        <v>19</v>
      </c>
      <c r="I8015" t="s" s="2">
        <v>30958</v>
      </c>
      <c r="J8015" t="s" s="2">
        <v>30959</v>
      </c>
      <c r="K8015" t="s" s="2">
        <v>22</v>
      </c>
      <c r="L8015" t="s" s="2">
        <v>22</v>
      </c>
      <c r="M8015" t="s" s="2">
        <v>22</v>
      </c>
    </row>
    <row r="8016" ht="25.0" customHeight="true">
      <c r="A8016" t="s" s="2">
        <v>13</v>
      </c>
      <c r="B8016" t="s" s="2">
        <f>HYPERLINK("http://ts.21cn.com/tousu/show/id/1363464","360打电话威胁人")</f>
      </c>
      <c r="C8016" t="s" s="2">
        <v>15</v>
      </c>
      <c r="D8016" t="s" s="2">
        <v>16</v>
      </c>
      <c r="E8016" t="s" s="2">
        <v>17</v>
      </c>
      <c r="F8016" t="s" s="2">
        <f>HYPERLINK("http://ts.21cn.com/tousu/show/id/1363464","http://ts.21cn.com/tousu/show/id/1363464")</f>
      </c>
      <c r="G8016" t="s" s="2">
        <v>17</v>
      </c>
      <c r="H8016" t="s" s="2">
        <v>19</v>
      </c>
      <c r="I8016" t="s" s="2">
        <v>30962</v>
      </c>
      <c r="J8016" t="s" s="2">
        <v>30963</v>
      </c>
      <c r="K8016" t="s" s="2">
        <v>22</v>
      </c>
      <c r="L8016" t="s" s="2">
        <v>22</v>
      </c>
      <c r="M8016" t="s" s="2">
        <v>22</v>
      </c>
    </row>
    <row r="8017" ht="25.0" customHeight="true">
      <c r="A8017" t="s" s="2">
        <v>13</v>
      </c>
      <c r="B8017" t="s" s="2">
        <f>HYPERLINK("http://ts.21cn.com/tousu/show/id/1363459","小花钱包暴力催收威胁")</f>
      </c>
      <c r="C8017" t="s" s="2">
        <v>15</v>
      </c>
      <c r="D8017" t="s" s="2">
        <v>16</v>
      </c>
      <c r="E8017" t="s" s="2">
        <v>17</v>
      </c>
      <c r="F8017" t="s" s="2">
        <f>HYPERLINK("http://ts.21cn.com/tousu/show/id/1363459","http://ts.21cn.com/tousu/show/id/1363459")</f>
      </c>
      <c r="G8017" t="s" s="2">
        <v>17</v>
      </c>
      <c r="H8017" t="s" s="2">
        <v>19</v>
      </c>
      <c r="I8017" t="s" s="2">
        <v>30966</v>
      </c>
      <c r="J8017" t="s" s="2">
        <v>30967</v>
      </c>
      <c r="K8017" t="s" s="2">
        <v>22</v>
      </c>
      <c r="L8017" t="s" s="2">
        <v>22</v>
      </c>
      <c r="M8017" t="s" s="2">
        <v>22</v>
      </c>
    </row>
    <row r="8018" ht="25.0" customHeight="true">
      <c r="A8018" t="s" s="2">
        <v>13</v>
      </c>
      <c r="B8018" t="s" s="2">
        <f>HYPERLINK("http://ts.21cn.com/tousu/show/id/1363457","山东高速立马注销ETC")</f>
      </c>
      <c r="C8018" t="s" s="2">
        <v>15</v>
      </c>
      <c r="D8018" t="s" s="2">
        <v>16</v>
      </c>
      <c r="E8018" t="s" s="2">
        <v>17</v>
      </c>
      <c r="F8018" t="s" s="2">
        <f>HYPERLINK("http://ts.21cn.com/tousu/show/id/1363457","http://ts.21cn.com/tousu/show/id/1363457")</f>
      </c>
      <c r="G8018" t="s" s="2">
        <v>17</v>
      </c>
      <c r="H8018" t="s" s="2">
        <v>19</v>
      </c>
      <c r="I8018" t="s" s="2">
        <v>30970</v>
      </c>
      <c r="J8018" t="s" s="2">
        <v>30971</v>
      </c>
      <c r="K8018" t="s" s="2">
        <v>22</v>
      </c>
      <c r="L8018" t="s" s="2">
        <v>22</v>
      </c>
      <c r="M8018" t="s" s="2">
        <v>22</v>
      </c>
    </row>
    <row r="8019" ht="25.0" customHeight="true">
      <c r="A8019" t="s" s="2">
        <v>13</v>
      </c>
      <c r="B8019" t="s" s="2">
        <f>HYPERLINK("http://ts.21cn.com/tousu/show/id/1363456","转转集体投诉专题")</f>
      </c>
      <c r="C8019" t="s" s="2">
        <v>15</v>
      </c>
      <c r="D8019" t="s" s="2">
        <v>16</v>
      </c>
      <c r="E8019" t="s" s="2">
        <v>17</v>
      </c>
      <c r="F8019" t="s" s="2">
        <f>HYPERLINK("http://ts.21cn.com/tousu/show/id/1363456","http://ts.21cn.com/tousu/show/id/1363456")</f>
      </c>
      <c r="G8019" t="s" s="2">
        <v>17</v>
      </c>
      <c r="H8019" t="s" s="2">
        <v>19</v>
      </c>
      <c r="I8019" t="s" s="2">
        <v>30973</v>
      </c>
      <c r="J8019" t="s" s="2">
        <v>30974</v>
      </c>
      <c r="K8019" t="s" s="2">
        <v>22</v>
      </c>
      <c r="L8019" t="s" s="2">
        <v>22</v>
      </c>
      <c r="M8019" t="s" s="2">
        <v>22</v>
      </c>
    </row>
    <row r="8020" ht="25.0" customHeight="true">
      <c r="A8020" t="s" s="2">
        <v>13</v>
      </c>
      <c r="B8020" t="s" s="2">
        <f>HYPERLINK("http://ts.21cn.com/tousu/show/id/1363453","钱老哥心意转无法还款，联系不到客服处理")</f>
      </c>
      <c r="C8020" t="s" s="2">
        <v>15</v>
      </c>
      <c r="D8020" t="s" s="2">
        <v>16</v>
      </c>
      <c r="E8020" t="s" s="2">
        <v>17</v>
      </c>
      <c r="F8020" t="s" s="2">
        <f>HYPERLINK("http://ts.21cn.com/tousu/show/id/1363453","http://ts.21cn.com/tousu/show/id/1363453")</f>
      </c>
      <c r="G8020" t="s" s="2">
        <v>17</v>
      </c>
      <c r="H8020" t="s" s="2">
        <v>19</v>
      </c>
      <c r="I8020" t="s" s="2">
        <v>30977</v>
      </c>
      <c r="J8020" t="s" s="2">
        <v>30978</v>
      </c>
      <c r="K8020" t="s" s="2">
        <v>22</v>
      </c>
      <c r="L8020" t="s" s="2">
        <v>22</v>
      </c>
      <c r="M8020" t="s" s="2">
        <v>22</v>
      </c>
    </row>
    <row r="8021" ht="25.0" customHeight="true">
      <c r="A8021" t="s" s="2">
        <v>13</v>
      </c>
      <c r="B8021" t="s" s="2">
        <f>HYPERLINK("http://ts.21cn.com/tousu/show/id/1363448","海南普德龙网络科技有限公司扣我钱")</f>
      </c>
      <c r="C8021" t="s" s="2">
        <v>15</v>
      </c>
      <c r="D8021" t="s" s="2">
        <v>16</v>
      </c>
      <c r="E8021" t="s" s="2">
        <v>17</v>
      </c>
      <c r="F8021" t="s" s="2">
        <f>HYPERLINK("http://ts.21cn.com/tousu/show/id/1363448","http://ts.21cn.com/tousu/show/id/1363448")</f>
      </c>
      <c r="G8021" t="s" s="2">
        <v>17</v>
      </c>
      <c r="H8021" t="s" s="2">
        <v>19</v>
      </c>
      <c r="I8021" t="s" s="2">
        <v>30981</v>
      </c>
      <c r="J8021" t="s" s="2">
        <v>30982</v>
      </c>
      <c r="K8021" t="s" s="2">
        <v>22</v>
      </c>
      <c r="L8021" t="s" s="2">
        <v>22</v>
      </c>
      <c r="M8021" t="s" s="2">
        <v>22</v>
      </c>
    </row>
    <row r="8022" ht="25.0" customHeight="true">
      <c r="A8022" t="s" s="2">
        <v>13</v>
      </c>
      <c r="B8022" t="s" s="2">
        <f>HYPERLINK("http://ts.21cn.com/tousu/show/id/1363446","古德菲力健身私教课退款")</f>
      </c>
      <c r="C8022" t="s" s="2">
        <v>15</v>
      </c>
      <c r="D8022" t="s" s="2">
        <v>16</v>
      </c>
      <c r="E8022" t="s" s="2">
        <v>17</v>
      </c>
      <c r="F8022" t="s" s="2">
        <f>HYPERLINK("http://ts.21cn.com/tousu/show/id/1363446","http://ts.21cn.com/tousu/show/id/1363446")</f>
      </c>
      <c r="G8022" t="s" s="2">
        <v>17</v>
      </c>
      <c r="H8022" t="s" s="2">
        <v>19</v>
      </c>
      <c r="I8022" t="s" s="2">
        <v>30985</v>
      </c>
      <c r="J8022" t="s" s="2">
        <v>30986</v>
      </c>
      <c r="K8022" t="s" s="2">
        <v>22</v>
      </c>
      <c r="L8022" t="s" s="2">
        <v>22</v>
      </c>
      <c r="M8022" t="s" s="2">
        <v>22</v>
      </c>
    </row>
    <row r="8023" ht="25.0" customHeight="true">
      <c r="A8023" t="s" s="2">
        <v>13</v>
      </c>
      <c r="B8023" t="s" s="2">
        <f>HYPERLINK("http://ts.21cn.com/tousu/show/id/1363445","暴力威胁，骚扰通讯录")</f>
      </c>
      <c r="C8023" t="s" s="2">
        <v>15</v>
      </c>
      <c r="D8023" t="s" s="2">
        <v>16</v>
      </c>
      <c r="E8023" t="s" s="2">
        <v>17</v>
      </c>
      <c r="F8023" t="s" s="2">
        <f>HYPERLINK("http://ts.21cn.com/tousu/show/id/1363445","http://ts.21cn.com/tousu/show/id/1363445")</f>
      </c>
      <c r="G8023" t="s" s="2">
        <v>17</v>
      </c>
      <c r="H8023" t="s" s="2">
        <v>19</v>
      </c>
      <c r="I8023" t="s" s="2">
        <v>30989</v>
      </c>
      <c r="J8023" t="s" s="2">
        <v>30990</v>
      </c>
      <c r="K8023" t="s" s="2">
        <v>22</v>
      </c>
      <c r="L8023" t="s" s="2">
        <v>22</v>
      </c>
      <c r="M8023" t="s" s="2">
        <v>22</v>
      </c>
    </row>
    <row r="8024" ht="25.0" customHeight="true">
      <c r="A8024" t="s" s="2">
        <v>13</v>
      </c>
      <c r="B8024" t="s" s="2">
        <f>HYPERLINK("http://ts.21cn.com/tousu/show/id/1362587","小木钱包，新意花高利贷吸血鬼")</f>
      </c>
      <c r="C8024" t="s" s="2">
        <v>15</v>
      </c>
      <c r="D8024" t="s" s="2">
        <v>16</v>
      </c>
      <c r="E8024" t="s" s="2">
        <v>17</v>
      </c>
      <c r="F8024" t="s" s="2">
        <f>HYPERLINK("http://ts.21cn.com/tousu/show/id/1362587","http://ts.21cn.com/tousu/show/id/1362587")</f>
      </c>
      <c r="G8024" t="s" s="2">
        <v>17</v>
      </c>
      <c r="H8024" t="s" s="2">
        <v>19</v>
      </c>
      <c r="I8024" t="s" s="2">
        <v>30993</v>
      </c>
      <c r="J8024" t="s" s="2">
        <v>30994</v>
      </c>
      <c r="K8024" t="s" s="2">
        <v>22</v>
      </c>
      <c r="L8024" t="s" s="2">
        <v>22</v>
      </c>
      <c r="M8024" t="s" s="2">
        <v>22</v>
      </c>
    </row>
    <row r="8025" ht="25.0" customHeight="true">
      <c r="A8025" t="s" s="2">
        <v>13</v>
      </c>
      <c r="B8025" t="s" s="2">
        <f>HYPERLINK("http://ts.21cn.com/tousu/show/id/1363443","合利宝为满汉全席和61信用花高利贷平台违规提供结算平台，强制下款扣取砍头息，严重违法违纪，多次联系无果")</f>
      </c>
      <c r="C8025" t="s" s="2">
        <v>15</v>
      </c>
      <c r="D8025" t="s" s="2">
        <v>16</v>
      </c>
      <c r="E8025" t="s" s="2">
        <v>17</v>
      </c>
      <c r="F8025" t="s" s="2">
        <f>HYPERLINK("http://ts.21cn.com/tousu/show/id/1363443","http://ts.21cn.com/tousu/show/id/1363443")</f>
      </c>
      <c r="G8025" t="s" s="2">
        <v>17</v>
      </c>
      <c r="H8025" t="s" s="2">
        <v>19</v>
      </c>
      <c r="I8025" t="s" s="2">
        <v>30997</v>
      </c>
      <c r="J8025" t="s" s="2">
        <v>30998</v>
      </c>
      <c r="K8025" t="s" s="2">
        <v>22</v>
      </c>
      <c r="L8025" t="s" s="2">
        <v>22</v>
      </c>
      <c r="M8025" t="s" s="2">
        <v>22</v>
      </c>
    </row>
    <row r="8026" ht="25.0" customHeight="true">
      <c r="A8026" t="s" s="2">
        <v>13</v>
      </c>
      <c r="B8026" t="s" s="2">
        <f>HYPERLINK("http://ts.21cn.com/tousu/show/id/1363442","信用飞发放高利贷，以保险为名捆绑收费")</f>
      </c>
      <c r="C8026" t="s" s="2">
        <v>15</v>
      </c>
      <c r="D8026" t="s" s="2">
        <v>16</v>
      </c>
      <c r="E8026" t="s" s="2">
        <v>17</v>
      </c>
      <c r="F8026" t="s" s="2">
        <f>HYPERLINK("http://ts.21cn.com/tousu/show/id/1363442","http://ts.21cn.com/tousu/show/id/1363442")</f>
      </c>
      <c r="G8026" t="s" s="2">
        <v>17</v>
      </c>
      <c r="H8026" t="s" s="2">
        <v>19</v>
      </c>
      <c r="I8026" t="s" s="2">
        <v>31001</v>
      </c>
      <c r="J8026" t="s" s="2">
        <v>31002</v>
      </c>
      <c r="K8026" t="s" s="2">
        <v>22</v>
      </c>
      <c r="L8026" t="s" s="2">
        <v>22</v>
      </c>
      <c r="M8026" t="s" s="2">
        <v>22</v>
      </c>
    </row>
    <row r="8027" ht="25.0" customHeight="true">
      <c r="A8027" t="s" s="2">
        <v>13</v>
      </c>
      <c r="B8027" t="s" s="2">
        <f>HYPERLINK("http://ts.21cn.com/tousu/show/id/1363437","拍拍贷言语辱骂威胁")</f>
      </c>
      <c r="C8027" t="s" s="2">
        <v>15</v>
      </c>
      <c r="D8027" t="s" s="2">
        <v>16</v>
      </c>
      <c r="E8027" t="s" s="2">
        <v>17</v>
      </c>
      <c r="F8027" t="s" s="2">
        <f>HYPERLINK("http://ts.21cn.com/tousu/show/id/1363437","http://ts.21cn.com/tousu/show/id/1363437")</f>
      </c>
      <c r="G8027" t="s" s="2">
        <v>17</v>
      </c>
      <c r="H8027" t="s" s="2">
        <v>19</v>
      </c>
      <c r="I8027" t="s" s="2">
        <v>31005</v>
      </c>
      <c r="J8027" t="s" s="2">
        <v>31006</v>
      </c>
      <c r="K8027" t="s" s="2">
        <v>22</v>
      </c>
      <c r="L8027" t="s" s="2">
        <v>22</v>
      </c>
      <c r="M8027" t="s" s="2">
        <v>22</v>
      </c>
    </row>
    <row r="8028" ht="25.0" customHeight="true">
      <c r="A8028" t="s" s="2">
        <v>13</v>
      </c>
      <c r="B8028" t="s" s="2">
        <f>HYPERLINK("http://ts.21cn.com/tousu/show/id/1363435","利息太高了")</f>
      </c>
      <c r="C8028" t="s" s="2">
        <v>15</v>
      </c>
      <c r="D8028" t="s" s="2">
        <v>16</v>
      </c>
      <c r="E8028" t="s" s="2">
        <v>17</v>
      </c>
      <c r="F8028" t="s" s="2">
        <f>HYPERLINK("http://ts.21cn.com/tousu/show/id/1363435","http://ts.21cn.com/tousu/show/id/1363435")</f>
      </c>
      <c r="G8028" t="s" s="2">
        <v>17</v>
      </c>
      <c r="H8028" t="s" s="2">
        <v>19</v>
      </c>
      <c r="I8028" t="s" s="2">
        <v>31009</v>
      </c>
      <c r="J8028" t="s" s="2">
        <v>31010</v>
      </c>
      <c r="K8028" t="s" s="2">
        <v>22</v>
      </c>
      <c r="L8028" t="s" s="2">
        <v>22</v>
      </c>
      <c r="M8028" t="s" s="2">
        <v>22</v>
      </c>
    </row>
    <row r="8029" ht="25.0" customHeight="true">
      <c r="A8029" t="s" s="2">
        <v>13</v>
      </c>
      <c r="B8029" t="s" s="2">
        <f>HYPERLINK("http://ts.21cn.com/tousu/show/id/1363431","玖富万卡提前结清利息太高，望调利率")</f>
      </c>
      <c r="C8029" t="s" s="2">
        <v>15</v>
      </c>
      <c r="D8029" t="s" s="2">
        <v>16</v>
      </c>
      <c r="E8029" t="s" s="2">
        <v>17</v>
      </c>
      <c r="F8029" t="s" s="2">
        <f>HYPERLINK("http://ts.21cn.com/tousu/show/id/1363431","http://ts.21cn.com/tousu/show/id/1363431")</f>
      </c>
      <c r="G8029" t="s" s="2">
        <v>17</v>
      </c>
      <c r="H8029" t="s" s="2">
        <v>19</v>
      </c>
      <c r="I8029" t="s" s="2">
        <v>31013</v>
      </c>
      <c r="J8029" t="s" s="2">
        <v>31014</v>
      </c>
      <c r="K8029" t="s" s="2">
        <v>22</v>
      </c>
      <c r="L8029" t="s" s="2">
        <v>22</v>
      </c>
      <c r="M8029" t="s" s="2">
        <v>22</v>
      </c>
    </row>
    <row r="8030" ht="25.0" customHeight="true">
      <c r="A8030" t="s" s="2">
        <v>13</v>
      </c>
      <c r="B8030" t="s" s="2">
        <f>HYPERLINK("http://ts.21cn.com/tousu/show/id/1363426","在毒APP）买的鞋子不予退货")</f>
      </c>
      <c r="C8030" t="s" s="2">
        <v>52</v>
      </c>
      <c r="D8030" t="s" s="2">
        <v>16</v>
      </c>
      <c r="E8030" t="s" s="2">
        <v>17</v>
      </c>
      <c r="F8030" t="s" s="2">
        <f>HYPERLINK("http://ts.21cn.com/tousu/show/id/1363426","http://ts.21cn.com/tousu/show/id/1363426")</f>
      </c>
      <c r="G8030" t="s" s="2">
        <v>17</v>
      </c>
      <c r="H8030" t="s" s="2">
        <v>19</v>
      </c>
      <c r="I8030" t="s" s="2">
        <v>31017</v>
      </c>
      <c r="J8030" t="s" s="2">
        <v>31018</v>
      </c>
      <c r="K8030" t="s" s="2">
        <v>22</v>
      </c>
      <c r="L8030" t="s" s="2">
        <v>22</v>
      </c>
      <c r="M8030" t="s" s="2">
        <v>22</v>
      </c>
    </row>
    <row r="8031" ht="25.0" customHeight="true">
      <c r="A8031" t="s" s="2">
        <v>13</v>
      </c>
      <c r="B8031" t="s" s="2">
        <f>HYPERLINK("http://ts.21cn.com/tousu/show/id/1363423","米米罐返还高额的会员费征信费")</f>
      </c>
      <c r="C8031" t="s" s="2">
        <v>15</v>
      </c>
      <c r="D8031" t="s" s="2">
        <v>16</v>
      </c>
      <c r="E8031" t="s" s="2">
        <v>17</v>
      </c>
      <c r="F8031" t="s" s="2">
        <f>HYPERLINK("http://ts.21cn.com/tousu/show/id/1363423","http://ts.21cn.com/tousu/show/id/1363423")</f>
      </c>
      <c r="G8031" t="s" s="2">
        <v>17</v>
      </c>
      <c r="H8031" t="s" s="2">
        <v>19</v>
      </c>
      <c r="I8031" t="s" s="2">
        <v>31021</v>
      </c>
      <c r="J8031" t="s" s="2">
        <v>31022</v>
      </c>
      <c r="K8031" t="s" s="2">
        <v>22</v>
      </c>
      <c r="L8031" t="s" s="2">
        <v>22</v>
      </c>
      <c r="M8031" t="s" s="2">
        <v>22</v>
      </c>
    </row>
    <row r="8032" ht="25.0" customHeight="true">
      <c r="A8032" t="s" s="2">
        <v>13</v>
      </c>
      <c r="B8032" t="s" s="2">
        <f>HYPERLINK("http://ts.21cn.com/tousu/show/id/1363420","手机借钱飞鸟分期高利贷")</f>
      </c>
      <c r="C8032" t="s" s="2">
        <v>15</v>
      </c>
      <c r="D8032" t="s" s="2">
        <v>16</v>
      </c>
      <c r="E8032" t="s" s="2">
        <v>17</v>
      </c>
      <c r="F8032" t="s" s="2">
        <f>HYPERLINK("http://ts.21cn.com/tousu/show/id/1363420","http://ts.21cn.com/tousu/show/id/1363420")</f>
      </c>
      <c r="G8032" t="s" s="2">
        <v>17</v>
      </c>
      <c r="H8032" t="s" s="2">
        <v>19</v>
      </c>
      <c r="I8032" t="s" s="2">
        <v>31024</v>
      </c>
      <c r="J8032" t="s" s="2">
        <v>31025</v>
      </c>
      <c r="K8032" t="s" s="2">
        <v>22</v>
      </c>
      <c r="L8032" t="s" s="2">
        <v>22</v>
      </c>
      <c r="M8032" t="s" s="2">
        <v>22</v>
      </c>
    </row>
    <row r="8033" ht="25.0" customHeight="true">
      <c r="A8033" t="s" s="2">
        <v>13</v>
      </c>
      <c r="B8033" t="s" s="2">
        <f>HYPERLINK("http://ts.21cn.com/tousu/show/id/1363415","平安银行委托第三方公司暴力催收")</f>
      </c>
      <c r="C8033" t="s" s="2">
        <v>15</v>
      </c>
      <c r="D8033" t="s" s="2">
        <v>16</v>
      </c>
      <c r="E8033" t="s" s="2">
        <v>17</v>
      </c>
      <c r="F8033" t="s" s="2">
        <f>HYPERLINK("http://ts.21cn.com/tousu/show/id/1363415","http://ts.21cn.com/tousu/show/id/1363415")</f>
      </c>
      <c r="G8033" t="s" s="2">
        <v>17</v>
      </c>
      <c r="H8033" t="s" s="2">
        <v>19</v>
      </c>
      <c r="I8033" t="s" s="2">
        <v>31028</v>
      </c>
      <c r="J8033" t="s" s="2">
        <v>31029</v>
      </c>
      <c r="K8033" t="s" s="2">
        <v>22</v>
      </c>
      <c r="L8033" t="s" s="2">
        <v>22</v>
      </c>
      <c r="M8033" t="s" s="2">
        <v>22</v>
      </c>
    </row>
    <row r="8034" ht="25.0" customHeight="true">
      <c r="A8034" t="s" s="2">
        <v>13</v>
      </c>
      <c r="B8034" t="s" s="2">
        <f>HYPERLINK("http://ts.21cn.com/tousu/show/id/1363413","上海昶昱黄金股份有限公司涉赚非法股权代持")</f>
      </c>
      <c r="C8034" t="s" s="2">
        <v>15</v>
      </c>
      <c r="D8034" t="s" s="2">
        <v>16</v>
      </c>
      <c r="E8034" t="s" s="2">
        <v>17</v>
      </c>
      <c r="F8034" t="s" s="2">
        <f>HYPERLINK("http://ts.21cn.com/tousu/show/id/1363413","http://ts.21cn.com/tousu/show/id/1363413")</f>
      </c>
      <c r="G8034" t="s" s="2">
        <v>17</v>
      </c>
      <c r="H8034" t="s" s="2">
        <v>19</v>
      </c>
      <c r="I8034" t="s" s="2">
        <v>31032</v>
      </c>
      <c r="J8034" t="s" s="2">
        <v>31033</v>
      </c>
      <c r="K8034" t="s" s="2">
        <v>22</v>
      </c>
      <c r="L8034" t="s" s="2">
        <v>22</v>
      </c>
      <c r="M8034" t="s" s="2">
        <v>22</v>
      </c>
    </row>
    <row r="8035" ht="25.0" customHeight="true">
      <c r="A8035" t="s" s="2">
        <v>13</v>
      </c>
      <c r="B8035" t="s" s="2">
        <f>HYPERLINK("http://ts.21cn.com/tousu/show/id/1363412","好分期高额利息，骚扰电话不断")</f>
      </c>
      <c r="C8035" t="s" s="2">
        <v>15</v>
      </c>
      <c r="D8035" t="s" s="2">
        <v>16</v>
      </c>
      <c r="E8035" t="s" s="2">
        <v>17</v>
      </c>
      <c r="F8035" t="s" s="2">
        <f>HYPERLINK("http://ts.21cn.com/tousu/show/id/1363412","http://ts.21cn.com/tousu/show/id/1363412")</f>
      </c>
      <c r="G8035" t="s" s="2">
        <v>17</v>
      </c>
      <c r="H8035" t="s" s="2">
        <v>19</v>
      </c>
      <c r="I8035" t="s" s="2">
        <v>31036</v>
      </c>
      <c r="J8035" t="s" s="2">
        <v>31037</v>
      </c>
      <c r="K8035" t="s" s="2">
        <v>22</v>
      </c>
      <c r="L8035" t="s" s="2">
        <v>22</v>
      </c>
      <c r="M8035" t="s" s="2">
        <v>22</v>
      </c>
    </row>
    <row r="8036" ht="25.0" customHeight="true">
      <c r="A8036" t="s" s="2">
        <v>13</v>
      </c>
      <c r="B8036" t="s" s="2">
        <f>HYPERLINK("http://ts.21cn.com/tousu/show/id/1363354","标题瓜子二手车保卖到期不过户，涉嫌虚假宣传，请求立刻完成过户")</f>
      </c>
      <c r="C8036" t="s" s="2">
        <v>15</v>
      </c>
      <c r="D8036" t="s" s="2">
        <v>16</v>
      </c>
      <c r="E8036" t="s" s="2">
        <v>17</v>
      </c>
      <c r="F8036" t="s" s="2">
        <f>HYPERLINK("http://ts.21cn.com/tousu/show/id/1363354","http://ts.21cn.com/tousu/show/id/1363354")</f>
      </c>
      <c r="G8036" t="s" s="2">
        <v>17</v>
      </c>
      <c r="H8036" t="s" s="2">
        <v>19</v>
      </c>
      <c r="I8036" t="s" s="2">
        <v>31040</v>
      </c>
      <c r="J8036" t="s" s="2">
        <v>31041</v>
      </c>
      <c r="K8036" t="s" s="2">
        <v>22</v>
      </c>
      <c r="L8036" t="s" s="2">
        <v>22</v>
      </c>
      <c r="M8036" t="s" s="2">
        <v>22</v>
      </c>
    </row>
    <row r="8037" ht="25.0" customHeight="true">
      <c r="A8037" t="s" s="2">
        <v>13</v>
      </c>
      <c r="B8037" t="s" s="2">
        <f>HYPERLINK("http://ts.21cn.com/tousu/show/id/1363402","额度太少，联系客服无人理会，要求撤单")</f>
      </c>
      <c r="C8037" t="s" s="2">
        <v>15</v>
      </c>
      <c r="D8037" t="s" s="2">
        <v>16</v>
      </c>
      <c r="E8037" t="s" s="2">
        <v>17</v>
      </c>
      <c r="F8037" t="s" s="2">
        <f>HYPERLINK("http://ts.21cn.com/tousu/show/id/1363402","http://ts.21cn.com/tousu/show/id/1363402")</f>
      </c>
      <c r="G8037" t="s" s="2">
        <v>17</v>
      </c>
      <c r="H8037" t="s" s="2">
        <v>19</v>
      </c>
      <c r="I8037" t="s" s="2">
        <v>31044</v>
      </c>
      <c r="J8037" t="s" s="2">
        <v>31045</v>
      </c>
      <c r="K8037" t="s" s="2">
        <v>22</v>
      </c>
      <c r="L8037" t="s" s="2">
        <v>22</v>
      </c>
      <c r="M8037" t="s" s="2">
        <v>22</v>
      </c>
    </row>
    <row r="8038" ht="25.0" customHeight="true">
      <c r="A8038" t="s" s="2">
        <v>13</v>
      </c>
      <c r="B8038" t="s" s="2">
        <f>HYPERLINK("http://ts.21cn.com/tousu/show/id/1363327","51信用卡管家旗下及贷高利贷")</f>
      </c>
      <c r="C8038" t="s" s="2">
        <v>15</v>
      </c>
      <c r="D8038" t="s" s="2">
        <v>16</v>
      </c>
      <c r="E8038" t="s" s="2">
        <v>17</v>
      </c>
      <c r="F8038" t="s" s="2">
        <f>HYPERLINK("http://ts.21cn.com/tousu/show/id/1363327","http://ts.21cn.com/tousu/show/id/1363327")</f>
      </c>
      <c r="G8038" t="s" s="2">
        <v>17</v>
      </c>
      <c r="H8038" t="s" s="2">
        <v>19</v>
      </c>
      <c r="I8038" t="s" s="2">
        <v>31048</v>
      </c>
      <c r="J8038" t="s" s="2">
        <v>31049</v>
      </c>
      <c r="K8038" t="s" s="2">
        <v>22</v>
      </c>
      <c r="L8038" t="s" s="2">
        <v>22</v>
      </c>
      <c r="M8038" t="s" s="2">
        <v>22</v>
      </c>
    </row>
    <row r="8039" ht="25.0" customHeight="true">
      <c r="A8039" t="s" s="2">
        <v>13</v>
      </c>
      <c r="B8039" t="s" s="2">
        <f>HYPERLINK("http://ts.21cn.com/tousu/show/id/1363398","爆我通讯录")</f>
      </c>
      <c r="C8039" t="s" s="2">
        <v>15</v>
      </c>
      <c r="D8039" t="s" s="2">
        <v>16</v>
      </c>
      <c r="E8039" t="s" s="2">
        <v>17</v>
      </c>
      <c r="F8039" t="s" s="2">
        <f>HYPERLINK("http://ts.21cn.com/tousu/show/id/1363398","http://ts.21cn.com/tousu/show/id/1363398")</f>
      </c>
      <c r="G8039" t="s" s="2">
        <v>17</v>
      </c>
      <c r="H8039" t="s" s="2">
        <v>19</v>
      </c>
      <c r="I8039" t="s" s="2">
        <v>31051</v>
      </c>
      <c r="J8039" t="s" s="2">
        <v>31052</v>
      </c>
      <c r="K8039" t="s" s="2">
        <v>22</v>
      </c>
      <c r="L8039" t="s" s="2">
        <v>22</v>
      </c>
      <c r="M8039" t="s" s="2">
        <v>22</v>
      </c>
    </row>
    <row r="8040" ht="25.0" customHeight="true">
      <c r="A8040" t="s" s="2">
        <v>13</v>
      </c>
      <c r="B8040" t="s" s="2">
        <f>HYPERLINK("http://ts.21cn.com/tousu/show/id/1363401","闪银哼哼催收")</f>
      </c>
      <c r="C8040" t="s" s="2">
        <v>15</v>
      </c>
      <c r="D8040" t="s" s="2">
        <v>16</v>
      </c>
      <c r="E8040" t="s" s="2">
        <v>17</v>
      </c>
      <c r="F8040" t="s" s="2">
        <f>HYPERLINK("http://ts.21cn.com/tousu/show/id/1363401","http://ts.21cn.com/tousu/show/id/1363401")</f>
      </c>
      <c r="G8040" t="s" s="2">
        <v>17</v>
      </c>
      <c r="H8040" t="s" s="2">
        <v>19</v>
      </c>
      <c r="I8040" t="s" s="2">
        <v>31055</v>
      </c>
      <c r="J8040" t="s" s="2">
        <v>31056</v>
      </c>
      <c r="K8040" t="s" s="2">
        <v>22</v>
      </c>
      <c r="L8040" t="s" s="2">
        <v>22</v>
      </c>
      <c r="M8040" t="s" s="2">
        <v>22</v>
      </c>
    </row>
    <row r="8041" ht="25.0" customHeight="true">
      <c r="A8041" t="s" s="2">
        <v>13</v>
      </c>
      <c r="B8041" t="s" s="2">
        <f>HYPERLINK("http://ts.21cn.com/tousu/show/id/1363392","如期分期收入高额技术手续费")</f>
      </c>
      <c r="C8041" t="s" s="2">
        <v>15</v>
      </c>
      <c r="D8041" t="s" s="2">
        <v>16</v>
      </c>
      <c r="E8041" t="s" s="2">
        <v>17</v>
      </c>
      <c r="F8041" t="s" s="2">
        <f>HYPERLINK("http://ts.21cn.com/tousu/show/id/1363392","http://ts.21cn.com/tousu/show/id/1363392")</f>
      </c>
      <c r="G8041" t="s" s="2">
        <v>17</v>
      </c>
      <c r="H8041" t="s" s="2">
        <v>19</v>
      </c>
      <c r="I8041" t="s" s="2">
        <v>31059</v>
      </c>
      <c r="J8041" t="s" s="2">
        <v>31060</v>
      </c>
      <c r="K8041" t="s" s="2">
        <v>22</v>
      </c>
      <c r="L8041" t="s" s="2">
        <v>22</v>
      </c>
      <c r="M8041" t="s" s="2">
        <v>22</v>
      </c>
    </row>
    <row r="8042" ht="25.0" customHeight="true">
      <c r="A8042" t="s" s="2">
        <v>13</v>
      </c>
      <c r="B8042" t="s" s="2">
        <f>HYPERLINK("http://ts.21cn.com/tousu/show/id/1363390","爱用商城违规发放砍头息")</f>
      </c>
      <c r="C8042" t="s" s="2">
        <v>15</v>
      </c>
      <c r="D8042" t="s" s="2">
        <v>16</v>
      </c>
      <c r="E8042" t="s" s="2">
        <v>17</v>
      </c>
      <c r="F8042" t="s" s="2">
        <f>HYPERLINK("http://ts.21cn.com/tousu/show/id/1363390","http://ts.21cn.com/tousu/show/id/1363390")</f>
      </c>
      <c r="G8042" t="s" s="2">
        <v>17</v>
      </c>
      <c r="H8042" t="s" s="2">
        <v>19</v>
      </c>
      <c r="I8042" t="s" s="2">
        <v>31063</v>
      </c>
      <c r="J8042" t="s" s="2">
        <v>31064</v>
      </c>
      <c r="K8042" t="s" s="2">
        <v>22</v>
      </c>
      <c r="L8042" t="s" s="2">
        <v>22</v>
      </c>
      <c r="M8042" t="s" s="2">
        <v>22</v>
      </c>
    </row>
    <row r="8043" ht="25.0" customHeight="true">
      <c r="A8043" t="s" s="2">
        <v>13</v>
      </c>
      <c r="B8043" t="s" s="2">
        <f>HYPERLINK("http://ts.21cn.com/tousu/show/id/1363387","国美金融无欠款不注销账户")</f>
      </c>
      <c r="C8043" t="s" s="2">
        <v>52</v>
      </c>
      <c r="D8043" t="s" s="2">
        <v>16</v>
      </c>
      <c r="E8043" t="s" s="2">
        <v>17</v>
      </c>
      <c r="F8043" t="s" s="2">
        <f>HYPERLINK("http://ts.21cn.com/tousu/show/id/1363387","http://ts.21cn.com/tousu/show/id/1363387")</f>
      </c>
      <c r="G8043" t="s" s="2">
        <v>17</v>
      </c>
      <c r="H8043" t="s" s="2">
        <v>19</v>
      </c>
      <c r="I8043" t="s" s="2">
        <v>31067</v>
      </c>
      <c r="J8043" t="s" s="2">
        <v>31068</v>
      </c>
      <c r="K8043" t="s" s="2">
        <v>22</v>
      </c>
      <c r="L8043" t="s" s="2">
        <v>22</v>
      </c>
      <c r="M8043" t="s" s="2">
        <v>22</v>
      </c>
    </row>
    <row r="8044" ht="25.0" customHeight="true">
      <c r="A8044" t="s" s="2">
        <v>13</v>
      </c>
      <c r="B8044" t="s" s="2">
        <f>HYPERLINK("http://ts.21cn.com/tousu/show/id/1363381","没有借款，说我在他们平台借款")</f>
      </c>
      <c r="C8044" t="s" s="2">
        <v>52</v>
      </c>
      <c r="D8044" t="s" s="2">
        <v>16</v>
      </c>
      <c r="E8044" t="s" s="2">
        <v>17</v>
      </c>
      <c r="F8044" t="s" s="2">
        <f>HYPERLINK("http://ts.21cn.com/tousu/show/id/1363381","http://ts.21cn.com/tousu/show/id/1363381")</f>
      </c>
      <c r="G8044" t="s" s="2">
        <v>17</v>
      </c>
      <c r="H8044" t="s" s="2">
        <v>19</v>
      </c>
      <c r="I8044" t="s" s="2">
        <v>31070</v>
      </c>
      <c r="J8044" t="s" s="2">
        <v>31071</v>
      </c>
      <c r="K8044" t="s" s="2">
        <v>22</v>
      </c>
      <c r="L8044" t="s" s="2">
        <v>22</v>
      </c>
      <c r="M8044" t="s" s="2">
        <v>22</v>
      </c>
    </row>
    <row r="8045" ht="25.0" customHeight="true">
      <c r="A8045" t="s" s="2">
        <v>13</v>
      </c>
      <c r="B8045" t="s" s="2">
        <f>HYPERLINK("http://ts.21cn.com/tousu/show/id/1363379","qq宠物停止运营导致虚拟人物消失，霸王条款")</f>
      </c>
      <c r="C8045" t="s" s="2">
        <v>15</v>
      </c>
      <c r="D8045" t="s" s="2">
        <v>16</v>
      </c>
      <c r="E8045" t="s" s="2">
        <v>17</v>
      </c>
      <c r="F8045" t="s" s="2">
        <f>HYPERLINK("http://ts.21cn.com/tousu/show/id/1363379","http://ts.21cn.com/tousu/show/id/1363379")</f>
      </c>
      <c r="G8045" t="s" s="2">
        <v>17</v>
      </c>
      <c r="H8045" t="s" s="2">
        <v>19</v>
      </c>
      <c r="I8045" t="s" s="2">
        <v>31074</v>
      </c>
      <c r="J8045" t="s" s="2">
        <v>31075</v>
      </c>
      <c r="K8045" t="s" s="2">
        <v>22</v>
      </c>
      <c r="L8045" t="s" s="2">
        <v>22</v>
      </c>
      <c r="M8045" t="s" s="2">
        <v>22</v>
      </c>
    </row>
    <row r="8046" ht="25.0" customHeight="true">
      <c r="A8046" t="s" s="2">
        <v>13</v>
      </c>
      <c r="B8046" t="s" s="2">
        <f>HYPERLINK("http://ts.21cn.com/tousu/show/id/1363376","易秒分期app无法登录，导致无法还款")</f>
      </c>
      <c r="C8046" t="s" s="2">
        <v>15</v>
      </c>
      <c r="D8046" t="s" s="2">
        <v>16</v>
      </c>
      <c r="E8046" t="s" s="2">
        <v>17</v>
      </c>
      <c r="F8046" t="s" s="2">
        <f>HYPERLINK("http://ts.21cn.com/tousu/show/id/1363376","http://ts.21cn.com/tousu/show/id/1363376")</f>
      </c>
      <c r="G8046" t="s" s="2">
        <v>17</v>
      </c>
      <c r="H8046" t="s" s="2">
        <v>19</v>
      </c>
      <c r="I8046" t="s" s="2">
        <v>31078</v>
      </c>
      <c r="J8046" t="s" s="2">
        <v>31079</v>
      </c>
      <c r="K8046" t="s" s="2">
        <v>22</v>
      </c>
      <c r="L8046" t="s" s="2">
        <v>22</v>
      </c>
      <c r="M8046" t="s" s="2">
        <v>22</v>
      </c>
    </row>
    <row r="8047" ht="25.0" customHeight="true">
      <c r="A8047" t="s" s="2">
        <v>13</v>
      </c>
      <c r="B8047" t="s" s="2">
        <f>HYPERLINK("http://ts.21cn.com/tousu/show/id/1363370","360借条爆通讯录")</f>
      </c>
      <c r="C8047" t="s" s="2">
        <v>15</v>
      </c>
      <c r="D8047" t="s" s="2">
        <v>16</v>
      </c>
      <c r="E8047" t="s" s="2">
        <v>17</v>
      </c>
      <c r="F8047" t="s" s="2">
        <f>HYPERLINK("http://ts.21cn.com/tousu/show/id/1363370","http://ts.21cn.com/tousu/show/id/1363370")</f>
      </c>
      <c r="G8047" t="s" s="2">
        <v>17</v>
      </c>
      <c r="H8047" t="s" s="2">
        <v>19</v>
      </c>
      <c r="I8047" t="s" s="2">
        <v>31081</v>
      </c>
      <c r="J8047" t="s" s="2">
        <v>31082</v>
      </c>
      <c r="K8047" t="s" s="2">
        <v>22</v>
      </c>
      <c r="L8047" t="s" s="2">
        <v>22</v>
      </c>
      <c r="M8047" t="s" s="2">
        <v>22</v>
      </c>
    </row>
    <row r="8048" ht="25.0" customHeight="true">
      <c r="A8048" t="s" s="2">
        <v>13</v>
      </c>
      <c r="B8048" t="s" s="2">
        <f>HYPERLINK("http://ts.21cn.com/tousu/show/id/1363369","多宝鱼APP无法还款")</f>
      </c>
      <c r="C8048" t="s" s="2">
        <v>15</v>
      </c>
      <c r="D8048" t="s" s="2">
        <v>16</v>
      </c>
      <c r="E8048" t="s" s="2">
        <v>17</v>
      </c>
      <c r="F8048" t="s" s="2">
        <f>HYPERLINK("http://ts.21cn.com/tousu/show/id/1363369","http://ts.21cn.com/tousu/show/id/1363369")</f>
      </c>
      <c r="G8048" t="s" s="2">
        <v>17</v>
      </c>
      <c r="H8048" t="s" s="2">
        <v>19</v>
      </c>
      <c r="I8048" t="s" s="2">
        <v>31085</v>
      </c>
      <c r="J8048" t="s" s="2">
        <v>31086</v>
      </c>
      <c r="K8048" t="s" s="2">
        <v>22</v>
      </c>
      <c r="L8048" t="s" s="2">
        <v>22</v>
      </c>
      <c r="M8048" t="s" s="2">
        <v>22</v>
      </c>
    </row>
    <row r="8049" ht="25.0" customHeight="true">
      <c r="A8049" t="s" s="2">
        <v>13</v>
      </c>
      <c r="B8049" t="s" s="2">
        <f>HYPERLINK("http://ts.21cn.com/tousu/show/id/1363368","民航联盟会员卡虚假宣传")</f>
      </c>
      <c r="C8049" t="s" s="2">
        <v>15</v>
      </c>
      <c r="D8049" t="s" s="2">
        <v>16</v>
      </c>
      <c r="E8049" t="s" s="2">
        <v>17</v>
      </c>
      <c r="F8049" t="s" s="2">
        <f>HYPERLINK("http://ts.21cn.com/tousu/show/id/1363368","http://ts.21cn.com/tousu/show/id/1363368")</f>
      </c>
      <c r="G8049" t="s" s="2">
        <v>17</v>
      </c>
      <c r="H8049" t="s" s="2">
        <v>19</v>
      </c>
      <c r="I8049" t="s" s="2">
        <v>31089</v>
      </c>
      <c r="J8049" t="s" s="2">
        <v>31090</v>
      </c>
      <c r="K8049" t="s" s="2">
        <v>22</v>
      </c>
      <c r="L8049" t="s" s="2">
        <v>22</v>
      </c>
      <c r="M8049" t="s" s="2">
        <v>22</v>
      </c>
    </row>
    <row r="8050" ht="25.0" customHeight="true">
      <c r="A8050" t="s" s="2">
        <v>13</v>
      </c>
      <c r="B8050" t="s" s="2">
        <f>HYPERLINK("http://ts.21cn.com/tousu/show/id/1363365","新橙优品砍头息并且恶意骚扰")</f>
      </c>
      <c r="C8050" t="s" s="2">
        <v>15</v>
      </c>
      <c r="D8050" t="s" s="2">
        <v>16</v>
      </c>
      <c r="E8050" t="s" s="2">
        <v>17</v>
      </c>
      <c r="F8050" t="s" s="2">
        <f>HYPERLINK("http://ts.21cn.com/tousu/show/id/1363365","http://ts.21cn.com/tousu/show/id/1363365")</f>
      </c>
      <c r="G8050" t="s" s="2">
        <v>17</v>
      </c>
      <c r="H8050" t="s" s="2">
        <v>19</v>
      </c>
      <c r="I8050" t="s" s="2">
        <v>31093</v>
      </c>
      <c r="J8050" t="s" s="2">
        <v>31094</v>
      </c>
      <c r="K8050" t="s" s="2">
        <v>22</v>
      </c>
      <c r="L8050" t="s" s="2">
        <v>22</v>
      </c>
      <c r="M8050" t="s" s="2">
        <v>22</v>
      </c>
    </row>
    <row r="8051" ht="25.0" customHeight="true">
      <c r="A8051" t="s" s="2">
        <v>13</v>
      </c>
      <c r="B8051" t="s" s="2">
        <f>HYPERLINK("http://ts.21cn.com/tousu/show/id/1363358","捷信消费金融违法催收")</f>
      </c>
      <c r="C8051" t="s" s="2">
        <v>15</v>
      </c>
      <c r="D8051" t="s" s="2">
        <v>16</v>
      </c>
      <c r="E8051" t="s" s="2">
        <v>17</v>
      </c>
      <c r="F8051" t="s" s="2">
        <f>HYPERLINK("http://ts.21cn.com/tousu/show/id/1363358","http://ts.21cn.com/tousu/show/id/1363358")</f>
      </c>
      <c r="G8051" t="s" s="2">
        <v>17</v>
      </c>
      <c r="H8051" t="s" s="2">
        <v>19</v>
      </c>
      <c r="I8051" t="s" s="2">
        <v>31097</v>
      </c>
      <c r="J8051" t="s" s="2">
        <v>31098</v>
      </c>
      <c r="K8051" t="s" s="2">
        <v>22</v>
      </c>
      <c r="L8051" t="s" s="2">
        <v>22</v>
      </c>
      <c r="M8051" t="s" s="2">
        <v>22</v>
      </c>
    </row>
    <row r="8052" ht="25.0" customHeight="true">
      <c r="A8052" t="s" s="2">
        <v>13</v>
      </c>
      <c r="B8052" t="s" s="2">
        <f>HYPERLINK("http://ts.21cn.com/tousu/show/id/1363352","高息加电话威胁")</f>
      </c>
      <c r="C8052" t="s" s="2">
        <v>15</v>
      </c>
      <c r="D8052" t="s" s="2">
        <v>16</v>
      </c>
      <c r="E8052" t="s" s="2">
        <v>17</v>
      </c>
      <c r="F8052" t="s" s="2">
        <f>HYPERLINK("http://ts.21cn.com/tousu/show/id/1363352","http://ts.21cn.com/tousu/show/id/1363352")</f>
      </c>
      <c r="G8052" t="s" s="2">
        <v>17</v>
      </c>
      <c r="H8052" t="s" s="2">
        <v>19</v>
      </c>
      <c r="I8052" t="s" s="2">
        <v>31101</v>
      </c>
      <c r="J8052" t="s" s="2">
        <v>31102</v>
      </c>
      <c r="K8052" t="s" s="2">
        <v>22</v>
      </c>
      <c r="L8052" t="s" s="2">
        <v>22</v>
      </c>
      <c r="M8052" t="s" s="2">
        <v>22</v>
      </c>
    </row>
    <row r="8053" ht="25.0" customHeight="true">
      <c r="A8053" t="s" s="2">
        <v>13</v>
      </c>
      <c r="B8053" t="s" s="2">
        <f>HYPERLINK("http://ts.21cn.com/tousu/show/id/1363347","钱包易贷砍头息")</f>
      </c>
      <c r="C8053" t="s" s="2">
        <v>15</v>
      </c>
      <c r="D8053" t="s" s="2">
        <v>16</v>
      </c>
      <c r="E8053" t="s" s="2">
        <v>17</v>
      </c>
      <c r="F8053" t="s" s="2">
        <f>HYPERLINK("http://ts.21cn.com/tousu/show/id/1363347","http://ts.21cn.com/tousu/show/id/1363347")</f>
      </c>
      <c r="G8053" t="s" s="2">
        <v>17</v>
      </c>
      <c r="H8053" t="s" s="2">
        <v>19</v>
      </c>
      <c r="I8053" t="s" s="2">
        <v>31104</v>
      </c>
      <c r="J8053" t="s" s="2">
        <v>31105</v>
      </c>
      <c r="K8053" t="s" s="2">
        <v>22</v>
      </c>
      <c r="L8053" t="s" s="2">
        <v>22</v>
      </c>
      <c r="M8053" t="s" s="2">
        <v>22</v>
      </c>
    </row>
    <row r="8054" ht="25.0" customHeight="true">
      <c r="A8054" t="s" s="2">
        <v>13</v>
      </c>
      <c r="B8054" t="s" s="2">
        <f>HYPERLINK("http://ts.21cn.com/tousu/show/id/1363346","高利贷")</f>
      </c>
      <c r="C8054" t="s" s="2">
        <v>15</v>
      </c>
      <c r="D8054" t="s" s="2">
        <v>16</v>
      </c>
      <c r="E8054" t="s" s="2">
        <v>17</v>
      </c>
      <c r="F8054" t="s" s="2">
        <f>HYPERLINK("http://ts.21cn.com/tousu/show/id/1363346","http://ts.21cn.com/tousu/show/id/1363346")</f>
      </c>
      <c r="G8054" t="s" s="2">
        <v>17</v>
      </c>
      <c r="H8054" t="s" s="2">
        <v>19</v>
      </c>
      <c r="I8054" t="s" s="2">
        <v>31107</v>
      </c>
      <c r="J8054" t="s" s="2">
        <v>31108</v>
      </c>
      <c r="K8054" t="s" s="2">
        <v>22</v>
      </c>
      <c r="L8054" t="s" s="2">
        <v>22</v>
      </c>
      <c r="M8054" t="s" s="2">
        <v>22</v>
      </c>
    </row>
    <row r="8055" ht="25.0" customHeight="true">
      <c r="A8055" t="s" s="2">
        <v>13</v>
      </c>
      <c r="B8055" t="s" s="2">
        <f>HYPERLINK("http://ts.21cn.com/tousu/show/id/1363343","虾米在线平台高利贷")</f>
      </c>
      <c r="C8055" t="s" s="2">
        <v>15</v>
      </c>
      <c r="D8055" t="s" s="2">
        <v>16</v>
      </c>
      <c r="E8055" t="s" s="2">
        <v>17</v>
      </c>
      <c r="F8055" t="s" s="2">
        <f>HYPERLINK("http://ts.21cn.com/tousu/show/id/1363343","http://ts.21cn.com/tousu/show/id/1363343")</f>
      </c>
      <c r="G8055" t="s" s="2">
        <v>17</v>
      </c>
      <c r="H8055" t="s" s="2">
        <v>19</v>
      </c>
      <c r="I8055" t="s" s="2">
        <v>31111</v>
      </c>
      <c r="J8055" t="s" s="2">
        <v>31112</v>
      </c>
      <c r="K8055" t="s" s="2">
        <v>22</v>
      </c>
      <c r="L8055" t="s" s="2">
        <v>22</v>
      </c>
      <c r="M8055" t="s" s="2">
        <v>22</v>
      </c>
    </row>
    <row r="8056" ht="25.0" customHeight="true">
      <c r="A8056" t="s" s="2">
        <v>13</v>
      </c>
      <c r="B8056" t="s" s="2">
        <f>HYPERLINK("http://ts.21cn.com/tousu/show/id/1363338","恒信永利非法放高利贷，暴力催收")</f>
      </c>
      <c r="C8056" t="s" s="2">
        <v>15</v>
      </c>
      <c r="D8056" t="s" s="2">
        <v>16</v>
      </c>
      <c r="E8056" t="s" s="2">
        <v>17</v>
      </c>
      <c r="F8056" t="s" s="2">
        <f>HYPERLINK("http://ts.21cn.com/tousu/show/id/1363338","http://ts.21cn.com/tousu/show/id/1363338")</f>
      </c>
      <c r="G8056" t="s" s="2">
        <v>17</v>
      </c>
      <c r="H8056" t="s" s="2">
        <v>19</v>
      </c>
      <c r="I8056" t="s" s="2">
        <v>31115</v>
      </c>
      <c r="J8056" t="s" s="2">
        <v>31116</v>
      </c>
      <c r="K8056" t="s" s="2">
        <v>22</v>
      </c>
      <c r="L8056" t="s" s="2">
        <v>22</v>
      </c>
      <c r="M8056" t="s" s="2">
        <v>22</v>
      </c>
    </row>
    <row r="8057" ht="25.0" customHeight="true">
      <c r="A8057" t="s" s="2">
        <v>13</v>
      </c>
      <c r="B8057" t="s" s="2">
        <f>HYPERLINK("http://ts.21cn.com/tousu/show/id/1363332","套路贷，砍头息，暴力催收，电话短信侮辱恐吓联系人")</f>
      </c>
      <c r="C8057" t="s" s="2">
        <v>15</v>
      </c>
      <c r="D8057" t="s" s="2">
        <v>16</v>
      </c>
      <c r="E8057" t="s" s="2">
        <v>17</v>
      </c>
      <c r="F8057" t="s" s="2">
        <f>HYPERLINK("http://ts.21cn.com/tousu/show/id/1363332","http://ts.21cn.com/tousu/show/id/1363332")</f>
      </c>
      <c r="G8057" t="s" s="2">
        <v>17</v>
      </c>
      <c r="H8057" t="s" s="2">
        <v>19</v>
      </c>
      <c r="I8057" t="s" s="2">
        <v>31119</v>
      </c>
      <c r="J8057" t="s" s="2">
        <v>31120</v>
      </c>
      <c r="K8057" t="s" s="2">
        <v>22</v>
      </c>
      <c r="L8057" t="s" s="2">
        <v>22</v>
      </c>
      <c r="M8057" t="s" s="2">
        <v>22</v>
      </c>
    </row>
    <row r="8058" ht="25.0" customHeight="true">
      <c r="A8058" t="s" s="2">
        <v>13</v>
      </c>
      <c r="B8058" t="s" s="2">
        <f>HYPERLINK("http://ts.21cn.com/tousu/show/id/1363325","闪电借款延期还款")</f>
      </c>
      <c r="C8058" t="s" s="2">
        <v>15</v>
      </c>
      <c r="D8058" t="s" s="2">
        <v>16</v>
      </c>
      <c r="E8058" t="s" s="2">
        <v>17</v>
      </c>
      <c r="F8058" t="s" s="2">
        <f>HYPERLINK("http://ts.21cn.com/tousu/show/id/1363325","http://ts.21cn.com/tousu/show/id/1363325")</f>
      </c>
      <c r="G8058" t="s" s="2">
        <v>17</v>
      </c>
      <c r="H8058" t="s" s="2">
        <v>19</v>
      </c>
      <c r="I8058" t="s" s="2">
        <v>31123</v>
      </c>
      <c r="J8058" t="s" s="2">
        <v>31124</v>
      </c>
      <c r="K8058" t="s" s="2">
        <v>22</v>
      </c>
      <c r="L8058" t="s" s="2">
        <v>22</v>
      </c>
      <c r="M8058" t="s" s="2">
        <v>22</v>
      </c>
    </row>
    <row r="8059" ht="25.0" customHeight="true">
      <c r="A8059" t="s" s="2">
        <v>13</v>
      </c>
      <c r="B8059" t="s" s="2">
        <f>HYPERLINK("http://ts.21cn.com/tousu/show/id/1363324","马上消费金融高利贷，套路贷，暴力催收")</f>
      </c>
      <c r="C8059" t="s" s="2">
        <v>15</v>
      </c>
      <c r="D8059" t="s" s="2">
        <v>16</v>
      </c>
      <c r="E8059" t="s" s="2">
        <v>17</v>
      </c>
      <c r="F8059" t="s" s="2">
        <f>HYPERLINK("http://ts.21cn.com/tousu/show/id/1363324","http://ts.21cn.com/tousu/show/id/1363324")</f>
      </c>
      <c r="G8059" t="s" s="2">
        <v>17</v>
      </c>
      <c r="H8059" t="s" s="2">
        <v>19</v>
      </c>
      <c r="I8059" t="s" s="2">
        <v>31127</v>
      </c>
      <c r="J8059" t="s" s="2">
        <v>31128</v>
      </c>
      <c r="K8059" t="s" s="2">
        <v>22</v>
      </c>
      <c r="L8059" t="s" s="2">
        <v>22</v>
      </c>
      <c r="M8059" t="s" s="2">
        <v>22</v>
      </c>
    </row>
    <row r="8060" ht="25.0" customHeight="true">
      <c r="A8060" t="s" s="2">
        <v>13</v>
      </c>
      <c r="B8060" t="s" s="2">
        <f>HYPERLINK("http://ts.21cn.com/tousu/show/id/1363321","钱伴威胁走流程，暴力催收")</f>
      </c>
      <c r="C8060" t="s" s="2">
        <v>15</v>
      </c>
      <c r="D8060" t="s" s="2">
        <v>16</v>
      </c>
      <c r="E8060" t="s" s="2">
        <v>17</v>
      </c>
      <c r="F8060" t="s" s="2">
        <f>HYPERLINK("http://ts.21cn.com/tousu/show/id/1363321","http://ts.21cn.com/tousu/show/id/1363321")</f>
      </c>
      <c r="G8060" t="s" s="2">
        <v>17</v>
      </c>
      <c r="H8060" t="s" s="2">
        <v>19</v>
      </c>
      <c r="I8060" t="s" s="2">
        <v>31131</v>
      </c>
      <c r="J8060" t="s" s="2">
        <v>31132</v>
      </c>
      <c r="K8060" t="s" s="2">
        <v>22</v>
      </c>
      <c r="L8060" t="s" s="2">
        <v>22</v>
      </c>
      <c r="M8060" t="s" s="2">
        <v>22</v>
      </c>
    </row>
    <row r="8061" ht="25.0" customHeight="true">
      <c r="A8061" t="s" s="2">
        <v>13</v>
      </c>
      <c r="B8061" t="s" s="2">
        <f>HYPERLINK("http://ts.21cn.com/tousu/show/id/1363305","招联金融暴力催收")</f>
      </c>
      <c r="C8061" t="s" s="2">
        <v>15</v>
      </c>
      <c r="D8061" t="s" s="2">
        <v>16</v>
      </c>
      <c r="E8061" t="s" s="2">
        <v>17</v>
      </c>
      <c r="F8061" t="s" s="2">
        <f>HYPERLINK("http://ts.21cn.com/tousu/show/id/1363305","http://ts.21cn.com/tousu/show/id/1363305")</f>
      </c>
      <c r="G8061" t="s" s="2">
        <v>17</v>
      </c>
      <c r="H8061" t="s" s="2">
        <v>19</v>
      </c>
      <c r="I8061" t="s" s="2">
        <v>31134</v>
      </c>
      <c r="J8061" t="s" s="2">
        <v>31135</v>
      </c>
      <c r="K8061" t="s" s="2">
        <v>22</v>
      </c>
      <c r="L8061" t="s" s="2">
        <v>22</v>
      </c>
      <c r="M8061" t="s" s="2">
        <v>22</v>
      </c>
    </row>
    <row r="8062" ht="25.0" customHeight="true">
      <c r="A8062" t="s" s="2">
        <v>13</v>
      </c>
      <c r="B8062" t="s" s="2">
        <f>HYPERLINK("http://ts.21cn.com/tousu/show/id/1363316","安逸花暴力催收恐吓")</f>
      </c>
      <c r="C8062" t="s" s="2">
        <v>15</v>
      </c>
      <c r="D8062" t="s" s="2">
        <v>16</v>
      </c>
      <c r="E8062" t="s" s="2">
        <v>17</v>
      </c>
      <c r="F8062" t="s" s="2">
        <f>HYPERLINK("http://ts.21cn.com/tousu/show/id/1363316","http://ts.21cn.com/tousu/show/id/1363316")</f>
      </c>
      <c r="G8062" t="s" s="2">
        <v>17</v>
      </c>
      <c r="H8062" t="s" s="2">
        <v>19</v>
      </c>
      <c r="I8062" t="s" s="2">
        <v>31138</v>
      </c>
      <c r="J8062" t="s" s="2">
        <v>31139</v>
      </c>
      <c r="K8062" t="s" s="2">
        <v>22</v>
      </c>
      <c r="L8062" t="s" s="2">
        <v>22</v>
      </c>
      <c r="M8062" t="s" s="2">
        <v>22</v>
      </c>
    </row>
    <row r="8063" ht="25.0" customHeight="true">
      <c r="A8063" t="s" s="2">
        <v>13</v>
      </c>
      <c r="B8063" t="s" s="2">
        <f>HYPERLINK("http://ts.21cn.com/tousu/show/id/1363314","微闪贷不经同意扣除301服务费")</f>
      </c>
      <c r="C8063" t="s" s="2">
        <v>15</v>
      </c>
      <c r="D8063" t="s" s="2">
        <v>16</v>
      </c>
      <c r="E8063" t="s" s="2">
        <v>17</v>
      </c>
      <c r="F8063" t="s" s="2">
        <f>HYPERLINK("http://ts.21cn.com/tousu/show/id/1363314","http://ts.21cn.com/tousu/show/id/1363314")</f>
      </c>
      <c r="G8063" t="s" s="2">
        <v>17</v>
      </c>
      <c r="H8063" t="s" s="2">
        <v>19</v>
      </c>
      <c r="I8063" t="s" s="2">
        <v>31142</v>
      </c>
      <c r="J8063" t="s" s="2">
        <v>31143</v>
      </c>
      <c r="K8063" t="s" s="2">
        <v>22</v>
      </c>
      <c r="L8063" t="s" s="2">
        <v>22</v>
      </c>
      <c r="M8063" t="s" s="2">
        <v>22</v>
      </c>
    </row>
    <row r="8064" ht="25.0" customHeight="true">
      <c r="A8064" t="s" s="2">
        <v>13</v>
      </c>
      <c r="B8064" t="s" s="2">
        <f>HYPERLINK("http://ts.21cn.com/tousu/show/id/1363313","投诉苏宁金融骚扰")</f>
      </c>
      <c r="C8064" t="s" s="2">
        <v>15</v>
      </c>
      <c r="D8064" t="s" s="2">
        <v>16</v>
      </c>
      <c r="E8064" t="s" s="2">
        <v>17</v>
      </c>
      <c r="F8064" t="s" s="2">
        <f>HYPERLINK("http://ts.21cn.com/tousu/show/id/1363313","http://ts.21cn.com/tousu/show/id/1363313")</f>
      </c>
      <c r="G8064" t="s" s="2">
        <v>17</v>
      </c>
      <c r="H8064" t="s" s="2">
        <v>19</v>
      </c>
      <c r="I8064" t="s" s="2">
        <v>31146</v>
      </c>
      <c r="J8064" t="s" s="2">
        <v>31147</v>
      </c>
      <c r="K8064" t="s" s="2">
        <v>22</v>
      </c>
      <c r="L8064" t="s" s="2">
        <v>22</v>
      </c>
      <c r="M8064" t="s" s="2">
        <v>22</v>
      </c>
    </row>
    <row r="8065" ht="25.0" customHeight="true">
      <c r="A8065" t="s" s="2">
        <v>13</v>
      </c>
      <c r="B8065" t="s" s="2">
        <f>HYPERLINK("http://ts.21cn.com/tousu/show/id/1363290","小米贷款骚扰第三方")</f>
      </c>
      <c r="C8065" t="s" s="2">
        <v>15</v>
      </c>
      <c r="D8065" t="s" s="2">
        <v>16</v>
      </c>
      <c r="E8065" t="s" s="2">
        <v>17</v>
      </c>
      <c r="F8065" t="s" s="2">
        <f>HYPERLINK("http://ts.21cn.com/tousu/show/id/1363290","http://ts.21cn.com/tousu/show/id/1363290")</f>
      </c>
      <c r="G8065" t="s" s="2">
        <v>17</v>
      </c>
      <c r="H8065" t="s" s="2">
        <v>19</v>
      </c>
      <c r="I8065" t="s" s="2">
        <v>31150</v>
      </c>
      <c r="J8065" t="s" s="2">
        <v>31151</v>
      </c>
      <c r="K8065" t="s" s="2">
        <v>22</v>
      </c>
      <c r="L8065" t="s" s="2">
        <v>22</v>
      </c>
      <c r="M8065" t="s" s="2">
        <v>22</v>
      </c>
    </row>
    <row r="8066" ht="25.0" customHeight="true">
      <c r="A8066" t="s" s="2">
        <v>13</v>
      </c>
      <c r="B8066" t="s" s="2">
        <f>HYPERLINK("http://ts.21cn.com/tousu/show/id/1363310","影响正常工作")</f>
      </c>
      <c r="C8066" t="s" s="2">
        <v>52</v>
      </c>
      <c r="D8066" t="s" s="2">
        <v>16</v>
      </c>
      <c r="E8066" t="s" s="2">
        <v>17</v>
      </c>
      <c r="F8066" t="s" s="2">
        <f>HYPERLINK("http://ts.21cn.com/tousu/show/id/1363310","http://ts.21cn.com/tousu/show/id/1363310")</f>
      </c>
      <c r="G8066" t="s" s="2">
        <v>17</v>
      </c>
      <c r="H8066" t="s" s="2">
        <v>19</v>
      </c>
      <c r="I8066" t="s" s="2">
        <v>31154</v>
      </c>
      <c r="J8066" t="s" s="2">
        <v>31155</v>
      </c>
      <c r="K8066" t="s" s="2">
        <v>22</v>
      </c>
      <c r="L8066" t="s" s="2">
        <v>22</v>
      </c>
      <c r="M8066" t="s" s="2">
        <v>22</v>
      </c>
    </row>
    <row r="8067" ht="25.0" customHeight="true">
      <c r="A8067" t="s" s="2">
        <v>13</v>
      </c>
      <c r="B8067" t="s" s="2">
        <f>HYPERLINK("http://ts.21cn.com/tousu/show/id/1363303","比特矿场利用投资高回报最后跑路")</f>
      </c>
      <c r="C8067" t="s" s="2">
        <v>15</v>
      </c>
      <c r="D8067" t="s" s="2">
        <v>16</v>
      </c>
      <c r="E8067" t="s" s="2">
        <v>17</v>
      </c>
      <c r="F8067" t="s" s="2">
        <f>HYPERLINK("http://ts.21cn.com/tousu/show/id/1363303","http://ts.21cn.com/tousu/show/id/1363303")</f>
      </c>
      <c r="G8067" t="s" s="2">
        <v>17</v>
      </c>
      <c r="H8067" t="s" s="2">
        <v>19</v>
      </c>
      <c r="I8067" t="s" s="2">
        <v>31158</v>
      </c>
      <c r="J8067" t="s" s="2">
        <v>31159</v>
      </c>
      <c r="K8067" t="s" s="2">
        <v>22</v>
      </c>
      <c r="L8067" t="s" s="2">
        <v>22</v>
      </c>
      <c r="M8067" t="s" s="2">
        <v>22</v>
      </c>
    </row>
    <row r="8068" ht="25.0" customHeight="true">
      <c r="A8068" t="s" s="2">
        <v>13</v>
      </c>
      <c r="B8068" t="s" s="2">
        <f>HYPERLINK("http://ts.21cn.com/tousu/show/id/1363302","拼多多无缘无故冻结我资金不让我提现")</f>
      </c>
      <c r="C8068" t="s" s="2">
        <v>15</v>
      </c>
      <c r="D8068" t="s" s="2">
        <v>16</v>
      </c>
      <c r="E8068" t="s" s="2">
        <v>17</v>
      </c>
      <c r="F8068" t="s" s="2">
        <f>HYPERLINK("http://ts.21cn.com/tousu/show/id/1363302","http://ts.21cn.com/tousu/show/id/1363302")</f>
      </c>
      <c r="G8068" t="s" s="2">
        <v>17</v>
      </c>
      <c r="H8068" t="s" s="2">
        <v>19</v>
      </c>
      <c r="I8068" t="s" s="2">
        <v>31162</v>
      </c>
      <c r="J8068" t="s" s="2">
        <v>31163</v>
      </c>
      <c r="K8068" t="s" s="2">
        <v>22</v>
      </c>
      <c r="L8068" t="s" s="2">
        <v>22</v>
      </c>
      <c r="M8068" t="s" s="2">
        <v>22</v>
      </c>
    </row>
    <row r="8069" ht="25.0" customHeight="true">
      <c r="A8069" t="s" s="2">
        <v>13</v>
      </c>
      <c r="B8069" t="s" s="2">
        <f>HYPERLINK("http://ts.21cn.com/tousu/show/id/1363299","个人信息泄露")</f>
      </c>
      <c r="C8069" t="s" s="2">
        <v>15</v>
      </c>
      <c r="D8069" t="s" s="2">
        <v>16</v>
      </c>
      <c r="E8069" t="s" s="2">
        <v>17</v>
      </c>
      <c r="F8069" t="s" s="2">
        <f>HYPERLINK("http://ts.21cn.com/tousu/show/id/1363299","http://ts.21cn.com/tousu/show/id/1363299")</f>
      </c>
      <c r="G8069" t="s" s="2">
        <v>17</v>
      </c>
      <c r="H8069" t="s" s="2">
        <v>19</v>
      </c>
      <c r="I8069" t="s" s="2">
        <v>31166</v>
      </c>
      <c r="J8069" t="s" s="2">
        <v>31167</v>
      </c>
      <c r="K8069" t="s" s="2">
        <v>22</v>
      </c>
      <c r="L8069" t="s" s="2">
        <v>22</v>
      </c>
      <c r="M8069" t="s" s="2">
        <v>22</v>
      </c>
    </row>
    <row r="8070" ht="25.0" customHeight="true">
      <c r="A8070" t="s" s="2">
        <v>13</v>
      </c>
      <c r="B8070" t="s" s="2">
        <f>HYPERLINK("http://ts.21cn.com/tousu/show/id/1363293","不能还款")</f>
      </c>
      <c r="C8070" t="s" s="2">
        <v>52</v>
      </c>
      <c r="D8070" t="s" s="2">
        <v>16</v>
      </c>
      <c r="E8070" t="s" s="2">
        <v>17</v>
      </c>
      <c r="F8070" t="s" s="2">
        <f>HYPERLINK("http://ts.21cn.com/tousu/show/id/1363293","http://ts.21cn.com/tousu/show/id/1363293")</f>
      </c>
      <c r="G8070" t="s" s="2">
        <v>17</v>
      </c>
      <c r="H8070" t="s" s="2">
        <v>19</v>
      </c>
      <c r="I8070" t="s" s="2">
        <v>31170</v>
      </c>
      <c r="J8070" t="s" s="2">
        <v>31171</v>
      </c>
      <c r="K8070" t="s" s="2">
        <v>22</v>
      </c>
      <c r="L8070" t="s" s="2">
        <v>22</v>
      </c>
      <c r="M8070" t="s" s="2">
        <v>22</v>
      </c>
    </row>
    <row r="8071" ht="25.0" customHeight="true">
      <c r="A8071" t="s" s="2">
        <v>13</v>
      </c>
      <c r="B8071" t="s" s="2">
        <f>HYPERLINK("http://ts.21cn.com/tousu/show/id/1363291","聚福钱包未经许可私自扣款")</f>
      </c>
      <c r="C8071" t="s" s="2">
        <v>15</v>
      </c>
      <c r="D8071" t="s" s="2">
        <v>16</v>
      </c>
      <c r="E8071" t="s" s="2">
        <v>17</v>
      </c>
      <c r="F8071" t="s" s="2">
        <f>HYPERLINK("http://ts.21cn.com/tousu/show/id/1363291","http://ts.21cn.com/tousu/show/id/1363291")</f>
      </c>
      <c r="G8071" t="s" s="2">
        <v>17</v>
      </c>
      <c r="H8071" t="s" s="2">
        <v>19</v>
      </c>
      <c r="I8071" t="s" s="2">
        <v>31173</v>
      </c>
      <c r="J8071" t="s" s="2">
        <v>31174</v>
      </c>
      <c r="K8071" t="s" s="2">
        <v>22</v>
      </c>
      <c r="L8071" t="s" s="2">
        <v>22</v>
      </c>
      <c r="M8071" t="s" s="2">
        <v>22</v>
      </c>
    </row>
    <row r="8072" ht="25.0" customHeight="true">
      <c r="A8072" t="s" s="2">
        <v>13</v>
      </c>
      <c r="B8072" t="s" s="2">
        <f>HYPERLINK("http://ts.21cn.com/tousu/show/id/1363282","恐吓家里人上门，要拉黑征信，骚扰")</f>
      </c>
      <c r="C8072" t="s" s="2">
        <v>15</v>
      </c>
      <c r="D8072" t="s" s="2">
        <v>16</v>
      </c>
      <c r="E8072" t="s" s="2">
        <v>17</v>
      </c>
      <c r="F8072" t="s" s="2">
        <f>HYPERLINK("http://ts.21cn.com/tousu/show/id/1363282","http://ts.21cn.com/tousu/show/id/1363282")</f>
      </c>
      <c r="G8072" t="s" s="2">
        <v>17</v>
      </c>
      <c r="H8072" t="s" s="2">
        <v>19</v>
      </c>
      <c r="I8072" t="s" s="2">
        <v>31177</v>
      </c>
      <c r="J8072" t="s" s="2">
        <v>31178</v>
      </c>
      <c r="K8072" t="s" s="2">
        <v>22</v>
      </c>
      <c r="L8072" t="s" s="2">
        <v>22</v>
      </c>
      <c r="M8072" t="s" s="2">
        <v>22</v>
      </c>
    </row>
    <row r="8073" ht="25.0" customHeight="true">
      <c r="A8073" t="s" s="2">
        <v>13</v>
      </c>
      <c r="B8073" t="s" s="2">
        <f>HYPERLINK("http://ts.21cn.com/tousu/show/id/1363280","关于招商银行第三方委托机构杭州市涌辰咨询有限公司违法经营的举报")</f>
      </c>
      <c r="C8073" t="s" s="2">
        <v>15</v>
      </c>
      <c r="D8073" t="s" s="2">
        <v>16</v>
      </c>
      <c r="E8073" t="s" s="2">
        <v>17</v>
      </c>
      <c r="F8073" t="s" s="2">
        <f>HYPERLINK("http://ts.21cn.com/tousu/show/id/1363280","http://ts.21cn.com/tousu/show/id/1363280")</f>
      </c>
      <c r="G8073" t="s" s="2">
        <v>17</v>
      </c>
      <c r="H8073" t="s" s="2">
        <v>19</v>
      </c>
      <c r="I8073" t="s" s="2">
        <v>31181</v>
      </c>
      <c r="J8073" t="s" s="2">
        <v>31182</v>
      </c>
      <c r="K8073" t="s" s="2">
        <v>22</v>
      </c>
      <c r="L8073" t="s" s="2">
        <v>22</v>
      </c>
      <c r="M8073" t="s" s="2">
        <v>22</v>
      </c>
    </row>
    <row r="8074" ht="25.0" customHeight="true">
      <c r="A8074" t="s" s="2">
        <v>13</v>
      </c>
      <c r="B8074" t="s" s="2">
        <f>HYPERLINK("http://ts.21cn.com/tousu/show/id/1363277","浦发银行信用卡")</f>
      </c>
      <c r="C8074" t="s" s="2">
        <v>15</v>
      </c>
      <c r="D8074" t="s" s="2">
        <v>16</v>
      </c>
      <c r="E8074" t="s" s="2">
        <v>17</v>
      </c>
      <c r="F8074" t="s" s="2">
        <f>HYPERLINK("http://ts.21cn.com/tousu/show/id/1363277","http://ts.21cn.com/tousu/show/id/1363277")</f>
      </c>
      <c r="G8074" t="s" s="2">
        <v>17</v>
      </c>
      <c r="H8074" t="s" s="2">
        <v>19</v>
      </c>
      <c r="I8074" t="s" s="2">
        <v>31184</v>
      </c>
      <c r="J8074" t="s" s="2">
        <v>31185</v>
      </c>
      <c r="K8074" t="s" s="2">
        <v>22</v>
      </c>
      <c r="L8074" t="s" s="2">
        <v>22</v>
      </c>
      <c r="M8074" t="s" s="2">
        <v>22</v>
      </c>
    </row>
    <row r="8075" ht="25.0" customHeight="true">
      <c r="A8075" t="s" s="2">
        <v>13</v>
      </c>
      <c r="B8075" t="s" s="2">
        <f>HYPERLINK("http://ts.21cn.com/tousu/show/id/1363203","车贷金融问题")</f>
      </c>
      <c r="C8075" t="s" s="2">
        <v>15</v>
      </c>
      <c r="D8075" t="s" s="2">
        <v>16</v>
      </c>
      <c r="E8075" t="s" s="2">
        <v>17</v>
      </c>
      <c r="F8075" t="s" s="2">
        <f>HYPERLINK("http://ts.21cn.com/tousu/show/id/1363203","http://ts.21cn.com/tousu/show/id/1363203")</f>
      </c>
      <c r="G8075" t="s" s="2">
        <v>17</v>
      </c>
      <c r="H8075" t="s" s="2">
        <v>19</v>
      </c>
      <c r="I8075" t="s" s="2">
        <v>31188</v>
      </c>
      <c r="J8075" t="s" s="2">
        <v>31189</v>
      </c>
      <c r="K8075" t="s" s="2">
        <v>22</v>
      </c>
      <c r="L8075" t="s" s="2">
        <v>22</v>
      </c>
      <c r="M8075" t="s" s="2">
        <v>22</v>
      </c>
    </row>
    <row r="8076" ht="25.0" customHeight="true">
      <c r="A8076" t="s" s="2">
        <v>13</v>
      </c>
      <c r="B8076" t="s" s="2">
        <f>HYPERLINK("http://ts.21cn.com/tousu/show/id/1363271","OPPOR9sPlus手机无限重启无法开机影响使用")</f>
      </c>
      <c r="C8076" t="s" s="2">
        <v>15</v>
      </c>
      <c r="D8076" t="s" s="2">
        <v>16</v>
      </c>
      <c r="E8076" t="s" s="2">
        <v>17</v>
      </c>
      <c r="F8076" t="s" s="2">
        <f>HYPERLINK("http://ts.21cn.com/tousu/show/id/1363271","http://ts.21cn.com/tousu/show/id/1363271")</f>
      </c>
      <c r="G8076" t="s" s="2">
        <v>17</v>
      </c>
      <c r="H8076" t="s" s="2">
        <v>19</v>
      </c>
      <c r="I8076" t="s" s="2">
        <v>31192</v>
      </c>
      <c r="J8076" t="s" s="2">
        <v>31193</v>
      </c>
      <c r="K8076" t="s" s="2">
        <v>22</v>
      </c>
      <c r="L8076" t="s" s="2">
        <v>22</v>
      </c>
      <c r="M8076" t="s" s="2">
        <v>22</v>
      </c>
    </row>
    <row r="8077" ht="25.0" customHeight="true">
      <c r="A8077" t="s" s="2">
        <v>13</v>
      </c>
      <c r="B8077" t="s" s="2">
        <f>HYPERLINK("http://ts.21cn.com/tousu/show/id/1360858","甘肃省文化产权交易中心虚假宣传")</f>
      </c>
      <c r="C8077" t="s" s="2">
        <v>15</v>
      </c>
      <c r="D8077" t="s" s="2">
        <v>16</v>
      </c>
      <c r="E8077" t="s" s="2">
        <v>17</v>
      </c>
      <c r="F8077" t="s" s="2">
        <f>HYPERLINK("http://ts.21cn.com/tousu/show/id/1360858","http://ts.21cn.com/tousu/show/id/1360858")</f>
      </c>
      <c r="G8077" t="s" s="2">
        <v>17</v>
      </c>
      <c r="H8077" t="s" s="2">
        <v>19</v>
      </c>
      <c r="I8077" t="s" s="2">
        <v>31196</v>
      </c>
      <c r="J8077" t="s" s="2">
        <v>31197</v>
      </c>
      <c r="K8077" t="s" s="2">
        <v>22</v>
      </c>
      <c r="L8077" t="s" s="2">
        <v>22</v>
      </c>
      <c r="M8077" t="s" s="2">
        <v>22</v>
      </c>
    </row>
    <row r="8078" ht="25.0" customHeight="true">
      <c r="A8078" t="s" s="2">
        <v>13</v>
      </c>
      <c r="B8078" t="s" s="2">
        <f>HYPERLINK("http://ts.21cn.com/tousu/show/id/1363269","苏宁以商品“拆封”为由，拒绝退货")</f>
      </c>
      <c r="C8078" t="s" s="2">
        <v>15</v>
      </c>
      <c r="D8078" t="s" s="2">
        <v>16</v>
      </c>
      <c r="E8078" t="s" s="2">
        <v>17</v>
      </c>
      <c r="F8078" t="s" s="2">
        <f>HYPERLINK("http://ts.21cn.com/tousu/show/id/1363269","http://ts.21cn.com/tousu/show/id/1363269")</f>
      </c>
      <c r="G8078" t="s" s="2">
        <v>17</v>
      </c>
      <c r="H8078" t="s" s="2">
        <v>19</v>
      </c>
      <c r="I8078" t="s" s="2">
        <v>31200</v>
      </c>
      <c r="J8078" t="s" s="2">
        <v>31201</v>
      </c>
      <c r="K8078" t="s" s="2">
        <v>22</v>
      </c>
      <c r="L8078" t="s" s="2">
        <v>22</v>
      </c>
      <c r="M8078" t="s" s="2">
        <v>22</v>
      </c>
    </row>
    <row r="8079" ht="25.0" customHeight="true">
      <c r="A8079" t="s" s="2">
        <v>13</v>
      </c>
      <c r="B8079" t="s" s="2">
        <f>HYPERLINK("http://ts.21cn.com/tousu/show/id/1363266","小花钱包骚扰")</f>
      </c>
      <c r="C8079" t="s" s="2">
        <v>15</v>
      </c>
      <c r="D8079" t="s" s="2">
        <v>16</v>
      </c>
      <c r="E8079" t="s" s="2">
        <v>17</v>
      </c>
      <c r="F8079" t="s" s="2">
        <f>HYPERLINK("http://ts.21cn.com/tousu/show/id/1363266","http://ts.21cn.com/tousu/show/id/1363266")</f>
      </c>
      <c r="G8079" t="s" s="2">
        <v>17</v>
      </c>
      <c r="H8079" t="s" s="2">
        <v>19</v>
      </c>
      <c r="I8079" t="s" s="2">
        <v>31203</v>
      </c>
      <c r="J8079" t="s" s="2">
        <v>31204</v>
      </c>
      <c r="K8079" t="s" s="2">
        <v>22</v>
      </c>
      <c r="L8079" t="s" s="2">
        <v>22</v>
      </c>
      <c r="M8079" t="s" s="2">
        <v>22</v>
      </c>
    </row>
    <row r="8080" ht="25.0" customHeight="true">
      <c r="A8080" t="s" s="2">
        <v>13</v>
      </c>
      <c r="B8080" t="s" s="2">
        <f>HYPERLINK("http://ts.21cn.com/tousu/show/id/1363259","百度有钱花轰炸通讯录")</f>
      </c>
      <c r="C8080" t="s" s="2">
        <v>52</v>
      </c>
      <c r="D8080" t="s" s="2">
        <v>16</v>
      </c>
      <c r="E8080" t="s" s="2">
        <v>17</v>
      </c>
      <c r="F8080" t="s" s="2">
        <f>HYPERLINK("http://ts.21cn.com/tousu/show/id/1363259","http://ts.21cn.com/tousu/show/id/1363259")</f>
      </c>
      <c r="G8080" t="s" s="2">
        <v>17</v>
      </c>
      <c r="H8080" t="s" s="2">
        <v>19</v>
      </c>
      <c r="I8080" t="s" s="2">
        <v>31207</v>
      </c>
      <c r="J8080" t="s" s="2">
        <v>31208</v>
      </c>
      <c r="K8080" t="s" s="2">
        <v>22</v>
      </c>
      <c r="L8080" t="s" s="2">
        <v>22</v>
      </c>
      <c r="M8080" t="s" s="2">
        <v>22</v>
      </c>
    </row>
    <row r="8081" ht="25.0" customHeight="true">
      <c r="A8081" t="s" s="2">
        <v>13</v>
      </c>
      <c r="B8081" t="s" s="2">
        <f>HYPERLINK("http://ts.21cn.com/tousu/show/id/1363260","聚富分期恶意扣款")</f>
      </c>
      <c r="C8081" t="s" s="2">
        <v>15</v>
      </c>
      <c r="D8081" t="s" s="2">
        <v>16</v>
      </c>
      <c r="E8081" t="s" s="2">
        <v>17</v>
      </c>
      <c r="F8081" t="s" s="2">
        <f>HYPERLINK("http://ts.21cn.com/tousu/show/id/1363260","http://ts.21cn.com/tousu/show/id/1363260")</f>
      </c>
      <c r="G8081" t="s" s="2">
        <v>17</v>
      </c>
      <c r="H8081" t="s" s="2">
        <v>19</v>
      </c>
      <c r="I8081" t="s" s="2">
        <v>31211</v>
      </c>
      <c r="J8081" t="s" s="2">
        <v>31212</v>
      </c>
      <c r="K8081" t="s" s="2">
        <v>22</v>
      </c>
      <c r="L8081" t="s" s="2">
        <v>22</v>
      </c>
      <c r="M8081" t="s" s="2">
        <v>22</v>
      </c>
    </row>
    <row r="8082" ht="25.0" customHeight="true">
      <c r="A8082" t="s" s="2">
        <v>13</v>
      </c>
      <c r="B8082" t="s" s="2">
        <f>HYPERLINK("http://ts.21cn.com/tousu/show/id/1363255","马上消费金融，暴力催收，群发短信，恐吓催收")</f>
      </c>
      <c r="C8082" t="s" s="2">
        <v>15</v>
      </c>
      <c r="D8082" t="s" s="2">
        <v>16</v>
      </c>
      <c r="E8082" t="s" s="2">
        <v>17</v>
      </c>
      <c r="F8082" t="s" s="2">
        <f>HYPERLINK("http://ts.21cn.com/tousu/show/id/1363255","http://ts.21cn.com/tousu/show/id/1363255")</f>
      </c>
      <c r="G8082" t="s" s="2">
        <v>17</v>
      </c>
      <c r="H8082" t="s" s="2">
        <v>19</v>
      </c>
      <c r="I8082" t="s" s="2">
        <v>31214</v>
      </c>
      <c r="J8082" t="s" s="2">
        <v>31215</v>
      </c>
      <c r="K8082" t="s" s="2">
        <v>22</v>
      </c>
      <c r="L8082" t="s" s="2">
        <v>22</v>
      </c>
      <c r="M8082" t="s" s="2">
        <v>22</v>
      </c>
    </row>
    <row r="8083" ht="25.0" customHeight="true">
      <c r="A8083" t="s" s="2">
        <v>13</v>
      </c>
      <c r="B8083" t="s" s="2">
        <f>HYPERLINK("http://ts.21cn.com/tousu/show/id/1363247","暴力催收电话骚扰，恶意散播信息")</f>
      </c>
      <c r="C8083" t="s" s="2">
        <v>15</v>
      </c>
      <c r="D8083" t="s" s="2">
        <v>16</v>
      </c>
      <c r="E8083" t="s" s="2">
        <v>17</v>
      </c>
      <c r="F8083" t="s" s="2">
        <f>HYPERLINK("http://ts.21cn.com/tousu/show/id/1363247","http://ts.21cn.com/tousu/show/id/1363247")</f>
      </c>
      <c r="G8083" t="s" s="2">
        <v>17</v>
      </c>
      <c r="H8083" t="s" s="2">
        <v>19</v>
      </c>
      <c r="I8083" t="s" s="2">
        <v>31218</v>
      </c>
      <c r="J8083" t="s" s="2">
        <v>31219</v>
      </c>
      <c r="K8083" t="s" s="2">
        <v>22</v>
      </c>
      <c r="L8083" t="s" s="2">
        <v>22</v>
      </c>
      <c r="M8083" t="s" s="2">
        <v>22</v>
      </c>
    </row>
    <row r="8084" ht="25.0" customHeight="true">
      <c r="A8084" t="s" s="2">
        <v>13</v>
      </c>
      <c r="B8084" t="s" s="2">
        <f>HYPERLINK("http://ts.21cn.com/tousu/show/id/1363244","上门威胁")</f>
      </c>
      <c r="C8084" t="s" s="2">
        <v>15</v>
      </c>
      <c r="D8084" t="s" s="2">
        <v>16</v>
      </c>
      <c r="E8084" t="s" s="2">
        <v>17</v>
      </c>
      <c r="F8084" t="s" s="2">
        <f>HYPERLINK("http://ts.21cn.com/tousu/show/id/1363244","http://ts.21cn.com/tousu/show/id/1363244")</f>
      </c>
      <c r="G8084" t="s" s="2">
        <v>17</v>
      </c>
      <c r="H8084" t="s" s="2">
        <v>19</v>
      </c>
      <c r="I8084" t="s" s="2">
        <v>31222</v>
      </c>
      <c r="J8084" t="s" s="2">
        <v>31223</v>
      </c>
      <c r="K8084" t="s" s="2">
        <v>22</v>
      </c>
      <c r="L8084" t="s" s="2">
        <v>22</v>
      </c>
      <c r="M8084" t="s" s="2">
        <v>22</v>
      </c>
    </row>
    <row r="8085" ht="25.0" customHeight="true">
      <c r="A8085" t="s" s="2">
        <v>13</v>
      </c>
      <c r="B8085" t="s" s="2">
        <f>HYPERLINK("http://ts.21cn.com/tousu/show/id/1363239","云闪付，中国正规清算机构为违法软件提供转账渠道")</f>
      </c>
      <c r="C8085" t="s" s="2">
        <v>15</v>
      </c>
      <c r="D8085" t="s" s="2">
        <v>16</v>
      </c>
      <c r="E8085" t="s" s="2">
        <v>17</v>
      </c>
      <c r="F8085" t="s" s="2">
        <f>HYPERLINK("http://ts.21cn.com/tousu/show/id/1363239","http://ts.21cn.com/tousu/show/id/1363239")</f>
      </c>
      <c r="G8085" t="s" s="2">
        <v>17</v>
      </c>
      <c r="H8085" t="s" s="2">
        <v>19</v>
      </c>
      <c r="I8085" t="s" s="2">
        <v>31226</v>
      </c>
      <c r="J8085" t="s" s="2">
        <v>31227</v>
      </c>
      <c r="K8085" t="s" s="2">
        <v>22</v>
      </c>
      <c r="L8085" t="s" s="2">
        <v>22</v>
      </c>
      <c r="M8085" t="s" s="2">
        <v>22</v>
      </c>
    </row>
    <row r="8086" ht="25.0" customHeight="true">
      <c r="A8086" t="s" s="2">
        <v>13</v>
      </c>
      <c r="B8086" t="s" s="2">
        <f>HYPERLINK("http://ts.21cn.com/tousu/show/id/1363222","小闪分期超高额罚息问题依然没解决，无视中国法律")</f>
      </c>
      <c r="C8086" t="s" s="2">
        <v>15</v>
      </c>
      <c r="D8086" t="s" s="2">
        <v>16</v>
      </c>
      <c r="E8086" t="s" s="2">
        <v>17</v>
      </c>
      <c r="F8086" t="s" s="2">
        <f>HYPERLINK("http://ts.21cn.com/tousu/show/id/1363222","http://ts.21cn.com/tousu/show/id/1363222")</f>
      </c>
      <c r="G8086" t="s" s="2">
        <v>17</v>
      </c>
      <c r="H8086" t="s" s="2">
        <v>19</v>
      </c>
      <c r="I8086" t="s" s="2">
        <v>31230</v>
      </c>
      <c r="J8086" t="s" s="2">
        <v>31231</v>
      </c>
      <c r="K8086" t="s" s="2">
        <v>22</v>
      </c>
      <c r="L8086" t="s" s="2">
        <v>22</v>
      </c>
      <c r="M8086" t="s" s="2">
        <v>22</v>
      </c>
    </row>
    <row r="8087" ht="25.0" customHeight="true">
      <c r="A8087" t="s" s="2">
        <v>13</v>
      </c>
      <c r="B8087" t="s" s="2">
        <f>HYPERLINK("http://ts.21cn.com/tousu/show/id/1363237","被豹子贷恶意扣款200")</f>
      </c>
      <c r="C8087" t="s" s="2">
        <v>15</v>
      </c>
      <c r="D8087" t="s" s="2">
        <v>16</v>
      </c>
      <c r="E8087" t="s" s="2">
        <v>17</v>
      </c>
      <c r="F8087" t="s" s="2">
        <f>HYPERLINK("http://ts.21cn.com/tousu/show/id/1363237","http://ts.21cn.com/tousu/show/id/1363237")</f>
      </c>
      <c r="G8087" t="s" s="2">
        <v>17</v>
      </c>
      <c r="H8087" t="s" s="2">
        <v>19</v>
      </c>
      <c r="I8087" t="s" s="2">
        <v>31234</v>
      </c>
      <c r="J8087" t="s" s="2">
        <v>31235</v>
      </c>
      <c r="K8087" t="s" s="2">
        <v>22</v>
      </c>
      <c r="L8087" t="s" s="2">
        <v>22</v>
      </c>
      <c r="M8087" t="s" s="2">
        <v>22</v>
      </c>
    </row>
    <row r="8088" ht="25.0" customHeight="true">
      <c r="A8088" t="s" s="2">
        <v>13</v>
      </c>
      <c r="B8088" t="s" s="2">
        <f>HYPERLINK("http://ts.21cn.com/tousu/show/id/1363236","虚假发货，诱导购买理财产品")</f>
      </c>
      <c r="C8088" t="s" s="2">
        <v>15</v>
      </c>
      <c r="D8088" t="s" s="2">
        <v>16</v>
      </c>
      <c r="E8088" t="s" s="2">
        <v>17</v>
      </c>
      <c r="F8088" t="s" s="2">
        <f>HYPERLINK("http://ts.21cn.com/tousu/show/id/1363236","http://ts.21cn.com/tousu/show/id/1363236")</f>
      </c>
      <c r="G8088" t="s" s="2">
        <v>17</v>
      </c>
      <c r="H8088" t="s" s="2">
        <v>19</v>
      </c>
      <c r="I8088" t="s" s="2">
        <v>31234</v>
      </c>
      <c r="J8088" t="s" s="2">
        <v>31238</v>
      </c>
      <c r="K8088" t="s" s="2">
        <v>22</v>
      </c>
      <c r="L8088" t="s" s="2">
        <v>22</v>
      </c>
      <c r="M8088" t="s" s="2">
        <v>22</v>
      </c>
    </row>
    <row r="8089" ht="25.0" customHeight="true">
      <c r="A8089" t="s" s="2">
        <v>13</v>
      </c>
      <c r="B8089" t="s" s="2">
        <f>HYPERLINK("http://ts.21cn.com/tousu/show/id/1363233","借这个平台我就想告诉你们，你以为你打了通讯录我就会乖乖还款了吗？")</f>
      </c>
      <c r="C8089" t="s" s="2">
        <v>15</v>
      </c>
      <c r="D8089" t="s" s="2">
        <v>16</v>
      </c>
      <c r="E8089" t="s" s="2">
        <v>17</v>
      </c>
      <c r="F8089" t="s" s="2">
        <f>HYPERLINK("http://ts.21cn.com/tousu/show/id/1363233","http://ts.21cn.com/tousu/show/id/1363233")</f>
      </c>
      <c r="G8089" t="s" s="2">
        <v>17</v>
      </c>
      <c r="H8089" t="s" s="2">
        <v>19</v>
      </c>
      <c r="I8089" t="s" s="2">
        <v>31241</v>
      </c>
      <c r="J8089" t="s" s="2">
        <v>31242</v>
      </c>
      <c r="K8089" t="s" s="2">
        <v>22</v>
      </c>
      <c r="L8089" t="s" s="2">
        <v>22</v>
      </c>
      <c r="M8089" t="s" s="2">
        <v>22</v>
      </c>
    </row>
    <row r="8090" ht="25.0" customHeight="true">
      <c r="A8090" t="s" s="2">
        <v>13</v>
      </c>
      <c r="B8090" t="s" s="2">
        <f>HYPERLINK("http://ts.21cn.com/tousu/show/id/1363228","聚福钱包恶意扣款")</f>
      </c>
      <c r="C8090" t="s" s="2">
        <v>15</v>
      </c>
      <c r="D8090" t="s" s="2">
        <v>16</v>
      </c>
      <c r="E8090" t="s" s="2">
        <v>17</v>
      </c>
      <c r="F8090" t="s" s="2">
        <f>HYPERLINK("http://ts.21cn.com/tousu/show/id/1363228","http://ts.21cn.com/tousu/show/id/1363228")</f>
      </c>
      <c r="G8090" t="s" s="2">
        <v>17</v>
      </c>
      <c r="H8090" t="s" s="2">
        <v>19</v>
      </c>
      <c r="I8090" t="s" s="2">
        <v>31244</v>
      </c>
      <c r="J8090" t="s" s="2">
        <v>31245</v>
      </c>
      <c r="K8090" t="s" s="2">
        <v>22</v>
      </c>
      <c r="L8090" t="s" s="2">
        <v>22</v>
      </c>
      <c r="M8090" t="s" s="2">
        <v>22</v>
      </c>
    </row>
    <row r="8091" ht="25.0" customHeight="true">
      <c r="A8091" t="s" s="2">
        <v>13</v>
      </c>
      <c r="B8091" t="s" s="2">
        <f>HYPERLINK("http://ts.21cn.com/tousu/show/id/1363226","玖富万卡高利贷，阴阳合同")</f>
      </c>
      <c r="C8091" t="s" s="2">
        <v>15</v>
      </c>
      <c r="D8091" t="s" s="2">
        <v>16</v>
      </c>
      <c r="E8091" t="s" s="2">
        <v>17</v>
      </c>
      <c r="F8091" t="s" s="2">
        <f>HYPERLINK("http://ts.21cn.com/tousu/show/id/1363226","http://ts.21cn.com/tousu/show/id/1363226")</f>
      </c>
      <c r="G8091" t="s" s="2">
        <v>17</v>
      </c>
      <c r="H8091" t="s" s="2">
        <v>19</v>
      </c>
      <c r="I8091" t="s" s="2">
        <v>31247</v>
      </c>
      <c r="J8091" t="s" s="2">
        <v>31248</v>
      </c>
      <c r="K8091" t="s" s="2">
        <v>22</v>
      </c>
      <c r="L8091" t="s" s="2">
        <v>22</v>
      </c>
      <c r="M8091" t="s" s="2">
        <v>22</v>
      </c>
    </row>
    <row r="8092" ht="25.0" customHeight="true">
      <c r="A8092" t="s" s="2">
        <v>13</v>
      </c>
      <c r="B8092" t="s" s="2">
        <f>HYPERLINK("http://ts.21cn.com/tousu/show/id/1363225","无底线的电话轰炸，骚扰")</f>
      </c>
      <c r="C8092" t="s" s="2">
        <v>15</v>
      </c>
      <c r="D8092" t="s" s="2">
        <v>16</v>
      </c>
      <c r="E8092" t="s" s="2">
        <v>17</v>
      </c>
      <c r="F8092" t="s" s="2">
        <f>HYPERLINK("http://ts.21cn.com/tousu/show/id/1363225","http://ts.21cn.com/tousu/show/id/1363225")</f>
      </c>
      <c r="G8092" t="s" s="2">
        <v>17</v>
      </c>
      <c r="H8092" t="s" s="2">
        <v>19</v>
      </c>
      <c r="I8092" t="s" s="2">
        <v>31251</v>
      </c>
      <c r="J8092" t="s" s="2">
        <v>31252</v>
      </c>
      <c r="K8092" t="s" s="2">
        <v>22</v>
      </c>
      <c r="L8092" t="s" s="2">
        <v>22</v>
      </c>
      <c r="M8092" t="s" s="2">
        <v>22</v>
      </c>
    </row>
    <row r="8093" ht="25.0" customHeight="true">
      <c r="A8093" t="s" s="2">
        <v>13</v>
      </c>
      <c r="B8093" t="s" s="2">
        <f>HYPERLINK("http://ts.21cn.com/tousu/show/id/1363219","中国电信霸王条款，强制扣费")</f>
      </c>
      <c r="C8093" t="s" s="2">
        <v>15</v>
      </c>
      <c r="D8093" t="s" s="2">
        <v>16</v>
      </c>
      <c r="E8093" t="s" s="2">
        <v>17</v>
      </c>
      <c r="F8093" t="s" s="2">
        <f>HYPERLINK("http://ts.21cn.com/tousu/show/id/1363219","http://ts.21cn.com/tousu/show/id/1363219")</f>
      </c>
      <c r="G8093" t="s" s="2">
        <v>17</v>
      </c>
      <c r="H8093" t="s" s="2">
        <v>19</v>
      </c>
      <c r="I8093" t="s" s="2">
        <v>31255</v>
      </c>
      <c r="J8093" t="s" s="2">
        <v>31256</v>
      </c>
      <c r="K8093" t="s" s="2">
        <v>22</v>
      </c>
      <c r="L8093" t="s" s="2">
        <v>22</v>
      </c>
      <c r="M8093" t="s" s="2">
        <v>22</v>
      </c>
    </row>
    <row r="8094" ht="25.0" customHeight="true">
      <c r="A8094" t="s" s="2">
        <v>13</v>
      </c>
      <c r="B8094" t="s" s="2">
        <f>HYPERLINK("http://ts.21cn.com/tousu/show/id/1363217","招联金融催收人员威胁恐吓")</f>
      </c>
      <c r="C8094" t="s" s="2">
        <v>15</v>
      </c>
      <c r="D8094" t="s" s="2">
        <v>16</v>
      </c>
      <c r="E8094" t="s" s="2">
        <v>17</v>
      </c>
      <c r="F8094" t="s" s="2">
        <f>HYPERLINK("http://ts.21cn.com/tousu/show/id/1363217","http://ts.21cn.com/tousu/show/id/1363217")</f>
      </c>
      <c r="G8094" t="s" s="2">
        <v>17</v>
      </c>
      <c r="H8094" t="s" s="2">
        <v>19</v>
      </c>
      <c r="I8094" t="s" s="2">
        <v>31259</v>
      </c>
      <c r="J8094" t="s" s="2">
        <v>31260</v>
      </c>
      <c r="K8094" t="s" s="2">
        <v>22</v>
      </c>
      <c r="L8094" t="s" s="2">
        <v>22</v>
      </c>
      <c r="M8094" t="s" s="2">
        <v>22</v>
      </c>
    </row>
    <row r="8095" ht="25.0" customHeight="true">
      <c r="A8095" t="s" s="2">
        <v>13</v>
      </c>
      <c r="B8095" t="s" s="2">
        <f>HYPERLINK("http://ts.21cn.com/tousu/show/id/1363215","捷信暴力催收伪造公安律师")</f>
      </c>
      <c r="C8095" t="s" s="2">
        <v>15</v>
      </c>
      <c r="D8095" t="s" s="2">
        <v>16</v>
      </c>
      <c r="E8095" t="s" s="2">
        <v>17</v>
      </c>
      <c r="F8095" t="s" s="2">
        <f>HYPERLINK("http://ts.21cn.com/tousu/show/id/1363215","http://ts.21cn.com/tousu/show/id/1363215")</f>
      </c>
      <c r="G8095" t="s" s="2">
        <v>17</v>
      </c>
      <c r="H8095" t="s" s="2">
        <v>19</v>
      </c>
      <c r="I8095" t="s" s="2">
        <v>31263</v>
      </c>
      <c r="J8095" t="s" s="2">
        <v>31264</v>
      </c>
      <c r="K8095" t="s" s="2">
        <v>22</v>
      </c>
      <c r="L8095" t="s" s="2">
        <v>22</v>
      </c>
      <c r="M8095" t="s" s="2">
        <v>22</v>
      </c>
    </row>
    <row r="8096" ht="25.0" customHeight="true">
      <c r="A8096" t="s" s="2">
        <v>13</v>
      </c>
      <c r="B8096" t="s" s="2">
        <f>HYPERLINK("http://ts.21cn.com/tousu/show/id/1363214","蚂蚁金呗暴力催收")</f>
      </c>
      <c r="C8096" t="s" s="2">
        <v>15</v>
      </c>
      <c r="D8096" t="s" s="2">
        <v>16</v>
      </c>
      <c r="E8096" t="s" s="2">
        <v>17</v>
      </c>
      <c r="F8096" t="s" s="2">
        <f>HYPERLINK("http://ts.21cn.com/tousu/show/id/1363214","http://ts.21cn.com/tousu/show/id/1363214")</f>
      </c>
      <c r="G8096" t="s" s="2">
        <v>17</v>
      </c>
      <c r="H8096" t="s" s="2">
        <v>19</v>
      </c>
      <c r="I8096" t="s" s="2">
        <v>31266</v>
      </c>
      <c r="J8096" t="s" s="2">
        <v>31267</v>
      </c>
      <c r="K8096" t="s" s="2">
        <v>22</v>
      </c>
      <c r="L8096" t="s" s="2">
        <v>22</v>
      </c>
      <c r="M8096" t="s" s="2">
        <v>22</v>
      </c>
    </row>
    <row r="8097" ht="25.0" customHeight="true">
      <c r="A8097" t="s" s="2">
        <v>13</v>
      </c>
      <c r="B8097" t="s" s="2">
        <f>HYPERLINK("http://ts.21cn.com/tousu/show/id/1363213","存在误差")</f>
      </c>
      <c r="C8097" t="s" s="2">
        <v>15</v>
      </c>
      <c r="D8097" t="s" s="2">
        <v>16</v>
      </c>
      <c r="E8097" t="s" s="2">
        <v>17</v>
      </c>
      <c r="F8097" t="s" s="2">
        <f>HYPERLINK("http://ts.21cn.com/tousu/show/id/1363213","http://ts.21cn.com/tousu/show/id/1363213")</f>
      </c>
      <c r="G8097" t="s" s="2">
        <v>17</v>
      </c>
      <c r="H8097" t="s" s="2">
        <v>19</v>
      </c>
      <c r="I8097" t="s" s="2">
        <v>31270</v>
      </c>
      <c r="J8097" t="s" s="2">
        <v>31271</v>
      </c>
      <c r="K8097" t="s" s="2">
        <v>22</v>
      </c>
      <c r="L8097" t="s" s="2">
        <v>22</v>
      </c>
      <c r="M8097" t="s" s="2">
        <v>22</v>
      </c>
    </row>
    <row r="8098" ht="25.0" customHeight="true">
      <c r="A8098" t="s" s="2">
        <v>13</v>
      </c>
      <c r="B8098" t="s" s="2">
        <f>HYPERLINK("http://ts.21cn.com/tousu/show/id/1363211","钱站APP砍头息高利贷")</f>
      </c>
      <c r="C8098" t="s" s="2">
        <v>15</v>
      </c>
      <c r="D8098" t="s" s="2">
        <v>16</v>
      </c>
      <c r="E8098" t="s" s="2">
        <v>17</v>
      </c>
      <c r="F8098" t="s" s="2">
        <f>HYPERLINK("http://ts.21cn.com/tousu/show/id/1363211","http://ts.21cn.com/tousu/show/id/1363211")</f>
      </c>
      <c r="G8098" t="s" s="2">
        <v>17</v>
      </c>
      <c r="H8098" t="s" s="2">
        <v>19</v>
      </c>
      <c r="I8098" t="s" s="2">
        <v>31274</v>
      </c>
      <c r="J8098" t="s" s="2">
        <v>31275</v>
      </c>
      <c r="K8098" t="s" s="2">
        <v>22</v>
      </c>
      <c r="L8098" t="s" s="2">
        <v>22</v>
      </c>
      <c r="M8098" t="s" s="2">
        <v>22</v>
      </c>
    </row>
    <row r="8099" ht="25.0" customHeight="true">
      <c r="A8099" t="s" s="2">
        <v>13</v>
      </c>
      <c r="B8099" t="s" s="2">
        <f>HYPERLINK("http://ts.21cn.com/tousu/show/id/1363206","恐吓威胁")</f>
      </c>
      <c r="C8099" t="s" s="2">
        <v>15</v>
      </c>
      <c r="D8099" t="s" s="2">
        <v>16</v>
      </c>
      <c r="E8099" t="s" s="2">
        <v>17</v>
      </c>
      <c r="F8099" t="s" s="2">
        <f>HYPERLINK("http://ts.21cn.com/tousu/show/id/1363206","http://ts.21cn.com/tousu/show/id/1363206")</f>
      </c>
      <c r="G8099" t="s" s="2">
        <v>17</v>
      </c>
      <c r="H8099" t="s" s="2">
        <v>19</v>
      </c>
      <c r="I8099" t="s" s="2">
        <v>31277</v>
      </c>
      <c r="J8099" t="s" s="2">
        <v>31278</v>
      </c>
      <c r="K8099" t="s" s="2">
        <v>22</v>
      </c>
      <c r="L8099" t="s" s="2">
        <v>22</v>
      </c>
      <c r="M8099" t="s" s="2">
        <v>22</v>
      </c>
    </row>
    <row r="8100" ht="25.0" customHeight="true">
      <c r="A8100" t="s" s="2">
        <v>13</v>
      </c>
      <c r="B8100" t="s" s="2">
        <f>HYPERLINK("http://ts.21cn.com/tousu/show/id/1363204","爱用商城套路贷，砍头息")</f>
      </c>
      <c r="C8100" t="s" s="2">
        <v>15</v>
      </c>
      <c r="D8100" t="s" s="2">
        <v>16</v>
      </c>
      <c r="E8100" t="s" s="2">
        <v>17</v>
      </c>
      <c r="F8100" t="s" s="2">
        <f>HYPERLINK("http://ts.21cn.com/tousu/show/id/1363204","http://ts.21cn.com/tousu/show/id/1363204")</f>
      </c>
      <c r="G8100" t="s" s="2">
        <v>17</v>
      </c>
      <c r="H8100" t="s" s="2">
        <v>19</v>
      </c>
      <c r="I8100" t="s" s="2">
        <v>31281</v>
      </c>
      <c r="J8100" t="s" s="2">
        <v>31282</v>
      </c>
      <c r="K8100" t="s" s="2">
        <v>22</v>
      </c>
      <c r="L8100" t="s" s="2">
        <v>22</v>
      </c>
      <c r="M8100" t="s" s="2">
        <v>22</v>
      </c>
    </row>
    <row r="8101" ht="25.0" customHeight="true">
      <c r="A8101" t="s" s="2">
        <v>13</v>
      </c>
      <c r="B8101" t="s" s="2">
        <f>HYPERLINK("http://ts.21cn.com/tousu/show/id/1363200","快钱支付和宝付支付为广州简怡网络科技有限公司714高炮提供支付通道要求退还砍头息")</f>
      </c>
      <c r="C8101" t="s" s="2">
        <v>52</v>
      </c>
      <c r="D8101" t="s" s="2">
        <v>16</v>
      </c>
      <c r="E8101" t="s" s="2">
        <v>17</v>
      </c>
      <c r="F8101" t="s" s="2">
        <f>HYPERLINK("http://ts.21cn.com/tousu/show/id/1363200","http://ts.21cn.com/tousu/show/id/1363200")</f>
      </c>
      <c r="G8101" t="s" s="2">
        <v>17</v>
      </c>
      <c r="H8101" t="s" s="2">
        <v>19</v>
      </c>
      <c r="I8101" t="s" s="2">
        <v>31285</v>
      </c>
      <c r="J8101" t="s" s="2">
        <v>31286</v>
      </c>
      <c r="K8101" t="s" s="2">
        <v>22</v>
      </c>
      <c r="L8101" t="s" s="2">
        <v>22</v>
      </c>
      <c r="M8101" t="s" s="2">
        <v>22</v>
      </c>
    </row>
    <row r="8102" ht="25.0" customHeight="true">
      <c r="A8102" t="s" s="2">
        <v>13</v>
      </c>
      <c r="B8102" t="s" s="2">
        <f>HYPERLINK("http://ts.21cn.com/tousu/show/id/1363194","闪银奇异恐吓暴力催收")</f>
      </c>
      <c r="C8102" t="s" s="2">
        <v>15</v>
      </c>
      <c r="D8102" t="s" s="2">
        <v>16</v>
      </c>
      <c r="E8102" t="s" s="2">
        <v>17</v>
      </c>
      <c r="F8102" t="s" s="2">
        <f>HYPERLINK("http://ts.21cn.com/tousu/show/id/1363194","http://ts.21cn.com/tousu/show/id/1363194")</f>
      </c>
      <c r="G8102" t="s" s="2">
        <v>17</v>
      </c>
      <c r="H8102" t="s" s="2">
        <v>19</v>
      </c>
      <c r="I8102" t="s" s="2">
        <v>31289</v>
      </c>
      <c r="J8102" t="s" s="2">
        <v>31290</v>
      </c>
      <c r="K8102" t="s" s="2">
        <v>22</v>
      </c>
      <c r="L8102" t="s" s="2">
        <v>22</v>
      </c>
      <c r="M8102" t="s" s="2">
        <v>22</v>
      </c>
    </row>
    <row r="8103" ht="25.0" customHeight="true">
      <c r="A8103" t="s" s="2">
        <v>13</v>
      </c>
      <c r="B8103" t="s" s="2">
        <f>HYPERLINK("http://ts.21cn.com/tousu/show/id/1363189","玖富叮当提前结清")</f>
      </c>
      <c r="C8103" t="s" s="2">
        <v>15</v>
      </c>
      <c r="D8103" t="s" s="2">
        <v>16</v>
      </c>
      <c r="E8103" t="s" s="2">
        <v>17</v>
      </c>
      <c r="F8103" t="s" s="2">
        <f>HYPERLINK("http://ts.21cn.com/tousu/show/id/1363189","http://ts.21cn.com/tousu/show/id/1363189")</f>
      </c>
      <c r="G8103" t="s" s="2">
        <v>17</v>
      </c>
      <c r="H8103" t="s" s="2">
        <v>19</v>
      </c>
      <c r="I8103" t="s" s="2">
        <v>31293</v>
      </c>
      <c r="J8103" t="s" s="2">
        <v>31294</v>
      </c>
      <c r="K8103" t="s" s="2">
        <v>22</v>
      </c>
      <c r="L8103" t="s" s="2">
        <v>22</v>
      </c>
      <c r="M8103" t="s" s="2">
        <v>22</v>
      </c>
    </row>
    <row r="8104" ht="25.0" customHeight="true">
      <c r="A8104" t="s" s="2">
        <v>13</v>
      </c>
      <c r="B8104" t="s" s="2">
        <f>HYPERLINK("http://ts.21cn.com/tousu/show/id/1363183","投诉来分期账单存在二次收费")</f>
      </c>
      <c r="C8104" t="s" s="2">
        <v>15</v>
      </c>
      <c r="D8104" t="s" s="2">
        <v>16</v>
      </c>
      <c r="E8104" t="s" s="2">
        <v>17</v>
      </c>
      <c r="F8104" t="s" s="2">
        <f>HYPERLINK("http://ts.21cn.com/tousu/show/id/1363183","http://ts.21cn.com/tousu/show/id/1363183")</f>
      </c>
      <c r="G8104" t="s" s="2">
        <v>17</v>
      </c>
      <c r="H8104" t="s" s="2">
        <v>19</v>
      </c>
      <c r="I8104" t="s" s="2">
        <v>31297</v>
      </c>
      <c r="J8104" t="s" s="2">
        <v>31298</v>
      </c>
      <c r="K8104" t="s" s="2">
        <v>22</v>
      </c>
      <c r="L8104" t="s" s="2">
        <v>22</v>
      </c>
      <c r="M8104" t="s" s="2">
        <v>22</v>
      </c>
    </row>
    <row r="8105" ht="25.0" customHeight="true">
      <c r="A8105" t="s" s="2">
        <v>13</v>
      </c>
      <c r="B8105" t="s" s="2">
        <f>HYPERLINK("http://ts.21cn.com/tousu/show/id/1363181","银生宝高层领导庇护非法商户,银生宝你欠我一个解释")</f>
      </c>
      <c r="C8105" t="s" s="2">
        <v>15</v>
      </c>
      <c r="D8105" t="s" s="2">
        <v>16</v>
      </c>
      <c r="E8105" t="s" s="2">
        <v>17</v>
      </c>
      <c r="F8105" t="s" s="2">
        <f>HYPERLINK("http://ts.21cn.com/tousu/show/id/1363181","http://ts.21cn.com/tousu/show/id/1363181")</f>
      </c>
      <c r="G8105" t="s" s="2">
        <v>17</v>
      </c>
      <c r="H8105" t="s" s="2">
        <v>19</v>
      </c>
      <c r="I8105" t="s" s="2">
        <v>31301</v>
      </c>
      <c r="J8105" t="s" s="2">
        <v>31302</v>
      </c>
      <c r="K8105" t="s" s="2">
        <v>22</v>
      </c>
      <c r="L8105" t="s" s="2">
        <v>22</v>
      </c>
      <c r="M8105" t="s" s="2">
        <v>22</v>
      </c>
    </row>
    <row r="8106" ht="25.0" customHeight="true">
      <c r="A8106" t="s" s="2">
        <v>13</v>
      </c>
      <c r="B8106" t="s" s="2">
        <f>HYPERLINK("http://ts.21cn.com/tousu/show/id/1363180","辽宁优丫设计有限公司培训贷套路贷")</f>
      </c>
      <c r="C8106" t="s" s="2">
        <v>15</v>
      </c>
      <c r="D8106" t="s" s="2">
        <v>16</v>
      </c>
      <c r="E8106" t="s" s="2">
        <v>17</v>
      </c>
      <c r="F8106" t="s" s="2">
        <f>HYPERLINK("http://ts.21cn.com/tousu/show/id/1363180","http://ts.21cn.com/tousu/show/id/1363180")</f>
      </c>
      <c r="G8106" t="s" s="2">
        <v>17</v>
      </c>
      <c r="H8106" t="s" s="2">
        <v>19</v>
      </c>
      <c r="I8106" t="s" s="2">
        <v>31305</v>
      </c>
      <c r="J8106" t="s" s="2">
        <v>31306</v>
      </c>
      <c r="K8106" t="s" s="2">
        <v>22</v>
      </c>
      <c r="L8106" t="s" s="2">
        <v>22</v>
      </c>
      <c r="M8106" t="s" s="2">
        <v>22</v>
      </c>
    </row>
    <row r="8107" ht="25.0" customHeight="true">
      <c r="A8107" t="s" s="2">
        <v>13</v>
      </c>
      <c r="B8107" t="s" s="2">
        <f>HYPERLINK("http://ts.21cn.com/tousu/show/id/1363178","本人网易暴雪魔兽世界账号丢失，官方客服在我可以证明账号归属的情况下拒绝提供找回服务")</f>
      </c>
      <c r="C8107" t="s" s="2">
        <v>15</v>
      </c>
      <c r="D8107" t="s" s="2">
        <v>16</v>
      </c>
      <c r="E8107" t="s" s="2">
        <v>17</v>
      </c>
      <c r="F8107" t="s" s="2">
        <f>HYPERLINK("http://ts.21cn.com/tousu/show/id/1363178","http://ts.21cn.com/tousu/show/id/1363178")</f>
      </c>
      <c r="G8107" t="s" s="2">
        <v>17</v>
      </c>
      <c r="H8107" t="s" s="2">
        <v>19</v>
      </c>
      <c r="I8107" t="s" s="2">
        <v>31309</v>
      </c>
      <c r="J8107" t="s" s="2">
        <v>31310</v>
      </c>
      <c r="K8107" t="s" s="2">
        <v>22</v>
      </c>
      <c r="L8107" t="s" s="2">
        <v>22</v>
      </c>
      <c r="M8107" t="s" s="2">
        <v>22</v>
      </c>
    </row>
    <row r="8108" ht="25.0" customHeight="true">
      <c r="A8108" t="s" s="2">
        <v>13</v>
      </c>
      <c r="B8108" t="s" s="2">
        <f>HYPERLINK("http://ts.21cn.com/tousu/show/id/1363172","嗨学网诱导消费者签订霸王条款，不退费")</f>
      </c>
      <c r="C8108" t="s" s="2">
        <v>15</v>
      </c>
      <c r="D8108" t="s" s="2">
        <v>16</v>
      </c>
      <c r="E8108" t="s" s="2">
        <v>17</v>
      </c>
      <c r="F8108" t="s" s="2">
        <f>HYPERLINK("http://ts.21cn.com/tousu/show/id/1363172","http://ts.21cn.com/tousu/show/id/1363172")</f>
      </c>
      <c r="G8108" t="s" s="2">
        <v>17</v>
      </c>
      <c r="H8108" t="s" s="2">
        <v>19</v>
      </c>
      <c r="I8108" t="s" s="2">
        <v>31312</v>
      </c>
      <c r="J8108" t="s" s="2">
        <v>31313</v>
      </c>
      <c r="K8108" t="s" s="2">
        <v>22</v>
      </c>
      <c r="L8108" t="s" s="2">
        <v>22</v>
      </c>
      <c r="M8108" t="s" s="2">
        <v>22</v>
      </c>
    </row>
    <row r="8109" ht="25.0" customHeight="true">
      <c r="A8109" t="s" s="2">
        <v>13</v>
      </c>
      <c r="B8109" t="s" s="2">
        <f>HYPERLINK("http://ts.21cn.com/tousu/show/id/1363170","包银消费金融暴力催收")</f>
      </c>
      <c r="C8109" t="s" s="2">
        <v>15</v>
      </c>
      <c r="D8109" t="s" s="2">
        <v>16</v>
      </c>
      <c r="E8109" t="s" s="2">
        <v>17</v>
      </c>
      <c r="F8109" t="s" s="2">
        <f>HYPERLINK("http://ts.21cn.com/tousu/show/id/1363170","http://ts.21cn.com/tousu/show/id/1363170")</f>
      </c>
      <c r="G8109" t="s" s="2">
        <v>17</v>
      </c>
      <c r="H8109" t="s" s="2">
        <v>19</v>
      </c>
      <c r="I8109" t="s" s="2">
        <v>31316</v>
      </c>
      <c r="J8109" t="s" s="2">
        <v>31317</v>
      </c>
      <c r="K8109" t="s" s="2">
        <v>22</v>
      </c>
      <c r="L8109" t="s" s="2">
        <v>22</v>
      </c>
      <c r="M8109" t="s" s="2">
        <v>22</v>
      </c>
    </row>
    <row r="8110" ht="25.0" customHeight="true">
      <c r="A8110" t="s" s="2">
        <v>13</v>
      </c>
      <c r="B8110" t="s" s="2">
        <f>HYPERLINK("http://ts.21cn.com/tousu/show/id/1363167","网贷搭售保险")</f>
      </c>
      <c r="C8110" t="s" s="2">
        <v>15</v>
      </c>
      <c r="D8110" t="s" s="2">
        <v>16</v>
      </c>
      <c r="E8110" t="s" s="2">
        <v>17</v>
      </c>
      <c r="F8110" t="s" s="2">
        <f>HYPERLINK("http://ts.21cn.com/tousu/show/id/1363167","http://ts.21cn.com/tousu/show/id/1363167")</f>
      </c>
      <c r="G8110" t="s" s="2">
        <v>17</v>
      </c>
      <c r="H8110" t="s" s="2">
        <v>19</v>
      </c>
      <c r="I8110" t="s" s="2">
        <v>31320</v>
      </c>
      <c r="J8110" t="s" s="2">
        <v>31321</v>
      </c>
      <c r="K8110" t="s" s="2">
        <v>22</v>
      </c>
      <c r="L8110" t="s" s="2">
        <v>22</v>
      </c>
      <c r="M8110" t="s" s="2">
        <v>22</v>
      </c>
    </row>
    <row r="8111" ht="25.0" customHeight="true">
      <c r="A8111" t="s" s="2">
        <v>13</v>
      </c>
      <c r="B8111" t="s" s="2">
        <f>HYPERLINK("http://ts.21cn.com/tousu/show/id/1363148","中国银联股份有限公司广东分公司专户16")</f>
      </c>
      <c r="C8111" t="s" s="2">
        <v>52</v>
      </c>
      <c r="D8111" t="s" s="2">
        <v>16</v>
      </c>
      <c r="E8111" t="s" s="2">
        <v>17</v>
      </c>
      <c r="F8111" t="s" s="2">
        <f>HYPERLINK("http://ts.21cn.com/tousu/show/id/1363148","http://ts.21cn.com/tousu/show/id/1363148")</f>
      </c>
      <c r="G8111" t="s" s="2">
        <v>17</v>
      </c>
      <c r="H8111" t="s" s="2">
        <v>19</v>
      </c>
      <c r="I8111" t="s" s="2">
        <v>31324</v>
      </c>
      <c r="J8111" t="s" s="2">
        <v>31325</v>
      </c>
      <c r="K8111" t="s" s="2">
        <v>22</v>
      </c>
      <c r="L8111" t="s" s="2">
        <v>22</v>
      </c>
      <c r="M8111" t="s" s="2">
        <v>22</v>
      </c>
    </row>
    <row r="8112" ht="25.0" customHeight="true">
      <c r="A8112" t="s" s="2">
        <v>13</v>
      </c>
      <c r="B8112" t="s" s="2">
        <f>HYPERLINK("http://ts.21cn.com/tousu/show/id/1363161","高额利息")</f>
      </c>
      <c r="C8112" t="s" s="2">
        <v>15</v>
      </c>
      <c r="D8112" t="s" s="2">
        <v>16</v>
      </c>
      <c r="E8112" t="s" s="2">
        <v>17</v>
      </c>
      <c r="F8112" t="s" s="2">
        <f>HYPERLINK("http://ts.21cn.com/tousu/show/id/1363161","http://ts.21cn.com/tousu/show/id/1363161")</f>
      </c>
      <c r="G8112" t="s" s="2">
        <v>17</v>
      </c>
      <c r="H8112" t="s" s="2">
        <v>19</v>
      </c>
      <c r="I8112" t="s" s="2">
        <v>31327</v>
      </c>
      <c r="J8112" t="s" s="2">
        <v>31328</v>
      </c>
      <c r="K8112" t="s" s="2">
        <v>22</v>
      </c>
      <c r="L8112" t="s" s="2">
        <v>22</v>
      </c>
      <c r="M8112" t="s" s="2">
        <v>22</v>
      </c>
    </row>
    <row r="8113" ht="25.0" customHeight="true">
      <c r="A8113" t="s" s="2">
        <v>13</v>
      </c>
      <c r="B8113" t="s" s="2">
        <f>HYPERLINK("http://ts.21cn.com/tousu/show/id/1363159","集体投诉英孚教育退款难")</f>
      </c>
      <c r="C8113" t="s" s="2">
        <v>15</v>
      </c>
      <c r="D8113" t="s" s="2">
        <v>16</v>
      </c>
      <c r="E8113" t="s" s="2">
        <v>17</v>
      </c>
      <c r="F8113" t="s" s="2">
        <f>HYPERLINK("http://ts.21cn.com/tousu/show/id/1363159","http://ts.21cn.com/tousu/show/id/1363159")</f>
      </c>
      <c r="G8113" t="s" s="2">
        <v>17</v>
      </c>
      <c r="H8113" t="s" s="2">
        <v>19</v>
      </c>
      <c r="I8113" t="s" s="2">
        <v>31330</v>
      </c>
      <c r="J8113" t="s" s="2">
        <v>31331</v>
      </c>
      <c r="K8113" t="s" s="2">
        <v>22</v>
      </c>
      <c r="L8113" t="s" s="2">
        <v>22</v>
      </c>
      <c r="M8113" t="s" s="2">
        <v>22</v>
      </c>
    </row>
    <row r="8114" ht="25.0" customHeight="true">
      <c r="A8114" t="s" s="2">
        <v>13</v>
      </c>
      <c r="B8114" t="s" s="2">
        <f>HYPERLINK("http://ts.21cn.com/tousu/show/id/1363156","你我贷高利贷，要求重新核算还款金额")</f>
      </c>
      <c r="C8114" t="s" s="2">
        <v>15</v>
      </c>
      <c r="D8114" t="s" s="2">
        <v>16</v>
      </c>
      <c r="E8114" t="s" s="2">
        <v>17</v>
      </c>
      <c r="F8114" t="s" s="2">
        <f>HYPERLINK("http://ts.21cn.com/tousu/show/id/1363156","http://ts.21cn.com/tousu/show/id/1363156")</f>
      </c>
      <c r="G8114" t="s" s="2">
        <v>17</v>
      </c>
      <c r="H8114" t="s" s="2">
        <v>19</v>
      </c>
      <c r="I8114" t="s" s="2">
        <v>31334</v>
      </c>
      <c r="J8114" t="s" s="2">
        <v>31335</v>
      </c>
      <c r="K8114" t="s" s="2">
        <v>22</v>
      </c>
      <c r="L8114" t="s" s="2">
        <v>22</v>
      </c>
      <c r="M8114" t="s" s="2">
        <v>22</v>
      </c>
    </row>
    <row r="8115" ht="25.0" customHeight="true">
      <c r="A8115" t="s" s="2">
        <v>13</v>
      </c>
      <c r="B8115" t="s" s="2">
        <f>HYPERLINK("http://ts.21cn.com/tousu/show/id/1363150","航行神州黑金卡虚假推销诱导消费1380元")</f>
      </c>
      <c r="C8115" t="s" s="2">
        <v>15</v>
      </c>
      <c r="D8115" t="s" s="2">
        <v>16</v>
      </c>
      <c r="E8115" t="s" s="2">
        <v>17</v>
      </c>
      <c r="F8115" t="s" s="2">
        <f>HYPERLINK("http://ts.21cn.com/tousu/show/id/1363150","http://ts.21cn.com/tousu/show/id/1363150")</f>
      </c>
      <c r="G8115" t="s" s="2">
        <v>17</v>
      </c>
      <c r="H8115" t="s" s="2">
        <v>19</v>
      </c>
      <c r="I8115" t="s" s="2">
        <v>31338</v>
      </c>
      <c r="J8115" t="s" s="2">
        <v>31339</v>
      </c>
      <c r="K8115" t="s" s="2">
        <v>22</v>
      </c>
      <c r="L8115" t="s" s="2">
        <v>22</v>
      </c>
      <c r="M8115" t="s" s="2">
        <v>22</v>
      </c>
    </row>
    <row r="8116" ht="25.0" customHeight="true">
      <c r="A8116" t="s" s="2">
        <v>13</v>
      </c>
      <c r="B8116" t="s" s="2">
        <f>HYPERLINK("http://ts.21cn.com/tousu/show/id/1363149","咸鱼胡乱下架产品，且不给予")</f>
      </c>
      <c r="C8116" t="s" s="2">
        <v>15</v>
      </c>
      <c r="D8116" t="s" s="2">
        <v>16</v>
      </c>
      <c r="E8116" t="s" s="2">
        <v>17</v>
      </c>
      <c r="F8116" t="s" s="2">
        <f>HYPERLINK("http://ts.21cn.com/tousu/show/id/1363149","http://ts.21cn.com/tousu/show/id/1363149")</f>
      </c>
      <c r="G8116" t="s" s="2">
        <v>17</v>
      </c>
      <c r="H8116" t="s" s="2">
        <v>19</v>
      </c>
      <c r="I8116" t="s" s="2">
        <v>31342</v>
      </c>
      <c r="J8116" t="s" s="2">
        <v>31343</v>
      </c>
      <c r="K8116" t="s" s="2">
        <v>22</v>
      </c>
      <c r="L8116" t="s" s="2">
        <v>22</v>
      </c>
      <c r="M8116" t="s" s="2">
        <v>22</v>
      </c>
    </row>
    <row r="8117" ht="25.0" customHeight="true">
      <c r="A8117" t="s" s="2">
        <v>13</v>
      </c>
      <c r="B8117" t="s" s="2">
        <f>HYPERLINK("http://ts.21cn.com/tousu/show/id/1363145","雷神加速器无法正常加速亚服，掉线丢包延迟高，多次联系客服，其提供方法无法有效解决问题，对这个产品非常失望，需要退款。")</f>
      </c>
      <c r="C8117" t="s" s="2">
        <v>52</v>
      </c>
      <c r="D8117" t="s" s="2">
        <v>16</v>
      </c>
      <c r="E8117" t="s" s="2">
        <v>17</v>
      </c>
      <c r="F8117" t="s" s="2">
        <f>HYPERLINK("http://ts.21cn.com/tousu/show/id/1363145","http://ts.21cn.com/tousu/show/id/1363145")</f>
      </c>
      <c r="G8117" t="s" s="2">
        <v>17</v>
      </c>
      <c r="H8117" t="s" s="2">
        <v>19</v>
      </c>
      <c r="I8117" t="s" s="2">
        <v>31346</v>
      </c>
      <c r="J8117" t="s" s="2">
        <v>31347</v>
      </c>
      <c r="K8117" t="s" s="2">
        <v>22</v>
      </c>
      <c r="L8117" t="s" s="2">
        <v>22</v>
      </c>
      <c r="M8117" t="s" s="2">
        <v>22</v>
      </c>
    </row>
    <row r="8118" ht="25.0" customHeight="true">
      <c r="A8118" t="s" s="2">
        <v>13</v>
      </c>
      <c r="B8118" t="s" s="2">
        <f>HYPERLINK("http://ts.21cn.com/tousu/show/id/1363137","你我贷归还砍头息")</f>
      </c>
      <c r="C8118" t="s" s="2">
        <v>15</v>
      </c>
      <c r="D8118" t="s" s="2">
        <v>16</v>
      </c>
      <c r="E8118" t="s" s="2">
        <v>17</v>
      </c>
      <c r="F8118" t="s" s="2">
        <f>HYPERLINK("http://ts.21cn.com/tousu/show/id/1363137","http://ts.21cn.com/tousu/show/id/1363137")</f>
      </c>
      <c r="G8118" t="s" s="2">
        <v>17</v>
      </c>
      <c r="H8118" t="s" s="2">
        <v>19</v>
      </c>
      <c r="I8118" t="s" s="2">
        <v>31350</v>
      </c>
      <c r="J8118" t="s" s="2">
        <v>31351</v>
      </c>
      <c r="K8118" t="s" s="2">
        <v>22</v>
      </c>
      <c r="L8118" t="s" s="2">
        <v>22</v>
      </c>
      <c r="M8118" t="s" s="2">
        <v>22</v>
      </c>
    </row>
    <row r="8119" ht="25.0" customHeight="true">
      <c r="A8119" t="s" s="2">
        <v>13</v>
      </c>
      <c r="B8119" t="s" s="2">
        <f>HYPERLINK("http://ts.21cn.com/tousu/show/id/1363138","赢盛易贷深圳与衫科技有限公司惠州分公司抵押车贷砍头息，高利贷")</f>
      </c>
      <c r="C8119" t="s" s="2">
        <v>15</v>
      </c>
      <c r="D8119" t="s" s="2">
        <v>16</v>
      </c>
      <c r="E8119" t="s" s="2">
        <v>17</v>
      </c>
      <c r="F8119" t="s" s="2">
        <f>HYPERLINK("http://ts.21cn.com/tousu/show/id/1363138","http://ts.21cn.com/tousu/show/id/1363138")</f>
      </c>
      <c r="G8119" t="s" s="2">
        <v>17</v>
      </c>
      <c r="H8119" t="s" s="2">
        <v>19</v>
      </c>
      <c r="I8119" t="s" s="2">
        <v>31354</v>
      </c>
      <c r="J8119" t="s" s="2">
        <v>31355</v>
      </c>
      <c r="K8119" t="s" s="2">
        <v>22</v>
      </c>
      <c r="L8119" t="s" s="2">
        <v>22</v>
      </c>
      <c r="M8119" t="s" s="2">
        <v>22</v>
      </c>
    </row>
    <row r="8120" ht="25.0" customHeight="true">
      <c r="A8120" t="s" s="2">
        <v>13</v>
      </c>
      <c r="B8120" t="s" s="2">
        <f>HYPERLINK("http://ts.21cn.com/tousu/show/id/1363136","小象优品高利贷")</f>
      </c>
      <c r="C8120" t="s" s="2">
        <v>15</v>
      </c>
      <c r="D8120" t="s" s="2">
        <v>16</v>
      </c>
      <c r="E8120" t="s" s="2">
        <v>17</v>
      </c>
      <c r="F8120" t="s" s="2">
        <f>HYPERLINK("http://ts.21cn.com/tousu/show/id/1363136","http://ts.21cn.com/tousu/show/id/1363136")</f>
      </c>
      <c r="G8120" t="s" s="2">
        <v>17</v>
      </c>
      <c r="H8120" t="s" s="2">
        <v>19</v>
      </c>
      <c r="I8120" t="s" s="2">
        <v>31357</v>
      </c>
      <c r="J8120" t="s" s="2">
        <v>31358</v>
      </c>
      <c r="K8120" t="s" s="2">
        <v>22</v>
      </c>
      <c r="L8120" t="s" s="2">
        <v>22</v>
      </c>
      <c r="M8120" t="s" s="2">
        <v>22</v>
      </c>
    </row>
    <row r="8121" ht="25.0" customHeight="true">
      <c r="A8121" t="s" s="2">
        <v>13</v>
      </c>
      <c r="B8121" t="s" s="2">
        <f>HYPERLINK("http://ts.21cn.com/tousu/show/id/1363134","逾期一天，协商无果，延期七日，需379元，高利贷")</f>
      </c>
      <c r="C8121" t="s" s="2">
        <v>15</v>
      </c>
      <c r="D8121" t="s" s="2">
        <v>16</v>
      </c>
      <c r="E8121" t="s" s="2">
        <v>17</v>
      </c>
      <c r="F8121" t="s" s="2">
        <f>HYPERLINK("http://ts.21cn.com/tousu/show/id/1363134","http://ts.21cn.com/tousu/show/id/1363134")</f>
      </c>
      <c r="G8121" t="s" s="2">
        <v>17</v>
      </c>
      <c r="H8121" t="s" s="2">
        <v>19</v>
      </c>
      <c r="I8121" t="s" s="2">
        <v>31361</v>
      </c>
      <c r="J8121" t="s" s="2">
        <v>31362</v>
      </c>
      <c r="K8121" t="s" s="2">
        <v>22</v>
      </c>
      <c r="L8121" t="s" s="2">
        <v>22</v>
      </c>
      <c r="M8121" t="s" s="2">
        <v>22</v>
      </c>
    </row>
    <row r="8122" ht="25.0" customHeight="true">
      <c r="A8122" t="s" s="2">
        <v>13</v>
      </c>
      <c r="B8122" t="s" s="2">
        <f>HYPERLINK("http://ts.21cn.com/tousu/show/id/1363129","淘宝店铺购买水果燕麦片质量问题")</f>
      </c>
      <c r="C8122" t="s" s="2">
        <v>15</v>
      </c>
      <c r="D8122" t="s" s="2">
        <v>16</v>
      </c>
      <c r="E8122" t="s" s="2">
        <v>17</v>
      </c>
      <c r="F8122" t="s" s="2">
        <f>HYPERLINK("http://ts.21cn.com/tousu/show/id/1363129","http://ts.21cn.com/tousu/show/id/1363129")</f>
      </c>
      <c r="G8122" t="s" s="2">
        <v>17</v>
      </c>
      <c r="H8122" t="s" s="2">
        <v>19</v>
      </c>
      <c r="I8122" t="s" s="2">
        <v>31365</v>
      </c>
      <c r="J8122" t="s" s="2">
        <v>31366</v>
      </c>
      <c r="K8122" t="s" s="2">
        <v>22</v>
      </c>
      <c r="L8122" t="s" s="2">
        <v>22</v>
      </c>
      <c r="M8122" t="s" s="2">
        <v>22</v>
      </c>
    </row>
    <row r="8123" ht="25.0" customHeight="true">
      <c r="A8123" t="s" s="2">
        <v>13</v>
      </c>
      <c r="B8123" t="s" s="2">
        <f>HYPERLINK("http://ts.21cn.com/tousu/show/id/1363127","用他们收款码收款第一天就扣我钱")</f>
      </c>
      <c r="C8123" t="s" s="2">
        <v>52</v>
      </c>
      <c r="D8123" t="s" s="2">
        <v>16</v>
      </c>
      <c r="E8123" t="s" s="2">
        <v>17</v>
      </c>
      <c r="F8123" t="s" s="2">
        <f>HYPERLINK("http://ts.21cn.com/tousu/show/id/1363127","http://ts.21cn.com/tousu/show/id/1363127")</f>
      </c>
      <c r="G8123" t="s" s="2">
        <v>17</v>
      </c>
      <c r="H8123" t="s" s="2">
        <v>19</v>
      </c>
      <c r="I8123" t="s" s="2">
        <v>31369</v>
      </c>
      <c r="J8123" t="s" s="2">
        <v>31370</v>
      </c>
      <c r="K8123" t="s" s="2">
        <v>22</v>
      </c>
      <c r="L8123" t="s" s="2">
        <v>22</v>
      </c>
      <c r="M8123" t="s" s="2">
        <v>22</v>
      </c>
    </row>
    <row r="8124" ht="25.0" customHeight="true">
      <c r="A8124" t="s" s="2">
        <v>13</v>
      </c>
      <c r="B8124" t="s" s="2">
        <f>HYPERLINK("http://ts.21cn.com/tousu/show/id/1363126","和信阴阳合同高利贷暴力催收")</f>
      </c>
      <c r="C8124" t="s" s="2">
        <v>15</v>
      </c>
      <c r="D8124" t="s" s="2">
        <v>16</v>
      </c>
      <c r="E8124" t="s" s="2">
        <v>17</v>
      </c>
      <c r="F8124" t="s" s="2">
        <f>HYPERLINK("http://ts.21cn.com/tousu/show/id/1363126","http://ts.21cn.com/tousu/show/id/1363126")</f>
      </c>
      <c r="G8124" t="s" s="2">
        <v>17</v>
      </c>
      <c r="H8124" t="s" s="2">
        <v>19</v>
      </c>
      <c r="I8124" t="s" s="2">
        <v>31373</v>
      </c>
      <c r="J8124" t="s" s="2">
        <v>31374</v>
      </c>
      <c r="K8124" t="s" s="2">
        <v>22</v>
      </c>
      <c r="L8124" t="s" s="2">
        <v>22</v>
      </c>
      <c r="M8124" t="s" s="2">
        <v>22</v>
      </c>
    </row>
    <row r="8125" ht="25.0" customHeight="true">
      <c r="A8125" t="s" s="2">
        <v>13</v>
      </c>
      <c r="B8125" t="s" s="2">
        <f>HYPERLINK("http://ts.21cn.com/tousu/show/id/1363118","钱站爱钱进阴阳合同")</f>
      </c>
      <c r="C8125" t="s" s="2">
        <v>15</v>
      </c>
      <c r="D8125" t="s" s="2">
        <v>16</v>
      </c>
      <c r="E8125" t="s" s="2">
        <v>17</v>
      </c>
      <c r="F8125" t="s" s="2">
        <f>HYPERLINK("http://ts.21cn.com/tousu/show/id/1363118","http://ts.21cn.com/tousu/show/id/1363118")</f>
      </c>
      <c r="G8125" t="s" s="2">
        <v>17</v>
      </c>
      <c r="H8125" t="s" s="2">
        <v>19</v>
      </c>
      <c r="I8125" t="s" s="2">
        <v>31376</v>
      </c>
      <c r="J8125" t="s" s="2">
        <v>31377</v>
      </c>
      <c r="K8125" t="s" s="2">
        <v>22</v>
      </c>
      <c r="L8125" t="s" s="2">
        <v>22</v>
      </c>
      <c r="M8125" t="s" s="2">
        <v>22</v>
      </c>
    </row>
    <row r="8126" ht="25.0" customHeight="true">
      <c r="A8126" t="s" s="2">
        <v>13</v>
      </c>
      <c r="B8126" t="s" s="2">
        <f>HYPERLINK("http://ts.21cn.com/tousu/show/id/1363123","退回服务费")</f>
      </c>
      <c r="C8126" t="s" s="2">
        <v>15</v>
      </c>
      <c r="D8126" t="s" s="2">
        <v>16</v>
      </c>
      <c r="E8126" t="s" s="2">
        <v>17</v>
      </c>
      <c r="F8126" t="s" s="2">
        <f>HYPERLINK("http://ts.21cn.com/tousu/show/id/1363123","http://ts.21cn.com/tousu/show/id/1363123")</f>
      </c>
      <c r="G8126" t="s" s="2">
        <v>17</v>
      </c>
      <c r="H8126" t="s" s="2">
        <v>19</v>
      </c>
      <c r="I8126" t="s" s="2">
        <v>31380</v>
      </c>
      <c r="J8126" t="s" s="2">
        <v>31381</v>
      </c>
      <c r="K8126" t="s" s="2">
        <v>22</v>
      </c>
      <c r="L8126" t="s" s="2">
        <v>22</v>
      </c>
      <c r="M8126" t="s" s="2">
        <v>22</v>
      </c>
    </row>
    <row r="8127" ht="25.0" customHeight="true">
      <c r="A8127" t="s" s="2">
        <v>13</v>
      </c>
      <c r="B8127" t="s" s="2">
        <f>HYPERLINK("http://ts.21cn.com/tousu/show/id/1359431","银生宝为非法网站提供资金结算")</f>
      </c>
      <c r="C8127" t="s" s="2">
        <v>15</v>
      </c>
      <c r="D8127" t="s" s="2">
        <v>16</v>
      </c>
      <c r="E8127" t="s" s="2">
        <v>17</v>
      </c>
      <c r="F8127" t="s" s="2">
        <f>HYPERLINK("http://ts.21cn.com/tousu/show/id/1359431","http://ts.21cn.com/tousu/show/id/1359431")</f>
      </c>
      <c r="G8127" t="s" s="2">
        <v>17</v>
      </c>
      <c r="H8127" t="s" s="2">
        <v>19</v>
      </c>
      <c r="I8127" t="s" s="2">
        <v>31384</v>
      </c>
      <c r="J8127" t="s" s="2">
        <v>31385</v>
      </c>
      <c r="K8127" t="s" s="2">
        <v>22</v>
      </c>
      <c r="L8127" t="s" s="2">
        <v>22</v>
      </c>
      <c r="M8127" t="s" s="2">
        <v>22</v>
      </c>
    </row>
    <row r="8128" ht="25.0" customHeight="true">
      <c r="A8128" t="s" s="2">
        <v>13</v>
      </c>
      <c r="B8128" t="s" s="2">
        <f>HYPERLINK("http://ts.21cn.com/tousu/show/id/1363116","英孚维权 要求退款（不接受违约金 合同无此项）")</f>
      </c>
      <c r="C8128" t="s" s="2">
        <v>15</v>
      </c>
      <c r="D8128" t="s" s="2">
        <v>16</v>
      </c>
      <c r="E8128" t="s" s="2">
        <v>17</v>
      </c>
      <c r="F8128" t="s" s="2">
        <f>HYPERLINK("http://ts.21cn.com/tousu/show/id/1363116","http://ts.21cn.com/tousu/show/id/1363116")</f>
      </c>
      <c r="G8128" t="s" s="2">
        <v>17</v>
      </c>
      <c r="H8128" t="s" s="2">
        <v>19</v>
      </c>
      <c r="I8128" t="s" s="2">
        <v>31387</v>
      </c>
      <c r="J8128" t="s" s="2">
        <v>31388</v>
      </c>
      <c r="K8128" t="s" s="2">
        <v>22</v>
      </c>
      <c r="L8128" t="s" s="2">
        <v>22</v>
      </c>
      <c r="M8128" t="s" s="2">
        <v>22</v>
      </c>
    </row>
    <row r="8129" ht="25.0" customHeight="true">
      <c r="A8129" t="s" s="2">
        <v>13</v>
      </c>
      <c r="B8129" t="s" s="2">
        <f>HYPERLINK("http://ts.21cn.com/tousu/show/id/1363115","杭银消费协商还款一次还清")</f>
      </c>
      <c r="C8129" t="s" s="2">
        <v>52</v>
      </c>
      <c r="D8129" t="s" s="2">
        <v>16</v>
      </c>
      <c r="E8129" t="s" s="2">
        <v>17</v>
      </c>
      <c r="F8129" t="s" s="2">
        <f>HYPERLINK("http://ts.21cn.com/tousu/show/id/1363115","http://ts.21cn.com/tousu/show/id/1363115")</f>
      </c>
      <c r="G8129" t="s" s="2">
        <v>17</v>
      </c>
      <c r="H8129" t="s" s="2">
        <v>19</v>
      </c>
      <c r="I8129" t="s" s="2">
        <v>31391</v>
      </c>
      <c r="J8129" t="s" s="2">
        <v>31392</v>
      </c>
      <c r="K8129" t="s" s="2">
        <v>22</v>
      </c>
      <c r="L8129" t="s" s="2">
        <v>22</v>
      </c>
      <c r="M8129" t="s" s="2">
        <v>22</v>
      </c>
    </row>
    <row r="8130" ht="25.0" customHeight="true">
      <c r="A8130" t="s" s="2">
        <v>13</v>
      </c>
      <c r="B8130" t="s" s="2">
        <f>HYPERLINK("http://ts.21cn.com/tousu/show/id/1363112","小赢卡贷注销账号让提供手持身份证等隐私信息")</f>
      </c>
      <c r="C8130" t="s" s="2">
        <v>15</v>
      </c>
      <c r="D8130" t="s" s="2">
        <v>16</v>
      </c>
      <c r="E8130" t="s" s="2">
        <v>17</v>
      </c>
      <c r="F8130" t="s" s="2">
        <f>HYPERLINK("http://ts.21cn.com/tousu/show/id/1363112","http://ts.21cn.com/tousu/show/id/1363112")</f>
      </c>
      <c r="G8130" t="s" s="2">
        <v>17</v>
      </c>
      <c r="H8130" t="s" s="2">
        <v>19</v>
      </c>
      <c r="I8130" t="s" s="2">
        <v>31395</v>
      </c>
      <c r="J8130" t="s" s="2">
        <v>31396</v>
      </c>
      <c r="K8130" t="s" s="2">
        <v>22</v>
      </c>
      <c r="L8130" t="s" s="2">
        <v>22</v>
      </c>
      <c r="M8130" t="s" s="2">
        <v>22</v>
      </c>
    </row>
    <row r="8131" ht="25.0" customHeight="true">
      <c r="A8131" t="s" s="2">
        <v>13</v>
      </c>
      <c r="B8131" t="s" s="2">
        <f>HYPERLINK("http://ts.21cn.com/tousu/show/id/1363107","暴力催收高利贷")</f>
      </c>
      <c r="C8131" t="s" s="2">
        <v>15</v>
      </c>
      <c r="D8131" t="s" s="2">
        <v>16</v>
      </c>
      <c r="E8131" t="s" s="2">
        <v>17</v>
      </c>
      <c r="F8131" t="s" s="2">
        <f>HYPERLINK("http://ts.21cn.com/tousu/show/id/1363107","http://ts.21cn.com/tousu/show/id/1363107")</f>
      </c>
      <c r="G8131" t="s" s="2">
        <v>17</v>
      </c>
      <c r="H8131" t="s" s="2">
        <v>19</v>
      </c>
      <c r="I8131" t="s" s="2">
        <v>31398</v>
      </c>
      <c r="J8131" t="s" s="2">
        <v>31399</v>
      </c>
      <c r="K8131" t="s" s="2">
        <v>22</v>
      </c>
      <c r="L8131" t="s" s="2">
        <v>22</v>
      </c>
      <c r="M8131" t="s" s="2">
        <v>22</v>
      </c>
    </row>
    <row r="8132" ht="25.0" customHeight="true">
      <c r="A8132" t="s" s="2">
        <v>13</v>
      </c>
      <c r="B8132" t="s" s="2">
        <f>HYPERLINK("http://ts.21cn.com/tousu/show/id/1363105","招商银行信用卡暴利催收爆通讯录骚扰家人")</f>
      </c>
      <c r="C8132" t="s" s="2">
        <v>15</v>
      </c>
      <c r="D8132" t="s" s="2">
        <v>16</v>
      </c>
      <c r="E8132" t="s" s="2">
        <v>17</v>
      </c>
      <c r="F8132" t="s" s="2">
        <f>HYPERLINK("http://ts.21cn.com/tousu/show/id/1363105","http://ts.21cn.com/tousu/show/id/1363105")</f>
      </c>
      <c r="G8132" t="s" s="2">
        <v>17</v>
      </c>
      <c r="H8132" t="s" s="2">
        <v>19</v>
      </c>
      <c r="I8132" t="s" s="2">
        <v>31402</v>
      </c>
      <c r="J8132" t="s" s="2">
        <v>31403</v>
      </c>
      <c r="K8132" t="s" s="2">
        <v>22</v>
      </c>
      <c r="L8132" t="s" s="2">
        <v>22</v>
      </c>
      <c r="M8132" t="s" s="2">
        <v>22</v>
      </c>
    </row>
    <row r="8133" ht="25.0" customHeight="true">
      <c r="A8133" t="s" s="2">
        <v>13</v>
      </c>
      <c r="B8133" t="s" s="2">
        <f>HYPERLINK("http://ts.21cn.com/tousu/show/id/1363104","爱又米平台借款变相收取利息取现担保费")</f>
      </c>
      <c r="C8133" t="s" s="2">
        <v>15</v>
      </c>
      <c r="D8133" t="s" s="2">
        <v>16</v>
      </c>
      <c r="E8133" t="s" s="2">
        <v>17</v>
      </c>
      <c r="F8133" t="s" s="2">
        <f>HYPERLINK("http://ts.21cn.com/tousu/show/id/1363104","http://ts.21cn.com/tousu/show/id/1363104")</f>
      </c>
      <c r="G8133" t="s" s="2">
        <v>17</v>
      </c>
      <c r="H8133" t="s" s="2">
        <v>19</v>
      </c>
      <c r="I8133" t="s" s="2">
        <v>31406</v>
      </c>
      <c r="J8133" t="s" s="2">
        <v>31407</v>
      </c>
      <c r="K8133" t="s" s="2">
        <v>22</v>
      </c>
      <c r="L8133" t="s" s="2">
        <v>22</v>
      </c>
      <c r="M8133" t="s" s="2">
        <v>22</v>
      </c>
    </row>
    <row r="8134" ht="25.0" customHeight="true">
      <c r="A8134" t="s" s="2">
        <v>13</v>
      </c>
      <c r="B8134" t="s" s="2">
        <f>HYPERLINK("http://ts.21cn.com/tousu/show/id/1363101","贷款逾期，催收要求上门")</f>
      </c>
      <c r="C8134" t="s" s="2">
        <v>15</v>
      </c>
      <c r="D8134" t="s" s="2">
        <v>16</v>
      </c>
      <c r="E8134" t="s" s="2">
        <v>17</v>
      </c>
      <c r="F8134" t="s" s="2">
        <f>HYPERLINK("http://ts.21cn.com/tousu/show/id/1363101","http://ts.21cn.com/tousu/show/id/1363101")</f>
      </c>
      <c r="G8134" t="s" s="2">
        <v>17</v>
      </c>
      <c r="H8134" t="s" s="2">
        <v>19</v>
      </c>
      <c r="I8134" t="s" s="2">
        <v>31410</v>
      </c>
      <c r="J8134" t="s" s="2">
        <v>31411</v>
      </c>
      <c r="K8134" t="s" s="2">
        <v>22</v>
      </c>
      <c r="L8134" t="s" s="2">
        <v>22</v>
      </c>
      <c r="M8134" t="s" s="2">
        <v>22</v>
      </c>
    </row>
    <row r="8135" ht="25.0" customHeight="true">
      <c r="A8135" t="s" s="2">
        <v>13</v>
      </c>
      <c r="B8135" t="s" s="2">
        <f>HYPERLINK("http://ts.21cn.com/tousu/show/id/1363095","融易花诬陷我有欠他们钱")</f>
      </c>
      <c r="C8135" t="s" s="2">
        <v>15</v>
      </c>
      <c r="D8135" t="s" s="2">
        <v>16</v>
      </c>
      <c r="E8135" t="s" s="2">
        <v>17</v>
      </c>
      <c r="F8135" t="s" s="2">
        <f>HYPERLINK("http://ts.21cn.com/tousu/show/id/1363095","http://ts.21cn.com/tousu/show/id/1363095")</f>
      </c>
      <c r="G8135" t="s" s="2">
        <v>17</v>
      </c>
      <c r="H8135" t="s" s="2">
        <v>19</v>
      </c>
      <c r="I8135" t="s" s="2">
        <v>31414</v>
      </c>
      <c r="J8135" t="s" s="2">
        <v>31415</v>
      </c>
      <c r="K8135" t="s" s="2">
        <v>22</v>
      </c>
      <c r="L8135" t="s" s="2">
        <v>22</v>
      </c>
      <c r="M8135" t="s" s="2">
        <v>22</v>
      </c>
    </row>
    <row r="8136" ht="25.0" customHeight="true">
      <c r="A8136" t="s" s="2">
        <v>13</v>
      </c>
      <c r="B8136" t="s" s="2">
        <f>HYPERLINK("http://ts.21cn.com/tousu/show/id/1363093","智行软件无注销功能")</f>
      </c>
      <c r="C8136" t="s" s="2">
        <v>15</v>
      </c>
      <c r="D8136" t="s" s="2">
        <v>16</v>
      </c>
      <c r="E8136" t="s" s="2">
        <v>17</v>
      </c>
      <c r="F8136" t="s" s="2">
        <f>HYPERLINK("http://ts.21cn.com/tousu/show/id/1363093","http://ts.21cn.com/tousu/show/id/1363093")</f>
      </c>
      <c r="G8136" t="s" s="2">
        <v>17</v>
      </c>
      <c r="H8136" t="s" s="2">
        <v>19</v>
      </c>
      <c r="I8136" t="s" s="2">
        <v>31418</v>
      </c>
      <c r="J8136" t="s" s="2">
        <v>31419</v>
      </c>
      <c r="K8136" t="s" s="2">
        <v>22</v>
      </c>
      <c r="L8136" t="s" s="2">
        <v>22</v>
      </c>
      <c r="M8136" t="s" s="2">
        <v>22</v>
      </c>
    </row>
    <row r="8137" ht="25.0" customHeight="true">
      <c r="A8137" t="s" s="2">
        <v>13</v>
      </c>
      <c r="B8137" t="s" s="2">
        <f>HYPERLINK("http://ts.21cn.com/tousu/show/id/1363092","招联金融骚扰恐吓通讯录")</f>
      </c>
      <c r="C8137" t="s" s="2">
        <v>15</v>
      </c>
      <c r="D8137" t="s" s="2">
        <v>16</v>
      </c>
      <c r="E8137" t="s" s="2">
        <v>17</v>
      </c>
      <c r="F8137" t="s" s="2">
        <f>HYPERLINK("http://ts.21cn.com/tousu/show/id/1363092","http://ts.21cn.com/tousu/show/id/1363092")</f>
      </c>
      <c r="G8137" t="s" s="2">
        <v>17</v>
      </c>
      <c r="H8137" t="s" s="2">
        <v>19</v>
      </c>
      <c r="I8137" t="s" s="2">
        <v>31422</v>
      </c>
      <c r="J8137" t="s" s="2">
        <v>31423</v>
      </c>
      <c r="K8137" t="s" s="2">
        <v>22</v>
      </c>
      <c r="L8137" t="s" s="2">
        <v>22</v>
      </c>
      <c r="M8137" t="s" s="2">
        <v>22</v>
      </c>
    </row>
    <row r="8138" ht="25.0" customHeight="true">
      <c r="A8138" t="s" s="2">
        <v>13</v>
      </c>
      <c r="B8138" t="s" s="2">
        <f>HYPERLINK("http://ts.21cn.com/tousu/show/id/1363084","恶意催收骚扰通讯录")</f>
      </c>
      <c r="C8138" t="s" s="2">
        <v>15</v>
      </c>
      <c r="D8138" t="s" s="2">
        <v>16</v>
      </c>
      <c r="E8138" t="s" s="2">
        <v>17</v>
      </c>
      <c r="F8138" t="s" s="2">
        <f>HYPERLINK("http://ts.21cn.com/tousu/show/id/1363084","http://ts.21cn.com/tousu/show/id/1363084")</f>
      </c>
      <c r="G8138" t="s" s="2">
        <v>17</v>
      </c>
      <c r="H8138" t="s" s="2">
        <v>19</v>
      </c>
      <c r="I8138" t="s" s="2">
        <v>31426</v>
      </c>
      <c r="J8138" t="s" s="2">
        <v>31427</v>
      </c>
      <c r="K8138" t="s" s="2">
        <v>22</v>
      </c>
      <c r="L8138" t="s" s="2">
        <v>22</v>
      </c>
      <c r="M8138" t="s" s="2">
        <v>22</v>
      </c>
    </row>
    <row r="8139" ht="25.0" customHeight="true">
      <c r="A8139" t="s" s="2">
        <v>13</v>
      </c>
      <c r="B8139" t="s" s="2">
        <f>HYPERLINK("http://ts.21cn.com/tousu/show/id/1363082","短信骚扰亲友")</f>
      </c>
      <c r="C8139" t="s" s="2">
        <v>15</v>
      </c>
      <c r="D8139" t="s" s="2">
        <v>16</v>
      </c>
      <c r="E8139" t="s" s="2">
        <v>17</v>
      </c>
      <c r="F8139" t="s" s="2">
        <f>HYPERLINK("http://ts.21cn.com/tousu/show/id/1363082","http://ts.21cn.com/tousu/show/id/1363082")</f>
      </c>
      <c r="G8139" t="s" s="2">
        <v>17</v>
      </c>
      <c r="H8139" t="s" s="2">
        <v>19</v>
      </c>
      <c r="I8139" t="s" s="2">
        <v>31430</v>
      </c>
      <c r="J8139" t="s" s="2">
        <v>31431</v>
      </c>
      <c r="K8139" t="s" s="2">
        <v>22</v>
      </c>
      <c r="L8139" t="s" s="2">
        <v>22</v>
      </c>
      <c r="M8139" t="s" s="2">
        <v>22</v>
      </c>
    </row>
    <row r="8140" ht="25.0" customHeight="true">
      <c r="A8140" t="s" s="2">
        <v>13</v>
      </c>
      <c r="B8140" t="s" s="2">
        <f>HYPERLINK("http://ts.21cn.com/tousu/show/id/1363081","途家/去哪儿民宿深夜无法入住，房东未接电话，楼下被人尾随，申请售后却拒绝退款")</f>
      </c>
      <c r="C8140" t="s" s="2">
        <v>15</v>
      </c>
      <c r="D8140" t="s" s="2">
        <v>16</v>
      </c>
      <c r="E8140" t="s" s="2">
        <v>17</v>
      </c>
      <c r="F8140" t="s" s="2">
        <f>HYPERLINK("http://ts.21cn.com/tousu/show/id/1363081","http://ts.21cn.com/tousu/show/id/1363081")</f>
      </c>
      <c r="G8140" t="s" s="2">
        <v>17</v>
      </c>
      <c r="H8140" t="s" s="2">
        <v>19</v>
      </c>
      <c r="I8140" t="s" s="2">
        <v>31434</v>
      </c>
      <c r="J8140" t="s" s="2">
        <v>31435</v>
      </c>
      <c r="K8140" t="s" s="2">
        <v>22</v>
      </c>
      <c r="L8140" t="s" s="2">
        <v>22</v>
      </c>
      <c r="M8140" t="s" s="2">
        <v>22</v>
      </c>
    </row>
    <row r="8141" ht="25.0" customHeight="true">
      <c r="A8141" t="s" s="2">
        <v>13</v>
      </c>
      <c r="B8141" t="s" s="2">
        <f>HYPERLINK("http://ts.21cn.com/tousu/show/id/1363079","网贷宣传与实际不符造成损失")</f>
      </c>
      <c r="C8141" t="s" s="2">
        <v>15</v>
      </c>
      <c r="D8141" t="s" s="2">
        <v>16</v>
      </c>
      <c r="E8141" t="s" s="2">
        <v>17</v>
      </c>
      <c r="F8141" t="s" s="2">
        <f>HYPERLINK("http://ts.21cn.com/tousu/show/id/1363079","http://ts.21cn.com/tousu/show/id/1363079")</f>
      </c>
      <c r="G8141" t="s" s="2">
        <v>17</v>
      </c>
      <c r="H8141" t="s" s="2">
        <v>19</v>
      </c>
      <c r="I8141" t="s" s="2">
        <v>31438</v>
      </c>
      <c r="J8141" t="s" s="2">
        <v>31439</v>
      </c>
      <c r="K8141" t="s" s="2">
        <v>22</v>
      </c>
      <c r="L8141" t="s" s="2">
        <v>22</v>
      </c>
      <c r="M8141" t="s" s="2">
        <v>22</v>
      </c>
    </row>
    <row r="8142" ht="25.0" customHeight="true">
      <c r="A8142" t="s" s="2">
        <v>13</v>
      </c>
      <c r="B8142" t="s" s="2">
        <f>HYPERLINK("http://ts.21cn.com/tousu/show/id/1363071","安逸花恶意骚扰")</f>
      </c>
      <c r="C8142" t="s" s="2">
        <v>15</v>
      </c>
      <c r="D8142" t="s" s="2">
        <v>16</v>
      </c>
      <c r="E8142" t="s" s="2">
        <v>17</v>
      </c>
      <c r="F8142" t="s" s="2">
        <f>HYPERLINK("http://ts.21cn.com/tousu/show/id/1363071","http://ts.21cn.com/tousu/show/id/1363071")</f>
      </c>
      <c r="G8142" t="s" s="2">
        <v>17</v>
      </c>
      <c r="H8142" t="s" s="2">
        <v>19</v>
      </c>
      <c r="I8142" t="s" s="2">
        <v>31441</v>
      </c>
      <c r="J8142" t="s" s="2">
        <v>31442</v>
      </c>
      <c r="K8142" t="s" s="2">
        <v>22</v>
      </c>
      <c r="L8142" t="s" s="2">
        <v>22</v>
      </c>
      <c r="M8142" t="s" s="2">
        <v>22</v>
      </c>
    </row>
    <row r="8143" ht="25.0" customHeight="true">
      <c r="A8143" t="s" s="2">
        <v>13</v>
      </c>
      <c r="B8143" t="s" s="2">
        <f>HYPERLINK("http://ts.21cn.com/tousu/show/id/1363070","喵下贷阴阳合同高利贷砍头息")</f>
      </c>
      <c r="C8143" t="s" s="2">
        <v>15</v>
      </c>
      <c r="D8143" t="s" s="2">
        <v>16</v>
      </c>
      <c r="E8143" t="s" s="2">
        <v>17</v>
      </c>
      <c r="F8143" t="s" s="2">
        <f>HYPERLINK("http://ts.21cn.com/tousu/show/id/1363070","http://ts.21cn.com/tousu/show/id/1363070")</f>
      </c>
      <c r="G8143" t="s" s="2">
        <v>17</v>
      </c>
      <c r="H8143" t="s" s="2">
        <v>19</v>
      </c>
      <c r="I8143" t="s" s="2">
        <v>31445</v>
      </c>
      <c r="J8143" t="s" s="2">
        <v>31446</v>
      </c>
      <c r="K8143" t="s" s="2">
        <v>22</v>
      </c>
      <c r="L8143" t="s" s="2">
        <v>22</v>
      </c>
      <c r="M8143" t="s" s="2">
        <v>22</v>
      </c>
    </row>
    <row r="8144" ht="25.0" customHeight="true">
      <c r="A8144" t="s" s="2">
        <v>13</v>
      </c>
      <c r="B8144" t="s" s="2">
        <f>HYPERLINK("http://ts.21cn.com/tousu/show/id/1363062","51人品贷黑心高利贷，砍头息，骚扰通讯录联系人")</f>
      </c>
      <c r="C8144" t="s" s="2">
        <v>15</v>
      </c>
      <c r="D8144" t="s" s="2">
        <v>16</v>
      </c>
      <c r="E8144" t="s" s="2">
        <v>17</v>
      </c>
      <c r="F8144" t="s" s="2">
        <f>HYPERLINK("http://ts.21cn.com/tousu/show/id/1363062","http://ts.21cn.com/tousu/show/id/1363062")</f>
      </c>
      <c r="G8144" t="s" s="2">
        <v>17</v>
      </c>
      <c r="H8144" t="s" s="2">
        <v>19</v>
      </c>
      <c r="I8144" t="s" s="2">
        <v>31449</v>
      </c>
      <c r="J8144" t="s" s="2">
        <v>31450</v>
      </c>
      <c r="K8144" t="s" s="2">
        <v>22</v>
      </c>
      <c r="L8144" t="s" s="2">
        <v>22</v>
      </c>
      <c r="M8144" t="s" s="2">
        <v>22</v>
      </c>
    </row>
    <row r="8145" ht="25.0" customHeight="true">
      <c r="A8145" t="s" s="2">
        <v>13</v>
      </c>
      <c r="B8145" t="s" s="2">
        <f>HYPERLINK("http://ts.21cn.com/tousu/show/id/1363060","喵下贷高利贷5天到账1300还款1999")</f>
      </c>
      <c r="C8145" t="s" s="2">
        <v>15</v>
      </c>
      <c r="D8145" t="s" s="2">
        <v>16</v>
      </c>
      <c r="E8145" t="s" s="2">
        <v>17</v>
      </c>
      <c r="F8145" t="s" s="2">
        <f>HYPERLINK("http://ts.21cn.com/tousu/show/id/1363060","http://ts.21cn.com/tousu/show/id/1363060")</f>
      </c>
      <c r="G8145" t="s" s="2">
        <v>17</v>
      </c>
      <c r="H8145" t="s" s="2">
        <v>19</v>
      </c>
      <c r="I8145" t="s" s="2">
        <v>31453</v>
      </c>
      <c r="J8145" t="s" s="2">
        <v>31454</v>
      </c>
      <c r="K8145" t="s" s="2">
        <v>22</v>
      </c>
      <c r="L8145" t="s" s="2">
        <v>22</v>
      </c>
      <c r="M8145" t="s" s="2">
        <v>22</v>
      </c>
    </row>
    <row r="8146" ht="25.0" customHeight="true">
      <c r="A8146" t="s" s="2">
        <v>13</v>
      </c>
      <c r="B8146" t="s" s="2">
        <f>HYPERLINK("http://ts.21cn.com/tousu/show/id/1363013","害人软件")</f>
      </c>
      <c r="C8146" t="s" s="2">
        <v>15</v>
      </c>
      <c r="D8146" t="s" s="2">
        <v>16</v>
      </c>
      <c r="E8146" t="s" s="2">
        <v>17</v>
      </c>
      <c r="F8146" t="s" s="2">
        <f>HYPERLINK("http://ts.21cn.com/tousu/show/id/1363013","http://ts.21cn.com/tousu/show/id/1363013")</f>
      </c>
      <c r="G8146" t="s" s="2">
        <v>17</v>
      </c>
      <c r="H8146" t="s" s="2">
        <v>19</v>
      </c>
      <c r="I8146" t="s" s="2">
        <v>31457</v>
      </c>
      <c r="J8146" t="s" s="2">
        <v>31458</v>
      </c>
      <c r="K8146" t="s" s="2">
        <v>22</v>
      </c>
      <c r="L8146" t="s" s="2">
        <v>22</v>
      </c>
      <c r="M8146" t="s" s="2">
        <v>22</v>
      </c>
    </row>
    <row r="8147" ht="25.0" customHeight="true">
      <c r="A8147" t="s" s="2">
        <v>13</v>
      </c>
      <c r="B8147" t="s" s="2">
        <f>HYPERLINK("http://ts.21cn.com/tousu/show/id/1363051","胖胖有米强制放款，砍头子恶意出卖客服信息")</f>
      </c>
      <c r="C8147" t="s" s="2">
        <v>15</v>
      </c>
      <c r="D8147" t="s" s="2">
        <v>16</v>
      </c>
      <c r="E8147" t="s" s="2">
        <v>17</v>
      </c>
      <c r="F8147" t="s" s="2">
        <f>HYPERLINK("http://ts.21cn.com/tousu/show/id/1363051","http://ts.21cn.com/tousu/show/id/1363051")</f>
      </c>
      <c r="G8147" t="s" s="2">
        <v>17</v>
      </c>
      <c r="H8147" t="s" s="2">
        <v>19</v>
      </c>
      <c r="I8147" t="s" s="2">
        <v>31461</v>
      </c>
      <c r="J8147" t="s" s="2">
        <v>31462</v>
      </c>
      <c r="K8147" t="s" s="2">
        <v>22</v>
      </c>
      <c r="L8147" t="s" s="2">
        <v>22</v>
      </c>
      <c r="M8147" t="s" s="2">
        <v>22</v>
      </c>
    </row>
    <row r="8148" ht="25.0" customHeight="true">
      <c r="A8148" t="s" s="2">
        <v>13</v>
      </c>
      <c r="B8148" t="s" s="2">
        <f>HYPERLINK("http://ts.21cn.com/tousu/show/id/1363049","去哪儿机票退款严重超出国家法律法规")</f>
      </c>
      <c r="C8148" t="s" s="2">
        <v>52</v>
      </c>
      <c r="D8148" t="s" s="2">
        <v>16</v>
      </c>
      <c r="E8148" t="s" s="2">
        <v>17</v>
      </c>
      <c r="F8148" t="s" s="2">
        <f>HYPERLINK("http://ts.21cn.com/tousu/show/id/1363049","http://ts.21cn.com/tousu/show/id/1363049")</f>
      </c>
      <c r="G8148" t="s" s="2">
        <v>17</v>
      </c>
      <c r="H8148" t="s" s="2">
        <v>19</v>
      </c>
      <c r="I8148" t="s" s="2">
        <v>31465</v>
      </c>
      <c r="J8148" t="s" s="2">
        <v>31466</v>
      </c>
      <c r="K8148" t="s" s="2">
        <v>22</v>
      </c>
      <c r="L8148" t="s" s="2">
        <v>22</v>
      </c>
      <c r="M8148" t="s" s="2">
        <v>22</v>
      </c>
    </row>
    <row r="8149" ht="25.0" customHeight="true">
      <c r="A8149" t="s" s="2">
        <v>13</v>
      </c>
      <c r="B8149" t="s" s="2">
        <f>HYPERLINK("http://ts.21cn.com/tousu/show/id/1363046","投诉微信冻我9600不给提现")</f>
      </c>
      <c r="C8149" t="s" s="2">
        <v>15</v>
      </c>
      <c r="D8149" t="s" s="2">
        <v>16</v>
      </c>
      <c r="E8149" t="s" s="2">
        <v>17</v>
      </c>
      <c r="F8149" t="s" s="2">
        <f>HYPERLINK("http://ts.21cn.com/tousu/show/id/1363046","http://ts.21cn.com/tousu/show/id/1363046")</f>
      </c>
      <c r="G8149" t="s" s="2">
        <v>17</v>
      </c>
      <c r="H8149" t="s" s="2">
        <v>19</v>
      </c>
      <c r="I8149" t="s" s="2">
        <v>31469</v>
      </c>
      <c r="J8149" t="s" s="2">
        <v>31470</v>
      </c>
      <c r="K8149" t="s" s="2">
        <v>22</v>
      </c>
      <c r="L8149" t="s" s="2">
        <v>22</v>
      </c>
      <c r="M8149" t="s" s="2">
        <v>22</v>
      </c>
    </row>
    <row r="8150" ht="25.0" customHeight="true">
      <c r="A8150" t="s" s="2">
        <v>13</v>
      </c>
      <c r="B8150" t="s" s="2">
        <f>HYPERLINK("http://ts.21cn.com/tousu/show/id/1363040","拍拍贷高利贷爆力催收")</f>
      </c>
      <c r="C8150" t="s" s="2">
        <v>15</v>
      </c>
      <c r="D8150" t="s" s="2">
        <v>16</v>
      </c>
      <c r="E8150" t="s" s="2">
        <v>17</v>
      </c>
      <c r="F8150" t="s" s="2">
        <f>HYPERLINK("http://ts.21cn.com/tousu/show/id/1363040","http://ts.21cn.com/tousu/show/id/1363040")</f>
      </c>
      <c r="G8150" t="s" s="2">
        <v>17</v>
      </c>
      <c r="H8150" t="s" s="2">
        <v>19</v>
      </c>
      <c r="I8150" t="s" s="2">
        <v>31473</v>
      </c>
      <c r="J8150" t="s" s="2">
        <v>31474</v>
      </c>
      <c r="K8150" t="s" s="2">
        <v>22</v>
      </c>
      <c r="L8150" t="s" s="2">
        <v>22</v>
      </c>
      <c r="M8150" t="s" s="2">
        <v>22</v>
      </c>
    </row>
    <row r="8151" ht="25.0" customHeight="true">
      <c r="A8151" t="s" s="2">
        <v>13</v>
      </c>
      <c r="B8151" t="s" s="2">
        <f>HYPERLINK("http://ts.21cn.com/tousu/show/id/1363038","闪银协商砍头息，一直联系不上")</f>
      </c>
      <c r="C8151" t="s" s="2">
        <v>15</v>
      </c>
      <c r="D8151" t="s" s="2">
        <v>16</v>
      </c>
      <c r="E8151" t="s" s="2">
        <v>17</v>
      </c>
      <c r="F8151" t="s" s="2">
        <f>HYPERLINK("http://ts.21cn.com/tousu/show/id/1363038","http://ts.21cn.com/tousu/show/id/1363038")</f>
      </c>
      <c r="G8151" t="s" s="2">
        <v>17</v>
      </c>
      <c r="H8151" t="s" s="2">
        <v>19</v>
      </c>
      <c r="I8151" t="s" s="2">
        <v>31477</v>
      </c>
      <c r="J8151" t="s" s="2">
        <v>31478</v>
      </c>
      <c r="K8151" t="s" s="2">
        <v>22</v>
      </c>
      <c r="L8151" t="s" s="2">
        <v>22</v>
      </c>
      <c r="M8151" t="s" s="2">
        <v>22</v>
      </c>
    </row>
    <row r="8152" ht="25.0" customHeight="true">
      <c r="A8152" t="s" s="2">
        <v>13</v>
      </c>
      <c r="B8152" t="s" s="2">
        <f>HYPERLINK("http://ts.21cn.com/tousu/show/id/1363035","百度有钱花")</f>
      </c>
      <c r="C8152" t="s" s="2">
        <v>15</v>
      </c>
      <c r="D8152" t="s" s="2">
        <v>16</v>
      </c>
      <c r="E8152" t="s" s="2">
        <v>17</v>
      </c>
      <c r="F8152" t="s" s="2">
        <f>HYPERLINK("http://ts.21cn.com/tousu/show/id/1363035","http://ts.21cn.com/tousu/show/id/1363035")</f>
      </c>
      <c r="G8152" t="s" s="2">
        <v>17</v>
      </c>
      <c r="H8152" t="s" s="2">
        <v>19</v>
      </c>
      <c r="I8152" t="s" s="2">
        <v>31480</v>
      </c>
      <c r="J8152" t="s" s="2">
        <v>31481</v>
      </c>
      <c r="K8152" t="s" s="2">
        <v>22</v>
      </c>
      <c r="L8152" t="s" s="2">
        <v>22</v>
      </c>
      <c r="M8152" t="s" s="2">
        <v>22</v>
      </c>
    </row>
    <row r="8153" ht="25.0" customHeight="true">
      <c r="A8153" t="s" s="2">
        <v>13</v>
      </c>
      <c r="B8153" t="s" s="2">
        <f>HYPERLINK("http://ts.21cn.com/tousu/show/id/1363028","现控达人高额砍头息")</f>
      </c>
      <c r="C8153" t="s" s="2">
        <v>15</v>
      </c>
      <c r="D8153" t="s" s="2">
        <v>16</v>
      </c>
      <c r="E8153" t="s" s="2">
        <v>17</v>
      </c>
      <c r="F8153" t="s" s="2">
        <f>HYPERLINK("http://ts.21cn.com/tousu/show/id/1363028","http://ts.21cn.com/tousu/show/id/1363028")</f>
      </c>
      <c r="G8153" t="s" s="2">
        <v>17</v>
      </c>
      <c r="H8153" t="s" s="2">
        <v>19</v>
      </c>
      <c r="I8153" t="s" s="2">
        <v>31484</v>
      </c>
      <c r="J8153" t="s" s="2">
        <v>31485</v>
      </c>
      <c r="K8153" t="s" s="2">
        <v>22</v>
      </c>
      <c r="L8153" t="s" s="2">
        <v>22</v>
      </c>
      <c r="M8153" t="s" s="2">
        <v>22</v>
      </c>
    </row>
    <row r="8154" ht="25.0" customHeight="true">
      <c r="A8154" t="s" s="2">
        <v>13</v>
      </c>
      <c r="B8154" t="s" s="2">
        <f>HYPERLINK("http://ts.21cn.com/tousu/show/id/1363027","捷信公司打通讯录")</f>
      </c>
      <c r="C8154" t="s" s="2">
        <v>15</v>
      </c>
      <c r="D8154" t="s" s="2">
        <v>16</v>
      </c>
      <c r="E8154" t="s" s="2">
        <v>17</v>
      </c>
      <c r="F8154" t="s" s="2">
        <f>HYPERLINK("http://ts.21cn.com/tousu/show/id/1363027","http://ts.21cn.com/tousu/show/id/1363027")</f>
      </c>
      <c r="G8154" t="s" s="2">
        <v>17</v>
      </c>
      <c r="H8154" t="s" s="2">
        <v>19</v>
      </c>
      <c r="I8154" t="s" s="2">
        <v>31488</v>
      </c>
      <c r="J8154" t="s" s="2">
        <v>31489</v>
      </c>
      <c r="K8154" t="s" s="2">
        <v>22</v>
      </c>
      <c r="L8154" t="s" s="2">
        <v>22</v>
      </c>
      <c r="M8154" t="s" s="2">
        <v>22</v>
      </c>
    </row>
    <row r="8155" ht="25.0" customHeight="true">
      <c r="A8155" t="s" s="2">
        <v>13</v>
      </c>
      <c r="B8155" t="s" s="2">
        <f>HYPERLINK("http://ts.21cn.com/tousu/show/id/1363024","一秒陛下砍头子，高利贷")</f>
      </c>
      <c r="C8155" t="s" s="2">
        <v>15</v>
      </c>
      <c r="D8155" t="s" s="2">
        <v>16</v>
      </c>
      <c r="E8155" t="s" s="2">
        <v>17</v>
      </c>
      <c r="F8155" t="s" s="2">
        <f>HYPERLINK("http://ts.21cn.com/tousu/show/id/1363024","http://ts.21cn.com/tousu/show/id/1363024")</f>
      </c>
      <c r="G8155" t="s" s="2">
        <v>17</v>
      </c>
      <c r="H8155" t="s" s="2">
        <v>19</v>
      </c>
      <c r="I8155" t="s" s="2">
        <v>31492</v>
      </c>
      <c r="J8155" t="s" s="2">
        <v>31493</v>
      </c>
      <c r="K8155" t="s" s="2">
        <v>22</v>
      </c>
      <c r="L8155" t="s" s="2">
        <v>22</v>
      </c>
      <c r="M8155" t="s" s="2">
        <v>22</v>
      </c>
    </row>
    <row r="8156" ht="25.0" customHeight="true">
      <c r="A8156" t="s" s="2">
        <v>13</v>
      </c>
      <c r="B8156" t="s" s="2">
        <f>HYPERLINK("http://ts.21cn.com/tousu/show/id/1363022","平安信用卡恶意催收威胁")</f>
      </c>
      <c r="C8156" t="s" s="2">
        <v>15</v>
      </c>
      <c r="D8156" t="s" s="2">
        <v>16</v>
      </c>
      <c r="E8156" t="s" s="2">
        <v>17</v>
      </c>
      <c r="F8156" t="s" s="2">
        <f>HYPERLINK("http://ts.21cn.com/tousu/show/id/1363022","http://ts.21cn.com/tousu/show/id/1363022")</f>
      </c>
      <c r="G8156" t="s" s="2">
        <v>17</v>
      </c>
      <c r="H8156" t="s" s="2">
        <v>19</v>
      </c>
      <c r="I8156" t="s" s="2">
        <v>31496</v>
      </c>
      <c r="J8156" t="s" s="2">
        <v>31497</v>
      </c>
      <c r="K8156" t="s" s="2">
        <v>22</v>
      </c>
      <c r="L8156" t="s" s="2">
        <v>22</v>
      </c>
      <c r="M8156" t="s" s="2">
        <v>22</v>
      </c>
    </row>
    <row r="8157" ht="25.0" customHeight="true">
      <c r="A8157" t="s" s="2">
        <v>13</v>
      </c>
      <c r="B8157" t="s" s="2">
        <f>HYPERLINK("http://ts.21cn.com/tousu/show/id/1363019","招联金融恶意催收")</f>
      </c>
      <c r="C8157" t="s" s="2">
        <v>15</v>
      </c>
      <c r="D8157" t="s" s="2">
        <v>16</v>
      </c>
      <c r="E8157" t="s" s="2">
        <v>17</v>
      </c>
      <c r="F8157" t="s" s="2">
        <f>HYPERLINK("http://ts.21cn.com/tousu/show/id/1363019","http://ts.21cn.com/tousu/show/id/1363019")</f>
      </c>
      <c r="G8157" t="s" s="2">
        <v>17</v>
      </c>
      <c r="H8157" t="s" s="2">
        <v>19</v>
      </c>
      <c r="I8157" t="s" s="2">
        <v>31499</v>
      </c>
      <c r="J8157" t="s" s="2">
        <v>31500</v>
      </c>
      <c r="K8157" t="s" s="2">
        <v>22</v>
      </c>
      <c r="L8157" t="s" s="2">
        <v>22</v>
      </c>
      <c r="M8157" t="s" s="2">
        <v>22</v>
      </c>
    </row>
    <row r="8158" ht="25.0" customHeight="true">
      <c r="A8158" t="s" s="2">
        <v>13</v>
      </c>
      <c r="B8158" t="s" s="2">
        <f>HYPERLINK("http://ts.21cn.com/tousu/show/id/1363017","享骑电动车押金超时未退遭用户集体投诉")</f>
      </c>
      <c r="C8158" t="s" s="2">
        <v>52</v>
      </c>
      <c r="D8158" t="s" s="2">
        <v>16</v>
      </c>
      <c r="E8158" t="s" s="2">
        <v>17</v>
      </c>
      <c r="F8158" t="s" s="2">
        <f>HYPERLINK("http://ts.21cn.com/tousu/show/id/1363017","http://ts.21cn.com/tousu/show/id/1363017")</f>
      </c>
      <c r="G8158" t="s" s="2">
        <v>17</v>
      </c>
      <c r="H8158" t="s" s="2">
        <v>19</v>
      </c>
      <c r="I8158" t="s" s="2">
        <v>31503</v>
      </c>
      <c r="J8158" t="s" s="2">
        <v>31504</v>
      </c>
      <c r="K8158" t="s" s="2">
        <v>22</v>
      </c>
      <c r="L8158" t="s" s="2">
        <v>22</v>
      </c>
      <c r="M8158" t="s" s="2">
        <v>22</v>
      </c>
    </row>
    <row r="8159" ht="25.0" customHeight="true">
      <c r="A8159" t="s" s="2">
        <v>13</v>
      </c>
      <c r="B8159" t="s" s="2">
        <f>HYPERLINK("http://ts.21cn.com/tousu/show/id/1363016","卧龙钱包砍头息，高利贷")</f>
      </c>
      <c r="C8159" t="s" s="2">
        <v>15</v>
      </c>
      <c r="D8159" t="s" s="2">
        <v>16</v>
      </c>
      <c r="E8159" t="s" s="2">
        <v>17</v>
      </c>
      <c r="F8159" t="s" s="2">
        <f>HYPERLINK("http://ts.21cn.com/tousu/show/id/1363016","http://ts.21cn.com/tousu/show/id/1363016")</f>
      </c>
      <c r="G8159" t="s" s="2">
        <v>17</v>
      </c>
      <c r="H8159" t="s" s="2">
        <v>19</v>
      </c>
      <c r="I8159" t="s" s="2">
        <v>31507</v>
      </c>
      <c r="J8159" t="s" s="2">
        <v>31508</v>
      </c>
      <c r="K8159" t="s" s="2">
        <v>22</v>
      </c>
      <c r="L8159" t="s" s="2">
        <v>22</v>
      </c>
      <c r="M8159" t="s" s="2">
        <v>22</v>
      </c>
    </row>
    <row r="8160" ht="25.0" customHeight="true">
      <c r="A8160" t="s" s="2">
        <v>13</v>
      </c>
      <c r="B8160" t="s" s="2">
        <f>HYPERLINK("http://ts.21cn.com/tousu/show/id/1363008","京东金融推荐活力花利息过高非法催还")</f>
      </c>
      <c r="C8160" t="s" s="2">
        <v>15</v>
      </c>
      <c r="D8160" t="s" s="2">
        <v>16</v>
      </c>
      <c r="E8160" t="s" s="2">
        <v>17</v>
      </c>
      <c r="F8160" t="s" s="2">
        <f>HYPERLINK("http://ts.21cn.com/tousu/show/id/1363008","http://ts.21cn.com/tousu/show/id/1363008")</f>
      </c>
      <c r="G8160" t="s" s="2">
        <v>17</v>
      </c>
      <c r="H8160" t="s" s="2">
        <v>19</v>
      </c>
      <c r="I8160" t="s" s="2">
        <v>31511</v>
      </c>
      <c r="J8160" t="s" s="2">
        <v>31512</v>
      </c>
      <c r="K8160" t="s" s="2">
        <v>22</v>
      </c>
      <c r="L8160" t="s" s="2">
        <v>22</v>
      </c>
      <c r="M8160" t="s" s="2">
        <v>22</v>
      </c>
    </row>
    <row r="8161" ht="25.0" customHeight="true">
      <c r="A8161" t="s" s="2">
        <v>13</v>
      </c>
      <c r="B8161" t="s" s="2">
        <f>HYPERLINK("http://ts.21cn.com/tousu/show/id/1363006","你我贷利息超标")</f>
      </c>
      <c r="C8161" t="s" s="2">
        <v>15</v>
      </c>
      <c r="D8161" t="s" s="2">
        <v>16</v>
      </c>
      <c r="E8161" t="s" s="2">
        <v>17</v>
      </c>
      <c r="F8161" t="s" s="2">
        <f>HYPERLINK("http://ts.21cn.com/tousu/show/id/1363006","http://ts.21cn.com/tousu/show/id/1363006")</f>
      </c>
      <c r="G8161" t="s" s="2">
        <v>17</v>
      </c>
      <c r="H8161" t="s" s="2">
        <v>19</v>
      </c>
      <c r="I8161" t="s" s="2">
        <v>31515</v>
      </c>
      <c r="J8161" t="s" s="2">
        <v>31516</v>
      </c>
      <c r="K8161" t="s" s="2">
        <v>22</v>
      </c>
      <c r="L8161" t="s" s="2">
        <v>22</v>
      </c>
      <c r="M8161" t="s" s="2">
        <v>22</v>
      </c>
    </row>
    <row r="8162" ht="25.0" customHeight="true">
      <c r="A8162" t="s" s="2">
        <v>13</v>
      </c>
      <c r="B8162" t="s" s="2">
        <f>HYPERLINK("http://ts.21cn.com/tousu/show/id/1363005","360借条恶意骚扰威胁恐吓")</f>
      </c>
      <c r="C8162" t="s" s="2">
        <v>15</v>
      </c>
      <c r="D8162" t="s" s="2">
        <v>16</v>
      </c>
      <c r="E8162" t="s" s="2">
        <v>17</v>
      </c>
      <c r="F8162" t="s" s="2">
        <f>HYPERLINK("http://ts.21cn.com/tousu/show/id/1363005","http://ts.21cn.com/tousu/show/id/1363005")</f>
      </c>
      <c r="G8162" t="s" s="2">
        <v>17</v>
      </c>
      <c r="H8162" t="s" s="2">
        <v>19</v>
      </c>
      <c r="I8162" t="s" s="2">
        <v>31519</v>
      </c>
      <c r="J8162" t="s" s="2">
        <v>31520</v>
      </c>
      <c r="K8162" t="s" s="2">
        <v>22</v>
      </c>
      <c r="L8162" t="s" s="2">
        <v>22</v>
      </c>
      <c r="M8162" t="s" s="2">
        <v>22</v>
      </c>
    </row>
    <row r="8163" ht="25.0" customHeight="true">
      <c r="A8163" t="s" s="2">
        <v>13</v>
      </c>
      <c r="B8163" t="s" s="2">
        <f>HYPERLINK("http://ts.21cn.com/tousu/show/id/1363002","电话短信多次辱骂并泄露个人信息与私人照片")</f>
      </c>
      <c r="C8163" t="s" s="2">
        <v>15</v>
      </c>
      <c r="D8163" t="s" s="2">
        <v>16</v>
      </c>
      <c r="E8163" t="s" s="2">
        <v>17</v>
      </c>
      <c r="F8163" t="s" s="2">
        <f>HYPERLINK("http://ts.21cn.com/tousu/show/id/1363002","http://ts.21cn.com/tousu/show/id/1363002")</f>
      </c>
      <c r="G8163" t="s" s="2">
        <v>17</v>
      </c>
      <c r="H8163" t="s" s="2">
        <v>19</v>
      </c>
      <c r="I8163" t="s" s="2">
        <v>31523</v>
      </c>
      <c r="J8163" t="s" s="2">
        <v>31524</v>
      </c>
      <c r="K8163" t="s" s="2">
        <v>22</v>
      </c>
      <c r="L8163" t="s" s="2">
        <v>22</v>
      </c>
      <c r="M8163" t="s" s="2">
        <v>22</v>
      </c>
    </row>
    <row r="8164" ht="25.0" customHeight="true">
      <c r="A8164" t="s" s="2">
        <v>13</v>
      </c>
      <c r="B8164" t="s" s="2">
        <f>HYPERLINK("http://ts.21cn.com/tousu/show/id/1362997","豆豆钱以保费名义砍头息，合同贷款利率与实际利率不符")</f>
      </c>
      <c r="C8164" t="s" s="2">
        <v>52</v>
      </c>
      <c r="D8164" t="s" s="2">
        <v>16</v>
      </c>
      <c r="E8164" t="s" s="2">
        <v>17</v>
      </c>
      <c r="F8164" t="s" s="2">
        <f>HYPERLINK("http://ts.21cn.com/tousu/show/id/1362997","http://ts.21cn.com/tousu/show/id/1362997")</f>
      </c>
      <c r="G8164" t="s" s="2">
        <v>17</v>
      </c>
      <c r="H8164" t="s" s="2">
        <v>19</v>
      </c>
      <c r="I8164" t="s" s="2">
        <v>31527</v>
      </c>
      <c r="J8164" t="s" s="2">
        <v>31528</v>
      </c>
      <c r="K8164" t="s" s="2">
        <v>22</v>
      </c>
      <c r="L8164" t="s" s="2">
        <v>22</v>
      </c>
      <c r="M8164" t="s" s="2">
        <v>22</v>
      </c>
    </row>
    <row r="8165" ht="25.0" customHeight="true">
      <c r="A8165" t="s" s="2">
        <v>13</v>
      </c>
      <c r="B8165" t="s" s="2">
        <f>HYPERLINK("http://ts.21cn.com/tousu/show/id/1362995","户县饿了么无视合同涨价不正当竞争恶意设置后台配送范围")</f>
      </c>
      <c r="C8165" t="s" s="2">
        <v>15</v>
      </c>
      <c r="D8165" t="s" s="2">
        <v>16</v>
      </c>
      <c r="E8165" t="s" s="2">
        <v>17</v>
      </c>
      <c r="F8165" t="s" s="2">
        <f>HYPERLINK("http://ts.21cn.com/tousu/show/id/1362995","http://ts.21cn.com/tousu/show/id/1362995")</f>
      </c>
      <c r="G8165" t="s" s="2">
        <v>17</v>
      </c>
      <c r="H8165" t="s" s="2">
        <v>19</v>
      </c>
      <c r="I8165" t="s" s="2">
        <v>31531</v>
      </c>
      <c r="J8165" t="s" s="2">
        <v>31532</v>
      </c>
      <c r="K8165" t="s" s="2">
        <v>22</v>
      </c>
      <c r="L8165" t="s" s="2">
        <v>22</v>
      </c>
      <c r="M8165" t="s" s="2">
        <v>22</v>
      </c>
    </row>
    <row r="8166" ht="25.0" customHeight="true">
      <c r="A8166" t="s" s="2">
        <v>13</v>
      </c>
      <c r="B8166" t="s" s="2">
        <f>HYPERLINK("http://ts.21cn.com/tousu/show/id/1362994","暴力催收")</f>
      </c>
      <c r="C8166" t="s" s="2">
        <v>15</v>
      </c>
      <c r="D8166" t="s" s="2">
        <v>16</v>
      </c>
      <c r="E8166" t="s" s="2">
        <v>17</v>
      </c>
      <c r="F8166" t="s" s="2">
        <f>HYPERLINK("http://ts.21cn.com/tousu/show/id/1362994","http://ts.21cn.com/tousu/show/id/1362994")</f>
      </c>
      <c r="G8166" t="s" s="2">
        <v>17</v>
      </c>
      <c r="H8166" t="s" s="2">
        <v>19</v>
      </c>
      <c r="I8166" t="s" s="2">
        <v>31534</v>
      </c>
      <c r="J8166" t="s" s="2">
        <v>31535</v>
      </c>
      <c r="K8166" t="s" s="2">
        <v>22</v>
      </c>
      <c r="L8166" t="s" s="2">
        <v>22</v>
      </c>
      <c r="M8166" t="s" s="2">
        <v>22</v>
      </c>
    </row>
    <row r="8167" ht="25.0" customHeight="true">
      <c r="A8167" t="s" s="2">
        <v>13</v>
      </c>
      <c r="B8167" t="s" s="2">
        <f>HYPERLINK("http://ts.21cn.com/tousu/show/id/1362991","中经汇通卡无法使用")</f>
      </c>
      <c r="C8167" t="s" s="2">
        <v>15</v>
      </c>
      <c r="D8167" t="s" s="2">
        <v>16</v>
      </c>
      <c r="E8167" t="s" s="2">
        <v>17</v>
      </c>
      <c r="F8167" t="s" s="2">
        <f>HYPERLINK("http://ts.21cn.com/tousu/show/id/1362991","http://ts.21cn.com/tousu/show/id/1362991")</f>
      </c>
      <c r="G8167" t="s" s="2">
        <v>17</v>
      </c>
      <c r="H8167" t="s" s="2">
        <v>19</v>
      </c>
      <c r="I8167" t="s" s="2">
        <v>31538</v>
      </c>
      <c r="J8167" t="s" s="2">
        <v>31539</v>
      </c>
      <c r="K8167" t="s" s="2">
        <v>22</v>
      </c>
      <c r="L8167" t="s" s="2">
        <v>22</v>
      </c>
      <c r="M8167" t="s" s="2">
        <v>22</v>
      </c>
    </row>
    <row r="8168" ht="25.0" customHeight="true">
      <c r="A8168" t="s" s="2">
        <v>13</v>
      </c>
      <c r="B8168" t="s" s="2">
        <f>HYPERLINK("http://ts.21cn.com/tousu/show/id/1362973","立马进钱呆呆苞超高利贷收取非法高额利息")</f>
      </c>
      <c r="C8168" t="s" s="2">
        <v>15</v>
      </c>
      <c r="D8168" t="s" s="2">
        <v>16</v>
      </c>
      <c r="E8168" t="s" s="2">
        <v>17</v>
      </c>
      <c r="F8168" t="s" s="2">
        <f>HYPERLINK("http://ts.21cn.com/tousu/show/id/1362973","http://ts.21cn.com/tousu/show/id/1362973")</f>
      </c>
      <c r="G8168" t="s" s="2">
        <v>17</v>
      </c>
      <c r="H8168" t="s" s="2">
        <v>19</v>
      </c>
      <c r="I8168" t="s" s="2">
        <v>31542</v>
      </c>
      <c r="J8168" t="s" s="2">
        <v>31543</v>
      </c>
      <c r="K8168" t="s" s="2">
        <v>22</v>
      </c>
      <c r="L8168" t="s" s="2">
        <v>22</v>
      </c>
      <c r="M8168" t="s" s="2">
        <v>22</v>
      </c>
    </row>
    <row r="8169" ht="25.0" customHeight="true">
      <c r="A8169" t="s" s="2">
        <v>13</v>
      </c>
      <c r="B8169" t="s" s="2">
        <f>HYPERLINK("http://ts.21cn.com/tousu/show/id/1362986","马上消费金融，暴力催收，群发短信，恐吓催收")</f>
      </c>
      <c r="C8169" t="s" s="2">
        <v>15</v>
      </c>
      <c r="D8169" t="s" s="2">
        <v>16</v>
      </c>
      <c r="E8169" t="s" s="2">
        <v>17</v>
      </c>
      <c r="F8169" t="s" s="2">
        <f>HYPERLINK("http://ts.21cn.com/tousu/show/id/1362986","http://ts.21cn.com/tousu/show/id/1362986")</f>
      </c>
      <c r="G8169" t="s" s="2">
        <v>17</v>
      </c>
      <c r="H8169" t="s" s="2">
        <v>19</v>
      </c>
      <c r="I8169" t="s" s="2">
        <v>31545</v>
      </c>
      <c r="J8169" t="s" s="2">
        <v>31546</v>
      </c>
      <c r="K8169" t="s" s="2">
        <v>22</v>
      </c>
      <c r="L8169" t="s" s="2">
        <v>22</v>
      </c>
      <c r="M8169" t="s" s="2">
        <v>22</v>
      </c>
    </row>
    <row r="8170" ht="25.0" customHeight="true">
      <c r="A8170" t="s" s="2">
        <v>13</v>
      </c>
      <c r="B8170" t="s" s="2">
        <f>HYPERLINK("http://ts.21cn.com/tousu/show/id/1362984","信用钱包威胁恐吓暴力催收")</f>
      </c>
      <c r="C8170" t="s" s="2">
        <v>15</v>
      </c>
      <c r="D8170" t="s" s="2">
        <v>16</v>
      </c>
      <c r="E8170" t="s" s="2">
        <v>17</v>
      </c>
      <c r="F8170" t="s" s="2">
        <f>HYPERLINK("http://ts.21cn.com/tousu/show/id/1362984","http://ts.21cn.com/tousu/show/id/1362984")</f>
      </c>
      <c r="G8170" t="s" s="2">
        <v>17</v>
      </c>
      <c r="H8170" t="s" s="2">
        <v>19</v>
      </c>
      <c r="I8170" t="s" s="2">
        <v>31549</v>
      </c>
      <c r="J8170" t="s" s="2">
        <v>31550</v>
      </c>
      <c r="K8170" t="s" s="2">
        <v>22</v>
      </c>
      <c r="L8170" t="s" s="2">
        <v>22</v>
      </c>
      <c r="M8170" t="s" s="2">
        <v>22</v>
      </c>
    </row>
    <row r="8171" ht="25.0" customHeight="true">
      <c r="A8171" t="s" s="2">
        <v>13</v>
      </c>
      <c r="B8171" t="s" s="2">
        <f>HYPERLINK("http://ts.21cn.com/tousu/show/id/1362983","美团小贷骚扰")</f>
      </c>
      <c r="C8171" t="s" s="2">
        <v>15</v>
      </c>
      <c r="D8171" t="s" s="2">
        <v>16</v>
      </c>
      <c r="E8171" t="s" s="2">
        <v>17</v>
      </c>
      <c r="F8171" t="s" s="2">
        <f>HYPERLINK("http://ts.21cn.com/tousu/show/id/1362983","http://ts.21cn.com/tousu/show/id/1362983")</f>
      </c>
      <c r="G8171" t="s" s="2">
        <v>17</v>
      </c>
      <c r="H8171" t="s" s="2">
        <v>19</v>
      </c>
      <c r="I8171" t="s" s="2">
        <v>31553</v>
      </c>
      <c r="J8171" t="s" s="2">
        <v>31554</v>
      </c>
      <c r="K8171" t="s" s="2">
        <v>22</v>
      </c>
      <c r="L8171" t="s" s="2">
        <v>22</v>
      </c>
      <c r="M8171" t="s" s="2">
        <v>22</v>
      </c>
    </row>
    <row r="8172" ht="25.0" customHeight="true">
      <c r="A8172" t="s" s="2">
        <v>13</v>
      </c>
      <c r="B8172" t="s" s="2">
        <f>HYPERLINK("http://ts.21cn.com/tousu/show/id/1362980","恶意骚扰")</f>
      </c>
      <c r="C8172" t="s" s="2">
        <v>15</v>
      </c>
      <c r="D8172" t="s" s="2">
        <v>16</v>
      </c>
      <c r="E8172" t="s" s="2">
        <v>17</v>
      </c>
      <c r="F8172" t="s" s="2">
        <f>HYPERLINK("http://ts.21cn.com/tousu/show/id/1362980","http://ts.21cn.com/tousu/show/id/1362980")</f>
      </c>
      <c r="G8172" t="s" s="2">
        <v>17</v>
      </c>
      <c r="H8172" t="s" s="2">
        <v>19</v>
      </c>
      <c r="I8172" t="s" s="2">
        <v>31556</v>
      </c>
      <c r="J8172" t="s" s="2">
        <v>31557</v>
      </c>
      <c r="K8172" t="s" s="2">
        <v>22</v>
      </c>
      <c r="L8172" t="s" s="2">
        <v>22</v>
      </c>
      <c r="M8172" t="s" s="2">
        <v>22</v>
      </c>
    </row>
    <row r="8173" ht="25.0" customHeight="true">
      <c r="A8173" t="s" s="2">
        <v>13</v>
      </c>
      <c r="B8173" t="s" s="2">
        <f>HYPERLINK("http://ts.21cn.com/tousu/show/id/1362975","易开出行迟迟不退押金")</f>
      </c>
      <c r="C8173" t="s" s="2">
        <v>15</v>
      </c>
      <c r="D8173" t="s" s="2">
        <v>16</v>
      </c>
      <c r="E8173" t="s" s="2">
        <v>17</v>
      </c>
      <c r="F8173" t="s" s="2">
        <f>HYPERLINK("http://ts.21cn.com/tousu/show/id/1362975","http://ts.21cn.com/tousu/show/id/1362975")</f>
      </c>
      <c r="G8173" t="s" s="2">
        <v>17</v>
      </c>
      <c r="H8173" t="s" s="2">
        <v>19</v>
      </c>
      <c r="I8173" t="s" s="2">
        <v>31560</v>
      </c>
      <c r="J8173" t="s" s="2">
        <v>31561</v>
      </c>
      <c r="K8173" t="s" s="2">
        <v>22</v>
      </c>
      <c r="L8173" t="s" s="2">
        <v>22</v>
      </c>
      <c r="M8173" t="s" s="2">
        <v>22</v>
      </c>
    </row>
    <row r="8174" ht="25.0" customHeight="true">
      <c r="A8174" t="s" s="2">
        <v>13</v>
      </c>
      <c r="B8174" t="s" s="2">
        <f>HYPERLINK("http://ts.21cn.com/tousu/show/id/1362972","苹果商店")</f>
      </c>
      <c r="C8174" t="s" s="2">
        <v>15</v>
      </c>
      <c r="D8174" t="s" s="2">
        <v>16</v>
      </c>
      <c r="E8174" t="s" s="2">
        <v>17</v>
      </c>
      <c r="F8174" t="s" s="2">
        <f>HYPERLINK("http://ts.21cn.com/tousu/show/id/1362972","http://ts.21cn.com/tousu/show/id/1362972")</f>
      </c>
      <c r="G8174" t="s" s="2">
        <v>17</v>
      </c>
      <c r="H8174" t="s" s="2">
        <v>19</v>
      </c>
      <c r="I8174" t="s" s="2">
        <v>31564</v>
      </c>
      <c r="J8174" t="s" s="2">
        <v>31565</v>
      </c>
      <c r="K8174" t="s" s="2">
        <v>22</v>
      </c>
      <c r="L8174" t="s" s="2">
        <v>22</v>
      </c>
      <c r="M8174" t="s" s="2">
        <v>22</v>
      </c>
    </row>
    <row r="8175" ht="25.0" customHeight="true">
      <c r="A8175" t="s" s="2">
        <v>13</v>
      </c>
      <c r="B8175" t="s" s="2">
        <f>HYPERLINK("http://ts.21cn.com/tousu/show/id/1362964","闪银各种扣费买凭证")</f>
      </c>
      <c r="C8175" t="s" s="2">
        <v>15</v>
      </c>
      <c r="D8175" t="s" s="2">
        <v>16</v>
      </c>
      <c r="E8175" t="s" s="2">
        <v>17</v>
      </c>
      <c r="F8175" t="s" s="2">
        <f>HYPERLINK("http://ts.21cn.com/tousu/show/id/1362964","http://ts.21cn.com/tousu/show/id/1362964")</f>
      </c>
      <c r="G8175" t="s" s="2">
        <v>17</v>
      </c>
      <c r="H8175" t="s" s="2">
        <v>19</v>
      </c>
      <c r="I8175" t="s" s="2">
        <v>31568</v>
      </c>
      <c r="J8175" t="s" s="2">
        <v>31569</v>
      </c>
      <c r="K8175" t="s" s="2">
        <v>22</v>
      </c>
      <c r="L8175" t="s" s="2">
        <v>22</v>
      </c>
      <c r="M8175" t="s" s="2">
        <v>22</v>
      </c>
    </row>
    <row r="8176" ht="25.0" customHeight="true">
      <c r="A8176" t="s" s="2">
        <v>13</v>
      </c>
      <c r="B8176" t="s" s="2">
        <f>HYPERLINK("http://ts.21cn.com/tousu/show/id/1362962","斗牛士app，在不知合同和同意的情况下强制下款，收取高额利息，望解决！")</f>
      </c>
      <c r="C8176" t="s" s="2">
        <v>15</v>
      </c>
      <c r="D8176" t="s" s="2">
        <v>16</v>
      </c>
      <c r="E8176" t="s" s="2">
        <v>17</v>
      </c>
      <c r="F8176" t="s" s="2">
        <f>HYPERLINK("http://ts.21cn.com/tousu/show/id/1362962","http://ts.21cn.com/tousu/show/id/1362962")</f>
      </c>
      <c r="G8176" t="s" s="2">
        <v>17</v>
      </c>
      <c r="H8176" t="s" s="2">
        <v>19</v>
      </c>
      <c r="I8176" t="s" s="2">
        <v>31572</v>
      </c>
      <c r="J8176" t="s" s="2">
        <v>31573</v>
      </c>
      <c r="K8176" t="s" s="2">
        <v>22</v>
      </c>
      <c r="L8176" t="s" s="2">
        <v>22</v>
      </c>
      <c r="M8176" t="s" s="2">
        <v>22</v>
      </c>
    </row>
    <row r="8177" ht="25.0" customHeight="true">
      <c r="A8177" t="s" s="2">
        <v>13</v>
      </c>
      <c r="B8177" t="s" s="2">
        <f>HYPERLINK("http://ts.21cn.com/tousu/show/id/1362961","催收骚扰")</f>
      </c>
      <c r="C8177" t="s" s="2">
        <v>15</v>
      </c>
      <c r="D8177" t="s" s="2">
        <v>16</v>
      </c>
      <c r="E8177" t="s" s="2">
        <v>17</v>
      </c>
      <c r="F8177" t="s" s="2">
        <f>HYPERLINK("http://ts.21cn.com/tousu/show/id/1362961","http://ts.21cn.com/tousu/show/id/1362961")</f>
      </c>
      <c r="G8177" t="s" s="2">
        <v>17</v>
      </c>
      <c r="H8177" t="s" s="2">
        <v>19</v>
      </c>
      <c r="I8177" t="s" s="2">
        <v>31576</v>
      </c>
      <c r="J8177" t="s" s="2">
        <v>31577</v>
      </c>
      <c r="K8177" t="s" s="2">
        <v>22</v>
      </c>
      <c r="L8177" t="s" s="2">
        <v>22</v>
      </c>
      <c r="M8177" t="s" s="2">
        <v>22</v>
      </c>
    </row>
    <row r="8178" ht="25.0" customHeight="true">
      <c r="A8178" t="s" s="2">
        <v>13</v>
      </c>
      <c r="B8178" t="s" s="2">
        <f>HYPERLINK("http://ts.21cn.com/tousu/show/id/1362959","钱包易贷威胁恐吓")</f>
      </c>
      <c r="C8178" t="s" s="2">
        <v>15</v>
      </c>
      <c r="D8178" t="s" s="2">
        <v>16</v>
      </c>
      <c r="E8178" t="s" s="2">
        <v>17</v>
      </c>
      <c r="F8178" t="s" s="2">
        <f>HYPERLINK("http://ts.21cn.com/tousu/show/id/1362959","http://ts.21cn.com/tousu/show/id/1362959")</f>
      </c>
      <c r="G8178" t="s" s="2">
        <v>17</v>
      </c>
      <c r="H8178" t="s" s="2">
        <v>19</v>
      </c>
      <c r="I8178" t="s" s="2">
        <v>31580</v>
      </c>
      <c r="J8178" t="s" s="2">
        <v>31581</v>
      </c>
      <c r="K8178" t="s" s="2">
        <v>22</v>
      </c>
      <c r="L8178" t="s" s="2">
        <v>22</v>
      </c>
      <c r="M8178" t="s" s="2">
        <v>22</v>
      </c>
    </row>
    <row r="8179" ht="25.0" customHeight="true">
      <c r="A8179" t="s" s="2">
        <v>13</v>
      </c>
      <c r="B8179" t="s" s="2">
        <f>HYPERLINK("http://ts.21cn.com/tousu/show/id/1362954","民生银行信用卡暴力催收")</f>
      </c>
      <c r="C8179" t="s" s="2">
        <v>15</v>
      </c>
      <c r="D8179" t="s" s="2">
        <v>16</v>
      </c>
      <c r="E8179" t="s" s="2">
        <v>17</v>
      </c>
      <c r="F8179" t="s" s="2">
        <f>HYPERLINK("http://ts.21cn.com/tousu/show/id/1362954","http://ts.21cn.com/tousu/show/id/1362954")</f>
      </c>
      <c r="G8179" t="s" s="2">
        <v>17</v>
      </c>
      <c r="H8179" t="s" s="2">
        <v>19</v>
      </c>
      <c r="I8179" t="s" s="2">
        <v>31584</v>
      </c>
      <c r="J8179" t="s" s="2">
        <v>31585</v>
      </c>
      <c r="K8179" t="s" s="2">
        <v>22</v>
      </c>
      <c r="L8179" t="s" s="2">
        <v>22</v>
      </c>
      <c r="M8179" t="s" s="2">
        <v>22</v>
      </c>
    </row>
    <row r="8180" ht="25.0" customHeight="true">
      <c r="A8180" t="s" s="2">
        <v>13</v>
      </c>
      <c r="B8180" t="s" s="2">
        <f>HYPERLINK("http://ts.21cn.com/tousu/show/id/1362951","借贷宝收取高额逾期费用")</f>
      </c>
      <c r="C8180" t="s" s="2">
        <v>15</v>
      </c>
      <c r="D8180" t="s" s="2">
        <v>16</v>
      </c>
      <c r="E8180" t="s" s="2">
        <v>17</v>
      </c>
      <c r="F8180" t="s" s="2">
        <f>HYPERLINK("http://ts.21cn.com/tousu/show/id/1362951","http://ts.21cn.com/tousu/show/id/1362951")</f>
      </c>
      <c r="G8180" t="s" s="2">
        <v>17</v>
      </c>
      <c r="H8180" t="s" s="2">
        <v>19</v>
      </c>
      <c r="I8180" t="s" s="2">
        <v>31588</v>
      </c>
      <c r="J8180" t="s" s="2">
        <v>31589</v>
      </c>
      <c r="K8180" t="s" s="2">
        <v>22</v>
      </c>
      <c r="L8180" t="s" s="2">
        <v>22</v>
      </c>
      <c r="M8180" t="s" s="2">
        <v>22</v>
      </c>
    </row>
    <row r="8181" ht="25.0" customHeight="true">
      <c r="A8181" t="s" s="2">
        <v>13</v>
      </c>
      <c r="B8181" t="s" s="2">
        <f>HYPERLINK("http://ts.21cn.com/tousu/show/id/1362950","小赢卡贷阴阳合同拒绝协商提前结清本金")</f>
      </c>
      <c r="C8181" t="s" s="2">
        <v>15</v>
      </c>
      <c r="D8181" t="s" s="2">
        <v>16</v>
      </c>
      <c r="E8181" t="s" s="2">
        <v>17</v>
      </c>
      <c r="F8181" t="s" s="2">
        <f>HYPERLINK("http://ts.21cn.com/tousu/show/id/1362950","http://ts.21cn.com/tousu/show/id/1362950")</f>
      </c>
      <c r="G8181" t="s" s="2">
        <v>17</v>
      </c>
      <c r="H8181" t="s" s="2">
        <v>19</v>
      </c>
      <c r="I8181" t="s" s="2">
        <v>31592</v>
      </c>
      <c r="J8181" t="s" s="2">
        <v>31593</v>
      </c>
      <c r="K8181" t="s" s="2">
        <v>22</v>
      </c>
      <c r="L8181" t="s" s="2">
        <v>22</v>
      </c>
      <c r="M8181" t="s" s="2">
        <v>22</v>
      </c>
    </row>
    <row r="8182" ht="25.0" customHeight="true">
      <c r="A8182" t="s" s="2">
        <v>13</v>
      </c>
      <c r="B8182" t="s" s="2">
        <f>HYPERLINK("http://ts.21cn.com/tousu/show/id/1362948","牛牛贷收钱后不清帐")</f>
      </c>
      <c r="C8182" t="s" s="2">
        <v>15</v>
      </c>
      <c r="D8182" t="s" s="2">
        <v>16</v>
      </c>
      <c r="E8182" t="s" s="2">
        <v>17</v>
      </c>
      <c r="F8182" t="s" s="2">
        <f>HYPERLINK("http://ts.21cn.com/tousu/show/id/1362948","http://ts.21cn.com/tousu/show/id/1362948")</f>
      </c>
      <c r="G8182" t="s" s="2">
        <v>17</v>
      </c>
      <c r="H8182" t="s" s="2">
        <v>19</v>
      </c>
      <c r="I8182" t="s" s="2">
        <v>31596</v>
      </c>
      <c r="J8182" t="s" s="2">
        <v>31597</v>
      </c>
      <c r="K8182" t="s" s="2">
        <v>22</v>
      </c>
      <c r="L8182" t="s" s="2">
        <v>22</v>
      </c>
      <c r="M8182" t="s" s="2">
        <v>22</v>
      </c>
    </row>
    <row r="8183" ht="25.0" customHeight="true">
      <c r="A8183" t="s" s="2">
        <v>13</v>
      </c>
      <c r="B8183" t="s" s="2">
        <f>HYPERLINK("http://ts.21cn.com/tousu/show/id/1362942","你我平台骚扰")</f>
      </c>
      <c r="C8183" t="s" s="2">
        <v>15</v>
      </c>
      <c r="D8183" t="s" s="2">
        <v>16</v>
      </c>
      <c r="E8183" t="s" s="2">
        <v>17</v>
      </c>
      <c r="F8183" t="s" s="2">
        <f>HYPERLINK("http://ts.21cn.com/tousu/show/id/1362942","http://ts.21cn.com/tousu/show/id/1362942")</f>
      </c>
      <c r="G8183" t="s" s="2">
        <v>17</v>
      </c>
      <c r="H8183" t="s" s="2">
        <v>19</v>
      </c>
      <c r="I8183" t="s" s="2">
        <v>31600</v>
      </c>
      <c r="J8183" t="s" s="2">
        <v>31601</v>
      </c>
      <c r="K8183" t="s" s="2">
        <v>22</v>
      </c>
      <c r="L8183" t="s" s="2">
        <v>22</v>
      </c>
      <c r="M8183" t="s" s="2">
        <v>22</v>
      </c>
    </row>
    <row r="8184" ht="25.0" customHeight="true">
      <c r="A8184" t="s" s="2">
        <v>13</v>
      </c>
      <c r="B8184" t="s" s="2">
        <f>HYPERLINK("http://ts.21cn.com/tousu/show/id/1362940","蓝店公司提现不到账，大面积商户提现不到账")</f>
      </c>
      <c r="C8184" t="s" s="2">
        <v>15</v>
      </c>
      <c r="D8184" t="s" s="2">
        <v>16</v>
      </c>
      <c r="E8184" t="s" s="2">
        <v>17</v>
      </c>
      <c r="F8184" t="s" s="2">
        <f>HYPERLINK("http://ts.21cn.com/tousu/show/id/1362940","http://ts.21cn.com/tousu/show/id/1362940")</f>
      </c>
      <c r="G8184" t="s" s="2">
        <v>17</v>
      </c>
      <c r="H8184" t="s" s="2">
        <v>19</v>
      </c>
      <c r="I8184" t="s" s="2">
        <v>31603</v>
      </c>
      <c r="J8184" t="s" s="2">
        <v>31604</v>
      </c>
      <c r="K8184" t="s" s="2">
        <v>22</v>
      </c>
      <c r="L8184" t="s" s="2">
        <v>22</v>
      </c>
      <c r="M8184" t="s" s="2">
        <v>22</v>
      </c>
    </row>
    <row r="8185" ht="25.0" customHeight="true">
      <c r="A8185" t="s" s="2">
        <v>13</v>
      </c>
      <c r="B8185" t="s" s="2">
        <f>HYPERLINK("http://ts.21cn.com/tousu/show/id/1362937","小花钱包")</f>
      </c>
      <c r="C8185" t="s" s="2">
        <v>52</v>
      </c>
      <c r="D8185" t="s" s="2">
        <v>16</v>
      </c>
      <c r="E8185" t="s" s="2">
        <v>17</v>
      </c>
      <c r="F8185" t="s" s="2">
        <f>HYPERLINK("http://ts.21cn.com/tousu/show/id/1362937","http://ts.21cn.com/tousu/show/id/1362937")</f>
      </c>
      <c r="G8185" t="s" s="2">
        <v>17</v>
      </c>
      <c r="H8185" t="s" s="2">
        <v>19</v>
      </c>
      <c r="I8185" t="s" s="2">
        <v>31606</v>
      </c>
      <c r="J8185" t="s" s="2">
        <v>31607</v>
      </c>
      <c r="K8185" t="s" s="2">
        <v>22</v>
      </c>
      <c r="L8185" t="s" s="2">
        <v>22</v>
      </c>
      <c r="M8185" t="s" s="2">
        <v>22</v>
      </c>
    </row>
    <row r="8186" ht="25.0" customHeight="true">
      <c r="A8186" t="s" s="2">
        <v>13</v>
      </c>
      <c r="B8186" t="s" s="2">
        <f>HYPERLINK("http://ts.21cn.com/tousu/show/id/1362931","平安信用卡恐吓暴力辱骂")</f>
      </c>
      <c r="C8186" t="s" s="2">
        <v>15</v>
      </c>
      <c r="D8186" t="s" s="2">
        <v>16</v>
      </c>
      <c r="E8186" t="s" s="2">
        <v>17</v>
      </c>
      <c r="F8186" t="s" s="2">
        <f>HYPERLINK("http://ts.21cn.com/tousu/show/id/1362931","http://ts.21cn.com/tousu/show/id/1362931")</f>
      </c>
      <c r="G8186" t="s" s="2">
        <v>17</v>
      </c>
      <c r="H8186" t="s" s="2">
        <v>19</v>
      </c>
      <c r="I8186" t="s" s="2">
        <v>31610</v>
      </c>
      <c r="J8186" t="s" s="2">
        <v>31611</v>
      </c>
      <c r="K8186" t="s" s="2">
        <v>22</v>
      </c>
      <c r="L8186" t="s" s="2">
        <v>22</v>
      </c>
      <c r="M8186" t="s" s="2">
        <v>22</v>
      </c>
    </row>
    <row r="8187" ht="25.0" customHeight="true">
      <c r="A8187" t="s" s="2">
        <v>13</v>
      </c>
      <c r="B8187" t="s" s="2">
        <f>HYPERLINK("http://ts.21cn.com/tousu/show/id/1362929","投诉买买乐购分期恶意催收")</f>
      </c>
      <c r="C8187" t="s" s="2">
        <v>15</v>
      </c>
      <c r="D8187" t="s" s="2">
        <v>16</v>
      </c>
      <c r="E8187" t="s" s="2">
        <v>17</v>
      </c>
      <c r="F8187" t="s" s="2">
        <f>HYPERLINK("http://ts.21cn.com/tousu/show/id/1362929","http://ts.21cn.com/tousu/show/id/1362929")</f>
      </c>
      <c r="G8187" t="s" s="2">
        <v>17</v>
      </c>
      <c r="H8187" t="s" s="2">
        <v>19</v>
      </c>
      <c r="I8187" t="s" s="2">
        <v>31614</v>
      </c>
      <c r="J8187" t="s" s="2">
        <v>31615</v>
      </c>
      <c r="K8187" t="s" s="2">
        <v>22</v>
      </c>
      <c r="L8187" t="s" s="2">
        <v>22</v>
      </c>
      <c r="M8187" t="s" s="2">
        <v>22</v>
      </c>
    </row>
    <row r="8188" ht="25.0" customHeight="true">
      <c r="A8188" t="s" s="2">
        <v>13</v>
      </c>
      <c r="B8188" t="s" s="2">
        <f>HYPERLINK("http://ts.21cn.com/tousu/show/id/1362926","来分期催收达到3次以上及更多，要求停止骚扰")</f>
      </c>
      <c r="C8188" t="s" s="2">
        <v>15</v>
      </c>
      <c r="D8188" t="s" s="2">
        <v>16</v>
      </c>
      <c r="E8188" t="s" s="2">
        <v>17</v>
      </c>
      <c r="F8188" t="s" s="2">
        <f>HYPERLINK("http://ts.21cn.com/tousu/show/id/1362926","http://ts.21cn.com/tousu/show/id/1362926")</f>
      </c>
      <c r="G8188" t="s" s="2">
        <v>17</v>
      </c>
      <c r="H8188" t="s" s="2">
        <v>19</v>
      </c>
      <c r="I8188" t="s" s="2">
        <v>31618</v>
      </c>
      <c r="J8188" t="s" s="2">
        <v>31619</v>
      </c>
      <c r="K8188" t="s" s="2">
        <v>22</v>
      </c>
      <c r="L8188" t="s" s="2">
        <v>22</v>
      </c>
      <c r="M8188" t="s" s="2">
        <v>22</v>
      </c>
    </row>
    <row r="8189" ht="25.0" customHeight="true">
      <c r="A8189" t="s" s="2">
        <v>13</v>
      </c>
      <c r="B8189" t="s" s="2">
        <f>HYPERLINK("http://ts.21cn.com/tousu/show/id/1362920","侵犯个人隐私")</f>
      </c>
      <c r="C8189" t="s" s="2">
        <v>15</v>
      </c>
      <c r="D8189" t="s" s="2">
        <v>16</v>
      </c>
      <c r="E8189" t="s" s="2">
        <v>17</v>
      </c>
      <c r="F8189" t="s" s="2">
        <f>HYPERLINK("http://ts.21cn.com/tousu/show/id/1362920","http://ts.21cn.com/tousu/show/id/1362920")</f>
      </c>
      <c r="G8189" t="s" s="2">
        <v>17</v>
      </c>
      <c r="H8189" t="s" s="2">
        <v>19</v>
      </c>
      <c r="I8189" t="s" s="2">
        <v>31621</v>
      </c>
      <c r="J8189" t="s" s="2">
        <v>31622</v>
      </c>
      <c r="K8189" t="s" s="2">
        <v>22</v>
      </c>
      <c r="L8189" t="s" s="2">
        <v>22</v>
      </c>
      <c r="M8189" t="s" s="2">
        <v>22</v>
      </c>
    </row>
    <row r="8190" ht="25.0" customHeight="true">
      <c r="A8190" t="s" s="2">
        <v>13</v>
      </c>
      <c r="B8190" t="s" s="2">
        <f>HYPERLINK("http://ts.21cn.com/tousu/show/id/1362918","催款人毫无人性，省呗借款平台大曝光")</f>
      </c>
      <c r="C8190" t="s" s="2">
        <v>15</v>
      </c>
      <c r="D8190" t="s" s="2">
        <v>16</v>
      </c>
      <c r="E8190" t="s" s="2">
        <v>17</v>
      </c>
      <c r="F8190" t="s" s="2">
        <f>HYPERLINK("http://ts.21cn.com/tousu/show/id/1362918","http://ts.21cn.com/tousu/show/id/1362918")</f>
      </c>
      <c r="G8190" t="s" s="2">
        <v>17</v>
      </c>
      <c r="H8190" t="s" s="2">
        <v>19</v>
      </c>
      <c r="I8190" t="s" s="2">
        <v>31625</v>
      </c>
      <c r="J8190" t="s" s="2">
        <v>31626</v>
      </c>
      <c r="K8190" t="s" s="2">
        <v>22</v>
      </c>
      <c r="L8190" t="s" s="2">
        <v>22</v>
      </c>
      <c r="M8190" t="s" s="2">
        <v>22</v>
      </c>
    </row>
    <row r="8191" ht="25.0" customHeight="true">
      <c r="A8191" t="s" s="2">
        <v>13</v>
      </c>
      <c r="B8191" t="s" s="2">
        <f>HYPERLINK("http://ts.21cn.com/tousu/show/id/1362915","今日头条鲁班电商恶意拖延退还商家保证经")</f>
      </c>
      <c r="C8191" t="s" s="2">
        <v>15</v>
      </c>
      <c r="D8191" t="s" s="2">
        <v>16</v>
      </c>
      <c r="E8191" t="s" s="2">
        <v>17</v>
      </c>
      <c r="F8191" t="s" s="2">
        <f>HYPERLINK("http://ts.21cn.com/tousu/show/id/1362915","http://ts.21cn.com/tousu/show/id/1362915")</f>
      </c>
      <c r="G8191" t="s" s="2">
        <v>17</v>
      </c>
      <c r="H8191" t="s" s="2">
        <v>19</v>
      </c>
      <c r="I8191" t="s" s="2">
        <v>31629</v>
      </c>
      <c r="J8191" t="s" s="2">
        <v>31630</v>
      </c>
      <c r="K8191" t="s" s="2">
        <v>22</v>
      </c>
      <c r="L8191" t="s" s="2">
        <v>22</v>
      </c>
      <c r="M8191" t="s" s="2">
        <v>22</v>
      </c>
    </row>
    <row r="8192" ht="25.0" customHeight="true">
      <c r="A8192" t="s" s="2">
        <v>13</v>
      </c>
      <c r="B8192" t="s" s="2">
        <f>HYPERLINK("http://ts.21cn.com/tousu/show/id/1362908","拍拍贷高利贷")</f>
      </c>
      <c r="C8192" t="s" s="2">
        <v>15</v>
      </c>
      <c r="D8192" t="s" s="2">
        <v>16</v>
      </c>
      <c r="E8192" t="s" s="2">
        <v>17</v>
      </c>
      <c r="F8192" t="s" s="2">
        <f>HYPERLINK("http://ts.21cn.com/tousu/show/id/1362908","http://ts.21cn.com/tousu/show/id/1362908")</f>
      </c>
      <c r="G8192" t="s" s="2">
        <v>17</v>
      </c>
      <c r="H8192" t="s" s="2">
        <v>19</v>
      </c>
      <c r="I8192" t="s" s="2">
        <v>31632</v>
      </c>
      <c r="J8192" t="s" s="2">
        <v>31633</v>
      </c>
      <c r="K8192" t="s" s="2">
        <v>22</v>
      </c>
      <c r="L8192" t="s" s="2">
        <v>22</v>
      </c>
      <c r="M8192" t="s" s="2">
        <v>22</v>
      </c>
    </row>
    <row r="8193" ht="25.0" customHeight="true">
      <c r="A8193" t="s" s="2">
        <v>13</v>
      </c>
      <c r="B8193" t="s" s="2">
        <f>HYPERLINK("http://ts.21cn.com/tousu/show/id/1362907","立借高额利息")</f>
      </c>
      <c r="C8193" t="s" s="2">
        <v>15</v>
      </c>
      <c r="D8193" t="s" s="2">
        <v>16</v>
      </c>
      <c r="E8193" t="s" s="2">
        <v>17</v>
      </c>
      <c r="F8193" t="s" s="2">
        <f>HYPERLINK("http://ts.21cn.com/tousu/show/id/1362907","http://ts.21cn.com/tousu/show/id/1362907")</f>
      </c>
      <c r="G8193" t="s" s="2">
        <v>17</v>
      </c>
      <c r="H8193" t="s" s="2">
        <v>19</v>
      </c>
      <c r="I8193" t="s" s="2">
        <v>31632</v>
      </c>
      <c r="J8193" t="s" s="2">
        <v>31636</v>
      </c>
      <c r="K8193" t="s" s="2">
        <v>22</v>
      </c>
      <c r="L8193" t="s" s="2">
        <v>22</v>
      </c>
      <c r="M8193" t="s" s="2">
        <v>22</v>
      </c>
    </row>
    <row r="8194" ht="25.0" customHeight="true">
      <c r="A8194" t="s" s="2">
        <v>13</v>
      </c>
      <c r="B8194" t="s" s="2">
        <f>HYPERLINK("http://ts.21cn.com/tousu/show/id/1362904","虚假商品变相高利贷")</f>
      </c>
      <c r="C8194" t="s" s="2">
        <v>15</v>
      </c>
      <c r="D8194" t="s" s="2">
        <v>16</v>
      </c>
      <c r="E8194" t="s" s="2">
        <v>17</v>
      </c>
      <c r="F8194" t="s" s="2">
        <f>HYPERLINK("http://ts.21cn.com/tousu/show/id/1362904","http://ts.21cn.com/tousu/show/id/1362904")</f>
      </c>
      <c r="G8194" t="s" s="2">
        <v>17</v>
      </c>
      <c r="H8194" t="s" s="2">
        <v>19</v>
      </c>
      <c r="I8194" t="s" s="2">
        <v>31639</v>
      </c>
      <c r="J8194" t="s" s="2">
        <v>31640</v>
      </c>
      <c r="K8194" t="s" s="2">
        <v>22</v>
      </c>
      <c r="L8194" t="s" s="2">
        <v>22</v>
      </c>
      <c r="M8194" t="s" s="2">
        <v>22</v>
      </c>
    </row>
    <row r="8195" ht="25.0" customHeight="true">
      <c r="A8195" t="s" s="2">
        <v>13</v>
      </c>
      <c r="B8195" t="s" s="2">
        <f>HYPERLINK("http://ts.21cn.com/tousu/show/id/1362898","信用管家（能能钱包）里的神马借，主动还款不了，造成逾期一直不给解决")</f>
      </c>
      <c r="C8195" t="s" s="2">
        <v>15</v>
      </c>
      <c r="D8195" t="s" s="2">
        <v>16</v>
      </c>
      <c r="E8195" t="s" s="2">
        <v>17</v>
      </c>
      <c r="F8195" t="s" s="2">
        <f>HYPERLINK("http://ts.21cn.com/tousu/show/id/1362898","http://ts.21cn.com/tousu/show/id/1362898")</f>
      </c>
      <c r="G8195" t="s" s="2">
        <v>17</v>
      </c>
      <c r="H8195" t="s" s="2">
        <v>19</v>
      </c>
      <c r="I8195" t="s" s="2">
        <v>31643</v>
      </c>
      <c r="J8195" t="s" s="2">
        <v>31644</v>
      </c>
      <c r="K8195" t="s" s="2">
        <v>22</v>
      </c>
      <c r="L8195" t="s" s="2">
        <v>22</v>
      </c>
      <c r="M8195" t="s" s="2">
        <v>22</v>
      </c>
    </row>
    <row r="8196" ht="25.0" customHeight="true">
      <c r="A8196" t="s" s="2">
        <v>13</v>
      </c>
      <c r="B8196" t="s" s="2">
        <f>HYPERLINK("http://ts.21cn.com/tousu/show/id/1362896","不按约定退还押金")</f>
      </c>
      <c r="C8196" t="s" s="2">
        <v>15</v>
      </c>
      <c r="D8196" t="s" s="2">
        <v>16</v>
      </c>
      <c r="E8196" t="s" s="2">
        <v>17</v>
      </c>
      <c r="F8196" t="s" s="2">
        <f>HYPERLINK("http://ts.21cn.com/tousu/show/id/1362896","http://ts.21cn.com/tousu/show/id/1362896")</f>
      </c>
      <c r="G8196" t="s" s="2">
        <v>17</v>
      </c>
      <c r="H8196" t="s" s="2">
        <v>19</v>
      </c>
      <c r="I8196" t="s" s="2">
        <v>31647</v>
      </c>
      <c r="J8196" t="s" s="2">
        <v>31648</v>
      </c>
      <c r="K8196" t="s" s="2">
        <v>22</v>
      </c>
      <c r="L8196" t="s" s="2">
        <v>22</v>
      </c>
      <c r="M8196" t="s" s="2">
        <v>22</v>
      </c>
    </row>
    <row r="8197" ht="25.0" customHeight="true">
      <c r="A8197" t="s" s="2">
        <v>13</v>
      </c>
      <c r="B8197" t="s" s="2">
        <f>HYPERLINK("http://ts.21cn.com/tousu/show/id/1362895","小赢卡贷恶意拨打联系人电话")</f>
      </c>
      <c r="C8197" t="s" s="2">
        <v>15</v>
      </c>
      <c r="D8197" t="s" s="2">
        <v>16</v>
      </c>
      <c r="E8197" t="s" s="2">
        <v>17</v>
      </c>
      <c r="F8197" t="s" s="2">
        <f>HYPERLINK("http://ts.21cn.com/tousu/show/id/1362895","http://ts.21cn.com/tousu/show/id/1362895")</f>
      </c>
      <c r="G8197" t="s" s="2">
        <v>17</v>
      </c>
      <c r="H8197" t="s" s="2">
        <v>19</v>
      </c>
      <c r="I8197" t="s" s="2">
        <v>31651</v>
      </c>
      <c r="J8197" t="s" s="2">
        <v>31652</v>
      </c>
      <c r="K8197" t="s" s="2">
        <v>22</v>
      </c>
      <c r="L8197" t="s" s="2">
        <v>22</v>
      </c>
      <c r="M8197" t="s" s="2">
        <v>22</v>
      </c>
    </row>
    <row r="8198" ht="25.0" customHeight="true">
      <c r="A8198" t="s" s="2">
        <v>13</v>
      </c>
      <c r="B8198" t="s" s="2">
        <f>HYPERLINK("http://ts.21cn.com/tousu/show/id/1362894","小象优品借款一次性还清")</f>
      </c>
      <c r="C8198" t="s" s="2">
        <v>52</v>
      </c>
      <c r="D8198" t="s" s="2">
        <v>16</v>
      </c>
      <c r="E8198" t="s" s="2">
        <v>17</v>
      </c>
      <c r="F8198" t="s" s="2">
        <f>HYPERLINK("http://ts.21cn.com/tousu/show/id/1362894","http://ts.21cn.com/tousu/show/id/1362894")</f>
      </c>
      <c r="G8198" t="s" s="2">
        <v>17</v>
      </c>
      <c r="H8198" t="s" s="2">
        <v>19</v>
      </c>
      <c r="I8198" t="s" s="2">
        <v>31655</v>
      </c>
      <c r="J8198" t="s" s="2">
        <v>31656</v>
      </c>
      <c r="K8198" t="s" s="2">
        <v>22</v>
      </c>
      <c r="L8198" t="s" s="2">
        <v>22</v>
      </c>
      <c r="M8198" t="s" s="2">
        <v>22</v>
      </c>
    </row>
    <row r="8199" ht="25.0" customHeight="true">
      <c r="A8199" t="s" s="2">
        <v>13</v>
      </c>
      <c r="B8199" t="s" s="2">
        <f>HYPERLINK("http://ts.21cn.com/tousu/show/id/1362891","恒易贷阴阳合同，高利贷，砍头息，暴力催收")</f>
      </c>
      <c r="C8199" t="s" s="2">
        <v>15</v>
      </c>
      <c r="D8199" t="s" s="2">
        <v>16</v>
      </c>
      <c r="E8199" t="s" s="2">
        <v>17</v>
      </c>
      <c r="F8199" t="s" s="2">
        <f>HYPERLINK("http://ts.21cn.com/tousu/show/id/1362891","http://ts.21cn.com/tousu/show/id/1362891")</f>
      </c>
      <c r="G8199" t="s" s="2">
        <v>17</v>
      </c>
      <c r="H8199" t="s" s="2">
        <v>19</v>
      </c>
      <c r="I8199" t="s" s="2">
        <v>31659</v>
      </c>
      <c r="J8199" t="s" s="2">
        <v>31660</v>
      </c>
      <c r="K8199" t="s" s="2">
        <v>22</v>
      </c>
      <c r="L8199" t="s" s="2">
        <v>22</v>
      </c>
      <c r="M8199" t="s" s="2">
        <v>22</v>
      </c>
    </row>
    <row r="8200" ht="25.0" customHeight="true">
      <c r="A8200" t="s" s="2">
        <v>13</v>
      </c>
      <c r="B8200" t="s" s="2">
        <f>HYPERLINK("http://ts.21cn.com/tousu/show/id/1362892","交易猫售出的游戏qq账号被买家仲裁")</f>
      </c>
      <c r="C8200" t="s" s="2">
        <v>15</v>
      </c>
      <c r="D8200" t="s" s="2">
        <v>16</v>
      </c>
      <c r="E8200" t="s" s="2">
        <v>17</v>
      </c>
      <c r="F8200" t="s" s="2">
        <f>HYPERLINK("http://ts.21cn.com/tousu/show/id/1362892","http://ts.21cn.com/tousu/show/id/1362892")</f>
      </c>
      <c r="G8200" t="s" s="2">
        <v>17</v>
      </c>
      <c r="H8200" t="s" s="2">
        <v>19</v>
      </c>
      <c r="I8200" t="s" s="2">
        <v>31663</v>
      </c>
      <c r="J8200" t="s" s="2">
        <v>31664</v>
      </c>
      <c r="K8200" t="s" s="2">
        <v>22</v>
      </c>
      <c r="L8200" t="s" s="2">
        <v>22</v>
      </c>
      <c r="M8200" t="s" s="2">
        <v>22</v>
      </c>
    </row>
    <row r="8201" ht="25.0" customHeight="true">
      <c r="A8201" t="s" s="2">
        <v>13</v>
      </c>
      <c r="B8201" t="s" s="2">
        <f>HYPERLINK("http://ts.21cn.com/tousu/show/id/1362893","前期费用")</f>
      </c>
      <c r="C8201" t="s" s="2">
        <v>52</v>
      </c>
      <c r="D8201" t="s" s="2">
        <v>16</v>
      </c>
      <c r="E8201" t="s" s="2">
        <v>17</v>
      </c>
      <c r="F8201" t="s" s="2">
        <f>HYPERLINK("http://ts.21cn.com/tousu/show/id/1362893","http://ts.21cn.com/tousu/show/id/1362893")</f>
      </c>
      <c r="G8201" t="s" s="2">
        <v>17</v>
      </c>
      <c r="H8201" t="s" s="2">
        <v>19</v>
      </c>
      <c r="I8201" t="s" s="2">
        <v>31667</v>
      </c>
      <c r="J8201" t="s" s="2">
        <v>31668</v>
      </c>
      <c r="K8201" t="s" s="2">
        <v>22</v>
      </c>
      <c r="L8201" t="s" s="2">
        <v>22</v>
      </c>
      <c r="M8201" t="s" s="2">
        <v>22</v>
      </c>
    </row>
    <row r="8202" ht="25.0" customHeight="true">
      <c r="A8202" t="s" s="2">
        <v>13</v>
      </c>
      <c r="B8202" t="s" s="2">
        <f>HYPERLINK("http://ts.21cn.com/tousu/show/id/1362890","通联支付乱扣费，莫名扣费169元，诉求全额退款")</f>
      </c>
      <c r="C8202" t="s" s="2">
        <v>15</v>
      </c>
      <c r="D8202" t="s" s="2">
        <v>16</v>
      </c>
      <c r="E8202" t="s" s="2">
        <v>17</v>
      </c>
      <c r="F8202" t="s" s="2">
        <f>HYPERLINK("http://ts.21cn.com/tousu/show/id/1362890","http://ts.21cn.com/tousu/show/id/1362890")</f>
      </c>
      <c r="G8202" t="s" s="2">
        <v>17</v>
      </c>
      <c r="H8202" t="s" s="2">
        <v>19</v>
      </c>
      <c r="I8202" t="s" s="2">
        <v>31671</v>
      </c>
      <c r="J8202" t="s" s="2">
        <v>31672</v>
      </c>
      <c r="K8202" t="s" s="2">
        <v>22</v>
      </c>
      <c r="L8202" t="s" s="2">
        <v>22</v>
      </c>
      <c r="M8202" t="s" s="2">
        <v>22</v>
      </c>
    </row>
    <row r="8203" ht="25.0" customHeight="true">
      <c r="A8203" t="s" s="2">
        <v>13</v>
      </c>
      <c r="B8203" t="s" s="2">
        <f>HYPERLINK("http://ts.21cn.com/tousu/show/id/1362888","招联金融恐吓催收想主动还款的我")</f>
      </c>
      <c r="C8203" t="s" s="2">
        <v>15</v>
      </c>
      <c r="D8203" t="s" s="2">
        <v>16</v>
      </c>
      <c r="E8203" t="s" s="2">
        <v>17</v>
      </c>
      <c r="F8203" t="s" s="2">
        <f>HYPERLINK("http://ts.21cn.com/tousu/show/id/1362888","http://ts.21cn.com/tousu/show/id/1362888")</f>
      </c>
      <c r="G8203" t="s" s="2">
        <v>17</v>
      </c>
      <c r="H8203" t="s" s="2">
        <v>19</v>
      </c>
      <c r="I8203" t="s" s="2">
        <v>31675</v>
      </c>
      <c r="J8203" t="s" s="2">
        <v>31676</v>
      </c>
      <c r="K8203" t="s" s="2">
        <v>22</v>
      </c>
      <c r="L8203" t="s" s="2">
        <v>22</v>
      </c>
      <c r="M8203" t="s" s="2">
        <v>22</v>
      </c>
    </row>
    <row r="8204" ht="25.0" customHeight="true">
      <c r="A8204" t="s" s="2">
        <v>13</v>
      </c>
      <c r="B8204" t="s" s="2">
        <f>HYPERLINK("http://ts.21cn.com/tousu/show/id/1362887","滴滴金融不让更换还款银行卡")</f>
      </c>
      <c r="C8204" t="s" s="2">
        <v>52</v>
      </c>
      <c r="D8204" t="s" s="2">
        <v>16</v>
      </c>
      <c r="E8204" t="s" s="2">
        <v>17</v>
      </c>
      <c r="F8204" t="s" s="2">
        <f>HYPERLINK("http://ts.21cn.com/tousu/show/id/1362887","http://ts.21cn.com/tousu/show/id/1362887")</f>
      </c>
      <c r="G8204" t="s" s="2">
        <v>17</v>
      </c>
      <c r="H8204" t="s" s="2">
        <v>19</v>
      </c>
      <c r="I8204" t="s" s="2">
        <v>31679</v>
      </c>
      <c r="J8204" t="s" s="2">
        <v>31680</v>
      </c>
      <c r="K8204" t="s" s="2">
        <v>22</v>
      </c>
      <c r="L8204" t="s" s="2">
        <v>22</v>
      </c>
      <c r="M8204" t="s" s="2">
        <v>22</v>
      </c>
    </row>
    <row r="8205" ht="25.0" customHeight="true">
      <c r="A8205" t="s" s="2">
        <v>13</v>
      </c>
      <c r="B8205" t="s" s="2">
        <f>HYPERLINK("http://ts.21cn.com/tousu/show/id/1362886","中腾信恶意催收，虚假合同，强行放款，利率百分之65")</f>
      </c>
      <c r="C8205" t="s" s="2">
        <v>15</v>
      </c>
      <c r="D8205" t="s" s="2">
        <v>16</v>
      </c>
      <c r="E8205" t="s" s="2">
        <v>17</v>
      </c>
      <c r="F8205" t="s" s="2">
        <f>HYPERLINK("http://ts.21cn.com/tousu/show/id/1362886","http://ts.21cn.com/tousu/show/id/1362886")</f>
      </c>
      <c r="G8205" t="s" s="2">
        <v>17</v>
      </c>
      <c r="H8205" t="s" s="2">
        <v>19</v>
      </c>
      <c r="I8205" t="s" s="2">
        <v>31679</v>
      </c>
      <c r="J8205" t="s" s="2">
        <v>31683</v>
      </c>
      <c r="K8205" t="s" s="2">
        <v>22</v>
      </c>
      <c r="L8205" t="s" s="2">
        <v>22</v>
      </c>
      <c r="M8205" t="s" s="2">
        <v>22</v>
      </c>
    </row>
    <row r="8206" ht="25.0" customHeight="true">
      <c r="A8206" t="s" s="2">
        <v>13</v>
      </c>
      <c r="B8206" t="s" s="2">
        <f>HYPERLINK("http://ts.21cn.com/tousu/show/id/1362885","你我贷高利贷")</f>
      </c>
      <c r="C8206" t="s" s="2">
        <v>15</v>
      </c>
      <c r="D8206" t="s" s="2">
        <v>16</v>
      </c>
      <c r="E8206" t="s" s="2">
        <v>17</v>
      </c>
      <c r="F8206" t="s" s="2">
        <f>HYPERLINK("http://ts.21cn.com/tousu/show/id/1362885","http://ts.21cn.com/tousu/show/id/1362885")</f>
      </c>
      <c r="G8206" t="s" s="2">
        <v>17</v>
      </c>
      <c r="H8206" t="s" s="2">
        <v>19</v>
      </c>
      <c r="I8206" t="s" s="2">
        <v>31685</v>
      </c>
      <c r="J8206" t="s" s="2">
        <v>31686</v>
      </c>
      <c r="K8206" t="s" s="2">
        <v>22</v>
      </c>
      <c r="L8206" t="s" s="2">
        <v>22</v>
      </c>
      <c r="M8206" t="s" s="2">
        <v>22</v>
      </c>
    </row>
    <row r="8207" ht="25.0" customHeight="true">
      <c r="A8207" t="s" s="2">
        <v>13</v>
      </c>
      <c r="B8207" t="s" s="2">
        <f>HYPERLINK("http://ts.21cn.com/tousu/show/id/1362882","立借平台钱置宝高利贷")</f>
      </c>
      <c r="C8207" t="s" s="2">
        <v>15</v>
      </c>
      <c r="D8207" t="s" s="2">
        <v>16</v>
      </c>
      <c r="E8207" t="s" s="2">
        <v>17</v>
      </c>
      <c r="F8207" t="s" s="2">
        <f>HYPERLINK("http://ts.21cn.com/tousu/show/id/1362882","http://ts.21cn.com/tousu/show/id/1362882")</f>
      </c>
      <c r="G8207" t="s" s="2">
        <v>17</v>
      </c>
      <c r="H8207" t="s" s="2">
        <v>19</v>
      </c>
      <c r="I8207" t="s" s="2">
        <v>31688</v>
      </c>
      <c r="J8207" t="s" s="2">
        <v>31689</v>
      </c>
      <c r="K8207" t="s" s="2">
        <v>22</v>
      </c>
      <c r="L8207" t="s" s="2">
        <v>22</v>
      </c>
      <c r="M8207" t="s" s="2">
        <v>22</v>
      </c>
    </row>
    <row r="8208" ht="25.0" customHeight="true">
      <c r="A8208" t="s" s="2">
        <v>13</v>
      </c>
      <c r="B8208" t="s" s="2">
        <f>HYPERLINK("http://ts.21cn.com/tousu/show/id/1362881","马上消费金融，暴力催收，群发短信，恐吓催收")</f>
      </c>
      <c r="C8208" t="s" s="2">
        <v>15</v>
      </c>
      <c r="D8208" t="s" s="2">
        <v>16</v>
      </c>
      <c r="E8208" t="s" s="2">
        <v>17</v>
      </c>
      <c r="F8208" t="s" s="2">
        <f>HYPERLINK("http://ts.21cn.com/tousu/show/id/1362881","http://ts.21cn.com/tousu/show/id/1362881")</f>
      </c>
      <c r="G8208" t="s" s="2">
        <v>17</v>
      </c>
      <c r="H8208" t="s" s="2">
        <v>19</v>
      </c>
      <c r="I8208" t="s" s="2">
        <v>31691</v>
      </c>
      <c r="J8208" t="s" s="2">
        <v>31692</v>
      </c>
      <c r="K8208" t="s" s="2">
        <v>22</v>
      </c>
      <c r="L8208" t="s" s="2">
        <v>22</v>
      </c>
      <c r="M8208" t="s" s="2">
        <v>22</v>
      </c>
    </row>
    <row r="8209" ht="25.0" customHeight="true">
      <c r="A8209" t="s" s="2">
        <v>13</v>
      </c>
      <c r="B8209" t="s" s="2">
        <f>HYPERLINK("http://ts.21cn.com/tousu/show/id/1362880","借款问题")</f>
      </c>
      <c r="C8209" t="s" s="2">
        <v>15</v>
      </c>
      <c r="D8209" t="s" s="2">
        <v>16</v>
      </c>
      <c r="E8209" t="s" s="2">
        <v>17</v>
      </c>
      <c r="F8209" t="s" s="2">
        <f>HYPERLINK("http://ts.21cn.com/tousu/show/id/1362880","http://ts.21cn.com/tousu/show/id/1362880")</f>
      </c>
      <c r="G8209" t="s" s="2">
        <v>17</v>
      </c>
      <c r="H8209" t="s" s="2">
        <v>19</v>
      </c>
      <c r="I8209" t="s" s="2">
        <v>31695</v>
      </c>
      <c r="J8209" t="s" s="2">
        <v>31696</v>
      </c>
      <c r="K8209" t="s" s="2">
        <v>22</v>
      </c>
      <c r="L8209" t="s" s="2">
        <v>22</v>
      </c>
      <c r="M8209" t="s" s="2">
        <v>22</v>
      </c>
    </row>
    <row r="8210" ht="25.0" customHeight="true">
      <c r="A8210" t="s" s="2">
        <v>13</v>
      </c>
      <c r="B8210" t="s" s="2">
        <f>HYPERLINK("http://ts.21cn.com/tousu/show/id/1362879","退中信信用卡罚息违约金等")</f>
      </c>
      <c r="C8210" t="s" s="2">
        <v>15</v>
      </c>
      <c r="D8210" t="s" s="2">
        <v>16</v>
      </c>
      <c r="E8210" t="s" s="2">
        <v>17</v>
      </c>
      <c r="F8210" t="s" s="2">
        <f>HYPERLINK("http://ts.21cn.com/tousu/show/id/1362879","http://ts.21cn.com/tousu/show/id/1362879")</f>
      </c>
      <c r="G8210" t="s" s="2">
        <v>17</v>
      </c>
      <c r="H8210" t="s" s="2">
        <v>19</v>
      </c>
      <c r="I8210" t="s" s="2">
        <v>31699</v>
      </c>
      <c r="J8210" t="s" s="2">
        <v>31700</v>
      </c>
      <c r="K8210" t="s" s="2">
        <v>22</v>
      </c>
      <c r="L8210" t="s" s="2">
        <v>22</v>
      </c>
      <c r="M8210" t="s" s="2">
        <v>22</v>
      </c>
    </row>
    <row r="8211" ht="25.0" customHeight="true">
      <c r="A8211" t="s" s="2">
        <v>13</v>
      </c>
      <c r="B8211" t="s" s="2">
        <f>HYPERLINK("http://ts.21cn.com/tousu/show/id/1362878","还款日联系不上App客户，无人联系解决还款问题")</f>
      </c>
      <c r="C8211" t="s" s="2">
        <v>15</v>
      </c>
      <c r="D8211" t="s" s="2">
        <v>16</v>
      </c>
      <c r="E8211" t="s" s="2">
        <v>17</v>
      </c>
      <c r="F8211" t="s" s="2">
        <f>HYPERLINK("http://ts.21cn.com/tousu/show/id/1362878","http://ts.21cn.com/tousu/show/id/1362878")</f>
      </c>
      <c r="G8211" t="s" s="2">
        <v>17</v>
      </c>
      <c r="H8211" t="s" s="2">
        <v>19</v>
      </c>
      <c r="I8211" t="s" s="2">
        <v>31703</v>
      </c>
      <c r="J8211" t="s" s="2">
        <v>31704</v>
      </c>
      <c r="K8211" t="s" s="2">
        <v>22</v>
      </c>
      <c r="L8211" t="s" s="2">
        <v>22</v>
      </c>
      <c r="M8211" t="s" s="2">
        <v>22</v>
      </c>
    </row>
    <row r="8212" ht="25.0" customHeight="true">
      <c r="A8212" t="s" s="2">
        <v>13</v>
      </c>
      <c r="B8212" t="s" s="2">
        <f>HYPERLINK("http://ts.21cn.com/tousu/show/id/1362877","贷款利息超过国家标准")</f>
      </c>
      <c r="C8212" t="s" s="2">
        <v>15</v>
      </c>
      <c r="D8212" t="s" s="2">
        <v>16</v>
      </c>
      <c r="E8212" t="s" s="2">
        <v>17</v>
      </c>
      <c r="F8212" t="s" s="2">
        <f>HYPERLINK("http://ts.21cn.com/tousu/show/id/1362877","http://ts.21cn.com/tousu/show/id/1362877")</f>
      </c>
      <c r="G8212" t="s" s="2">
        <v>17</v>
      </c>
      <c r="H8212" t="s" s="2">
        <v>19</v>
      </c>
      <c r="I8212" t="s" s="2">
        <v>31707</v>
      </c>
      <c r="J8212" t="s" s="2">
        <v>31708</v>
      </c>
      <c r="K8212" t="s" s="2">
        <v>22</v>
      </c>
      <c r="L8212" t="s" s="2">
        <v>22</v>
      </c>
      <c r="M8212" t="s" s="2">
        <v>22</v>
      </c>
    </row>
    <row r="8213" ht="25.0" customHeight="true">
      <c r="A8213" t="s" s="2">
        <v>13</v>
      </c>
      <c r="B8213" t="s" s="2">
        <f>HYPERLINK("http://ts.21cn.com/tousu/show/id/1362876","不签合同不发工资。")</f>
      </c>
      <c r="C8213" t="s" s="2">
        <v>15</v>
      </c>
      <c r="D8213" t="s" s="2">
        <v>16</v>
      </c>
      <c r="E8213" t="s" s="2">
        <v>17</v>
      </c>
      <c r="F8213" t="s" s="2">
        <f>HYPERLINK("http://ts.21cn.com/tousu/show/id/1362876","http://ts.21cn.com/tousu/show/id/1362876")</f>
      </c>
      <c r="G8213" t="s" s="2">
        <v>17</v>
      </c>
      <c r="H8213" t="s" s="2">
        <v>19</v>
      </c>
      <c r="I8213" t="s" s="2">
        <v>31711</v>
      </c>
      <c r="J8213" t="s" s="2">
        <v>31712</v>
      </c>
      <c r="K8213" t="s" s="2">
        <v>22</v>
      </c>
      <c r="L8213" t="s" s="2">
        <v>22</v>
      </c>
      <c r="M8213" t="s" s="2">
        <v>22</v>
      </c>
    </row>
    <row r="8214" ht="25.0" customHeight="true">
      <c r="A8214" t="s" s="2">
        <v>13</v>
      </c>
      <c r="B8214" t="s" s="2">
        <f>HYPERLINK("http://ts.21cn.com/tousu/show/id/1362875","交通银行恶意催收")</f>
      </c>
      <c r="C8214" t="s" s="2">
        <v>15</v>
      </c>
      <c r="D8214" t="s" s="2">
        <v>16</v>
      </c>
      <c r="E8214" t="s" s="2">
        <v>17</v>
      </c>
      <c r="F8214" t="s" s="2">
        <f>HYPERLINK("http://ts.21cn.com/tousu/show/id/1362875","http://ts.21cn.com/tousu/show/id/1362875")</f>
      </c>
      <c r="G8214" t="s" s="2">
        <v>17</v>
      </c>
      <c r="H8214" t="s" s="2">
        <v>19</v>
      </c>
      <c r="I8214" t="s" s="2">
        <v>31714</v>
      </c>
      <c r="J8214" t="s" s="2">
        <v>31715</v>
      </c>
      <c r="K8214" t="s" s="2">
        <v>22</v>
      </c>
      <c r="L8214" t="s" s="2">
        <v>22</v>
      </c>
      <c r="M8214" t="s" s="2">
        <v>22</v>
      </c>
    </row>
    <row r="8215" ht="25.0" customHeight="true">
      <c r="A8215" t="s" s="2">
        <v>13</v>
      </c>
      <c r="B8215" t="s" s="2">
        <f>HYPERLINK("http://ts.21cn.com/tousu/show/id/1362874","阴阳合同，高额服务费，借款人无知情权，泄露个人信息，客服及工作人员态度差")</f>
      </c>
      <c r="C8215" t="s" s="2">
        <v>15</v>
      </c>
      <c r="D8215" t="s" s="2">
        <v>16</v>
      </c>
      <c r="E8215" t="s" s="2">
        <v>17</v>
      </c>
      <c r="F8215" t="s" s="2">
        <f>HYPERLINK("http://ts.21cn.com/tousu/show/id/1362874","http://ts.21cn.com/tousu/show/id/1362874")</f>
      </c>
      <c r="G8215" t="s" s="2">
        <v>17</v>
      </c>
      <c r="H8215" t="s" s="2">
        <v>19</v>
      </c>
      <c r="I8215" t="s" s="2">
        <v>31718</v>
      </c>
      <c r="J8215" t="s" s="2">
        <v>31719</v>
      </c>
      <c r="K8215" t="s" s="2">
        <v>22</v>
      </c>
      <c r="L8215" t="s" s="2">
        <v>22</v>
      </c>
      <c r="M8215" t="s" s="2">
        <v>22</v>
      </c>
    </row>
    <row r="8216" ht="25.0" customHeight="true">
      <c r="A8216" t="s" s="2">
        <v>13</v>
      </c>
      <c r="B8216" t="s" s="2">
        <f>HYPERLINK("http://ts.21cn.com/tousu/show/id/1362873","小米移动停机号码，客户不接电话")</f>
      </c>
      <c r="C8216" t="s" s="2">
        <v>15</v>
      </c>
      <c r="D8216" t="s" s="2">
        <v>16</v>
      </c>
      <c r="E8216" t="s" s="2">
        <v>17</v>
      </c>
      <c r="F8216" t="s" s="2">
        <f>HYPERLINK("http://ts.21cn.com/tousu/show/id/1362873","http://ts.21cn.com/tousu/show/id/1362873")</f>
      </c>
      <c r="G8216" t="s" s="2">
        <v>17</v>
      </c>
      <c r="H8216" t="s" s="2">
        <v>19</v>
      </c>
      <c r="I8216" t="s" s="2">
        <v>31722</v>
      </c>
      <c r="J8216" t="s" s="2">
        <v>31723</v>
      </c>
      <c r="K8216" t="s" s="2">
        <v>22</v>
      </c>
      <c r="L8216" t="s" s="2">
        <v>22</v>
      </c>
      <c r="M8216" t="s" s="2">
        <v>22</v>
      </c>
    </row>
    <row r="8217" ht="25.0" customHeight="true">
      <c r="A8217" t="s" s="2">
        <v>13</v>
      </c>
      <c r="B8217" t="s" s="2">
        <f>HYPERLINK("http://ts.21cn.com/tousu/show/id/1362871","乱扣费，强制收取担保费199元，诉求全额退款")</f>
      </c>
      <c r="C8217" t="s" s="2">
        <v>15</v>
      </c>
      <c r="D8217" t="s" s="2">
        <v>16</v>
      </c>
      <c r="E8217" t="s" s="2">
        <v>17</v>
      </c>
      <c r="F8217" t="s" s="2">
        <f>HYPERLINK("http://ts.21cn.com/tousu/show/id/1362871","http://ts.21cn.com/tousu/show/id/1362871")</f>
      </c>
      <c r="G8217" t="s" s="2">
        <v>17</v>
      </c>
      <c r="H8217" t="s" s="2">
        <v>19</v>
      </c>
      <c r="I8217" t="s" s="2">
        <v>31726</v>
      </c>
      <c r="J8217" t="s" s="2">
        <v>31727</v>
      </c>
      <c r="K8217" t="s" s="2">
        <v>22</v>
      </c>
      <c r="L8217" t="s" s="2">
        <v>22</v>
      </c>
      <c r="M8217" t="s" s="2">
        <v>22</v>
      </c>
    </row>
    <row r="8218" ht="25.0" customHeight="true">
      <c r="A8218" t="s" s="2">
        <v>13</v>
      </c>
      <c r="B8218" t="s" s="2">
        <f>HYPERLINK("http://ts.21cn.com/tousu/show/id/1362869","超级马力贷")</f>
      </c>
      <c r="C8218" t="s" s="2">
        <v>52</v>
      </c>
      <c r="D8218" t="s" s="2">
        <v>16</v>
      </c>
      <c r="E8218" t="s" s="2">
        <v>17</v>
      </c>
      <c r="F8218" t="s" s="2">
        <f>HYPERLINK("http://ts.21cn.com/tousu/show/id/1362869","http://ts.21cn.com/tousu/show/id/1362869")</f>
      </c>
      <c r="G8218" t="s" s="2">
        <v>17</v>
      </c>
      <c r="H8218" t="s" s="2">
        <v>19</v>
      </c>
      <c r="I8218" t="s" s="2">
        <v>31730</v>
      </c>
      <c r="J8218" t="s" s="2">
        <v>31731</v>
      </c>
      <c r="K8218" t="s" s="2">
        <v>22</v>
      </c>
      <c r="L8218" t="s" s="2">
        <v>22</v>
      </c>
      <c r="M8218" t="s" s="2">
        <v>22</v>
      </c>
    </row>
    <row r="8219" ht="25.0" customHeight="true">
      <c r="A8219" t="s" s="2">
        <v>13</v>
      </c>
      <c r="B8219" t="s" s="2">
        <f>HYPERLINK("http://ts.21cn.com/tousu/show/id/1362868","大庆沃尔沃人资挑衅态度恶劣")</f>
      </c>
      <c r="C8219" t="s" s="2">
        <v>15</v>
      </c>
      <c r="D8219" t="s" s="2">
        <v>16</v>
      </c>
      <c r="E8219" t="s" s="2">
        <v>17</v>
      </c>
      <c r="F8219" t="s" s="2">
        <f>HYPERLINK("http://ts.21cn.com/tousu/show/id/1362868","http://ts.21cn.com/tousu/show/id/1362868")</f>
      </c>
      <c r="G8219" t="s" s="2">
        <v>17</v>
      </c>
      <c r="H8219" t="s" s="2">
        <v>19</v>
      </c>
      <c r="I8219" t="s" s="2">
        <v>31734</v>
      </c>
      <c r="J8219" t="s" s="2">
        <v>31735</v>
      </c>
      <c r="K8219" t="s" s="2">
        <v>22</v>
      </c>
      <c r="L8219" t="s" s="2">
        <v>22</v>
      </c>
      <c r="M8219" t="s" s="2">
        <v>22</v>
      </c>
    </row>
    <row r="8220" ht="25.0" customHeight="true">
      <c r="A8220" t="s" s="2">
        <v>13</v>
      </c>
      <c r="B8220" t="s" s="2">
        <f>HYPERLINK("http://ts.21cn.com/tousu/show/id/1362870","嘀嗒出行严重侵犯消费者公平交易权和知情权，涉嫌虚假宣传、无法提现以及注销账户")</f>
      </c>
      <c r="C8220" t="s" s="2">
        <v>15</v>
      </c>
      <c r="D8220" t="s" s="2">
        <v>16</v>
      </c>
      <c r="E8220" t="s" s="2">
        <v>17</v>
      </c>
      <c r="F8220" t="s" s="2">
        <f>HYPERLINK("http://ts.21cn.com/tousu/show/id/1362870","http://ts.21cn.com/tousu/show/id/1362870")</f>
      </c>
      <c r="G8220" t="s" s="2">
        <v>17</v>
      </c>
      <c r="H8220" t="s" s="2">
        <v>19</v>
      </c>
      <c r="I8220" t="s" s="2">
        <v>31738</v>
      </c>
      <c r="J8220" t="s" s="2">
        <v>31739</v>
      </c>
      <c r="K8220" t="s" s="2">
        <v>22</v>
      </c>
      <c r="L8220" t="s" s="2">
        <v>22</v>
      </c>
      <c r="M8220" t="s" s="2">
        <v>22</v>
      </c>
    </row>
    <row r="8221" ht="25.0" customHeight="true">
      <c r="A8221" t="s" s="2">
        <v>13</v>
      </c>
      <c r="B8221" t="s" s="2">
        <f>HYPERLINK("http://ts.21cn.com/tousu/show/id/1362867","银盛通POS机刷卡金不入账")</f>
      </c>
      <c r="C8221" t="s" s="2">
        <v>15</v>
      </c>
      <c r="D8221" t="s" s="2">
        <v>16</v>
      </c>
      <c r="E8221" t="s" s="2">
        <v>17</v>
      </c>
      <c r="F8221" t="s" s="2">
        <f>HYPERLINK("http://ts.21cn.com/tousu/show/id/1362867","http://ts.21cn.com/tousu/show/id/1362867")</f>
      </c>
      <c r="G8221" t="s" s="2">
        <v>17</v>
      </c>
      <c r="H8221" t="s" s="2">
        <v>19</v>
      </c>
      <c r="I8221" t="s" s="2">
        <v>31742</v>
      </c>
      <c r="J8221" t="s" s="2">
        <v>31743</v>
      </c>
      <c r="K8221" t="s" s="2">
        <v>22</v>
      </c>
      <c r="L8221" t="s" s="2">
        <v>22</v>
      </c>
      <c r="M8221" t="s" s="2">
        <v>22</v>
      </c>
    </row>
    <row r="8222" ht="25.0" customHeight="true">
      <c r="A8222" t="s" s="2">
        <v>13</v>
      </c>
      <c r="B8222" t="s" s="2">
        <f>HYPERLINK("http://ts.21cn.com/tousu/show/id/1362866","中信银行信用卡中心乱推销产品")</f>
      </c>
      <c r="C8222" t="s" s="2">
        <v>15</v>
      </c>
      <c r="D8222" t="s" s="2">
        <v>16</v>
      </c>
      <c r="E8222" t="s" s="2">
        <v>17</v>
      </c>
      <c r="F8222" t="s" s="2">
        <f>HYPERLINK("http://ts.21cn.com/tousu/show/id/1362866","http://ts.21cn.com/tousu/show/id/1362866")</f>
      </c>
      <c r="G8222" t="s" s="2">
        <v>17</v>
      </c>
      <c r="H8222" t="s" s="2">
        <v>19</v>
      </c>
      <c r="I8222" t="s" s="2">
        <v>31746</v>
      </c>
      <c r="J8222" t="s" s="2">
        <v>31747</v>
      </c>
      <c r="K8222" t="s" s="2">
        <v>22</v>
      </c>
      <c r="L8222" t="s" s="2">
        <v>22</v>
      </c>
      <c r="M8222" t="s" s="2">
        <v>22</v>
      </c>
    </row>
    <row r="8223" ht="25.0" customHeight="true">
      <c r="A8223" t="s" s="2">
        <v>13</v>
      </c>
      <c r="B8223" t="s" s="2">
        <f>HYPERLINK("http://ts.21cn.com/tousu/show/id/1362865","万惠及贷变相收取高额息费以及暴力催收")</f>
      </c>
      <c r="C8223" t="s" s="2">
        <v>15</v>
      </c>
      <c r="D8223" t="s" s="2">
        <v>16</v>
      </c>
      <c r="E8223" t="s" s="2">
        <v>17</v>
      </c>
      <c r="F8223" t="s" s="2">
        <f>HYPERLINK("http://ts.21cn.com/tousu/show/id/1362865","http://ts.21cn.com/tousu/show/id/1362865")</f>
      </c>
      <c r="G8223" t="s" s="2">
        <v>17</v>
      </c>
      <c r="H8223" t="s" s="2">
        <v>19</v>
      </c>
      <c r="I8223" t="s" s="2">
        <v>31749</v>
      </c>
      <c r="J8223" t="s" s="2">
        <v>31750</v>
      </c>
      <c r="K8223" t="s" s="2">
        <v>22</v>
      </c>
      <c r="L8223" t="s" s="2">
        <v>22</v>
      </c>
      <c r="M8223" t="s" s="2">
        <v>22</v>
      </c>
    </row>
    <row r="8224" ht="25.0" customHeight="true">
      <c r="A8224" t="s" s="2">
        <v>13</v>
      </c>
      <c r="B8224" t="s" s="2">
        <f>HYPERLINK("http://ts.21cn.com/tousu/show/id/1362864","暴力催收，进行侮辱，恐吓")</f>
      </c>
      <c r="C8224" t="s" s="2">
        <v>15</v>
      </c>
      <c r="D8224" t="s" s="2">
        <v>16</v>
      </c>
      <c r="E8224" t="s" s="2">
        <v>17</v>
      </c>
      <c r="F8224" t="s" s="2">
        <f>HYPERLINK("http://ts.21cn.com/tousu/show/id/1362864","http://ts.21cn.com/tousu/show/id/1362864")</f>
      </c>
      <c r="G8224" t="s" s="2">
        <v>17</v>
      </c>
      <c r="H8224" t="s" s="2">
        <v>19</v>
      </c>
      <c r="I8224" t="s" s="2">
        <v>31753</v>
      </c>
      <c r="J8224" t="s" s="2">
        <v>31754</v>
      </c>
      <c r="K8224" t="s" s="2">
        <v>22</v>
      </c>
      <c r="L8224" t="s" s="2">
        <v>22</v>
      </c>
      <c r="M8224" t="s" s="2">
        <v>22</v>
      </c>
    </row>
    <row r="8225" ht="25.0" customHeight="true">
      <c r="A8225" t="s" s="2">
        <v>13</v>
      </c>
      <c r="B8225" t="s" s="2">
        <f>HYPERLINK("http://ts.21cn.com/tousu/show/id/1362863","未经同意扣除本人银行卡的钱")</f>
      </c>
      <c r="C8225" t="s" s="2">
        <v>52</v>
      </c>
      <c r="D8225" t="s" s="2">
        <v>16</v>
      </c>
      <c r="E8225" t="s" s="2">
        <v>17</v>
      </c>
      <c r="F8225" t="s" s="2">
        <f>HYPERLINK("http://ts.21cn.com/tousu/show/id/1362863","http://ts.21cn.com/tousu/show/id/1362863")</f>
      </c>
      <c r="G8225" t="s" s="2">
        <v>17</v>
      </c>
      <c r="H8225" t="s" s="2">
        <v>19</v>
      </c>
      <c r="I8225" t="s" s="2">
        <v>31757</v>
      </c>
      <c r="J8225" t="s" s="2">
        <v>31758</v>
      </c>
      <c r="K8225" t="s" s="2">
        <v>22</v>
      </c>
      <c r="L8225" t="s" s="2">
        <v>22</v>
      </c>
      <c r="M8225" t="s" s="2">
        <v>22</v>
      </c>
    </row>
    <row r="8226" ht="25.0" customHeight="true">
      <c r="A8226" t="s" s="2">
        <v>13</v>
      </c>
      <c r="B8226" t="s" s="2">
        <f>HYPERLINK("http://ts.21cn.com/tousu/show/id/1362862","人人花乱扣费")</f>
      </c>
      <c r="C8226" t="s" s="2">
        <v>15</v>
      </c>
      <c r="D8226" t="s" s="2">
        <v>16</v>
      </c>
      <c r="E8226" t="s" s="2">
        <v>17</v>
      </c>
      <c r="F8226" t="s" s="2">
        <f>HYPERLINK("http://ts.21cn.com/tousu/show/id/1362862","http://ts.21cn.com/tousu/show/id/1362862")</f>
      </c>
      <c r="G8226" t="s" s="2">
        <v>17</v>
      </c>
      <c r="H8226" t="s" s="2">
        <v>19</v>
      </c>
      <c r="I8226" t="s" s="2">
        <v>31760</v>
      </c>
      <c r="J8226" t="s" s="2">
        <v>31761</v>
      </c>
      <c r="K8226" t="s" s="2">
        <v>22</v>
      </c>
      <c r="L8226" t="s" s="2">
        <v>22</v>
      </c>
      <c r="M8226" t="s" s="2">
        <v>22</v>
      </c>
    </row>
    <row r="8227" ht="25.0" customHeight="true">
      <c r="A8227" t="s" s="2">
        <v>13</v>
      </c>
      <c r="B8227" t="s" s="2">
        <f>HYPERLINK("http://ts.21cn.com/tousu/show/id/1362861","小花钱包威胁恐吓，擅自窃取通讯录，造成名誉侵权")</f>
      </c>
      <c r="C8227" t="s" s="2">
        <v>15</v>
      </c>
      <c r="D8227" t="s" s="2">
        <v>16</v>
      </c>
      <c r="E8227" t="s" s="2">
        <v>17</v>
      </c>
      <c r="F8227" t="s" s="2">
        <f>HYPERLINK("http://ts.21cn.com/tousu/show/id/1362861","http://ts.21cn.com/tousu/show/id/1362861")</f>
      </c>
      <c r="G8227" t="s" s="2">
        <v>17</v>
      </c>
      <c r="H8227" t="s" s="2">
        <v>19</v>
      </c>
      <c r="I8227" t="s" s="2">
        <v>31764</v>
      </c>
      <c r="J8227" t="s" s="2">
        <v>31765</v>
      </c>
      <c r="K8227" t="s" s="2">
        <v>22</v>
      </c>
      <c r="L8227" t="s" s="2">
        <v>22</v>
      </c>
      <c r="M8227" t="s" s="2">
        <v>22</v>
      </c>
    </row>
    <row r="8228" ht="25.0" customHeight="true">
      <c r="A8228" t="s" s="2">
        <v>13</v>
      </c>
      <c r="B8228" t="s" s="2">
        <f>HYPERLINK("http://ts.21cn.com/tousu/show/id/1362841","威胁恐吓")</f>
      </c>
      <c r="C8228" t="s" s="2">
        <v>15</v>
      </c>
      <c r="D8228" t="s" s="2">
        <v>16</v>
      </c>
      <c r="E8228" t="s" s="2">
        <v>17</v>
      </c>
      <c r="F8228" t="s" s="2">
        <f>HYPERLINK("http://ts.21cn.com/tousu/show/id/1362841","http://ts.21cn.com/tousu/show/id/1362841")</f>
      </c>
      <c r="G8228" t="s" s="2">
        <v>17</v>
      </c>
      <c r="H8228" t="s" s="2">
        <v>19</v>
      </c>
      <c r="I8228" t="s" s="2">
        <v>31767</v>
      </c>
      <c r="J8228" t="s" s="2">
        <v>31768</v>
      </c>
      <c r="K8228" t="s" s="2">
        <v>22</v>
      </c>
      <c r="L8228" t="s" s="2">
        <v>22</v>
      </c>
      <c r="M8228" t="s" s="2">
        <v>22</v>
      </c>
    </row>
    <row r="8229" ht="25.0" customHeight="true">
      <c r="A8229" t="s" s="2">
        <v>13</v>
      </c>
      <c r="B8229" t="s" s="2">
        <f>HYPERLINK("http://ts.21cn.com/tousu/show/id/1362860","安逸花暴力催收")</f>
      </c>
      <c r="C8229" t="s" s="2">
        <v>15</v>
      </c>
      <c r="D8229" t="s" s="2">
        <v>16</v>
      </c>
      <c r="E8229" t="s" s="2">
        <v>17</v>
      </c>
      <c r="F8229" t="s" s="2">
        <f>HYPERLINK("http://ts.21cn.com/tousu/show/id/1362860","http://ts.21cn.com/tousu/show/id/1362860")</f>
      </c>
      <c r="G8229" t="s" s="2">
        <v>17</v>
      </c>
      <c r="H8229" t="s" s="2">
        <v>19</v>
      </c>
      <c r="I8229" t="s" s="2">
        <v>31770</v>
      </c>
      <c r="J8229" t="s" s="2">
        <v>31771</v>
      </c>
      <c r="K8229" t="s" s="2">
        <v>22</v>
      </c>
      <c r="L8229" t="s" s="2">
        <v>22</v>
      </c>
      <c r="M8229" t="s" s="2">
        <v>22</v>
      </c>
    </row>
    <row r="8230" ht="25.0" customHeight="true">
      <c r="A8230" t="s" s="2">
        <v>13</v>
      </c>
      <c r="B8230" t="s" s="2">
        <f>HYPERLINK("http://ts.21cn.com/tousu/show/id/1362859","平安普惠暴力催收")</f>
      </c>
      <c r="C8230" t="s" s="2">
        <v>15</v>
      </c>
      <c r="D8230" t="s" s="2">
        <v>16</v>
      </c>
      <c r="E8230" t="s" s="2">
        <v>17</v>
      </c>
      <c r="F8230" t="s" s="2">
        <f>HYPERLINK("http://ts.21cn.com/tousu/show/id/1362859","http://ts.21cn.com/tousu/show/id/1362859")</f>
      </c>
      <c r="G8230" t="s" s="2">
        <v>17</v>
      </c>
      <c r="H8230" t="s" s="2">
        <v>19</v>
      </c>
      <c r="I8230" t="s" s="2">
        <v>31773</v>
      </c>
      <c r="J8230" t="s" s="2">
        <v>31774</v>
      </c>
      <c r="K8230" t="s" s="2">
        <v>22</v>
      </c>
      <c r="L8230" t="s" s="2">
        <v>22</v>
      </c>
      <c r="M8230" t="s" s="2">
        <v>22</v>
      </c>
    </row>
    <row r="8231" ht="25.0" customHeight="true">
      <c r="A8231" t="s" s="2">
        <v>13</v>
      </c>
      <c r="B8231" t="s" s="2">
        <f>HYPERLINK("http://ts.21cn.com/tousu/show/id/1362858","暴力催收，电话骚扰")</f>
      </c>
      <c r="C8231" t="s" s="2">
        <v>15</v>
      </c>
      <c r="D8231" t="s" s="2">
        <v>16</v>
      </c>
      <c r="E8231" t="s" s="2">
        <v>17</v>
      </c>
      <c r="F8231" t="s" s="2">
        <f>HYPERLINK("http://ts.21cn.com/tousu/show/id/1362858","http://ts.21cn.com/tousu/show/id/1362858")</f>
      </c>
      <c r="G8231" t="s" s="2">
        <v>17</v>
      </c>
      <c r="H8231" t="s" s="2">
        <v>19</v>
      </c>
      <c r="I8231" t="s" s="2">
        <v>31776</v>
      </c>
      <c r="J8231" t="s" s="2">
        <v>31777</v>
      </c>
      <c r="K8231" t="s" s="2">
        <v>22</v>
      </c>
      <c r="L8231" t="s" s="2">
        <v>22</v>
      </c>
      <c r="M8231" t="s" s="2">
        <v>22</v>
      </c>
    </row>
    <row r="8232" ht="25.0" customHeight="true">
      <c r="A8232" t="s" s="2">
        <v>13</v>
      </c>
      <c r="B8232" t="s" s="2">
        <f>HYPERLINK("http://ts.21cn.com/tousu/show/id/1362856","无良平台拼多多私自扣押货款，不让提现")</f>
      </c>
      <c r="C8232" t="s" s="2">
        <v>15</v>
      </c>
      <c r="D8232" t="s" s="2">
        <v>16</v>
      </c>
      <c r="E8232" t="s" s="2">
        <v>17</v>
      </c>
      <c r="F8232" t="s" s="2">
        <f>HYPERLINK("http://ts.21cn.com/tousu/show/id/1362856","http://ts.21cn.com/tousu/show/id/1362856")</f>
      </c>
      <c r="G8232" t="s" s="2">
        <v>17</v>
      </c>
      <c r="H8232" t="s" s="2">
        <v>19</v>
      </c>
      <c r="I8232" t="s" s="2">
        <v>31780</v>
      </c>
      <c r="J8232" t="s" s="2">
        <v>31781</v>
      </c>
      <c r="K8232" t="s" s="2">
        <v>22</v>
      </c>
      <c r="L8232" t="s" s="2">
        <v>22</v>
      </c>
      <c r="M8232" t="s" s="2">
        <v>22</v>
      </c>
    </row>
    <row r="8233" ht="25.0" customHeight="true">
      <c r="A8233" t="s" s="2">
        <v>13</v>
      </c>
      <c r="B8233" t="s" s="2">
        <f>HYPERLINK("http://ts.21cn.com/tousu/show/id/1362857","钱站3000砍头息")</f>
      </c>
      <c r="C8233" t="s" s="2">
        <v>52</v>
      </c>
      <c r="D8233" t="s" s="2">
        <v>16</v>
      </c>
      <c r="E8233" t="s" s="2">
        <v>17</v>
      </c>
      <c r="F8233" t="s" s="2">
        <f>HYPERLINK("http://ts.21cn.com/tousu/show/id/1362857","http://ts.21cn.com/tousu/show/id/1362857")</f>
      </c>
      <c r="G8233" t="s" s="2">
        <v>17</v>
      </c>
      <c r="H8233" t="s" s="2">
        <v>19</v>
      </c>
      <c r="I8233" t="s" s="2">
        <v>31784</v>
      </c>
      <c r="J8233" t="s" s="2">
        <v>31785</v>
      </c>
      <c r="K8233" t="s" s="2">
        <v>22</v>
      </c>
      <c r="L8233" t="s" s="2">
        <v>22</v>
      </c>
      <c r="M8233" t="s" s="2">
        <v>22</v>
      </c>
    </row>
    <row r="8234" ht="25.0" customHeight="true">
      <c r="A8234" t="s" s="2">
        <v>13</v>
      </c>
      <c r="B8234" t="s" s="2">
        <f>HYPERLINK("http://ts.21cn.com/tousu/show/id/1362855","翼钱包砍头息！连连银通为其提供便捷")</f>
      </c>
      <c r="C8234" t="s" s="2">
        <v>15</v>
      </c>
      <c r="D8234" t="s" s="2">
        <v>16</v>
      </c>
      <c r="E8234" t="s" s="2">
        <v>17</v>
      </c>
      <c r="F8234" t="s" s="2">
        <f>HYPERLINK("http://ts.21cn.com/tousu/show/id/1362855","http://ts.21cn.com/tousu/show/id/1362855")</f>
      </c>
      <c r="G8234" t="s" s="2">
        <v>17</v>
      </c>
      <c r="H8234" t="s" s="2">
        <v>19</v>
      </c>
      <c r="I8234" t="s" s="2">
        <v>31788</v>
      </c>
      <c r="J8234" t="s" s="2">
        <v>18573</v>
      </c>
      <c r="K8234" t="s" s="2">
        <v>22</v>
      </c>
      <c r="L8234" t="s" s="2">
        <v>22</v>
      </c>
      <c r="M8234" t="s" s="2">
        <v>22</v>
      </c>
    </row>
    <row r="8235" ht="25.0" customHeight="true">
      <c r="A8235" t="s" s="2">
        <v>13</v>
      </c>
      <c r="B8235" t="s" s="2">
        <f>HYPERLINK("http://ts.21cn.com/tousu/show/id/1362852","第三方软暴力催收")</f>
      </c>
      <c r="C8235" t="s" s="2">
        <v>15</v>
      </c>
      <c r="D8235" t="s" s="2">
        <v>16</v>
      </c>
      <c r="E8235" t="s" s="2">
        <v>17</v>
      </c>
      <c r="F8235" t="s" s="2">
        <f>HYPERLINK("http://ts.21cn.com/tousu/show/id/1362852","http://ts.21cn.com/tousu/show/id/1362852")</f>
      </c>
      <c r="G8235" t="s" s="2">
        <v>17</v>
      </c>
      <c r="H8235" t="s" s="2">
        <v>19</v>
      </c>
      <c r="I8235" t="s" s="2">
        <v>31791</v>
      </c>
      <c r="J8235" t="s" s="2">
        <v>31792</v>
      </c>
      <c r="K8235" t="s" s="2">
        <v>22</v>
      </c>
      <c r="L8235" t="s" s="2">
        <v>22</v>
      </c>
      <c r="M8235" t="s" s="2">
        <v>22</v>
      </c>
    </row>
    <row r="8236" ht="25.0" customHeight="true">
      <c r="A8236" t="s" s="2">
        <v>13</v>
      </c>
      <c r="B8236" t="s" s="2">
        <f>HYPERLINK("http://ts.21cn.com/tousu/show/id/1362851","OPPOR9SPLUS大规模无限重启变砖")</f>
      </c>
      <c r="C8236" t="s" s="2">
        <v>15</v>
      </c>
      <c r="D8236" t="s" s="2">
        <v>16</v>
      </c>
      <c r="E8236" t="s" s="2">
        <v>17</v>
      </c>
      <c r="F8236" t="s" s="2">
        <f>HYPERLINK("http://ts.21cn.com/tousu/show/id/1362851","http://ts.21cn.com/tousu/show/id/1362851")</f>
      </c>
      <c r="G8236" t="s" s="2">
        <v>17</v>
      </c>
      <c r="H8236" t="s" s="2">
        <v>19</v>
      </c>
      <c r="I8236" t="s" s="2">
        <v>31794</v>
      </c>
      <c r="J8236" t="s" s="2">
        <v>31795</v>
      </c>
      <c r="K8236" t="s" s="2">
        <v>22</v>
      </c>
      <c r="L8236" t="s" s="2">
        <v>22</v>
      </c>
      <c r="M8236" t="s" s="2">
        <v>22</v>
      </c>
    </row>
    <row r="8237" ht="25.0" customHeight="true">
      <c r="A8237" t="s" s="2">
        <v>13</v>
      </c>
      <c r="B8237" t="s" s="2">
        <f>HYPERLINK("http://ts.21cn.com/tousu/show/id/1362816","虫虫快借非法高利贷汇潮支付为高利贷提供支付通道")</f>
      </c>
      <c r="C8237" t="s" s="2">
        <v>15</v>
      </c>
      <c r="D8237" t="s" s="2">
        <v>16</v>
      </c>
      <c r="E8237" t="s" s="2">
        <v>17</v>
      </c>
      <c r="F8237" t="s" s="2">
        <f>HYPERLINK("http://ts.21cn.com/tousu/show/id/1362816","http://ts.21cn.com/tousu/show/id/1362816")</f>
      </c>
      <c r="G8237" t="s" s="2">
        <v>17</v>
      </c>
      <c r="H8237" t="s" s="2">
        <v>19</v>
      </c>
      <c r="I8237" t="s" s="2">
        <v>31798</v>
      </c>
      <c r="J8237" t="s" s="2">
        <v>31799</v>
      </c>
      <c r="K8237" t="s" s="2">
        <v>22</v>
      </c>
      <c r="L8237" t="s" s="2">
        <v>22</v>
      </c>
      <c r="M8237" t="s" s="2">
        <v>22</v>
      </c>
    </row>
    <row r="8238" ht="25.0" customHeight="true">
      <c r="A8238" t="s" s="2">
        <v>13</v>
      </c>
      <c r="B8238" t="s" s="2">
        <f>HYPERLINK("http://ts.21cn.com/tousu/show/id/1362849","你我贷恶意催收，电话骚扰恐吓")</f>
      </c>
      <c r="C8238" t="s" s="2">
        <v>15</v>
      </c>
      <c r="D8238" t="s" s="2">
        <v>16</v>
      </c>
      <c r="E8238" t="s" s="2">
        <v>17</v>
      </c>
      <c r="F8238" t="s" s="2">
        <f>HYPERLINK("http://ts.21cn.com/tousu/show/id/1362849","http://ts.21cn.com/tousu/show/id/1362849")</f>
      </c>
      <c r="G8238" t="s" s="2">
        <v>17</v>
      </c>
      <c r="H8238" t="s" s="2">
        <v>19</v>
      </c>
      <c r="I8238" t="s" s="2">
        <v>31802</v>
      </c>
      <c r="J8238" t="s" s="2">
        <v>31803</v>
      </c>
      <c r="K8238" t="s" s="2">
        <v>22</v>
      </c>
      <c r="L8238" t="s" s="2">
        <v>22</v>
      </c>
      <c r="M8238" t="s" s="2">
        <v>22</v>
      </c>
    </row>
    <row r="8239" ht="25.0" customHeight="true">
      <c r="A8239" t="s" s="2">
        <v>13</v>
      </c>
      <c r="B8239" t="s" s="2">
        <f>HYPERLINK("http://ts.21cn.com/tousu/show/id/1362848","哆米黑卡私自扣费")</f>
      </c>
      <c r="C8239" t="s" s="2">
        <v>15</v>
      </c>
      <c r="D8239" t="s" s="2">
        <v>16</v>
      </c>
      <c r="E8239" t="s" s="2">
        <v>17</v>
      </c>
      <c r="F8239" t="s" s="2">
        <f>HYPERLINK("http://ts.21cn.com/tousu/show/id/1362848","http://ts.21cn.com/tousu/show/id/1362848")</f>
      </c>
      <c r="G8239" t="s" s="2">
        <v>17</v>
      </c>
      <c r="H8239" t="s" s="2">
        <v>19</v>
      </c>
      <c r="I8239" t="s" s="2">
        <v>31806</v>
      </c>
      <c r="J8239" t="s" s="2">
        <v>31807</v>
      </c>
      <c r="K8239" t="s" s="2">
        <v>22</v>
      </c>
      <c r="L8239" t="s" s="2">
        <v>22</v>
      </c>
      <c r="M8239" t="s" s="2">
        <v>22</v>
      </c>
    </row>
    <row r="8240" ht="25.0" customHeight="true">
      <c r="A8240" t="s" s="2">
        <v>13</v>
      </c>
      <c r="B8240" t="s" s="2">
        <f>HYPERLINK("http://ts.21cn.com/tousu/show/id/1362755","畅捷pos机涉嫌忽悠顾客办理")</f>
      </c>
      <c r="C8240" t="s" s="2">
        <v>15</v>
      </c>
      <c r="D8240" t="s" s="2">
        <v>16</v>
      </c>
      <c r="E8240" t="s" s="2">
        <v>17</v>
      </c>
      <c r="F8240" t="s" s="2">
        <f>HYPERLINK("http://ts.21cn.com/tousu/show/id/1362755","http://ts.21cn.com/tousu/show/id/1362755")</f>
      </c>
      <c r="G8240" t="s" s="2">
        <v>17</v>
      </c>
      <c r="H8240" t="s" s="2">
        <v>19</v>
      </c>
      <c r="I8240" t="s" s="2">
        <v>31810</v>
      </c>
      <c r="J8240" t="s" s="2">
        <v>31811</v>
      </c>
      <c r="K8240" t="s" s="2">
        <v>22</v>
      </c>
      <c r="L8240" t="s" s="2">
        <v>22</v>
      </c>
      <c r="M8240" t="s" s="2">
        <v>22</v>
      </c>
    </row>
    <row r="8241" ht="25.0" customHeight="true">
      <c r="A8241" t="s" s="2">
        <v>13</v>
      </c>
      <c r="B8241" t="s" s="2">
        <f>HYPERLINK("http://ts.21cn.com/tousu/show/id/1362844","招联金融暴利催收，骚扰我正常生活，威胁爆我通讯录")</f>
      </c>
      <c r="C8241" t="s" s="2">
        <v>15</v>
      </c>
      <c r="D8241" t="s" s="2">
        <v>16</v>
      </c>
      <c r="E8241" t="s" s="2">
        <v>17</v>
      </c>
      <c r="F8241" t="s" s="2">
        <f>HYPERLINK("http://ts.21cn.com/tousu/show/id/1362844","http://ts.21cn.com/tousu/show/id/1362844")</f>
      </c>
      <c r="G8241" t="s" s="2">
        <v>17</v>
      </c>
      <c r="H8241" t="s" s="2">
        <v>19</v>
      </c>
      <c r="I8241" t="s" s="2">
        <v>31814</v>
      </c>
      <c r="J8241" t="s" s="2">
        <v>31815</v>
      </c>
      <c r="K8241" t="s" s="2">
        <v>22</v>
      </c>
      <c r="L8241" t="s" s="2">
        <v>22</v>
      </c>
      <c r="M8241" t="s" s="2">
        <v>22</v>
      </c>
    </row>
    <row r="8242" ht="25.0" customHeight="true">
      <c r="A8242" t="s" s="2">
        <v>13</v>
      </c>
      <c r="B8242" t="s" s="2">
        <f>HYPERLINK("http://ts.21cn.com/tousu/show/id/1362843","催收")</f>
      </c>
      <c r="C8242" t="s" s="2">
        <v>52</v>
      </c>
      <c r="D8242" t="s" s="2">
        <v>16</v>
      </c>
      <c r="E8242" t="s" s="2">
        <v>17</v>
      </c>
      <c r="F8242" t="s" s="2">
        <f>HYPERLINK("http://ts.21cn.com/tousu/show/id/1362843","http://ts.21cn.com/tousu/show/id/1362843")</f>
      </c>
      <c r="G8242" t="s" s="2">
        <v>17</v>
      </c>
      <c r="H8242" t="s" s="2">
        <v>19</v>
      </c>
      <c r="I8242" t="s" s="2">
        <v>31817</v>
      </c>
      <c r="J8242" t="s" s="2">
        <v>31818</v>
      </c>
      <c r="K8242" t="s" s="2">
        <v>22</v>
      </c>
      <c r="L8242" t="s" s="2">
        <v>22</v>
      </c>
      <c r="M8242" t="s" s="2">
        <v>22</v>
      </c>
    </row>
    <row r="8243" ht="25.0" customHeight="true">
      <c r="A8243" t="s" s="2">
        <v>13</v>
      </c>
      <c r="B8243" t="s" s="2">
        <f>HYPERLINK("http://ts.21cn.com/tousu/show/id/1362846","交通银行信用卡暴利催收")</f>
      </c>
      <c r="C8243" t="s" s="2">
        <v>15</v>
      </c>
      <c r="D8243" t="s" s="2">
        <v>16</v>
      </c>
      <c r="E8243" t="s" s="2">
        <v>17</v>
      </c>
      <c r="F8243" t="s" s="2">
        <f>HYPERLINK("http://ts.21cn.com/tousu/show/id/1362846","http://ts.21cn.com/tousu/show/id/1362846")</f>
      </c>
      <c r="G8243" t="s" s="2">
        <v>17</v>
      </c>
      <c r="H8243" t="s" s="2">
        <v>19</v>
      </c>
      <c r="I8243" t="s" s="2">
        <v>31821</v>
      </c>
      <c r="J8243" t="s" s="2">
        <v>31822</v>
      </c>
      <c r="K8243" t="s" s="2">
        <v>22</v>
      </c>
      <c r="L8243" t="s" s="2">
        <v>22</v>
      </c>
      <c r="M8243" t="s" s="2">
        <v>22</v>
      </c>
    </row>
    <row r="8244" ht="25.0" customHeight="true">
      <c r="A8244" t="s" s="2">
        <v>13</v>
      </c>
      <c r="B8244" t="s" s="2">
        <f>HYPERLINK("http://ts.21cn.com/tousu/show/id/1362842","贷上钱逾期一天威胁我通讯录好友")</f>
      </c>
      <c r="C8244" t="s" s="2">
        <v>15</v>
      </c>
      <c r="D8244" t="s" s="2">
        <v>16</v>
      </c>
      <c r="E8244" t="s" s="2">
        <v>17</v>
      </c>
      <c r="F8244" t="s" s="2">
        <f>HYPERLINK("http://ts.21cn.com/tousu/show/id/1362842","http://ts.21cn.com/tousu/show/id/1362842")</f>
      </c>
      <c r="G8244" t="s" s="2">
        <v>17</v>
      </c>
      <c r="H8244" t="s" s="2">
        <v>19</v>
      </c>
      <c r="I8244" t="s" s="2">
        <v>31825</v>
      </c>
      <c r="J8244" t="s" s="2">
        <v>31826</v>
      </c>
      <c r="K8244" t="s" s="2">
        <v>22</v>
      </c>
      <c r="L8244" t="s" s="2">
        <v>22</v>
      </c>
      <c r="M8244" t="s" s="2">
        <v>22</v>
      </c>
    </row>
    <row r="8245" ht="25.0" customHeight="true">
      <c r="A8245" t="s" s="2">
        <v>13</v>
      </c>
      <c r="B8245" t="s" s="2">
        <f>HYPERLINK("http://ts.21cn.com/tousu/show/id/1362838","被暴力催收")</f>
      </c>
      <c r="C8245" t="s" s="2">
        <v>15</v>
      </c>
      <c r="D8245" t="s" s="2">
        <v>16</v>
      </c>
      <c r="E8245" t="s" s="2">
        <v>17</v>
      </c>
      <c r="F8245" t="s" s="2">
        <f>HYPERLINK("http://ts.21cn.com/tousu/show/id/1362838","http://ts.21cn.com/tousu/show/id/1362838")</f>
      </c>
      <c r="G8245" t="s" s="2">
        <v>17</v>
      </c>
      <c r="H8245" t="s" s="2">
        <v>19</v>
      </c>
      <c r="I8245" t="s" s="2">
        <v>31829</v>
      </c>
      <c r="J8245" t="s" s="2">
        <v>31830</v>
      </c>
      <c r="K8245" t="s" s="2">
        <v>22</v>
      </c>
      <c r="L8245" t="s" s="2">
        <v>22</v>
      </c>
      <c r="M8245" t="s" s="2">
        <v>22</v>
      </c>
    </row>
    <row r="8246" ht="25.0" customHeight="true">
      <c r="A8246" t="s" s="2">
        <v>13</v>
      </c>
      <c r="B8246" t="s" s="2">
        <f>HYPERLINK("http://ts.21cn.com/tousu/show/id/1362840","钱站爱钱进的催缴进行威胁")</f>
      </c>
      <c r="C8246" t="s" s="2">
        <v>15</v>
      </c>
      <c r="D8246" t="s" s="2">
        <v>16</v>
      </c>
      <c r="E8246" t="s" s="2">
        <v>17</v>
      </c>
      <c r="F8246" t="s" s="2">
        <f>HYPERLINK("http://ts.21cn.com/tousu/show/id/1362840","http://ts.21cn.com/tousu/show/id/1362840")</f>
      </c>
      <c r="G8246" t="s" s="2">
        <v>17</v>
      </c>
      <c r="H8246" t="s" s="2">
        <v>19</v>
      </c>
      <c r="I8246" t="s" s="2">
        <v>31833</v>
      </c>
      <c r="J8246" t="s" s="2">
        <v>31834</v>
      </c>
      <c r="K8246" t="s" s="2">
        <v>22</v>
      </c>
      <c r="L8246" t="s" s="2">
        <v>22</v>
      </c>
      <c r="M8246" t="s" s="2">
        <v>22</v>
      </c>
    </row>
    <row r="8247" ht="25.0" customHeight="true">
      <c r="A8247" t="s" s="2">
        <v>13</v>
      </c>
      <c r="B8247" t="s" s="2">
        <f>HYPERLINK("http://ts.21cn.com/tousu/show/id/1362837","砍头息")</f>
      </c>
      <c r="C8247" t="s" s="2">
        <v>52</v>
      </c>
      <c r="D8247" t="s" s="2">
        <v>16</v>
      </c>
      <c r="E8247" t="s" s="2">
        <v>17</v>
      </c>
      <c r="F8247" t="s" s="2">
        <f>HYPERLINK("http://ts.21cn.com/tousu/show/id/1362837","http://ts.21cn.com/tousu/show/id/1362837")</f>
      </c>
      <c r="G8247" t="s" s="2">
        <v>17</v>
      </c>
      <c r="H8247" t="s" s="2">
        <v>19</v>
      </c>
      <c r="I8247" t="s" s="2">
        <v>31836</v>
      </c>
      <c r="J8247" t="s" s="2">
        <v>31837</v>
      </c>
      <c r="K8247" t="s" s="2">
        <v>22</v>
      </c>
      <c r="L8247" t="s" s="2">
        <v>22</v>
      </c>
      <c r="M8247" t="s" s="2">
        <v>22</v>
      </c>
    </row>
    <row r="8248" ht="25.0" customHeight="true">
      <c r="A8248" t="s" s="2">
        <v>13</v>
      </c>
      <c r="B8248" t="s" s="2">
        <f>HYPERLINK("http://ts.21cn.com/tousu/show/id/1362836","捷信电话骚扰")</f>
      </c>
      <c r="C8248" t="s" s="2">
        <v>15</v>
      </c>
      <c r="D8248" t="s" s="2">
        <v>16</v>
      </c>
      <c r="E8248" t="s" s="2">
        <v>17</v>
      </c>
      <c r="F8248" t="s" s="2">
        <f>HYPERLINK("http://ts.21cn.com/tousu/show/id/1362836","http://ts.21cn.com/tousu/show/id/1362836")</f>
      </c>
      <c r="G8248" t="s" s="2">
        <v>17</v>
      </c>
      <c r="H8248" t="s" s="2">
        <v>19</v>
      </c>
      <c r="I8248" t="s" s="2">
        <v>31839</v>
      </c>
      <c r="J8248" t="s" s="2">
        <v>31840</v>
      </c>
      <c r="K8248" t="s" s="2">
        <v>22</v>
      </c>
      <c r="L8248" t="s" s="2">
        <v>22</v>
      </c>
      <c r="M8248" t="s" s="2">
        <v>22</v>
      </c>
    </row>
    <row r="8249" ht="25.0" customHeight="true">
      <c r="A8249" t="s" s="2">
        <v>13</v>
      </c>
      <c r="B8249" t="s" s="2">
        <f>HYPERLINK("http://ts.21cn.com/tousu/show/id/1362839","暴力催收威胁恐吓")</f>
      </c>
      <c r="C8249" t="s" s="2">
        <v>15</v>
      </c>
      <c r="D8249" t="s" s="2">
        <v>16</v>
      </c>
      <c r="E8249" t="s" s="2">
        <v>17</v>
      </c>
      <c r="F8249" t="s" s="2">
        <f>HYPERLINK("http://ts.21cn.com/tousu/show/id/1362839","http://ts.21cn.com/tousu/show/id/1362839")</f>
      </c>
      <c r="G8249" t="s" s="2">
        <v>17</v>
      </c>
      <c r="H8249" t="s" s="2">
        <v>19</v>
      </c>
      <c r="I8249" t="s" s="2">
        <v>31842</v>
      </c>
      <c r="J8249" t="s" s="2">
        <v>31843</v>
      </c>
      <c r="K8249" t="s" s="2">
        <v>22</v>
      </c>
      <c r="L8249" t="s" s="2">
        <v>22</v>
      </c>
      <c r="M8249" t="s" s="2">
        <v>22</v>
      </c>
    </row>
    <row r="8250" ht="25.0" customHeight="true">
      <c r="A8250" t="s" s="2">
        <v>13</v>
      </c>
      <c r="B8250" t="s" s="2">
        <f>HYPERLINK("http://ts.21cn.com/tousu/show/id/1362834","洋钱罐高利贷")</f>
      </c>
      <c r="C8250" t="s" s="2">
        <v>15</v>
      </c>
      <c r="D8250" t="s" s="2">
        <v>16</v>
      </c>
      <c r="E8250" t="s" s="2">
        <v>17</v>
      </c>
      <c r="F8250" t="s" s="2">
        <f>HYPERLINK("http://ts.21cn.com/tousu/show/id/1362834","http://ts.21cn.com/tousu/show/id/1362834")</f>
      </c>
      <c r="G8250" t="s" s="2">
        <v>17</v>
      </c>
      <c r="H8250" t="s" s="2">
        <v>19</v>
      </c>
      <c r="I8250" t="s" s="2">
        <v>31846</v>
      </c>
      <c r="J8250" t="s" s="2">
        <v>31847</v>
      </c>
      <c r="K8250" t="s" s="2">
        <v>22</v>
      </c>
      <c r="L8250" t="s" s="2">
        <v>22</v>
      </c>
      <c r="M8250" t="s" s="2">
        <v>22</v>
      </c>
    </row>
    <row r="8251" ht="25.0" customHeight="true">
      <c r="A8251" t="s" s="2">
        <v>13</v>
      </c>
      <c r="B8251" t="s" s="2">
        <f>HYPERLINK("http://ts.21cn.com/tousu/show/id/1362833","信而富平台高额砍头息")</f>
      </c>
      <c r="C8251" t="s" s="2">
        <v>15</v>
      </c>
      <c r="D8251" t="s" s="2">
        <v>16</v>
      </c>
      <c r="E8251" t="s" s="2">
        <v>17</v>
      </c>
      <c r="F8251" t="s" s="2">
        <f>HYPERLINK("http://ts.21cn.com/tousu/show/id/1362833","http://ts.21cn.com/tousu/show/id/1362833")</f>
      </c>
      <c r="G8251" t="s" s="2">
        <v>17</v>
      </c>
      <c r="H8251" t="s" s="2">
        <v>19</v>
      </c>
      <c r="I8251" t="s" s="2">
        <v>31850</v>
      </c>
      <c r="J8251" t="s" s="2">
        <v>31851</v>
      </c>
      <c r="K8251" t="s" s="2">
        <v>22</v>
      </c>
      <c r="L8251" t="s" s="2">
        <v>22</v>
      </c>
      <c r="M8251" t="s" s="2">
        <v>22</v>
      </c>
    </row>
    <row r="8252" ht="25.0" customHeight="true">
      <c r="A8252" t="s" s="2">
        <v>13</v>
      </c>
      <c r="B8252" t="s" s="2">
        <f>HYPERLINK("http://ts.21cn.com/tousu/show/id/1362830","恶意爆通讯录被群发短信")</f>
      </c>
      <c r="C8252" t="s" s="2">
        <v>15</v>
      </c>
      <c r="D8252" t="s" s="2">
        <v>16</v>
      </c>
      <c r="E8252" t="s" s="2">
        <v>17</v>
      </c>
      <c r="F8252" t="s" s="2">
        <f>HYPERLINK("http://ts.21cn.com/tousu/show/id/1362830","http://ts.21cn.com/tousu/show/id/1362830")</f>
      </c>
      <c r="G8252" t="s" s="2">
        <v>17</v>
      </c>
      <c r="H8252" t="s" s="2">
        <v>19</v>
      </c>
      <c r="I8252" t="s" s="2">
        <v>31854</v>
      </c>
      <c r="J8252" t="s" s="2">
        <v>31855</v>
      </c>
      <c r="K8252" t="s" s="2">
        <v>22</v>
      </c>
      <c r="L8252" t="s" s="2">
        <v>22</v>
      </c>
      <c r="M8252" t="s" s="2">
        <v>22</v>
      </c>
    </row>
    <row r="8253" ht="25.0" customHeight="true">
      <c r="A8253" t="s" s="2">
        <v>13</v>
      </c>
      <c r="B8253" t="s" s="2">
        <f>HYPERLINK("http://ts.21cn.com/tousu/show/id/1362829","万事如寓单方面违约不退房租及押金")</f>
      </c>
      <c r="C8253" t="s" s="2">
        <v>15</v>
      </c>
      <c r="D8253" t="s" s="2">
        <v>16</v>
      </c>
      <c r="E8253" t="s" s="2">
        <v>17</v>
      </c>
      <c r="F8253" t="s" s="2">
        <f>HYPERLINK("http://ts.21cn.com/tousu/show/id/1362829","http://ts.21cn.com/tousu/show/id/1362829")</f>
      </c>
      <c r="G8253" t="s" s="2">
        <v>17</v>
      </c>
      <c r="H8253" t="s" s="2">
        <v>19</v>
      </c>
      <c r="I8253" t="s" s="2">
        <v>31858</v>
      </c>
      <c r="J8253" t="s" s="2">
        <v>31859</v>
      </c>
      <c r="K8253" t="s" s="2">
        <v>22</v>
      </c>
      <c r="L8253" t="s" s="2">
        <v>22</v>
      </c>
      <c r="M8253" t="s" s="2">
        <v>22</v>
      </c>
    </row>
    <row r="8254" ht="25.0" customHeight="true">
      <c r="A8254" t="s" s="2">
        <v>13</v>
      </c>
      <c r="B8254" t="s" s="2">
        <f>HYPERLINK("http://ts.21cn.com/tousu/show/id/1362828","唯品会外包催收威胁爆通讯录")</f>
      </c>
      <c r="C8254" t="s" s="2">
        <v>15</v>
      </c>
      <c r="D8254" t="s" s="2">
        <v>16</v>
      </c>
      <c r="E8254" t="s" s="2">
        <v>17</v>
      </c>
      <c r="F8254" t="s" s="2">
        <f>HYPERLINK("http://ts.21cn.com/tousu/show/id/1362828","http://ts.21cn.com/tousu/show/id/1362828")</f>
      </c>
      <c r="G8254" t="s" s="2">
        <v>17</v>
      </c>
      <c r="H8254" t="s" s="2">
        <v>19</v>
      </c>
      <c r="I8254" t="s" s="2">
        <v>31862</v>
      </c>
      <c r="J8254" t="s" s="2">
        <v>31863</v>
      </c>
      <c r="K8254" t="s" s="2">
        <v>22</v>
      </c>
      <c r="L8254" t="s" s="2">
        <v>22</v>
      </c>
      <c r="M8254" t="s" s="2">
        <v>22</v>
      </c>
    </row>
    <row r="8255" ht="25.0" customHeight="true">
      <c r="A8255" t="s" s="2">
        <v>13</v>
      </c>
      <c r="B8255" t="s" s="2">
        <f>HYPERLINK("http://ts.21cn.com/tousu/show/id/1362827","多米贷暴力催收")</f>
      </c>
      <c r="C8255" t="s" s="2">
        <v>15</v>
      </c>
      <c r="D8255" t="s" s="2">
        <v>16</v>
      </c>
      <c r="E8255" t="s" s="2">
        <v>17</v>
      </c>
      <c r="F8255" t="s" s="2">
        <f>HYPERLINK("http://ts.21cn.com/tousu/show/id/1362827","http://ts.21cn.com/tousu/show/id/1362827")</f>
      </c>
      <c r="G8255" t="s" s="2">
        <v>17</v>
      </c>
      <c r="H8255" t="s" s="2">
        <v>19</v>
      </c>
      <c r="I8255" t="s" s="2">
        <v>31866</v>
      </c>
      <c r="J8255" t="s" s="2">
        <v>31867</v>
      </c>
      <c r="K8255" t="s" s="2">
        <v>22</v>
      </c>
      <c r="L8255" t="s" s="2">
        <v>22</v>
      </c>
      <c r="M8255" t="s" s="2">
        <v>22</v>
      </c>
    </row>
    <row r="8256" ht="25.0" customHeight="true">
      <c r="A8256" t="s" s="2">
        <v>13</v>
      </c>
      <c r="B8256" t="s" s="2">
        <f>HYPERLINK("http://ts.21cn.com/tousu/show/id/1362825","退货退款困难")</f>
      </c>
      <c r="C8256" t="s" s="2">
        <v>15</v>
      </c>
      <c r="D8256" t="s" s="2">
        <v>16</v>
      </c>
      <c r="E8256" t="s" s="2">
        <v>17</v>
      </c>
      <c r="F8256" t="s" s="2">
        <f>HYPERLINK("http://ts.21cn.com/tousu/show/id/1362825","http://ts.21cn.com/tousu/show/id/1362825")</f>
      </c>
      <c r="G8256" t="s" s="2">
        <v>17</v>
      </c>
      <c r="H8256" t="s" s="2">
        <v>19</v>
      </c>
      <c r="I8256" t="s" s="2">
        <v>31870</v>
      </c>
      <c r="J8256" t="s" s="2">
        <v>31871</v>
      </c>
      <c r="K8256" t="s" s="2">
        <v>22</v>
      </c>
      <c r="L8256" t="s" s="2">
        <v>22</v>
      </c>
      <c r="M8256" t="s" s="2">
        <v>22</v>
      </c>
    </row>
    <row r="8257" ht="25.0" customHeight="true">
      <c r="A8257" t="s" s="2">
        <v>13</v>
      </c>
      <c r="B8257" t="s" s="2">
        <f>HYPERLINK("http://ts.21cn.com/tousu/show/id/1362826","拍拍贷无视国家国定，威胁欠款人")</f>
      </c>
      <c r="C8257" t="s" s="2">
        <v>15</v>
      </c>
      <c r="D8257" t="s" s="2">
        <v>16</v>
      </c>
      <c r="E8257" t="s" s="2">
        <v>17</v>
      </c>
      <c r="F8257" t="s" s="2">
        <f>HYPERLINK("http://ts.21cn.com/tousu/show/id/1362826","http://ts.21cn.com/tousu/show/id/1362826")</f>
      </c>
      <c r="G8257" t="s" s="2">
        <v>17</v>
      </c>
      <c r="H8257" t="s" s="2">
        <v>19</v>
      </c>
      <c r="I8257" t="s" s="2">
        <v>31874</v>
      </c>
      <c r="J8257" t="s" s="2">
        <v>31875</v>
      </c>
      <c r="K8257" t="s" s="2">
        <v>22</v>
      </c>
      <c r="L8257" t="s" s="2">
        <v>22</v>
      </c>
      <c r="M8257" t="s" s="2">
        <v>22</v>
      </c>
    </row>
    <row r="8258" ht="25.0" customHeight="true">
      <c r="A8258" t="s" s="2">
        <v>13</v>
      </c>
      <c r="B8258" t="s" s="2">
        <f>HYPERLINK("http://ts.21cn.com/tousu/show/id/1362823","高利息，不能减免")</f>
      </c>
      <c r="C8258" t="s" s="2">
        <v>15</v>
      </c>
      <c r="D8258" t="s" s="2">
        <v>16</v>
      </c>
      <c r="E8258" t="s" s="2">
        <v>17</v>
      </c>
      <c r="F8258" t="s" s="2">
        <f>HYPERLINK("http://ts.21cn.com/tousu/show/id/1362823","http://ts.21cn.com/tousu/show/id/1362823")</f>
      </c>
      <c r="G8258" t="s" s="2">
        <v>17</v>
      </c>
      <c r="H8258" t="s" s="2">
        <v>19</v>
      </c>
      <c r="I8258" t="s" s="2">
        <v>31878</v>
      </c>
      <c r="J8258" t="s" s="2">
        <v>31879</v>
      </c>
      <c r="K8258" t="s" s="2">
        <v>22</v>
      </c>
      <c r="L8258" t="s" s="2">
        <v>22</v>
      </c>
      <c r="M8258" t="s" s="2">
        <v>22</v>
      </c>
    </row>
    <row r="8259" ht="25.0" customHeight="true">
      <c r="A8259" t="s" s="2">
        <v>13</v>
      </c>
      <c r="B8259" t="s" s="2">
        <f>HYPERLINK("http://ts.21cn.com/tousu/show/id/1362821","招联金融催收外包，协商未果")</f>
      </c>
      <c r="C8259" t="s" s="2">
        <v>15</v>
      </c>
      <c r="D8259" t="s" s="2">
        <v>16</v>
      </c>
      <c r="E8259" t="s" s="2">
        <v>17</v>
      </c>
      <c r="F8259" t="s" s="2">
        <f>HYPERLINK("http://ts.21cn.com/tousu/show/id/1362821","http://ts.21cn.com/tousu/show/id/1362821")</f>
      </c>
      <c r="G8259" t="s" s="2">
        <v>17</v>
      </c>
      <c r="H8259" t="s" s="2">
        <v>19</v>
      </c>
      <c r="I8259" t="s" s="2">
        <v>31882</v>
      </c>
      <c r="J8259" t="s" s="2">
        <v>31883</v>
      </c>
      <c r="K8259" t="s" s="2">
        <v>22</v>
      </c>
      <c r="L8259" t="s" s="2">
        <v>22</v>
      </c>
      <c r="M8259" t="s" s="2">
        <v>22</v>
      </c>
    </row>
    <row r="8260" ht="25.0" customHeight="true">
      <c r="A8260" t="s" s="2">
        <v>13</v>
      </c>
      <c r="B8260" t="s" s="2">
        <f>HYPERLINK("http://ts.21cn.com/tousu/show/id/1362820","花财华夏信财威胁本人")</f>
      </c>
      <c r="C8260" t="s" s="2">
        <v>15</v>
      </c>
      <c r="D8260" t="s" s="2">
        <v>16</v>
      </c>
      <c r="E8260" t="s" s="2">
        <v>17</v>
      </c>
      <c r="F8260" t="s" s="2">
        <f>HYPERLINK("http://ts.21cn.com/tousu/show/id/1362820","http://ts.21cn.com/tousu/show/id/1362820")</f>
      </c>
      <c r="G8260" t="s" s="2">
        <v>17</v>
      </c>
      <c r="H8260" t="s" s="2">
        <v>19</v>
      </c>
      <c r="I8260" t="s" s="2">
        <v>31886</v>
      </c>
      <c r="J8260" t="s" s="2">
        <v>31887</v>
      </c>
      <c r="K8260" t="s" s="2">
        <v>22</v>
      </c>
      <c r="L8260" t="s" s="2">
        <v>22</v>
      </c>
      <c r="M8260" t="s" s="2">
        <v>22</v>
      </c>
    </row>
    <row r="8261" ht="25.0" customHeight="true">
      <c r="A8261" t="s" s="2">
        <v>13</v>
      </c>
      <c r="B8261" t="s" s="2">
        <f>HYPERLINK("http://ts.21cn.com/tousu/show/id/1362822","威胁恐吓")</f>
      </c>
      <c r="C8261" t="s" s="2">
        <v>15</v>
      </c>
      <c r="D8261" t="s" s="2">
        <v>16</v>
      </c>
      <c r="E8261" t="s" s="2">
        <v>17</v>
      </c>
      <c r="F8261" t="s" s="2">
        <f>HYPERLINK("http://ts.21cn.com/tousu/show/id/1362822","http://ts.21cn.com/tousu/show/id/1362822")</f>
      </c>
      <c r="G8261" t="s" s="2">
        <v>17</v>
      </c>
      <c r="H8261" t="s" s="2">
        <v>19</v>
      </c>
      <c r="I8261" t="s" s="2">
        <v>31889</v>
      </c>
      <c r="J8261" t="s" s="2">
        <v>31890</v>
      </c>
      <c r="K8261" t="s" s="2">
        <v>22</v>
      </c>
      <c r="L8261" t="s" s="2">
        <v>22</v>
      </c>
      <c r="M8261" t="s" s="2">
        <v>22</v>
      </c>
    </row>
    <row r="8262" ht="25.0" customHeight="true">
      <c r="A8262" t="s" s="2">
        <v>13</v>
      </c>
      <c r="B8262" t="s" s="2">
        <f>HYPERLINK("http://ts.21cn.com/tousu/show/id/1362819","有用分期高利贷高利息，电话骚扰。暴力催收。要求停止催收。")</f>
      </c>
      <c r="C8262" t="s" s="2">
        <v>15</v>
      </c>
      <c r="D8262" t="s" s="2">
        <v>16</v>
      </c>
      <c r="E8262" t="s" s="2">
        <v>17</v>
      </c>
      <c r="F8262" t="s" s="2">
        <f>HYPERLINK("http://ts.21cn.com/tousu/show/id/1362819","http://ts.21cn.com/tousu/show/id/1362819")</f>
      </c>
      <c r="G8262" t="s" s="2">
        <v>17</v>
      </c>
      <c r="H8262" t="s" s="2">
        <v>19</v>
      </c>
      <c r="I8262" t="s" s="2">
        <v>31893</v>
      </c>
      <c r="J8262" t="s" s="2">
        <v>31894</v>
      </c>
      <c r="K8262" t="s" s="2">
        <v>22</v>
      </c>
      <c r="L8262" t="s" s="2">
        <v>22</v>
      </c>
      <c r="M8262" t="s" s="2">
        <v>22</v>
      </c>
    </row>
    <row r="8263" ht="25.0" customHeight="true">
      <c r="A8263" t="s" s="2">
        <v>13</v>
      </c>
      <c r="B8263" t="s" s="2">
        <f>HYPERLINK("http://ts.21cn.com/tousu/show/id/1362818","受到钱站威胁")</f>
      </c>
      <c r="C8263" t="s" s="2">
        <v>15</v>
      </c>
      <c r="D8263" t="s" s="2">
        <v>16</v>
      </c>
      <c r="E8263" t="s" s="2">
        <v>17</v>
      </c>
      <c r="F8263" t="s" s="2">
        <f>HYPERLINK("http://ts.21cn.com/tousu/show/id/1362818","http://ts.21cn.com/tousu/show/id/1362818")</f>
      </c>
      <c r="G8263" t="s" s="2">
        <v>17</v>
      </c>
      <c r="H8263" t="s" s="2">
        <v>19</v>
      </c>
      <c r="I8263" t="s" s="2">
        <v>31897</v>
      </c>
      <c r="J8263" t="s" s="2">
        <v>31898</v>
      </c>
      <c r="K8263" t="s" s="2">
        <v>22</v>
      </c>
      <c r="L8263" t="s" s="2">
        <v>22</v>
      </c>
      <c r="M8263" t="s" s="2">
        <v>22</v>
      </c>
    </row>
    <row r="8264" ht="25.0" customHeight="true">
      <c r="A8264" t="s" s="2">
        <v>13</v>
      </c>
      <c r="B8264" t="s" s="2">
        <f>HYPERLINK("http://ts.21cn.com/tousu/show/id/1362817","催收")</f>
      </c>
      <c r="C8264" t="s" s="2">
        <v>15</v>
      </c>
      <c r="D8264" t="s" s="2">
        <v>16</v>
      </c>
      <c r="E8264" t="s" s="2">
        <v>17</v>
      </c>
      <c r="F8264" t="s" s="2">
        <f>HYPERLINK("http://ts.21cn.com/tousu/show/id/1362817","http://ts.21cn.com/tousu/show/id/1362817")</f>
      </c>
      <c r="G8264" t="s" s="2">
        <v>17</v>
      </c>
      <c r="H8264" t="s" s="2">
        <v>19</v>
      </c>
      <c r="I8264" t="s" s="2">
        <v>31900</v>
      </c>
      <c r="J8264" t="s" s="2">
        <v>31901</v>
      </c>
      <c r="K8264" t="s" s="2">
        <v>22</v>
      </c>
      <c r="L8264" t="s" s="2">
        <v>22</v>
      </c>
      <c r="M8264" t="s" s="2">
        <v>22</v>
      </c>
    </row>
    <row r="8265" ht="25.0" customHeight="true">
      <c r="A8265" t="s" s="2">
        <v>13</v>
      </c>
      <c r="B8265" t="s" s="2">
        <f>HYPERLINK("http://ts.21cn.com/tousu/show/id/1362815","不知情情况下被扣款情人花app扣款商户安庆盛通信息科技有限公司")</f>
      </c>
      <c r="C8265" t="s" s="2">
        <v>15</v>
      </c>
      <c r="D8265" t="s" s="2">
        <v>16</v>
      </c>
      <c r="E8265" t="s" s="2">
        <v>17</v>
      </c>
      <c r="F8265" t="s" s="2">
        <f>HYPERLINK("http://ts.21cn.com/tousu/show/id/1362815","http://ts.21cn.com/tousu/show/id/1362815")</f>
      </c>
      <c r="G8265" t="s" s="2">
        <v>17</v>
      </c>
      <c r="H8265" t="s" s="2">
        <v>19</v>
      </c>
      <c r="I8265" t="s" s="2">
        <v>31904</v>
      </c>
      <c r="J8265" t="s" s="2">
        <v>31905</v>
      </c>
      <c r="K8265" t="s" s="2">
        <v>22</v>
      </c>
      <c r="L8265" t="s" s="2">
        <v>22</v>
      </c>
      <c r="M8265" t="s" s="2">
        <v>22</v>
      </c>
    </row>
    <row r="8266" ht="25.0" customHeight="true">
      <c r="A8266" t="s" s="2">
        <v>13</v>
      </c>
      <c r="B8266" t="s" s="2">
        <f>HYPERLINK("http://ts.21cn.com/tousu/show/id/1362257","新袋钱包高利贷套路贷")</f>
      </c>
      <c r="C8266" t="s" s="2">
        <v>15</v>
      </c>
      <c r="D8266" t="s" s="2">
        <v>16</v>
      </c>
      <c r="E8266" t="s" s="2">
        <v>17</v>
      </c>
      <c r="F8266" t="s" s="2">
        <f>HYPERLINK("http://ts.21cn.com/tousu/show/id/1362257","http://ts.21cn.com/tousu/show/id/1362257")</f>
      </c>
      <c r="G8266" t="s" s="2">
        <v>17</v>
      </c>
      <c r="H8266" t="s" s="2">
        <v>19</v>
      </c>
      <c r="I8266" t="s" s="2">
        <v>31908</v>
      </c>
      <c r="J8266" t="s" s="2">
        <v>31909</v>
      </c>
      <c r="K8266" t="s" s="2">
        <v>22</v>
      </c>
      <c r="L8266" t="s" s="2">
        <v>22</v>
      </c>
      <c r="M8266" t="s" s="2">
        <v>22</v>
      </c>
    </row>
    <row r="8267" ht="25.0" customHeight="true">
      <c r="A8267" t="s" s="2">
        <v>13</v>
      </c>
      <c r="B8267" t="s" s="2">
        <f>HYPERLINK("http://ts.21cn.com/tousu/show/id/1362814","闪电借款威胁我通讯录")</f>
      </c>
      <c r="C8267" t="s" s="2">
        <v>15</v>
      </c>
      <c r="D8267" t="s" s="2">
        <v>16</v>
      </c>
      <c r="E8267" t="s" s="2">
        <v>17</v>
      </c>
      <c r="F8267" t="s" s="2">
        <f>HYPERLINK("http://ts.21cn.com/tousu/show/id/1362814","http://ts.21cn.com/tousu/show/id/1362814")</f>
      </c>
      <c r="G8267" t="s" s="2">
        <v>17</v>
      </c>
      <c r="H8267" t="s" s="2">
        <v>19</v>
      </c>
      <c r="I8267" t="s" s="2">
        <v>31912</v>
      </c>
      <c r="J8267" t="s" s="2">
        <v>31913</v>
      </c>
      <c r="K8267" t="s" s="2">
        <v>22</v>
      </c>
      <c r="L8267" t="s" s="2">
        <v>22</v>
      </c>
      <c r="M8267" t="s" s="2">
        <v>22</v>
      </c>
    </row>
    <row r="8268" ht="25.0" customHeight="true">
      <c r="A8268" t="s" s="2">
        <v>13</v>
      </c>
      <c r="B8268" t="s" s="2">
        <f>HYPERLINK("http://ts.21cn.com/tousu/show/id/1362812","百度有钱花说要上门催收")</f>
      </c>
      <c r="C8268" t="s" s="2">
        <v>15</v>
      </c>
      <c r="D8268" t="s" s="2">
        <v>16</v>
      </c>
      <c r="E8268" t="s" s="2">
        <v>17</v>
      </c>
      <c r="F8268" t="s" s="2">
        <f>HYPERLINK("http://ts.21cn.com/tousu/show/id/1362812","http://ts.21cn.com/tousu/show/id/1362812")</f>
      </c>
      <c r="G8268" t="s" s="2">
        <v>17</v>
      </c>
      <c r="H8268" t="s" s="2">
        <v>19</v>
      </c>
      <c r="I8268" t="s" s="2">
        <v>31916</v>
      </c>
      <c r="J8268" t="s" s="2">
        <v>31917</v>
      </c>
      <c r="K8268" t="s" s="2">
        <v>22</v>
      </c>
      <c r="L8268" t="s" s="2">
        <v>22</v>
      </c>
      <c r="M8268" t="s" s="2">
        <v>22</v>
      </c>
    </row>
    <row r="8269" ht="25.0" customHeight="true">
      <c r="A8269" t="s" s="2">
        <v>13</v>
      </c>
      <c r="B8269" t="s" s="2">
        <f>HYPERLINK("http://ts.21cn.com/tousu/show/id/1362813","平安银行暴利催收辱骂单位同事")</f>
      </c>
      <c r="C8269" t="s" s="2">
        <v>15</v>
      </c>
      <c r="D8269" t="s" s="2">
        <v>16</v>
      </c>
      <c r="E8269" t="s" s="2">
        <v>17</v>
      </c>
      <c r="F8269" t="s" s="2">
        <f>HYPERLINK("http://ts.21cn.com/tousu/show/id/1362813","http://ts.21cn.com/tousu/show/id/1362813")</f>
      </c>
      <c r="G8269" t="s" s="2">
        <v>17</v>
      </c>
      <c r="H8269" t="s" s="2">
        <v>19</v>
      </c>
      <c r="I8269" t="s" s="2">
        <v>31920</v>
      </c>
      <c r="J8269" t="s" s="2">
        <v>31921</v>
      </c>
      <c r="K8269" t="s" s="2">
        <v>22</v>
      </c>
      <c r="L8269" t="s" s="2">
        <v>22</v>
      </c>
      <c r="M8269" t="s" s="2">
        <v>22</v>
      </c>
    </row>
    <row r="8270" ht="25.0" customHeight="true">
      <c r="A8270" t="s" s="2">
        <v>13</v>
      </c>
      <c r="B8270" t="s" s="2">
        <f>HYPERLINK("http://ts.21cn.com/tousu/show/id/1362811","美团生活费暴力催收，连几个小时都不肯等，就爆我通讯录")</f>
      </c>
      <c r="C8270" t="s" s="2">
        <v>15</v>
      </c>
      <c r="D8270" t="s" s="2">
        <v>16</v>
      </c>
      <c r="E8270" t="s" s="2">
        <v>17</v>
      </c>
      <c r="F8270" t="s" s="2">
        <f>HYPERLINK("http://ts.21cn.com/tousu/show/id/1362811","http://ts.21cn.com/tousu/show/id/1362811")</f>
      </c>
      <c r="G8270" t="s" s="2">
        <v>17</v>
      </c>
      <c r="H8270" t="s" s="2">
        <v>19</v>
      </c>
      <c r="I8270" t="s" s="2">
        <v>31924</v>
      </c>
      <c r="J8270" t="s" s="2">
        <v>31925</v>
      </c>
      <c r="K8270" t="s" s="2">
        <v>22</v>
      </c>
      <c r="L8270" t="s" s="2">
        <v>22</v>
      </c>
      <c r="M8270" t="s" s="2">
        <v>22</v>
      </c>
    </row>
    <row r="8271" ht="25.0" customHeight="true">
      <c r="A8271" t="s" s="2">
        <v>13</v>
      </c>
      <c r="B8271" t="s" s="2">
        <f>HYPERLINK("http://ts.21cn.com/tousu/show/id/1362808","钱橙无忧随意扣费")</f>
      </c>
      <c r="C8271" t="s" s="2">
        <v>15</v>
      </c>
      <c r="D8271" t="s" s="2">
        <v>16</v>
      </c>
      <c r="E8271" t="s" s="2">
        <v>17</v>
      </c>
      <c r="F8271" t="s" s="2">
        <f>HYPERLINK("http://ts.21cn.com/tousu/show/id/1362808","http://ts.21cn.com/tousu/show/id/1362808")</f>
      </c>
      <c r="G8271" t="s" s="2">
        <v>17</v>
      </c>
      <c r="H8271" t="s" s="2">
        <v>19</v>
      </c>
      <c r="I8271" t="s" s="2">
        <v>31927</v>
      </c>
      <c r="J8271" t="s" s="2">
        <v>31928</v>
      </c>
      <c r="K8271" t="s" s="2">
        <v>22</v>
      </c>
      <c r="L8271" t="s" s="2">
        <v>22</v>
      </c>
      <c r="M8271" t="s" s="2">
        <v>22</v>
      </c>
    </row>
    <row r="8272" ht="25.0" customHeight="true">
      <c r="A8272" t="s" s="2">
        <v>13</v>
      </c>
      <c r="B8272" t="s" s="2">
        <f>HYPERLINK("http://ts.21cn.com/tousu/show/id/1362810","海尔各种忽悠就是不退款")</f>
      </c>
      <c r="C8272" t="s" s="2">
        <v>15</v>
      </c>
      <c r="D8272" t="s" s="2">
        <v>16</v>
      </c>
      <c r="E8272" t="s" s="2">
        <v>17</v>
      </c>
      <c r="F8272" t="s" s="2">
        <f>HYPERLINK("http://ts.21cn.com/tousu/show/id/1362810","http://ts.21cn.com/tousu/show/id/1362810")</f>
      </c>
      <c r="G8272" t="s" s="2">
        <v>17</v>
      </c>
      <c r="H8272" t="s" s="2">
        <v>19</v>
      </c>
      <c r="I8272" t="s" s="2">
        <v>31931</v>
      </c>
      <c r="J8272" t="s" s="2">
        <v>31932</v>
      </c>
      <c r="K8272" t="s" s="2">
        <v>22</v>
      </c>
      <c r="L8272" t="s" s="2">
        <v>22</v>
      </c>
      <c r="M8272" t="s" s="2">
        <v>22</v>
      </c>
    </row>
    <row r="8273" ht="25.0" customHeight="true">
      <c r="A8273" t="s" s="2">
        <v>13</v>
      </c>
      <c r="B8273" t="s" s="2">
        <f>HYPERLINK("http://ts.21cn.com/tousu/show/id/1362807","小花钱包高利贷恶意催收")</f>
      </c>
      <c r="C8273" t="s" s="2">
        <v>15</v>
      </c>
      <c r="D8273" t="s" s="2">
        <v>16</v>
      </c>
      <c r="E8273" t="s" s="2">
        <v>17</v>
      </c>
      <c r="F8273" t="s" s="2">
        <f>HYPERLINK("http://ts.21cn.com/tousu/show/id/1362807","http://ts.21cn.com/tousu/show/id/1362807")</f>
      </c>
      <c r="G8273" t="s" s="2">
        <v>17</v>
      </c>
      <c r="H8273" t="s" s="2">
        <v>19</v>
      </c>
      <c r="I8273" t="s" s="2">
        <v>31935</v>
      </c>
      <c r="J8273" t="s" s="2">
        <v>31936</v>
      </c>
      <c r="K8273" t="s" s="2">
        <v>22</v>
      </c>
      <c r="L8273" t="s" s="2">
        <v>22</v>
      </c>
      <c r="M8273" t="s" s="2">
        <v>22</v>
      </c>
    </row>
    <row r="8274" ht="25.0" customHeight="true">
      <c r="A8274" t="s" s="2">
        <v>13</v>
      </c>
      <c r="B8274" t="s" s="2">
        <f>HYPERLINK("http://ts.21cn.com/tousu/show/id/1362806","宜信公司宜人贷嗜血高利贷、阴阳合同、砍头息，高额利率，账目混乱，巧立名目收取高额信息咨询服务费、高额的逾期手续。")</f>
      </c>
      <c r="C8274" t="s" s="2">
        <v>15</v>
      </c>
      <c r="D8274" t="s" s="2">
        <v>16</v>
      </c>
      <c r="E8274" t="s" s="2">
        <v>17</v>
      </c>
      <c r="F8274" t="s" s="2">
        <f>HYPERLINK("http://ts.21cn.com/tousu/show/id/1362806","http://ts.21cn.com/tousu/show/id/1362806")</f>
      </c>
      <c r="G8274" t="s" s="2">
        <v>17</v>
      </c>
      <c r="H8274" t="s" s="2">
        <v>19</v>
      </c>
      <c r="I8274" t="s" s="2">
        <v>31939</v>
      </c>
      <c r="J8274" t="s" s="2">
        <v>31940</v>
      </c>
      <c r="K8274" t="s" s="2">
        <v>22</v>
      </c>
      <c r="L8274" t="s" s="2">
        <v>22</v>
      </c>
      <c r="M8274" t="s" s="2">
        <v>22</v>
      </c>
    </row>
    <row r="8275" ht="25.0" customHeight="true">
      <c r="A8275" t="s" s="2">
        <v>13</v>
      </c>
      <c r="B8275" t="s" s="2">
        <f>HYPERLINK("http://ts.21cn.com/tousu/show/id/1362805","威胁爆通讯录")</f>
      </c>
      <c r="C8275" t="s" s="2">
        <v>15</v>
      </c>
      <c r="D8275" t="s" s="2">
        <v>16</v>
      </c>
      <c r="E8275" t="s" s="2">
        <v>17</v>
      </c>
      <c r="F8275" t="s" s="2">
        <f>HYPERLINK("http://ts.21cn.com/tousu/show/id/1362805","http://ts.21cn.com/tousu/show/id/1362805")</f>
      </c>
      <c r="G8275" t="s" s="2">
        <v>17</v>
      </c>
      <c r="H8275" t="s" s="2">
        <v>19</v>
      </c>
      <c r="I8275" t="s" s="2">
        <v>31942</v>
      </c>
      <c r="J8275" t="s" s="2">
        <v>31943</v>
      </c>
      <c r="K8275" t="s" s="2">
        <v>22</v>
      </c>
      <c r="L8275" t="s" s="2">
        <v>22</v>
      </c>
      <c r="M8275" t="s" s="2">
        <v>22</v>
      </c>
    </row>
    <row r="8276" ht="25.0" customHeight="true">
      <c r="A8276" t="s" s="2">
        <v>13</v>
      </c>
      <c r="B8276" t="s" s="2">
        <f>HYPERLINK("http://ts.21cn.com/tousu/show/id/1362804","芒果筹高利贷平台恶意造成逾期收取高昂逾期费")</f>
      </c>
      <c r="C8276" t="s" s="2">
        <v>15</v>
      </c>
      <c r="D8276" t="s" s="2">
        <v>16</v>
      </c>
      <c r="E8276" t="s" s="2">
        <v>17</v>
      </c>
      <c r="F8276" t="s" s="2">
        <f>HYPERLINK("http://ts.21cn.com/tousu/show/id/1362804","http://ts.21cn.com/tousu/show/id/1362804")</f>
      </c>
      <c r="G8276" t="s" s="2">
        <v>17</v>
      </c>
      <c r="H8276" t="s" s="2">
        <v>19</v>
      </c>
      <c r="I8276" t="s" s="2">
        <v>31946</v>
      </c>
      <c r="J8276" t="s" s="2">
        <v>31947</v>
      </c>
      <c r="K8276" t="s" s="2">
        <v>22</v>
      </c>
      <c r="L8276" t="s" s="2">
        <v>22</v>
      </c>
      <c r="M8276" t="s" s="2">
        <v>22</v>
      </c>
    </row>
    <row r="8277" ht="25.0" customHeight="true">
      <c r="A8277" t="s" s="2">
        <v>13</v>
      </c>
      <c r="B8277" t="s" s="2">
        <f>HYPERLINK("http://ts.21cn.com/tousu/show/id/1362803","未经允许刷我信用卡")</f>
      </c>
      <c r="C8277" t="s" s="2">
        <v>15</v>
      </c>
      <c r="D8277" t="s" s="2">
        <v>16</v>
      </c>
      <c r="E8277" t="s" s="2">
        <v>17</v>
      </c>
      <c r="F8277" t="s" s="2">
        <f>HYPERLINK("http://ts.21cn.com/tousu/show/id/1362803","http://ts.21cn.com/tousu/show/id/1362803")</f>
      </c>
      <c r="G8277" t="s" s="2">
        <v>17</v>
      </c>
      <c r="H8277" t="s" s="2">
        <v>19</v>
      </c>
      <c r="I8277" t="s" s="2">
        <v>31950</v>
      </c>
      <c r="J8277" t="s" s="2">
        <v>31951</v>
      </c>
      <c r="K8277" t="s" s="2">
        <v>22</v>
      </c>
      <c r="L8277" t="s" s="2">
        <v>22</v>
      </c>
      <c r="M8277" t="s" s="2">
        <v>22</v>
      </c>
    </row>
    <row r="8278" ht="25.0" customHeight="true">
      <c r="A8278" t="s" s="2">
        <v>13</v>
      </c>
      <c r="B8278" t="s" s="2">
        <f>HYPERLINK("http://ts.21cn.com/tousu/show/id/1362802","恶意催收骚扰通讯录")</f>
      </c>
      <c r="C8278" t="s" s="2">
        <v>15</v>
      </c>
      <c r="D8278" t="s" s="2">
        <v>16</v>
      </c>
      <c r="E8278" t="s" s="2">
        <v>17</v>
      </c>
      <c r="F8278" t="s" s="2">
        <f>HYPERLINK("http://ts.21cn.com/tousu/show/id/1362802","http://ts.21cn.com/tousu/show/id/1362802")</f>
      </c>
      <c r="G8278" t="s" s="2">
        <v>17</v>
      </c>
      <c r="H8278" t="s" s="2">
        <v>19</v>
      </c>
      <c r="I8278" t="s" s="2">
        <v>31953</v>
      </c>
      <c r="J8278" t="s" s="2">
        <v>31954</v>
      </c>
      <c r="K8278" t="s" s="2">
        <v>22</v>
      </c>
      <c r="L8278" t="s" s="2">
        <v>22</v>
      </c>
      <c r="M8278" t="s" s="2">
        <v>22</v>
      </c>
    </row>
    <row r="8279" ht="25.0" customHeight="true">
      <c r="A8279" t="s" s="2">
        <v>13</v>
      </c>
      <c r="B8279" t="s" s="2">
        <f>HYPERLINK("http://ts.21cn.com/tousu/show/id/1362801","拍拍贷暴力催收、恐吓、威胁人生安全")</f>
      </c>
      <c r="C8279" t="s" s="2">
        <v>15</v>
      </c>
      <c r="D8279" t="s" s="2">
        <v>16</v>
      </c>
      <c r="E8279" t="s" s="2">
        <v>17</v>
      </c>
      <c r="F8279" t="s" s="2">
        <f>HYPERLINK("http://ts.21cn.com/tousu/show/id/1362801","http://ts.21cn.com/tousu/show/id/1362801")</f>
      </c>
      <c r="G8279" t="s" s="2">
        <v>17</v>
      </c>
      <c r="H8279" t="s" s="2">
        <v>19</v>
      </c>
      <c r="I8279" t="s" s="2">
        <v>31957</v>
      </c>
      <c r="J8279" t="s" s="2">
        <v>31958</v>
      </c>
      <c r="K8279" t="s" s="2">
        <v>22</v>
      </c>
      <c r="L8279" t="s" s="2">
        <v>22</v>
      </c>
      <c r="M8279" t="s" s="2">
        <v>22</v>
      </c>
    </row>
    <row r="8280" ht="25.0" customHeight="true">
      <c r="A8280" t="s" s="2">
        <v>13</v>
      </c>
      <c r="B8280" t="s" s="2">
        <f>HYPERLINK("http://ts.21cn.com/tousu/show/id/1362799","砍头息，高利贷")</f>
      </c>
      <c r="C8280" t="s" s="2">
        <v>15</v>
      </c>
      <c r="D8280" t="s" s="2">
        <v>16</v>
      </c>
      <c r="E8280" t="s" s="2">
        <v>17</v>
      </c>
      <c r="F8280" t="s" s="2">
        <f>HYPERLINK("http://ts.21cn.com/tousu/show/id/1362799","http://ts.21cn.com/tousu/show/id/1362799")</f>
      </c>
      <c r="G8280" t="s" s="2">
        <v>17</v>
      </c>
      <c r="H8280" t="s" s="2">
        <v>19</v>
      </c>
      <c r="I8280" t="s" s="2">
        <v>31960</v>
      </c>
      <c r="J8280" t="s" s="2">
        <v>31961</v>
      </c>
      <c r="K8280" t="s" s="2">
        <v>22</v>
      </c>
      <c r="L8280" t="s" s="2">
        <v>22</v>
      </c>
      <c r="M8280" t="s" s="2">
        <v>22</v>
      </c>
    </row>
    <row r="8281" ht="25.0" customHeight="true">
      <c r="A8281" t="s" s="2">
        <v>13</v>
      </c>
      <c r="B8281" t="s" s="2">
        <f>HYPERLINK("http://ts.21cn.com/tousu/show/id/1362800","现金巴士违规收取前期费用")</f>
      </c>
      <c r="C8281" t="s" s="2">
        <v>15</v>
      </c>
      <c r="D8281" t="s" s="2">
        <v>16</v>
      </c>
      <c r="E8281" t="s" s="2">
        <v>17</v>
      </c>
      <c r="F8281" t="s" s="2">
        <f>HYPERLINK("http://ts.21cn.com/tousu/show/id/1362800","http://ts.21cn.com/tousu/show/id/1362800")</f>
      </c>
      <c r="G8281" t="s" s="2">
        <v>17</v>
      </c>
      <c r="H8281" t="s" s="2">
        <v>19</v>
      </c>
      <c r="I8281" t="s" s="2">
        <v>31963</v>
      </c>
      <c r="J8281" t="s" s="2">
        <v>31964</v>
      </c>
      <c r="K8281" t="s" s="2">
        <v>22</v>
      </c>
      <c r="L8281" t="s" s="2">
        <v>22</v>
      </c>
      <c r="M8281" t="s" s="2">
        <v>22</v>
      </c>
    </row>
    <row r="8282" ht="25.0" customHeight="true">
      <c r="A8282" t="s" s="2">
        <v>13</v>
      </c>
      <c r="B8282" t="s" s="2">
        <f>HYPERLINK("http://ts.21cn.com/tousu/show/id/1362797","投诉豆豆钱放款扣除砍头息")</f>
      </c>
      <c r="C8282" t="s" s="2">
        <v>52</v>
      </c>
      <c r="D8282" t="s" s="2">
        <v>16</v>
      </c>
      <c r="E8282" t="s" s="2">
        <v>17</v>
      </c>
      <c r="F8282" t="s" s="2">
        <f>HYPERLINK("http://ts.21cn.com/tousu/show/id/1362797","http://ts.21cn.com/tousu/show/id/1362797")</f>
      </c>
      <c r="G8282" t="s" s="2">
        <v>17</v>
      </c>
      <c r="H8282" t="s" s="2">
        <v>19</v>
      </c>
      <c r="I8282" t="s" s="2">
        <v>31967</v>
      </c>
      <c r="J8282" t="s" s="2">
        <v>31968</v>
      </c>
      <c r="K8282" t="s" s="2">
        <v>22</v>
      </c>
      <c r="L8282" t="s" s="2">
        <v>22</v>
      </c>
      <c r="M8282" t="s" s="2">
        <v>22</v>
      </c>
    </row>
    <row r="8283" ht="25.0" customHeight="true">
      <c r="A8283" t="s" s="2">
        <v>13</v>
      </c>
      <c r="B8283" t="s" s="2">
        <f>HYPERLINK("http://ts.21cn.com/tousu/show/id/1361863","佰仟金融暴力催收冒充公检法")</f>
      </c>
      <c r="C8283" t="s" s="2">
        <v>15</v>
      </c>
      <c r="D8283" t="s" s="2">
        <v>16</v>
      </c>
      <c r="E8283" t="s" s="2">
        <v>17</v>
      </c>
      <c r="F8283" t="s" s="2">
        <f>HYPERLINK("http://ts.21cn.com/tousu/show/id/1361863","http://ts.21cn.com/tousu/show/id/1361863")</f>
      </c>
      <c r="G8283" t="s" s="2">
        <v>17</v>
      </c>
      <c r="H8283" t="s" s="2">
        <v>19</v>
      </c>
      <c r="I8283" t="s" s="2">
        <v>31971</v>
      </c>
      <c r="J8283" t="s" s="2">
        <v>31972</v>
      </c>
      <c r="K8283" t="s" s="2">
        <v>22</v>
      </c>
      <c r="L8283" t="s" s="2">
        <v>22</v>
      </c>
      <c r="M8283" t="s" s="2">
        <v>22</v>
      </c>
    </row>
    <row r="8284" ht="25.0" customHeight="true">
      <c r="A8284" t="s" s="2">
        <v>13</v>
      </c>
      <c r="B8284" t="s" s="2">
        <f>HYPERLINK("http://ts.21cn.com/tousu/show/id/1362796","点投发老师带单造成巨大亏损")</f>
      </c>
      <c r="C8284" t="s" s="2">
        <v>52</v>
      </c>
      <c r="D8284" t="s" s="2">
        <v>16</v>
      </c>
      <c r="E8284" t="s" s="2">
        <v>17</v>
      </c>
      <c r="F8284" t="s" s="2">
        <f>HYPERLINK("http://ts.21cn.com/tousu/show/id/1362796","http://ts.21cn.com/tousu/show/id/1362796")</f>
      </c>
      <c r="G8284" t="s" s="2">
        <v>17</v>
      </c>
      <c r="H8284" t="s" s="2">
        <v>19</v>
      </c>
      <c r="I8284" t="s" s="2">
        <v>31975</v>
      </c>
      <c r="J8284" t="s" s="2">
        <v>31976</v>
      </c>
      <c r="K8284" t="s" s="2">
        <v>22</v>
      </c>
      <c r="L8284" t="s" s="2">
        <v>22</v>
      </c>
      <c r="M8284" t="s" s="2">
        <v>22</v>
      </c>
    </row>
    <row r="8285" ht="25.0" customHeight="true">
      <c r="A8285" t="s" s="2">
        <v>13</v>
      </c>
      <c r="B8285" t="s" s="2">
        <f>HYPERLINK("http://ts.21cn.com/tousu/show/id/1362795","拼多多监管不严，庇护无良商家，系统不显示差评信息！")</f>
      </c>
      <c r="C8285" t="s" s="2">
        <v>15</v>
      </c>
      <c r="D8285" t="s" s="2">
        <v>16</v>
      </c>
      <c r="E8285" t="s" s="2">
        <v>17</v>
      </c>
      <c r="F8285" t="s" s="2">
        <f>HYPERLINK("http://ts.21cn.com/tousu/show/id/1362795","http://ts.21cn.com/tousu/show/id/1362795")</f>
      </c>
      <c r="G8285" t="s" s="2">
        <v>17</v>
      </c>
      <c r="H8285" t="s" s="2">
        <v>19</v>
      </c>
      <c r="I8285" t="s" s="2">
        <v>31979</v>
      </c>
      <c r="J8285" t="s" s="2">
        <v>31980</v>
      </c>
      <c r="K8285" t="s" s="2">
        <v>22</v>
      </c>
      <c r="L8285" t="s" s="2">
        <v>22</v>
      </c>
      <c r="M8285" t="s" s="2">
        <v>22</v>
      </c>
    </row>
    <row r="8286" ht="25.0" customHeight="true">
      <c r="A8286" t="s" s="2">
        <v>13</v>
      </c>
      <c r="B8286" t="s" s="2">
        <f>HYPERLINK("http://ts.21cn.com/tousu/show/id/1362793","花转转樱桃小借")</f>
      </c>
      <c r="C8286" t="s" s="2">
        <v>15</v>
      </c>
      <c r="D8286" t="s" s="2">
        <v>16</v>
      </c>
      <c r="E8286" t="s" s="2">
        <v>17</v>
      </c>
      <c r="F8286" t="s" s="2">
        <f>HYPERLINK("http://ts.21cn.com/tousu/show/id/1362793","http://ts.21cn.com/tousu/show/id/1362793")</f>
      </c>
      <c r="G8286" t="s" s="2">
        <v>17</v>
      </c>
      <c r="H8286" t="s" s="2">
        <v>19</v>
      </c>
      <c r="I8286" t="s" s="2">
        <v>31983</v>
      </c>
      <c r="J8286" t="s" s="2">
        <v>31984</v>
      </c>
      <c r="K8286" t="s" s="2">
        <v>22</v>
      </c>
      <c r="L8286" t="s" s="2">
        <v>22</v>
      </c>
      <c r="M8286" t="s" s="2">
        <v>22</v>
      </c>
    </row>
    <row r="8287" ht="25.0" customHeight="true">
      <c r="A8287" t="s" s="2">
        <v>13</v>
      </c>
      <c r="B8287" t="s" s="2">
        <f>HYPERLINK("http://ts.21cn.com/tousu/show/id/1362794","聚富分期，投诉后不解决问题，电话威逼投诉者。没有退换款项！")</f>
      </c>
      <c r="C8287" t="s" s="2">
        <v>15</v>
      </c>
      <c r="D8287" t="s" s="2">
        <v>16</v>
      </c>
      <c r="E8287" t="s" s="2">
        <v>17</v>
      </c>
      <c r="F8287" t="s" s="2">
        <f>HYPERLINK("http://ts.21cn.com/tousu/show/id/1362794","http://ts.21cn.com/tousu/show/id/1362794")</f>
      </c>
      <c r="G8287" t="s" s="2">
        <v>17</v>
      </c>
      <c r="H8287" t="s" s="2">
        <v>19</v>
      </c>
      <c r="I8287" t="s" s="2">
        <v>31983</v>
      </c>
      <c r="J8287" t="s" s="2">
        <v>31987</v>
      </c>
      <c r="K8287" t="s" s="2">
        <v>22</v>
      </c>
      <c r="L8287" t="s" s="2">
        <v>22</v>
      </c>
      <c r="M8287" t="s" s="2">
        <v>22</v>
      </c>
    </row>
    <row r="8288" ht="25.0" customHeight="true">
      <c r="A8288" t="s" s="2">
        <v>13</v>
      </c>
      <c r="B8288" t="s" s="2">
        <f>HYPERLINK("http://ts.21cn.com/tousu/show/id/1362791","京东白条未与本人成功取得联系，直接爆通讯录")</f>
      </c>
      <c r="C8288" t="s" s="2">
        <v>15</v>
      </c>
      <c r="D8288" t="s" s="2">
        <v>16</v>
      </c>
      <c r="E8288" t="s" s="2">
        <v>17</v>
      </c>
      <c r="F8288" t="s" s="2">
        <f>HYPERLINK("http://ts.21cn.com/tousu/show/id/1362791","http://ts.21cn.com/tousu/show/id/1362791")</f>
      </c>
      <c r="G8288" t="s" s="2">
        <v>17</v>
      </c>
      <c r="H8288" t="s" s="2">
        <v>19</v>
      </c>
      <c r="I8288" t="s" s="2">
        <v>31990</v>
      </c>
      <c r="J8288" t="s" s="2">
        <v>31991</v>
      </c>
      <c r="K8288" t="s" s="2">
        <v>22</v>
      </c>
      <c r="L8288" t="s" s="2">
        <v>22</v>
      </c>
      <c r="M8288" t="s" s="2">
        <v>22</v>
      </c>
    </row>
    <row r="8289" ht="25.0" customHeight="true">
      <c r="A8289" t="s" s="2">
        <v>13</v>
      </c>
      <c r="B8289" t="s" s="2">
        <f>HYPERLINK("http://ts.21cn.com/tousu/show/id/1362792","不打紧急联系人，爆通讯录里面的")</f>
      </c>
      <c r="C8289" t="s" s="2">
        <v>52</v>
      </c>
      <c r="D8289" t="s" s="2">
        <v>16</v>
      </c>
      <c r="E8289" t="s" s="2">
        <v>17</v>
      </c>
      <c r="F8289" t="s" s="2">
        <f>HYPERLINK("http://ts.21cn.com/tousu/show/id/1362792","http://ts.21cn.com/tousu/show/id/1362792")</f>
      </c>
      <c r="G8289" t="s" s="2">
        <v>17</v>
      </c>
      <c r="H8289" t="s" s="2">
        <v>19</v>
      </c>
      <c r="I8289" t="s" s="2">
        <v>31994</v>
      </c>
      <c r="J8289" t="s" s="2">
        <v>31995</v>
      </c>
      <c r="K8289" t="s" s="2">
        <v>22</v>
      </c>
      <c r="L8289" t="s" s="2">
        <v>22</v>
      </c>
      <c r="M8289" t="s" s="2">
        <v>22</v>
      </c>
    </row>
    <row r="8290" ht="25.0" customHeight="true">
      <c r="A8290" t="s" s="2">
        <v>13</v>
      </c>
      <c r="B8290" t="s" s="2">
        <f>HYPERLINK("http://ts.21cn.com/tousu/show/id/1362789","钱站贷款太坑人")</f>
      </c>
      <c r="C8290" t="s" s="2">
        <v>15</v>
      </c>
      <c r="D8290" t="s" s="2">
        <v>16</v>
      </c>
      <c r="E8290" t="s" s="2">
        <v>17</v>
      </c>
      <c r="F8290" t="s" s="2">
        <f>HYPERLINK("http://ts.21cn.com/tousu/show/id/1362789","http://ts.21cn.com/tousu/show/id/1362789")</f>
      </c>
      <c r="G8290" t="s" s="2">
        <v>17</v>
      </c>
      <c r="H8290" t="s" s="2">
        <v>19</v>
      </c>
      <c r="I8290" t="s" s="2">
        <v>31998</v>
      </c>
      <c r="J8290" t="s" s="2">
        <v>31999</v>
      </c>
      <c r="K8290" t="s" s="2">
        <v>22</v>
      </c>
      <c r="L8290" t="s" s="2">
        <v>22</v>
      </c>
      <c r="M8290" t="s" s="2">
        <v>22</v>
      </c>
    </row>
    <row r="8291" ht="25.0" customHeight="true">
      <c r="A8291" t="s" s="2">
        <v>13</v>
      </c>
      <c r="B8291" t="s" s="2">
        <f>HYPERLINK("http://ts.21cn.com/tousu/show/id/1362790","好享用高利贷")</f>
      </c>
      <c r="C8291" t="s" s="2">
        <v>15</v>
      </c>
      <c r="D8291" t="s" s="2">
        <v>16</v>
      </c>
      <c r="E8291" t="s" s="2">
        <v>17</v>
      </c>
      <c r="F8291" t="s" s="2">
        <f>HYPERLINK("http://ts.21cn.com/tousu/show/id/1362790","http://ts.21cn.com/tousu/show/id/1362790")</f>
      </c>
      <c r="G8291" t="s" s="2">
        <v>17</v>
      </c>
      <c r="H8291" t="s" s="2">
        <v>19</v>
      </c>
      <c r="I8291" t="s" s="2">
        <v>32002</v>
      </c>
      <c r="J8291" t="s" s="2">
        <v>32003</v>
      </c>
      <c r="K8291" t="s" s="2">
        <v>22</v>
      </c>
      <c r="L8291" t="s" s="2">
        <v>22</v>
      </c>
      <c r="M8291" t="s" s="2">
        <v>22</v>
      </c>
    </row>
    <row r="8292" ht="25.0" customHeight="true">
      <c r="A8292" t="s" s="2">
        <v>13</v>
      </c>
      <c r="B8292" t="s" s="2">
        <f>HYPERLINK("http://ts.21cn.com/tousu/show/id/1362788","京东白条骚扰电话不断影响正常生活")</f>
      </c>
      <c r="C8292" t="s" s="2">
        <v>15</v>
      </c>
      <c r="D8292" t="s" s="2">
        <v>16</v>
      </c>
      <c r="E8292" t="s" s="2">
        <v>17</v>
      </c>
      <c r="F8292" t="s" s="2">
        <f>HYPERLINK("http://ts.21cn.com/tousu/show/id/1362788","http://ts.21cn.com/tousu/show/id/1362788")</f>
      </c>
      <c r="G8292" t="s" s="2">
        <v>17</v>
      </c>
      <c r="H8292" t="s" s="2">
        <v>19</v>
      </c>
      <c r="I8292" t="s" s="2">
        <v>32006</v>
      </c>
      <c r="J8292" t="s" s="2">
        <v>32007</v>
      </c>
      <c r="K8292" t="s" s="2">
        <v>22</v>
      </c>
      <c r="L8292" t="s" s="2">
        <v>22</v>
      </c>
      <c r="M8292" t="s" s="2">
        <v>22</v>
      </c>
    </row>
    <row r="8293" ht="25.0" customHeight="true">
      <c r="A8293" t="s" s="2">
        <v>13</v>
      </c>
      <c r="B8293" t="s" s="2">
        <f>HYPERLINK("http://ts.21cn.com/tousu/show/id/1362787","名校贷不处理")</f>
      </c>
      <c r="C8293" t="s" s="2">
        <v>15</v>
      </c>
      <c r="D8293" t="s" s="2">
        <v>16</v>
      </c>
      <c r="E8293" t="s" s="2">
        <v>17</v>
      </c>
      <c r="F8293" t="s" s="2">
        <f>HYPERLINK("http://ts.21cn.com/tousu/show/id/1362787","http://ts.21cn.com/tousu/show/id/1362787")</f>
      </c>
      <c r="G8293" t="s" s="2">
        <v>17</v>
      </c>
      <c r="H8293" t="s" s="2">
        <v>19</v>
      </c>
      <c r="I8293" t="s" s="2">
        <v>32010</v>
      </c>
      <c r="J8293" t="s" s="2">
        <v>32011</v>
      </c>
      <c r="K8293" t="s" s="2">
        <v>22</v>
      </c>
      <c r="L8293" t="s" s="2">
        <v>22</v>
      </c>
      <c r="M8293" t="s" s="2">
        <v>22</v>
      </c>
    </row>
    <row r="8294" ht="25.0" customHeight="true">
      <c r="A8294" t="s" s="2">
        <v>13</v>
      </c>
      <c r="B8294" t="s" s="2">
        <f>HYPERLINK("http://ts.21cn.com/tousu/show/id/1362786","襄阳恒昌信贷暴力催收，态度恶劣")</f>
      </c>
      <c r="C8294" t="s" s="2">
        <v>15</v>
      </c>
      <c r="D8294" t="s" s="2">
        <v>16</v>
      </c>
      <c r="E8294" t="s" s="2">
        <v>17</v>
      </c>
      <c r="F8294" t="s" s="2">
        <f>HYPERLINK("http://ts.21cn.com/tousu/show/id/1362786","http://ts.21cn.com/tousu/show/id/1362786")</f>
      </c>
      <c r="G8294" t="s" s="2">
        <v>17</v>
      </c>
      <c r="H8294" t="s" s="2">
        <v>19</v>
      </c>
      <c r="I8294" t="s" s="2">
        <v>32014</v>
      </c>
      <c r="J8294" t="s" s="2">
        <v>32015</v>
      </c>
      <c r="K8294" t="s" s="2">
        <v>22</v>
      </c>
      <c r="L8294" t="s" s="2">
        <v>22</v>
      </c>
      <c r="M8294" t="s" s="2">
        <v>22</v>
      </c>
    </row>
    <row r="8295" ht="25.0" customHeight="true">
      <c r="A8295" t="s" s="2">
        <v>13</v>
      </c>
      <c r="B8295" t="s" s="2">
        <f>HYPERLINK("http://ts.21cn.com/tousu/show/id/1362785","中国联通恶意扣款")</f>
      </c>
      <c r="C8295" t="s" s="2">
        <v>15</v>
      </c>
      <c r="D8295" t="s" s="2">
        <v>16</v>
      </c>
      <c r="E8295" t="s" s="2">
        <v>17</v>
      </c>
      <c r="F8295" t="s" s="2">
        <f>HYPERLINK("http://ts.21cn.com/tousu/show/id/1362785","http://ts.21cn.com/tousu/show/id/1362785")</f>
      </c>
      <c r="G8295" t="s" s="2">
        <v>17</v>
      </c>
      <c r="H8295" t="s" s="2">
        <v>19</v>
      </c>
      <c r="I8295" t="s" s="2">
        <v>32018</v>
      </c>
      <c r="J8295" t="s" s="2">
        <v>32019</v>
      </c>
      <c r="K8295" t="s" s="2">
        <v>22</v>
      </c>
      <c r="L8295" t="s" s="2">
        <v>22</v>
      </c>
      <c r="M8295" t="s" s="2">
        <v>22</v>
      </c>
    </row>
    <row r="8296" ht="25.0" customHeight="true">
      <c r="A8296" t="s" s="2">
        <v>13</v>
      </c>
      <c r="B8296" t="s" s="2">
        <f>HYPERLINK("http://ts.21cn.com/tousu/show/id/1362783","信用星球阴阳合同,变相收取高额砍头息")</f>
      </c>
      <c r="C8296" t="s" s="2">
        <v>15</v>
      </c>
      <c r="D8296" t="s" s="2">
        <v>16</v>
      </c>
      <c r="E8296" t="s" s="2">
        <v>17</v>
      </c>
      <c r="F8296" t="s" s="2">
        <f>HYPERLINK("http://ts.21cn.com/tousu/show/id/1362783","http://ts.21cn.com/tousu/show/id/1362783")</f>
      </c>
      <c r="G8296" t="s" s="2">
        <v>17</v>
      </c>
      <c r="H8296" t="s" s="2">
        <v>19</v>
      </c>
      <c r="I8296" t="s" s="2">
        <v>32022</v>
      </c>
      <c r="J8296" t="s" s="2">
        <v>32023</v>
      </c>
      <c r="K8296" t="s" s="2">
        <v>22</v>
      </c>
      <c r="L8296" t="s" s="2">
        <v>22</v>
      </c>
      <c r="M8296" t="s" s="2">
        <v>22</v>
      </c>
    </row>
    <row r="8297" ht="25.0" customHeight="true">
      <c r="A8297" t="s" s="2">
        <v>13</v>
      </c>
      <c r="B8297" t="s" s="2">
        <f>HYPERLINK("http://ts.21cn.com/tousu/show/id/1362782","高利贷，逾期1174元，22天收我140逾期费？")</f>
      </c>
      <c r="C8297" t="s" s="2">
        <v>15</v>
      </c>
      <c r="D8297" t="s" s="2">
        <v>16</v>
      </c>
      <c r="E8297" t="s" s="2">
        <v>17</v>
      </c>
      <c r="F8297" t="s" s="2">
        <f>HYPERLINK("http://ts.21cn.com/tousu/show/id/1362782","http://ts.21cn.com/tousu/show/id/1362782")</f>
      </c>
      <c r="G8297" t="s" s="2">
        <v>17</v>
      </c>
      <c r="H8297" t="s" s="2">
        <v>19</v>
      </c>
      <c r="I8297" t="s" s="2">
        <v>32026</v>
      </c>
      <c r="J8297" t="s" s="2">
        <v>32027</v>
      </c>
      <c r="K8297" t="s" s="2">
        <v>22</v>
      </c>
      <c r="L8297" t="s" s="2">
        <v>22</v>
      </c>
      <c r="M8297" t="s" s="2">
        <v>22</v>
      </c>
    </row>
    <row r="8298" ht="25.0" customHeight="true">
      <c r="A8298" t="s" s="2">
        <v>13</v>
      </c>
      <c r="B8298" t="s" s="2">
        <f>HYPERLINK("http://ts.21cn.com/tousu/show/id/1362781","快易花暴力催收")</f>
      </c>
      <c r="C8298" t="s" s="2">
        <v>15</v>
      </c>
      <c r="D8298" t="s" s="2">
        <v>16</v>
      </c>
      <c r="E8298" t="s" s="2">
        <v>17</v>
      </c>
      <c r="F8298" t="s" s="2">
        <f>HYPERLINK("http://ts.21cn.com/tousu/show/id/1362781","http://ts.21cn.com/tousu/show/id/1362781")</f>
      </c>
      <c r="G8298" t="s" s="2">
        <v>17</v>
      </c>
      <c r="H8298" t="s" s="2">
        <v>19</v>
      </c>
      <c r="I8298" t="s" s="2">
        <v>32030</v>
      </c>
      <c r="J8298" t="s" s="2">
        <v>32031</v>
      </c>
      <c r="K8298" t="s" s="2">
        <v>22</v>
      </c>
      <c r="L8298" t="s" s="2">
        <v>22</v>
      </c>
      <c r="M8298" t="s" s="2">
        <v>22</v>
      </c>
    </row>
    <row r="8299" ht="25.0" customHeight="true">
      <c r="A8299" t="s" s="2">
        <v>13</v>
      </c>
      <c r="B8299" t="s" s="2">
        <f>HYPERLINK("http://ts.21cn.com/tousu/show/id/1362780","人人花乱扣费")</f>
      </c>
      <c r="C8299" t="s" s="2">
        <v>15</v>
      </c>
      <c r="D8299" t="s" s="2">
        <v>16</v>
      </c>
      <c r="E8299" t="s" s="2">
        <v>17</v>
      </c>
      <c r="F8299" t="s" s="2">
        <f>HYPERLINK("http://ts.21cn.com/tousu/show/id/1362780","http://ts.21cn.com/tousu/show/id/1362780")</f>
      </c>
      <c r="G8299" t="s" s="2">
        <v>17</v>
      </c>
      <c r="H8299" t="s" s="2">
        <v>19</v>
      </c>
      <c r="I8299" t="s" s="2">
        <v>32033</v>
      </c>
      <c r="J8299" t="s" s="2">
        <v>32034</v>
      </c>
      <c r="K8299" t="s" s="2">
        <v>22</v>
      </c>
      <c r="L8299" t="s" s="2">
        <v>22</v>
      </c>
      <c r="M8299" t="s" s="2">
        <v>22</v>
      </c>
    </row>
    <row r="8300" ht="25.0" customHeight="true">
      <c r="A8300" t="s" s="2">
        <v>13</v>
      </c>
      <c r="B8300" t="s" s="2">
        <f>HYPERLINK("http://ts.21cn.com/tousu/show/id/1362777","在我银行卡明莫名其妙扣钱")</f>
      </c>
      <c r="C8300" t="s" s="2">
        <v>52</v>
      </c>
      <c r="D8300" t="s" s="2">
        <v>16</v>
      </c>
      <c r="E8300" t="s" s="2">
        <v>17</v>
      </c>
      <c r="F8300" t="s" s="2">
        <f>HYPERLINK("http://ts.21cn.com/tousu/show/id/1362777","http://ts.21cn.com/tousu/show/id/1362777")</f>
      </c>
      <c r="G8300" t="s" s="2">
        <v>17</v>
      </c>
      <c r="H8300" t="s" s="2">
        <v>19</v>
      </c>
      <c r="I8300" t="s" s="2">
        <v>32037</v>
      </c>
      <c r="J8300" t="s" s="2">
        <v>32038</v>
      </c>
      <c r="K8300" t="s" s="2">
        <v>22</v>
      </c>
      <c r="L8300" t="s" s="2">
        <v>22</v>
      </c>
      <c r="M8300" t="s" s="2">
        <v>22</v>
      </c>
    </row>
    <row r="8301" ht="25.0" customHeight="true">
      <c r="A8301" t="s" s="2">
        <v>13</v>
      </c>
      <c r="B8301" t="s" s="2">
        <f>HYPERLINK("http://ts.21cn.com/tousu/show/id/1362776","暴力催收辱骂")</f>
      </c>
      <c r="C8301" t="s" s="2">
        <v>15</v>
      </c>
      <c r="D8301" t="s" s="2">
        <v>16</v>
      </c>
      <c r="E8301" t="s" s="2">
        <v>17</v>
      </c>
      <c r="F8301" t="s" s="2">
        <f>HYPERLINK("http://ts.21cn.com/tousu/show/id/1362776","http://ts.21cn.com/tousu/show/id/1362776")</f>
      </c>
      <c r="G8301" t="s" s="2">
        <v>17</v>
      </c>
      <c r="H8301" t="s" s="2">
        <v>19</v>
      </c>
      <c r="I8301" t="s" s="2">
        <v>32041</v>
      </c>
      <c r="J8301" t="s" s="2">
        <v>32042</v>
      </c>
      <c r="K8301" t="s" s="2">
        <v>22</v>
      </c>
      <c r="L8301" t="s" s="2">
        <v>22</v>
      </c>
      <c r="M8301" t="s" s="2">
        <v>22</v>
      </c>
    </row>
    <row r="8302" ht="25.0" customHeight="true">
      <c r="A8302" t="s" s="2">
        <v>13</v>
      </c>
      <c r="B8302" t="s" s="2">
        <f>HYPERLINK("http://ts.21cn.com/tousu/show/id/1362751","趣花分期暴力催收程度令人发指，现提起诉讼")</f>
      </c>
      <c r="C8302" t="s" s="2">
        <v>15</v>
      </c>
      <c r="D8302" t="s" s="2">
        <v>16</v>
      </c>
      <c r="E8302" t="s" s="2">
        <v>17</v>
      </c>
      <c r="F8302" t="s" s="2">
        <f>HYPERLINK("http://ts.21cn.com/tousu/show/id/1362751","http://ts.21cn.com/tousu/show/id/1362751")</f>
      </c>
      <c r="G8302" t="s" s="2">
        <v>17</v>
      </c>
      <c r="H8302" t="s" s="2">
        <v>19</v>
      </c>
      <c r="I8302" t="s" s="2">
        <v>32045</v>
      </c>
      <c r="J8302" t="s" s="2">
        <v>32046</v>
      </c>
      <c r="K8302" t="s" s="2">
        <v>22</v>
      </c>
      <c r="L8302" t="s" s="2">
        <v>22</v>
      </c>
      <c r="M8302" t="s" s="2">
        <v>22</v>
      </c>
    </row>
    <row r="8303" ht="25.0" customHeight="true">
      <c r="A8303" t="s" s="2">
        <v>13</v>
      </c>
      <c r="B8303" t="s" s="2">
        <f>HYPERLINK("http://ts.21cn.com/tousu/show/id/1362775","钱站")</f>
      </c>
      <c r="C8303" t="s" s="2">
        <v>15</v>
      </c>
      <c r="D8303" t="s" s="2">
        <v>16</v>
      </c>
      <c r="E8303" t="s" s="2">
        <v>17</v>
      </c>
      <c r="F8303" t="s" s="2">
        <f>HYPERLINK("http://ts.21cn.com/tousu/show/id/1362775","http://ts.21cn.com/tousu/show/id/1362775")</f>
      </c>
      <c r="G8303" t="s" s="2">
        <v>17</v>
      </c>
      <c r="H8303" t="s" s="2">
        <v>19</v>
      </c>
      <c r="I8303" t="s" s="2">
        <v>32048</v>
      </c>
      <c r="J8303" t="s" s="2">
        <v>32049</v>
      </c>
      <c r="K8303" t="s" s="2">
        <v>22</v>
      </c>
      <c r="L8303" t="s" s="2">
        <v>22</v>
      </c>
      <c r="M8303" t="s" s="2">
        <v>22</v>
      </c>
    </row>
    <row r="8304" ht="25.0" customHeight="true">
      <c r="A8304" t="s" s="2">
        <v>13</v>
      </c>
      <c r="B8304" t="s" s="2">
        <f>HYPERLINK("http://ts.21cn.com/tousu/show/id/1362773","捷信成天骚扰电话")</f>
      </c>
      <c r="C8304" t="s" s="2">
        <v>15</v>
      </c>
      <c r="D8304" t="s" s="2">
        <v>16</v>
      </c>
      <c r="E8304" t="s" s="2">
        <v>17</v>
      </c>
      <c r="F8304" t="s" s="2">
        <f>HYPERLINK("http://ts.21cn.com/tousu/show/id/1362773","http://ts.21cn.com/tousu/show/id/1362773")</f>
      </c>
      <c r="G8304" t="s" s="2">
        <v>17</v>
      </c>
      <c r="H8304" t="s" s="2">
        <v>19</v>
      </c>
      <c r="I8304" t="s" s="2">
        <v>32052</v>
      </c>
      <c r="J8304" t="s" s="2">
        <v>32053</v>
      </c>
      <c r="K8304" t="s" s="2">
        <v>22</v>
      </c>
      <c r="L8304" t="s" s="2">
        <v>22</v>
      </c>
      <c r="M8304" t="s" s="2">
        <v>22</v>
      </c>
    </row>
    <row r="8305" ht="25.0" customHeight="true">
      <c r="A8305" t="s" s="2">
        <v>13</v>
      </c>
      <c r="B8305" t="s" s="2">
        <f>HYPERLINK("http://ts.21cn.com/tousu/show/id/1362774","蓝田县合管科")</f>
      </c>
      <c r="C8305" t="s" s="2">
        <v>15</v>
      </c>
      <c r="D8305" t="s" s="2">
        <v>16</v>
      </c>
      <c r="E8305" t="s" s="2">
        <v>17</v>
      </c>
      <c r="F8305" t="s" s="2">
        <f>HYPERLINK("http://ts.21cn.com/tousu/show/id/1362774","http://ts.21cn.com/tousu/show/id/1362774")</f>
      </c>
      <c r="G8305" t="s" s="2">
        <v>17</v>
      </c>
      <c r="H8305" t="s" s="2">
        <v>19</v>
      </c>
      <c r="I8305" t="s" s="2">
        <v>32056</v>
      </c>
      <c r="J8305" t="s" s="2">
        <v>32057</v>
      </c>
      <c r="K8305" t="s" s="2">
        <v>22</v>
      </c>
      <c r="L8305" t="s" s="2">
        <v>22</v>
      </c>
      <c r="M8305" t="s" s="2">
        <v>22</v>
      </c>
    </row>
    <row r="8306" ht="25.0" customHeight="true">
      <c r="A8306" t="s" s="2">
        <v>13</v>
      </c>
      <c r="B8306" t="s" s="2">
        <f>HYPERLINK("http://ts.21cn.com/tousu/show/id/1362771","玖富万卡客服给的对公账户不存在")</f>
      </c>
      <c r="C8306" t="s" s="2">
        <v>52</v>
      </c>
      <c r="D8306" t="s" s="2">
        <v>16</v>
      </c>
      <c r="E8306" t="s" s="2">
        <v>17</v>
      </c>
      <c r="F8306" t="s" s="2">
        <f>HYPERLINK("http://ts.21cn.com/tousu/show/id/1362771","http://ts.21cn.com/tousu/show/id/1362771")</f>
      </c>
      <c r="G8306" t="s" s="2">
        <v>17</v>
      </c>
      <c r="H8306" t="s" s="2">
        <v>19</v>
      </c>
      <c r="I8306" t="s" s="2">
        <v>32060</v>
      </c>
      <c r="J8306" t="s" s="2">
        <v>32061</v>
      </c>
      <c r="K8306" t="s" s="2">
        <v>22</v>
      </c>
      <c r="L8306" t="s" s="2">
        <v>22</v>
      </c>
      <c r="M8306" t="s" s="2">
        <v>22</v>
      </c>
    </row>
    <row r="8307" ht="25.0" customHeight="true">
      <c r="A8307" t="s" s="2">
        <v>13</v>
      </c>
      <c r="B8307" t="s" s="2">
        <f>HYPERLINK("http://ts.21cn.com/tousu/show/id/1362772","万贯街退回利息")</f>
      </c>
      <c r="C8307" t="s" s="2">
        <v>15</v>
      </c>
      <c r="D8307" t="s" s="2">
        <v>16</v>
      </c>
      <c r="E8307" t="s" s="2">
        <v>17</v>
      </c>
      <c r="F8307" t="s" s="2">
        <f>HYPERLINK("http://ts.21cn.com/tousu/show/id/1362772","http://ts.21cn.com/tousu/show/id/1362772")</f>
      </c>
      <c r="G8307" t="s" s="2">
        <v>17</v>
      </c>
      <c r="H8307" t="s" s="2">
        <v>19</v>
      </c>
      <c r="I8307" t="s" s="2">
        <v>32064</v>
      </c>
      <c r="J8307" t="s" s="2">
        <v>32065</v>
      </c>
      <c r="K8307" t="s" s="2">
        <v>22</v>
      </c>
      <c r="L8307" t="s" s="2">
        <v>22</v>
      </c>
      <c r="M8307" t="s" s="2">
        <v>22</v>
      </c>
    </row>
    <row r="8308" ht="25.0" customHeight="true">
      <c r="A8308" t="s" s="2">
        <v>13</v>
      </c>
      <c r="B8308" t="s" s="2">
        <f>HYPERLINK("http://ts.21cn.com/tousu/show/id/1362768","钱包易贷高利贷")</f>
      </c>
      <c r="C8308" t="s" s="2">
        <v>15</v>
      </c>
      <c r="D8308" t="s" s="2">
        <v>16</v>
      </c>
      <c r="E8308" t="s" s="2">
        <v>17</v>
      </c>
      <c r="F8308" t="s" s="2">
        <f>HYPERLINK("http://ts.21cn.com/tousu/show/id/1362768","http://ts.21cn.com/tousu/show/id/1362768")</f>
      </c>
      <c r="G8308" t="s" s="2">
        <v>17</v>
      </c>
      <c r="H8308" t="s" s="2">
        <v>19</v>
      </c>
      <c r="I8308" t="s" s="2">
        <v>32068</v>
      </c>
      <c r="J8308" t="s" s="2">
        <v>32069</v>
      </c>
      <c r="K8308" t="s" s="2">
        <v>22</v>
      </c>
      <c r="L8308" t="s" s="2">
        <v>22</v>
      </c>
      <c r="M8308" t="s" s="2">
        <v>22</v>
      </c>
    </row>
    <row r="8309" ht="25.0" customHeight="true">
      <c r="A8309" t="s" s="2">
        <v>13</v>
      </c>
      <c r="B8309" t="s" s="2">
        <f>HYPERLINK("http://ts.21cn.com/tousu/show/id/1362769","我来数科暴力催收！！恶意威胁！！")</f>
      </c>
      <c r="C8309" t="s" s="2">
        <v>15</v>
      </c>
      <c r="D8309" t="s" s="2">
        <v>16</v>
      </c>
      <c r="E8309" t="s" s="2">
        <v>17</v>
      </c>
      <c r="F8309" t="s" s="2">
        <f>HYPERLINK("http://ts.21cn.com/tousu/show/id/1362769","http://ts.21cn.com/tousu/show/id/1362769")</f>
      </c>
      <c r="G8309" t="s" s="2">
        <v>17</v>
      </c>
      <c r="H8309" t="s" s="2">
        <v>19</v>
      </c>
      <c r="I8309" t="s" s="2">
        <v>32072</v>
      </c>
      <c r="J8309" t="s" s="2">
        <v>32073</v>
      </c>
      <c r="K8309" t="s" s="2">
        <v>22</v>
      </c>
      <c r="L8309" t="s" s="2">
        <v>22</v>
      </c>
      <c r="M8309" t="s" s="2">
        <v>22</v>
      </c>
    </row>
    <row r="8310" ht="25.0" customHeight="true">
      <c r="A8310" t="s" s="2">
        <v>13</v>
      </c>
      <c r="B8310" t="s" s="2">
        <f>HYPERLINK("http://ts.21cn.com/tousu/show/id/1362767","人人贷高额利息，与宣传不符，套路贷")</f>
      </c>
      <c r="C8310" t="s" s="2">
        <v>15</v>
      </c>
      <c r="D8310" t="s" s="2">
        <v>16</v>
      </c>
      <c r="E8310" t="s" s="2">
        <v>17</v>
      </c>
      <c r="F8310" t="s" s="2">
        <f>HYPERLINK("http://ts.21cn.com/tousu/show/id/1362767","http://ts.21cn.com/tousu/show/id/1362767")</f>
      </c>
      <c r="G8310" t="s" s="2">
        <v>17</v>
      </c>
      <c r="H8310" t="s" s="2">
        <v>19</v>
      </c>
      <c r="I8310" t="s" s="2">
        <v>32076</v>
      </c>
      <c r="J8310" t="s" s="2">
        <v>32077</v>
      </c>
      <c r="K8310" t="s" s="2">
        <v>22</v>
      </c>
      <c r="L8310" t="s" s="2">
        <v>22</v>
      </c>
      <c r="M8310" t="s" s="2">
        <v>22</v>
      </c>
    </row>
    <row r="8311" ht="25.0" customHeight="true">
      <c r="A8311" t="s" s="2">
        <v>13</v>
      </c>
      <c r="B8311" t="s" s="2">
        <f>HYPERLINK("http://ts.21cn.com/tousu/show/id/1362766","不给协商，爆通讯录")</f>
      </c>
      <c r="C8311" t="s" s="2">
        <v>15</v>
      </c>
      <c r="D8311" t="s" s="2">
        <v>16</v>
      </c>
      <c r="E8311" t="s" s="2">
        <v>17</v>
      </c>
      <c r="F8311" t="s" s="2">
        <f>HYPERLINK("http://ts.21cn.com/tousu/show/id/1362766","http://ts.21cn.com/tousu/show/id/1362766")</f>
      </c>
      <c r="G8311" t="s" s="2">
        <v>17</v>
      </c>
      <c r="H8311" t="s" s="2">
        <v>19</v>
      </c>
      <c r="I8311" t="s" s="2">
        <v>32079</v>
      </c>
      <c r="J8311" t="s" s="2">
        <v>32080</v>
      </c>
      <c r="K8311" t="s" s="2">
        <v>22</v>
      </c>
      <c r="L8311" t="s" s="2">
        <v>22</v>
      </c>
      <c r="M8311" t="s" s="2">
        <v>22</v>
      </c>
    </row>
    <row r="8312" ht="25.0" customHeight="true">
      <c r="A8312" t="s" s="2">
        <v>13</v>
      </c>
      <c r="B8312" t="s" s="2">
        <f>HYPERLINK("http://ts.21cn.com/tousu/show/id/1362763","玖富万卡砍头息")</f>
      </c>
      <c r="C8312" t="s" s="2">
        <v>15</v>
      </c>
      <c r="D8312" t="s" s="2">
        <v>16</v>
      </c>
      <c r="E8312" t="s" s="2">
        <v>17</v>
      </c>
      <c r="F8312" t="s" s="2">
        <f>HYPERLINK("http://ts.21cn.com/tousu/show/id/1362763","http://ts.21cn.com/tousu/show/id/1362763")</f>
      </c>
      <c r="G8312" t="s" s="2">
        <v>17</v>
      </c>
      <c r="H8312" t="s" s="2">
        <v>19</v>
      </c>
      <c r="I8312" t="s" s="2">
        <v>32083</v>
      </c>
      <c r="J8312" t="s" s="2">
        <v>32084</v>
      </c>
      <c r="K8312" t="s" s="2">
        <v>22</v>
      </c>
      <c r="L8312" t="s" s="2">
        <v>22</v>
      </c>
      <c r="M8312" t="s" s="2">
        <v>22</v>
      </c>
    </row>
    <row r="8313" ht="25.0" customHeight="true">
      <c r="A8313" t="s" s="2">
        <v>13</v>
      </c>
      <c r="B8313" t="s" s="2">
        <f>HYPERLINK("http://ts.21cn.com/tousu/show/id/1362765","拼多多包庇店家以此牟利")</f>
      </c>
      <c r="C8313" t="s" s="2">
        <v>15</v>
      </c>
      <c r="D8313" t="s" s="2">
        <v>16</v>
      </c>
      <c r="E8313" t="s" s="2">
        <v>17</v>
      </c>
      <c r="F8313" t="s" s="2">
        <f>HYPERLINK("http://ts.21cn.com/tousu/show/id/1362765","http://ts.21cn.com/tousu/show/id/1362765")</f>
      </c>
      <c r="G8313" t="s" s="2">
        <v>17</v>
      </c>
      <c r="H8313" t="s" s="2">
        <v>19</v>
      </c>
      <c r="I8313" t="s" s="2">
        <v>32087</v>
      </c>
      <c r="J8313" t="s" s="2">
        <v>32088</v>
      </c>
      <c r="K8313" t="s" s="2">
        <v>22</v>
      </c>
      <c r="L8313" t="s" s="2">
        <v>22</v>
      </c>
      <c r="M8313" t="s" s="2">
        <v>22</v>
      </c>
    </row>
    <row r="8314" ht="25.0" customHeight="true">
      <c r="A8314" t="s" s="2">
        <v>13</v>
      </c>
      <c r="B8314" t="s" s="2">
        <f>HYPERLINK("http://ts.21cn.com/tousu/show/id/1362762","闲聊app")</f>
      </c>
      <c r="C8314" t="s" s="2">
        <v>15</v>
      </c>
      <c r="D8314" t="s" s="2">
        <v>16</v>
      </c>
      <c r="E8314" t="s" s="2">
        <v>17</v>
      </c>
      <c r="F8314" t="s" s="2">
        <f>HYPERLINK("http://ts.21cn.com/tousu/show/id/1362762","http://ts.21cn.com/tousu/show/id/1362762")</f>
      </c>
      <c r="G8314" t="s" s="2">
        <v>17</v>
      </c>
      <c r="H8314" t="s" s="2">
        <v>19</v>
      </c>
      <c r="I8314" t="s" s="2">
        <v>32091</v>
      </c>
      <c r="J8314" t="s" s="2">
        <v>32092</v>
      </c>
      <c r="K8314" t="s" s="2">
        <v>22</v>
      </c>
      <c r="L8314" t="s" s="2">
        <v>22</v>
      </c>
      <c r="M8314" t="s" s="2">
        <v>22</v>
      </c>
    </row>
    <row r="8315" ht="25.0" customHeight="true">
      <c r="A8315" t="s" s="2">
        <v>13</v>
      </c>
      <c r="B8315" t="s" s="2">
        <f>HYPERLINK("http://ts.21cn.com/tousu/show/id/1362764","高利贷套路贷恶意催收")</f>
      </c>
      <c r="C8315" t="s" s="2">
        <v>15</v>
      </c>
      <c r="D8315" t="s" s="2">
        <v>16</v>
      </c>
      <c r="E8315" t="s" s="2">
        <v>17</v>
      </c>
      <c r="F8315" t="s" s="2">
        <f>HYPERLINK("http://ts.21cn.com/tousu/show/id/1362764","http://ts.21cn.com/tousu/show/id/1362764")</f>
      </c>
      <c r="G8315" t="s" s="2">
        <v>17</v>
      </c>
      <c r="H8315" t="s" s="2">
        <v>19</v>
      </c>
      <c r="I8315" t="s" s="2">
        <v>32095</v>
      </c>
      <c r="J8315" t="s" s="2">
        <v>32096</v>
      </c>
      <c r="K8315" t="s" s="2">
        <v>22</v>
      </c>
      <c r="L8315" t="s" s="2">
        <v>22</v>
      </c>
      <c r="M8315" t="s" s="2">
        <v>22</v>
      </c>
    </row>
    <row r="8316" ht="25.0" customHeight="true">
      <c r="A8316" t="s" s="2">
        <v>13</v>
      </c>
      <c r="B8316" t="s" s="2">
        <f>HYPERLINK("http://ts.21cn.com/tousu/show/id/1362761","即有分期本来每月该还530元，剩最后一期了收1113")</f>
      </c>
      <c r="C8316" t="s" s="2">
        <v>15</v>
      </c>
      <c r="D8316" t="s" s="2">
        <v>16</v>
      </c>
      <c r="E8316" t="s" s="2">
        <v>17</v>
      </c>
      <c r="F8316" t="s" s="2">
        <f>HYPERLINK("http://ts.21cn.com/tousu/show/id/1362761","http://ts.21cn.com/tousu/show/id/1362761")</f>
      </c>
      <c r="G8316" t="s" s="2">
        <v>17</v>
      </c>
      <c r="H8316" t="s" s="2">
        <v>19</v>
      </c>
      <c r="I8316" t="s" s="2">
        <v>32099</v>
      </c>
      <c r="J8316" t="s" s="2">
        <v>32100</v>
      </c>
      <c r="K8316" t="s" s="2">
        <v>22</v>
      </c>
      <c r="L8316" t="s" s="2">
        <v>22</v>
      </c>
      <c r="M8316" t="s" s="2">
        <v>22</v>
      </c>
    </row>
    <row r="8317" ht="25.0" customHeight="true">
      <c r="A8317" t="s" s="2">
        <v>13</v>
      </c>
      <c r="B8317" t="s" s="2">
        <f>HYPERLINK("http://ts.21cn.com/tousu/show/id/1362760","豆豆钱威胁")</f>
      </c>
      <c r="C8317" t="s" s="2">
        <v>15</v>
      </c>
      <c r="D8317" t="s" s="2">
        <v>16</v>
      </c>
      <c r="E8317" t="s" s="2">
        <v>17</v>
      </c>
      <c r="F8317" t="s" s="2">
        <f>HYPERLINK("http://ts.21cn.com/tousu/show/id/1362760","http://ts.21cn.com/tousu/show/id/1362760")</f>
      </c>
      <c r="G8317" t="s" s="2">
        <v>17</v>
      </c>
      <c r="H8317" t="s" s="2">
        <v>19</v>
      </c>
      <c r="I8317" t="s" s="2">
        <v>32103</v>
      </c>
      <c r="J8317" t="s" s="2">
        <v>32104</v>
      </c>
      <c r="K8317" t="s" s="2">
        <v>22</v>
      </c>
      <c r="L8317" t="s" s="2">
        <v>22</v>
      </c>
      <c r="M8317" t="s" s="2">
        <v>22</v>
      </c>
    </row>
    <row r="8318" ht="25.0" customHeight="true">
      <c r="A8318" t="s" s="2">
        <v>13</v>
      </c>
      <c r="B8318" t="s" s="2">
        <f>HYPERLINK("http://ts.21cn.com/tousu/show/id/1362758","众安保险在投保人不知情的情况捆绑销售保险")</f>
      </c>
      <c r="C8318" t="s" s="2">
        <v>15</v>
      </c>
      <c r="D8318" t="s" s="2">
        <v>16</v>
      </c>
      <c r="E8318" t="s" s="2">
        <v>17</v>
      </c>
      <c r="F8318" t="s" s="2">
        <f>HYPERLINK("http://ts.21cn.com/tousu/show/id/1362758","http://ts.21cn.com/tousu/show/id/1362758")</f>
      </c>
      <c r="G8318" t="s" s="2">
        <v>17</v>
      </c>
      <c r="H8318" t="s" s="2">
        <v>19</v>
      </c>
      <c r="I8318" t="s" s="2">
        <v>32106</v>
      </c>
      <c r="J8318" t="s" s="2">
        <v>32107</v>
      </c>
      <c r="K8318" t="s" s="2">
        <v>22</v>
      </c>
      <c r="L8318" t="s" s="2">
        <v>22</v>
      </c>
      <c r="M8318" t="s" s="2">
        <v>22</v>
      </c>
    </row>
    <row r="8319" ht="25.0" customHeight="true">
      <c r="A8319" t="s" s="2">
        <v>13</v>
      </c>
      <c r="B8319" t="s" s="2">
        <f>HYPERLINK("http://ts.21cn.com/tousu/show/id/1362759","未经许可可以扣款吗？")</f>
      </c>
      <c r="C8319" t="s" s="2">
        <v>15</v>
      </c>
      <c r="D8319" t="s" s="2">
        <v>16</v>
      </c>
      <c r="E8319" t="s" s="2">
        <v>17</v>
      </c>
      <c r="F8319" t="s" s="2">
        <f>HYPERLINK("http://ts.21cn.com/tousu/show/id/1362759","http://ts.21cn.com/tousu/show/id/1362759")</f>
      </c>
      <c r="G8319" t="s" s="2">
        <v>17</v>
      </c>
      <c r="H8319" t="s" s="2">
        <v>19</v>
      </c>
      <c r="I8319" t="s" s="2">
        <v>32110</v>
      </c>
      <c r="J8319" t="s" s="2">
        <v>32111</v>
      </c>
      <c r="K8319" t="s" s="2">
        <v>22</v>
      </c>
      <c r="L8319" t="s" s="2">
        <v>22</v>
      </c>
      <c r="M8319" t="s" s="2">
        <v>22</v>
      </c>
    </row>
    <row r="8320" ht="25.0" customHeight="true">
      <c r="A8320" t="s" s="2">
        <v>13</v>
      </c>
      <c r="B8320" t="s" s="2">
        <f>HYPERLINK("http://ts.21cn.com/tousu/show/id/1362757","维信金科豆豆钱暴力催收，套路贷！砍头息！")</f>
      </c>
      <c r="C8320" t="s" s="2">
        <v>15</v>
      </c>
      <c r="D8320" t="s" s="2">
        <v>16</v>
      </c>
      <c r="E8320" t="s" s="2">
        <v>17</v>
      </c>
      <c r="F8320" t="s" s="2">
        <f>HYPERLINK("http://ts.21cn.com/tousu/show/id/1362757","http://ts.21cn.com/tousu/show/id/1362757")</f>
      </c>
      <c r="G8320" t="s" s="2">
        <v>17</v>
      </c>
      <c r="H8320" t="s" s="2">
        <v>19</v>
      </c>
      <c r="I8320" t="s" s="2">
        <v>32114</v>
      </c>
      <c r="J8320" t="s" s="2">
        <v>32115</v>
      </c>
      <c r="K8320" t="s" s="2">
        <v>22</v>
      </c>
      <c r="L8320" t="s" s="2">
        <v>22</v>
      </c>
      <c r="M8320" t="s" s="2">
        <v>22</v>
      </c>
    </row>
    <row r="8321" ht="25.0" customHeight="true">
      <c r="A8321" t="s" s="2">
        <v>13</v>
      </c>
      <c r="B8321" t="s" s="2">
        <f>HYPERLINK("http://ts.21cn.com/tousu/show/id/1362756","聚橙票务霸王条款，橙PLUS卡充值只能充值999及其倍数，余额也不能提现，卡不退不换")</f>
      </c>
      <c r="C8321" t="s" s="2">
        <v>52</v>
      </c>
      <c r="D8321" t="s" s="2">
        <v>16</v>
      </c>
      <c r="E8321" t="s" s="2">
        <v>17</v>
      </c>
      <c r="F8321" t="s" s="2">
        <f>HYPERLINK("http://ts.21cn.com/tousu/show/id/1362756","http://ts.21cn.com/tousu/show/id/1362756")</f>
      </c>
      <c r="G8321" t="s" s="2">
        <v>17</v>
      </c>
      <c r="H8321" t="s" s="2">
        <v>19</v>
      </c>
      <c r="I8321" t="s" s="2">
        <v>32118</v>
      </c>
      <c r="J8321" t="s" s="2">
        <v>32119</v>
      </c>
      <c r="K8321" t="s" s="2">
        <v>22</v>
      </c>
      <c r="L8321" t="s" s="2">
        <v>22</v>
      </c>
      <c r="M8321" t="s" s="2">
        <v>22</v>
      </c>
    </row>
    <row r="8322" ht="25.0" customHeight="true">
      <c r="A8322" t="s" s="2">
        <v>13</v>
      </c>
      <c r="B8322" t="s" s="2">
        <f>HYPERLINK("http://ts.21cn.com/tousu/show/id/1362753","中信银行信用卡暴力催收无关亲朋好友")</f>
      </c>
      <c r="C8322" t="s" s="2">
        <v>15</v>
      </c>
      <c r="D8322" t="s" s="2">
        <v>16</v>
      </c>
      <c r="E8322" t="s" s="2">
        <v>17</v>
      </c>
      <c r="F8322" t="s" s="2">
        <f>HYPERLINK("http://ts.21cn.com/tousu/show/id/1362753","http://ts.21cn.com/tousu/show/id/1362753")</f>
      </c>
      <c r="G8322" t="s" s="2">
        <v>17</v>
      </c>
      <c r="H8322" t="s" s="2">
        <v>19</v>
      </c>
      <c r="I8322" t="s" s="2">
        <v>32122</v>
      </c>
      <c r="J8322" t="s" s="2">
        <v>32123</v>
      </c>
      <c r="K8322" t="s" s="2">
        <v>22</v>
      </c>
      <c r="L8322" t="s" s="2">
        <v>22</v>
      </c>
      <c r="M8322" t="s" s="2">
        <v>22</v>
      </c>
    </row>
    <row r="8323" ht="25.0" customHeight="true">
      <c r="A8323" t="s" s="2">
        <v>13</v>
      </c>
      <c r="B8323" t="s" s="2">
        <f>HYPERLINK("http://ts.21cn.com/tousu/show/id/1362752","投诉小花钱包")</f>
      </c>
      <c r="C8323" t="s" s="2">
        <v>15</v>
      </c>
      <c r="D8323" t="s" s="2">
        <v>16</v>
      </c>
      <c r="E8323" t="s" s="2">
        <v>17</v>
      </c>
      <c r="F8323" t="s" s="2">
        <f>HYPERLINK("http://ts.21cn.com/tousu/show/id/1362752","http://ts.21cn.com/tousu/show/id/1362752")</f>
      </c>
      <c r="G8323" t="s" s="2">
        <v>17</v>
      </c>
      <c r="H8323" t="s" s="2">
        <v>19</v>
      </c>
      <c r="I8323" t="s" s="2">
        <v>32126</v>
      </c>
      <c r="J8323" t="s" s="2">
        <v>32127</v>
      </c>
      <c r="K8323" t="s" s="2">
        <v>22</v>
      </c>
      <c r="L8323" t="s" s="2">
        <v>22</v>
      </c>
      <c r="M8323" t="s" s="2">
        <v>22</v>
      </c>
    </row>
    <row r="8324" ht="25.0" customHeight="true">
      <c r="A8324" t="s" s="2">
        <v>13</v>
      </c>
      <c r="B8324" t="s" s="2">
        <f>HYPERLINK("http://ts.21cn.com/tousu/show/id/1362749","立借钱置宝app造成逾期让用户承担")</f>
      </c>
      <c r="C8324" t="s" s="2">
        <v>15</v>
      </c>
      <c r="D8324" t="s" s="2">
        <v>16</v>
      </c>
      <c r="E8324" t="s" s="2">
        <v>17</v>
      </c>
      <c r="F8324" t="s" s="2">
        <f>HYPERLINK("http://ts.21cn.com/tousu/show/id/1362749","http://ts.21cn.com/tousu/show/id/1362749")</f>
      </c>
      <c r="G8324" t="s" s="2">
        <v>17</v>
      </c>
      <c r="H8324" t="s" s="2">
        <v>19</v>
      </c>
      <c r="I8324" t="s" s="2">
        <v>32130</v>
      </c>
      <c r="J8324" t="s" s="2">
        <v>32131</v>
      </c>
      <c r="K8324" t="s" s="2">
        <v>22</v>
      </c>
      <c r="L8324" t="s" s="2">
        <v>22</v>
      </c>
      <c r="M8324" t="s" s="2">
        <v>22</v>
      </c>
    </row>
    <row r="8325" ht="25.0" customHeight="true">
      <c r="A8325" t="s" s="2">
        <v>13</v>
      </c>
      <c r="B8325" t="s" s="2">
        <f>HYPERLINK("http://ts.21cn.com/tousu/show/id/1362750","你我贷说我撤销投诉就协商结清现在不管不问")</f>
      </c>
      <c r="C8325" t="s" s="2">
        <v>15</v>
      </c>
      <c r="D8325" t="s" s="2">
        <v>16</v>
      </c>
      <c r="E8325" t="s" s="2">
        <v>17</v>
      </c>
      <c r="F8325" t="s" s="2">
        <f>HYPERLINK("http://ts.21cn.com/tousu/show/id/1362750","http://ts.21cn.com/tousu/show/id/1362750")</f>
      </c>
      <c r="G8325" t="s" s="2">
        <v>17</v>
      </c>
      <c r="H8325" t="s" s="2">
        <v>19</v>
      </c>
      <c r="I8325" t="s" s="2">
        <v>32134</v>
      </c>
      <c r="J8325" t="s" s="2">
        <v>32135</v>
      </c>
      <c r="K8325" t="s" s="2">
        <v>22</v>
      </c>
      <c r="L8325" t="s" s="2">
        <v>22</v>
      </c>
      <c r="M8325" t="s" s="2">
        <v>22</v>
      </c>
    </row>
    <row r="8326" ht="25.0" customHeight="true">
      <c r="A8326" t="s" s="2">
        <v>13</v>
      </c>
      <c r="B8326" t="s" s="2">
        <f>HYPERLINK("http://ts.21cn.com/tousu/show/id/1362748","恶意扣款")</f>
      </c>
      <c r="C8326" t="s" s="2">
        <v>15</v>
      </c>
      <c r="D8326" t="s" s="2">
        <v>16</v>
      </c>
      <c r="E8326" t="s" s="2">
        <v>17</v>
      </c>
      <c r="F8326" t="s" s="2">
        <f>HYPERLINK("http://ts.21cn.com/tousu/show/id/1362748","http://ts.21cn.com/tousu/show/id/1362748")</f>
      </c>
      <c r="G8326" t="s" s="2">
        <v>17</v>
      </c>
      <c r="H8326" t="s" s="2">
        <v>19</v>
      </c>
      <c r="I8326" t="s" s="2">
        <v>32137</v>
      </c>
      <c r="J8326" t="s" s="2">
        <v>32138</v>
      </c>
      <c r="K8326" t="s" s="2">
        <v>22</v>
      </c>
      <c r="L8326" t="s" s="2">
        <v>22</v>
      </c>
      <c r="M8326" t="s" s="2">
        <v>22</v>
      </c>
    </row>
    <row r="8327" ht="25.0" customHeight="true">
      <c r="A8327" t="s" s="2">
        <v>13</v>
      </c>
      <c r="B8327" t="s" s="2">
        <f>HYPERLINK("http://ts.21cn.com/tousu/show/id/1362746","活力花暴利催收辱骂骚扰我亲朋好友，")</f>
      </c>
      <c r="C8327" t="s" s="2">
        <v>15</v>
      </c>
      <c r="D8327" t="s" s="2">
        <v>16</v>
      </c>
      <c r="E8327" t="s" s="2">
        <v>17</v>
      </c>
      <c r="F8327" t="s" s="2">
        <f>HYPERLINK("http://ts.21cn.com/tousu/show/id/1362746","http://ts.21cn.com/tousu/show/id/1362746")</f>
      </c>
      <c r="G8327" t="s" s="2">
        <v>17</v>
      </c>
      <c r="H8327" t="s" s="2">
        <v>19</v>
      </c>
      <c r="I8327" t="s" s="2">
        <v>32141</v>
      </c>
      <c r="J8327" t="s" s="2">
        <v>32142</v>
      </c>
      <c r="K8327" t="s" s="2">
        <v>22</v>
      </c>
      <c r="L8327" t="s" s="2">
        <v>22</v>
      </c>
      <c r="M8327" t="s" s="2">
        <v>22</v>
      </c>
    </row>
    <row r="8328" ht="25.0" customHeight="true">
      <c r="A8328" t="s" s="2">
        <v>13</v>
      </c>
      <c r="B8328" t="s" s="2">
        <f>HYPERLINK("http://ts.21cn.com/tousu/show/id/1362747","想还款找不到还款入口")</f>
      </c>
      <c r="C8328" t="s" s="2">
        <v>15</v>
      </c>
      <c r="D8328" t="s" s="2">
        <v>16</v>
      </c>
      <c r="E8328" t="s" s="2">
        <v>17</v>
      </c>
      <c r="F8328" t="s" s="2">
        <f>HYPERLINK("http://ts.21cn.com/tousu/show/id/1362747","http://ts.21cn.com/tousu/show/id/1362747")</f>
      </c>
      <c r="G8328" t="s" s="2">
        <v>17</v>
      </c>
      <c r="H8328" t="s" s="2">
        <v>19</v>
      </c>
      <c r="I8328" t="s" s="2">
        <v>32145</v>
      </c>
      <c r="J8328" t="s" s="2">
        <v>32146</v>
      </c>
      <c r="K8328" t="s" s="2">
        <v>22</v>
      </c>
      <c r="L8328" t="s" s="2">
        <v>22</v>
      </c>
      <c r="M8328" t="s" s="2">
        <v>22</v>
      </c>
    </row>
    <row r="8329" ht="25.0" customHeight="true">
      <c r="A8329" t="s" s="2">
        <v>13</v>
      </c>
      <c r="B8329" t="s" s="2">
        <f>HYPERLINK("http://ts.21cn.com/tousu/show/id/1362745","有钱花爆通讯录骚扰")</f>
      </c>
      <c r="C8329" t="s" s="2">
        <v>15</v>
      </c>
      <c r="D8329" t="s" s="2">
        <v>16</v>
      </c>
      <c r="E8329" t="s" s="2">
        <v>17</v>
      </c>
      <c r="F8329" t="s" s="2">
        <f>HYPERLINK("http://ts.21cn.com/tousu/show/id/1362745","http://ts.21cn.com/tousu/show/id/1362745")</f>
      </c>
      <c r="G8329" t="s" s="2">
        <v>17</v>
      </c>
      <c r="H8329" t="s" s="2">
        <v>19</v>
      </c>
      <c r="I8329" t="s" s="2">
        <v>32145</v>
      </c>
      <c r="J8329" t="s" s="2">
        <v>32149</v>
      </c>
      <c r="K8329" t="s" s="2">
        <v>22</v>
      </c>
      <c r="L8329" t="s" s="2">
        <v>22</v>
      </c>
      <c r="M8329" t="s" s="2">
        <v>22</v>
      </c>
    </row>
    <row r="8330" ht="25.0" customHeight="true">
      <c r="A8330" t="s" s="2">
        <v>13</v>
      </c>
      <c r="B8330" t="s" s="2">
        <f>HYPERLINK("http://ts.21cn.com/tousu/show/id/1362743","广发银行客服诱导威胁恐吓客户，暴力催收！！")</f>
      </c>
      <c r="C8330" t="s" s="2">
        <v>15</v>
      </c>
      <c r="D8330" t="s" s="2">
        <v>16</v>
      </c>
      <c r="E8330" t="s" s="2">
        <v>17</v>
      </c>
      <c r="F8330" t="s" s="2">
        <f>HYPERLINK("http://ts.21cn.com/tousu/show/id/1362743","http://ts.21cn.com/tousu/show/id/1362743")</f>
      </c>
      <c r="G8330" t="s" s="2">
        <v>17</v>
      </c>
      <c r="H8330" t="s" s="2">
        <v>19</v>
      </c>
      <c r="I8330" t="s" s="2">
        <v>32152</v>
      </c>
      <c r="J8330" t="s" s="2">
        <v>32153</v>
      </c>
      <c r="K8330" t="s" s="2">
        <v>22</v>
      </c>
      <c r="L8330" t="s" s="2">
        <v>22</v>
      </c>
      <c r="M8330" t="s" s="2">
        <v>22</v>
      </c>
    </row>
    <row r="8331" ht="25.0" customHeight="true">
      <c r="A8331" t="s" s="2">
        <v>13</v>
      </c>
      <c r="B8331" t="s" s="2">
        <f>HYPERLINK("http://ts.21cn.com/tousu/show/id/1362742","高利贷，阴阳合同，恶意砍头息")</f>
      </c>
      <c r="C8331" t="s" s="2">
        <v>15</v>
      </c>
      <c r="D8331" t="s" s="2">
        <v>16</v>
      </c>
      <c r="E8331" t="s" s="2">
        <v>17</v>
      </c>
      <c r="F8331" t="s" s="2">
        <f>HYPERLINK("http://ts.21cn.com/tousu/show/id/1362742","http://ts.21cn.com/tousu/show/id/1362742")</f>
      </c>
      <c r="G8331" t="s" s="2">
        <v>17</v>
      </c>
      <c r="H8331" t="s" s="2">
        <v>19</v>
      </c>
      <c r="I8331" t="s" s="2">
        <v>32156</v>
      </c>
      <c r="J8331" t="s" s="2">
        <v>32157</v>
      </c>
      <c r="K8331" t="s" s="2">
        <v>22</v>
      </c>
      <c r="L8331" t="s" s="2">
        <v>22</v>
      </c>
      <c r="M8331" t="s" s="2">
        <v>22</v>
      </c>
    </row>
    <row r="8332" ht="25.0" customHeight="true">
      <c r="A8332" t="s" s="2">
        <v>13</v>
      </c>
      <c r="B8332" t="s" s="2">
        <f>HYPERLINK("http://ts.21cn.com/tousu/show/id/1362741","壹心分期砍头息")</f>
      </c>
      <c r="C8332" t="s" s="2">
        <v>15</v>
      </c>
      <c r="D8332" t="s" s="2">
        <v>16</v>
      </c>
      <c r="E8332" t="s" s="2">
        <v>17</v>
      </c>
      <c r="F8332" t="s" s="2">
        <f>HYPERLINK("http://ts.21cn.com/tousu/show/id/1362741","http://ts.21cn.com/tousu/show/id/1362741")</f>
      </c>
      <c r="G8332" t="s" s="2">
        <v>17</v>
      </c>
      <c r="H8332" t="s" s="2">
        <v>19</v>
      </c>
      <c r="I8332" t="s" s="2">
        <v>32160</v>
      </c>
      <c r="J8332" t="s" s="2">
        <v>32161</v>
      </c>
      <c r="K8332" t="s" s="2">
        <v>22</v>
      </c>
      <c r="L8332" t="s" s="2">
        <v>22</v>
      </c>
      <c r="M8332" t="s" s="2">
        <v>22</v>
      </c>
    </row>
    <row r="8333" ht="25.0" customHeight="true">
      <c r="A8333" t="s" s="2">
        <v>13</v>
      </c>
      <c r="B8333" t="s" s="2">
        <f>HYPERLINK("http://ts.21cn.com/tousu/show/id/1362740","你我贷高利贷催收威胁恐吓")</f>
      </c>
      <c r="C8333" t="s" s="2">
        <v>15</v>
      </c>
      <c r="D8333" t="s" s="2">
        <v>16</v>
      </c>
      <c r="E8333" t="s" s="2">
        <v>17</v>
      </c>
      <c r="F8333" t="s" s="2">
        <f>HYPERLINK("http://ts.21cn.com/tousu/show/id/1362740","http://ts.21cn.com/tousu/show/id/1362740")</f>
      </c>
      <c r="G8333" t="s" s="2">
        <v>17</v>
      </c>
      <c r="H8333" t="s" s="2">
        <v>19</v>
      </c>
      <c r="I8333" t="s" s="2">
        <v>32164</v>
      </c>
      <c r="J8333" t="s" s="2">
        <v>32165</v>
      </c>
      <c r="K8333" t="s" s="2">
        <v>22</v>
      </c>
      <c r="L8333" t="s" s="2">
        <v>22</v>
      </c>
      <c r="M8333" t="s" s="2">
        <v>22</v>
      </c>
    </row>
    <row r="8334" ht="25.0" customHeight="true">
      <c r="A8334" t="s" s="2">
        <v>13</v>
      </c>
      <c r="B8334" t="s" s="2">
        <f>HYPERLINK("http://ts.21cn.com/tousu/show/id/1362738","钱站提前结清高利贷不减免利息")</f>
      </c>
      <c r="C8334" t="s" s="2">
        <v>15</v>
      </c>
      <c r="D8334" t="s" s="2">
        <v>16</v>
      </c>
      <c r="E8334" t="s" s="2">
        <v>17</v>
      </c>
      <c r="F8334" t="s" s="2">
        <f>HYPERLINK("http://ts.21cn.com/tousu/show/id/1362738","http://ts.21cn.com/tousu/show/id/1362738")</f>
      </c>
      <c r="G8334" t="s" s="2">
        <v>17</v>
      </c>
      <c r="H8334" t="s" s="2">
        <v>19</v>
      </c>
      <c r="I8334" t="s" s="2">
        <v>32168</v>
      </c>
      <c r="J8334" t="s" s="2">
        <v>32169</v>
      </c>
      <c r="K8334" t="s" s="2">
        <v>22</v>
      </c>
      <c r="L8334" t="s" s="2">
        <v>22</v>
      </c>
      <c r="M8334" t="s" s="2">
        <v>22</v>
      </c>
    </row>
    <row r="8335" ht="25.0" customHeight="true">
      <c r="A8335" t="s" s="2">
        <v>13</v>
      </c>
      <c r="B8335" t="s" s="2">
        <f>HYPERLINK("http://ts.21cn.com/tousu/show/id/1362736","首汽约车司机辱骂乘客并强行赶乘客在马路中心下车")</f>
      </c>
      <c r="C8335" t="s" s="2">
        <v>15</v>
      </c>
      <c r="D8335" t="s" s="2">
        <v>16</v>
      </c>
      <c r="E8335" t="s" s="2">
        <v>17</v>
      </c>
      <c r="F8335" t="s" s="2">
        <f>HYPERLINK("http://ts.21cn.com/tousu/show/id/1362736","http://ts.21cn.com/tousu/show/id/1362736")</f>
      </c>
      <c r="G8335" t="s" s="2">
        <v>17</v>
      </c>
      <c r="H8335" t="s" s="2">
        <v>19</v>
      </c>
      <c r="I8335" t="s" s="2">
        <v>32172</v>
      </c>
      <c r="J8335" t="s" s="2">
        <v>32173</v>
      </c>
      <c r="K8335" t="s" s="2">
        <v>22</v>
      </c>
      <c r="L8335" t="s" s="2">
        <v>22</v>
      </c>
      <c r="M8335" t="s" s="2">
        <v>22</v>
      </c>
    </row>
    <row r="8336" ht="25.0" customHeight="true">
      <c r="A8336" t="s" s="2">
        <v>13</v>
      </c>
      <c r="B8336" t="s" s="2">
        <f>HYPERLINK("http://ts.21cn.com/tousu/show/id/1362735","轰炸催收")</f>
      </c>
      <c r="C8336" t="s" s="2">
        <v>15</v>
      </c>
      <c r="D8336" t="s" s="2">
        <v>16</v>
      </c>
      <c r="E8336" t="s" s="2">
        <v>17</v>
      </c>
      <c r="F8336" t="s" s="2">
        <f>HYPERLINK("http://ts.21cn.com/tousu/show/id/1362735","http://ts.21cn.com/tousu/show/id/1362735")</f>
      </c>
      <c r="G8336" t="s" s="2">
        <v>17</v>
      </c>
      <c r="H8336" t="s" s="2">
        <v>19</v>
      </c>
      <c r="I8336" t="s" s="2">
        <v>32176</v>
      </c>
      <c r="J8336" t="s" s="2">
        <v>32177</v>
      </c>
      <c r="K8336" t="s" s="2">
        <v>22</v>
      </c>
      <c r="L8336" t="s" s="2">
        <v>22</v>
      </c>
      <c r="M8336" t="s" s="2">
        <v>22</v>
      </c>
    </row>
    <row r="8337" ht="25.0" customHeight="true">
      <c r="A8337" t="s" s="2">
        <v>13</v>
      </c>
      <c r="B8337" t="s" s="2">
        <f>HYPERLINK("http://ts.21cn.com/tousu/show/id/1362737","玖富万卡擅自改写合同，变相收取费用，高利贷")</f>
      </c>
      <c r="C8337" t="s" s="2">
        <v>15</v>
      </c>
      <c r="D8337" t="s" s="2">
        <v>16</v>
      </c>
      <c r="E8337" t="s" s="2">
        <v>17</v>
      </c>
      <c r="F8337" t="s" s="2">
        <f>HYPERLINK("http://ts.21cn.com/tousu/show/id/1362737","http://ts.21cn.com/tousu/show/id/1362737")</f>
      </c>
      <c r="G8337" t="s" s="2">
        <v>17</v>
      </c>
      <c r="H8337" t="s" s="2">
        <v>19</v>
      </c>
      <c r="I8337" t="s" s="2">
        <v>32179</v>
      </c>
      <c r="J8337" t="s" s="2">
        <v>32180</v>
      </c>
      <c r="K8337" t="s" s="2">
        <v>22</v>
      </c>
      <c r="L8337" t="s" s="2">
        <v>22</v>
      </c>
      <c r="M8337" t="s" s="2">
        <v>22</v>
      </c>
    </row>
    <row r="8338" ht="25.0" customHeight="true">
      <c r="A8338" t="s" s="2">
        <v>13</v>
      </c>
      <c r="B8338" t="s" s="2">
        <f>HYPERLINK("http://ts.21cn.com/tousu/show/id/1362713","360借条爆通讯录，拒绝协商")</f>
      </c>
      <c r="C8338" t="s" s="2">
        <v>15</v>
      </c>
      <c r="D8338" t="s" s="2">
        <v>16</v>
      </c>
      <c r="E8338" t="s" s="2">
        <v>17</v>
      </c>
      <c r="F8338" t="s" s="2">
        <f>HYPERLINK("http://ts.21cn.com/tousu/show/id/1362713","http://ts.21cn.com/tousu/show/id/1362713")</f>
      </c>
      <c r="G8338" t="s" s="2">
        <v>17</v>
      </c>
      <c r="H8338" t="s" s="2">
        <v>19</v>
      </c>
      <c r="I8338" t="s" s="2">
        <v>32183</v>
      </c>
      <c r="J8338" t="s" s="2">
        <v>32184</v>
      </c>
      <c r="K8338" t="s" s="2">
        <v>22</v>
      </c>
      <c r="L8338" t="s" s="2">
        <v>22</v>
      </c>
      <c r="M8338" t="s" s="2">
        <v>22</v>
      </c>
    </row>
    <row r="8339" ht="25.0" customHeight="true">
      <c r="A8339" t="s" s="2">
        <v>13</v>
      </c>
      <c r="B8339" t="s" s="2">
        <f>HYPERLINK("http://ts.21cn.com/tousu/show/id/1362733","客服与我联系")</f>
      </c>
      <c r="C8339" t="s" s="2">
        <v>52</v>
      </c>
      <c r="D8339" t="s" s="2">
        <v>16</v>
      </c>
      <c r="E8339" t="s" s="2">
        <v>17</v>
      </c>
      <c r="F8339" t="s" s="2">
        <f>HYPERLINK("http://ts.21cn.com/tousu/show/id/1362733","http://ts.21cn.com/tousu/show/id/1362733")</f>
      </c>
      <c r="G8339" t="s" s="2">
        <v>17</v>
      </c>
      <c r="H8339" t="s" s="2">
        <v>19</v>
      </c>
      <c r="I8339" t="s" s="2">
        <v>32187</v>
      </c>
      <c r="J8339" t="s" s="2">
        <v>32188</v>
      </c>
      <c r="K8339" t="s" s="2">
        <v>22</v>
      </c>
      <c r="L8339" t="s" s="2">
        <v>22</v>
      </c>
      <c r="M8339" t="s" s="2">
        <v>22</v>
      </c>
    </row>
    <row r="8340" ht="25.0" customHeight="true">
      <c r="A8340" t="s" s="2">
        <v>13</v>
      </c>
      <c r="B8340" t="s" s="2">
        <f>HYPERLINK("http://ts.21cn.com/tousu/show/id/1362732","惠花花贷款APP已强制购买商品方式砍头息")</f>
      </c>
      <c r="C8340" t="s" s="2">
        <v>15</v>
      </c>
      <c r="D8340" t="s" s="2">
        <v>16</v>
      </c>
      <c r="E8340" t="s" s="2">
        <v>17</v>
      </c>
      <c r="F8340" t="s" s="2">
        <f>HYPERLINK("http://ts.21cn.com/tousu/show/id/1362732","http://ts.21cn.com/tousu/show/id/1362732")</f>
      </c>
      <c r="G8340" t="s" s="2">
        <v>17</v>
      </c>
      <c r="H8340" t="s" s="2">
        <v>19</v>
      </c>
      <c r="I8340" t="s" s="2">
        <v>32191</v>
      </c>
      <c r="J8340" t="s" s="2">
        <v>32192</v>
      </c>
      <c r="K8340" t="s" s="2">
        <v>22</v>
      </c>
      <c r="L8340" t="s" s="2">
        <v>22</v>
      </c>
      <c r="M8340" t="s" s="2">
        <v>22</v>
      </c>
    </row>
    <row r="8341" ht="25.0" customHeight="true">
      <c r="A8341" t="s" s="2">
        <v>13</v>
      </c>
      <c r="B8341" t="s" s="2">
        <f>HYPERLINK("http://ts.21cn.com/tousu/show/id/1362734","造艺科技扣款")</f>
      </c>
      <c r="C8341" t="s" s="2">
        <v>15</v>
      </c>
      <c r="D8341" t="s" s="2">
        <v>16</v>
      </c>
      <c r="E8341" t="s" s="2">
        <v>17</v>
      </c>
      <c r="F8341" t="s" s="2">
        <f>HYPERLINK("http://ts.21cn.com/tousu/show/id/1362734","http://ts.21cn.com/tousu/show/id/1362734")</f>
      </c>
      <c r="G8341" t="s" s="2">
        <v>17</v>
      </c>
      <c r="H8341" t="s" s="2">
        <v>19</v>
      </c>
      <c r="I8341" t="s" s="2">
        <v>32195</v>
      </c>
      <c r="J8341" t="s" s="2">
        <v>32196</v>
      </c>
      <c r="K8341" t="s" s="2">
        <v>22</v>
      </c>
      <c r="L8341" t="s" s="2">
        <v>22</v>
      </c>
      <c r="M8341" t="s" s="2">
        <v>22</v>
      </c>
    </row>
    <row r="8342" ht="25.0" customHeight="true">
      <c r="A8342" t="s" s="2">
        <v>13</v>
      </c>
      <c r="B8342" t="s" s="2">
        <f>HYPERLINK("http://ts.21cn.com/tousu/show/id/1362707","诱导充值，拒不退款，提无理要求")</f>
      </c>
      <c r="C8342" t="s" s="2">
        <v>15</v>
      </c>
      <c r="D8342" t="s" s="2">
        <v>16</v>
      </c>
      <c r="E8342" t="s" s="2">
        <v>17</v>
      </c>
      <c r="F8342" t="s" s="2">
        <f>HYPERLINK("http://ts.21cn.com/tousu/show/id/1362707","http://ts.21cn.com/tousu/show/id/1362707")</f>
      </c>
      <c r="G8342" t="s" s="2">
        <v>17</v>
      </c>
      <c r="H8342" t="s" s="2">
        <v>19</v>
      </c>
      <c r="I8342" t="s" s="2">
        <v>32199</v>
      </c>
      <c r="J8342" t="s" s="2">
        <v>32200</v>
      </c>
      <c r="K8342" t="s" s="2">
        <v>22</v>
      </c>
      <c r="L8342" t="s" s="2">
        <v>22</v>
      </c>
      <c r="M8342" t="s" s="2">
        <v>22</v>
      </c>
    </row>
    <row r="8343" ht="25.0" customHeight="true">
      <c r="A8343" t="s" s="2">
        <v>13</v>
      </c>
      <c r="B8343" t="s" s="2">
        <f>HYPERLINK("http://ts.21cn.com/tousu/show/id/1362730","自由魔卡六便士高额砍头")</f>
      </c>
      <c r="C8343" t="s" s="2">
        <v>52</v>
      </c>
      <c r="D8343" t="s" s="2">
        <v>16</v>
      </c>
      <c r="E8343" t="s" s="2">
        <v>17</v>
      </c>
      <c r="F8343" t="s" s="2">
        <f>HYPERLINK("http://ts.21cn.com/tousu/show/id/1362730","http://ts.21cn.com/tousu/show/id/1362730")</f>
      </c>
      <c r="G8343" t="s" s="2">
        <v>17</v>
      </c>
      <c r="H8343" t="s" s="2">
        <v>19</v>
      </c>
      <c r="I8343" t="s" s="2">
        <v>32203</v>
      </c>
      <c r="J8343" t="s" s="2">
        <v>32204</v>
      </c>
      <c r="K8343" t="s" s="2">
        <v>22</v>
      </c>
      <c r="L8343" t="s" s="2">
        <v>22</v>
      </c>
      <c r="M8343" t="s" s="2">
        <v>22</v>
      </c>
    </row>
    <row r="8344" ht="25.0" customHeight="true">
      <c r="A8344" t="s" s="2">
        <v>13</v>
      </c>
      <c r="B8344" t="s" s="2">
        <f>HYPERLINK("http://ts.21cn.com/tousu/show/id/1362729","广发银行提前还款剩余手续费照样收")</f>
      </c>
      <c r="C8344" t="s" s="2">
        <v>15</v>
      </c>
      <c r="D8344" t="s" s="2">
        <v>16</v>
      </c>
      <c r="E8344" t="s" s="2">
        <v>17</v>
      </c>
      <c r="F8344" t="s" s="2">
        <f>HYPERLINK("http://ts.21cn.com/tousu/show/id/1362729","http://ts.21cn.com/tousu/show/id/1362729")</f>
      </c>
      <c r="G8344" t="s" s="2">
        <v>17</v>
      </c>
      <c r="H8344" t="s" s="2">
        <v>19</v>
      </c>
      <c r="I8344" t="s" s="2">
        <v>32207</v>
      </c>
      <c r="J8344" t="s" s="2">
        <v>32208</v>
      </c>
      <c r="K8344" t="s" s="2">
        <v>22</v>
      </c>
      <c r="L8344" t="s" s="2">
        <v>22</v>
      </c>
      <c r="M8344" t="s" s="2">
        <v>22</v>
      </c>
    </row>
    <row r="8345" ht="25.0" customHeight="true">
      <c r="A8345" t="s" s="2">
        <v>13</v>
      </c>
      <c r="B8345" t="s" s="2">
        <f>HYPERLINK("http://ts.21cn.com/tousu/show/id/1362728","51人品贷高利贷，暴利催收骚扰联系人")</f>
      </c>
      <c r="C8345" t="s" s="2">
        <v>15</v>
      </c>
      <c r="D8345" t="s" s="2">
        <v>16</v>
      </c>
      <c r="E8345" t="s" s="2">
        <v>17</v>
      </c>
      <c r="F8345" t="s" s="2">
        <f>HYPERLINK("http://ts.21cn.com/tousu/show/id/1362728","http://ts.21cn.com/tousu/show/id/1362728")</f>
      </c>
      <c r="G8345" t="s" s="2">
        <v>17</v>
      </c>
      <c r="H8345" t="s" s="2">
        <v>19</v>
      </c>
      <c r="I8345" t="s" s="2">
        <v>32211</v>
      </c>
      <c r="J8345" t="s" s="2">
        <v>32212</v>
      </c>
      <c r="K8345" t="s" s="2">
        <v>22</v>
      </c>
      <c r="L8345" t="s" s="2">
        <v>22</v>
      </c>
      <c r="M8345" t="s" s="2">
        <v>22</v>
      </c>
    </row>
    <row r="8346" ht="25.0" customHeight="true">
      <c r="A8346" t="s" s="2">
        <v>13</v>
      </c>
      <c r="B8346" t="s" s="2">
        <f>HYPERLINK("http://ts.21cn.com/tousu/show/id/1362727","杉德支付为违规平台提供支付服务，提供支付通道，包括714")</f>
      </c>
      <c r="C8346" t="s" s="2">
        <v>15</v>
      </c>
      <c r="D8346" t="s" s="2">
        <v>16</v>
      </c>
      <c r="E8346" t="s" s="2">
        <v>17</v>
      </c>
      <c r="F8346" t="s" s="2">
        <f>HYPERLINK("http://ts.21cn.com/tousu/show/id/1362727","http://ts.21cn.com/tousu/show/id/1362727")</f>
      </c>
      <c r="G8346" t="s" s="2">
        <v>17</v>
      </c>
      <c r="H8346" t="s" s="2">
        <v>19</v>
      </c>
      <c r="I8346" t="s" s="2">
        <v>32215</v>
      </c>
      <c r="J8346" t="s" s="2">
        <v>32216</v>
      </c>
      <c r="K8346" t="s" s="2">
        <v>22</v>
      </c>
      <c r="L8346" t="s" s="2">
        <v>22</v>
      </c>
      <c r="M8346" t="s" s="2">
        <v>22</v>
      </c>
    </row>
    <row r="8347" ht="25.0" customHeight="true">
      <c r="A8347" t="s" s="2">
        <v>13</v>
      </c>
      <c r="B8347" t="s" s="2">
        <f>HYPERLINK("http://ts.21cn.com/tousu/show/id/1362726","京东快递三个大箱包裹丢失，迟迟没有回复")</f>
      </c>
      <c r="C8347" t="s" s="2">
        <v>15</v>
      </c>
      <c r="D8347" t="s" s="2">
        <v>16</v>
      </c>
      <c r="E8347" t="s" s="2">
        <v>17</v>
      </c>
      <c r="F8347" t="s" s="2">
        <f>HYPERLINK("http://ts.21cn.com/tousu/show/id/1362726","http://ts.21cn.com/tousu/show/id/1362726")</f>
      </c>
      <c r="G8347" t="s" s="2">
        <v>17</v>
      </c>
      <c r="H8347" t="s" s="2">
        <v>19</v>
      </c>
      <c r="I8347" t="s" s="2">
        <v>32219</v>
      </c>
      <c r="J8347" t="s" s="2">
        <v>32220</v>
      </c>
      <c r="K8347" t="s" s="2">
        <v>22</v>
      </c>
      <c r="L8347" t="s" s="2">
        <v>22</v>
      </c>
      <c r="M8347" t="s" s="2">
        <v>22</v>
      </c>
    </row>
    <row r="8348" ht="25.0" customHeight="true">
      <c r="A8348" t="s" s="2">
        <v>13</v>
      </c>
      <c r="B8348" t="s" s="2">
        <f>HYPERLINK("http://ts.21cn.com/tousu/show/id/1362723","及贷高利贷，利率90%")</f>
      </c>
      <c r="C8348" t="s" s="2">
        <v>15</v>
      </c>
      <c r="D8348" t="s" s="2">
        <v>16</v>
      </c>
      <c r="E8348" t="s" s="2">
        <v>17</v>
      </c>
      <c r="F8348" t="s" s="2">
        <f>HYPERLINK("http://ts.21cn.com/tousu/show/id/1362723","http://ts.21cn.com/tousu/show/id/1362723")</f>
      </c>
      <c r="G8348" t="s" s="2">
        <v>17</v>
      </c>
      <c r="H8348" t="s" s="2">
        <v>19</v>
      </c>
      <c r="I8348" t="s" s="2">
        <v>32223</v>
      </c>
      <c r="J8348" t="s" s="2">
        <v>32224</v>
      </c>
      <c r="K8348" t="s" s="2">
        <v>22</v>
      </c>
      <c r="L8348" t="s" s="2">
        <v>22</v>
      </c>
      <c r="M8348" t="s" s="2">
        <v>22</v>
      </c>
    </row>
    <row r="8349" ht="25.0" customHeight="true">
      <c r="A8349" t="s" s="2">
        <v>13</v>
      </c>
      <c r="B8349" t="s" s="2">
        <f>HYPERLINK("http://ts.21cn.com/tousu/show/id/1362725","暴力催收骚扰亲朋好友")</f>
      </c>
      <c r="C8349" t="s" s="2">
        <v>15</v>
      </c>
      <c r="D8349" t="s" s="2">
        <v>16</v>
      </c>
      <c r="E8349" t="s" s="2">
        <v>17</v>
      </c>
      <c r="F8349" t="s" s="2">
        <f>HYPERLINK("http://ts.21cn.com/tousu/show/id/1362725","http://ts.21cn.com/tousu/show/id/1362725")</f>
      </c>
      <c r="G8349" t="s" s="2">
        <v>17</v>
      </c>
      <c r="H8349" t="s" s="2">
        <v>19</v>
      </c>
      <c r="I8349" t="s" s="2">
        <v>32227</v>
      </c>
      <c r="J8349" t="s" s="2">
        <v>32228</v>
      </c>
      <c r="K8349" t="s" s="2">
        <v>22</v>
      </c>
      <c r="L8349" t="s" s="2">
        <v>22</v>
      </c>
      <c r="M8349" t="s" s="2">
        <v>22</v>
      </c>
    </row>
    <row r="8350" ht="25.0" customHeight="true">
      <c r="A8350" t="s" s="2">
        <v>13</v>
      </c>
      <c r="B8350" t="s" s="2">
        <f>HYPERLINK("http://ts.21cn.com/tousu/show/id/1362722","拼多多包庇店家")</f>
      </c>
      <c r="C8350" t="s" s="2">
        <v>52</v>
      </c>
      <c r="D8350" t="s" s="2">
        <v>16</v>
      </c>
      <c r="E8350" t="s" s="2">
        <v>17</v>
      </c>
      <c r="F8350" t="s" s="2">
        <f>HYPERLINK("http://ts.21cn.com/tousu/show/id/1362722","http://ts.21cn.com/tousu/show/id/1362722")</f>
      </c>
      <c r="G8350" t="s" s="2">
        <v>17</v>
      </c>
      <c r="H8350" t="s" s="2">
        <v>19</v>
      </c>
      <c r="I8350" t="s" s="2">
        <v>32231</v>
      </c>
      <c r="J8350" t="s" s="2">
        <v>32232</v>
      </c>
      <c r="K8350" t="s" s="2">
        <v>22</v>
      </c>
      <c r="L8350" t="s" s="2">
        <v>22</v>
      </c>
      <c r="M8350" t="s" s="2">
        <v>22</v>
      </c>
    </row>
    <row r="8351" ht="25.0" customHeight="true">
      <c r="A8351" t="s" s="2">
        <v>13</v>
      </c>
      <c r="B8351" t="s" s="2">
        <f>HYPERLINK("http://ts.21cn.com/tousu/show/id/1362720","立借好易贷爱分期高利贷阴阳合同说好分12期其实3期就完")</f>
      </c>
      <c r="C8351" t="s" s="2">
        <v>15</v>
      </c>
      <c r="D8351" t="s" s="2">
        <v>16</v>
      </c>
      <c r="E8351" t="s" s="2">
        <v>17</v>
      </c>
      <c r="F8351" t="s" s="2">
        <f>HYPERLINK("http://ts.21cn.com/tousu/show/id/1362720","http://ts.21cn.com/tousu/show/id/1362720")</f>
      </c>
      <c r="G8351" t="s" s="2">
        <v>17</v>
      </c>
      <c r="H8351" t="s" s="2">
        <v>19</v>
      </c>
      <c r="I8351" t="s" s="2">
        <v>32235</v>
      </c>
      <c r="J8351" t="s" s="2">
        <v>32236</v>
      </c>
      <c r="K8351" t="s" s="2">
        <v>22</v>
      </c>
      <c r="L8351" t="s" s="2">
        <v>22</v>
      </c>
      <c r="M8351" t="s" s="2">
        <v>22</v>
      </c>
    </row>
    <row r="8352" ht="25.0" customHeight="true">
      <c r="A8352" t="s" s="2">
        <v>13</v>
      </c>
      <c r="B8352" t="s" s="2">
        <f>HYPERLINK("http://ts.21cn.com/tousu/show/id/1362721","中国移动太牛")</f>
      </c>
      <c r="C8352" t="s" s="2">
        <v>15</v>
      </c>
      <c r="D8352" t="s" s="2">
        <v>16</v>
      </c>
      <c r="E8352" t="s" s="2">
        <v>17</v>
      </c>
      <c r="F8352" t="s" s="2">
        <f>HYPERLINK("http://ts.21cn.com/tousu/show/id/1362721","http://ts.21cn.com/tousu/show/id/1362721")</f>
      </c>
      <c r="G8352" t="s" s="2">
        <v>17</v>
      </c>
      <c r="H8352" t="s" s="2">
        <v>19</v>
      </c>
      <c r="I8352" t="s" s="2">
        <v>32239</v>
      </c>
      <c r="J8352" t="s" s="2">
        <v>32240</v>
      </c>
      <c r="K8352" t="s" s="2">
        <v>22</v>
      </c>
      <c r="L8352" t="s" s="2">
        <v>22</v>
      </c>
      <c r="M8352" t="s" s="2">
        <v>22</v>
      </c>
    </row>
    <row r="8353" ht="25.0" customHeight="true">
      <c r="A8353" t="s" s="2">
        <v>13</v>
      </c>
      <c r="B8353" t="s" s="2">
        <f>HYPERLINK("http://ts.21cn.com/tousu/show/id/1362719","武汉万事如寓房屋租凭中介公司房租押金不退还")</f>
      </c>
      <c r="C8353" t="s" s="2">
        <v>15</v>
      </c>
      <c r="D8353" t="s" s="2">
        <v>16</v>
      </c>
      <c r="E8353" t="s" s="2">
        <v>17</v>
      </c>
      <c r="F8353" t="s" s="2">
        <f>HYPERLINK("http://ts.21cn.com/tousu/show/id/1362719","http://ts.21cn.com/tousu/show/id/1362719")</f>
      </c>
      <c r="G8353" t="s" s="2">
        <v>17</v>
      </c>
      <c r="H8353" t="s" s="2">
        <v>19</v>
      </c>
      <c r="I8353" t="s" s="2">
        <v>32243</v>
      </c>
      <c r="J8353" t="s" s="2">
        <v>32244</v>
      </c>
      <c r="K8353" t="s" s="2">
        <v>22</v>
      </c>
      <c r="L8353" t="s" s="2">
        <v>22</v>
      </c>
      <c r="M8353" t="s" s="2">
        <v>22</v>
      </c>
    </row>
    <row r="8354" ht="25.0" customHeight="true">
      <c r="A8354" t="s" s="2">
        <v>13</v>
      </c>
      <c r="B8354" t="s" s="2">
        <f>HYPERLINK("http://ts.21cn.com/tousu/show/id/1362718","小象优品逾期暴力催收并骚扰通讯录")</f>
      </c>
      <c r="C8354" t="s" s="2">
        <v>15</v>
      </c>
      <c r="D8354" t="s" s="2">
        <v>16</v>
      </c>
      <c r="E8354" t="s" s="2">
        <v>17</v>
      </c>
      <c r="F8354" t="s" s="2">
        <f>HYPERLINK("http://ts.21cn.com/tousu/show/id/1362718","http://ts.21cn.com/tousu/show/id/1362718")</f>
      </c>
      <c r="G8354" t="s" s="2">
        <v>17</v>
      </c>
      <c r="H8354" t="s" s="2">
        <v>19</v>
      </c>
      <c r="I8354" t="s" s="2">
        <v>32247</v>
      </c>
      <c r="J8354" t="s" s="2">
        <v>32248</v>
      </c>
      <c r="K8354" t="s" s="2">
        <v>22</v>
      </c>
      <c r="L8354" t="s" s="2">
        <v>22</v>
      </c>
      <c r="M8354" t="s" s="2">
        <v>22</v>
      </c>
    </row>
    <row r="8355" ht="25.0" customHeight="true">
      <c r="A8355" t="s" s="2">
        <v>13</v>
      </c>
      <c r="B8355" t="s" s="2">
        <f>HYPERLINK("http://ts.21cn.com/tousu/show/id/1362717","停止爆力催收")</f>
      </c>
      <c r="C8355" t="s" s="2">
        <v>52</v>
      </c>
      <c r="D8355" t="s" s="2">
        <v>16</v>
      </c>
      <c r="E8355" t="s" s="2">
        <v>17</v>
      </c>
      <c r="F8355" t="s" s="2">
        <f>HYPERLINK("http://ts.21cn.com/tousu/show/id/1362717","http://ts.21cn.com/tousu/show/id/1362717")</f>
      </c>
      <c r="G8355" t="s" s="2">
        <v>17</v>
      </c>
      <c r="H8355" t="s" s="2">
        <v>19</v>
      </c>
      <c r="I8355" t="s" s="2">
        <v>32251</v>
      </c>
      <c r="J8355" t="s" s="2">
        <v>32252</v>
      </c>
      <c r="K8355" t="s" s="2">
        <v>22</v>
      </c>
      <c r="L8355" t="s" s="2">
        <v>22</v>
      </c>
      <c r="M8355" t="s" s="2">
        <v>22</v>
      </c>
    </row>
    <row r="8356" ht="25.0" customHeight="true">
      <c r="A8356" t="s" s="2">
        <v>13</v>
      </c>
      <c r="B8356" t="s" s="2">
        <f>HYPERLINK("http://ts.21cn.com/tousu/show/id/1362715","调包鞋子")</f>
      </c>
      <c r="C8356" t="s" s="2">
        <v>15</v>
      </c>
      <c r="D8356" t="s" s="2">
        <v>16</v>
      </c>
      <c r="E8356" t="s" s="2">
        <v>17</v>
      </c>
      <c r="F8356" t="s" s="2">
        <f>HYPERLINK("http://ts.21cn.com/tousu/show/id/1362715","http://ts.21cn.com/tousu/show/id/1362715")</f>
      </c>
      <c r="G8356" t="s" s="2">
        <v>17</v>
      </c>
      <c r="H8356" t="s" s="2">
        <v>19</v>
      </c>
      <c r="I8356" t="s" s="2">
        <v>32255</v>
      </c>
      <c r="J8356" t="s" s="2">
        <v>32256</v>
      </c>
      <c r="K8356" t="s" s="2">
        <v>22</v>
      </c>
      <c r="L8356" t="s" s="2">
        <v>22</v>
      </c>
      <c r="M8356" t="s" s="2">
        <v>22</v>
      </c>
    </row>
    <row r="8357" ht="25.0" customHeight="true">
      <c r="A8357" t="s" s="2">
        <v>13</v>
      </c>
      <c r="B8357" t="s" s="2">
        <f>HYPERLINK("http://ts.21cn.com/tousu/show/id/1362716","未在每天花借过款，却收到了还款信息")</f>
      </c>
      <c r="C8357" t="s" s="2">
        <v>15</v>
      </c>
      <c r="D8357" t="s" s="2">
        <v>16</v>
      </c>
      <c r="E8357" t="s" s="2">
        <v>17</v>
      </c>
      <c r="F8357" t="s" s="2">
        <f>HYPERLINK("http://ts.21cn.com/tousu/show/id/1362716","http://ts.21cn.com/tousu/show/id/1362716")</f>
      </c>
      <c r="G8357" t="s" s="2">
        <v>17</v>
      </c>
      <c r="H8357" t="s" s="2">
        <v>19</v>
      </c>
      <c r="I8357" t="s" s="2">
        <v>32259</v>
      </c>
      <c r="J8357" t="s" s="2">
        <v>32260</v>
      </c>
      <c r="K8357" t="s" s="2">
        <v>22</v>
      </c>
      <c r="L8357" t="s" s="2">
        <v>22</v>
      </c>
      <c r="M8357" t="s" s="2">
        <v>22</v>
      </c>
    </row>
    <row r="8358" ht="25.0" customHeight="true">
      <c r="A8358" t="s" s="2">
        <v>13</v>
      </c>
      <c r="B8358" t="s" s="2">
        <f>HYPERLINK("http://ts.21cn.com/tousu/show/id/1362714","马上消费金融电话轰炸恐吓威胁")</f>
      </c>
      <c r="C8358" t="s" s="2">
        <v>15</v>
      </c>
      <c r="D8358" t="s" s="2">
        <v>16</v>
      </c>
      <c r="E8358" t="s" s="2">
        <v>17</v>
      </c>
      <c r="F8358" t="s" s="2">
        <f>HYPERLINK("http://ts.21cn.com/tousu/show/id/1362714","http://ts.21cn.com/tousu/show/id/1362714")</f>
      </c>
      <c r="G8358" t="s" s="2">
        <v>17</v>
      </c>
      <c r="H8358" t="s" s="2">
        <v>19</v>
      </c>
      <c r="I8358" t="s" s="2">
        <v>32263</v>
      </c>
      <c r="J8358" t="s" s="2">
        <v>32264</v>
      </c>
      <c r="K8358" t="s" s="2">
        <v>22</v>
      </c>
      <c r="L8358" t="s" s="2">
        <v>22</v>
      </c>
      <c r="M8358" t="s" s="2">
        <v>22</v>
      </c>
    </row>
    <row r="8359" ht="25.0" customHeight="true">
      <c r="A8359" t="s" s="2">
        <v>13</v>
      </c>
      <c r="B8359" t="s" s="2">
        <f>HYPERLINK("http://ts.21cn.com/tousu/show/id/1362711","拍拍贷催收用私人电话威胁")</f>
      </c>
      <c r="C8359" t="s" s="2">
        <v>15</v>
      </c>
      <c r="D8359" t="s" s="2">
        <v>16</v>
      </c>
      <c r="E8359" t="s" s="2">
        <v>17</v>
      </c>
      <c r="F8359" t="s" s="2">
        <f>HYPERLINK("http://ts.21cn.com/tousu/show/id/1362711","http://ts.21cn.com/tousu/show/id/1362711")</f>
      </c>
      <c r="G8359" t="s" s="2">
        <v>17</v>
      </c>
      <c r="H8359" t="s" s="2">
        <v>19</v>
      </c>
      <c r="I8359" t="s" s="2">
        <v>32267</v>
      </c>
      <c r="J8359" t="s" s="2">
        <v>32268</v>
      </c>
      <c r="K8359" t="s" s="2">
        <v>22</v>
      </c>
      <c r="L8359" t="s" s="2">
        <v>22</v>
      </c>
      <c r="M8359" t="s" s="2">
        <v>22</v>
      </c>
    </row>
    <row r="8360" ht="25.0" customHeight="true">
      <c r="A8360" t="s" s="2">
        <v>13</v>
      </c>
      <c r="B8360" t="s" s="2">
        <f>HYPERLINK("http://ts.21cn.com/tousu/show/id/1362712","用钱宝放款问题")</f>
      </c>
      <c r="C8360" t="s" s="2">
        <v>52</v>
      </c>
      <c r="D8360" t="s" s="2">
        <v>16</v>
      </c>
      <c r="E8360" t="s" s="2">
        <v>17</v>
      </c>
      <c r="F8360" t="s" s="2">
        <f>HYPERLINK("http://ts.21cn.com/tousu/show/id/1362712","http://ts.21cn.com/tousu/show/id/1362712")</f>
      </c>
      <c r="G8360" t="s" s="2">
        <v>17</v>
      </c>
      <c r="H8360" t="s" s="2">
        <v>19</v>
      </c>
      <c r="I8360" t="s" s="2">
        <v>32271</v>
      </c>
      <c r="J8360" t="s" s="2">
        <v>32272</v>
      </c>
      <c r="K8360" t="s" s="2">
        <v>22</v>
      </c>
      <c r="L8360" t="s" s="2">
        <v>22</v>
      </c>
      <c r="M8360" t="s" s="2">
        <v>22</v>
      </c>
    </row>
    <row r="8361" ht="25.0" customHeight="true">
      <c r="A8361" t="s" s="2">
        <v>13</v>
      </c>
      <c r="B8361" t="s" s="2">
        <f>HYPERLINK("http://ts.21cn.com/tousu/show/id/1358258","关于不按合同退费的")</f>
      </c>
      <c r="C8361" t="s" s="2">
        <v>15</v>
      </c>
      <c r="D8361" t="s" s="2">
        <v>16</v>
      </c>
      <c r="E8361" t="s" s="2">
        <v>17</v>
      </c>
      <c r="F8361" t="s" s="2">
        <f>HYPERLINK("http://ts.21cn.com/tousu/show/id/1358258","http://ts.21cn.com/tousu/show/id/1358258")</f>
      </c>
      <c r="G8361" t="s" s="2">
        <v>17</v>
      </c>
      <c r="H8361" t="s" s="2">
        <v>19</v>
      </c>
      <c r="I8361" t="s" s="2">
        <v>32275</v>
      </c>
      <c r="J8361" t="s" s="2">
        <v>32276</v>
      </c>
      <c r="K8361" t="s" s="2">
        <v>22</v>
      </c>
      <c r="L8361" t="s" s="2">
        <v>22</v>
      </c>
      <c r="M8361" t="s" s="2">
        <v>22</v>
      </c>
    </row>
    <row r="8362" ht="25.0" customHeight="true">
      <c r="A8362" t="s" s="2">
        <v>13</v>
      </c>
      <c r="B8362" t="s" s="2">
        <f>HYPERLINK("http://ts.21cn.com/tousu/show/id/1362710","卡乐付暴力催收")</f>
      </c>
      <c r="C8362" t="s" s="2">
        <v>15</v>
      </c>
      <c r="D8362" t="s" s="2">
        <v>16</v>
      </c>
      <c r="E8362" t="s" s="2">
        <v>17</v>
      </c>
      <c r="F8362" t="s" s="2">
        <f>HYPERLINK("http://ts.21cn.com/tousu/show/id/1362710","http://ts.21cn.com/tousu/show/id/1362710")</f>
      </c>
      <c r="G8362" t="s" s="2">
        <v>17</v>
      </c>
      <c r="H8362" t="s" s="2">
        <v>19</v>
      </c>
      <c r="I8362" t="s" s="2">
        <v>32279</v>
      </c>
      <c r="J8362" t="s" s="2">
        <v>32280</v>
      </c>
      <c r="K8362" t="s" s="2">
        <v>22</v>
      </c>
      <c r="L8362" t="s" s="2">
        <v>22</v>
      </c>
      <c r="M8362" t="s" s="2">
        <v>22</v>
      </c>
    </row>
    <row r="8363" ht="25.0" customHeight="true">
      <c r="A8363" t="s" s="2">
        <v>13</v>
      </c>
      <c r="B8363" t="s" s="2">
        <f>HYPERLINK("http://ts.21cn.com/tousu/show/id/1362708","高利贷砍头息，恶意爆通讯录")</f>
      </c>
      <c r="C8363" t="s" s="2">
        <v>15</v>
      </c>
      <c r="D8363" t="s" s="2">
        <v>16</v>
      </c>
      <c r="E8363" t="s" s="2">
        <v>17</v>
      </c>
      <c r="F8363" t="s" s="2">
        <f>HYPERLINK("http://ts.21cn.com/tousu/show/id/1362708","http://ts.21cn.com/tousu/show/id/1362708")</f>
      </c>
      <c r="G8363" t="s" s="2">
        <v>17</v>
      </c>
      <c r="H8363" t="s" s="2">
        <v>19</v>
      </c>
      <c r="I8363" t="s" s="2">
        <v>32283</v>
      </c>
      <c r="J8363" t="s" s="2">
        <v>32284</v>
      </c>
      <c r="K8363" t="s" s="2">
        <v>22</v>
      </c>
      <c r="L8363" t="s" s="2">
        <v>22</v>
      </c>
      <c r="M8363" t="s" s="2">
        <v>22</v>
      </c>
    </row>
    <row r="8364" ht="25.0" customHeight="true">
      <c r="A8364" t="s" s="2">
        <v>13</v>
      </c>
      <c r="B8364" t="s" s="2">
        <f>HYPERLINK("http://ts.21cn.com/tousu/show/id/1362709","嗨学网诱导消费者签订霸王条款，不退费")</f>
      </c>
      <c r="C8364" t="s" s="2">
        <v>15</v>
      </c>
      <c r="D8364" t="s" s="2">
        <v>16</v>
      </c>
      <c r="E8364" t="s" s="2">
        <v>17</v>
      </c>
      <c r="F8364" t="s" s="2">
        <f>HYPERLINK("http://ts.21cn.com/tousu/show/id/1362709","http://ts.21cn.com/tousu/show/id/1362709")</f>
      </c>
      <c r="G8364" t="s" s="2">
        <v>17</v>
      </c>
      <c r="H8364" t="s" s="2">
        <v>19</v>
      </c>
      <c r="I8364" t="s" s="2">
        <v>32286</v>
      </c>
      <c r="J8364" t="s" s="2">
        <v>32287</v>
      </c>
      <c r="K8364" t="s" s="2">
        <v>22</v>
      </c>
      <c r="L8364" t="s" s="2">
        <v>22</v>
      </c>
      <c r="M8364" t="s" s="2">
        <v>22</v>
      </c>
    </row>
    <row r="8365" ht="25.0" customHeight="true">
      <c r="A8365" t="s" s="2">
        <v>13</v>
      </c>
      <c r="B8365" t="s" s="2">
        <f>HYPERLINK("http://ts.21cn.com/tousu/show/id/1362706","协商还款")</f>
      </c>
      <c r="C8365" t="s" s="2">
        <v>15</v>
      </c>
      <c r="D8365" t="s" s="2">
        <v>16</v>
      </c>
      <c r="E8365" t="s" s="2">
        <v>17</v>
      </c>
      <c r="F8365" t="s" s="2">
        <f>HYPERLINK("http://ts.21cn.com/tousu/show/id/1362706","http://ts.21cn.com/tousu/show/id/1362706")</f>
      </c>
      <c r="G8365" t="s" s="2">
        <v>17</v>
      </c>
      <c r="H8365" t="s" s="2">
        <v>19</v>
      </c>
      <c r="I8365" t="s" s="2">
        <v>32289</v>
      </c>
      <c r="J8365" t="s" s="2">
        <v>32290</v>
      </c>
      <c r="K8365" t="s" s="2">
        <v>22</v>
      </c>
      <c r="L8365" t="s" s="2">
        <v>22</v>
      </c>
      <c r="M8365" t="s" s="2">
        <v>22</v>
      </c>
    </row>
    <row r="8366" ht="25.0" customHeight="true">
      <c r="A8366" t="s" s="2">
        <v>13</v>
      </c>
      <c r="B8366" t="s" s="2">
        <f>HYPERLINK("http://ts.21cn.com/tousu/show/id/1362705","北京捷越公司非法爆我通迅录！给我爱人单位同事乱打电话话")</f>
      </c>
      <c r="C8366" t="s" s="2">
        <v>15</v>
      </c>
      <c r="D8366" t="s" s="2">
        <v>16</v>
      </c>
      <c r="E8366" t="s" s="2">
        <v>17</v>
      </c>
      <c r="F8366" t="s" s="2">
        <f>HYPERLINK("http://ts.21cn.com/tousu/show/id/1362705","http://ts.21cn.com/tousu/show/id/1362705")</f>
      </c>
      <c r="G8366" t="s" s="2">
        <v>17</v>
      </c>
      <c r="H8366" t="s" s="2">
        <v>19</v>
      </c>
      <c r="I8366" t="s" s="2">
        <v>32293</v>
      </c>
      <c r="J8366" t="s" s="2">
        <v>32294</v>
      </c>
      <c r="K8366" t="s" s="2">
        <v>22</v>
      </c>
      <c r="L8366" t="s" s="2">
        <v>22</v>
      </c>
      <c r="M8366" t="s" s="2">
        <v>22</v>
      </c>
    </row>
    <row r="8367" ht="25.0" customHeight="true">
      <c r="A8367" t="s" s="2">
        <v>13</v>
      </c>
      <c r="B8367" t="s" s="2">
        <f>HYPERLINK("http://ts.21cn.com/tousu/show/id/1362703","捷信金融高利贷")</f>
      </c>
      <c r="C8367" t="s" s="2">
        <v>15</v>
      </c>
      <c r="D8367" t="s" s="2">
        <v>16</v>
      </c>
      <c r="E8367" t="s" s="2">
        <v>17</v>
      </c>
      <c r="F8367" t="s" s="2">
        <f>HYPERLINK("http://ts.21cn.com/tousu/show/id/1362703","http://ts.21cn.com/tousu/show/id/1362703")</f>
      </c>
      <c r="G8367" t="s" s="2">
        <v>17</v>
      </c>
      <c r="H8367" t="s" s="2">
        <v>19</v>
      </c>
      <c r="I8367" t="s" s="2">
        <v>32297</v>
      </c>
      <c r="J8367" t="s" s="2">
        <v>32298</v>
      </c>
      <c r="K8367" t="s" s="2">
        <v>22</v>
      </c>
      <c r="L8367" t="s" s="2">
        <v>22</v>
      </c>
      <c r="M8367" t="s" s="2">
        <v>22</v>
      </c>
    </row>
    <row r="8368" ht="25.0" customHeight="true">
      <c r="A8368" t="s" s="2">
        <v>13</v>
      </c>
      <c r="B8368" t="s" s="2">
        <f>HYPERLINK("http://ts.21cn.com/tousu/show/id/1362702","恶意扣款购买会员")</f>
      </c>
      <c r="C8368" t="s" s="2">
        <v>15</v>
      </c>
      <c r="D8368" t="s" s="2">
        <v>16</v>
      </c>
      <c r="E8368" t="s" s="2">
        <v>17</v>
      </c>
      <c r="F8368" t="s" s="2">
        <f>HYPERLINK("http://ts.21cn.com/tousu/show/id/1362702","http://ts.21cn.com/tousu/show/id/1362702")</f>
      </c>
      <c r="G8368" t="s" s="2">
        <v>17</v>
      </c>
      <c r="H8368" t="s" s="2">
        <v>19</v>
      </c>
      <c r="I8368" t="s" s="2">
        <v>32301</v>
      </c>
      <c r="J8368" t="s" s="2">
        <v>32302</v>
      </c>
      <c r="K8368" t="s" s="2">
        <v>22</v>
      </c>
      <c r="L8368" t="s" s="2">
        <v>22</v>
      </c>
      <c r="M8368" t="s" s="2">
        <v>22</v>
      </c>
    </row>
    <row r="8369" ht="25.0" customHeight="true">
      <c r="A8369" t="s" s="2">
        <v>13</v>
      </c>
      <c r="B8369" t="s" s="2">
        <f>HYPERLINK("http://ts.21cn.com/tousu/show/id/1362701","马上金融威胁恐吓")</f>
      </c>
      <c r="C8369" t="s" s="2">
        <v>15</v>
      </c>
      <c r="D8369" t="s" s="2">
        <v>16</v>
      </c>
      <c r="E8369" t="s" s="2">
        <v>17</v>
      </c>
      <c r="F8369" t="s" s="2">
        <f>HYPERLINK("http://ts.21cn.com/tousu/show/id/1362701","http://ts.21cn.com/tousu/show/id/1362701")</f>
      </c>
      <c r="G8369" t="s" s="2">
        <v>17</v>
      </c>
      <c r="H8369" t="s" s="2">
        <v>19</v>
      </c>
      <c r="I8369" t="s" s="2">
        <v>32301</v>
      </c>
      <c r="J8369" t="s" s="2">
        <v>32304</v>
      </c>
      <c r="K8369" t="s" s="2">
        <v>22</v>
      </c>
      <c r="L8369" t="s" s="2">
        <v>22</v>
      </c>
      <c r="M8369" t="s" s="2">
        <v>22</v>
      </c>
    </row>
    <row r="8370" ht="25.0" customHeight="true">
      <c r="A8370" t="s" s="2">
        <v>13</v>
      </c>
      <c r="B8370" t="s" s="2">
        <f>HYPERLINK("http://ts.21cn.com/tousu/show/id/1362700","没有借贷就发催收信息")</f>
      </c>
      <c r="C8370" t="s" s="2">
        <v>15</v>
      </c>
      <c r="D8370" t="s" s="2">
        <v>16</v>
      </c>
      <c r="E8370" t="s" s="2">
        <v>17</v>
      </c>
      <c r="F8370" t="s" s="2">
        <f>HYPERLINK("http://ts.21cn.com/tousu/show/id/1362700","http://ts.21cn.com/tousu/show/id/1362700")</f>
      </c>
      <c r="G8370" t="s" s="2">
        <v>17</v>
      </c>
      <c r="H8370" t="s" s="2">
        <v>19</v>
      </c>
      <c r="I8370" t="s" s="2">
        <v>32307</v>
      </c>
      <c r="J8370" t="s" s="2">
        <v>32308</v>
      </c>
      <c r="K8370" t="s" s="2">
        <v>22</v>
      </c>
      <c r="L8370" t="s" s="2">
        <v>22</v>
      </c>
      <c r="M8370" t="s" s="2">
        <v>22</v>
      </c>
    </row>
    <row r="8371" ht="25.0" customHeight="true">
      <c r="A8371" t="s" s="2">
        <v>13</v>
      </c>
      <c r="B8371" t="s" s="2">
        <f>HYPERLINK("http://ts.21cn.com/tousu/show/id/1362699","英雄花高额套路贷，恐吓威胁其家人")</f>
      </c>
      <c r="C8371" t="s" s="2">
        <v>15</v>
      </c>
      <c r="D8371" t="s" s="2">
        <v>16</v>
      </c>
      <c r="E8371" t="s" s="2">
        <v>17</v>
      </c>
      <c r="F8371" t="s" s="2">
        <f>HYPERLINK("http://ts.21cn.com/tousu/show/id/1362699","http://ts.21cn.com/tousu/show/id/1362699")</f>
      </c>
      <c r="G8371" t="s" s="2">
        <v>17</v>
      </c>
      <c r="H8371" t="s" s="2">
        <v>19</v>
      </c>
      <c r="I8371" t="s" s="2">
        <v>32311</v>
      </c>
      <c r="J8371" t="s" s="2">
        <v>32312</v>
      </c>
      <c r="K8371" t="s" s="2">
        <v>22</v>
      </c>
      <c r="L8371" t="s" s="2">
        <v>22</v>
      </c>
      <c r="M8371" t="s" s="2">
        <v>22</v>
      </c>
    </row>
    <row r="8372" ht="25.0" customHeight="true">
      <c r="A8372" t="s" s="2">
        <v>13</v>
      </c>
      <c r="B8372" t="s" s="2">
        <f>HYPERLINK("http://ts.21cn.com/tousu/show/id/1362698","360点睛不退余额肆意侵吞个人财产")</f>
      </c>
      <c r="C8372" t="s" s="2">
        <v>15</v>
      </c>
      <c r="D8372" t="s" s="2">
        <v>16</v>
      </c>
      <c r="E8372" t="s" s="2">
        <v>17</v>
      </c>
      <c r="F8372" t="s" s="2">
        <f>HYPERLINK("http://ts.21cn.com/tousu/show/id/1362698","http://ts.21cn.com/tousu/show/id/1362698")</f>
      </c>
      <c r="G8372" t="s" s="2">
        <v>17</v>
      </c>
      <c r="H8372" t="s" s="2">
        <v>19</v>
      </c>
      <c r="I8372" t="s" s="2">
        <v>32315</v>
      </c>
      <c r="J8372" t="s" s="2">
        <v>32316</v>
      </c>
      <c r="K8372" t="s" s="2">
        <v>22</v>
      </c>
      <c r="L8372" t="s" s="2">
        <v>22</v>
      </c>
      <c r="M8372" t="s" s="2">
        <v>22</v>
      </c>
    </row>
    <row r="8373" ht="25.0" customHeight="true">
      <c r="A8373" t="s" s="2">
        <v>13</v>
      </c>
      <c r="B8373" t="s" s="2">
        <f>HYPERLINK("http://ts.21cn.com/tousu/show/id/1362697","记得花714高利贷")</f>
      </c>
      <c r="C8373" t="s" s="2">
        <v>15</v>
      </c>
      <c r="D8373" t="s" s="2">
        <v>16</v>
      </c>
      <c r="E8373" t="s" s="2">
        <v>17</v>
      </c>
      <c r="F8373" t="s" s="2">
        <f>HYPERLINK("http://ts.21cn.com/tousu/show/id/1362697","http://ts.21cn.com/tousu/show/id/1362697")</f>
      </c>
      <c r="G8373" t="s" s="2">
        <v>17</v>
      </c>
      <c r="H8373" t="s" s="2">
        <v>19</v>
      </c>
      <c r="I8373" t="s" s="2">
        <v>32319</v>
      </c>
      <c r="J8373" t="s" s="2">
        <v>32320</v>
      </c>
      <c r="K8373" t="s" s="2">
        <v>22</v>
      </c>
      <c r="L8373" t="s" s="2">
        <v>22</v>
      </c>
      <c r="M8373" t="s" s="2">
        <v>22</v>
      </c>
    </row>
    <row r="8374" ht="25.0" customHeight="true">
      <c r="A8374" t="s" s="2">
        <v>13</v>
      </c>
      <c r="B8374" t="s" s="2">
        <f>HYPERLINK("http://ts.21cn.com/tousu/show/id/1362695","正常还款遭放款资金方上报征信还款违约")</f>
      </c>
      <c r="C8374" t="s" s="2">
        <v>15</v>
      </c>
      <c r="D8374" t="s" s="2">
        <v>16</v>
      </c>
      <c r="E8374" t="s" s="2">
        <v>17</v>
      </c>
      <c r="F8374" t="s" s="2">
        <f>HYPERLINK("http://ts.21cn.com/tousu/show/id/1362695","http://ts.21cn.com/tousu/show/id/1362695")</f>
      </c>
      <c r="G8374" t="s" s="2">
        <v>17</v>
      </c>
      <c r="H8374" t="s" s="2">
        <v>19</v>
      </c>
      <c r="I8374" t="s" s="2">
        <v>32323</v>
      </c>
      <c r="J8374" t="s" s="2">
        <v>32324</v>
      </c>
      <c r="K8374" t="s" s="2">
        <v>22</v>
      </c>
      <c r="L8374" t="s" s="2">
        <v>22</v>
      </c>
      <c r="M8374" t="s" s="2">
        <v>22</v>
      </c>
    </row>
    <row r="8375" ht="25.0" customHeight="true">
      <c r="A8375" t="s" s="2">
        <v>13</v>
      </c>
      <c r="B8375" t="s" s="2">
        <f>HYPERLINK("http://ts.21cn.com/tousu/show/id/1362696","移动公司私自撕毁宽带合约，暂停基站，停用宽带，月月扣钱")</f>
      </c>
      <c r="C8375" t="s" s="2">
        <v>15</v>
      </c>
      <c r="D8375" t="s" s="2">
        <v>16</v>
      </c>
      <c r="E8375" t="s" s="2">
        <v>17</v>
      </c>
      <c r="F8375" t="s" s="2">
        <f>HYPERLINK("http://ts.21cn.com/tousu/show/id/1362696","http://ts.21cn.com/tousu/show/id/1362696")</f>
      </c>
      <c r="G8375" t="s" s="2">
        <v>17</v>
      </c>
      <c r="H8375" t="s" s="2">
        <v>19</v>
      </c>
      <c r="I8375" t="s" s="2">
        <v>32327</v>
      </c>
      <c r="J8375" t="s" s="2">
        <v>32328</v>
      </c>
      <c r="K8375" t="s" s="2">
        <v>22</v>
      </c>
      <c r="L8375" t="s" s="2">
        <v>22</v>
      </c>
      <c r="M8375" t="s" s="2">
        <v>22</v>
      </c>
    </row>
    <row r="8376" ht="25.0" customHeight="true">
      <c r="A8376" t="s" s="2">
        <v>13</v>
      </c>
      <c r="B8376" t="s" s="2">
        <f>HYPERLINK("http://ts.21cn.com/tousu/show/id/1362692","拼多多包庇阴阳店铺")</f>
      </c>
      <c r="C8376" t="s" s="2">
        <v>52</v>
      </c>
      <c r="D8376" t="s" s="2">
        <v>16</v>
      </c>
      <c r="E8376" t="s" s="2">
        <v>17</v>
      </c>
      <c r="F8376" t="s" s="2">
        <f>HYPERLINK("http://ts.21cn.com/tousu/show/id/1362692","http://ts.21cn.com/tousu/show/id/1362692")</f>
      </c>
      <c r="G8376" t="s" s="2">
        <v>17</v>
      </c>
      <c r="H8376" t="s" s="2">
        <v>19</v>
      </c>
      <c r="I8376" t="s" s="2">
        <v>32331</v>
      </c>
      <c r="J8376" t="s" s="2">
        <v>32332</v>
      </c>
      <c r="K8376" t="s" s="2">
        <v>22</v>
      </c>
      <c r="L8376" t="s" s="2">
        <v>22</v>
      </c>
      <c r="M8376" t="s" s="2">
        <v>22</v>
      </c>
    </row>
    <row r="8377" ht="25.0" customHeight="true">
      <c r="A8377" t="s" s="2">
        <v>13</v>
      </c>
      <c r="B8377" t="s" s="2">
        <f>HYPERLINK("http://ts.21cn.com/tousu/show/id/1362693","联动云驾驶证预约押金未到账")</f>
      </c>
      <c r="C8377" t="s" s="2">
        <v>15</v>
      </c>
      <c r="D8377" t="s" s="2">
        <v>16</v>
      </c>
      <c r="E8377" t="s" s="2">
        <v>17</v>
      </c>
      <c r="F8377" t="s" s="2">
        <f>HYPERLINK("http://ts.21cn.com/tousu/show/id/1362693","http://ts.21cn.com/tousu/show/id/1362693")</f>
      </c>
      <c r="G8377" t="s" s="2">
        <v>17</v>
      </c>
      <c r="H8377" t="s" s="2">
        <v>19</v>
      </c>
      <c r="I8377" t="s" s="2">
        <v>32335</v>
      </c>
      <c r="J8377" t="s" s="2">
        <v>32336</v>
      </c>
      <c r="K8377" t="s" s="2">
        <v>22</v>
      </c>
      <c r="L8377" t="s" s="2">
        <v>22</v>
      </c>
      <c r="M8377" t="s" s="2">
        <v>22</v>
      </c>
    </row>
    <row r="8378" ht="25.0" customHeight="true">
      <c r="A8378" t="s" s="2">
        <v>13</v>
      </c>
      <c r="B8378" t="s" s="2">
        <f>HYPERLINK("http://ts.21cn.com/tousu/show/id/1362564","钱站阴阳合同。")</f>
      </c>
      <c r="C8378" t="s" s="2">
        <v>15</v>
      </c>
      <c r="D8378" t="s" s="2">
        <v>16</v>
      </c>
      <c r="E8378" t="s" s="2">
        <v>17</v>
      </c>
      <c r="F8378" t="s" s="2">
        <f>HYPERLINK("http://ts.21cn.com/tousu/show/id/1362564","http://ts.21cn.com/tousu/show/id/1362564")</f>
      </c>
      <c r="G8378" t="s" s="2">
        <v>17</v>
      </c>
      <c r="H8378" t="s" s="2">
        <v>19</v>
      </c>
      <c r="I8378" t="s" s="2">
        <v>32339</v>
      </c>
      <c r="J8378" t="s" s="2">
        <v>32340</v>
      </c>
      <c r="K8378" t="s" s="2">
        <v>22</v>
      </c>
      <c r="L8378" t="s" s="2">
        <v>22</v>
      </c>
      <c r="M8378" t="s" s="2">
        <v>22</v>
      </c>
    </row>
    <row r="8379" ht="25.0" customHeight="true">
      <c r="A8379" t="s" s="2">
        <v>13</v>
      </c>
      <c r="B8379" t="s" s="2">
        <f>HYPERLINK("http://ts.21cn.com/tousu/show/id/1362690","拍拍贷暴力催收无视监管")</f>
      </c>
      <c r="C8379" t="s" s="2">
        <v>15</v>
      </c>
      <c r="D8379" t="s" s="2">
        <v>16</v>
      </c>
      <c r="E8379" t="s" s="2">
        <v>17</v>
      </c>
      <c r="F8379" t="s" s="2">
        <f>HYPERLINK("http://ts.21cn.com/tousu/show/id/1362690","http://ts.21cn.com/tousu/show/id/1362690")</f>
      </c>
      <c r="G8379" t="s" s="2">
        <v>17</v>
      </c>
      <c r="H8379" t="s" s="2">
        <v>19</v>
      </c>
      <c r="I8379" t="s" s="2">
        <v>32343</v>
      </c>
      <c r="J8379" t="s" s="2">
        <v>32344</v>
      </c>
      <c r="K8379" t="s" s="2">
        <v>22</v>
      </c>
      <c r="L8379" t="s" s="2">
        <v>22</v>
      </c>
      <c r="M8379" t="s" s="2">
        <v>22</v>
      </c>
    </row>
    <row r="8380" ht="25.0" customHeight="true">
      <c r="A8380" t="s" s="2">
        <v>13</v>
      </c>
      <c r="B8380" t="s" s="2">
        <f>HYPERLINK("http://ts.21cn.com/tousu/show/id/1362689","拼多多货款提现失败")</f>
      </c>
      <c r="C8380" t="s" s="2">
        <v>52</v>
      </c>
      <c r="D8380" t="s" s="2">
        <v>16</v>
      </c>
      <c r="E8380" t="s" s="2">
        <v>17</v>
      </c>
      <c r="F8380" t="s" s="2">
        <f>HYPERLINK("http://ts.21cn.com/tousu/show/id/1362689","http://ts.21cn.com/tousu/show/id/1362689")</f>
      </c>
      <c r="G8380" t="s" s="2">
        <v>17</v>
      </c>
      <c r="H8380" t="s" s="2">
        <v>19</v>
      </c>
      <c r="I8380" t="s" s="2">
        <v>32347</v>
      </c>
      <c r="J8380" t="s" s="2">
        <v>32348</v>
      </c>
      <c r="K8380" t="s" s="2">
        <v>22</v>
      </c>
      <c r="L8380" t="s" s="2">
        <v>22</v>
      </c>
      <c r="M8380" t="s" s="2">
        <v>22</v>
      </c>
    </row>
    <row r="8381" ht="25.0" customHeight="true">
      <c r="A8381" t="s" s="2">
        <v>13</v>
      </c>
      <c r="B8381" t="s" s="2">
        <f>HYPERLINK("http://ts.21cn.com/tousu/show/id/1362687","宜人贷暴力催收，利息高，砍头息，")</f>
      </c>
      <c r="C8381" t="s" s="2">
        <v>15</v>
      </c>
      <c r="D8381" t="s" s="2">
        <v>16</v>
      </c>
      <c r="E8381" t="s" s="2">
        <v>17</v>
      </c>
      <c r="F8381" t="s" s="2">
        <f>HYPERLINK("http://ts.21cn.com/tousu/show/id/1362687","http://ts.21cn.com/tousu/show/id/1362687")</f>
      </c>
      <c r="G8381" t="s" s="2">
        <v>17</v>
      </c>
      <c r="H8381" t="s" s="2">
        <v>19</v>
      </c>
      <c r="I8381" t="s" s="2">
        <v>32351</v>
      </c>
      <c r="J8381" t="s" s="2">
        <v>32352</v>
      </c>
      <c r="K8381" t="s" s="2">
        <v>22</v>
      </c>
      <c r="L8381" t="s" s="2">
        <v>22</v>
      </c>
      <c r="M8381" t="s" s="2">
        <v>22</v>
      </c>
    </row>
    <row r="8382" ht="25.0" customHeight="true">
      <c r="A8382" t="s" s="2">
        <v>13</v>
      </c>
      <c r="B8382" t="s" s="2">
        <f>HYPERLINK("http://ts.21cn.com/tousu/show/id/1362688","短信问题得不到解决")</f>
      </c>
      <c r="C8382" t="s" s="2">
        <v>15</v>
      </c>
      <c r="D8382" t="s" s="2">
        <v>16</v>
      </c>
      <c r="E8382" t="s" s="2">
        <v>17</v>
      </c>
      <c r="F8382" t="s" s="2">
        <f>HYPERLINK("http://ts.21cn.com/tousu/show/id/1362688","http://ts.21cn.com/tousu/show/id/1362688")</f>
      </c>
      <c r="G8382" t="s" s="2">
        <v>17</v>
      </c>
      <c r="H8382" t="s" s="2">
        <v>19</v>
      </c>
      <c r="I8382" t="s" s="2">
        <v>32355</v>
      </c>
      <c r="J8382" t="s" s="2">
        <v>32356</v>
      </c>
      <c r="K8382" t="s" s="2">
        <v>22</v>
      </c>
      <c r="L8382" t="s" s="2">
        <v>22</v>
      </c>
      <c r="M8382" t="s" s="2">
        <v>22</v>
      </c>
    </row>
    <row r="8383" ht="25.0" customHeight="true">
      <c r="A8383" t="s" s="2">
        <v>13</v>
      </c>
      <c r="B8383" t="s" s="2">
        <f>HYPERLINK("http://ts.21cn.com/tousu/show/id/1362686","闪银哼哼贷款收取保险费砍头息")</f>
      </c>
      <c r="C8383" t="s" s="2">
        <v>15</v>
      </c>
      <c r="D8383" t="s" s="2">
        <v>16</v>
      </c>
      <c r="E8383" t="s" s="2">
        <v>17</v>
      </c>
      <c r="F8383" t="s" s="2">
        <f>HYPERLINK("http://ts.21cn.com/tousu/show/id/1362686","http://ts.21cn.com/tousu/show/id/1362686")</f>
      </c>
      <c r="G8383" t="s" s="2">
        <v>17</v>
      </c>
      <c r="H8383" t="s" s="2">
        <v>19</v>
      </c>
      <c r="I8383" t="s" s="2">
        <v>32359</v>
      </c>
      <c r="J8383" t="s" s="2">
        <v>32360</v>
      </c>
      <c r="K8383" t="s" s="2">
        <v>22</v>
      </c>
      <c r="L8383" t="s" s="2">
        <v>22</v>
      </c>
      <c r="M8383" t="s" s="2">
        <v>22</v>
      </c>
    </row>
    <row r="8384" ht="25.0" customHeight="true">
      <c r="A8384" t="s" s="2">
        <v>13</v>
      </c>
      <c r="B8384" t="s" s="2">
        <f>HYPERLINK("http://ts.21cn.com/tousu/show/id/1362685","拍拍贷高利高贷行为，电话，邮箱骚扰")</f>
      </c>
      <c r="C8384" t="s" s="2">
        <v>15</v>
      </c>
      <c r="D8384" t="s" s="2">
        <v>16</v>
      </c>
      <c r="E8384" t="s" s="2">
        <v>17</v>
      </c>
      <c r="F8384" t="s" s="2">
        <f>HYPERLINK("http://ts.21cn.com/tousu/show/id/1362685","http://ts.21cn.com/tousu/show/id/1362685")</f>
      </c>
      <c r="G8384" t="s" s="2">
        <v>17</v>
      </c>
      <c r="H8384" t="s" s="2">
        <v>19</v>
      </c>
      <c r="I8384" t="s" s="2">
        <v>32363</v>
      </c>
      <c r="J8384" t="s" s="2">
        <v>32364</v>
      </c>
      <c r="K8384" t="s" s="2">
        <v>22</v>
      </c>
      <c r="L8384" t="s" s="2">
        <v>22</v>
      </c>
      <c r="M8384" t="s" s="2">
        <v>22</v>
      </c>
    </row>
    <row r="8385" ht="25.0" customHeight="true">
      <c r="A8385" t="s" s="2">
        <v>13</v>
      </c>
      <c r="B8385" t="s" s="2">
        <f>HYPERLINK("http://ts.21cn.com/tousu/show/id/1362683","小赢钱包（摇钱花）支付失败金额产生不退款")</f>
      </c>
      <c r="C8385" t="s" s="2">
        <v>15</v>
      </c>
      <c r="D8385" t="s" s="2">
        <v>16</v>
      </c>
      <c r="E8385" t="s" s="2">
        <v>17</v>
      </c>
      <c r="F8385" t="s" s="2">
        <f>HYPERLINK("http://ts.21cn.com/tousu/show/id/1362683","http://ts.21cn.com/tousu/show/id/1362683")</f>
      </c>
      <c r="G8385" t="s" s="2">
        <v>17</v>
      </c>
      <c r="H8385" t="s" s="2">
        <v>19</v>
      </c>
      <c r="I8385" t="s" s="2">
        <v>32367</v>
      </c>
      <c r="J8385" t="s" s="2">
        <v>32368</v>
      </c>
      <c r="K8385" t="s" s="2">
        <v>22</v>
      </c>
      <c r="L8385" t="s" s="2">
        <v>22</v>
      </c>
      <c r="M8385" t="s" s="2">
        <v>22</v>
      </c>
    </row>
    <row r="8386" ht="25.0" customHeight="true">
      <c r="A8386" t="s" s="2">
        <v>13</v>
      </c>
      <c r="B8386" t="s" s="2">
        <f>HYPERLINK("http://ts.21cn.com/tousu/show/id/1362682","微粒贷暴力催收")</f>
      </c>
      <c r="C8386" t="s" s="2">
        <v>15</v>
      </c>
      <c r="D8386" t="s" s="2">
        <v>16</v>
      </c>
      <c r="E8386" t="s" s="2">
        <v>17</v>
      </c>
      <c r="F8386" t="s" s="2">
        <f>HYPERLINK("http://ts.21cn.com/tousu/show/id/1362682","http://ts.21cn.com/tousu/show/id/1362682")</f>
      </c>
      <c r="G8386" t="s" s="2">
        <v>17</v>
      </c>
      <c r="H8386" t="s" s="2">
        <v>19</v>
      </c>
      <c r="I8386" t="s" s="2">
        <v>32371</v>
      </c>
      <c r="J8386" t="s" s="2">
        <v>32372</v>
      </c>
      <c r="K8386" t="s" s="2">
        <v>22</v>
      </c>
      <c r="L8386" t="s" s="2">
        <v>22</v>
      </c>
      <c r="M8386" t="s" s="2">
        <v>22</v>
      </c>
    </row>
    <row r="8387" ht="25.0" customHeight="true">
      <c r="A8387" t="s" s="2">
        <v>13</v>
      </c>
      <c r="B8387" t="s" s="2">
        <f>HYPERLINK("http://ts.21cn.com/tousu/show/id/1362681","360借条说要搞的我亲戚邻居都知道")</f>
      </c>
      <c r="C8387" t="s" s="2">
        <v>15</v>
      </c>
      <c r="D8387" t="s" s="2">
        <v>16</v>
      </c>
      <c r="E8387" t="s" s="2">
        <v>17</v>
      </c>
      <c r="F8387" t="s" s="2">
        <f>HYPERLINK("http://ts.21cn.com/tousu/show/id/1362681","http://ts.21cn.com/tousu/show/id/1362681")</f>
      </c>
      <c r="G8387" t="s" s="2">
        <v>17</v>
      </c>
      <c r="H8387" t="s" s="2">
        <v>19</v>
      </c>
      <c r="I8387" t="s" s="2">
        <v>32375</v>
      </c>
      <c r="J8387" t="s" s="2">
        <v>32376</v>
      </c>
      <c r="K8387" t="s" s="2">
        <v>22</v>
      </c>
      <c r="L8387" t="s" s="2">
        <v>22</v>
      </c>
      <c r="M8387" t="s" s="2">
        <v>22</v>
      </c>
    </row>
    <row r="8388" ht="25.0" customHeight="true">
      <c r="A8388" t="s" s="2">
        <v>13</v>
      </c>
      <c r="B8388" t="s" s="2">
        <f>HYPERLINK("http://ts.21cn.com/tousu/show/id/1362679","新浪分期利息高，客服态度差")</f>
      </c>
      <c r="C8388" t="s" s="2">
        <v>15</v>
      </c>
      <c r="D8388" t="s" s="2">
        <v>16</v>
      </c>
      <c r="E8388" t="s" s="2">
        <v>17</v>
      </c>
      <c r="F8388" t="s" s="2">
        <f>HYPERLINK("http://ts.21cn.com/tousu/show/id/1362679","http://ts.21cn.com/tousu/show/id/1362679")</f>
      </c>
      <c r="G8388" t="s" s="2">
        <v>17</v>
      </c>
      <c r="H8388" t="s" s="2">
        <v>19</v>
      </c>
      <c r="I8388" t="s" s="2">
        <v>32379</v>
      </c>
      <c r="J8388" t="s" s="2">
        <v>32380</v>
      </c>
      <c r="K8388" t="s" s="2">
        <v>22</v>
      </c>
      <c r="L8388" t="s" s="2">
        <v>22</v>
      </c>
      <c r="M8388" t="s" s="2">
        <v>22</v>
      </c>
    </row>
    <row r="8389" ht="25.0" customHeight="true">
      <c r="A8389" t="s" s="2">
        <v>13</v>
      </c>
      <c r="B8389" t="s" s="2">
        <f>HYPERLINK("http://ts.21cn.com/tousu/show/id/1362678","威胁恐吓高利贷")</f>
      </c>
      <c r="C8389" t="s" s="2">
        <v>15</v>
      </c>
      <c r="D8389" t="s" s="2">
        <v>16</v>
      </c>
      <c r="E8389" t="s" s="2">
        <v>17</v>
      </c>
      <c r="F8389" t="s" s="2">
        <f>HYPERLINK("http://ts.21cn.com/tousu/show/id/1362678","http://ts.21cn.com/tousu/show/id/1362678")</f>
      </c>
      <c r="G8389" t="s" s="2">
        <v>17</v>
      </c>
      <c r="H8389" t="s" s="2">
        <v>19</v>
      </c>
      <c r="I8389" t="s" s="2">
        <v>32383</v>
      </c>
      <c r="J8389" t="s" s="2">
        <v>32384</v>
      </c>
      <c r="K8389" t="s" s="2">
        <v>22</v>
      </c>
      <c r="L8389" t="s" s="2">
        <v>22</v>
      </c>
      <c r="M8389" t="s" s="2">
        <v>22</v>
      </c>
    </row>
    <row r="8390" ht="25.0" customHeight="true">
      <c r="A8390" t="s" s="2">
        <v>13</v>
      </c>
      <c r="B8390" t="s" s="2">
        <f>HYPERLINK("http://ts.21cn.com/tousu/show/id/1362676","洋钱罐借五千半年要还六千")</f>
      </c>
      <c r="C8390" t="s" s="2">
        <v>52</v>
      </c>
      <c r="D8390" t="s" s="2">
        <v>16</v>
      </c>
      <c r="E8390" t="s" s="2">
        <v>17</v>
      </c>
      <c r="F8390" t="s" s="2">
        <f>HYPERLINK("http://ts.21cn.com/tousu/show/id/1362676","http://ts.21cn.com/tousu/show/id/1362676")</f>
      </c>
      <c r="G8390" t="s" s="2">
        <v>17</v>
      </c>
      <c r="H8390" t="s" s="2">
        <v>19</v>
      </c>
      <c r="I8390" t="s" s="2">
        <v>32387</v>
      </c>
      <c r="J8390" t="s" s="2">
        <v>32388</v>
      </c>
      <c r="K8390" t="s" s="2">
        <v>22</v>
      </c>
      <c r="L8390" t="s" s="2">
        <v>22</v>
      </c>
      <c r="M8390" t="s" s="2">
        <v>22</v>
      </c>
    </row>
    <row r="8391" ht="25.0" customHeight="true">
      <c r="A8391" t="s" s="2">
        <v>13</v>
      </c>
      <c r="B8391" t="s" s="2">
        <f>HYPERLINK("http://ts.21cn.com/tousu/show/id/1362674","万达贷暴力催收辱骂")</f>
      </c>
      <c r="C8391" t="s" s="2">
        <v>15</v>
      </c>
      <c r="D8391" t="s" s="2">
        <v>16</v>
      </c>
      <c r="E8391" t="s" s="2">
        <v>17</v>
      </c>
      <c r="F8391" t="s" s="2">
        <f>HYPERLINK("http://ts.21cn.com/tousu/show/id/1362674","http://ts.21cn.com/tousu/show/id/1362674")</f>
      </c>
      <c r="G8391" t="s" s="2">
        <v>17</v>
      </c>
      <c r="H8391" t="s" s="2">
        <v>19</v>
      </c>
      <c r="I8391" t="s" s="2">
        <v>32391</v>
      </c>
      <c r="J8391" t="s" s="2">
        <v>32392</v>
      </c>
      <c r="K8391" t="s" s="2">
        <v>22</v>
      </c>
      <c r="L8391" t="s" s="2">
        <v>22</v>
      </c>
      <c r="M8391" t="s" s="2">
        <v>22</v>
      </c>
    </row>
    <row r="8392" ht="25.0" customHeight="true">
      <c r="A8392" t="s" s="2">
        <v>13</v>
      </c>
      <c r="B8392" t="s" s="2">
        <f>HYPERLINK("http://ts.21cn.com/tousu/show/id/1362675","暴力催收，合同金额与到款金额不符合")</f>
      </c>
      <c r="C8392" t="s" s="2">
        <v>15</v>
      </c>
      <c r="D8392" t="s" s="2">
        <v>16</v>
      </c>
      <c r="E8392" t="s" s="2">
        <v>17</v>
      </c>
      <c r="F8392" t="s" s="2">
        <f>HYPERLINK("http://ts.21cn.com/tousu/show/id/1362675","http://ts.21cn.com/tousu/show/id/1362675")</f>
      </c>
      <c r="G8392" t="s" s="2">
        <v>17</v>
      </c>
      <c r="H8392" t="s" s="2">
        <v>19</v>
      </c>
      <c r="I8392" t="s" s="2">
        <v>32395</v>
      </c>
      <c r="J8392" t="s" s="2">
        <v>32396</v>
      </c>
      <c r="K8392" t="s" s="2">
        <v>22</v>
      </c>
      <c r="L8392" t="s" s="2">
        <v>22</v>
      </c>
      <c r="M8392" t="s" s="2">
        <v>22</v>
      </c>
    </row>
    <row r="8393" ht="25.0" customHeight="true">
      <c r="A8393" t="s" s="2">
        <v>13</v>
      </c>
      <c r="B8393" t="s" s="2">
        <f>HYPERLINK("http://ts.21cn.com/tousu/show/id/1362673","骚扰电话")</f>
      </c>
      <c r="C8393" t="s" s="2">
        <v>15</v>
      </c>
      <c r="D8393" t="s" s="2">
        <v>16</v>
      </c>
      <c r="E8393" t="s" s="2">
        <v>17</v>
      </c>
      <c r="F8393" t="s" s="2">
        <f>HYPERLINK("http://ts.21cn.com/tousu/show/id/1362673","http://ts.21cn.com/tousu/show/id/1362673")</f>
      </c>
      <c r="G8393" t="s" s="2">
        <v>17</v>
      </c>
      <c r="H8393" t="s" s="2">
        <v>19</v>
      </c>
      <c r="I8393" t="s" s="2">
        <v>32398</v>
      </c>
      <c r="J8393" t="s" s="2">
        <v>32399</v>
      </c>
      <c r="K8393" t="s" s="2">
        <v>22</v>
      </c>
      <c r="L8393" t="s" s="2">
        <v>22</v>
      </c>
      <c r="M8393" t="s" s="2">
        <v>22</v>
      </c>
    </row>
    <row r="8394" ht="25.0" customHeight="true">
      <c r="A8394" t="s" s="2">
        <v>13</v>
      </c>
      <c r="B8394" t="s" s="2">
        <f>HYPERLINK("http://ts.21cn.com/tousu/show/id/1362672","万达贷不当催收，威胁联系第三方")</f>
      </c>
      <c r="C8394" t="s" s="2">
        <v>15</v>
      </c>
      <c r="D8394" t="s" s="2">
        <v>16</v>
      </c>
      <c r="E8394" t="s" s="2">
        <v>17</v>
      </c>
      <c r="F8394" t="s" s="2">
        <f>HYPERLINK("http://ts.21cn.com/tousu/show/id/1362672","http://ts.21cn.com/tousu/show/id/1362672")</f>
      </c>
      <c r="G8394" t="s" s="2">
        <v>17</v>
      </c>
      <c r="H8394" t="s" s="2">
        <v>19</v>
      </c>
      <c r="I8394" t="s" s="2">
        <v>32402</v>
      </c>
      <c r="J8394" t="s" s="2">
        <v>32403</v>
      </c>
      <c r="K8394" t="s" s="2">
        <v>22</v>
      </c>
      <c r="L8394" t="s" s="2">
        <v>22</v>
      </c>
      <c r="M8394" t="s" s="2">
        <v>22</v>
      </c>
    </row>
    <row r="8395" ht="25.0" customHeight="true">
      <c r="A8395" t="s" s="2">
        <v>13</v>
      </c>
      <c r="B8395" t="s" s="2">
        <f>HYPERLINK("http://ts.21cn.com/tousu/show/id/1362670","苏宁金融短信骚扰亲友")</f>
      </c>
      <c r="C8395" t="s" s="2">
        <v>15</v>
      </c>
      <c r="D8395" t="s" s="2">
        <v>16</v>
      </c>
      <c r="E8395" t="s" s="2">
        <v>17</v>
      </c>
      <c r="F8395" t="s" s="2">
        <f>HYPERLINK("http://ts.21cn.com/tousu/show/id/1362670","http://ts.21cn.com/tousu/show/id/1362670")</f>
      </c>
      <c r="G8395" t="s" s="2">
        <v>17</v>
      </c>
      <c r="H8395" t="s" s="2">
        <v>19</v>
      </c>
      <c r="I8395" t="s" s="2">
        <v>32406</v>
      </c>
      <c r="J8395" t="s" s="2">
        <v>32407</v>
      </c>
      <c r="K8395" t="s" s="2">
        <v>22</v>
      </c>
      <c r="L8395" t="s" s="2">
        <v>22</v>
      </c>
      <c r="M8395" t="s" s="2">
        <v>22</v>
      </c>
    </row>
    <row r="8396" ht="25.0" customHeight="true">
      <c r="A8396" t="s" s="2">
        <v>13</v>
      </c>
      <c r="B8396" t="s" s="2">
        <f>HYPERLINK("http://ts.21cn.com/tousu/show/id/1362669","按时还款无任何逾期，短信通知家人")</f>
      </c>
      <c r="C8396" t="s" s="2">
        <v>15</v>
      </c>
      <c r="D8396" t="s" s="2">
        <v>16</v>
      </c>
      <c r="E8396" t="s" s="2">
        <v>17</v>
      </c>
      <c r="F8396" t="s" s="2">
        <f>HYPERLINK("http://ts.21cn.com/tousu/show/id/1362669","http://ts.21cn.com/tousu/show/id/1362669")</f>
      </c>
      <c r="G8396" t="s" s="2">
        <v>17</v>
      </c>
      <c r="H8396" t="s" s="2">
        <v>19</v>
      </c>
      <c r="I8396" t="s" s="2">
        <v>32410</v>
      </c>
      <c r="J8396" t="s" s="2">
        <v>32411</v>
      </c>
      <c r="K8396" t="s" s="2">
        <v>22</v>
      </c>
      <c r="L8396" t="s" s="2">
        <v>22</v>
      </c>
      <c r="M8396" t="s" s="2">
        <v>22</v>
      </c>
    </row>
    <row r="8397" ht="25.0" customHeight="true">
      <c r="A8397" t="s" s="2">
        <v>13</v>
      </c>
      <c r="B8397" t="s" s="2">
        <f>HYPERLINK("http://ts.21cn.com/tousu/show/id/1361710","购买的螃蟹重量小了一半还有一只死蟹")</f>
      </c>
      <c r="C8397" t="s" s="2">
        <v>15</v>
      </c>
      <c r="D8397" t="s" s="2">
        <v>16</v>
      </c>
      <c r="E8397" t="s" s="2">
        <v>17</v>
      </c>
      <c r="F8397" t="s" s="2">
        <f>HYPERLINK("http://ts.21cn.com/tousu/show/id/1361710","http://ts.21cn.com/tousu/show/id/1361710")</f>
      </c>
      <c r="G8397" t="s" s="2">
        <v>17</v>
      </c>
      <c r="H8397" t="s" s="2">
        <v>19</v>
      </c>
      <c r="I8397" t="s" s="2">
        <v>32410</v>
      </c>
      <c r="J8397" t="s" s="2">
        <v>32414</v>
      </c>
      <c r="K8397" t="s" s="2">
        <v>22</v>
      </c>
      <c r="L8397" t="s" s="2">
        <v>22</v>
      </c>
      <c r="M8397" t="s" s="2">
        <v>22</v>
      </c>
    </row>
    <row r="8398" ht="25.0" customHeight="true">
      <c r="A8398" t="s" s="2">
        <v>13</v>
      </c>
      <c r="B8398" t="s" s="2">
        <f>HYPERLINK("http://ts.21cn.com/tousu/show/id/1362671","立借高利贷，暴力催收")</f>
      </c>
      <c r="C8398" t="s" s="2">
        <v>15</v>
      </c>
      <c r="D8398" t="s" s="2">
        <v>16</v>
      </c>
      <c r="E8398" t="s" s="2">
        <v>17</v>
      </c>
      <c r="F8398" t="s" s="2">
        <f>HYPERLINK("http://ts.21cn.com/tousu/show/id/1362671","http://ts.21cn.com/tousu/show/id/1362671")</f>
      </c>
      <c r="G8398" t="s" s="2">
        <v>17</v>
      </c>
      <c r="H8398" t="s" s="2">
        <v>19</v>
      </c>
      <c r="I8398" t="s" s="2">
        <v>32417</v>
      </c>
      <c r="J8398" t="s" s="2">
        <v>32418</v>
      </c>
      <c r="K8398" t="s" s="2">
        <v>22</v>
      </c>
      <c r="L8398" t="s" s="2">
        <v>22</v>
      </c>
      <c r="M8398" t="s" s="2">
        <v>22</v>
      </c>
    </row>
    <row r="8399" ht="25.0" customHeight="true">
      <c r="A8399" t="s" s="2">
        <v>13</v>
      </c>
      <c r="B8399" t="s" s="2">
        <f>HYPERLINK("http://ts.21cn.com/tousu/show/id/1358351","平安信用卡要求恢复原来额度")</f>
      </c>
      <c r="C8399" t="s" s="2">
        <v>15</v>
      </c>
      <c r="D8399" t="s" s="2">
        <v>16</v>
      </c>
      <c r="E8399" t="s" s="2">
        <v>17</v>
      </c>
      <c r="F8399" t="s" s="2">
        <f>HYPERLINK("http://ts.21cn.com/tousu/show/id/1358351","http://ts.21cn.com/tousu/show/id/1358351")</f>
      </c>
      <c r="G8399" t="s" s="2">
        <v>17</v>
      </c>
      <c r="H8399" t="s" s="2">
        <v>19</v>
      </c>
      <c r="I8399" t="s" s="2">
        <v>32421</v>
      </c>
      <c r="J8399" t="s" s="2">
        <v>32422</v>
      </c>
      <c r="K8399" t="s" s="2">
        <v>22</v>
      </c>
      <c r="L8399" t="s" s="2">
        <v>22</v>
      </c>
      <c r="M8399" t="s" s="2">
        <v>22</v>
      </c>
    </row>
    <row r="8400" ht="25.0" customHeight="true">
      <c r="A8400" t="s" s="2">
        <v>13</v>
      </c>
      <c r="B8400" t="s" s="2">
        <f>HYPERLINK("http://ts.21cn.com/tousu/show/id/1362668","美团金融轰炸我公司电话")</f>
      </c>
      <c r="C8400" t="s" s="2">
        <v>15</v>
      </c>
      <c r="D8400" t="s" s="2">
        <v>16</v>
      </c>
      <c r="E8400" t="s" s="2">
        <v>17</v>
      </c>
      <c r="F8400" t="s" s="2">
        <f>HYPERLINK("http://ts.21cn.com/tousu/show/id/1362668","http://ts.21cn.com/tousu/show/id/1362668")</f>
      </c>
      <c r="G8400" t="s" s="2">
        <v>17</v>
      </c>
      <c r="H8400" t="s" s="2">
        <v>19</v>
      </c>
      <c r="I8400" t="s" s="2">
        <v>32425</v>
      </c>
      <c r="J8400" t="s" s="2">
        <v>32426</v>
      </c>
      <c r="K8400" t="s" s="2">
        <v>22</v>
      </c>
      <c r="L8400" t="s" s="2">
        <v>22</v>
      </c>
      <c r="M8400" t="s" s="2">
        <v>22</v>
      </c>
    </row>
    <row r="8401" ht="25.0" customHeight="true">
      <c r="A8401" t="s" s="2">
        <v>13</v>
      </c>
      <c r="B8401" t="s" s="2">
        <f>HYPERLINK("http://ts.21cn.com/tousu/show/id/1362666","买了个包包付款了商家说没货也不退钱")</f>
      </c>
      <c r="C8401" t="s" s="2">
        <v>15</v>
      </c>
      <c r="D8401" t="s" s="2">
        <v>16</v>
      </c>
      <c r="E8401" t="s" s="2">
        <v>17</v>
      </c>
      <c r="F8401" t="s" s="2">
        <f>HYPERLINK("http://ts.21cn.com/tousu/show/id/1362666","http://ts.21cn.com/tousu/show/id/1362666")</f>
      </c>
      <c r="G8401" t="s" s="2">
        <v>17</v>
      </c>
      <c r="H8401" t="s" s="2">
        <v>19</v>
      </c>
      <c r="I8401" t="s" s="2">
        <v>32429</v>
      </c>
      <c r="J8401" t="s" s="2">
        <v>32430</v>
      </c>
      <c r="K8401" t="s" s="2">
        <v>22</v>
      </c>
      <c r="L8401" t="s" s="2">
        <v>22</v>
      </c>
      <c r="M8401" t="s" s="2">
        <v>22</v>
      </c>
    </row>
    <row r="8402" ht="25.0" customHeight="true">
      <c r="A8402" t="s" s="2">
        <v>13</v>
      </c>
      <c r="B8402" t="s" s="2">
        <f>HYPERLINK("http://ts.21cn.com/tousu/show/id/1362667","友缘在线恶意扣款")</f>
      </c>
      <c r="C8402" t="s" s="2">
        <v>15</v>
      </c>
      <c r="D8402" t="s" s="2">
        <v>16</v>
      </c>
      <c r="E8402" t="s" s="2">
        <v>17</v>
      </c>
      <c r="F8402" t="s" s="2">
        <f>HYPERLINK("http://ts.21cn.com/tousu/show/id/1362667","http://ts.21cn.com/tousu/show/id/1362667")</f>
      </c>
      <c r="G8402" t="s" s="2">
        <v>17</v>
      </c>
      <c r="H8402" t="s" s="2">
        <v>19</v>
      </c>
      <c r="I8402" t="s" s="2">
        <v>32433</v>
      </c>
      <c r="J8402" t="s" s="2">
        <v>32434</v>
      </c>
      <c r="K8402" t="s" s="2">
        <v>22</v>
      </c>
      <c r="L8402" t="s" s="2">
        <v>22</v>
      </c>
      <c r="M8402" t="s" s="2">
        <v>22</v>
      </c>
    </row>
    <row r="8403" ht="25.0" customHeight="true">
      <c r="A8403" t="s" s="2">
        <v>13</v>
      </c>
      <c r="B8403" t="s" s="2">
        <f>HYPERLINK("http://ts.21cn.com/tousu/show/id/1362664","钱站注销账户困难")</f>
      </c>
      <c r="C8403" t="s" s="2">
        <v>15</v>
      </c>
      <c r="D8403" t="s" s="2">
        <v>16</v>
      </c>
      <c r="E8403" t="s" s="2">
        <v>17</v>
      </c>
      <c r="F8403" t="s" s="2">
        <f>HYPERLINK("http://ts.21cn.com/tousu/show/id/1362664","http://ts.21cn.com/tousu/show/id/1362664")</f>
      </c>
      <c r="G8403" t="s" s="2">
        <v>17</v>
      </c>
      <c r="H8403" t="s" s="2">
        <v>19</v>
      </c>
      <c r="I8403" t="s" s="2">
        <v>32437</v>
      </c>
      <c r="J8403" t="s" s="2">
        <v>32438</v>
      </c>
      <c r="K8403" t="s" s="2">
        <v>22</v>
      </c>
      <c r="L8403" t="s" s="2">
        <v>22</v>
      </c>
      <c r="M8403" t="s" s="2">
        <v>22</v>
      </c>
    </row>
    <row r="8404" ht="25.0" customHeight="true">
      <c r="A8404" t="s" s="2">
        <v>13</v>
      </c>
      <c r="B8404" t="s" s="2">
        <f>HYPERLINK("http://ts.21cn.com/tousu/show/id/1362662","拼多多包庇店家洗黑钱")</f>
      </c>
      <c r="C8404" t="s" s="2">
        <v>15</v>
      </c>
      <c r="D8404" t="s" s="2">
        <v>16</v>
      </c>
      <c r="E8404" t="s" s="2">
        <v>17</v>
      </c>
      <c r="F8404" t="s" s="2">
        <f>HYPERLINK("http://ts.21cn.com/tousu/show/id/1362662","http://ts.21cn.com/tousu/show/id/1362662")</f>
      </c>
      <c r="G8404" t="s" s="2">
        <v>17</v>
      </c>
      <c r="H8404" t="s" s="2">
        <v>19</v>
      </c>
      <c r="I8404" t="s" s="2">
        <v>32441</v>
      </c>
      <c r="J8404" t="s" s="2">
        <v>32442</v>
      </c>
      <c r="K8404" t="s" s="2">
        <v>22</v>
      </c>
      <c r="L8404" t="s" s="2">
        <v>22</v>
      </c>
      <c r="M8404" t="s" s="2">
        <v>22</v>
      </c>
    </row>
    <row r="8405" ht="25.0" customHeight="true">
      <c r="A8405" t="s" s="2">
        <v>13</v>
      </c>
      <c r="B8405" t="s" s="2">
        <f>HYPERLINK("http://ts.21cn.com/tousu/show/id/1362663","快来贷我没借你们公司的钱，为什么发信息给我。")</f>
      </c>
      <c r="C8405" t="s" s="2">
        <v>15</v>
      </c>
      <c r="D8405" t="s" s="2">
        <v>16</v>
      </c>
      <c r="E8405" t="s" s="2">
        <v>17</v>
      </c>
      <c r="F8405" t="s" s="2">
        <f>HYPERLINK("http://ts.21cn.com/tousu/show/id/1362663","http://ts.21cn.com/tousu/show/id/1362663")</f>
      </c>
      <c r="G8405" t="s" s="2">
        <v>17</v>
      </c>
      <c r="H8405" t="s" s="2">
        <v>19</v>
      </c>
      <c r="I8405" t="s" s="2">
        <v>32445</v>
      </c>
      <c r="J8405" t="s" s="2">
        <v>32446</v>
      </c>
      <c r="K8405" t="s" s="2">
        <v>22</v>
      </c>
      <c r="L8405" t="s" s="2">
        <v>22</v>
      </c>
      <c r="M8405" t="s" s="2">
        <v>22</v>
      </c>
    </row>
    <row r="8406" ht="25.0" customHeight="true">
      <c r="A8406" t="s" s="2">
        <v>13</v>
      </c>
      <c r="B8406" t="s" s="2">
        <f>HYPERLINK("http://ts.21cn.com/tousu/show/id/1362661","购买了会员卡没发货没收到东西")</f>
      </c>
      <c r="C8406" t="s" s="2">
        <v>15</v>
      </c>
      <c r="D8406" t="s" s="2">
        <v>16</v>
      </c>
      <c r="E8406" t="s" s="2">
        <v>17</v>
      </c>
      <c r="F8406" t="s" s="2">
        <f>HYPERLINK("http://ts.21cn.com/tousu/show/id/1362661","http://ts.21cn.com/tousu/show/id/1362661")</f>
      </c>
      <c r="G8406" t="s" s="2">
        <v>17</v>
      </c>
      <c r="H8406" t="s" s="2">
        <v>19</v>
      </c>
      <c r="I8406" t="s" s="2">
        <v>32449</v>
      </c>
      <c r="J8406" t="s" s="2">
        <v>32450</v>
      </c>
      <c r="K8406" t="s" s="2">
        <v>22</v>
      </c>
      <c r="L8406" t="s" s="2">
        <v>22</v>
      </c>
      <c r="M8406" t="s" s="2">
        <v>22</v>
      </c>
    </row>
    <row r="8407" ht="25.0" customHeight="true">
      <c r="A8407" t="s" s="2">
        <v>13</v>
      </c>
      <c r="B8407" t="s" s="2">
        <f>HYPERLINK("http://ts.21cn.com/tousu/show/id/1362660","马春良、马上金融")</f>
      </c>
      <c r="C8407" t="s" s="2">
        <v>52</v>
      </c>
      <c r="D8407" t="s" s="2">
        <v>16</v>
      </c>
      <c r="E8407" t="s" s="2">
        <v>17</v>
      </c>
      <c r="F8407" t="s" s="2">
        <f>HYPERLINK("http://ts.21cn.com/tousu/show/id/1362660","http://ts.21cn.com/tousu/show/id/1362660")</f>
      </c>
      <c r="G8407" t="s" s="2">
        <v>17</v>
      </c>
      <c r="H8407" t="s" s="2">
        <v>19</v>
      </c>
      <c r="I8407" t="s" s="2">
        <v>32453</v>
      </c>
      <c r="J8407" t="s" s="2">
        <v>32454</v>
      </c>
      <c r="K8407" t="s" s="2">
        <v>22</v>
      </c>
      <c r="L8407" t="s" s="2">
        <v>22</v>
      </c>
      <c r="M8407" t="s" s="2">
        <v>22</v>
      </c>
    </row>
    <row r="8408" ht="25.0" customHeight="true">
      <c r="A8408" t="s" s="2">
        <v>13</v>
      </c>
      <c r="B8408" t="s" s="2">
        <f>HYPERLINK("http://ts.21cn.com/tousu/show/id/1362659","我来贷变相收取高额催收费")</f>
      </c>
      <c r="C8408" t="s" s="2">
        <v>15</v>
      </c>
      <c r="D8408" t="s" s="2">
        <v>16</v>
      </c>
      <c r="E8408" t="s" s="2">
        <v>17</v>
      </c>
      <c r="F8408" t="s" s="2">
        <f>HYPERLINK("http://ts.21cn.com/tousu/show/id/1362659","http://ts.21cn.com/tousu/show/id/1362659")</f>
      </c>
      <c r="G8408" t="s" s="2">
        <v>17</v>
      </c>
      <c r="H8408" t="s" s="2">
        <v>19</v>
      </c>
      <c r="I8408" t="s" s="2">
        <v>32457</v>
      </c>
      <c r="J8408" t="s" s="2">
        <v>32458</v>
      </c>
      <c r="K8408" t="s" s="2">
        <v>22</v>
      </c>
      <c r="L8408" t="s" s="2">
        <v>22</v>
      </c>
      <c r="M8408" t="s" s="2">
        <v>22</v>
      </c>
    </row>
    <row r="8409" ht="25.0" customHeight="true">
      <c r="A8409" t="s" s="2">
        <v>13</v>
      </c>
      <c r="B8409" t="s" s="2">
        <f>HYPERLINK("http://ts.21cn.com/tousu/show/id/1362658","秒购APP砍头息高利贷")</f>
      </c>
      <c r="C8409" t="s" s="2">
        <v>15</v>
      </c>
      <c r="D8409" t="s" s="2">
        <v>16</v>
      </c>
      <c r="E8409" t="s" s="2">
        <v>17</v>
      </c>
      <c r="F8409" t="s" s="2">
        <f>HYPERLINK("http://ts.21cn.com/tousu/show/id/1362658","http://ts.21cn.com/tousu/show/id/1362658")</f>
      </c>
      <c r="G8409" t="s" s="2">
        <v>17</v>
      </c>
      <c r="H8409" t="s" s="2">
        <v>19</v>
      </c>
      <c r="I8409" t="s" s="2">
        <v>32461</v>
      </c>
      <c r="J8409" t="s" s="2">
        <v>32462</v>
      </c>
      <c r="K8409" t="s" s="2">
        <v>22</v>
      </c>
      <c r="L8409" t="s" s="2">
        <v>22</v>
      </c>
      <c r="M8409" t="s" s="2">
        <v>22</v>
      </c>
    </row>
    <row r="8410" ht="25.0" customHeight="true">
      <c r="A8410" t="s" s="2">
        <v>13</v>
      </c>
      <c r="B8410" t="s" s="2">
        <f>HYPERLINK("http://ts.21cn.com/tousu/show/id/1362656","凡普信恶意催收威胁")</f>
      </c>
      <c r="C8410" t="s" s="2">
        <v>15</v>
      </c>
      <c r="D8410" t="s" s="2">
        <v>16</v>
      </c>
      <c r="E8410" t="s" s="2">
        <v>17</v>
      </c>
      <c r="F8410" t="s" s="2">
        <f>HYPERLINK("http://ts.21cn.com/tousu/show/id/1362656","http://ts.21cn.com/tousu/show/id/1362656")</f>
      </c>
      <c r="G8410" t="s" s="2">
        <v>17</v>
      </c>
      <c r="H8410" t="s" s="2">
        <v>19</v>
      </c>
      <c r="I8410" t="s" s="2">
        <v>32465</v>
      </c>
      <c r="J8410" t="s" s="2">
        <v>32466</v>
      </c>
      <c r="K8410" t="s" s="2">
        <v>22</v>
      </c>
      <c r="L8410" t="s" s="2">
        <v>22</v>
      </c>
      <c r="M8410" t="s" s="2">
        <v>22</v>
      </c>
    </row>
    <row r="8411" ht="25.0" customHeight="true">
      <c r="A8411" t="s" s="2">
        <v>13</v>
      </c>
      <c r="B8411" t="s" s="2">
        <f>HYPERLINK("http://ts.21cn.com/tousu/show/id/1362655","及贷骚扰联系人")</f>
      </c>
      <c r="C8411" t="s" s="2">
        <v>15</v>
      </c>
      <c r="D8411" t="s" s="2">
        <v>16</v>
      </c>
      <c r="E8411" t="s" s="2">
        <v>17</v>
      </c>
      <c r="F8411" t="s" s="2">
        <f>HYPERLINK("http://ts.21cn.com/tousu/show/id/1362655","http://ts.21cn.com/tousu/show/id/1362655")</f>
      </c>
      <c r="G8411" t="s" s="2">
        <v>17</v>
      </c>
      <c r="H8411" t="s" s="2">
        <v>19</v>
      </c>
      <c r="I8411" t="s" s="2">
        <v>32469</v>
      </c>
      <c r="J8411" t="s" s="2">
        <v>32470</v>
      </c>
      <c r="K8411" t="s" s="2">
        <v>22</v>
      </c>
      <c r="L8411" t="s" s="2">
        <v>22</v>
      </c>
      <c r="M8411" t="s" s="2">
        <v>22</v>
      </c>
    </row>
    <row r="8412" ht="25.0" customHeight="true">
      <c r="A8412" t="s" s="2">
        <v>13</v>
      </c>
      <c r="B8412" t="s" s="2">
        <f>HYPERLINK("http://ts.21cn.com/tousu/show/id/1362654","捷信欺诈消费")</f>
      </c>
      <c r="C8412" t="s" s="2">
        <v>15</v>
      </c>
      <c r="D8412" t="s" s="2">
        <v>16</v>
      </c>
      <c r="E8412" t="s" s="2">
        <v>17</v>
      </c>
      <c r="F8412" t="s" s="2">
        <f>HYPERLINK("http://ts.21cn.com/tousu/show/id/1362654","http://ts.21cn.com/tousu/show/id/1362654")</f>
      </c>
      <c r="G8412" t="s" s="2">
        <v>17</v>
      </c>
      <c r="H8412" t="s" s="2">
        <v>19</v>
      </c>
      <c r="I8412" t="s" s="2">
        <v>32473</v>
      </c>
      <c r="J8412" t="s" s="2">
        <v>32474</v>
      </c>
      <c r="K8412" t="s" s="2">
        <v>22</v>
      </c>
      <c r="L8412" t="s" s="2">
        <v>22</v>
      </c>
      <c r="M8412" t="s" s="2">
        <v>22</v>
      </c>
    </row>
    <row r="8413" ht="25.0" customHeight="true">
      <c r="A8413" t="s" s="2">
        <v>13</v>
      </c>
      <c r="B8413" t="s" s="2">
        <f>HYPERLINK("http://ts.21cn.com/tousu/show/id/1362653","高额利息且到期无客服可联系到")</f>
      </c>
      <c r="C8413" t="s" s="2">
        <v>15</v>
      </c>
      <c r="D8413" t="s" s="2">
        <v>16</v>
      </c>
      <c r="E8413" t="s" s="2">
        <v>17</v>
      </c>
      <c r="F8413" t="s" s="2">
        <f>HYPERLINK("http://ts.21cn.com/tousu/show/id/1362653","http://ts.21cn.com/tousu/show/id/1362653")</f>
      </c>
      <c r="G8413" t="s" s="2">
        <v>17</v>
      </c>
      <c r="H8413" t="s" s="2">
        <v>19</v>
      </c>
      <c r="I8413" t="s" s="2">
        <v>32477</v>
      </c>
      <c r="J8413" t="s" s="2">
        <v>32478</v>
      </c>
      <c r="K8413" t="s" s="2">
        <v>22</v>
      </c>
      <c r="L8413" t="s" s="2">
        <v>22</v>
      </c>
      <c r="M8413" t="s" s="2">
        <v>22</v>
      </c>
    </row>
    <row r="8414" ht="25.0" customHeight="true">
      <c r="A8414" t="s" s="2">
        <v>13</v>
      </c>
      <c r="B8414" t="s" s="2">
        <f>HYPERLINK("http://ts.21cn.com/tousu/show/id/1362652","平安普惠协商还款变相砍头息")</f>
      </c>
      <c r="C8414" t="s" s="2">
        <v>15</v>
      </c>
      <c r="D8414" t="s" s="2">
        <v>16</v>
      </c>
      <c r="E8414" t="s" s="2">
        <v>17</v>
      </c>
      <c r="F8414" t="s" s="2">
        <f>HYPERLINK("http://ts.21cn.com/tousu/show/id/1362652","http://ts.21cn.com/tousu/show/id/1362652")</f>
      </c>
      <c r="G8414" t="s" s="2">
        <v>17</v>
      </c>
      <c r="H8414" t="s" s="2">
        <v>19</v>
      </c>
      <c r="I8414" t="s" s="2">
        <v>32481</v>
      </c>
      <c r="J8414" t="s" s="2">
        <v>32482</v>
      </c>
      <c r="K8414" t="s" s="2">
        <v>22</v>
      </c>
      <c r="L8414" t="s" s="2">
        <v>22</v>
      </c>
      <c r="M8414" t="s" s="2">
        <v>22</v>
      </c>
    </row>
    <row r="8415" ht="25.0" customHeight="true">
      <c r="A8415" t="s" s="2">
        <v>13</v>
      </c>
      <c r="B8415" t="s" s="2">
        <f>HYPERLINK("http://ts.21cn.com/tousu/show/id/1362650","软暴力催收")</f>
      </c>
      <c r="C8415" t="s" s="2">
        <v>15</v>
      </c>
      <c r="D8415" t="s" s="2">
        <v>16</v>
      </c>
      <c r="E8415" t="s" s="2">
        <v>17</v>
      </c>
      <c r="F8415" t="s" s="2">
        <f>HYPERLINK("http://ts.21cn.com/tousu/show/id/1362650","http://ts.21cn.com/tousu/show/id/1362650")</f>
      </c>
      <c r="G8415" t="s" s="2">
        <v>17</v>
      </c>
      <c r="H8415" t="s" s="2">
        <v>19</v>
      </c>
      <c r="I8415" t="s" s="2">
        <v>32484</v>
      </c>
      <c r="J8415" t="s" s="2">
        <v>32485</v>
      </c>
      <c r="K8415" t="s" s="2">
        <v>22</v>
      </c>
      <c r="L8415" t="s" s="2">
        <v>22</v>
      </c>
      <c r="M8415" t="s" s="2">
        <v>22</v>
      </c>
    </row>
    <row r="8416" ht="25.0" customHeight="true">
      <c r="A8416" t="s" s="2">
        <v>13</v>
      </c>
      <c r="B8416" t="s" s="2">
        <f>HYPERLINK("http://ts.21cn.com/tousu/show/id/1362651","敏付违规操作")</f>
      </c>
      <c r="C8416" t="s" s="2">
        <v>15</v>
      </c>
      <c r="D8416" t="s" s="2">
        <v>16</v>
      </c>
      <c r="E8416" t="s" s="2">
        <v>17</v>
      </c>
      <c r="F8416" t="s" s="2">
        <f>HYPERLINK("http://ts.21cn.com/tousu/show/id/1362651","http://ts.21cn.com/tousu/show/id/1362651")</f>
      </c>
      <c r="G8416" t="s" s="2">
        <v>17</v>
      </c>
      <c r="H8416" t="s" s="2">
        <v>19</v>
      </c>
      <c r="I8416" t="s" s="2">
        <v>32488</v>
      </c>
      <c r="J8416" t="s" s="2">
        <v>32489</v>
      </c>
      <c r="K8416" t="s" s="2">
        <v>22</v>
      </c>
      <c r="L8416" t="s" s="2">
        <v>22</v>
      </c>
      <c r="M8416" t="s" s="2">
        <v>22</v>
      </c>
    </row>
    <row r="8417" ht="25.0" customHeight="true">
      <c r="A8417" t="s" s="2">
        <v>13</v>
      </c>
      <c r="B8417" t="s" s="2">
        <f>HYPERLINK("http://ts.21cn.com/tousu/show/id/1362649","威胁催收恐吓")</f>
      </c>
      <c r="C8417" t="s" s="2">
        <v>15</v>
      </c>
      <c r="D8417" t="s" s="2">
        <v>16</v>
      </c>
      <c r="E8417" t="s" s="2">
        <v>17</v>
      </c>
      <c r="F8417" t="s" s="2">
        <f>HYPERLINK("http://ts.21cn.com/tousu/show/id/1362649","http://ts.21cn.com/tousu/show/id/1362649")</f>
      </c>
      <c r="G8417" t="s" s="2">
        <v>17</v>
      </c>
      <c r="H8417" t="s" s="2">
        <v>19</v>
      </c>
      <c r="I8417" t="s" s="2">
        <v>32492</v>
      </c>
      <c r="J8417" t="s" s="2">
        <v>32493</v>
      </c>
      <c r="K8417" t="s" s="2">
        <v>22</v>
      </c>
      <c r="L8417" t="s" s="2">
        <v>22</v>
      </c>
      <c r="M8417" t="s" s="2">
        <v>22</v>
      </c>
    </row>
    <row r="8418" ht="25.0" customHeight="true">
      <c r="A8418" t="s" s="2">
        <v>13</v>
      </c>
      <c r="B8418" t="s" s="2">
        <f>HYPERLINK("http://ts.21cn.com/tousu/show/id/1362628","7天高利贷")</f>
      </c>
      <c r="C8418" t="s" s="2">
        <v>15</v>
      </c>
      <c r="D8418" t="s" s="2">
        <v>16</v>
      </c>
      <c r="E8418" t="s" s="2">
        <v>17</v>
      </c>
      <c r="F8418" t="s" s="2">
        <f>HYPERLINK("http://ts.21cn.com/tousu/show/id/1362628","http://ts.21cn.com/tousu/show/id/1362628")</f>
      </c>
      <c r="G8418" t="s" s="2">
        <v>17</v>
      </c>
      <c r="H8418" t="s" s="2">
        <v>19</v>
      </c>
      <c r="I8418" t="s" s="2">
        <v>32496</v>
      </c>
      <c r="J8418" t="s" s="2">
        <v>32497</v>
      </c>
      <c r="K8418" t="s" s="2">
        <v>22</v>
      </c>
      <c r="L8418" t="s" s="2">
        <v>22</v>
      </c>
      <c r="M8418" t="s" s="2">
        <v>22</v>
      </c>
    </row>
    <row r="8419" ht="25.0" customHeight="true">
      <c r="A8419" t="s" s="2">
        <v>13</v>
      </c>
      <c r="B8419" t="s" s="2">
        <f>HYPERLINK("http://ts.21cn.com/tousu/show/id/1362647","立借钱置宝高利贷")</f>
      </c>
      <c r="C8419" t="s" s="2">
        <v>15</v>
      </c>
      <c r="D8419" t="s" s="2">
        <v>16</v>
      </c>
      <c r="E8419" t="s" s="2">
        <v>17</v>
      </c>
      <c r="F8419" t="s" s="2">
        <f>HYPERLINK("http://ts.21cn.com/tousu/show/id/1362647","http://ts.21cn.com/tousu/show/id/1362647")</f>
      </c>
      <c r="G8419" t="s" s="2">
        <v>17</v>
      </c>
      <c r="H8419" t="s" s="2">
        <v>19</v>
      </c>
      <c r="I8419" t="s" s="2">
        <v>32499</v>
      </c>
      <c r="J8419" t="s" s="2">
        <v>32500</v>
      </c>
      <c r="K8419" t="s" s="2">
        <v>22</v>
      </c>
      <c r="L8419" t="s" s="2">
        <v>22</v>
      </c>
      <c r="M8419" t="s" s="2">
        <v>22</v>
      </c>
    </row>
    <row r="8420" ht="25.0" customHeight="true">
      <c r="A8420" t="s" s="2">
        <v>13</v>
      </c>
      <c r="B8420" t="s" s="2">
        <f>HYPERLINK("http://ts.21cn.com/tousu/show/id/1362629","拿钱花呗在本人不知情的情况下扣款")</f>
      </c>
      <c r="C8420" t="s" s="2">
        <v>15</v>
      </c>
      <c r="D8420" t="s" s="2">
        <v>16</v>
      </c>
      <c r="E8420" t="s" s="2">
        <v>17</v>
      </c>
      <c r="F8420" t="s" s="2">
        <f>HYPERLINK("http://ts.21cn.com/tousu/show/id/1362629","http://ts.21cn.com/tousu/show/id/1362629")</f>
      </c>
      <c r="G8420" t="s" s="2">
        <v>17</v>
      </c>
      <c r="H8420" t="s" s="2">
        <v>19</v>
      </c>
      <c r="I8420" t="s" s="2">
        <v>32503</v>
      </c>
      <c r="J8420" t="s" s="2">
        <v>32504</v>
      </c>
      <c r="K8420" t="s" s="2">
        <v>22</v>
      </c>
      <c r="L8420" t="s" s="2">
        <v>22</v>
      </c>
      <c r="M8420" t="s" s="2">
        <v>22</v>
      </c>
    </row>
    <row r="8421" ht="25.0" customHeight="true">
      <c r="A8421" t="s" s="2">
        <v>13</v>
      </c>
      <c r="B8421" t="s" s="2">
        <f>HYPERLINK("http://ts.21cn.com/tousu/show/id/1362645","多次与兴业银行进行协商，根本无法与催收人员沟通")</f>
      </c>
      <c r="C8421" t="s" s="2">
        <v>15</v>
      </c>
      <c r="D8421" t="s" s="2">
        <v>16</v>
      </c>
      <c r="E8421" t="s" s="2">
        <v>17</v>
      </c>
      <c r="F8421" t="s" s="2">
        <f>HYPERLINK("http://ts.21cn.com/tousu/show/id/1362645","http://ts.21cn.com/tousu/show/id/1362645")</f>
      </c>
      <c r="G8421" t="s" s="2">
        <v>17</v>
      </c>
      <c r="H8421" t="s" s="2">
        <v>19</v>
      </c>
      <c r="I8421" t="s" s="2">
        <v>32507</v>
      </c>
      <c r="J8421" t="s" s="2">
        <v>32508</v>
      </c>
      <c r="K8421" t="s" s="2">
        <v>22</v>
      </c>
      <c r="L8421" t="s" s="2">
        <v>22</v>
      </c>
      <c r="M8421" t="s" s="2">
        <v>22</v>
      </c>
    </row>
    <row r="8422" ht="25.0" customHeight="true">
      <c r="A8422" t="s" s="2">
        <v>13</v>
      </c>
      <c r="B8422" t="s" s="2">
        <f>HYPERLINK("http://ts.21cn.com/tousu/show/id/1362643","新浪分期逾期威胁还款，利息高出规定")</f>
      </c>
      <c r="C8422" t="s" s="2">
        <v>15</v>
      </c>
      <c r="D8422" t="s" s="2">
        <v>16</v>
      </c>
      <c r="E8422" t="s" s="2">
        <v>17</v>
      </c>
      <c r="F8422" t="s" s="2">
        <f>HYPERLINK("http://ts.21cn.com/tousu/show/id/1362643","http://ts.21cn.com/tousu/show/id/1362643")</f>
      </c>
      <c r="G8422" t="s" s="2">
        <v>17</v>
      </c>
      <c r="H8422" t="s" s="2">
        <v>19</v>
      </c>
      <c r="I8422" t="s" s="2">
        <v>32511</v>
      </c>
      <c r="J8422" t="s" s="2">
        <v>32512</v>
      </c>
      <c r="K8422" t="s" s="2">
        <v>22</v>
      </c>
      <c r="L8422" t="s" s="2">
        <v>22</v>
      </c>
      <c r="M8422" t="s" s="2">
        <v>22</v>
      </c>
    </row>
    <row r="8423" ht="25.0" customHeight="true">
      <c r="A8423" t="s" s="2">
        <v>13</v>
      </c>
      <c r="B8423" t="s" s="2">
        <f>HYPERLINK("http://ts.21cn.com/tousu/show/id/1362642","京东永久专卖店自行车实物与宣传图片不符")</f>
      </c>
      <c r="C8423" t="s" s="2">
        <v>15</v>
      </c>
      <c r="D8423" t="s" s="2">
        <v>16</v>
      </c>
      <c r="E8423" t="s" s="2">
        <v>17</v>
      </c>
      <c r="F8423" t="s" s="2">
        <f>HYPERLINK("http://ts.21cn.com/tousu/show/id/1362642","http://ts.21cn.com/tousu/show/id/1362642")</f>
      </c>
      <c r="G8423" t="s" s="2">
        <v>17</v>
      </c>
      <c r="H8423" t="s" s="2">
        <v>19</v>
      </c>
      <c r="I8423" t="s" s="2">
        <v>32515</v>
      </c>
      <c r="J8423" t="s" s="2">
        <v>32516</v>
      </c>
      <c r="K8423" t="s" s="2">
        <v>22</v>
      </c>
      <c r="L8423" t="s" s="2">
        <v>22</v>
      </c>
      <c r="M8423" t="s" s="2">
        <v>22</v>
      </c>
    </row>
    <row r="8424" ht="25.0" customHeight="true">
      <c r="A8424" t="s" s="2">
        <v>13</v>
      </c>
      <c r="B8424" t="s" s="2">
        <f>HYPERLINK("http://ts.21cn.com/tousu/show/id/1362641","钱站阴阳合同，高利贷，不诚信")</f>
      </c>
      <c r="C8424" t="s" s="2">
        <v>15</v>
      </c>
      <c r="D8424" t="s" s="2">
        <v>16</v>
      </c>
      <c r="E8424" t="s" s="2">
        <v>17</v>
      </c>
      <c r="F8424" t="s" s="2">
        <f>HYPERLINK("http://ts.21cn.com/tousu/show/id/1362641","http://ts.21cn.com/tousu/show/id/1362641")</f>
      </c>
      <c r="G8424" t="s" s="2">
        <v>17</v>
      </c>
      <c r="H8424" t="s" s="2">
        <v>19</v>
      </c>
      <c r="I8424" t="s" s="2">
        <v>32519</v>
      </c>
      <c r="J8424" t="s" s="2">
        <v>32520</v>
      </c>
      <c r="K8424" t="s" s="2">
        <v>22</v>
      </c>
      <c r="L8424" t="s" s="2">
        <v>22</v>
      </c>
      <c r="M8424" t="s" s="2">
        <v>22</v>
      </c>
    </row>
    <row r="8425" ht="25.0" customHeight="true">
      <c r="A8425" t="s" s="2">
        <v>13</v>
      </c>
      <c r="B8425" t="s" s="2">
        <f>HYPERLINK("http://ts.21cn.com/tousu/show/id/1362639","暴力威胁催收，已协商还款日期还在继续")</f>
      </c>
      <c r="C8425" t="s" s="2">
        <v>15</v>
      </c>
      <c r="D8425" t="s" s="2">
        <v>16</v>
      </c>
      <c r="E8425" t="s" s="2">
        <v>17</v>
      </c>
      <c r="F8425" t="s" s="2">
        <f>HYPERLINK("http://ts.21cn.com/tousu/show/id/1362639","http://ts.21cn.com/tousu/show/id/1362639")</f>
      </c>
      <c r="G8425" t="s" s="2">
        <v>17</v>
      </c>
      <c r="H8425" t="s" s="2">
        <v>19</v>
      </c>
      <c r="I8425" t="s" s="2">
        <v>32523</v>
      </c>
      <c r="J8425" t="s" s="2">
        <v>32524</v>
      </c>
      <c r="K8425" t="s" s="2">
        <v>22</v>
      </c>
      <c r="L8425" t="s" s="2">
        <v>22</v>
      </c>
      <c r="M8425" t="s" s="2">
        <v>22</v>
      </c>
    </row>
    <row r="8426" ht="25.0" customHeight="true">
      <c r="A8426" t="s" s="2">
        <v>13</v>
      </c>
      <c r="B8426" t="s" s="2">
        <f>HYPERLINK("http://ts.21cn.com/tousu/show/id/1362640","高利贷骚扰")</f>
      </c>
      <c r="C8426" t="s" s="2">
        <v>15</v>
      </c>
      <c r="D8426" t="s" s="2">
        <v>16</v>
      </c>
      <c r="E8426" t="s" s="2">
        <v>17</v>
      </c>
      <c r="F8426" t="s" s="2">
        <f>HYPERLINK("http://ts.21cn.com/tousu/show/id/1362640","http://ts.21cn.com/tousu/show/id/1362640")</f>
      </c>
      <c r="G8426" t="s" s="2">
        <v>17</v>
      </c>
      <c r="H8426" t="s" s="2">
        <v>19</v>
      </c>
      <c r="I8426" t="s" s="2">
        <v>32527</v>
      </c>
      <c r="J8426" t="s" s="2">
        <v>32528</v>
      </c>
      <c r="K8426" t="s" s="2">
        <v>22</v>
      </c>
      <c r="L8426" t="s" s="2">
        <v>22</v>
      </c>
      <c r="M8426" t="s" s="2">
        <v>22</v>
      </c>
    </row>
    <row r="8427" ht="25.0" customHeight="true">
      <c r="A8427" t="s" s="2">
        <v>13</v>
      </c>
      <c r="B8427" t="s" s="2">
        <f>HYPERLINK("http://ts.21cn.com/tousu/show/id/1362638","拼多多阳阳店铺")</f>
      </c>
      <c r="C8427" t="s" s="2">
        <v>15</v>
      </c>
      <c r="D8427" t="s" s="2">
        <v>16</v>
      </c>
      <c r="E8427" t="s" s="2">
        <v>17</v>
      </c>
      <c r="F8427" t="s" s="2">
        <f>HYPERLINK("http://ts.21cn.com/tousu/show/id/1362638","http://ts.21cn.com/tousu/show/id/1362638")</f>
      </c>
      <c r="G8427" t="s" s="2">
        <v>17</v>
      </c>
      <c r="H8427" t="s" s="2">
        <v>19</v>
      </c>
      <c r="I8427" t="s" s="2">
        <v>32531</v>
      </c>
      <c r="J8427" t="s" s="2">
        <v>32532</v>
      </c>
      <c r="K8427" t="s" s="2">
        <v>22</v>
      </c>
      <c r="L8427" t="s" s="2">
        <v>22</v>
      </c>
      <c r="M8427" t="s" s="2">
        <v>22</v>
      </c>
    </row>
    <row r="8428" ht="25.0" customHeight="true">
      <c r="A8428" t="s" s="2">
        <v>13</v>
      </c>
      <c r="B8428" t="s" s="2">
        <f>HYPERLINK("http://ts.21cn.com/tousu/show/id/1362644","QQ游戏龙魂沙城关服欺诈")</f>
      </c>
      <c r="C8428" t="s" s="2">
        <v>15</v>
      </c>
      <c r="D8428" t="s" s="2">
        <v>16</v>
      </c>
      <c r="E8428" t="s" s="2">
        <v>17</v>
      </c>
      <c r="F8428" t="s" s="2">
        <f>HYPERLINK("http://ts.21cn.com/tousu/show/id/1362644","http://ts.21cn.com/tousu/show/id/1362644")</f>
      </c>
      <c r="G8428" t="s" s="2">
        <v>17</v>
      </c>
      <c r="H8428" t="s" s="2">
        <v>19</v>
      </c>
      <c r="I8428" t="s" s="2">
        <v>32535</v>
      </c>
      <c r="J8428" t="s" s="2">
        <v>32536</v>
      </c>
      <c r="K8428" t="s" s="2">
        <v>22</v>
      </c>
      <c r="L8428" t="s" s="2">
        <v>22</v>
      </c>
      <c r="M8428" t="s" s="2">
        <v>22</v>
      </c>
    </row>
    <row r="8429" ht="25.0" customHeight="true">
      <c r="A8429" t="s" s="2">
        <v>13</v>
      </c>
      <c r="B8429" t="s" s="2">
        <f>HYPERLINK("http://ts.21cn.com/tousu/show/id/1362619","钱站阴阳合同，高利贷")</f>
      </c>
      <c r="C8429" t="s" s="2">
        <v>15</v>
      </c>
      <c r="D8429" t="s" s="2">
        <v>16</v>
      </c>
      <c r="E8429" t="s" s="2">
        <v>17</v>
      </c>
      <c r="F8429" t="s" s="2">
        <f>HYPERLINK("http://ts.21cn.com/tousu/show/id/1362619","http://ts.21cn.com/tousu/show/id/1362619")</f>
      </c>
      <c r="G8429" t="s" s="2">
        <v>17</v>
      </c>
      <c r="H8429" t="s" s="2">
        <v>19</v>
      </c>
      <c r="I8429" t="s" s="2">
        <v>32538</v>
      </c>
      <c r="J8429" t="s" s="2">
        <v>32539</v>
      </c>
      <c r="K8429" t="s" s="2">
        <v>22</v>
      </c>
      <c r="L8429" t="s" s="2">
        <v>22</v>
      </c>
      <c r="M8429" t="s" s="2">
        <v>22</v>
      </c>
    </row>
    <row r="8430" ht="25.0" customHeight="true">
      <c r="A8430" t="s" s="2">
        <v>13</v>
      </c>
      <c r="B8430" t="s" s="2">
        <f>HYPERLINK("http://ts.21cn.com/tousu/show/id/1362636","714高炮平台，恶意催收")</f>
      </c>
      <c r="C8430" t="s" s="2">
        <v>15</v>
      </c>
      <c r="D8430" t="s" s="2">
        <v>16</v>
      </c>
      <c r="E8430" t="s" s="2">
        <v>17</v>
      </c>
      <c r="F8430" t="s" s="2">
        <f>HYPERLINK("http://ts.21cn.com/tousu/show/id/1362636","http://ts.21cn.com/tousu/show/id/1362636")</f>
      </c>
      <c r="G8430" t="s" s="2">
        <v>17</v>
      </c>
      <c r="H8430" t="s" s="2">
        <v>19</v>
      </c>
      <c r="I8430" t="s" s="2">
        <v>32542</v>
      </c>
      <c r="J8430" t="s" s="2">
        <v>32543</v>
      </c>
      <c r="K8430" t="s" s="2">
        <v>22</v>
      </c>
      <c r="L8430" t="s" s="2">
        <v>22</v>
      </c>
      <c r="M8430" t="s" s="2">
        <v>22</v>
      </c>
    </row>
    <row r="8431" ht="25.0" customHeight="true">
      <c r="A8431" t="s" s="2">
        <v>13</v>
      </c>
      <c r="B8431" t="s" s="2">
        <f>HYPERLINK("http://ts.21cn.com/tousu/show/id/1362635","高利息")</f>
      </c>
      <c r="C8431" t="s" s="2">
        <v>52</v>
      </c>
      <c r="D8431" t="s" s="2">
        <v>16</v>
      </c>
      <c r="E8431" t="s" s="2">
        <v>17</v>
      </c>
      <c r="F8431" t="s" s="2">
        <f>HYPERLINK("http://ts.21cn.com/tousu/show/id/1362635","http://ts.21cn.com/tousu/show/id/1362635")</f>
      </c>
      <c r="G8431" t="s" s="2">
        <v>17</v>
      </c>
      <c r="H8431" t="s" s="2">
        <v>19</v>
      </c>
      <c r="I8431" t="s" s="2">
        <v>32545</v>
      </c>
      <c r="J8431" t="s" s="2">
        <v>32546</v>
      </c>
      <c r="K8431" t="s" s="2">
        <v>22</v>
      </c>
      <c r="L8431" t="s" s="2">
        <v>22</v>
      </c>
      <c r="M8431" t="s" s="2">
        <v>22</v>
      </c>
    </row>
    <row r="8432" ht="25.0" customHeight="true">
      <c r="A8432" t="s" s="2">
        <v>13</v>
      </c>
      <c r="B8432" t="s" s="2">
        <f>HYPERLINK("http://ts.21cn.com/tousu/show/id/1362634","投诉简学教育退款时间过长，不合理。")</f>
      </c>
      <c r="C8432" t="s" s="2">
        <v>15</v>
      </c>
      <c r="D8432" t="s" s="2">
        <v>16</v>
      </c>
      <c r="E8432" t="s" s="2">
        <v>17</v>
      </c>
      <c r="F8432" t="s" s="2">
        <f>HYPERLINK("http://ts.21cn.com/tousu/show/id/1362634","http://ts.21cn.com/tousu/show/id/1362634")</f>
      </c>
      <c r="G8432" t="s" s="2">
        <v>17</v>
      </c>
      <c r="H8432" t="s" s="2">
        <v>19</v>
      </c>
      <c r="I8432" t="s" s="2">
        <v>32549</v>
      </c>
      <c r="J8432" t="s" s="2">
        <v>32550</v>
      </c>
      <c r="K8432" t="s" s="2">
        <v>22</v>
      </c>
      <c r="L8432" t="s" s="2">
        <v>22</v>
      </c>
      <c r="M8432" t="s" s="2">
        <v>22</v>
      </c>
    </row>
    <row r="8433" ht="25.0" customHeight="true">
      <c r="A8433" t="s" s="2">
        <v>13</v>
      </c>
      <c r="B8433" t="s" s="2">
        <f>HYPERLINK("http://ts.21cn.com/tousu/show/id/1360397","马上金融公司利用黑恶势力威胁用户")</f>
      </c>
      <c r="C8433" t="s" s="2">
        <v>15</v>
      </c>
      <c r="D8433" t="s" s="2">
        <v>16</v>
      </c>
      <c r="E8433" t="s" s="2">
        <v>17</v>
      </c>
      <c r="F8433" t="s" s="2">
        <f>HYPERLINK("http://ts.21cn.com/tousu/show/id/1360397","http://ts.21cn.com/tousu/show/id/1360397")</f>
      </c>
      <c r="G8433" t="s" s="2">
        <v>17</v>
      </c>
      <c r="H8433" t="s" s="2">
        <v>19</v>
      </c>
      <c r="I8433" t="s" s="2">
        <v>32553</v>
      </c>
      <c r="J8433" t="s" s="2">
        <v>32554</v>
      </c>
      <c r="K8433" t="s" s="2">
        <v>22</v>
      </c>
      <c r="L8433" t="s" s="2">
        <v>22</v>
      </c>
      <c r="M8433" t="s" s="2">
        <v>22</v>
      </c>
    </row>
    <row r="8434" ht="25.0" customHeight="true">
      <c r="A8434" t="s" s="2">
        <v>13</v>
      </c>
      <c r="B8434" t="s" s="2">
        <f>HYPERLINK("http://ts.21cn.com/tousu/show/id/1362633","信用钱包天天换不同的人过来骚扰")</f>
      </c>
      <c r="C8434" t="s" s="2">
        <v>15</v>
      </c>
      <c r="D8434" t="s" s="2">
        <v>16</v>
      </c>
      <c r="E8434" t="s" s="2">
        <v>17</v>
      </c>
      <c r="F8434" t="s" s="2">
        <f>HYPERLINK("http://ts.21cn.com/tousu/show/id/1362633","http://ts.21cn.com/tousu/show/id/1362633")</f>
      </c>
      <c r="G8434" t="s" s="2">
        <v>17</v>
      </c>
      <c r="H8434" t="s" s="2">
        <v>19</v>
      </c>
      <c r="I8434" t="s" s="2">
        <v>32557</v>
      </c>
      <c r="J8434" t="s" s="2">
        <v>32558</v>
      </c>
      <c r="K8434" t="s" s="2">
        <v>22</v>
      </c>
      <c r="L8434" t="s" s="2">
        <v>22</v>
      </c>
      <c r="M8434" t="s" s="2">
        <v>22</v>
      </c>
    </row>
    <row r="8435" ht="25.0" customHeight="true">
      <c r="A8435" t="s" s="2">
        <v>13</v>
      </c>
      <c r="B8435" t="s" s="2">
        <f>HYPERLINK("http://ts.21cn.com/tousu/show/id/1362632","迪士尼少儿英语霸王条款，收取学费不予退还")</f>
      </c>
      <c r="C8435" t="s" s="2">
        <v>15</v>
      </c>
      <c r="D8435" t="s" s="2">
        <v>16</v>
      </c>
      <c r="E8435" t="s" s="2">
        <v>17</v>
      </c>
      <c r="F8435" t="s" s="2">
        <f>HYPERLINK("http://ts.21cn.com/tousu/show/id/1362632","http://ts.21cn.com/tousu/show/id/1362632")</f>
      </c>
      <c r="G8435" t="s" s="2">
        <v>17</v>
      </c>
      <c r="H8435" t="s" s="2">
        <v>19</v>
      </c>
      <c r="I8435" t="s" s="2">
        <v>32561</v>
      </c>
      <c r="J8435" t="s" s="2">
        <v>32562</v>
      </c>
      <c r="K8435" t="s" s="2">
        <v>22</v>
      </c>
      <c r="L8435" t="s" s="2">
        <v>22</v>
      </c>
      <c r="M8435" t="s" s="2">
        <v>22</v>
      </c>
    </row>
    <row r="8436" ht="25.0" customHeight="true">
      <c r="A8436" t="s" s="2">
        <v>13</v>
      </c>
      <c r="B8436" t="s" s="2">
        <f>HYPERLINK("http://ts.21cn.com/tousu/show/id/1362631","电话频繁")</f>
      </c>
      <c r="C8436" t="s" s="2">
        <v>15</v>
      </c>
      <c r="D8436" t="s" s="2">
        <v>16</v>
      </c>
      <c r="E8436" t="s" s="2">
        <v>17</v>
      </c>
      <c r="F8436" t="s" s="2">
        <f>HYPERLINK("http://ts.21cn.com/tousu/show/id/1362631","http://ts.21cn.com/tousu/show/id/1362631")</f>
      </c>
      <c r="G8436" t="s" s="2">
        <v>17</v>
      </c>
      <c r="H8436" t="s" s="2">
        <v>19</v>
      </c>
      <c r="I8436" t="s" s="2">
        <v>32565</v>
      </c>
      <c r="J8436" t="s" s="2">
        <v>32566</v>
      </c>
      <c r="K8436" t="s" s="2">
        <v>22</v>
      </c>
      <c r="L8436" t="s" s="2">
        <v>22</v>
      </c>
      <c r="M8436" t="s" s="2">
        <v>22</v>
      </c>
    </row>
    <row r="8437" ht="25.0" customHeight="true">
      <c r="A8437" t="s" s="2">
        <v>13</v>
      </c>
      <c r="B8437" t="s" s="2">
        <f>HYPERLINK("http://ts.21cn.com/tousu/show/id/1362630","浦发银行信用卡")</f>
      </c>
      <c r="C8437" t="s" s="2">
        <v>15</v>
      </c>
      <c r="D8437" t="s" s="2">
        <v>16</v>
      </c>
      <c r="E8437" t="s" s="2">
        <v>17</v>
      </c>
      <c r="F8437" t="s" s="2">
        <f>HYPERLINK("http://ts.21cn.com/tousu/show/id/1362630","http://ts.21cn.com/tousu/show/id/1362630")</f>
      </c>
      <c r="G8437" t="s" s="2">
        <v>17</v>
      </c>
      <c r="H8437" t="s" s="2">
        <v>19</v>
      </c>
      <c r="I8437" t="s" s="2">
        <v>32568</v>
      </c>
      <c r="J8437" t="s" s="2">
        <v>32569</v>
      </c>
      <c r="K8437" t="s" s="2">
        <v>22</v>
      </c>
      <c r="L8437" t="s" s="2">
        <v>22</v>
      </c>
      <c r="M8437" t="s" s="2">
        <v>22</v>
      </c>
    </row>
    <row r="8438" ht="25.0" customHeight="true">
      <c r="A8438" t="s" s="2">
        <v>13</v>
      </c>
      <c r="B8438" t="s" s="2">
        <f>HYPERLINK("http://ts.21cn.com/tousu/show/id/1362627","厂家昧良心生产，京东昧良心卖货。明知都有问题，一个继续生产，一个继续卖。")</f>
      </c>
      <c r="C8438" t="s" s="2">
        <v>15</v>
      </c>
      <c r="D8438" t="s" s="2">
        <v>16</v>
      </c>
      <c r="E8438" t="s" s="2">
        <v>17</v>
      </c>
      <c r="F8438" t="s" s="2">
        <f>HYPERLINK("http://ts.21cn.com/tousu/show/id/1362627","http://ts.21cn.com/tousu/show/id/1362627")</f>
      </c>
      <c r="G8438" t="s" s="2">
        <v>17</v>
      </c>
      <c r="H8438" t="s" s="2">
        <v>19</v>
      </c>
      <c r="I8438" t="s" s="2">
        <v>32572</v>
      </c>
      <c r="J8438" t="s" s="2">
        <v>32573</v>
      </c>
      <c r="K8438" t="s" s="2">
        <v>22</v>
      </c>
      <c r="L8438" t="s" s="2">
        <v>22</v>
      </c>
      <c r="M8438" t="s" s="2">
        <v>22</v>
      </c>
    </row>
    <row r="8439" ht="25.0" customHeight="true">
      <c r="A8439" t="s" s="2">
        <v>13</v>
      </c>
      <c r="B8439" t="s" s="2">
        <f>HYPERLINK("http://ts.21cn.com/tousu/show/id/1362603","数来宝故意逾期，高利贷")</f>
      </c>
      <c r="C8439" t="s" s="2">
        <v>15</v>
      </c>
      <c r="D8439" t="s" s="2">
        <v>16</v>
      </c>
      <c r="E8439" t="s" s="2">
        <v>17</v>
      </c>
      <c r="F8439" t="s" s="2">
        <f>HYPERLINK("http://ts.21cn.com/tousu/show/id/1362603","http://ts.21cn.com/tousu/show/id/1362603")</f>
      </c>
      <c r="G8439" t="s" s="2">
        <v>17</v>
      </c>
      <c r="H8439" t="s" s="2">
        <v>19</v>
      </c>
      <c r="I8439" t="s" s="2">
        <v>32576</v>
      </c>
      <c r="J8439" t="s" s="2">
        <v>32577</v>
      </c>
      <c r="K8439" t="s" s="2">
        <v>22</v>
      </c>
      <c r="L8439" t="s" s="2">
        <v>22</v>
      </c>
      <c r="M8439" t="s" s="2">
        <v>22</v>
      </c>
    </row>
    <row r="8440" ht="25.0" customHeight="true">
      <c r="A8440" t="s" s="2">
        <v>13</v>
      </c>
      <c r="B8440" t="s" s="2">
        <f>HYPERLINK("http://ts.21cn.com/tousu/show/id/1362626","二郎神砍头息，高利贷，暴力催收")</f>
      </c>
      <c r="C8440" t="s" s="2">
        <v>15</v>
      </c>
      <c r="D8440" t="s" s="2">
        <v>16</v>
      </c>
      <c r="E8440" t="s" s="2">
        <v>17</v>
      </c>
      <c r="F8440" t="s" s="2">
        <f>HYPERLINK("http://ts.21cn.com/tousu/show/id/1362626","http://ts.21cn.com/tousu/show/id/1362626")</f>
      </c>
      <c r="G8440" t="s" s="2">
        <v>17</v>
      </c>
      <c r="H8440" t="s" s="2">
        <v>19</v>
      </c>
      <c r="I8440" t="s" s="2">
        <v>32580</v>
      </c>
      <c r="J8440" t="s" s="2">
        <v>32581</v>
      </c>
      <c r="K8440" t="s" s="2">
        <v>22</v>
      </c>
      <c r="L8440" t="s" s="2">
        <v>22</v>
      </c>
      <c r="M8440" t="s" s="2">
        <v>22</v>
      </c>
    </row>
    <row r="8441" ht="25.0" customHeight="true">
      <c r="A8441" t="s" s="2">
        <v>13</v>
      </c>
      <c r="B8441" t="s" s="2">
        <f>HYPERLINK("http://ts.21cn.com/tousu/show/id/1362625","催收，多次打电话到公司，骚扰亲朋好友")</f>
      </c>
      <c r="C8441" t="s" s="2">
        <v>15</v>
      </c>
      <c r="D8441" t="s" s="2">
        <v>16</v>
      </c>
      <c r="E8441" t="s" s="2">
        <v>17</v>
      </c>
      <c r="F8441" t="s" s="2">
        <f>HYPERLINK("http://ts.21cn.com/tousu/show/id/1362625","http://ts.21cn.com/tousu/show/id/1362625")</f>
      </c>
      <c r="G8441" t="s" s="2">
        <v>17</v>
      </c>
      <c r="H8441" t="s" s="2">
        <v>19</v>
      </c>
      <c r="I8441" t="s" s="2">
        <v>32584</v>
      </c>
      <c r="J8441" t="s" s="2">
        <v>32585</v>
      </c>
      <c r="K8441" t="s" s="2">
        <v>22</v>
      </c>
      <c r="L8441" t="s" s="2">
        <v>22</v>
      </c>
      <c r="M8441" t="s" s="2">
        <v>22</v>
      </c>
    </row>
    <row r="8442" ht="25.0" customHeight="true">
      <c r="A8442" t="s" s="2">
        <v>13</v>
      </c>
      <c r="B8442" t="s" s="2">
        <f>HYPERLINK("http://ts.21cn.com/tousu/show/id/1362624","招联金融暴力催收")</f>
      </c>
      <c r="C8442" t="s" s="2">
        <v>15</v>
      </c>
      <c r="D8442" t="s" s="2">
        <v>16</v>
      </c>
      <c r="E8442" t="s" s="2">
        <v>17</v>
      </c>
      <c r="F8442" t="s" s="2">
        <f>HYPERLINK("http://ts.21cn.com/tousu/show/id/1362624","http://ts.21cn.com/tousu/show/id/1362624")</f>
      </c>
      <c r="G8442" t="s" s="2">
        <v>17</v>
      </c>
      <c r="H8442" t="s" s="2">
        <v>19</v>
      </c>
      <c r="I8442" t="s" s="2">
        <v>32587</v>
      </c>
      <c r="J8442" t="s" s="2">
        <v>32588</v>
      </c>
      <c r="K8442" t="s" s="2">
        <v>22</v>
      </c>
      <c r="L8442" t="s" s="2">
        <v>22</v>
      </c>
      <c r="M8442" t="s" s="2">
        <v>22</v>
      </c>
    </row>
    <row r="8443" ht="25.0" customHeight="true">
      <c r="A8443" t="s" s="2">
        <v>13</v>
      </c>
      <c r="B8443" t="s" s="2">
        <f>HYPERLINK("http://ts.21cn.com/tousu/show/id/1362622","欺诈消费者开会员要求退款")</f>
      </c>
      <c r="C8443" t="s" s="2">
        <v>15</v>
      </c>
      <c r="D8443" t="s" s="2">
        <v>16</v>
      </c>
      <c r="E8443" t="s" s="2">
        <v>17</v>
      </c>
      <c r="F8443" t="s" s="2">
        <f>HYPERLINK("http://ts.21cn.com/tousu/show/id/1362622","http://ts.21cn.com/tousu/show/id/1362622")</f>
      </c>
      <c r="G8443" t="s" s="2">
        <v>17</v>
      </c>
      <c r="H8443" t="s" s="2">
        <v>19</v>
      </c>
      <c r="I8443" t="s" s="2">
        <v>32591</v>
      </c>
      <c r="J8443" t="s" s="2">
        <v>32592</v>
      </c>
      <c r="K8443" t="s" s="2">
        <v>22</v>
      </c>
      <c r="L8443" t="s" s="2">
        <v>22</v>
      </c>
      <c r="M8443" t="s" s="2">
        <v>22</v>
      </c>
    </row>
    <row r="8444" ht="25.0" customHeight="true">
      <c r="A8444" t="s" s="2">
        <v>13</v>
      </c>
      <c r="B8444" t="s" s="2">
        <f>HYPERLINK("http://ts.21cn.com/tousu/show/id/1362621","网贷催收")</f>
      </c>
      <c r="C8444" t="s" s="2">
        <v>52</v>
      </c>
      <c r="D8444" t="s" s="2">
        <v>16</v>
      </c>
      <c r="E8444" t="s" s="2">
        <v>17</v>
      </c>
      <c r="F8444" t="s" s="2">
        <f>HYPERLINK("http://ts.21cn.com/tousu/show/id/1362621","http://ts.21cn.com/tousu/show/id/1362621")</f>
      </c>
      <c r="G8444" t="s" s="2">
        <v>17</v>
      </c>
      <c r="H8444" t="s" s="2">
        <v>19</v>
      </c>
      <c r="I8444" t="s" s="2">
        <v>32594</v>
      </c>
      <c r="J8444" t="s" s="2">
        <v>32595</v>
      </c>
      <c r="K8444" t="s" s="2">
        <v>22</v>
      </c>
      <c r="L8444" t="s" s="2">
        <v>22</v>
      </c>
      <c r="M8444" t="s" s="2">
        <v>22</v>
      </c>
    </row>
    <row r="8445" ht="25.0" customHeight="true">
      <c r="A8445" t="s" s="2">
        <v>13</v>
      </c>
      <c r="B8445" t="s" s="2">
        <f>HYPERLINK("http://ts.21cn.com/tousu/show/id/1362611","信用管家推介平台现控达人高利贷，暴力催收，套路贷")</f>
      </c>
      <c r="C8445" t="s" s="2">
        <v>15</v>
      </c>
      <c r="D8445" t="s" s="2">
        <v>16</v>
      </c>
      <c r="E8445" t="s" s="2">
        <v>17</v>
      </c>
      <c r="F8445" t="s" s="2">
        <f>HYPERLINK("http://ts.21cn.com/tousu/show/id/1362611","http://ts.21cn.com/tousu/show/id/1362611")</f>
      </c>
      <c r="G8445" t="s" s="2">
        <v>17</v>
      </c>
      <c r="H8445" t="s" s="2">
        <v>19</v>
      </c>
      <c r="I8445" t="s" s="2">
        <v>32598</v>
      </c>
      <c r="J8445" t="s" s="2">
        <v>32599</v>
      </c>
      <c r="K8445" t="s" s="2">
        <v>22</v>
      </c>
      <c r="L8445" t="s" s="2">
        <v>22</v>
      </c>
      <c r="M8445" t="s" s="2">
        <v>22</v>
      </c>
    </row>
    <row r="8446" ht="25.0" customHeight="true">
      <c r="A8446" t="s" s="2">
        <v>13</v>
      </c>
      <c r="B8446" t="s" s="2">
        <f>HYPERLINK("http://ts.21cn.com/tousu/show/id/1362620","利息太高")</f>
      </c>
      <c r="C8446" t="s" s="2">
        <v>15</v>
      </c>
      <c r="D8446" t="s" s="2">
        <v>16</v>
      </c>
      <c r="E8446" t="s" s="2">
        <v>17</v>
      </c>
      <c r="F8446" t="s" s="2">
        <f>HYPERLINK("http://ts.21cn.com/tousu/show/id/1362620","http://ts.21cn.com/tousu/show/id/1362620")</f>
      </c>
      <c r="G8446" t="s" s="2">
        <v>17</v>
      </c>
      <c r="H8446" t="s" s="2">
        <v>19</v>
      </c>
      <c r="I8446" t="s" s="2">
        <v>32601</v>
      </c>
      <c r="J8446" t="s" s="2">
        <v>32602</v>
      </c>
      <c r="K8446" t="s" s="2">
        <v>22</v>
      </c>
      <c r="L8446" t="s" s="2">
        <v>22</v>
      </c>
      <c r="M8446" t="s" s="2">
        <v>22</v>
      </c>
    </row>
    <row r="8447" ht="25.0" customHeight="true">
      <c r="A8447" t="s" s="2">
        <v>13</v>
      </c>
      <c r="B8447" t="s" s="2">
        <f>HYPERLINK("http://ts.21cn.com/tousu/show/id/1362617","兴业银行信用卡暴力催收威胁")</f>
      </c>
      <c r="C8447" t="s" s="2">
        <v>15</v>
      </c>
      <c r="D8447" t="s" s="2">
        <v>16</v>
      </c>
      <c r="E8447" t="s" s="2">
        <v>17</v>
      </c>
      <c r="F8447" t="s" s="2">
        <f>HYPERLINK("http://ts.21cn.com/tousu/show/id/1362617","http://ts.21cn.com/tousu/show/id/1362617")</f>
      </c>
      <c r="G8447" t="s" s="2">
        <v>17</v>
      </c>
      <c r="H8447" t="s" s="2">
        <v>19</v>
      </c>
      <c r="I8447" t="s" s="2">
        <v>32605</v>
      </c>
      <c r="J8447" t="s" s="2">
        <v>32606</v>
      </c>
      <c r="K8447" t="s" s="2">
        <v>22</v>
      </c>
      <c r="L8447" t="s" s="2">
        <v>22</v>
      </c>
      <c r="M8447" t="s" s="2">
        <v>22</v>
      </c>
    </row>
    <row r="8448" ht="25.0" customHeight="true">
      <c r="A8448" t="s" s="2">
        <v>13</v>
      </c>
      <c r="B8448" t="s" s="2">
        <f>HYPERLINK("http://ts.21cn.com/tousu/show/id/1362618","恶意骚扰")</f>
      </c>
      <c r="C8448" t="s" s="2">
        <v>15</v>
      </c>
      <c r="D8448" t="s" s="2">
        <v>16</v>
      </c>
      <c r="E8448" t="s" s="2">
        <v>17</v>
      </c>
      <c r="F8448" t="s" s="2">
        <f>HYPERLINK("http://ts.21cn.com/tousu/show/id/1362618","http://ts.21cn.com/tousu/show/id/1362618")</f>
      </c>
      <c r="G8448" t="s" s="2">
        <v>17</v>
      </c>
      <c r="H8448" t="s" s="2">
        <v>19</v>
      </c>
      <c r="I8448" t="s" s="2">
        <v>32608</v>
      </c>
      <c r="J8448" t="s" s="2">
        <v>32609</v>
      </c>
      <c r="K8448" t="s" s="2">
        <v>22</v>
      </c>
      <c r="L8448" t="s" s="2">
        <v>22</v>
      </c>
      <c r="M8448" t="s" s="2">
        <v>22</v>
      </c>
    </row>
    <row r="8449" ht="25.0" customHeight="true">
      <c r="A8449" t="s" s="2">
        <v>13</v>
      </c>
      <c r="B8449" t="s" s="2">
        <f>HYPERLINK("http://ts.21cn.com/tousu/show/id/1362616","闪银恶意催收")</f>
      </c>
      <c r="C8449" t="s" s="2">
        <v>15</v>
      </c>
      <c r="D8449" t="s" s="2">
        <v>16</v>
      </c>
      <c r="E8449" t="s" s="2">
        <v>17</v>
      </c>
      <c r="F8449" t="s" s="2">
        <f>HYPERLINK("http://ts.21cn.com/tousu/show/id/1362616","http://ts.21cn.com/tousu/show/id/1362616")</f>
      </c>
      <c r="G8449" t="s" s="2">
        <v>17</v>
      </c>
      <c r="H8449" t="s" s="2">
        <v>19</v>
      </c>
      <c r="I8449" t="s" s="2">
        <v>32611</v>
      </c>
      <c r="J8449" t="s" s="2">
        <v>32612</v>
      </c>
      <c r="K8449" t="s" s="2">
        <v>22</v>
      </c>
      <c r="L8449" t="s" s="2">
        <v>22</v>
      </c>
      <c r="M8449" t="s" s="2">
        <v>22</v>
      </c>
    </row>
    <row r="8450" ht="25.0" customHeight="true">
      <c r="A8450" t="s" s="2">
        <v>13</v>
      </c>
      <c r="B8450" t="s" s="2">
        <f>HYPERLINK("http://ts.21cn.com/tousu/show/id/1362614","微信支付给非法平台提供网络付款业务")</f>
      </c>
      <c r="C8450" t="s" s="2">
        <v>15</v>
      </c>
      <c r="D8450" t="s" s="2">
        <v>16</v>
      </c>
      <c r="E8450" t="s" s="2">
        <v>17</v>
      </c>
      <c r="F8450" t="s" s="2">
        <f>HYPERLINK("http://ts.21cn.com/tousu/show/id/1362614","http://ts.21cn.com/tousu/show/id/1362614")</f>
      </c>
      <c r="G8450" t="s" s="2">
        <v>17</v>
      </c>
      <c r="H8450" t="s" s="2">
        <v>19</v>
      </c>
      <c r="I8450" t="s" s="2">
        <v>32615</v>
      </c>
      <c r="J8450" t="s" s="2">
        <v>32616</v>
      </c>
      <c r="K8450" t="s" s="2">
        <v>22</v>
      </c>
      <c r="L8450" t="s" s="2">
        <v>22</v>
      </c>
      <c r="M8450" t="s" s="2">
        <v>22</v>
      </c>
    </row>
    <row r="8451" ht="25.0" customHeight="true">
      <c r="A8451" t="s" s="2">
        <v>13</v>
      </c>
      <c r="B8451" t="s" s="2">
        <f>HYPERLINK("http://ts.21cn.com/tousu/show/id/1362615","投诉光大银行信用卡收取高额年费")</f>
      </c>
      <c r="C8451" t="s" s="2">
        <v>15</v>
      </c>
      <c r="D8451" t="s" s="2">
        <v>16</v>
      </c>
      <c r="E8451" t="s" s="2">
        <v>17</v>
      </c>
      <c r="F8451" t="s" s="2">
        <f>HYPERLINK("http://ts.21cn.com/tousu/show/id/1362615","http://ts.21cn.com/tousu/show/id/1362615")</f>
      </c>
      <c r="G8451" t="s" s="2">
        <v>17</v>
      </c>
      <c r="H8451" t="s" s="2">
        <v>19</v>
      </c>
      <c r="I8451" t="s" s="2">
        <v>32619</v>
      </c>
      <c r="J8451" t="s" s="2">
        <v>32620</v>
      </c>
      <c r="K8451" t="s" s="2">
        <v>22</v>
      </c>
      <c r="L8451" t="s" s="2">
        <v>22</v>
      </c>
      <c r="M8451" t="s" s="2">
        <v>22</v>
      </c>
    </row>
    <row r="8452" ht="25.0" customHeight="true">
      <c r="A8452" t="s" s="2">
        <v>13</v>
      </c>
      <c r="B8452" t="s" s="2">
        <f>HYPERLINK("http://ts.21cn.com/tousu/show/id/1362570","有米分期放款后扣款购买保险实际没有购买")</f>
      </c>
      <c r="C8452" t="s" s="2">
        <v>52</v>
      </c>
      <c r="D8452" t="s" s="2">
        <v>16</v>
      </c>
      <c r="E8452" t="s" s="2">
        <v>17</v>
      </c>
      <c r="F8452" t="s" s="2">
        <f>HYPERLINK("http://ts.21cn.com/tousu/show/id/1362570","http://ts.21cn.com/tousu/show/id/1362570")</f>
      </c>
      <c r="G8452" t="s" s="2">
        <v>17</v>
      </c>
      <c r="H8452" t="s" s="2">
        <v>19</v>
      </c>
      <c r="I8452" t="s" s="2">
        <v>32623</v>
      </c>
      <c r="J8452" t="s" s="2">
        <v>32624</v>
      </c>
      <c r="K8452" t="s" s="2">
        <v>22</v>
      </c>
      <c r="L8452" t="s" s="2">
        <v>22</v>
      </c>
      <c r="M8452" t="s" s="2">
        <v>22</v>
      </c>
    </row>
    <row r="8453" ht="25.0" customHeight="true">
      <c r="A8453" t="s" s="2">
        <v>13</v>
      </c>
      <c r="B8453" t="s" s="2">
        <f>HYPERLINK("http://ts.21cn.com/tousu/show/id/1362613","广发催收打单位电话骚扰")</f>
      </c>
      <c r="C8453" t="s" s="2">
        <v>15</v>
      </c>
      <c r="D8453" t="s" s="2">
        <v>16</v>
      </c>
      <c r="E8453" t="s" s="2">
        <v>17</v>
      </c>
      <c r="F8453" t="s" s="2">
        <f>HYPERLINK("http://ts.21cn.com/tousu/show/id/1362613","http://ts.21cn.com/tousu/show/id/1362613")</f>
      </c>
      <c r="G8453" t="s" s="2">
        <v>17</v>
      </c>
      <c r="H8453" t="s" s="2">
        <v>19</v>
      </c>
      <c r="I8453" t="s" s="2">
        <v>32627</v>
      </c>
      <c r="J8453" t="s" s="2">
        <v>32628</v>
      </c>
      <c r="K8453" t="s" s="2">
        <v>22</v>
      </c>
      <c r="L8453" t="s" s="2">
        <v>22</v>
      </c>
      <c r="M8453" t="s" s="2">
        <v>22</v>
      </c>
    </row>
    <row r="8454" ht="25.0" customHeight="true">
      <c r="A8454" t="s" s="2">
        <v>13</v>
      </c>
      <c r="B8454" t="s" s="2">
        <f>HYPERLINK("http://ts.21cn.com/tousu/show/id/1362612","信而富协商好还是暴力催收")</f>
      </c>
      <c r="C8454" t="s" s="2">
        <v>15</v>
      </c>
      <c r="D8454" t="s" s="2">
        <v>16</v>
      </c>
      <c r="E8454" t="s" s="2">
        <v>17</v>
      </c>
      <c r="F8454" t="s" s="2">
        <f>HYPERLINK("http://ts.21cn.com/tousu/show/id/1362612","http://ts.21cn.com/tousu/show/id/1362612")</f>
      </c>
      <c r="G8454" t="s" s="2">
        <v>17</v>
      </c>
      <c r="H8454" t="s" s="2">
        <v>19</v>
      </c>
      <c r="I8454" t="s" s="2">
        <v>32631</v>
      </c>
      <c r="J8454" t="s" s="2">
        <v>32632</v>
      </c>
      <c r="K8454" t="s" s="2">
        <v>22</v>
      </c>
      <c r="L8454" t="s" s="2">
        <v>22</v>
      </c>
      <c r="M8454" t="s" s="2">
        <v>22</v>
      </c>
    </row>
    <row r="8455" ht="25.0" customHeight="true">
      <c r="A8455" t="s" s="2">
        <v>13</v>
      </c>
      <c r="B8455" t="s" s="2">
        <f>HYPERLINK("http://ts.21cn.com/tousu/show/id/1362610","恐吓威胁")</f>
      </c>
      <c r="C8455" t="s" s="2">
        <v>15</v>
      </c>
      <c r="D8455" t="s" s="2">
        <v>16</v>
      </c>
      <c r="E8455" t="s" s="2">
        <v>17</v>
      </c>
      <c r="F8455" t="s" s="2">
        <f>HYPERLINK("http://ts.21cn.com/tousu/show/id/1362610","http://ts.21cn.com/tousu/show/id/1362610")</f>
      </c>
      <c r="G8455" t="s" s="2">
        <v>17</v>
      </c>
      <c r="H8455" t="s" s="2">
        <v>19</v>
      </c>
      <c r="I8455" t="s" s="2">
        <v>32634</v>
      </c>
      <c r="J8455" t="s" s="2">
        <v>32635</v>
      </c>
      <c r="K8455" t="s" s="2">
        <v>22</v>
      </c>
      <c r="L8455" t="s" s="2">
        <v>22</v>
      </c>
      <c r="M8455" t="s" s="2">
        <v>22</v>
      </c>
    </row>
    <row r="8456" ht="25.0" customHeight="true">
      <c r="A8456" t="s" s="2">
        <v>13</v>
      </c>
      <c r="B8456" t="s" s="2">
        <f>HYPERLINK("http://ts.21cn.com/tousu/show/id/1362609","平安普惠贷款隐瞒隐藏并强制收取高额保险费管理费投诉事宜")</f>
      </c>
      <c r="C8456" t="s" s="2">
        <v>15</v>
      </c>
      <c r="D8456" t="s" s="2">
        <v>16</v>
      </c>
      <c r="E8456" t="s" s="2">
        <v>17</v>
      </c>
      <c r="F8456" t="s" s="2">
        <f>HYPERLINK("http://ts.21cn.com/tousu/show/id/1362609","http://ts.21cn.com/tousu/show/id/1362609")</f>
      </c>
      <c r="G8456" t="s" s="2">
        <v>17</v>
      </c>
      <c r="H8456" t="s" s="2">
        <v>19</v>
      </c>
      <c r="I8456" t="s" s="2">
        <v>32637</v>
      </c>
      <c r="J8456" t="s" s="2">
        <v>32638</v>
      </c>
      <c r="K8456" t="s" s="2">
        <v>22</v>
      </c>
      <c r="L8456" t="s" s="2">
        <v>22</v>
      </c>
      <c r="M8456" t="s" s="2">
        <v>22</v>
      </c>
    </row>
    <row r="8457" ht="25.0" customHeight="true">
      <c r="A8457" t="s" s="2">
        <v>13</v>
      </c>
      <c r="B8457" t="s" s="2">
        <f>HYPERLINK("http://ts.21cn.com/tousu/show/id/1362608","酒店国庆节订单，携程没有按照备注结算")</f>
      </c>
      <c r="C8457" t="s" s="2">
        <v>15</v>
      </c>
      <c r="D8457" t="s" s="2">
        <v>16</v>
      </c>
      <c r="E8457" t="s" s="2">
        <v>17</v>
      </c>
      <c r="F8457" t="s" s="2">
        <f>HYPERLINK("http://ts.21cn.com/tousu/show/id/1362608","http://ts.21cn.com/tousu/show/id/1362608")</f>
      </c>
      <c r="G8457" t="s" s="2">
        <v>17</v>
      </c>
      <c r="H8457" t="s" s="2">
        <v>19</v>
      </c>
      <c r="I8457" t="s" s="2">
        <v>32641</v>
      </c>
      <c r="J8457" t="s" s="2">
        <v>32642</v>
      </c>
      <c r="K8457" t="s" s="2">
        <v>22</v>
      </c>
      <c r="L8457" t="s" s="2">
        <v>22</v>
      </c>
      <c r="M8457" t="s" s="2">
        <v>22</v>
      </c>
    </row>
    <row r="8458" ht="25.0" customHeight="true">
      <c r="A8458" t="s" s="2">
        <v>13</v>
      </c>
      <c r="B8458" t="s" s="2">
        <f>HYPERLINK("http://ts.21cn.com/tousu/show/id/1362606","借款显示有额度申请后不给予额度")</f>
      </c>
      <c r="C8458" t="s" s="2">
        <v>15</v>
      </c>
      <c r="D8458" t="s" s="2">
        <v>16</v>
      </c>
      <c r="E8458" t="s" s="2">
        <v>17</v>
      </c>
      <c r="F8458" t="s" s="2">
        <f>HYPERLINK("http://ts.21cn.com/tousu/show/id/1362606","http://ts.21cn.com/tousu/show/id/1362606")</f>
      </c>
      <c r="G8458" t="s" s="2">
        <v>17</v>
      </c>
      <c r="H8458" t="s" s="2">
        <v>19</v>
      </c>
      <c r="I8458" t="s" s="2">
        <v>32645</v>
      </c>
      <c r="J8458" t="s" s="2">
        <v>32646</v>
      </c>
      <c r="K8458" t="s" s="2">
        <v>22</v>
      </c>
      <c r="L8458" t="s" s="2">
        <v>22</v>
      </c>
      <c r="M8458" t="s" s="2">
        <v>22</v>
      </c>
    </row>
    <row r="8459" ht="25.0" customHeight="true">
      <c r="A8459" t="s" s="2">
        <v>13</v>
      </c>
      <c r="B8459" t="s" s="2">
        <f>HYPERLINK("http://ts.21cn.com/tousu/show/id/1362585","芒果筹高利贷恶意逾期收取高昂逾期费")</f>
      </c>
      <c r="C8459" t="s" s="2">
        <v>15</v>
      </c>
      <c r="D8459" t="s" s="2">
        <v>16</v>
      </c>
      <c r="E8459" t="s" s="2">
        <v>17</v>
      </c>
      <c r="F8459" t="s" s="2">
        <f>HYPERLINK("http://ts.21cn.com/tousu/show/id/1362585","http://ts.21cn.com/tousu/show/id/1362585")</f>
      </c>
      <c r="G8459" t="s" s="2">
        <v>17</v>
      </c>
      <c r="H8459" t="s" s="2">
        <v>19</v>
      </c>
      <c r="I8459" t="s" s="2">
        <v>32649</v>
      </c>
      <c r="J8459" t="s" s="2">
        <v>32650</v>
      </c>
      <c r="K8459" t="s" s="2">
        <v>22</v>
      </c>
      <c r="L8459" t="s" s="2">
        <v>22</v>
      </c>
      <c r="M8459" t="s" s="2">
        <v>22</v>
      </c>
    </row>
    <row r="8460" ht="25.0" customHeight="true">
      <c r="A8460" t="s" s="2">
        <v>13</v>
      </c>
      <c r="B8460" t="s" s="2">
        <f>HYPERLINK("http://ts.21cn.com/tousu/show/id/1362607","暴力吹收，进行侮辱，恐吓")</f>
      </c>
      <c r="C8460" t="s" s="2">
        <v>15</v>
      </c>
      <c r="D8460" t="s" s="2">
        <v>16</v>
      </c>
      <c r="E8460" t="s" s="2">
        <v>17</v>
      </c>
      <c r="F8460" t="s" s="2">
        <f>HYPERLINK("http://ts.21cn.com/tousu/show/id/1362607","http://ts.21cn.com/tousu/show/id/1362607")</f>
      </c>
      <c r="G8460" t="s" s="2">
        <v>17</v>
      </c>
      <c r="H8460" t="s" s="2">
        <v>19</v>
      </c>
      <c r="I8460" t="s" s="2">
        <v>32653</v>
      </c>
      <c r="J8460" t="s" s="2">
        <v>32654</v>
      </c>
      <c r="K8460" t="s" s="2">
        <v>22</v>
      </c>
      <c r="L8460" t="s" s="2">
        <v>22</v>
      </c>
      <c r="M8460" t="s" s="2">
        <v>22</v>
      </c>
    </row>
    <row r="8461" ht="25.0" customHeight="true">
      <c r="A8461" t="s" s="2">
        <v>13</v>
      </c>
      <c r="B8461" t="s" s="2">
        <f>HYPERLINK("http://ts.21cn.com/tousu/show/id/1362605","遭到小贷平台恶意收款催款")</f>
      </c>
      <c r="C8461" t="s" s="2">
        <v>15</v>
      </c>
      <c r="D8461" t="s" s="2">
        <v>16</v>
      </c>
      <c r="E8461" t="s" s="2">
        <v>17</v>
      </c>
      <c r="F8461" t="s" s="2">
        <f>HYPERLINK("http://ts.21cn.com/tousu/show/id/1362605","http://ts.21cn.com/tousu/show/id/1362605")</f>
      </c>
      <c r="G8461" t="s" s="2">
        <v>17</v>
      </c>
      <c r="H8461" t="s" s="2">
        <v>19</v>
      </c>
      <c r="I8461" t="s" s="2">
        <v>32657</v>
      </c>
      <c r="J8461" t="s" s="2">
        <v>32658</v>
      </c>
      <c r="K8461" t="s" s="2">
        <v>22</v>
      </c>
      <c r="L8461" t="s" s="2">
        <v>22</v>
      </c>
      <c r="M8461" t="s" s="2">
        <v>22</v>
      </c>
    </row>
    <row r="8462" ht="25.0" customHeight="true">
      <c r="A8462" t="s" s="2">
        <v>13</v>
      </c>
      <c r="B8462" t="s" s="2">
        <f>HYPERLINK("http://ts.21cn.com/tousu/show/id/1362602","新橙优品暴力催收")</f>
      </c>
      <c r="C8462" t="s" s="2">
        <v>15</v>
      </c>
      <c r="D8462" t="s" s="2">
        <v>16</v>
      </c>
      <c r="E8462" t="s" s="2">
        <v>17</v>
      </c>
      <c r="F8462" t="s" s="2">
        <f>HYPERLINK("http://ts.21cn.com/tousu/show/id/1362602","http://ts.21cn.com/tousu/show/id/1362602")</f>
      </c>
      <c r="G8462" t="s" s="2">
        <v>17</v>
      </c>
      <c r="H8462" t="s" s="2">
        <v>19</v>
      </c>
      <c r="I8462" t="s" s="2">
        <v>32660</v>
      </c>
      <c r="J8462" t="s" s="2">
        <v>32661</v>
      </c>
      <c r="K8462" t="s" s="2">
        <v>22</v>
      </c>
      <c r="L8462" t="s" s="2">
        <v>22</v>
      </c>
      <c r="M8462" t="s" s="2">
        <v>22</v>
      </c>
    </row>
    <row r="8463" ht="25.0" customHeight="true">
      <c r="A8463" t="s" s="2">
        <v>13</v>
      </c>
      <c r="B8463" t="s" s="2">
        <f>HYPERLINK("http://ts.21cn.com/tousu/show/id/1362601","恶意获取客户隐私，严重骚扰，爆通讯录")</f>
      </c>
      <c r="C8463" t="s" s="2">
        <v>15</v>
      </c>
      <c r="D8463" t="s" s="2">
        <v>16</v>
      </c>
      <c r="E8463" t="s" s="2">
        <v>17</v>
      </c>
      <c r="F8463" t="s" s="2">
        <f>HYPERLINK("http://ts.21cn.com/tousu/show/id/1362601","http://ts.21cn.com/tousu/show/id/1362601")</f>
      </c>
      <c r="G8463" t="s" s="2">
        <v>17</v>
      </c>
      <c r="H8463" t="s" s="2">
        <v>19</v>
      </c>
      <c r="I8463" t="s" s="2">
        <v>32664</v>
      </c>
      <c r="J8463" t="s" s="2">
        <v>32665</v>
      </c>
      <c r="K8463" t="s" s="2">
        <v>22</v>
      </c>
      <c r="L8463" t="s" s="2">
        <v>22</v>
      </c>
      <c r="M8463" t="s" s="2">
        <v>22</v>
      </c>
    </row>
    <row r="8464" ht="25.0" customHeight="true">
      <c r="A8464" t="s" s="2">
        <v>13</v>
      </c>
      <c r="B8464" t="s" s="2">
        <f>HYPERLINK("http://ts.21cn.com/tousu/show/id/1362604","微粒贷委托第三方恶意骚扰")</f>
      </c>
      <c r="C8464" t="s" s="2">
        <v>15</v>
      </c>
      <c r="D8464" t="s" s="2">
        <v>16</v>
      </c>
      <c r="E8464" t="s" s="2">
        <v>17</v>
      </c>
      <c r="F8464" t="s" s="2">
        <f>HYPERLINK("http://ts.21cn.com/tousu/show/id/1362604","http://ts.21cn.com/tousu/show/id/1362604")</f>
      </c>
      <c r="G8464" t="s" s="2">
        <v>17</v>
      </c>
      <c r="H8464" t="s" s="2">
        <v>19</v>
      </c>
      <c r="I8464" t="s" s="2">
        <v>32668</v>
      </c>
      <c r="J8464" t="s" s="2">
        <v>32669</v>
      </c>
      <c r="K8464" t="s" s="2">
        <v>22</v>
      </c>
      <c r="L8464" t="s" s="2">
        <v>22</v>
      </c>
      <c r="M8464" t="s" s="2">
        <v>22</v>
      </c>
    </row>
    <row r="8465" ht="25.0" customHeight="true">
      <c r="A8465" t="s" s="2">
        <v>13</v>
      </c>
      <c r="B8465" t="s" s="2">
        <f>HYPERLINK("http://ts.21cn.com/tousu/show/id/1362600","暴力催收，严重骚扰")</f>
      </c>
      <c r="C8465" t="s" s="2">
        <v>15</v>
      </c>
      <c r="D8465" t="s" s="2">
        <v>16</v>
      </c>
      <c r="E8465" t="s" s="2">
        <v>17</v>
      </c>
      <c r="F8465" t="s" s="2">
        <f>HYPERLINK("http://ts.21cn.com/tousu/show/id/1362600","http://ts.21cn.com/tousu/show/id/1362600")</f>
      </c>
      <c r="G8465" t="s" s="2">
        <v>17</v>
      </c>
      <c r="H8465" t="s" s="2">
        <v>19</v>
      </c>
      <c r="I8465" t="s" s="2">
        <v>32671</v>
      </c>
      <c r="J8465" t="s" s="2">
        <v>32672</v>
      </c>
      <c r="K8465" t="s" s="2">
        <v>22</v>
      </c>
      <c r="L8465" t="s" s="2">
        <v>22</v>
      </c>
      <c r="M8465" t="s" s="2">
        <v>22</v>
      </c>
    </row>
    <row r="8466" ht="25.0" customHeight="true">
      <c r="A8466" t="s" s="2">
        <v>13</v>
      </c>
      <c r="B8466" t="s" s="2">
        <f>HYPERLINK("http://ts.21cn.com/tousu/show/id/1362599","暴力催收，电话一直骚扰")</f>
      </c>
      <c r="C8466" t="s" s="2">
        <v>15</v>
      </c>
      <c r="D8466" t="s" s="2">
        <v>16</v>
      </c>
      <c r="E8466" t="s" s="2">
        <v>17</v>
      </c>
      <c r="F8466" t="s" s="2">
        <f>HYPERLINK("http://ts.21cn.com/tousu/show/id/1362599","http://ts.21cn.com/tousu/show/id/1362599")</f>
      </c>
      <c r="G8466" t="s" s="2">
        <v>17</v>
      </c>
      <c r="H8466" t="s" s="2">
        <v>19</v>
      </c>
      <c r="I8466" t="s" s="2">
        <v>32675</v>
      </c>
      <c r="J8466" t="s" s="2">
        <v>32676</v>
      </c>
      <c r="K8466" t="s" s="2">
        <v>22</v>
      </c>
      <c r="L8466" t="s" s="2">
        <v>22</v>
      </c>
      <c r="M8466" t="s" s="2">
        <v>22</v>
      </c>
    </row>
    <row r="8467" ht="25.0" customHeight="true">
      <c r="A8467" t="s" s="2">
        <v>13</v>
      </c>
      <c r="B8467" t="s" s="2">
        <f>HYPERLINK("http://ts.21cn.com/tousu/show/id/1362576","每日优鲜涉及用返利误导消费者")</f>
      </c>
      <c r="C8467" t="s" s="2">
        <v>15</v>
      </c>
      <c r="D8467" t="s" s="2">
        <v>16</v>
      </c>
      <c r="E8467" t="s" s="2">
        <v>17</v>
      </c>
      <c r="F8467" t="s" s="2">
        <f>HYPERLINK("http://ts.21cn.com/tousu/show/id/1362576","http://ts.21cn.com/tousu/show/id/1362576")</f>
      </c>
      <c r="G8467" t="s" s="2">
        <v>17</v>
      </c>
      <c r="H8467" t="s" s="2">
        <v>19</v>
      </c>
      <c r="I8467" t="s" s="2">
        <v>32679</v>
      </c>
      <c r="J8467" t="s" s="2">
        <v>32680</v>
      </c>
      <c r="K8467" t="s" s="2">
        <v>22</v>
      </c>
      <c r="L8467" t="s" s="2">
        <v>22</v>
      </c>
      <c r="M8467" t="s" s="2">
        <v>22</v>
      </c>
    </row>
    <row r="8468" ht="25.0" customHeight="true">
      <c r="A8468" t="s" s="2">
        <v>13</v>
      </c>
      <c r="B8468" t="s" s="2">
        <f>HYPERLINK("http://ts.21cn.com/tousu/show/id/1362590","牛牛贷套路贷，暴力威胁催收")</f>
      </c>
      <c r="C8468" t="s" s="2">
        <v>15</v>
      </c>
      <c r="D8468" t="s" s="2">
        <v>16</v>
      </c>
      <c r="E8468" t="s" s="2">
        <v>17</v>
      </c>
      <c r="F8468" t="s" s="2">
        <f>HYPERLINK("http://ts.21cn.com/tousu/show/id/1362590","http://ts.21cn.com/tousu/show/id/1362590")</f>
      </c>
      <c r="G8468" t="s" s="2">
        <v>17</v>
      </c>
      <c r="H8468" t="s" s="2">
        <v>19</v>
      </c>
      <c r="I8468" t="s" s="2">
        <v>32679</v>
      </c>
      <c r="J8468" t="s" s="2">
        <v>32683</v>
      </c>
      <c r="K8468" t="s" s="2">
        <v>22</v>
      </c>
      <c r="L8468" t="s" s="2">
        <v>22</v>
      </c>
      <c r="M8468" t="s" s="2">
        <v>22</v>
      </c>
    </row>
    <row r="8469" ht="25.0" customHeight="true">
      <c r="A8469" t="s" s="2">
        <v>13</v>
      </c>
      <c r="B8469" t="s" s="2">
        <f>HYPERLINK("http://ts.21cn.com/tousu/show/id/1362598","暴力催收恐吓威胁无力偿还要求减免利息")</f>
      </c>
      <c r="C8469" t="s" s="2">
        <v>15</v>
      </c>
      <c r="D8469" t="s" s="2">
        <v>16</v>
      </c>
      <c r="E8469" t="s" s="2">
        <v>17</v>
      </c>
      <c r="F8469" t="s" s="2">
        <f>HYPERLINK("http://ts.21cn.com/tousu/show/id/1362598","http://ts.21cn.com/tousu/show/id/1362598")</f>
      </c>
      <c r="G8469" t="s" s="2">
        <v>17</v>
      </c>
      <c r="H8469" t="s" s="2">
        <v>19</v>
      </c>
      <c r="I8469" t="s" s="2">
        <v>32686</v>
      </c>
      <c r="J8469" t="s" s="2">
        <v>32687</v>
      </c>
      <c r="K8469" t="s" s="2">
        <v>22</v>
      </c>
      <c r="L8469" t="s" s="2">
        <v>22</v>
      </c>
      <c r="M8469" t="s" s="2">
        <v>22</v>
      </c>
    </row>
    <row r="8470" ht="25.0" customHeight="true">
      <c r="A8470" t="s" s="2">
        <v>13</v>
      </c>
      <c r="B8470" t="s" s="2">
        <f>HYPERLINK("http://ts.21cn.com/tousu/show/id/1362597","信用星球砍头息催款辱骂家人")</f>
      </c>
      <c r="C8470" t="s" s="2">
        <v>15</v>
      </c>
      <c r="D8470" t="s" s="2">
        <v>16</v>
      </c>
      <c r="E8470" t="s" s="2">
        <v>17</v>
      </c>
      <c r="F8470" t="s" s="2">
        <f>HYPERLINK("http://ts.21cn.com/tousu/show/id/1362597","http://ts.21cn.com/tousu/show/id/1362597")</f>
      </c>
      <c r="G8470" t="s" s="2">
        <v>17</v>
      </c>
      <c r="H8470" t="s" s="2">
        <v>19</v>
      </c>
      <c r="I8470" t="s" s="2">
        <v>32690</v>
      </c>
      <c r="J8470" t="s" s="2">
        <v>32691</v>
      </c>
      <c r="K8470" t="s" s="2">
        <v>22</v>
      </c>
      <c r="L8470" t="s" s="2">
        <v>22</v>
      </c>
      <c r="M8470" t="s" s="2">
        <v>22</v>
      </c>
    </row>
    <row r="8471" ht="25.0" customHeight="true">
      <c r="A8471" t="s" s="2">
        <v>13</v>
      </c>
      <c r="B8471" t="s" s="2">
        <f>HYPERLINK("http://ts.21cn.com/tousu/show/id/1362596","咨询问题付款后没人回复打客服电话没人接")</f>
      </c>
      <c r="C8471" t="s" s="2">
        <v>15</v>
      </c>
      <c r="D8471" t="s" s="2">
        <v>16</v>
      </c>
      <c r="E8471" t="s" s="2">
        <v>17</v>
      </c>
      <c r="F8471" t="s" s="2">
        <f>HYPERLINK("http://ts.21cn.com/tousu/show/id/1362596","http://ts.21cn.com/tousu/show/id/1362596")</f>
      </c>
      <c r="G8471" t="s" s="2">
        <v>17</v>
      </c>
      <c r="H8471" t="s" s="2">
        <v>19</v>
      </c>
      <c r="I8471" t="s" s="2">
        <v>32694</v>
      </c>
      <c r="J8471" t="s" s="2">
        <v>32695</v>
      </c>
      <c r="K8471" t="s" s="2">
        <v>22</v>
      </c>
      <c r="L8471" t="s" s="2">
        <v>22</v>
      </c>
      <c r="M8471" t="s" s="2">
        <v>22</v>
      </c>
    </row>
    <row r="8472" ht="25.0" customHeight="true">
      <c r="A8472" t="s" s="2">
        <v>13</v>
      </c>
      <c r="B8472" t="s" s="2">
        <f>HYPERLINK("http://ts.21cn.com/tousu/show/id/1362595","暴力催收，恐吓")</f>
      </c>
      <c r="C8472" t="s" s="2">
        <v>15</v>
      </c>
      <c r="D8472" t="s" s="2">
        <v>16</v>
      </c>
      <c r="E8472" t="s" s="2">
        <v>17</v>
      </c>
      <c r="F8472" t="s" s="2">
        <f>HYPERLINK("http://ts.21cn.com/tousu/show/id/1362595","http://ts.21cn.com/tousu/show/id/1362595")</f>
      </c>
      <c r="G8472" t="s" s="2">
        <v>17</v>
      </c>
      <c r="H8472" t="s" s="2">
        <v>19</v>
      </c>
      <c r="I8472" t="s" s="2">
        <v>32697</v>
      </c>
      <c r="J8472" t="s" s="2">
        <v>32698</v>
      </c>
      <c r="K8472" t="s" s="2">
        <v>22</v>
      </c>
      <c r="L8472" t="s" s="2">
        <v>22</v>
      </c>
      <c r="M8472" t="s" s="2">
        <v>22</v>
      </c>
    </row>
    <row r="8473" ht="25.0" customHeight="true">
      <c r="A8473" t="s" s="2">
        <v>13</v>
      </c>
      <c r="B8473" t="s" s="2">
        <f>HYPERLINK("http://ts.21cn.com/tousu/show/id/1362594","工行信用卡不理会")</f>
      </c>
      <c r="C8473" t="s" s="2">
        <v>15</v>
      </c>
      <c r="D8473" t="s" s="2">
        <v>16</v>
      </c>
      <c r="E8473" t="s" s="2">
        <v>17</v>
      </c>
      <c r="F8473" t="s" s="2">
        <f>HYPERLINK("http://ts.21cn.com/tousu/show/id/1362594","http://ts.21cn.com/tousu/show/id/1362594")</f>
      </c>
      <c r="G8473" t="s" s="2">
        <v>17</v>
      </c>
      <c r="H8473" t="s" s="2">
        <v>19</v>
      </c>
      <c r="I8473" t="s" s="2">
        <v>32701</v>
      </c>
      <c r="J8473" t="s" s="2">
        <v>32702</v>
      </c>
      <c r="K8473" t="s" s="2">
        <v>22</v>
      </c>
      <c r="L8473" t="s" s="2">
        <v>22</v>
      </c>
      <c r="M8473" t="s" s="2">
        <v>22</v>
      </c>
    </row>
    <row r="8474" ht="25.0" customHeight="true">
      <c r="A8474" t="s" s="2">
        <v>13</v>
      </c>
      <c r="B8474" t="s" s="2">
        <f>HYPERLINK("http://ts.21cn.com/tousu/show/id/1362592","恒昌公司旗下恒易贷合同金额远高于实际借款金额并乱收催收服务费")</f>
      </c>
      <c r="C8474" t="s" s="2">
        <v>15</v>
      </c>
      <c r="D8474" t="s" s="2">
        <v>16</v>
      </c>
      <c r="E8474" t="s" s="2">
        <v>17</v>
      </c>
      <c r="F8474" t="s" s="2">
        <f>HYPERLINK("http://ts.21cn.com/tousu/show/id/1362592","http://ts.21cn.com/tousu/show/id/1362592")</f>
      </c>
      <c r="G8474" t="s" s="2">
        <v>17</v>
      </c>
      <c r="H8474" t="s" s="2">
        <v>19</v>
      </c>
      <c r="I8474" t="s" s="2">
        <v>32705</v>
      </c>
      <c r="J8474" t="s" s="2">
        <v>32706</v>
      </c>
      <c r="K8474" t="s" s="2">
        <v>22</v>
      </c>
      <c r="L8474" t="s" s="2">
        <v>22</v>
      </c>
      <c r="M8474" t="s" s="2">
        <v>22</v>
      </c>
    </row>
    <row r="8475" ht="25.0" customHeight="true">
      <c r="A8475" t="s" s="2">
        <v>13</v>
      </c>
      <c r="B8475" t="s" s="2">
        <f>HYPERLINK("http://ts.21cn.com/tousu/show/id/1362591","平安普惠贷款隐瞒隐藏并强制收取高额保险费管理费投诉事宜")</f>
      </c>
      <c r="C8475" t="s" s="2">
        <v>15</v>
      </c>
      <c r="D8475" t="s" s="2">
        <v>16</v>
      </c>
      <c r="E8475" t="s" s="2">
        <v>17</v>
      </c>
      <c r="F8475" t="s" s="2">
        <f>HYPERLINK("http://ts.21cn.com/tousu/show/id/1362591","http://ts.21cn.com/tousu/show/id/1362591")</f>
      </c>
      <c r="G8475" t="s" s="2">
        <v>17</v>
      </c>
      <c r="H8475" t="s" s="2">
        <v>19</v>
      </c>
      <c r="I8475" t="s" s="2">
        <v>32708</v>
      </c>
      <c r="J8475" t="s" s="2">
        <v>32709</v>
      </c>
      <c r="K8475" t="s" s="2">
        <v>22</v>
      </c>
      <c r="L8475" t="s" s="2">
        <v>22</v>
      </c>
      <c r="M8475" t="s" s="2">
        <v>22</v>
      </c>
    </row>
    <row r="8476" ht="25.0" customHeight="true">
      <c r="A8476" t="s" s="2">
        <v>13</v>
      </c>
      <c r="B8476" t="s" s="2">
        <f>HYPERLINK("http://ts.21cn.com/tousu/show/id/1362562","高利贷")</f>
      </c>
      <c r="C8476" t="s" s="2">
        <v>15</v>
      </c>
      <c r="D8476" t="s" s="2">
        <v>16</v>
      </c>
      <c r="E8476" t="s" s="2">
        <v>17</v>
      </c>
      <c r="F8476" t="s" s="2">
        <f>HYPERLINK("http://ts.21cn.com/tousu/show/id/1362562","http://ts.21cn.com/tousu/show/id/1362562")</f>
      </c>
      <c r="G8476" t="s" s="2">
        <v>17</v>
      </c>
      <c r="H8476" t="s" s="2">
        <v>19</v>
      </c>
      <c r="I8476" t="s" s="2">
        <v>32711</v>
      </c>
      <c r="J8476" t="s" s="2">
        <v>32712</v>
      </c>
      <c r="K8476" t="s" s="2">
        <v>22</v>
      </c>
      <c r="L8476" t="s" s="2">
        <v>22</v>
      </c>
      <c r="M8476" t="s" s="2">
        <v>22</v>
      </c>
    </row>
    <row r="8477" ht="25.0" customHeight="true">
      <c r="A8477" t="s" s="2">
        <v>13</v>
      </c>
      <c r="B8477" t="s" s="2">
        <f>HYPERLINK("http://ts.21cn.com/tousu/show/id/1362589","武汉善学进智教育不退钱")</f>
      </c>
      <c r="C8477" t="s" s="2">
        <v>15</v>
      </c>
      <c r="D8477" t="s" s="2">
        <v>16</v>
      </c>
      <c r="E8477" t="s" s="2">
        <v>17</v>
      </c>
      <c r="F8477" t="s" s="2">
        <f>HYPERLINK("http://ts.21cn.com/tousu/show/id/1362589","http://ts.21cn.com/tousu/show/id/1362589")</f>
      </c>
      <c r="G8477" t="s" s="2">
        <v>17</v>
      </c>
      <c r="H8477" t="s" s="2">
        <v>19</v>
      </c>
      <c r="I8477" t="s" s="2">
        <v>32715</v>
      </c>
      <c r="J8477" t="s" s="2">
        <v>32716</v>
      </c>
      <c r="K8477" t="s" s="2">
        <v>22</v>
      </c>
      <c r="L8477" t="s" s="2">
        <v>22</v>
      </c>
      <c r="M8477" t="s" s="2">
        <v>22</v>
      </c>
    </row>
    <row r="8478" ht="25.0" customHeight="true">
      <c r="A8478" t="s" s="2">
        <v>13</v>
      </c>
      <c r="B8478" t="s" s="2">
        <f>HYPERLINK("http://ts.21cn.com/tousu/show/id/1362588","玖富万卡APP，借款需支付高额保险费，砍头息")</f>
      </c>
      <c r="C8478" t="s" s="2">
        <v>52</v>
      </c>
      <c r="D8478" t="s" s="2">
        <v>16</v>
      </c>
      <c r="E8478" t="s" s="2">
        <v>17</v>
      </c>
      <c r="F8478" t="s" s="2">
        <f>HYPERLINK("http://ts.21cn.com/tousu/show/id/1362588","http://ts.21cn.com/tousu/show/id/1362588")</f>
      </c>
      <c r="G8478" t="s" s="2">
        <v>17</v>
      </c>
      <c r="H8478" t="s" s="2">
        <v>19</v>
      </c>
      <c r="I8478" t="s" s="2">
        <v>32719</v>
      </c>
      <c r="J8478" t="s" s="2">
        <v>32720</v>
      </c>
      <c r="K8478" t="s" s="2">
        <v>22</v>
      </c>
      <c r="L8478" t="s" s="2">
        <v>22</v>
      </c>
      <c r="M8478" t="s" s="2">
        <v>22</v>
      </c>
    </row>
    <row r="8479" ht="25.0" customHeight="true">
      <c r="A8479" t="s" s="2">
        <v>13</v>
      </c>
      <c r="B8479" t="s" s="2">
        <f>HYPERLINK("http://ts.21cn.com/tousu/show/id/1362586","京东白条无理催收霸道条款")</f>
      </c>
      <c r="C8479" t="s" s="2">
        <v>15</v>
      </c>
      <c r="D8479" t="s" s="2">
        <v>16</v>
      </c>
      <c r="E8479" t="s" s="2">
        <v>17</v>
      </c>
      <c r="F8479" t="s" s="2">
        <f>HYPERLINK("http://ts.21cn.com/tousu/show/id/1362586","http://ts.21cn.com/tousu/show/id/1362586")</f>
      </c>
      <c r="G8479" t="s" s="2">
        <v>17</v>
      </c>
      <c r="H8479" t="s" s="2">
        <v>19</v>
      </c>
      <c r="I8479" t="s" s="2">
        <v>32723</v>
      </c>
      <c r="J8479" t="s" s="2">
        <v>32724</v>
      </c>
      <c r="K8479" t="s" s="2">
        <v>22</v>
      </c>
      <c r="L8479" t="s" s="2">
        <v>22</v>
      </c>
      <c r="M8479" t="s" s="2">
        <v>22</v>
      </c>
    </row>
    <row r="8480" ht="25.0" customHeight="true">
      <c r="A8480" t="s" s="2">
        <v>13</v>
      </c>
      <c r="B8480" t="s" s="2">
        <f>HYPERLINK("http://ts.21cn.com/tousu/show/id/1362542","U卡贷强行不合理要违约金")</f>
      </c>
      <c r="C8480" t="s" s="2">
        <v>15</v>
      </c>
      <c r="D8480" t="s" s="2">
        <v>16</v>
      </c>
      <c r="E8480" t="s" s="2">
        <v>17</v>
      </c>
      <c r="F8480" t="s" s="2">
        <f>HYPERLINK("http://ts.21cn.com/tousu/show/id/1362542","http://ts.21cn.com/tousu/show/id/1362542")</f>
      </c>
      <c r="G8480" t="s" s="2">
        <v>17</v>
      </c>
      <c r="H8480" t="s" s="2">
        <v>19</v>
      </c>
      <c r="I8480" t="s" s="2">
        <v>32727</v>
      </c>
      <c r="J8480" t="s" s="2">
        <v>32728</v>
      </c>
      <c r="K8480" t="s" s="2">
        <v>22</v>
      </c>
      <c r="L8480" t="s" s="2">
        <v>22</v>
      </c>
      <c r="M8480" t="s" s="2">
        <v>22</v>
      </c>
    </row>
    <row r="8481" ht="25.0" customHeight="true">
      <c r="A8481" t="s" s="2">
        <v>13</v>
      </c>
      <c r="B8481" t="s" s="2">
        <f>HYPERLINK("http://ts.21cn.com/tousu/show/id/1362583","在分期通购买会员299，申请贷款不通过可退，我申请没有通过，不退会员")</f>
      </c>
      <c r="C8481" t="s" s="2">
        <v>52</v>
      </c>
      <c r="D8481" t="s" s="2">
        <v>16</v>
      </c>
      <c r="E8481" t="s" s="2">
        <v>17</v>
      </c>
      <c r="F8481" t="s" s="2">
        <f>HYPERLINK("http://ts.21cn.com/tousu/show/id/1362583","http://ts.21cn.com/tousu/show/id/1362583")</f>
      </c>
      <c r="G8481" t="s" s="2">
        <v>17</v>
      </c>
      <c r="H8481" t="s" s="2">
        <v>19</v>
      </c>
      <c r="I8481" t="s" s="2">
        <v>32731</v>
      </c>
      <c r="J8481" t="s" s="2">
        <v>32732</v>
      </c>
      <c r="K8481" t="s" s="2">
        <v>22</v>
      </c>
      <c r="L8481" t="s" s="2">
        <v>22</v>
      </c>
      <c r="M8481" t="s" s="2">
        <v>22</v>
      </c>
    </row>
    <row r="8482" ht="25.0" customHeight="true">
      <c r="A8482" t="s" s="2">
        <v>13</v>
      </c>
      <c r="B8482" t="s" s="2">
        <f>HYPERLINK("http://ts.21cn.com/tousu/show/id/1362582","高利贷")</f>
      </c>
      <c r="C8482" t="s" s="2">
        <v>15</v>
      </c>
      <c r="D8482" t="s" s="2">
        <v>16</v>
      </c>
      <c r="E8482" t="s" s="2">
        <v>17</v>
      </c>
      <c r="F8482" t="s" s="2">
        <f>HYPERLINK("http://ts.21cn.com/tousu/show/id/1362582","http://ts.21cn.com/tousu/show/id/1362582")</f>
      </c>
      <c r="G8482" t="s" s="2">
        <v>17</v>
      </c>
      <c r="H8482" t="s" s="2">
        <v>19</v>
      </c>
      <c r="I8482" t="s" s="2">
        <v>32734</v>
      </c>
      <c r="J8482" t="s" s="2">
        <v>32735</v>
      </c>
      <c r="K8482" t="s" s="2">
        <v>22</v>
      </c>
      <c r="L8482" t="s" s="2">
        <v>22</v>
      </c>
      <c r="M8482" t="s" s="2">
        <v>22</v>
      </c>
    </row>
    <row r="8483" ht="25.0" customHeight="true">
      <c r="A8483" t="s" s="2">
        <v>13</v>
      </c>
      <c r="B8483" t="s" s="2">
        <f>HYPERLINK("http://ts.21cn.com/tousu/show/id/1362580","会分期APP恶意扣钱我都不这钱是干什么扣的也没有所谓的合同跟说明，等我的钱被扣了才有合同给你看这钱扣的我都懵了。")</f>
      </c>
      <c r="C8483" t="s" s="2">
        <v>15</v>
      </c>
      <c r="D8483" t="s" s="2">
        <v>16</v>
      </c>
      <c r="E8483" t="s" s="2">
        <v>17</v>
      </c>
      <c r="F8483" t="s" s="2">
        <f>HYPERLINK("http://ts.21cn.com/tousu/show/id/1362580","http://ts.21cn.com/tousu/show/id/1362580")</f>
      </c>
      <c r="G8483" t="s" s="2">
        <v>17</v>
      </c>
      <c r="H8483" t="s" s="2">
        <v>19</v>
      </c>
      <c r="I8483" t="s" s="2">
        <v>32734</v>
      </c>
      <c r="J8483" t="s" s="2">
        <v>32738</v>
      </c>
      <c r="K8483" t="s" s="2">
        <v>22</v>
      </c>
      <c r="L8483" t="s" s="2">
        <v>22</v>
      </c>
      <c r="M8483" t="s" s="2">
        <v>22</v>
      </c>
    </row>
    <row r="8484" ht="25.0" customHeight="true">
      <c r="A8484" t="s" s="2">
        <v>13</v>
      </c>
      <c r="B8484" t="s" s="2">
        <f>HYPERLINK("http://ts.21cn.com/tousu/show/id/1362581","以各种名义收取利息")</f>
      </c>
      <c r="C8484" t="s" s="2">
        <v>52</v>
      </c>
      <c r="D8484" t="s" s="2">
        <v>16</v>
      </c>
      <c r="E8484" t="s" s="2">
        <v>17</v>
      </c>
      <c r="F8484" t="s" s="2">
        <f>HYPERLINK("http://ts.21cn.com/tousu/show/id/1362581","http://ts.21cn.com/tousu/show/id/1362581")</f>
      </c>
      <c r="G8484" t="s" s="2">
        <v>17</v>
      </c>
      <c r="H8484" t="s" s="2">
        <v>19</v>
      </c>
      <c r="I8484" t="s" s="2">
        <v>32741</v>
      </c>
      <c r="J8484" t="s" s="2">
        <v>32742</v>
      </c>
      <c r="K8484" t="s" s="2">
        <v>22</v>
      </c>
      <c r="L8484" t="s" s="2">
        <v>22</v>
      </c>
      <c r="M8484" t="s" s="2">
        <v>22</v>
      </c>
    </row>
    <row r="8485" ht="25.0" customHeight="true">
      <c r="A8485" t="s" s="2">
        <v>13</v>
      </c>
      <c r="B8485" t="s" s="2">
        <f>HYPERLINK("http://ts.21cn.com/tousu/show/id/1362579","爆力催收")</f>
      </c>
      <c r="C8485" t="s" s="2">
        <v>52</v>
      </c>
      <c r="D8485" t="s" s="2">
        <v>16</v>
      </c>
      <c r="E8485" t="s" s="2">
        <v>17</v>
      </c>
      <c r="F8485" t="s" s="2">
        <f>HYPERLINK("http://ts.21cn.com/tousu/show/id/1362579","http://ts.21cn.com/tousu/show/id/1362579")</f>
      </c>
      <c r="G8485" t="s" s="2">
        <v>17</v>
      </c>
      <c r="H8485" t="s" s="2">
        <v>19</v>
      </c>
      <c r="I8485" t="s" s="2">
        <v>32744</v>
      </c>
      <c r="J8485" t="s" s="2">
        <v>32745</v>
      </c>
      <c r="K8485" t="s" s="2">
        <v>22</v>
      </c>
      <c r="L8485" t="s" s="2">
        <v>22</v>
      </c>
      <c r="M8485" t="s" s="2">
        <v>22</v>
      </c>
    </row>
    <row r="8486" ht="25.0" customHeight="true">
      <c r="A8486" t="s" s="2">
        <v>13</v>
      </c>
      <c r="B8486" t="s" s="2">
        <f>HYPERLINK("http://ts.21cn.com/tousu/show/id/1362578","骚扰")</f>
      </c>
      <c r="C8486" t="s" s="2">
        <v>15</v>
      </c>
      <c r="D8486" t="s" s="2">
        <v>16</v>
      </c>
      <c r="E8486" t="s" s="2">
        <v>17</v>
      </c>
      <c r="F8486" t="s" s="2">
        <f>HYPERLINK("http://ts.21cn.com/tousu/show/id/1362578","http://ts.21cn.com/tousu/show/id/1362578")</f>
      </c>
      <c r="G8486" t="s" s="2">
        <v>17</v>
      </c>
      <c r="H8486" t="s" s="2">
        <v>19</v>
      </c>
      <c r="I8486" t="s" s="2">
        <v>32747</v>
      </c>
      <c r="J8486" t="s" s="2">
        <v>32748</v>
      </c>
      <c r="K8486" t="s" s="2">
        <v>22</v>
      </c>
      <c r="L8486" t="s" s="2">
        <v>22</v>
      </c>
      <c r="M8486" t="s" s="2">
        <v>22</v>
      </c>
    </row>
    <row r="8487" ht="25.0" customHeight="true">
      <c r="A8487" t="s" s="2">
        <v>13</v>
      </c>
      <c r="B8487" t="s" s="2">
        <f>HYPERLINK("http://ts.21cn.com/tousu/show/id/1362577","易行商旅虚假宣传，诱导误消费")</f>
      </c>
      <c r="C8487" t="s" s="2">
        <v>15</v>
      </c>
      <c r="D8487" t="s" s="2">
        <v>16</v>
      </c>
      <c r="E8487" t="s" s="2">
        <v>17</v>
      </c>
      <c r="F8487" t="s" s="2">
        <f>HYPERLINK("http://ts.21cn.com/tousu/show/id/1362577","http://ts.21cn.com/tousu/show/id/1362577")</f>
      </c>
      <c r="G8487" t="s" s="2">
        <v>17</v>
      </c>
      <c r="H8487" t="s" s="2">
        <v>19</v>
      </c>
      <c r="I8487" t="s" s="2">
        <v>32750</v>
      </c>
      <c r="J8487" t="s" s="2">
        <v>32751</v>
      </c>
      <c r="K8487" t="s" s="2">
        <v>22</v>
      </c>
      <c r="L8487" t="s" s="2">
        <v>22</v>
      </c>
      <c r="M8487" t="s" s="2">
        <v>22</v>
      </c>
    </row>
    <row r="8488" ht="25.0" customHeight="true">
      <c r="A8488" t="s" s="2">
        <v>13</v>
      </c>
      <c r="B8488" t="s" s="2">
        <f>HYPERLINK("http://ts.21cn.com/tousu/show/id/1362574","立刻出行不退押金")</f>
      </c>
      <c r="C8488" t="s" s="2">
        <v>15</v>
      </c>
      <c r="D8488" t="s" s="2">
        <v>16</v>
      </c>
      <c r="E8488" t="s" s="2">
        <v>17</v>
      </c>
      <c r="F8488" t="s" s="2">
        <f>HYPERLINK("http://ts.21cn.com/tousu/show/id/1362574","http://ts.21cn.com/tousu/show/id/1362574")</f>
      </c>
      <c r="G8488" t="s" s="2">
        <v>17</v>
      </c>
      <c r="H8488" t="s" s="2">
        <v>19</v>
      </c>
      <c r="I8488" t="s" s="2">
        <v>32753</v>
      </c>
      <c r="J8488" t="s" s="2">
        <v>32754</v>
      </c>
      <c r="K8488" t="s" s="2">
        <v>22</v>
      </c>
      <c r="L8488" t="s" s="2">
        <v>22</v>
      </c>
      <c r="M8488" t="s" s="2">
        <v>22</v>
      </c>
    </row>
    <row r="8489" ht="25.0" customHeight="true">
      <c r="A8489" t="s" s="2">
        <v>13</v>
      </c>
      <c r="B8489" t="s" s="2">
        <f>HYPERLINK("http://ts.21cn.com/tousu/show/id/1362575","中国联通电销人员态度恶劣")</f>
      </c>
      <c r="C8489" t="s" s="2">
        <v>15</v>
      </c>
      <c r="D8489" t="s" s="2">
        <v>16</v>
      </c>
      <c r="E8489" t="s" s="2">
        <v>17</v>
      </c>
      <c r="F8489" t="s" s="2">
        <f>HYPERLINK("http://ts.21cn.com/tousu/show/id/1362575","http://ts.21cn.com/tousu/show/id/1362575")</f>
      </c>
      <c r="G8489" t="s" s="2">
        <v>17</v>
      </c>
      <c r="H8489" t="s" s="2">
        <v>19</v>
      </c>
      <c r="I8489" t="s" s="2">
        <v>32753</v>
      </c>
      <c r="J8489" t="s" s="2">
        <v>32757</v>
      </c>
      <c r="K8489" t="s" s="2">
        <v>22</v>
      </c>
      <c r="L8489" t="s" s="2">
        <v>22</v>
      </c>
      <c r="M8489" t="s" s="2">
        <v>22</v>
      </c>
    </row>
    <row r="8490" ht="25.0" customHeight="true">
      <c r="A8490" t="s" s="2">
        <v>13</v>
      </c>
      <c r="B8490" t="s" s="2">
        <f>HYPERLINK("http://ts.21cn.com/tousu/show/id/1362573","去哪儿拿去花侵犯公民财产、违规操作")</f>
      </c>
      <c r="C8490" t="s" s="2">
        <v>15</v>
      </c>
      <c r="D8490" t="s" s="2">
        <v>16</v>
      </c>
      <c r="E8490" t="s" s="2">
        <v>17</v>
      </c>
      <c r="F8490" t="s" s="2">
        <f>HYPERLINK("http://ts.21cn.com/tousu/show/id/1362573","http://ts.21cn.com/tousu/show/id/1362573")</f>
      </c>
      <c r="G8490" t="s" s="2">
        <v>17</v>
      </c>
      <c r="H8490" t="s" s="2">
        <v>19</v>
      </c>
      <c r="I8490" t="s" s="2">
        <v>32760</v>
      </c>
      <c r="J8490" t="s" s="2">
        <v>32761</v>
      </c>
      <c r="K8490" t="s" s="2">
        <v>22</v>
      </c>
      <c r="L8490" t="s" s="2">
        <v>22</v>
      </c>
      <c r="M8490" t="s" s="2">
        <v>22</v>
      </c>
    </row>
    <row r="8491" ht="25.0" customHeight="true">
      <c r="A8491" t="s" s="2">
        <v>13</v>
      </c>
      <c r="B8491" t="s" s="2">
        <f>HYPERLINK("http://ts.21cn.com/tousu/show/id/1362572","新橙优品骚扰本人，催收他人欠款")</f>
      </c>
      <c r="C8491" t="s" s="2">
        <v>15</v>
      </c>
      <c r="D8491" t="s" s="2">
        <v>16</v>
      </c>
      <c r="E8491" t="s" s="2">
        <v>17</v>
      </c>
      <c r="F8491" t="s" s="2">
        <f>HYPERLINK("http://ts.21cn.com/tousu/show/id/1362572","http://ts.21cn.com/tousu/show/id/1362572")</f>
      </c>
      <c r="G8491" t="s" s="2">
        <v>17</v>
      </c>
      <c r="H8491" t="s" s="2">
        <v>19</v>
      </c>
      <c r="I8491" t="s" s="2">
        <v>32764</v>
      </c>
      <c r="J8491" t="s" s="2">
        <v>32765</v>
      </c>
      <c r="K8491" t="s" s="2">
        <v>22</v>
      </c>
      <c r="L8491" t="s" s="2">
        <v>22</v>
      </c>
      <c r="M8491" t="s" s="2">
        <v>22</v>
      </c>
    </row>
    <row r="8492" ht="25.0" customHeight="true">
      <c r="A8492" t="s" s="2">
        <v>13</v>
      </c>
      <c r="B8492" t="s" s="2">
        <f>HYPERLINK("http://ts.21cn.com/tousu/show/id/1362571","暴力催款，高利贷")</f>
      </c>
      <c r="C8492" t="s" s="2">
        <v>15</v>
      </c>
      <c r="D8492" t="s" s="2">
        <v>16</v>
      </c>
      <c r="E8492" t="s" s="2">
        <v>17</v>
      </c>
      <c r="F8492" t="s" s="2">
        <f>HYPERLINK("http://ts.21cn.com/tousu/show/id/1362571","http://ts.21cn.com/tousu/show/id/1362571")</f>
      </c>
      <c r="G8492" t="s" s="2">
        <v>17</v>
      </c>
      <c r="H8492" t="s" s="2">
        <v>19</v>
      </c>
      <c r="I8492" t="s" s="2">
        <v>32768</v>
      </c>
      <c r="J8492" t="s" s="2">
        <v>32769</v>
      </c>
      <c r="K8492" t="s" s="2">
        <v>22</v>
      </c>
      <c r="L8492" t="s" s="2">
        <v>22</v>
      </c>
      <c r="M8492" t="s" s="2">
        <v>22</v>
      </c>
    </row>
    <row r="8493" ht="25.0" customHeight="true">
      <c r="A8493" t="s" s="2">
        <v>13</v>
      </c>
      <c r="B8493" t="s" s="2">
        <f>HYPERLINK("http://ts.21cn.com/tousu/show/id/1362569","京东白条暴力催收")</f>
      </c>
      <c r="C8493" t="s" s="2">
        <v>15</v>
      </c>
      <c r="D8493" t="s" s="2">
        <v>16</v>
      </c>
      <c r="E8493" t="s" s="2">
        <v>17</v>
      </c>
      <c r="F8493" t="s" s="2">
        <f>HYPERLINK("http://ts.21cn.com/tousu/show/id/1362569","http://ts.21cn.com/tousu/show/id/1362569")</f>
      </c>
      <c r="G8493" t="s" s="2">
        <v>17</v>
      </c>
      <c r="H8493" t="s" s="2">
        <v>19</v>
      </c>
      <c r="I8493" t="s" s="2">
        <v>32771</v>
      </c>
      <c r="J8493" t="s" s="2">
        <v>32772</v>
      </c>
      <c r="K8493" t="s" s="2">
        <v>22</v>
      </c>
      <c r="L8493" t="s" s="2">
        <v>22</v>
      </c>
      <c r="M8493" t="s" s="2">
        <v>22</v>
      </c>
    </row>
    <row r="8494" ht="25.0" customHeight="true">
      <c r="A8494" t="s" s="2">
        <v>13</v>
      </c>
      <c r="B8494" t="s" s="2">
        <f>HYPERLINK("http://ts.21cn.com/tousu/show/id/1362549","51人品贷黑心高利贷，暴利催收骚扰联系人")</f>
      </c>
      <c r="C8494" t="s" s="2">
        <v>15</v>
      </c>
      <c r="D8494" t="s" s="2">
        <v>16</v>
      </c>
      <c r="E8494" t="s" s="2">
        <v>17</v>
      </c>
      <c r="F8494" t="s" s="2">
        <f>HYPERLINK("http://ts.21cn.com/tousu/show/id/1362549","http://ts.21cn.com/tousu/show/id/1362549")</f>
      </c>
      <c r="G8494" t="s" s="2">
        <v>17</v>
      </c>
      <c r="H8494" t="s" s="2">
        <v>19</v>
      </c>
      <c r="I8494" t="s" s="2">
        <v>32774</v>
      </c>
      <c r="J8494" t="s" s="2">
        <v>32775</v>
      </c>
      <c r="K8494" t="s" s="2">
        <v>22</v>
      </c>
      <c r="L8494" t="s" s="2">
        <v>22</v>
      </c>
      <c r="M8494" t="s" s="2">
        <v>22</v>
      </c>
    </row>
    <row r="8495" ht="25.0" customHeight="true">
      <c r="A8495" t="s" s="2">
        <v>13</v>
      </c>
      <c r="B8495" t="s" s="2">
        <f>HYPERLINK("http://ts.21cn.com/tousu/show/id/1362567","淘集集在资源位上的产品，不让下架产品，要求下架资源位。")</f>
      </c>
      <c r="C8495" t="s" s="2">
        <v>52</v>
      </c>
      <c r="D8495" t="s" s="2">
        <v>16</v>
      </c>
      <c r="E8495" t="s" s="2">
        <v>17</v>
      </c>
      <c r="F8495" t="s" s="2">
        <f>HYPERLINK("http://ts.21cn.com/tousu/show/id/1362567","http://ts.21cn.com/tousu/show/id/1362567")</f>
      </c>
      <c r="G8495" t="s" s="2">
        <v>17</v>
      </c>
      <c r="H8495" t="s" s="2">
        <v>19</v>
      </c>
      <c r="I8495" t="s" s="2">
        <v>32778</v>
      </c>
      <c r="J8495" t="s" s="2">
        <v>32779</v>
      </c>
      <c r="K8495" t="s" s="2">
        <v>22</v>
      </c>
      <c r="L8495" t="s" s="2">
        <v>22</v>
      </c>
      <c r="M8495" t="s" s="2">
        <v>22</v>
      </c>
    </row>
    <row r="8496" ht="25.0" customHeight="true">
      <c r="A8496" t="s" s="2">
        <v>13</v>
      </c>
      <c r="B8496" t="s" s="2">
        <f>HYPERLINK("http://ts.21cn.com/tousu/show/id/1362568","电话暴力催收、影响公司正常办公、恶意骚扰女员工")</f>
      </c>
      <c r="C8496" t="s" s="2">
        <v>15</v>
      </c>
      <c r="D8496" t="s" s="2">
        <v>16</v>
      </c>
      <c r="E8496" t="s" s="2">
        <v>17</v>
      </c>
      <c r="F8496" t="s" s="2">
        <f>HYPERLINK("http://ts.21cn.com/tousu/show/id/1362568","http://ts.21cn.com/tousu/show/id/1362568")</f>
      </c>
      <c r="G8496" t="s" s="2">
        <v>17</v>
      </c>
      <c r="H8496" t="s" s="2">
        <v>19</v>
      </c>
      <c r="I8496" t="s" s="2">
        <v>32782</v>
      </c>
      <c r="J8496" t="s" s="2">
        <v>32783</v>
      </c>
      <c r="K8496" t="s" s="2">
        <v>22</v>
      </c>
      <c r="L8496" t="s" s="2">
        <v>22</v>
      </c>
      <c r="M8496" t="s" s="2">
        <v>22</v>
      </c>
    </row>
    <row r="8497" ht="25.0" customHeight="true">
      <c r="A8497" t="s" s="2">
        <v>13</v>
      </c>
      <c r="B8497" t="s" s="2">
        <f>HYPERLINK("http://ts.21cn.com/tousu/show/id/1362566","请求中信银行信用卡中心协商还款")</f>
      </c>
      <c r="C8497" t="s" s="2">
        <v>15</v>
      </c>
      <c r="D8497" t="s" s="2">
        <v>16</v>
      </c>
      <c r="E8497" t="s" s="2">
        <v>17</v>
      </c>
      <c r="F8497" t="s" s="2">
        <f>HYPERLINK("http://ts.21cn.com/tousu/show/id/1362566","http://ts.21cn.com/tousu/show/id/1362566")</f>
      </c>
      <c r="G8497" t="s" s="2">
        <v>17</v>
      </c>
      <c r="H8497" t="s" s="2">
        <v>19</v>
      </c>
      <c r="I8497" t="s" s="2">
        <v>32786</v>
      </c>
      <c r="J8497" t="s" s="2">
        <v>32787</v>
      </c>
      <c r="K8497" t="s" s="2">
        <v>22</v>
      </c>
      <c r="L8497" t="s" s="2">
        <v>22</v>
      </c>
      <c r="M8497" t="s" s="2">
        <v>22</v>
      </c>
    </row>
    <row r="8498" ht="25.0" customHeight="true">
      <c r="A8498" t="s" s="2">
        <v>13</v>
      </c>
      <c r="B8498" t="s" s="2">
        <f>HYPERLINK("http://ts.21cn.com/tousu/show/id/1362565","唯品会爆公司电话骚扰无辜人士")</f>
      </c>
      <c r="C8498" t="s" s="2">
        <v>15</v>
      </c>
      <c r="D8498" t="s" s="2">
        <v>16</v>
      </c>
      <c r="E8498" t="s" s="2">
        <v>17</v>
      </c>
      <c r="F8498" t="s" s="2">
        <f>HYPERLINK("http://ts.21cn.com/tousu/show/id/1362565","http://ts.21cn.com/tousu/show/id/1362565")</f>
      </c>
      <c r="G8498" t="s" s="2">
        <v>17</v>
      </c>
      <c r="H8498" t="s" s="2">
        <v>19</v>
      </c>
      <c r="I8498" t="s" s="2">
        <v>32790</v>
      </c>
      <c r="J8498" t="s" s="2">
        <v>32791</v>
      </c>
      <c r="K8498" t="s" s="2">
        <v>22</v>
      </c>
      <c r="L8498" t="s" s="2">
        <v>22</v>
      </c>
      <c r="M8498" t="s" s="2">
        <v>22</v>
      </c>
    </row>
    <row r="8499" ht="25.0" customHeight="true">
      <c r="A8499" t="s" s="2">
        <v>13</v>
      </c>
      <c r="B8499" t="s" s="2">
        <f>HYPERLINK("http://ts.21cn.com/tousu/show/id/1362563","奇虎360暴力催收")</f>
      </c>
      <c r="C8499" t="s" s="2">
        <v>15</v>
      </c>
      <c r="D8499" t="s" s="2">
        <v>16</v>
      </c>
      <c r="E8499" t="s" s="2">
        <v>17</v>
      </c>
      <c r="F8499" t="s" s="2">
        <f>HYPERLINK("http://ts.21cn.com/tousu/show/id/1362563","http://ts.21cn.com/tousu/show/id/1362563")</f>
      </c>
      <c r="G8499" t="s" s="2">
        <v>17</v>
      </c>
      <c r="H8499" t="s" s="2">
        <v>19</v>
      </c>
      <c r="I8499" t="s" s="2">
        <v>32794</v>
      </c>
      <c r="J8499" t="s" s="2">
        <v>32795</v>
      </c>
      <c r="K8499" t="s" s="2">
        <v>22</v>
      </c>
      <c r="L8499" t="s" s="2">
        <v>22</v>
      </c>
      <c r="M8499" t="s" s="2">
        <v>22</v>
      </c>
    </row>
    <row r="8500" ht="25.0" customHeight="true">
      <c r="A8500" t="s" s="2">
        <v>13</v>
      </c>
      <c r="B8500" t="s" s="2">
        <f>HYPERLINK("http://ts.21cn.com/tousu/show/id/1362561","京东威胁、恐吓")</f>
      </c>
      <c r="C8500" t="s" s="2">
        <v>15</v>
      </c>
      <c r="D8500" t="s" s="2">
        <v>16</v>
      </c>
      <c r="E8500" t="s" s="2">
        <v>17</v>
      </c>
      <c r="F8500" t="s" s="2">
        <f>HYPERLINK("http://ts.21cn.com/tousu/show/id/1362561","http://ts.21cn.com/tousu/show/id/1362561")</f>
      </c>
      <c r="G8500" t="s" s="2">
        <v>17</v>
      </c>
      <c r="H8500" t="s" s="2">
        <v>19</v>
      </c>
      <c r="I8500" t="s" s="2">
        <v>32798</v>
      </c>
      <c r="J8500" t="s" s="2">
        <v>32799</v>
      </c>
      <c r="K8500" t="s" s="2">
        <v>22</v>
      </c>
      <c r="L8500" t="s" s="2">
        <v>22</v>
      </c>
      <c r="M8500" t="s" s="2">
        <v>22</v>
      </c>
    </row>
    <row r="8501" ht="25.0" customHeight="true">
      <c r="A8501" t="s" s="2">
        <v>13</v>
      </c>
      <c r="B8501" t="s" s="2">
        <f>HYPERLINK("http://ts.21cn.com/tousu/show/id/1362560","骚扰通讯录")</f>
      </c>
      <c r="C8501" t="s" s="2">
        <v>15</v>
      </c>
      <c r="D8501" t="s" s="2">
        <v>16</v>
      </c>
      <c r="E8501" t="s" s="2">
        <v>17</v>
      </c>
      <c r="F8501" t="s" s="2">
        <f>HYPERLINK("http://ts.21cn.com/tousu/show/id/1362560","http://ts.21cn.com/tousu/show/id/1362560")</f>
      </c>
      <c r="G8501" t="s" s="2">
        <v>17</v>
      </c>
      <c r="H8501" t="s" s="2">
        <v>19</v>
      </c>
      <c r="I8501" t="s" s="2">
        <v>32801</v>
      </c>
      <c r="J8501" t="s" s="2">
        <v>32802</v>
      </c>
      <c r="K8501" t="s" s="2">
        <v>22</v>
      </c>
      <c r="L8501" t="s" s="2">
        <v>22</v>
      </c>
      <c r="M8501" t="s" s="2">
        <v>22</v>
      </c>
    </row>
    <row r="8502" ht="25.0" customHeight="true">
      <c r="A8502" t="s" s="2">
        <v>13</v>
      </c>
      <c r="B8502" t="s" s="2">
        <f>HYPERLINK("http://ts.21cn.com/tousu/show/id/1362559","候补订单没有收到退款")</f>
      </c>
      <c r="C8502" t="s" s="2">
        <v>15</v>
      </c>
      <c r="D8502" t="s" s="2">
        <v>16</v>
      </c>
      <c r="E8502" t="s" s="2">
        <v>17</v>
      </c>
      <c r="F8502" t="s" s="2">
        <f>HYPERLINK("http://ts.21cn.com/tousu/show/id/1362559","http://ts.21cn.com/tousu/show/id/1362559")</f>
      </c>
      <c r="G8502" t="s" s="2">
        <v>17</v>
      </c>
      <c r="H8502" t="s" s="2">
        <v>19</v>
      </c>
      <c r="I8502" t="s" s="2">
        <v>32805</v>
      </c>
      <c r="J8502" t="s" s="2">
        <v>32806</v>
      </c>
      <c r="K8502" t="s" s="2">
        <v>22</v>
      </c>
      <c r="L8502" t="s" s="2">
        <v>22</v>
      </c>
      <c r="M8502" t="s" s="2">
        <v>22</v>
      </c>
    </row>
    <row r="8503" ht="25.0" customHeight="true">
      <c r="A8503" t="s" s="2">
        <v>13</v>
      </c>
      <c r="B8503" t="s" s="2">
        <f>HYPERLINK("http://ts.21cn.com/tousu/show/id/1362558","在升学教育，报考了成人自考感觉虚假宣传，想要退款。")</f>
      </c>
      <c r="C8503" t="s" s="2">
        <v>15</v>
      </c>
      <c r="D8503" t="s" s="2">
        <v>16</v>
      </c>
      <c r="E8503" t="s" s="2">
        <v>17</v>
      </c>
      <c r="F8503" t="s" s="2">
        <f>HYPERLINK("http://ts.21cn.com/tousu/show/id/1362558","http://ts.21cn.com/tousu/show/id/1362558")</f>
      </c>
      <c r="G8503" t="s" s="2">
        <v>17</v>
      </c>
      <c r="H8503" t="s" s="2">
        <v>19</v>
      </c>
      <c r="I8503" t="s" s="2">
        <v>32809</v>
      </c>
      <c r="J8503" t="s" s="2">
        <v>32810</v>
      </c>
      <c r="K8503" t="s" s="2">
        <v>22</v>
      </c>
      <c r="L8503" t="s" s="2">
        <v>22</v>
      </c>
      <c r="M8503" t="s" s="2">
        <v>22</v>
      </c>
    </row>
    <row r="8504" ht="25.0" customHeight="true">
      <c r="A8504" t="s" s="2">
        <v>13</v>
      </c>
      <c r="B8504" t="s" s="2">
        <f>HYPERLINK("http://ts.21cn.com/tousu/show/id/1362557","乱扣款")</f>
      </c>
      <c r="C8504" t="s" s="2">
        <v>15</v>
      </c>
      <c r="D8504" t="s" s="2">
        <v>16</v>
      </c>
      <c r="E8504" t="s" s="2">
        <v>17</v>
      </c>
      <c r="F8504" t="s" s="2">
        <f>HYPERLINK("http://ts.21cn.com/tousu/show/id/1362557","http://ts.21cn.com/tousu/show/id/1362557")</f>
      </c>
      <c r="G8504" t="s" s="2">
        <v>17</v>
      </c>
      <c r="H8504" t="s" s="2">
        <v>19</v>
      </c>
      <c r="I8504" t="s" s="2">
        <v>32812</v>
      </c>
      <c r="J8504" t="s" s="2">
        <v>32813</v>
      </c>
      <c r="K8504" t="s" s="2">
        <v>22</v>
      </c>
      <c r="L8504" t="s" s="2">
        <v>22</v>
      </c>
      <c r="M8504" t="s" s="2">
        <v>22</v>
      </c>
    </row>
    <row r="8505" ht="25.0" customHeight="true">
      <c r="A8505" t="s" s="2">
        <v>13</v>
      </c>
      <c r="B8505" t="s" s="2">
        <f>HYPERLINK("http://ts.21cn.com/tousu/show/id/1362556","花转转樱桃小借高利贷砍头息")</f>
      </c>
      <c r="C8505" t="s" s="2">
        <v>15</v>
      </c>
      <c r="D8505" t="s" s="2">
        <v>16</v>
      </c>
      <c r="E8505" t="s" s="2">
        <v>17</v>
      </c>
      <c r="F8505" t="s" s="2">
        <f>HYPERLINK("http://ts.21cn.com/tousu/show/id/1362556","http://ts.21cn.com/tousu/show/id/1362556")</f>
      </c>
      <c r="G8505" t="s" s="2">
        <v>17</v>
      </c>
      <c r="H8505" t="s" s="2">
        <v>19</v>
      </c>
      <c r="I8505" t="s" s="2">
        <v>32816</v>
      </c>
      <c r="J8505" t="s" s="2">
        <v>32817</v>
      </c>
      <c r="K8505" t="s" s="2">
        <v>22</v>
      </c>
      <c r="L8505" t="s" s="2">
        <v>22</v>
      </c>
      <c r="M8505" t="s" s="2">
        <v>22</v>
      </c>
    </row>
    <row r="8506" ht="25.0" customHeight="true">
      <c r="A8506" t="s" s="2">
        <v>13</v>
      </c>
      <c r="B8506" t="s" s="2">
        <f>HYPERLINK("http://ts.21cn.com/tousu/show/id/1362555","黑心第三方盗刷代扣问题")</f>
      </c>
      <c r="C8506" t="s" s="2">
        <v>15</v>
      </c>
      <c r="D8506" t="s" s="2">
        <v>16</v>
      </c>
      <c r="E8506" t="s" s="2">
        <v>17</v>
      </c>
      <c r="F8506" t="s" s="2">
        <f>HYPERLINK("http://ts.21cn.com/tousu/show/id/1362555","http://ts.21cn.com/tousu/show/id/1362555")</f>
      </c>
      <c r="G8506" t="s" s="2">
        <v>17</v>
      </c>
      <c r="H8506" t="s" s="2">
        <v>19</v>
      </c>
      <c r="I8506" t="s" s="2">
        <v>32820</v>
      </c>
      <c r="J8506" t="s" s="2">
        <v>32821</v>
      </c>
      <c r="K8506" t="s" s="2">
        <v>22</v>
      </c>
      <c r="L8506" t="s" s="2">
        <v>22</v>
      </c>
      <c r="M8506" t="s" s="2">
        <v>22</v>
      </c>
    </row>
    <row r="8507" ht="25.0" customHeight="true">
      <c r="A8507" t="s" s="2">
        <v>13</v>
      </c>
      <c r="B8507" t="s" s="2">
        <f>HYPERLINK("http://ts.21cn.com/tousu/show/id/1362554","云闪付为网络赌平台开启充值渠道，希望其关闭同道，追回损失")</f>
      </c>
      <c r="C8507" t="s" s="2">
        <v>15</v>
      </c>
      <c r="D8507" t="s" s="2">
        <v>16</v>
      </c>
      <c r="E8507" t="s" s="2">
        <v>17</v>
      </c>
      <c r="F8507" t="s" s="2">
        <f>HYPERLINK("http://ts.21cn.com/tousu/show/id/1362554","http://ts.21cn.com/tousu/show/id/1362554")</f>
      </c>
      <c r="G8507" t="s" s="2">
        <v>17</v>
      </c>
      <c r="H8507" t="s" s="2">
        <v>19</v>
      </c>
      <c r="I8507" t="s" s="2">
        <v>32824</v>
      </c>
      <c r="J8507" t="s" s="2">
        <v>32825</v>
      </c>
      <c r="K8507" t="s" s="2">
        <v>22</v>
      </c>
      <c r="L8507" t="s" s="2">
        <v>22</v>
      </c>
      <c r="M8507" t="s" s="2">
        <v>22</v>
      </c>
    </row>
    <row r="8508" ht="25.0" customHeight="true">
      <c r="A8508" t="s" s="2">
        <v>13</v>
      </c>
      <c r="B8508" t="s" s="2">
        <f>HYPERLINK("http://ts.21cn.com/tousu/show/id/1362551","京东白条第三方恶意催收")</f>
      </c>
      <c r="C8508" t="s" s="2">
        <v>15</v>
      </c>
      <c r="D8508" t="s" s="2">
        <v>16</v>
      </c>
      <c r="E8508" t="s" s="2">
        <v>17</v>
      </c>
      <c r="F8508" t="s" s="2">
        <f>HYPERLINK("http://ts.21cn.com/tousu/show/id/1362551","http://ts.21cn.com/tousu/show/id/1362551")</f>
      </c>
      <c r="G8508" t="s" s="2">
        <v>17</v>
      </c>
      <c r="H8508" t="s" s="2">
        <v>19</v>
      </c>
      <c r="I8508" t="s" s="2">
        <v>32828</v>
      </c>
      <c r="J8508" t="s" s="2">
        <v>32829</v>
      </c>
      <c r="K8508" t="s" s="2">
        <v>22</v>
      </c>
      <c r="L8508" t="s" s="2">
        <v>22</v>
      </c>
      <c r="M8508" t="s" s="2">
        <v>22</v>
      </c>
    </row>
    <row r="8509" ht="25.0" customHeight="true">
      <c r="A8509" t="s" s="2">
        <v>13</v>
      </c>
      <c r="B8509" t="s" s="2">
        <f>HYPERLINK("http://ts.21cn.com/tousu/show/id/1362553","你我贷逾期协商")</f>
      </c>
      <c r="C8509" t="s" s="2">
        <v>15</v>
      </c>
      <c r="D8509" t="s" s="2">
        <v>16</v>
      </c>
      <c r="E8509" t="s" s="2">
        <v>17</v>
      </c>
      <c r="F8509" t="s" s="2">
        <f>HYPERLINK("http://ts.21cn.com/tousu/show/id/1362553","http://ts.21cn.com/tousu/show/id/1362553")</f>
      </c>
      <c r="G8509" t="s" s="2">
        <v>17</v>
      </c>
      <c r="H8509" t="s" s="2">
        <v>19</v>
      </c>
      <c r="I8509" t="s" s="2">
        <v>32832</v>
      </c>
      <c r="J8509" t="s" s="2">
        <v>32833</v>
      </c>
      <c r="K8509" t="s" s="2">
        <v>22</v>
      </c>
      <c r="L8509" t="s" s="2">
        <v>22</v>
      </c>
      <c r="M8509" t="s" s="2">
        <v>22</v>
      </c>
    </row>
    <row r="8510" ht="25.0" customHeight="true">
      <c r="A8510" t="s" s="2">
        <v>13</v>
      </c>
      <c r="B8510" t="s" s="2">
        <f>HYPERLINK("http://ts.21cn.com/tousu/show/id/1362550","预约单成交率")</f>
      </c>
      <c r="C8510" t="s" s="2">
        <v>52</v>
      </c>
      <c r="D8510" t="s" s="2">
        <v>16</v>
      </c>
      <c r="E8510" t="s" s="2">
        <v>17</v>
      </c>
      <c r="F8510" t="s" s="2">
        <f>HYPERLINK("http://ts.21cn.com/tousu/show/id/1362550","http://ts.21cn.com/tousu/show/id/1362550")</f>
      </c>
      <c r="G8510" t="s" s="2">
        <v>17</v>
      </c>
      <c r="H8510" t="s" s="2">
        <v>19</v>
      </c>
      <c r="I8510" t="s" s="2">
        <v>32836</v>
      </c>
      <c r="J8510" t="s" s="2">
        <v>32837</v>
      </c>
      <c r="K8510" t="s" s="2">
        <v>22</v>
      </c>
      <c r="L8510" t="s" s="2">
        <v>22</v>
      </c>
      <c r="M8510" t="s" s="2">
        <v>22</v>
      </c>
    </row>
    <row r="8511" ht="25.0" customHeight="true">
      <c r="A8511" t="s" s="2">
        <v>13</v>
      </c>
      <c r="B8511" t="s" s="2">
        <f>HYPERLINK("http://ts.21cn.com/tousu/show/id/1362548","哪吒聚宝高利贷收取砍头息，暴力催收，协商还款找不到客服")</f>
      </c>
      <c r="C8511" t="s" s="2">
        <v>15</v>
      </c>
      <c r="D8511" t="s" s="2">
        <v>16</v>
      </c>
      <c r="E8511" t="s" s="2">
        <v>17</v>
      </c>
      <c r="F8511" t="s" s="2">
        <f>HYPERLINK("http://ts.21cn.com/tousu/show/id/1362548","http://ts.21cn.com/tousu/show/id/1362548")</f>
      </c>
      <c r="G8511" t="s" s="2">
        <v>17</v>
      </c>
      <c r="H8511" t="s" s="2">
        <v>19</v>
      </c>
      <c r="I8511" t="s" s="2">
        <v>32840</v>
      </c>
      <c r="J8511" t="s" s="2">
        <v>32841</v>
      </c>
      <c r="K8511" t="s" s="2">
        <v>22</v>
      </c>
      <c r="L8511" t="s" s="2">
        <v>22</v>
      </c>
      <c r="M8511" t="s" s="2">
        <v>22</v>
      </c>
    </row>
    <row r="8512" ht="25.0" customHeight="true">
      <c r="A8512" t="s" s="2">
        <v>13</v>
      </c>
      <c r="B8512" t="s" s="2">
        <f>HYPERLINK("http://ts.21cn.com/tousu/show/id/1362547","微粒贷逾期严重骚扰")</f>
      </c>
      <c r="C8512" t="s" s="2">
        <v>15</v>
      </c>
      <c r="D8512" t="s" s="2">
        <v>16</v>
      </c>
      <c r="E8512" t="s" s="2">
        <v>17</v>
      </c>
      <c r="F8512" t="s" s="2">
        <f>HYPERLINK("http://ts.21cn.com/tousu/show/id/1362547","http://ts.21cn.com/tousu/show/id/1362547")</f>
      </c>
      <c r="G8512" t="s" s="2">
        <v>17</v>
      </c>
      <c r="H8512" t="s" s="2">
        <v>19</v>
      </c>
      <c r="I8512" t="s" s="2">
        <v>32844</v>
      </c>
      <c r="J8512" t="s" s="2">
        <v>32845</v>
      </c>
      <c r="K8512" t="s" s="2">
        <v>22</v>
      </c>
      <c r="L8512" t="s" s="2">
        <v>22</v>
      </c>
      <c r="M8512" t="s" s="2">
        <v>22</v>
      </c>
    </row>
    <row r="8513" ht="25.0" customHeight="true">
      <c r="A8513" t="s" s="2">
        <v>13</v>
      </c>
      <c r="B8513" t="s" s="2">
        <f>HYPERLINK("http://ts.21cn.com/tousu/show/id/1362546","交通银行信用卡暴力催收，骚扰电话无数")</f>
      </c>
      <c r="C8513" t="s" s="2">
        <v>15</v>
      </c>
      <c r="D8513" t="s" s="2">
        <v>16</v>
      </c>
      <c r="E8513" t="s" s="2">
        <v>17</v>
      </c>
      <c r="F8513" t="s" s="2">
        <f>HYPERLINK("http://ts.21cn.com/tousu/show/id/1362546","http://ts.21cn.com/tousu/show/id/1362546")</f>
      </c>
      <c r="G8513" t="s" s="2">
        <v>17</v>
      </c>
      <c r="H8513" t="s" s="2">
        <v>19</v>
      </c>
      <c r="I8513" t="s" s="2">
        <v>32848</v>
      </c>
      <c r="J8513" t="s" s="2">
        <v>32849</v>
      </c>
      <c r="K8513" t="s" s="2">
        <v>22</v>
      </c>
      <c r="L8513" t="s" s="2">
        <v>22</v>
      </c>
      <c r="M8513" t="s" s="2">
        <v>22</v>
      </c>
    </row>
    <row r="8514" ht="25.0" customHeight="true">
      <c r="A8514" t="s" s="2">
        <v>13</v>
      </c>
      <c r="B8514" t="s" s="2">
        <f>HYPERLINK("http://ts.21cn.com/tousu/show/id/1362545","信而富违规出售借款资格作为商品，收取高额砍头息")</f>
      </c>
      <c r="C8514" t="s" s="2">
        <v>15</v>
      </c>
      <c r="D8514" t="s" s="2">
        <v>16</v>
      </c>
      <c r="E8514" t="s" s="2">
        <v>17</v>
      </c>
      <c r="F8514" t="s" s="2">
        <f>HYPERLINK("http://ts.21cn.com/tousu/show/id/1362545","http://ts.21cn.com/tousu/show/id/1362545")</f>
      </c>
      <c r="G8514" t="s" s="2">
        <v>17</v>
      </c>
      <c r="H8514" t="s" s="2">
        <v>19</v>
      </c>
      <c r="I8514" t="s" s="2">
        <v>32852</v>
      </c>
      <c r="J8514" t="s" s="2">
        <v>32853</v>
      </c>
      <c r="K8514" t="s" s="2">
        <v>22</v>
      </c>
      <c r="L8514" t="s" s="2">
        <v>22</v>
      </c>
      <c r="M8514" t="s" s="2">
        <v>22</v>
      </c>
    </row>
    <row r="8515" ht="25.0" customHeight="true">
      <c r="A8515" t="s" s="2">
        <v>13</v>
      </c>
      <c r="B8515" t="s" s="2">
        <f>HYPERLINK("http://ts.21cn.com/tousu/show/id/1360887","优酷网自动续费扣款陷阱")</f>
      </c>
      <c r="C8515" t="s" s="2">
        <v>15</v>
      </c>
      <c r="D8515" t="s" s="2">
        <v>16</v>
      </c>
      <c r="E8515" t="s" s="2">
        <v>17</v>
      </c>
      <c r="F8515" t="s" s="2">
        <f>HYPERLINK("http://ts.21cn.com/tousu/show/id/1360887","http://ts.21cn.com/tousu/show/id/1360887")</f>
      </c>
      <c r="G8515" t="s" s="2">
        <v>17</v>
      </c>
      <c r="H8515" t="s" s="2">
        <v>19</v>
      </c>
      <c r="I8515" t="s" s="2">
        <v>32856</v>
      </c>
      <c r="J8515" t="s" s="2">
        <v>32857</v>
      </c>
      <c r="K8515" t="s" s="2">
        <v>22</v>
      </c>
      <c r="L8515" t="s" s="2">
        <v>22</v>
      </c>
      <c r="M8515" t="s" s="2">
        <v>22</v>
      </c>
    </row>
    <row r="8516" ht="25.0" customHeight="true">
      <c r="A8516" t="s" s="2">
        <v>13</v>
      </c>
      <c r="B8516" t="s" s="2">
        <f>HYPERLINK("http://ts.21cn.com/tousu/show/id/1362543","京东大闸蟹提不到货")</f>
      </c>
      <c r="C8516" t="s" s="2">
        <v>15</v>
      </c>
      <c r="D8516" t="s" s="2">
        <v>16</v>
      </c>
      <c r="E8516" t="s" s="2">
        <v>17</v>
      </c>
      <c r="F8516" t="s" s="2">
        <f>HYPERLINK("http://ts.21cn.com/tousu/show/id/1362543","http://ts.21cn.com/tousu/show/id/1362543")</f>
      </c>
      <c r="G8516" t="s" s="2">
        <v>17</v>
      </c>
      <c r="H8516" t="s" s="2">
        <v>19</v>
      </c>
      <c r="I8516" t="s" s="2">
        <v>32860</v>
      </c>
      <c r="J8516" t="s" s="2">
        <v>32861</v>
      </c>
      <c r="K8516" t="s" s="2">
        <v>22</v>
      </c>
      <c r="L8516" t="s" s="2">
        <v>22</v>
      </c>
      <c r="M8516" t="s" s="2">
        <v>22</v>
      </c>
    </row>
    <row r="8517" ht="25.0" customHeight="true">
      <c r="A8517" t="s" s="2">
        <v>13</v>
      </c>
      <c r="B8517" t="s" s="2">
        <f>HYPERLINK("http://ts.21cn.com/tousu/show/id/1362544","阴阳合同高额逾期费用")</f>
      </c>
      <c r="C8517" t="s" s="2">
        <v>15</v>
      </c>
      <c r="D8517" t="s" s="2">
        <v>16</v>
      </c>
      <c r="E8517" t="s" s="2">
        <v>17</v>
      </c>
      <c r="F8517" t="s" s="2">
        <f>HYPERLINK("http://ts.21cn.com/tousu/show/id/1362544","http://ts.21cn.com/tousu/show/id/1362544")</f>
      </c>
      <c r="G8517" t="s" s="2">
        <v>17</v>
      </c>
      <c r="H8517" t="s" s="2">
        <v>19</v>
      </c>
      <c r="I8517" t="s" s="2">
        <v>32864</v>
      </c>
      <c r="J8517" t="s" s="2">
        <v>32865</v>
      </c>
      <c r="K8517" t="s" s="2">
        <v>22</v>
      </c>
      <c r="L8517" t="s" s="2">
        <v>22</v>
      </c>
      <c r="M8517" t="s" s="2">
        <v>22</v>
      </c>
    </row>
    <row r="8518" ht="25.0" customHeight="true">
      <c r="A8518" t="s" s="2">
        <v>13</v>
      </c>
      <c r="B8518" t="s" s="2">
        <f>HYPERLINK("http://ts.21cn.com/tousu/show/id/1362541","百度有钱花外包催收恶意催收")</f>
      </c>
      <c r="C8518" t="s" s="2">
        <v>15</v>
      </c>
      <c r="D8518" t="s" s="2">
        <v>16</v>
      </c>
      <c r="E8518" t="s" s="2">
        <v>17</v>
      </c>
      <c r="F8518" t="s" s="2">
        <f>HYPERLINK("http://ts.21cn.com/tousu/show/id/1362541","http://ts.21cn.com/tousu/show/id/1362541")</f>
      </c>
      <c r="G8518" t="s" s="2">
        <v>17</v>
      </c>
      <c r="H8518" t="s" s="2">
        <v>19</v>
      </c>
      <c r="I8518" t="s" s="2">
        <v>32868</v>
      </c>
      <c r="J8518" t="s" s="2">
        <v>32869</v>
      </c>
      <c r="K8518" t="s" s="2">
        <v>22</v>
      </c>
      <c r="L8518" t="s" s="2">
        <v>22</v>
      </c>
      <c r="M8518" t="s" s="2">
        <v>22</v>
      </c>
    </row>
    <row r="8519" ht="25.0" customHeight="true">
      <c r="A8519" t="s" s="2">
        <v>13</v>
      </c>
      <c r="B8519" t="s" s="2">
        <f>HYPERLINK("http://ts.21cn.com/tousu/show/id/1362526","南昌君安文华传媒有限公司收取贷款评估费拒绝退款")</f>
      </c>
      <c r="C8519" t="s" s="2">
        <v>15</v>
      </c>
      <c r="D8519" t="s" s="2">
        <v>16</v>
      </c>
      <c r="E8519" t="s" s="2">
        <v>17</v>
      </c>
      <c r="F8519" t="s" s="2">
        <f>HYPERLINK("http://ts.21cn.com/tousu/show/id/1362526","http://ts.21cn.com/tousu/show/id/1362526")</f>
      </c>
      <c r="G8519" t="s" s="2">
        <v>17</v>
      </c>
      <c r="H8519" t="s" s="2">
        <v>19</v>
      </c>
      <c r="I8519" t="s" s="2">
        <v>32872</v>
      </c>
      <c r="J8519" t="s" s="2">
        <v>32873</v>
      </c>
      <c r="K8519" t="s" s="2">
        <v>22</v>
      </c>
      <c r="L8519" t="s" s="2">
        <v>22</v>
      </c>
      <c r="M8519" t="s" s="2">
        <v>22</v>
      </c>
    </row>
    <row r="8520" ht="25.0" customHeight="true">
      <c r="A8520" t="s" s="2">
        <v>13</v>
      </c>
      <c r="B8520" t="s" s="2">
        <f>HYPERLINK("http://ts.21cn.com/tousu/show/id/1362540","分期乐公司暴利催收，利息胜高利贷")</f>
      </c>
      <c r="C8520" t="s" s="2">
        <v>15</v>
      </c>
      <c r="D8520" t="s" s="2">
        <v>16</v>
      </c>
      <c r="E8520" t="s" s="2">
        <v>17</v>
      </c>
      <c r="F8520" t="s" s="2">
        <f>HYPERLINK("http://ts.21cn.com/tousu/show/id/1362540","http://ts.21cn.com/tousu/show/id/1362540")</f>
      </c>
      <c r="G8520" t="s" s="2">
        <v>17</v>
      </c>
      <c r="H8520" t="s" s="2">
        <v>19</v>
      </c>
      <c r="I8520" t="s" s="2">
        <v>32876</v>
      </c>
      <c r="J8520" t="s" s="2">
        <v>32877</v>
      </c>
      <c r="K8520" t="s" s="2">
        <v>22</v>
      </c>
      <c r="L8520" t="s" s="2">
        <v>22</v>
      </c>
      <c r="M8520" t="s" s="2">
        <v>22</v>
      </c>
    </row>
    <row r="8521" ht="25.0" customHeight="true">
      <c r="A8521" t="s" s="2">
        <v>13</v>
      </c>
      <c r="B8521" t="s" s="2">
        <f>HYPERLINK("http://ts.21cn.com/tousu/show/id/1362539","高德打车在我支付了车费的前提下显示我未支付车费")</f>
      </c>
      <c r="C8521" t="s" s="2">
        <v>15</v>
      </c>
      <c r="D8521" t="s" s="2">
        <v>16</v>
      </c>
      <c r="E8521" t="s" s="2">
        <v>17</v>
      </c>
      <c r="F8521" t="s" s="2">
        <f>HYPERLINK("http://ts.21cn.com/tousu/show/id/1362539","http://ts.21cn.com/tousu/show/id/1362539")</f>
      </c>
      <c r="G8521" t="s" s="2">
        <v>17</v>
      </c>
      <c r="H8521" t="s" s="2">
        <v>19</v>
      </c>
      <c r="I8521" t="s" s="2">
        <v>32880</v>
      </c>
      <c r="J8521" t="s" s="2">
        <v>32881</v>
      </c>
      <c r="K8521" t="s" s="2">
        <v>22</v>
      </c>
      <c r="L8521" t="s" s="2">
        <v>22</v>
      </c>
      <c r="M8521" t="s" s="2">
        <v>22</v>
      </c>
    </row>
    <row r="8522" ht="25.0" customHeight="true">
      <c r="A8522" t="s" s="2">
        <v>13</v>
      </c>
      <c r="B8522" t="s" s="2">
        <f>HYPERLINK("http://ts.21cn.com/tousu/show/id/1361594","订单为赌博平台提供充值渠道")</f>
      </c>
      <c r="C8522" t="s" s="2">
        <v>15</v>
      </c>
      <c r="D8522" t="s" s="2">
        <v>16</v>
      </c>
      <c r="E8522" t="s" s="2">
        <v>17</v>
      </c>
      <c r="F8522" t="s" s="2">
        <f>HYPERLINK("http://ts.21cn.com/tousu/show/id/1361594","http://ts.21cn.com/tousu/show/id/1361594")</f>
      </c>
      <c r="G8522" t="s" s="2">
        <v>17</v>
      </c>
      <c r="H8522" t="s" s="2">
        <v>19</v>
      </c>
      <c r="I8522" t="s" s="2">
        <v>32884</v>
      </c>
      <c r="J8522" t="s" s="2">
        <v>32885</v>
      </c>
      <c r="K8522" t="s" s="2">
        <v>22</v>
      </c>
      <c r="L8522" t="s" s="2">
        <v>22</v>
      </c>
      <c r="M8522" t="s" s="2">
        <v>22</v>
      </c>
    </row>
    <row r="8523" ht="25.0" customHeight="true">
      <c r="A8523" t="s" s="2">
        <v>13</v>
      </c>
      <c r="B8523" t="s" s="2">
        <f>HYPERLINK("http://ts.21cn.com/tousu/show/id/1362538","读秒")</f>
      </c>
      <c r="C8523" t="s" s="2">
        <v>15</v>
      </c>
      <c r="D8523" t="s" s="2">
        <v>16</v>
      </c>
      <c r="E8523" t="s" s="2">
        <v>17</v>
      </c>
      <c r="F8523" t="s" s="2">
        <f>HYPERLINK("http://ts.21cn.com/tousu/show/id/1362538","http://ts.21cn.com/tousu/show/id/1362538")</f>
      </c>
      <c r="G8523" t="s" s="2">
        <v>17</v>
      </c>
      <c r="H8523" t="s" s="2">
        <v>19</v>
      </c>
      <c r="I8523" t="s" s="2">
        <v>32887</v>
      </c>
      <c r="J8523" t="s" s="2">
        <v>32888</v>
      </c>
      <c r="K8523" t="s" s="2">
        <v>22</v>
      </c>
      <c r="L8523" t="s" s="2">
        <v>22</v>
      </c>
      <c r="M8523" t="s" s="2">
        <v>22</v>
      </c>
    </row>
    <row r="8524" ht="25.0" customHeight="true">
      <c r="A8524" t="s" s="2">
        <v>13</v>
      </c>
      <c r="B8524" t="s" s="2">
        <f>HYPERLINK("http://ts.21cn.com/tousu/show/id/1362537","湖州恒大珺睿府违约不退认购款")</f>
      </c>
      <c r="C8524" t="s" s="2">
        <v>15</v>
      </c>
      <c r="D8524" t="s" s="2">
        <v>16</v>
      </c>
      <c r="E8524" t="s" s="2">
        <v>17</v>
      </c>
      <c r="F8524" t="s" s="2">
        <f>HYPERLINK("http://ts.21cn.com/tousu/show/id/1362537","http://ts.21cn.com/tousu/show/id/1362537")</f>
      </c>
      <c r="G8524" t="s" s="2">
        <v>17</v>
      </c>
      <c r="H8524" t="s" s="2">
        <v>19</v>
      </c>
      <c r="I8524" t="s" s="2">
        <v>32891</v>
      </c>
      <c r="J8524" t="s" s="2">
        <v>32892</v>
      </c>
      <c r="K8524" t="s" s="2">
        <v>22</v>
      </c>
      <c r="L8524" t="s" s="2">
        <v>22</v>
      </c>
      <c r="M8524" t="s" s="2">
        <v>22</v>
      </c>
    </row>
    <row r="8525" ht="25.0" customHeight="true">
      <c r="A8525" t="s" s="2">
        <v>13</v>
      </c>
      <c r="B8525" t="s" s="2">
        <f>HYPERLINK("http://ts.21cn.com/tousu/show/id/1362534","在能联系到我本人的情况下，还要联系紧急联系人")</f>
      </c>
      <c r="C8525" t="s" s="2">
        <v>15</v>
      </c>
      <c r="D8525" t="s" s="2">
        <v>16</v>
      </c>
      <c r="E8525" t="s" s="2">
        <v>17</v>
      </c>
      <c r="F8525" t="s" s="2">
        <f>HYPERLINK("http://ts.21cn.com/tousu/show/id/1362534","http://ts.21cn.com/tousu/show/id/1362534")</f>
      </c>
      <c r="G8525" t="s" s="2">
        <v>17</v>
      </c>
      <c r="H8525" t="s" s="2">
        <v>19</v>
      </c>
      <c r="I8525" t="s" s="2">
        <v>32895</v>
      </c>
      <c r="J8525" t="s" s="2">
        <v>32896</v>
      </c>
      <c r="K8525" t="s" s="2">
        <v>22</v>
      </c>
      <c r="L8525" t="s" s="2">
        <v>22</v>
      </c>
      <c r="M8525" t="s" s="2">
        <v>22</v>
      </c>
    </row>
    <row r="8526" ht="25.0" customHeight="true">
      <c r="A8526" t="s" s="2">
        <v>13</v>
      </c>
      <c r="B8526" t="s" s="2">
        <f>HYPERLINK("http://ts.21cn.com/tousu/show/id/1362533","捷信")</f>
      </c>
      <c r="C8526" t="s" s="2">
        <v>15</v>
      </c>
      <c r="D8526" t="s" s="2">
        <v>16</v>
      </c>
      <c r="E8526" t="s" s="2">
        <v>17</v>
      </c>
      <c r="F8526" t="s" s="2">
        <f>HYPERLINK("http://ts.21cn.com/tousu/show/id/1362533","http://ts.21cn.com/tousu/show/id/1362533")</f>
      </c>
      <c r="G8526" t="s" s="2">
        <v>17</v>
      </c>
      <c r="H8526" t="s" s="2">
        <v>19</v>
      </c>
      <c r="I8526" t="s" s="2">
        <v>32895</v>
      </c>
      <c r="J8526" t="s" s="2">
        <v>32898</v>
      </c>
      <c r="K8526" t="s" s="2">
        <v>22</v>
      </c>
      <c r="L8526" t="s" s="2">
        <v>22</v>
      </c>
      <c r="M8526" t="s" s="2">
        <v>22</v>
      </c>
    </row>
    <row r="8527" ht="25.0" customHeight="true">
      <c r="A8527" t="s" s="2">
        <v>13</v>
      </c>
      <c r="B8527" t="s" s="2">
        <f>HYPERLINK("http://ts.21cn.com/tousu/show/id/1362535","骚扰")</f>
      </c>
      <c r="C8527" t="s" s="2">
        <v>15</v>
      </c>
      <c r="D8527" t="s" s="2">
        <v>16</v>
      </c>
      <c r="E8527" t="s" s="2">
        <v>17</v>
      </c>
      <c r="F8527" t="s" s="2">
        <f>HYPERLINK("http://ts.21cn.com/tousu/show/id/1362535","http://ts.21cn.com/tousu/show/id/1362535")</f>
      </c>
      <c r="G8527" t="s" s="2">
        <v>17</v>
      </c>
      <c r="H8527" t="s" s="2">
        <v>19</v>
      </c>
      <c r="I8527" t="s" s="2">
        <v>32900</v>
      </c>
      <c r="J8527" t="s" s="2">
        <v>32901</v>
      </c>
      <c r="K8527" t="s" s="2">
        <v>22</v>
      </c>
      <c r="L8527" t="s" s="2">
        <v>22</v>
      </c>
      <c r="M8527" t="s" s="2">
        <v>22</v>
      </c>
    </row>
    <row r="8528" ht="25.0" customHeight="true">
      <c r="A8528" t="s" s="2">
        <v>13</v>
      </c>
      <c r="B8528" t="s" s="2">
        <f>HYPERLINK("http://ts.21cn.com/tousu/show/id/1362536","点点来钱盗窃银行卡")</f>
      </c>
      <c r="C8528" t="s" s="2">
        <v>15</v>
      </c>
      <c r="D8528" t="s" s="2">
        <v>16</v>
      </c>
      <c r="E8528" t="s" s="2">
        <v>17</v>
      </c>
      <c r="F8528" t="s" s="2">
        <f>HYPERLINK("http://ts.21cn.com/tousu/show/id/1362536","http://ts.21cn.com/tousu/show/id/1362536")</f>
      </c>
      <c r="G8528" t="s" s="2">
        <v>17</v>
      </c>
      <c r="H8528" t="s" s="2">
        <v>19</v>
      </c>
      <c r="I8528" t="s" s="2">
        <v>32904</v>
      </c>
      <c r="J8528" t="s" s="2">
        <v>32905</v>
      </c>
      <c r="K8528" t="s" s="2">
        <v>22</v>
      </c>
      <c r="L8528" t="s" s="2">
        <v>22</v>
      </c>
      <c r="M8528" t="s" s="2">
        <v>22</v>
      </c>
    </row>
    <row r="8529" ht="25.0" customHeight="true">
      <c r="A8529" t="s" s="2">
        <v>13</v>
      </c>
      <c r="B8529" t="s" s="2">
        <f>HYPERLINK("http://ts.21cn.com/tousu/show/id/1362530","小赢卡贷威胁我爆通讯录")</f>
      </c>
      <c r="C8529" t="s" s="2">
        <v>15</v>
      </c>
      <c r="D8529" t="s" s="2">
        <v>16</v>
      </c>
      <c r="E8529" t="s" s="2">
        <v>17</v>
      </c>
      <c r="F8529" t="s" s="2">
        <f>HYPERLINK("http://ts.21cn.com/tousu/show/id/1362530","http://ts.21cn.com/tousu/show/id/1362530")</f>
      </c>
      <c r="G8529" t="s" s="2">
        <v>17</v>
      </c>
      <c r="H8529" t="s" s="2">
        <v>19</v>
      </c>
      <c r="I8529" t="s" s="2">
        <v>32908</v>
      </c>
      <c r="J8529" t="s" s="2">
        <v>32909</v>
      </c>
      <c r="K8529" t="s" s="2">
        <v>22</v>
      </c>
      <c r="L8529" t="s" s="2">
        <v>22</v>
      </c>
      <c r="M8529" t="s" s="2">
        <v>22</v>
      </c>
    </row>
    <row r="8530" ht="25.0" customHeight="true">
      <c r="A8530" t="s" s="2">
        <v>13</v>
      </c>
      <c r="B8530" t="s" s="2">
        <f>HYPERLINK("http://ts.21cn.com/tousu/show/id/1362529","发假货不肯退款")</f>
      </c>
      <c r="C8530" t="s" s="2">
        <v>15</v>
      </c>
      <c r="D8530" t="s" s="2">
        <v>16</v>
      </c>
      <c r="E8530" t="s" s="2">
        <v>17</v>
      </c>
      <c r="F8530" t="s" s="2">
        <f>HYPERLINK("http://ts.21cn.com/tousu/show/id/1362529","http://ts.21cn.com/tousu/show/id/1362529")</f>
      </c>
      <c r="G8530" t="s" s="2">
        <v>17</v>
      </c>
      <c r="H8530" t="s" s="2">
        <v>19</v>
      </c>
      <c r="I8530" t="s" s="2">
        <v>32912</v>
      </c>
      <c r="J8530" t="s" s="2">
        <v>32913</v>
      </c>
      <c r="K8530" t="s" s="2">
        <v>22</v>
      </c>
      <c r="L8530" t="s" s="2">
        <v>22</v>
      </c>
      <c r="M8530" t="s" s="2">
        <v>22</v>
      </c>
    </row>
    <row r="8531" ht="25.0" customHeight="true">
      <c r="A8531" t="s" s="2">
        <v>13</v>
      </c>
      <c r="B8531" t="s" s="2">
        <f>HYPERLINK("http://ts.21cn.com/tousu/show/id/1362528","钱橙无忧随意扣费")</f>
      </c>
      <c r="C8531" t="s" s="2">
        <v>52</v>
      </c>
      <c r="D8531" t="s" s="2">
        <v>16</v>
      </c>
      <c r="E8531" t="s" s="2">
        <v>17</v>
      </c>
      <c r="F8531" t="s" s="2">
        <f>HYPERLINK("http://ts.21cn.com/tousu/show/id/1362528","http://ts.21cn.com/tousu/show/id/1362528")</f>
      </c>
      <c r="G8531" t="s" s="2">
        <v>17</v>
      </c>
      <c r="H8531" t="s" s="2">
        <v>19</v>
      </c>
      <c r="I8531" t="s" s="2">
        <v>32915</v>
      </c>
      <c r="J8531" t="s" s="2">
        <v>32916</v>
      </c>
      <c r="K8531" t="s" s="2">
        <v>22</v>
      </c>
      <c r="L8531" t="s" s="2">
        <v>22</v>
      </c>
      <c r="M8531" t="s" s="2">
        <v>22</v>
      </c>
    </row>
    <row r="8532" ht="25.0" customHeight="true">
      <c r="A8532" t="s" s="2">
        <v>13</v>
      </c>
      <c r="B8532" t="s" s="2">
        <f>HYPERLINK("http://ts.21cn.com/tousu/show/id/1362524","高利贷捷信金融")</f>
      </c>
      <c r="C8532" t="s" s="2">
        <v>15</v>
      </c>
      <c r="D8532" t="s" s="2">
        <v>16</v>
      </c>
      <c r="E8532" t="s" s="2">
        <v>17</v>
      </c>
      <c r="F8532" t="s" s="2">
        <f>HYPERLINK("http://ts.21cn.com/tousu/show/id/1362524","http://ts.21cn.com/tousu/show/id/1362524")</f>
      </c>
      <c r="G8532" t="s" s="2">
        <v>17</v>
      </c>
      <c r="H8532" t="s" s="2">
        <v>19</v>
      </c>
      <c r="I8532" t="s" s="2">
        <v>32919</v>
      </c>
      <c r="J8532" t="s" s="2">
        <v>32920</v>
      </c>
      <c r="K8532" t="s" s="2">
        <v>22</v>
      </c>
      <c r="L8532" t="s" s="2">
        <v>22</v>
      </c>
      <c r="M8532" t="s" s="2">
        <v>22</v>
      </c>
    </row>
    <row r="8533" ht="25.0" customHeight="true">
      <c r="A8533" t="s" s="2">
        <v>13</v>
      </c>
      <c r="B8533" t="s" s="2">
        <f>HYPERLINK("http://ts.21cn.com/tousu/show/id/1362523","光大银行工作人员辱骂客户")</f>
      </c>
      <c r="C8533" t="s" s="2">
        <v>15</v>
      </c>
      <c r="D8533" t="s" s="2">
        <v>16</v>
      </c>
      <c r="E8533" t="s" s="2">
        <v>17</v>
      </c>
      <c r="F8533" t="s" s="2">
        <f>HYPERLINK("http://ts.21cn.com/tousu/show/id/1362523","http://ts.21cn.com/tousu/show/id/1362523")</f>
      </c>
      <c r="G8533" t="s" s="2">
        <v>17</v>
      </c>
      <c r="H8533" t="s" s="2">
        <v>19</v>
      </c>
      <c r="I8533" t="s" s="2">
        <v>32923</v>
      </c>
      <c r="J8533" t="s" s="2">
        <v>32924</v>
      </c>
      <c r="K8533" t="s" s="2">
        <v>22</v>
      </c>
      <c r="L8533" t="s" s="2">
        <v>22</v>
      </c>
      <c r="M8533" t="s" s="2">
        <v>22</v>
      </c>
    </row>
    <row r="8534" ht="25.0" customHeight="true">
      <c r="A8534" t="s" s="2">
        <v>13</v>
      </c>
      <c r="B8534" t="s" s="2">
        <f>HYPERLINK("http://ts.21cn.com/tousu/show/id/1362525","银行卡被扣款显示微信支付")</f>
      </c>
      <c r="C8534" t="s" s="2">
        <v>52</v>
      </c>
      <c r="D8534" t="s" s="2">
        <v>16</v>
      </c>
      <c r="E8534" t="s" s="2">
        <v>17</v>
      </c>
      <c r="F8534" t="s" s="2">
        <f>HYPERLINK("http://ts.21cn.com/tousu/show/id/1362525","http://ts.21cn.com/tousu/show/id/1362525")</f>
      </c>
      <c r="G8534" t="s" s="2">
        <v>17</v>
      </c>
      <c r="H8534" t="s" s="2">
        <v>19</v>
      </c>
      <c r="I8534" t="s" s="2">
        <v>32927</v>
      </c>
      <c r="J8534" t="s" s="2">
        <v>32928</v>
      </c>
      <c r="K8534" t="s" s="2">
        <v>22</v>
      </c>
      <c r="L8534" t="s" s="2">
        <v>22</v>
      </c>
      <c r="M8534" t="s" s="2">
        <v>22</v>
      </c>
    </row>
    <row r="8535" ht="25.0" customHeight="true">
      <c r="A8535" t="s" s="2">
        <v>13</v>
      </c>
      <c r="B8535" t="s" s="2">
        <f>HYPERLINK("http://ts.21cn.com/tousu/show/id/1362522","乱扣299.50申请退款")</f>
      </c>
      <c r="C8535" t="s" s="2">
        <v>15</v>
      </c>
      <c r="D8535" t="s" s="2">
        <v>16</v>
      </c>
      <c r="E8535" t="s" s="2">
        <v>17</v>
      </c>
      <c r="F8535" t="s" s="2">
        <f>HYPERLINK("http://ts.21cn.com/tousu/show/id/1362522","http://ts.21cn.com/tousu/show/id/1362522")</f>
      </c>
      <c r="G8535" t="s" s="2">
        <v>17</v>
      </c>
      <c r="H8535" t="s" s="2">
        <v>19</v>
      </c>
      <c r="I8535" t="s" s="2">
        <v>32931</v>
      </c>
      <c r="J8535" t="s" s="2">
        <v>32932</v>
      </c>
      <c r="K8535" t="s" s="2">
        <v>22</v>
      </c>
      <c r="L8535" t="s" s="2">
        <v>22</v>
      </c>
      <c r="M8535" t="s" s="2">
        <v>22</v>
      </c>
    </row>
    <row r="8536" ht="25.0" customHeight="true">
      <c r="A8536" t="s" s="2">
        <v>13</v>
      </c>
      <c r="B8536" t="s" s="2">
        <f>HYPERLINK("http://ts.21cn.com/tousu/show/id/1362521","无力偿还要求减免利息")</f>
      </c>
      <c r="C8536" t="s" s="2">
        <v>15</v>
      </c>
      <c r="D8536" t="s" s="2">
        <v>16</v>
      </c>
      <c r="E8536" t="s" s="2">
        <v>17</v>
      </c>
      <c r="F8536" t="s" s="2">
        <f>HYPERLINK("http://ts.21cn.com/tousu/show/id/1362521","http://ts.21cn.com/tousu/show/id/1362521")</f>
      </c>
      <c r="G8536" t="s" s="2">
        <v>17</v>
      </c>
      <c r="H8536" t="s" s="2">
        <v>19</v>
      </c>
      <c r="I8536" t="s" s="2">
        <v>32935</v>
      </c>
      <c r="J8536" t="s" s="2">
        <v>32936</v>
      </c>
      <c r="K8536" t="s" s="2">
        <v>22</v>
      </c>
      <c r="L8536" t="s" s="2">
        <v>22</v>
      </c>
      <c r="M8536" t="s" s="2">
        <v>22</v>
      </c>
    </row>
    <row r="8537" ht="25.0" customHeight="true">
      <c r="A8537" t="s" s="2">
        <v>13</v>
      </c>
      <c r="B8537" t="s" s="2">
        <f>HYPERLINK("http://ts.21cn.com/tousu/show/id/1362520","我的银行卡被乱扣款金额299元")</f>
      </c>
      <c r="C8537" t="s" s="2">
        <v>15</v>
      </c>
      <c r="D8537" t="s" s="2">
        <v>16</v>
      </c>
      <c r="E8537" t="s" s="2">
        <v>17</v>
      </c>
      <c r="F8537" t="s" s="2">
        <f>HYPERLINK("http://ts.21cn.com/tousu/show/id/1362520","http://ts.21cn.com/tousu/show/id/1362520")</f>
      </c>
      <c r="G8537" t="s" s="2">
        <v>17</v>
      </c>
      <c r="H8537" t="s" s="2">
        <v>19</v>
      </c>
      <c r="I8537" t="s" s="2">
        <v>32939</v>
      </c>
      <c r="J8537" t="s" s="2">
        <v>32940</v>
      </c>
      <c r="K8537" t="s" s="2">
        <v>22</v>
      </c>
      <c r="L8537" t="s" s="2">
        <v>22</v>
      </c>
      <c r="M8537" t="s" s="2">
        <v>22</v>
      </c>
    </row>
    <row r="8538" ht="25.0" customHeight="true">
      <c r="A8538" t="s" s="2">
        <v>13</v>
      </c>
      <c r="B8538" t="s" s="2">
        <f>HYPERLINK("http://ts.21cn.com/tousu/show/id/1362519","我来贷暴力催收，态度恶劣，巨额利息")</f>
      </c>
      <c r="C8538" t="s" s="2">
        <v>15</v>
      </c>
      <c r="D8538" t="s" s="2">
        <v>16</v>
      </c>
      <c r="E8538" t="s" s="2">
        <v>17</v>
      </c>
      <c r="F8538" t="s" s="2">
        <f>HYPERLINK("http://ts.21cn.com/tousu/show/id/1362519","http://ts.21cn.com/tousu/show/id/1362519")</f>
      </c>
      <c r="G8538" t="s" s="2">
        <v>17</v>
      </c>
      <c r="H8538" t="s" s="2">
        <v>19</v>
      </c>
      <c r="I8538" t="s" s="2">
        <v>32943</v>
      </c>
      <c r="J8538" t="s" s="2">
        <v>32944</v>
      </c>
      <c r="K8538" t="s" s="2">
        <v>22</v>
      </c>
      <c r="L8538" t="s" s="2">
        <v>22</v>
      </c>
      <c r="M8538" t="s" s="2">
        <v>22</v>
      </c>
    </row>
    <row r="8539" ht="25.0" customHeight="true">
      <c r="A8539" t="s" s="2">
        <v>13</v>
      </c>
      <c r="B8539" t="s" s="2">
        <f>HYPERLINK("http://ts.21cn.com/tousu/show/id/1362510","大狗钱包旗下王者钱包是套路贷高率贷")</f>
      </c>
      <c r="C8539" t="s" s="2">
        <v>15</v>
      </c>
      <c r="D8539" t="s" s="2">
        <v>16</v>
      </c>
      <c r="E8539" t="s" s="2">
        <v>17</v>
      </c>
      <c r="F8539" t="s" s="2">
        <f>HYPERLINK("http://ts.21cn.com/tousu/show/id/1362510","http://ts.21cn.com/tousu/show/id/1362510")</f>
      </c>
      <c r="G8539" t="s" s="2">
        <v>17</v>
      </c>
      <c r="H8539" t="s" s="2">
        <v>19</v>
      </c>
      <c r="I8539" t="s" s="2">
        <v>32947</v>
      </c>
      <c r="J8539" t="s" s="2">
        <v>32948</v>
      </c>
      <c r="K8539" t="s" s="2">
        <v>22</v>
      </c>
      <c r="L8539" t="s" s="2">
        <v>22</v>
      </c>
      <c r="M8539" t="s" s="2">
        <v>22</v>
      </c>
    </row>
    <row r="8540" ht="25.0" customHeight="true">
      <c r="A8540" t="s" s="2">
        <v>13</v>
      </c>
      <c r="B8540" t="s" s="2">
        <f>HYPERLINK("http://ts.21cn.com/tousu/show/id/1362517","畅快车贷不办理结清手续")</f>
      </c>
      <c r="C8540" t="s" s="2">
        <v>15</v>
      </c>
      <c r="D8540" t="s" s="2">
        <v>16</v>
      </c>
      <c r="E8540" t="s" s="2">
        <v>17</v>
      </c>
      <c r="F8540" t="s" s="2">
        <f>HYPERLINK("http://ts.21cn.com/tousu/show/id/1362517","http://ts.21cn.com/tousu/show/id/1362517")</f>
      </c>
      <c r="G8540" t="s" s="2">
        <v>17</v>
      </c>
      <c r="H8540" t="s" s="2">
        <v>19</v>
      </c>
      <c r="I8540" t="s" s="2">
        <v>32951</v>
      </c>
      <c r="J8540" t="s" s="2">
        <v>32952</v>
      </c>
      <c r="K8540" t="s" s="2">
        <v>22</v>
      </c>
      <c r="L8540" t="s" s="2">
        <v>22</v>
      </c>
      <c r="M8540" t="s" s="2">
        <v>22</v>
      </c>
    </row>
    <row r="8541" ht="25.0" customHeight="true">
      <c r="A8541" t="s" s="2">
        <v>13</v>
      </c>
      <c r="B8541" t="s" s="2">
        <f>HYPERLINK("http://ts.21cn.com/tousu/show/id/1362516","盗刷银行卡，一直推脱不处理")</f>
      </c>
      <c r="C8541" t="s" s="2">
        <v>15</v>
      </c>
      <c r="D8541" t="s" s="2">
        <v>16</v>
      </c>
      <c r="E8541" t="s" s="2">
        <v>17</v>
      </c>
      <c r="F8541" t="s" s="2">
        <f>HYPERLINK("http://ts.21cn.com/tousu/show/id/1362516","http://ts.21cn.com/tousu/show/id/1362516")</f>
      </c>
      <c r="G8541" t="s" s="2">
        <v>17</v>
      </c>
      <c r="H8541" t="s" s="2">
        <v>19</v>
      </c>
      <c r="I8541" t="s" s="2">
        <v>32955</v>
      </c>
      <c r="J8541" t="s" s="2">
        <v>32956</v>
      </c>
      <c r="K8541" t="s" s="2">
        <v>22</v>
      </c>
      <c r="L8541" t="s" s="2">
        <v>22</v>
      </c>
      <c r="M8541" t="s" s="2">
        <v>22</v>
      </c>
    </row>
    <row r="8542" ht="25.0" customHeight="true">
      <c r="A8542" t="s" s="2">
        <v>13</v>
      </c>
      <c r="B8542" t="s" s="2">
        <f>HYPERLINK("http://ts.21cn.com/tousu/show/id/1362515","弹个车提前结清要绿本")</f>
      </c>
      <c r="C8542" t="s" s="2">
        <v>15</v>
      </c>
      <c r="D8542" t="s" s="2">
        <v>16</v>
      </c>
      <c r="E8542" t="s" s="2">
        <v>17</v>
      </c>
      <c r="F8542" t="s" s="2">
        <f>HYPERLINK("http://ts.21cn.com/tousu/show/id/1362515","http://ts.21cn.com/tousu/show/id/1362515")</f>
      </c>
      <c r="G8542" t="s" s="2">
        <v>17</v>
      </c>
      <c r="H8542" t="s" s="2">
        <v>19</v>
      </c>
      <c r="I8542" t="s" s="2">
        <v>32959</v>
      </c>
      <c r="J8542" t="s" s="2">
        <v>32960</v>
      </c>
      <c r="K8542" t="s" s="2">
        <v>22</v>
      </c>
      <c r="L8542" t="s" s="2">
        <v>22</v>
      </c>
      <c r="M8542" t="s" s="2">
        <v>22</v>
      </c>
    </row>
    <row r="8543" ht="25.0" customHeight="true">
      <c r="A8543" t="s" s="2">
        <v>13</v>
      </c>
      <c r="B8543" t="s" s="2">
        <f>HYPERLINK("http://ts.21cn.com/tousu/show/id/1362514","马上消费金融，每天多次电话骚扰我和家人.")</f>
      </c>
      <c r="C8543" t="s" s="2">
        <v>15</v>
      </c>
      <c r="D8543" t="s" s="2">
        <v>16</v>
      </c>
      <c r="E8543" t="s" s="2">
        <v>17</v>
      </c>
      <c r="F8543" t="s" s="2">
        <f>HYPERLINK("http://ts.21cn.com/tousu/show/id/1362514","http://ts.21cn.com/tousu/show/id/1362514")</f>
      </c>
      <c r="G8543" t="s" s="2">
        <v>17</v>
      </c>
      <c r="H8543" t="s" s="2">
        <v>19</v>
      </c>
      <c r="I8543" t="s" s="2">
        <v>32963</v>
      </c>
      <c r="J8543" t="s" s="2">
        <v>32964</v>
      </c>
      <c r="K8543" t="s" s="2">
        <v>22</v>
      </c>
      <c r="L8543" t="s" s="2">
        <v>22</v>
      </c>
      <c r="M8543" t="s" s="2">
        <v>22</v>
      </c>
    </row>
    <row r="8544" ht="25.0" customHeight="true">
      <c r="A8544" t="s" s="2">
        <v>13</v>
      </c>
      <c r="B8544" t="s" s="2">
        <f>HYPERLINK("http://ts.21cn.com/tousu/show/id/1362513","招联金融嘲讽威胁")</f>
      </c>
      <c r="C8544" t="s" s="2">
        <v>15</v>
      </c>
      <c r="D8544" t="s" s="2">
        <v>16</v>
      </c>
      <c r="E8544" t="s" s="2">
        <v>17</v>
      </c>
      <c r="F8544" t="s" s="2">
        <f>HYPERLINK("http://ts.21cn.com/tousu/show/id/1362513","http://ts.21cn.com/tousu/show/id/1362513")</f>
      </c>
      <c r="G8544" t="s" s="2">
        <v>17</v>
      </c>
      <c r="H8544" t="s" s="2">
        <v>19</v>
      </c>
      <c r="I8544" t="s" s="2">
        <v>32967</v>
      </c>
      <c r="J8544" t="s" s="2">
        <v>32968</v>
      </c>
      <c r="K8544" t="s" s="2">
        <v>22</v>
      </c>
      <c r="L8544" t="s" s="2">
        <v>22</v>
      </c>
      <c r="M8544" t="s" s="2">
        <v>22</v>
      </c>
    </row>
    <row r="8545" ht="25.0" customHeight="true">
      <c r="A8545" t="s" s="2">
        <v>13</v>
      </c>
      <c r="B8545" t="s" s="2">
        <f>HYPERLINK("http://ts.21cn.com/tousu/show/id/1362512","中信银行信用卡恶意催收，联系家人")</f>
      </c>
      <c r="C8545" t="s" s="2">
        <v>15</v>
      </c>
      <c r="D8545" t="s" s="2">
        <v>16</v>
      </c>
      <c r="E8545" t="s" s="2">
        <v>17</v>
      </c>
      <c r="F8545" t="s" s="2">
        <f>HYPERLINK("http://ts.21cn.com/tousu/show/id/1362512","http://ts.21cn.com/tousu/show/id/1362512")</f>
      </c>
      <c r="G8545" t="s" s="2">
        <v>17</v>
      </c>
      <c r="H8545" t="s" s="2">
        <v>19</v>
      </c>
      <c r="I8545" t="s" s="2">
        <v>32971</v>
      </c>
      <c r="J8545" t="s" s="2">
        <v>32972</v>
      </c>
      <c r="K8545" t="s" s="2">
        <v>22</v>
      </c>
      <c r="L8545" t="s" s="2">
        <v>22</v>
      </c>
      <c r="M8545" t="s" s="2">
        <v>22</v>
      </c>
    </row>
    <row r="8546" ht="25.0" customHeight="true">
      <c r="A8546" t="s" s="2">
        <v>13</v>
      </c>
      <c r="B8546" t="s" s="2">
        <f>HYPERLINK("http://ts.21cn.com/tousu/show/id/1362511","平安普惠侵吞个人资产")</f>
      </c>
      <c r="C8546" t="s" s="2">
        <v>15</v>
      </c>
      <c r="D8546" t="s" s="2">
        <v>16</v>
      </c>
      <c r="E8546" t="s" s="2">
        <v>17</v>
      </c>
      <c r="F8546" t="s" s="2">
        <f>HYPERLINK("http://ts.21cn.com/tousu/show/id/1362511","http://ts.21cn.com/tousu/show/id/1362511")</f>
      </c>
      <c r="G8546" t="s" s="2">
        <v>17</v>
      </c>
      <c r="H8546" t="s" s="2">
        <v>19</v>
      </c>
      <c r="I8546" t="s" s="2">
        <v>32975</v>
      </c>
      <c r="J8546" t="s" s="2">
        <v>32976</v>
      </c>
      <c r="K8546" t="s" s="2">
        <v>22</v>
      </c>
      <c r="L8546" t="s" s="2">
        <v>22</v>
      </c>
      <c r="M8546" t="s" s="2">
        <v>22</v>
      </c>
    </row>
    <row r="8547" ht="25.0" customHeight="true">
      <c r="A8547" t="s" s="2">
        <v>13</v>
      </c>
      <c r="B8547" t="s" s="2">
        <f>HYPERLINK("http://ts.21cn.com/tousu/show/id/1362508","网贷平台恶心扣钱")</f>
      </c>
      <c r="C8547" t="s" s="2">
        <v>15</v>
      </c>
      <c r="D8547" t="s" s="2">
        <v>16</v>
      </c>
      <c r="E8547" t="s" s="2">
        <v>17</v>
      </c>
      <c r="F8547" t="s" s="2">
        <f>HYPERLINK("http://ts.21cn.com/tousu/show/id/1362508","http://ts.21cn.com/tousu/show/id/1362508")</f>
      </c>
      <c r="G8547" t="s" s="2">
        <v>17</v>
      </c>
      <c r="H8547" t="s" s="2">
        <v>19</v>
      </c>
      <c r="I8547" t="s" s="2">
        <v>32979</v>
      </c>
      <c r="J8547" t="s" s="2">
        <v>32980</v>
      </c>
      <c r="K8547" t="s" s="2">
        <v>22</v>
      </c>
      <c r="L8547" t="s" s="2">
        <v>22</v>
      </c>
      <c r="M8547" t="s" s="2">
        <v>22</v>
      </c>
    </row>
    <row r="8548" ht="25.0" customHeight="true">
      <c r="A8548" t="s" s="2">
        <v>13</v>
      </c>
      <c r="B8548" t="s" s="2">
        <f>HYPERLINK("http://ts.21cn.com/tousu/show/id/1362509","我明明已经销户快一年了却还有贷后管理要求拒绝取消查贷后")</f>
      </c>
      <c r="C8548" t="s" s="2">
        <v>15</v>
      </c>
      <c r="D8548" t="s" s="2">
        <v>16</v>
      </c>
      <c r="E8548" t="s" s="2">
        <v>17</v>
      </c>
      <c r="F8548" t="s" s="2">
        <f>HYPERLINK("http://ts.21cn.com/tousu/show/id/1362509","http://ts.21cn.com/tousu/show/id/1362509")</f>
      </c>
      <c r="G8548" t="s" s="2">
        <v>17</v>
      </c>
      <c r="H8548" t="s" s="2">
        <v>19</v>
      </c>
      <c r="I8548" t="s" s="2">
        <v>32979</v>
      </c>
      <c r="J8548" t="s" s="2">
        <v>32983</v>
      </c>
      <c r="K8548" t="s" s="2">
        <v>22</v>
      </c>
      <c r="L8548" t="s" s="2">
        <v>22</v>
      </c>
      <c r="M8548" t="s" s="2">
        <v>22</v>
      </c>
    </row>
    <row r="8549" ht="25.0" customHeight="true">
      <c r="A8549" t="s" s="2">
        <v>13</v>
      </c>
      <c r="B8549" t="s" s="2">
        <f>HYPERLINK("http://ts.21cn.com/tousu/show/id/1362507","湖北省武汉市光谷软件园交通银行信用卡催收部强制要求员工加班")</f>
      </c>
      <c r="C8549" t="s" s="2">
        <v>15</v>
      </c>
      <c r="D8549" t="s" s="2">
        <v>16</v>
      </c>
      <c r="E8549" t="s" s="2">
        <v>17</v>
      </c>
      <c r="F8549" t="s" s="2">
        <f>HYPERLINK("http://ts.21cn.com/tousu/show/id/1362507","http://ts.21cn.com/tousu/show/id/1362507")</f>
      </c>
      <c r="G8549" t="s" s="2">
        <v>17</v>
      </c>
      <c r="H8549" t="s" s="2">
        <v>19</v>
      </c>
      <c r="I8549" t="s" s="2">
        <v>32986</v>
      </c>
      <c r="J8549" t="s" s="2">
        <v>32987</v>
      </c>
      <c r="K8549" t="s" s="2">
        <v>22</v>
      </c>
      <c r="L8549" t="s" s="2">
        <v>22</v>
      </c>
      <c r="M8549" t="s" s="2">
        <v>22</v>
      </c>
    </row>
    <row r="8550" ht="25.0" customHeight="true">
      <c r="A8550" t="s" s="2">
        <v>13</v>
      </c>
      <c r="B8550" t="s" s="2">
        <f>HYPERLINK("http://ts.21cn.com/tousu/show/id/1362506","平安普惠催收人员套路")</f>
      </c>
      <c r="C8550" t="s" s="2">
        <v>15</v>
      </c>
      <c r="D8550" t="s" s="2">
        <v>16</v>
      </c>
      <c r="E8550" t="s" s="2">
        <v>17</v>
      </c>
      <c r="F8550" t="s" s="2">
        <f>HYPERLINK("http://ts.21cn.com/tousu/show/id/1362506","http://ts.21cn.com/tousu/show/id/1362506")</f>
      </c>
      <c r="G8550" t="s" s="2">
        <v>17</v>
      </c>
      <c r="H8550" t="s" s="2">
        <v>19</v>
      </c>
      <c r="I8550" t="s" s="2">
        <v>32990</v>
      </c>
      <c r="J8550" t="s" s="2">
        <v>32991</v>
      </c>
      <c r="K8550" t="s" s="2">
        <v>22</v>
      </c>
      <c r="L8550" t="s" s="2">
        <v>22</v>
      </c>
      <c r="M8550" t="s" s="2">
        <v>22</v>
      </c>
    </row>
    <row r="8551" ht="25.0" customHeight="true">
      <c r="A8551" t="s" s="2">
        <v>13</v>
      </c>
      <c r="B8551" t="s" s="2">
        <f>HYPERLINK("http://ts.21cn.com/tousu/show/id/1362490","客服")</f>
      </c>
      <c r="C8551" t="s" s="2">
        <v>15</v>
      </c>
      <c r="D8551" t="s" s="2">
        <v>16</v>
      </c>
      <c r="E8551" t="s" s="2">
        <v>17</v>
      </c>
      <c r="F8551" t="s" s="2">
        <f>HYPERLINK("http://ts.21cn.com/tousu/show/id/1362490","http://ts.21cn.com/tousu/show/id/1362490")</f>
      </c>
      <c r="G8551" t="s" s="2">
        <v>17</v>
      </c>
      <c r="H8551" t="s" s="2">
        <v>19</v>
      </c>
      <c r="I8551" t="s" s="2">
        <v>32994</v>
      </c>
      <c r="J8551" t="s" s="2">
        <v>32995</v>
      </c>
      <c r="K8551" t="s" s="2">
        <v>22</v>
      </c>
      <c r="L8551" t="s" s="2">
        <v>22</v>
      </c>
      <c r="M8551" t="s" s="2">
        <v>22</v>
      </c>
    </row>
    <row r="8552" ht="25.0" customHeight="true">
      <c r="A8552" t="s" s="2">
        <v>13</v>
      </c>
      <c r="B8552" t="s" s="2">
        <f>HYPERLINK("http://ts.21cn.com/tousu/show/id/1362503","建设银行逾期拒绝协商")</f>
      </c>
      <c r="C8552" t="s" s="2">
        <v>15</v>
      </c>
      <c r="D8552" t="s" s="2">
        <v>16</v>
      </c>
      <c r="E8552" t="s" s="2">
        <v>17</v>
      </c>
      <c r="F8552" t="s" s="2">
        <f>HYPERLINK("http://ts.21cn.com/tousu/show/id/1362503","http://ts.21cn.com/tousu/show/id/1362503")</f>
      </c>
      <c r="G8552" t="s" s="2">
        <v>17</v>
      </c>
      <c r="H8552" t="s" s="2">
        <v>19</v>
      </c>
      <c r="I8552" t="s" s="2">
        <v>32998</v>
      </c>
      <c r="J8552" t="s" s="2">
        <v>32999</v>
      </c>
      <c r="K8552" t="s" s="2">
        <v>22</v>
      </c>
      <c r="L8552" t="s" s="2">
        <v>22</v>
      </c>
      <c r="M8552" t="s" s="2">
        <v>22</v>
      </c>
    </row>
    <row r="8553" ht="25.0" customHeight="true">
      <c r="A8553" t="s" s="2">
        <v>13</v>
      </c>
      <c r="B8553" t="s" s="2">
        <f>HYPERLINK("http://ts.21cn.com/tousu/show/id/1362504","豆豆钱逾期一天每笔费用加100罚息")</f>
      </c>
      <c r="C8553" t="s" s="2">
        <v>52</v>
      </c>
      <c r="D8553" t="s" s="2">
        <v>16</v>
      </c>
      <c r="E8553" t="s" s="2">
        <v>17</v>
      </c>
      <c r="F8553" t="s" s="2">
        <f>HYPERLINK("http://ts.21cn.com/tousu/show/id/1362504","http://ts.21cn.com/tousu/show/id/1362504")</f>
      </c>
      <c r="G8553" t="s" s="2">
        <v>17</v>
      </c>
      <c r="H8553" t="s" s="2">
        <v>19</v>
      </c>
      <c r="I8553" t="s" s="2">
        <v>33002</v>
      </c>
      <c r="J8553" t="s" s="2">
        <v>33003</v>
      </c>
      <c r="K8553" t="s" s="2">
        <v>22</v>
      </c>
      <c r="L8553" t="s" s="2">
        <v>22</v>
      </c>
      <c r="M8553" t="s" s="2">
        <v>22</v>
      </c>
    </row>
    <row r="8554" ht="25.0" customHeight="true">
      <c r="A8554" t="s" s="2">
        <v>13</v>
      </c>
      <c r="B8554" t="s" s="2">
        <f>HYPERLINK("http://ts.21cn.com/tousu/show/id/1362505","捷信骚扰")</f>
      </c>
      <c r="C8554" t="s" s="2">
        <v>15</v>
      </c>
      <c r="D8554" t="s" s="2">
        <v>16</v>
      </c>
      <c r="E8554" t="s" s="2">
        <v>17</v>
      </c>
      <c r="F8554" t="s" s="2">
        <f>HYPERLINK("http://ts.21cn.com/tousu/show/id/1362505","http://ts.21cn.com/tousu/show/id/1362505")</f>
      </c>
      <c r="G8554" t="s" s="2">
        <v>17</v>
      </c>
      <c r="H8554" t="s" s="2">
        <v>19</v>
      </c>
      <c r="I8554" t="s" s="2">
        <v>33006</v>
      </c>
      <c r="J8554" t="s" s="2">
        <v>33007</v>
      </c>
      <c r="K8554" t="s" s="2">
        <v>22</v>
      </c>
      <c r="L8554" t="s" s="2">
        <v>22</v>
      </c>
      <c r="M8554" t="s" s="2">
        <v>22</v>
      </c>
    </row>
    <row r="8555" ht="25.0" customHeight="true">
      <c r="A8555" t="s" s="2">
        <v>13</v>
      </c>
      <c r="B8555" t="s" s="2">
        <f>HYPERLINK("http://ts.21cn.com/tousu/show/id/1362502","协商浦发银行")</f>
      </c>
      <c r="C8555" t="s" s="2">
        <v>52</v>
      </c>
      <c r="D8555" t="s" s="2">
        <v>16</v>
      </c>
      <c r="E8555" t="s" s="2">
        <v>17</v>
      </c>
      <c r="F8555" t="s" s="2">
        <f>HYPERLINK("http://ts.21cn.com/tousu/show/id/1362502","http://ts.21cn.com/tousu/show/id/1362502")</f>
      </c>
      <c r="G8555" t="s" s="2">
        <v>17</v>
      </c>
      <c r="H8555" t="s" s="2">
        <v>19</v>
      </c>
      <c r="I8555" t="s" s="2">
        <v>33010</v>
      </c>
      <c r="J8555" t="s" s="2">
        <v>33011</v>
      </c>
      <c r="K8555" t="s" s="2">
        <v>22</v>
      </c>
      <c r="L8555" t="s" s="2">
        <v>22</v>
      </c>
      <c r="M8555" t="s" s="2">
        <v>22</v>
      </c>
    </row>
    <row r="8556" ht="25.0" customHeight="true">
      <c r="A8556" t="s" s="2">
        <v>13</v>
      </c>
      <c r="B8556" t="s" s="2">
        <f>HYPERLINK("http://ts.21cn.com/tousu/show/id/1362501","ofo小黄车更换手机号无法登陆押金无法退还")</f>
      </c>
      <c r="C8556" t="s" s="2">
        <v>15</v>
      </c>
      <c r="D8556" t="s" s="2">
        <v>16</v>
      </c>
      <c r="E8556" t="s" s="2">
        <v>17</v>
      </c>
      <c r="F8556" t="s" s="2">
        <f>HYPERLINK("http://ts.21cn.com/tousu/show/id/1362501","http://ts.21cn.com/tousu/show/id/1362501")</f>
      </c>
      <c r="G8556" t="s" s="2">
        <v>17</v>
      </c>
      <c r="H8556" t="s" s="2">
        <v>19</v>
      </c>
      <c r="I8556" t="s" s="2">
        <v>33014</v>
      </c>
      <c r="J8556" t="s" s="2">
        <v>33015</v>
      </c>
      <c r="K8556" t="s" s="2">
        <v>22</v>
      </c>
      <c r="L8556" t="s" s="2">
        <v>22</v>
      </c>
      <c r="M8556" t="s" s="2">
        <v>22</v>
      </c>
    </row>
    <row r="8557" ht="25.0" customHeight="true">
      <c r="A8557" t="s" s="2">
        <v>13</v>
      </c>
      <c r="B8557" t="s" s="2">
        <f>HYPERLINK("http://ts.21cn.com/tousu/show/id/1362499","即有生活销户难")</f>
      </c>
      <c r="C8557" t="s" s="2">
        <v>15</v>
      </c>
      <c r="D8557" t="s" s="2">
        <v>16</v>
      </c>
      <c r="E8557" t="s" s="2">
        <v>17</v>
      </c>
      <c r="F8557" t="s" s="2">
        <f>HYPERLINK("http://ts.21cn.com/tousu/show/id/1362499","http://ts.21cn.com/tousu/show/id/1362499")</f>
      </c>
      <c r="G8557" t="s" s="2">
        <v>17</v>
      </c>
      <c r="H8557" t="s" s="2">
        <v>19</v>
      </c>
      <c r="I8557" t="s" s="2">
        <v>33018</v>
      </c>
      <c r="J8557" t="s" s="2">
        <v>33019</v>
      </c>
      <c r="K8557" t="s" s="2">
        <v>22</v>
      </c>
      <c r="L8557" t="s" s="2">
        <v>22</v>
      </c>
      <c r="M8557" t="s" s="2">
        <v>22</v>
      </c>
    </row>
    <row r="8558" ht="25.0" customHeight="true">
      <c r="A8558" t="s" s="2">
        <v>13</v>
      </c>
      <c r="B8558" t="s" s="2">
        <f>HYPERLINK("http://ts.21cn.com/tousu/show/id/1362498","占用农田")</f>
      </c>
      <c r="C8558" t="s" s="2">
        <v>15</v>
      </c>
      <c r="D8558" t="s" s="2">
        <v>16</v>
      </c>
      <c r="E8558" t="s" s="2">
        <v>17</v>
      </c>
      <c r="F8558" t="s" s="2">
        <f>HYPERLINK("http://ts.21cn.com/tousu/show/id/1362498","http://ts.21cn.com/tousu/show/id/1362498")</f>
      </c>
      <c r="G8558" t="s" s="2">
        <v>17</v>
      </c>
      <c r="H8558" t="s" s="2">
        <v>19</v>
      </c>
      <c r="I8558" t="s" s="2">
        <v>33022</v>
      </c>
      <c r="J8558" t="s" s="2">
        <v>33023</v>
      </c>
      <c r="K8558" t="s" s="2">
        <v>22</v>
      </c>
      <c r="L8558" t="s" s="2">
        <v>22</v>
      </c>
      <c r="M8558" t="s" s="2">
        <v>22</v>
      </c>
    </row>
    <row r="8559" ht="25.0" customHeight="true">
      <c r="A8559" t="s" s="2">
        <v>13</v>
      </c>
      <c r="B8559" t="s" s="2">
        <f>HYPERLINK("http://ts.21cn.com/tousu/show/id/1362433","信用管家的现控达人高利贷暴力催收")</f>
      </c>
      <c r="C8559" t="s" s="2">
        <v>15</v>
      </c>
      <c r="D8559" t="s" s="2">
        <v>16</v>
      </c>
      <c r="E8559" t="s" s="2">
        <v>17</v>
      </c>
      <c r="F8559" t="s" s="2">
        <f>HYPERLINK("http://ts.21cn.com/tousu/show/id/1362433","http://ts.21cn.com/tousu/show/id/1362433")</f>
      </c>
      <c r="G8559" t="s" s="2">
        <v>17</v>
      </c>
      <c r="H8559" t="s" s="2">
        <v>19</v>
      </c>
      <c r="I8559" t="s" s="2">
        <v>33026</v>
      </c>
      <c r="J8559" t="s" s="2">
        <v>33027</v>
      </c>
      <c r="K8559" t="s" s="2">
        <v>22</v>
      </c>
      <c r="L8559" t="s" s="2">
        <v>22</v>
      </c>
      <c r="M8559" t="s" s="2">
        <v>22</v>
      </c>
    </row>
    <row r="8560" ht="25.0" customHeight="true">
      <c r="A8560" t="s" s="2">
        <v>13</v>
      </c>
      <c r="B8560" t="s" s="2">
        <f>HYPERLINK("http://ts.21cn.com/tousu/show/id/1362494","维信豆豆钱本已同本人协商还款但是后来反悔")</f>
      </c>
      <c r="C8560" t="s" s="2">
        <v>15</v>
      </c>
      <c r="D8560" t="s" s="2">
        <v>16</v>
      </c>
      <c r="E8560" t="s" s="2">
        <v>17</v>
      </c>
      <c r="F8560" t="s" s="2">
        <f>HYPERLINK("http://ts.21cn.com/tousu/show/id/1362494","http://ts.21cn.com/tousu/show/id/1362494")</f>
      </c>
      <c r="G8560" t="s" s="2">
        <v>17</v>
      </c>
      <c r="H8560" t="s" s="2">
        <v>19</v>
      </c>
      <c r="I8560" t="s" s="2">
        <v>33030</v>
      </c>
      <c r="J8560" t="s" s="2">
        <v>33031</v>
      </c>
      <c r="K8560" t="s" s="2">
        <v>22</v>
      </c>
      <c r="L8560" t="s" s="2">
        <v>22</v>
      </c>
      <c r="M8560" t="s" s="2">
        <v>22</v>
      </c>
    </row>
    <row r="8561" ht="25.0" customHeight="true">
      <c r="A8561" t="s" s="2">
        <v>13</v>
      </c>
      <c r="B8561" t="s" s="2">
        <f>HYPERLINK("http://ts.21cn.com/tousu/show/id/1362497","收去高额逾期费用")</f>
      </c>
      <c r="C8561" t="s" s="2">
        <v>52</v>
      </c>
      <c r="D8561" t="s" s="2">
        <v>16</v>
      </c>
      <c r="E8561" t="s" s="2">
        <v>17</v>
      </c>
      <c r="F8561" t="s" s="2">
        <f>HYPERLINK("http://ts.21cn.com/tousu/show/id/1362497","http://ts.21cn.com/tousu/show/id/1362497")</f>
      </c>
      <c r="G8561" t="s" s="2">
        <v>17</v>
      </c>
      <c r="H8561" t="s" s="2">
        <v>19</v>
      </c>
      <c r="I8561" t="s" s="2">
        <v>33034</v>
      </c>
      <c r="J8561" t="s" s="2">
        <v>33035</v>
      </c>
      <c r="K8561" t="s" s="2">
        <v>22</v>
      </c>
      <c r="L8561" t="s" s="2">
        <v>22</v>
      </c>
      <c r="M8561" t="s" s="2">
        <v>22</v>
      </c>
    </row>
    <row r="8562" ht="25.0" customHeight="true">
      <c r="A8562" t="s" s="2">
        <v>13</v>
      </c>
      <c r="B8562" t="s" s="2">
        <f>HYPERLINK("http://ts.21cn.com/tousu/show/id/1362496","网贷不能提前还款")</f>
      </c>
      <c r="C8562" t="s" s="2">
        <v>52</v>
      </c>
      <c r="D8562" t="s" s="2">
        <v>16</v>
      </c>
      <c r="E8562" t="s" s="2">
        <v>17</v>
      </c>
      <c r="F8562" t="s" s="2">
        <f>HYPERLINK("http://ts.21cn.com/tousu/show/id/1362496","http://ts.21cn.com/tousu/show/id/1362496")</f>
      </c>
      <c r="G8562" t="s" s="2">
        <v>17</v>
      </c>
      <c r="H8562" t="s" s="2">
        <v>19</v>
      </c>
      <c r="I8562" t="s" s="2">
        <v>33038</v>
      </c>
      <c r="J8562" t="s" s="2">
        <v>33039</v>
      </c>
      <c r="K8562" t="s" s="2">
        <v>22</v>
      </c>
      <c r="L8562" t="s" s="2">
        <v>22</v>
      </c>
      <c r="M8562" t="s" s="2">
        <v>22</v>
      </c>
    </row>
    <row r="8563" ht="25.0" customHeight="true">
      <c r="A8563" t="s" s="2">
        <v>13</v>
      </c>
      <c r="B8563" t="s" s="2">
        <f>HYPERLINK("http://ts.21cn.com/tousu/show/id/1362495","恶意扣款")</f>
      </c>
      <c r="C8563" t="s" s="2">
        <v>15</v>
      </c>
      <c r="D8563" t="s" s="2">
        <v>16</v>
      </c>
      <c r="E8563" t="s" s="2">
        <v>17</v>
      </c>
      <c r="F8563" t="s" s="2">
        <f>HYPERLINK("http://ts.21cn.com/tousu/show/id/1362495","http://ts.21cn.com/tousu/show/id/1362495")</f>
      </c>
      <c r="G8563" t="s" s="2">
        <v>17</v>
      </c>
      <c r="H8563" t="s" s="2">
        <v>19</v>
      </c>
      <c r="I8563" t="s" s="2">
        <v>33041</v>
      </c>
      <c r="J8563" t="s" s="2">
        <v>33042</v>
      </c>
      <c r="K8563" t="s" s="2">
        <v>22</v>
      </c>
      <c r="L8563" t="s" s="2">
        <v>22</v>
      </c>
      <c r="M8563" t="s" s="2">
        <v>22</v>
      </c>
    </row>
    <row r="8564" ht="25.0" customHeight="true">
      <c r="A8564" t="s" s="2">
        <v>13</v>
      </c>
      <c r="B8564" t="s" s="2">
        <f>HYPERLINK("http://ts.21cn.com/tousu/show/id/1362493","闪银强制购买商品，切商品变质")</f>
      </c>
      <c r="C8564" t="s" s="2">
        <v>15</v>
      </c>
      <c r="D8564" t="s" s="2">
        <v>16</v>
      </c>
      <c r="E8564" t="s" s="2">
        <v>17</v>
      </c>
      <c r="F8564" t="s" s="2">
        <f>HYPERLINK("http://ts.21cn.com/tousu/show/id/1362493","http://ts.21cn.com/tousu/show/id/1362493")</f>
      </c>
      <c r="G8564" t="s" s="2">
        <v>17</v>
      </c>
      <c r="H8564" t="s" s="2">
        <v>19</v>
      </c>
      <c r="I8564" t="s" s="2">
        <v>33045</v>
      </c>
      <c r="J8564" t="s" s="2">
        <v>33046</v>
      </c>
      <c r="K8564" t="s" s="2">
        <v>22</v>
      </c>
      <c r="L8564" t="s" s="2">
        <v>22</v>
      </c>
      <c r="M8564" t="s" s="2">
        <v>22</v>
      </c>
    </row>
    <row r="8565" ht="25.0" customHeight="true">
      <c r="A8565" t="s" s="2">
        <v>13</v>
      </c>
      <c r="B8565" t="s" s="2">
        <f>HYPERLINK("http://ts.21cn.com/tousu/show/id/1362492","投诉淘豆分期扣款")</f>
      </c>
      <c r="C8565" t="s" s="2">
        <v>15</v>
      </c>
      <c r="D8565" t="s" s="2">
        <v>16</v>
      </c>
      <c r="E8565" t="s" s="2">
        <v>17</v>
      </c>
      <c r="F8565" t="s" s="2">
        <f>HYPERLINK("http://ts.21cn.com/tousu/show/id/1362492","http://ts.21cn.com/tousu/show/id/1362492")</f>
      </c>
      <c r="G8565" t="s" s="2">
        <v>17</v>
      </c>
      <c r="H8565" t="s" s="2">
        <v>19</v>
      </c>
      <c r="I8565" t="s" s="2">
        <v>33049</v>
      </c>
      <c r="J8565" t="s" s="2">
        <v>33050</v>
      </c>
      <c r="K8565" t="s" s="2">
        <v>22</v>
      </c>
      <c r="L8565" t="s" s="2">
        <v>22</v>
      </c>
      <c r="M8565" t="s" s="2">
        <v>22</v>
      </c>
    </row>
    <row r="8566" ht="25.0" customHeight="true">
      <c r="A8566" t="s" s="2">
        <v>13</v>
      </c>
      <c r="B8566" t="s" s="2">
        <f>HYPERLINK("http://ts.21cn.com/tousu/show/id/1362488","暴力催收")</f>
      </c>
      <c r="C8566" t="s" s="2">
        <v>15</v>
      </c>
      <c r="D8566" t="s" s="2">
        <v>16</v>
      </c>
      <c r="E8566" t="s" s="2">
        <v>17</v>
      </c>
      <c r="F8566" t="s" s="2">
        <f>HYPERLINK("http://ts.21cn.com/tousu/show/id/1362488","http://ts.21cn.com/tousu/show/id/1362488")</f>
      </c>
      <c r="G8566" t="s" s="2">
        <v>17</v>
      </c>
      <c r="H8566" t="s" s="2">
        <v>19</v>
      </c>
      <c r="I8566" t="s" s="2">
        <v>33052</v>
      </c>
      <c r="J8566" t="s" s="2">
        <v>33053</v>
      </c>
      <c r="K8566" t="s" s="2">
        <v>22</v>
      </c>
      <c r="L8566" t="s" s="2">
        <v>22</v>
      </c>
      <c r="M8566" t="s" s="2">
        <v>22</v>
      </c>
    </row>
    <row r="8567" ht="25.0" customHeight="true">
      <c r="A8567" t="s" s="2">
        <v>13</v>
      </c>
      <c r="B8567" t="s" s="2">
        <f>HYPERLINK("http://ts.21cn.com/tousu/show/id/1362489","宜人贷高利息贷")</f>
      </c>
      <c r="C8567" t="s" s="2">
        <v>52</v>
      </c>
      <c r="D8567" t="s" s="2">
        <v>16</v>
      </c>
      <c r="E8567" t="s" s="2">
        <v>17</v>
      </c>
      <c r="F8567" t="s" s="2">
        <f>HYPERLINK("http://ts.21cn.com/tousu/show/id/1362489","http://ts.21cn.com/tousu/show/id/1362489")</f>
      </c>
      <c r="G8567" t="s" s="2">
        <v>17</v>
      </c>
      <c r="H8567" t="s" s="2">
        <v>19</v>
      </c>
      <c r="I8567" t="s" s="2">
        <v>33056</v>
      </c>
      <c r="J8567" t="s" s="2">
        <v>33057</v>
      </c>
      <c r="K8567" t="s" s="2">
        <v>22</v>
      </c>
      <c r="L8567" t="s" s="2">
        <v>22</v>
      </c>
      <c r="M8567" t="s" s="2">
        <v>22</v>
      </c>
    </row>
    <row r="8568" ht="25.0" customHeight="true">
      <c r="A8568" t="s" s="2">
        <v>13</v>
      </c>
      <c r="B8568" t="s" s="2">
        <f>HYPERLINK("http://ts.21cn.com/tousu/show/id/1362487","马上金融退罚利息")</f>
      </c>
      <c r="C8568" t="s" s="2">
        <v>15</v>
      </c>
      <c r="D8568" t="s" s="2">
        <v>16</v>
      </c>
      <c r="E8568" t="s" s="2">
        <v>17</v>
      </c>
      <c r="F8568" t="s" s="2">
        <f>HYPERLINK("http://ts.21cn.com/tousu/show/id/1362487","http://ts.21cn.com/tousu/show/id/1362487")</f>
      </c>
      <c r="G8568" t="s" s="2">
        <v>17</v>
      </c>
      <c r="H8568" t="s" s="2">
        <v>19</v>
      </c>
      <c r="I8568" t="s" s="2">
        <v>33060</v>
      </c>
      <c r="J8568" t="s" s="2">
        <v>33061</v>
      </c>
      <c r="K8568" t="s" s="2">
        <v>22</v>
      </c>
      <c r="L8568" t="s" s="2">
        <v>22</v>
      </c>
      <c r="M8568" t="s" s="2">
        <v>22</v>
      </c>
    </row>
    <row r="8569" ht="25.0" customHeight="true">
      <c r="A8569" t="s" s="2">
        <v>13</v>
      </c>
      <c r="B8569" t="s" s="2">
        <f>HYPERLINK("http://ts.21cn.com/tousu/show/id/1362486","钱伴注销账号困难")</f>
      </c>
      <c r="C8569" t="s" s="2">
        <v>52</v>
      </c>
      <c r="D8569" t="s" s="2">
        <v>16</v>
      </c>
      <c r="E8569" t="s" s="2">
        <v>17</v>
      </c>
      <c r="F8569" t="s" s="2">
        <f>HYPERLINK("http://ts.21cn.com/tousu/show/id/1362486","http://ts.21cn.com/tousu/show/id/1362486")</f>
      </c>
      <c r="G8569" t="s" s="2">
        <v>17</v>
      </c>
      <c r="H8569" t="s" s="2">
        <v>19</v>
      </c>
      <c r="I8569" t="s" s="2">
        <v>33064</v>
      </c>
      <c r="J8569" t="s" s="2">
        <v>33065</v>
      </c>
      <c r="K8569" t="s" s="2">
        <v>22</v>
      </c>
      <c r="L8569" t="s" s="2">
        <v>22</v>
      </c>
      <c r="M8569" t="s" s="2">
        <v>22</v>
      </c>
    </row>
    <row r="8570" ht="25.0" customHeight="true">
      <c r="A8570" t="s" s="2">
        <v>13</v>
      </c>
      <c r="B8570" t="s" s="2">
        <f>HYPERLINK("http://ts.21cn.com/tousu/show/id/1362485","骚扰平繁打电话，现以被停职")</f>
      </c>
      <c r="C8570" t="s" s="2">
        <v>15</v>
      </c>
      <c r="D8570" t="s" s="2">
        <v>16</v>
      </c>
      <c r="E8570" t="s" s="2">
        <v>17</v>
      </c>
      <c r="F8570" t="s" s="2">
        <f>HYPERLINK("http://ts.21cn.com/tousu/show/id/1362485","http://ts.21cn.com/tousu/show/id/1362485")</f>
      </c>
      <c r="G8570" t="s" s="2">
        <v>17</v>
      </c>
      <c r="H8570" t="s" s="2">
        <v>19</v>
      </c>
      <c r="I8570" t="s" s="2">
        <v>33068</v>
      </c>
      <c r="J8570" t="s" s="2">
        <v>33069</v>
      </c>
      <c r="K8570" t="s" s="2">
        <v>22</v>
      </c>
      <c r="L8570" t="s" s="2">
        <v>22</v>
      </c>
      <c r="M8570" t="s" s="2">
        <v>22</v>
      </c>
    </row>
    <row r="8571" ht="25.0" customHeight="true">
      <c r="A8571" t="s" s="2">
        <v>13</v>
      </c>
      <c r="B8571" t="s" s="2">
        <f>HYPERLINK("http://ts.21cn.com/tousu/show/id/1362484","花无极套路贷")</f>
      </c>
      <c r="C8571" t="s" s="2">
        <v>15</v>
      </c>
      <c r="D8571" t="s" s="2">
        <v>16</v>
      </c>
      <c r="E8571" t="s" s="2">
        <v>17</v>
      </c>
      <c r="F8571" t="s" s="2">
        <f>HYPERLINK("http://ts.21cn.com/tousu/show/id/1362484","http://ts.21cn.com/tousu/show/id/1362484")</f>
      </c>
      <c r="G8571" t="s" s="2">
        <v>17</v>
      </c>
      <c r="H8571" t="s" s="2">
        <v>19</v>
      </c>
      <c r="I8571" t="s" s="2">
        <v>33072</v>
      </c>
      <c r="J8571" t="s" s="2">
        <v>33073</v>
      </c>
      <c r="K8571" t="s" s="2">
        <v>22</v>
      </c>
      <c r="L8571" t="s" s="2">
        <v>22</v>
      </c>
      <c r="M8571" t="s" s="2">
        <v>22</v>
      </c>
    </row>
    <row r="8572" ht="25.0" customHeight="true">
      <c r="A8572" t="s" s="2">
        <v>13</v>
      </c>
      <c r="B8572" t="s" s="2">
        <f>HYPERLINK("http://ts.21cn.com/tousu/show/id/1362482","暴力催收")</f>
      </c>
      <c r="C8572" t="s" s="2">
        <v>15</v>
      </c>
      <c r="D8572" t="s" s="2">
        <v>16</v>
      </c>
      <c r="E8572" t="s" s="2">
        <v>17</v>
      </c>
      <c r="F8572" t="s" s="2">
        <f>HYPERLINK("http://ts.21cn.com/tousu/show/id/1362482","http://ts.21cn.com/tousu/show/id/1362482")</f>
      </c>
      <c r="G8572" t="s" s="2">
        <v>17</v>
      </c>
      <c r="H8572" t="s" s="2">
        <v>19</v>
      </c>
      <c r="I8572" t="s" s="2">
        <v>33075</v>
      </c>
      <c r="J8572" t="s" s="2">
        <v>33076</v>
      </c>
      <c r="K8572" t="s" s="2">
        <v>22</v>
      </c>
      <c r="L8572" t="s" s="2">
        <v>22</v>
      </c>
      <c r="M8572" t="s" s="2">
        <v>22</v>
      </c>
    </row>
    <row r="8573" ht="25.0" customHeight="true">
      <c r="A8573" t="s" s="2">
        <v>13</v>
      </c>
      <c r="B8573" t="s" s="2">
        <f>HYPERLINK("http://ts.21cn.com/tousu/show/id/1362483","支付宝给网络彩票公司提供支付")</f>
      </c>
      <c r="C8573" t="s" s="2">
        <v>15</v>
      </c>
      <c r="D8573" t="s" s="2">
        <v>16</v>
      </c>
      <c r="E8573" t="s" s="2">
        <v>17</v>
      </c>
      <c r="F8573" t="s" s="2">
        <f>HYPERLINK("http://ts.21cn.com/tousu/show/id/1362483","http://ts.21cn.com/tousu/show/id/1362483")</f>
      </c>
      <c r="G8573" t="s" s="2">
        <v>17</v>
      </c>
      <c r="H8573" t="s" s="2">
        <v>19</v>
      </c>
      <c r="I8573" t="s" s="2">
        <v>33079</v>
      </c>
      <c r="J8573" t="s" s="2">
        <v>33080</v>
      </c>
      <c r="K8573" t="s" s="2">
        <v>22</v>
      </c>
      <c r="L8573" t="s" s="2">
        <v>22</v>
      </c>
      <c r="M8573" t="s" s="2">
        <v>22</v>
      </c>
    </row>
    <row r="8574" ht="25.0" customHeight="true">
      <c r="A8574" t="s" s="2">
        <v>13</v>
      </c>
      <c r="B8574" t="s" s="2">
        <f>HYPERLINK("http://ts.21cn.com/tousu/show/id/1362481","投诉智行平台机票服务")</f>
      </c>
      <c r="C8574" t="s" s="2">
        <v>52</v>
      </c>
      <c r="D8574" t="s" s="2">
        <v>16</v>
      </c>
      <c r="E8574" t="s" s="2">
        <v>17</v>
      </c>
      <c r="F8574" t="s" s="2">
        <f>HYPERLINK("http://ts.21cn.com/tousu/show/id/1362481","http://ts.21cn.com/tousu/show/id/1362481")</f>
      </c>
      <c r="G8574" t="s" s="2">
        <v>17</v>
      </c>
      <c r="H8574" t="s" s="2">
        <v>19</v>
      </c>
      <c r="I8574" t="s" s="2">
        <v>33083</v>
      </c>
      <c r="J8574" t="s" s="2">
        <v>33084</v>
      </c>
      <c r="K8574" t="s" s="2">
        <v>22</v>
      </c>
      <c r="L8574" t="s" s="2">
        <v>22</v>
      </c>
      <c r="M8574" t="s" s="2">
        <v>22</v>
      </c>
    </row>
    <row r="8575" ht="25.0" customHeight="true">
      <c r="A8575" t="s" s="2">
        <v>13</v>
      </c>
      <c r="B8575" t="s" s="2">
        <f>HYPERLINK("http://ts.21cn.com/tousu/show/id/1362480","广州二三四五小贷私自扣款要求退还")</f>
      </c>
      <c r="C8575" t="s" s="2">
        <v>15</v>
      </c>
      <c r="D8575" t="s" s="2">
        <v>16</v>
      </c>
      <c r="E8575" t="s" s="2">
        <v>17</v>
      </c>
      <c r="F8575" t="s" s="2">
        <f>HYPERLINK("http://ts.21cn.com/tousu/show/id/1362480","http://ts.21cn.com/tousu/show/id/1362480")</f>
      </c>
      <c r="G8575" t="s" s="2">
        <v>17</v>
      </c>
      <c r="H8575" t="s" s="2">
        <v>19</v>
      </c>
      <c r="I8575" t="s" s="2">
        <v>33087</v>
      </c>
      <c r="J8575" t="s" s="2">
        <v>33088</v>
      </c>
      <c r="K8575" t="s" s="2">
        <v>22</v>
      </c>
      <c r="L8575" t="s" s="2">
        <v>22</v>
      </c>
      <c r="M8575" t="s" s="2">
        <v>22</v>
      </c>
    </row>
    <row r="8576" ht="25.0" customHeight="true">
      <c r="A8576" t="s" s="2">
        <v>13</v>
      </c>
      <c r="B8576" t="s" s="2">
        <f>HYPERLINK("http://ts.21cn.com/tousu/show/id/1362478","先花一亿元推销骚扰电话")</f>
      </c>
      <c r="C8576" t="s" s="2">
        <v>15</v>
      </c>
      <c r="D8576" t="s" s="2">
        <v>16</v>
      </c>
      <c r="E8576" t="s" s="2">
        <v>17</v>
      </c>
      <c r="F8576" t="s" s="2">
        <f>HYPERLINK("http://ts.21cn.com/tousu/show/id/1362478","http://ts.21cn.com/tousu/show/id/1362478")</f>
      </c>
      <c r="G8576" t="s" s="2">
        <v>17</v>
      </c>
      <c r="H8576" t="s" s="2">
        <v>19</v>
      </c>
      <c r="I8576" t="s" s="2">
        <v>33091</v>
      </c>
      <c r="J8576" t="s" s="2">
        <v>33092</v>
      </c>
      <c r="K8576" t="s" s="2">
        <v>22</v>
      </c>
      <c r="L8576" t="s" s="2">
        <v>22</v>
      </c>
      <c r="M8576" t="s" s="2">
        <v>22</v>
      </c>
    </row>
    <row r="8577" ht="25.0" customHeight="true">
      <c r="A8577" t="s" s="2">
        <v>13</v>
      </c>
      <c r="B8577" t="s" s="2">
        <f>HYPERLINK("http://ts.21cn.com/tousu/show/id/1362479","恐吓催收")</f>
      </c>
      <c r="C8577" t="s" s="2">
        <v>15</v>
      </c>
      <c r="D8577" t="s" s="2">
        <v>16</v>
      </c>
      <c r="E8577" t="s" s="2">
        <v>17</v>
      </c>
      <c r="F8577" t="s" s="2">
        <f>HYPERLINK("http://ts.21cn.com/tousu/show/id/1362479","http://ts.21cn.com/tousu/show/id/1362479")</f>
      </c>
      <c r="G8577" t="s" s="2">
        <v>17</v>
      </c>
      <c r="H8577" t="s" s="2">
        <v>19</v>
      </c>
      <c r="I8577" t="s" s="2">
        <v>33094</v>
      </c>
      <c r="J8577" t="s" s="2">
        <v>33095</v>
      </c>
      <c r="K8577" t="s" s="2">
        <v>22</v>
      </c>
      <c r="L8577" t="s" s="2">
        <v>22</v>
      </c>
      <c r="M8577" t="s" s="2">
        <v>22</v>
      </c>
    </row>
    <row r="8578" ht="25.0" customHeight="true">
      <c r="A8578" t="s" s="2">
        <v>13</v>
      </c>
      <c r="B8578" t="s" s="2">
        <f>HYPERLINK("http://ts.21cn.com/tousu/show/id/1224256","骚扰家人，催收人员恐吓，上门贴催收单")</f>
      </c>
      <c r="C8578" t="s" s="2">
        <v>15</v>
      </c>
      <c r="D8578" t="s" s="2">
        <v>16</v>
      </c>
      <c r="E8578" t="s" s="2">
        <v>17</v>
      </c>
      <c r="F8578" t="s" s="2">
        <f>HYPERLINK("http://ts.21cn.com/tousu/show/id/1224256","http://ts.21cn.com/tousu/show/id/1224256")</f>
      </c>
      <c r="G8578" t="s" s="2">
        <v>17</v>
      </c>
      <c r="H8578" t="s" s="2">
        <v>19</v>
      </c>
      <c r="I8578" t="s" s="2">
        <v>33098</v>
      </c>
      <c r="J8578" t="s" s="2">
        <v>33099</v>
      </c>
      <c r="K8578" t="s" s="2">
        <v>22</v>
      </c>
      <c r="L8578" t="s" s="2">
        <v>22</v>
      </c>
      <c r="M8578" t="s" s="2">
        <v>22</v>
      </c>
    </row>
    <row r="8579" ht="25.0" customHeight="true">
      <c r="A8579" t="s" s="2">
        <v>13</v>
      </c>
      <c r="B8579" t="s" s="2">
        <f>HYPERLINK("http://ts.21cn.com/tousu/show/id/1362477","电话打不进，也不回复我")</f>
      </c>
      <c r="C8579" t="s" s="2">
        <v>15</v>
      </c>
      <c r="D8579" t="s" s="2">
        <v>16</v>
      </c>
      <c r="E8579" t="s" s="2">
        <v>17</v>
      </c>
      <c r="F8579" t="s" s="2">
        <f>HYPERLINK("http://ts.21cn.com/tousu/show/id/1362477","http://ts.21cn.com/tousu/show/id/1362477")</f>
      </c>
      <c r="G8579" t="s" s="2">
        <v>17</v>
      </c>
      <c r="H8579" t="s" s="2">
        <v>19</v>
      </c>
      <c r="I8579" t="s" s="2">
        <v>33102</v>
      </c>
      <c r="J8579" t="s" s="2">
        <v>33103</v>
      </c>
      <c r="K8579" t="s" s="2">
        <v>22</v>
      </c>
      <c r="L8579" t="s" s="2">
        <v>22</v>
      </c>
      <c r="M8579" t="s" s="2">
        <v>22</v>
      </c>
    </row>
    <row r="8580" ht="25.0" customHeight="true">
      <c r="A8580" t="s" s="2">
        <v>13</v>
      </c>
      <c r="B8580" t="s" s="2">
        <f>HYPERLINK("http://ts.21cn.com/tousu/show/id/1362476","盗刷私自扣款要求退款")</f>
      </c>
      <c r="C8580" t="s" s="2">
        <v>15</v>
      </c>
      <c r="D8580" t="s" s="2">
        <v>16</v>
      </c>
      <c r="E8580" t="s" s="2">
        <v>17</v>
      </c>
      <c r="F8580" t="s" s="2">
        <f>HYPERLINK("http://ts.21cn.com/tousu/show/id/1362476","http://ts.21cn.com/tousu/show/id/1362476")</f>
      </c>
      <c r="G8580" t="s" s="2">
        <v>17</v>
      </c>
      <c r="H8580" t="s" s="2">
        <v>19</v>
      </c>
      <c r="I8580" t="s" s="2">
        <v>33106</v>
      </c>
      <c r="J8580" t="s" s="2">
        <v>33107</v>
      </c>
      <c r="K8580" t="s" s="2">
        <v>22</v>
      </c>
      <c r="L8580" t="s" s="2">
        <v>22</v>
      </c>
      <c r="M8580" t="s" s="2">
        <v>22</v>
      </c>
    </row>
    <row r="8581" ht="25.0" customHeight="true">
      <c r="A8581" t="s" s="2">
        <v>13</v>
      </c>
      <c r="B8581" t="s" s="2">
        <f>HYPERLINK("http://ts.21cn.com/tousu/show/id/1362442","西马行健身房倒闭会籍私教费索赔")</f>
      </c>
      <c r="C8581" t="s" s="2">
        <v>15</v>
      </c>
      <c r="D8581" t="s" s="2">
        <v>16</v>
      </c>
      <c r="E8581" t="s" s="2">
        <v>17</v>
      </c>
      <c r="F8581" t="s" s="2">
        <f>HYPERLINK("http://ts.21cn.com/tousu/show/id/1362442","http://ts.21cn.com/tousu/show/id/1362442")</f>
      </c>
      <c r="G8581" t="s" s="2">
        <v>17</v>
      </c>
      <c r="H8581" t="s" s="2">
        <v>19</v>
      </c>
      <c r="I8581" t="s" s="2">
        <v>33110</v>
      </c>
      <c r="J8581" t="s" s="2">
        <v>33111</v>
      </c>
      <c r="K8581" t="s" s="2">
        <v>22</v>
      </c>
      <c r="L8581" t="s" s="2">
        <v>22</v>
      </c>
      <c r="M8581" t="s" s="2">
        <v>22</v>
      </c>
    </row>
    <row r="8582" ht="25.0" customHeight="true">
      <c r="A8582" t="s" s="2">
        <v>13</v>
      </c>
      <c r="B8582" t="s" s="2">
        <f>HYPERLINK("http://ts.21cn.com/tousu/show/id/1362475","信而富销户难")</f>
      </c>
      <c r="C8582" t="s" s="2">
        <v>15</v>
      </c>
      <c r="D8582" t="s" s="2">
        <v>16</v>
      </c>
      <c r="E8582" t="s" s="2">
        <v>17</v>
      </c>
      <c r="F8582" t="s" s="2">
        <f>HYPERLINK("http://ts.21cn.com/tousu/show/id/1362475","http://ts.21cn.com/tousu/show/id/1362475")</f>
      </c>
      <c r="G8582" t="s" s="2">
        <v>17</v>
      </c>
      <c r="H8582" t="s" s="2">
        <v>19</v>
      </c>
      <c r="I8582" t="s" s="2">
        <v>33114</v>
      </c>
      <c r="J8582" t="s" s="2">
        <v>33115</v>
      </c>
      <c r="K8582" t="s" s="2">
        <v>22</v>
      </c>
      <c r="L8582" t="s" s="2">
        <v>22</v>
      </c>
      <c r="M8582" t="s" s="2">
        <v>22</v>
      </c>
    </row>
    <row r="8583" ht="25.0" customHeight="true">
      <c r="A8583" t="s" s="2">
        <v>13</v>
      </c>
      <c r="B8583" t="s" s="2">
        <f>HYPERLINK("http://ts.21cn.com/tousu/show/id/1362474","拍拍收取高额不合法利息")</f>
      </c>
      <c r="C8583" t="s" s="2">
        <v>15</v>
      </c>
      <c r="D8583" t="s" s="2">
        <v>16</v>
      </c>
      <c r="E8583" t="s" s="2">
        <v>17</v>
      </c>
      <c r="F8583" t="s" s="2">
        <f>HYPERLINK("http://ts.21cn.com/tousu/show/id/1362474","http://ts.21cn.com/tousu/show/id/1362474")</f>
      </c>
      <c r="G8583" t="s" s="2">
        <v>17</v>
      </c>
      <c r="H8583" t="s" s="2">
        <v>19</v>
      </c>
      <c r="I8583" t="s" s="2">
        <v>33118</v>
      </c>
      <c r="J8583" t="s" s="2">
        <v>33119</v>
      </c>
      <c r="K8583" t="s" s="2">
        <v>22</v>
      </c>
      <c r="L8583" t="s" s="2">
        <v>22</v>
      </c>
      <c r="M8583" t="s" s="2">
        <v>22</v>
      </c>
    </row>
    <row r="8584" ht="25.0" customHeight="true">
      <c r="A8584" t="s" s="2">
        <v>13</v>
      </c>
      <c r="B8584" t="s" s="2">
        <f>HYPERLINK("http://ts.21cn.com/tousu/show/id/1362471","种族歧视侮辱东北人")</f>
      </c>
      <c r="C8584" t="s" s="2">
        <v>15</v>
      </c>
      <c r="D8584" t="s" s="2">
        <v>16</v>
      </c>
      <c r="E8584" t="s" s="2">
        <v>17</v>
      </c>
      <c r="F8584" t="s" s="2">
        <f>HYPERLINK("http://ts.21cn.com/tousu/show/id/1362471","http://ts.21cn.com/tousu/show/id/1362471")</f>
      </c>
      <c r="G8584" t="s" s="2">
        <v>17</v>
      </c>
      <c r="H8584" t="s" s="2">
        <v>19</v>
      </c>
      <c r="I8584" t="s" s="2">
        <v>33122</v>
      </c>
      <c r="J8584" t="s" s="2">
        <v>33123</v>
      </c>
      <c r="K8584" t="s" s="2">
        <v>22</v>
      </c>
      <c r="L8584" t="s" s="2">
        <v>22</v>
      </c>
      <c r="M8584" t="s" s="2">
        <v>22</v>
      </c>
    </row>
    <row r="8585" ht="25.0" customHeight="true">
      <c r="A8585" t="s" s="2">
        <v>13</v>
      </c>
      <c r="B8585" t="s" s="2">
        <f>HYPERLINK("http://ts.21cn.com/tousu/show/id/1362473","月光侠违法催收")</f>
      </c>
      <c r="C8585" t="s" s="2">
        <v>15</v>
      </c>
      <c r="D8585" t="s" s="2">
        <v>16</v>
      </c>
      <c r="E8585" t="s" s="2">
        <v>17</v>
      </c>
      <c r="F8585" t="s" s="2">
        <f>HYPERLINK("http://ts.21cn.com/tousu/show/id/1362473","http://ts.21cn.com/tousu/show/id/1362473")</f>
      </c>
      <c r="G8585" t="s" s="2">
        <v>17</v>
      </c>
      <c r="H8585" t="s" s="2">
        <v>19</v>
      </c>
      <c r="I8585" t="s" s="2">
        <v>33126</v>
      </c>
      <c r="J8585" t="s" s="2">
        <v>33127</v>
      </c>
      <c r="K8585" t="s" s="2">
        <v>22</v>
      </c>
      <c r="L8585" t="s" s="2">
        <v>22</v>
      </c>
      <c r="M8585" t="s" s="2">
        <v>22</v>
      </c>
    </row>
    <row r="8586" ht="25.0" customHeight="true">
      <c r="A8586" t="s" s="2">
        <v>13</v>
      </c>
      <c r="B8586" t="s" s="2">
        <f>HYPERLINK("http://ts.21cn.com/tousu/show/id/1362470","你我贷，高利贷，年利息35.9%，一直行走在法律的边缘。软暴力催收")</f>
      </c>
      <c r="C8586" t="s" s="2">
        <v>15</v>
      </c>
      <c r="D8586" t="s" s="2">
        <v>16</v>
      </c>
      <c r="E8586" t="s" s="2">
        <v>17</v>
      </c>
      <c r="F8586" t="s" s="2">
        <f>HYPERLINK("http://ts.21cn.com/tousu/show/id/1362470","http://ts.21cn.com/tousu/show/id/1362470")</f>
      </c>
      <c r="G8586" t="s" s="2">
        <v>17</v>
      </c>
      <c r="H8586" t="s" s="2">
        <v>19</v>
      </c>
      <c r="I8586" t="s" s="2">
        <v>33130</v>
      </c>
      <c r="J8586" t="s" s="2">
        <v>33131</v>
      </c>
      <c r="K8586" t="s" s="2">
        <v>22</v>
      </c>
      <c r="L8586" t="s" s="2">
        <v>22</v>
      </c>
      <c r="M8586" t="s" s="2">
        <v>22</v>
      </c>
    </row>
    <row r="8587" ht="25.0" customHeight="true">
      <c r="A8587" t="s" s="2">
        <v>13</v>
      </c>
      <c r="B8587" t="s" s="2">
        <f>HYPERLINK("http://ts.21cn.com/tousu/show/id/1362472","还款日到期没有短信或电话提醒，直接告知我家人欠款问题，侵犯我的名誉权。")</f>
      </c>
      <c r="C8587" t="s" s="2">
        <v>15</v>
      </c>
      <c r="D8587" t="s" s="2">
        <v>16</v>
      </c>
      <c r="E8587" t="s" s="2">
        <v>17</v>
      </c>
      <c r="F8587" t="s" s="2">
        <f>HYPERLINK("http://ts.21cn.com/tousu/show/id/1362472","http://ts.21cn.com/tousu/show/id/1362472")</f>
      </c>
      <c r="G8587" t="s" s="2">
        <v>17</v>
      </c>
      <c r="H8587" t="s" s="2">
        <v>19</v>
      </c>
      <c r="I8587" t="s" s="2">
        <v>33130</v>
      </c>
      <c r="J8587" t="s" s="2">
        <v>33134</v>
      </c>
      <c r="K8587" t="s" s="2">
        <v>22</v>
      </c>
      <c r="L8587" t="s" s="2">
        <v>22</v>
      </c>
      <c r="M8587" t="s" s="2">
        <v>22</v>
      </c>
    </row>
    <row r="8588" ht="25.0" customHeight="true">
      <c r="A8588" t="s" s="2">
        <v>13</v>
      </c>
      <c r="B8588" t="s" s="2">
        <f>HYPERLINK("http://ts.21cn.com/tousu/show/id/1362467","马上金融暴力催收，威胁")</f>
      </c>
      <c r="C8588" t="s" s="2">
        <v>15</v>
      </c>
      <c r="D8588" t="s" s="2">
        <v>16</v>
      </c>
      <c r="E8588" t="s" s="2">
        <v>17</v>
      </c>
      <c r="F8588" t="s" s="2">
        <f>HYPERLINK("http://ts.21cn.com/tousu/show/id/1362467","http://ts.21cn.com/tousu/show/id/1362467")</f>
      </c>
      <c r="G8588" t="s" s="2">
        <v>17</v>
      </c>
      <c r="H8588" t="s" s="2">
        <v>19</v>
      </c>
      <c r="I8588" t="s" s="2">
        <v>33137</v>
      </c>
      <c r="J8588" t="s" s="2">
        <v>33138</v>
      </c>
      <c r="K8588" t="s" s="2">
        <v>22</v>
      </c>
      <c r="L8588" t="s" s="2">
        <v>22</v>
      </c>
      <c r="M8588" t="s" s="2">
        <v>22</v>
      </c>
    </row>
    <row r="8589" ht="25.0" customHeight="true">
      <c r="A8589" t="s" s="2">
        <v>13</v>
      </c>
      <c r="B8589" t="s" s="2">
        <f>HYPERLINK("http://ts.21cn.com/tousu/show/id/1362469","安庆盛通信息科技有限公司盗刷我90元钱")</f>
      </c>
      <c r="C8589" t="s" s="2">
        <v>15</v>
      </c>
      <c r="D8589" t="s" s="2">
        <v>16</v>
      </c>
      <c r="E8589" t="s" s="2">
        <v>17</v>
      </c>
      <c r="F8589" t="s" s="2">
        <f>HYPERLINK("http://ts.21cn.com/tousu/show/id/1362469","http://ts.21cn.com/tousu/show/id/1362469")</f>
      </c>
      <c r="G8589" t="s" s="2">
        <v>17</v>
      </c>
      <c r="H8589" t="s" s="2">
        <v>19</v>
      </c>
      <c r="I8589" t="s" s="2">
        <v>33141</v>
      </c>
      <c r="J8589" t="s" s="2">
        <v>33142</v>
      </c>
      <c r="K8589" t="s" s="2">
        <v>22</v>
      </c>
      <c r="L8589" t="s" s="2">
        <v>22</v>
      </c>
      <c r="M8589" t="s" s="2">
        <v>22</v>
      </c>
    </row>
    <row r="8590" ht="25.0" customHeight="true">
      <c r="A8590" t="s" s="2">
        <v>13</v>
      </c>
      <c r="B8590" t="s" s="2">
        <f>HYPERLINK("http://ts.21cn.com/tousu/show/id/1362468","蛋壳公寓不合理收取违约金")</f>
      </c>
      <c r="C8590" t="s" s="2">
        <v>15</v>
      </c>
      <c r="D8590" t="s" s="2">
        <v>16</v>
      </c>
      <c r="E8590" t="s" s="2">
        <v>17</v>
      </c>
      <c r="F8590" t="s" s="2">
        <f>HYPERLINK("http://ts.21cn.com/tousu/show/id/1362468","http://ts.21cn.com/tousu/show/id/1362468")</f>
      </c>
      <c r="G8590" t="s" s="2">
        <v>17</v>
      </c>
      <c r="H8590" t="s" s="2">
        <v>19</v>
      </c>
      <c r="I8590" t="s" s="2">
        <v>33145</v>
      </c>
      <c r="J8590" t="s" s="2">
        <v>33146</v>
      </c>
      <c r="K8590" t="s" s="2">
        <v>22</v>
      </c>
      <c r="L8590" t="s" s="2">
        <v>22</v>
      </c>
      <c r="M8590" t="s" s="2">
        <v>22</v>
      </c>
    </row>
    <row r="8591" ht="25.0" customHeight="true">
      <c r="A8591" t="s" s="2">
        <v>13</v>
      </c>
      <c r="B8591" t="s" s="2">
        <f>HYPERLINK("http://ts.21cn.com/tousu/show/id/1362466","闪银打电话给朋友说话很难听")</f>
      </c>
      <c r="C8591" t="s" s="2">
        <v>15</v>
      </c>
      <c r="D8591" t="s" s="2">
        <v>16</v>
      </c>
      <c r="E8591" t="s" s="2">
        <v>17</v>
      </c>
      <c r="F8591" t="s" s="2">
        <f>HYPERLINK("http://ts.21cn.com/tousu/show/id/1362466","http://ts.21cn.com/tousu/show/id/1362466")</f>
      </c>
      <c r="G8591" t="s" s="2">
        <v>17</v>
      </c>
      <c r="H8591" t="s" s="2">
        <v>19</v>
      </c>
      <c r="I8591" t="s" s="2">
        <v>33149</v>
      </c>
      <c r="J8591" t="s" s="2">
        <v>33150</v>
      </c>
      <c r="K8591" t="s" s="2">
        <v>22</v>
      </c>
      <c r="L8591" t="s" s="2">
        <v>22</v>
      </c>
      <c r="M8591" t="s" s="2">
        <v>22</v>
      </c>
    </row>
    <row r="8592" ht="25.0" customHeight="true">
      <c r="A8592" t="s" s="2">
        <v>13</v>
      </c>
      <c r="B8592" t="s" s="2">
        <f>HYPERLINK("http://ts.21cn.com/tousu/show/id/1362464","短信威胁")</f>
      </c>
      <c r="C8592" t="s" s="2">
        <v>52</v>
      </c>
      <c r="D8592" t="s" s="2">
        <v>16</v>
      </c>
      <c r="E8592" t="s" s="2">
        <v>17</v>
      </c>
      <c r="F8592" t="s" s="2">
        <f>HYPERLINK("http://ts.21cn.com/tousu/show/id/1362464","http://ts.21cn.com/tousu/show/id/1362464")</f>
      </c>
      <c r="G8592" t="s" s="2">
        <v>17</v>
      </c>
      <c r="H8592" t="s" s="2">
        <v>19</v>
      </c>
      <c r="I8592" t="s" s="2">
        <v>33152</v>
      </c>
      <c r="J8592" t="s" s="2">
        <v>33153</v>
      </c>
      <c r="K8592" t="s" s="2">
        <v>22</v>
      </c>
      <c r="L8592" t="s" s="2">
        <v>22</v>
      </c>
      <c r="M8592" t="s" s="2">
        <v>22</v>
      </c>
    </row>
    <row r="8593" ht="25.0" customHeight="true">
      <c r="A8593" t="s" s="2">
        <v>13</v>
      </c>
      <c r="B8593" t="s" s="2">
        <f>HYPERLINK("http://ts.21cn.com/tousu/show/id/1362462","京东白条催收暴力催收，给联系人乱打电话")</f>
      </c>
      <c r="C8593" t="s" s="2">
        <v>15</v>
      </c>
      <c r="D8593" t="s" s="2">
        <v>16</v>
      </c>
      <c r="E8593" t="s" s="2">
        <v>17</v>
      </c>
      <c r="F8593" t="s" s="2">
        <f>HYPERLINK("http://ts.21cn.com/tousu/show/id/1362462","http://ts.21cn.com/tousu/show/id/1362462")</f>
      </c>
      <c r="G8593" t="s" s="2">
        <v>17</v>
      </c>
      <c r="H8593" t="s" s="2">
        <v>19</v>
      </c>
      <c r="I8593" t="s" s="2">
        <v>33156</v>
      </c>
      <c r="J8593" t="s" s="2">
        <v>33157</v>
      </c>
      <c r="K8593" t="s" s="2">
        <v>22</v>
      </c>
      <c r="L8593" t="s" s="2">
        <v>22</v>
      </c>
      <c r="M8593" t="s" s="2">
        <v>22</v>
      </c>
    </row>
    <row r="8594" ht="25.0" customHeight="true">
      <c r="A8594" t="s" s="2">
        <v>13</v>
      </c>
      <c r="B8594" t="s" s="2">
        <f>HYPERLINK("http://ts.21cn.com/tousu/show/id/1362438","畅捷支付为高利贷提供划扣款")</f>
      </c>
      <c r="C8594" t="s" s="2">
        <v>15</v>
      </c>
      <c r="D8594" t="s" s="2">
        <v>16</v>
      </c>
      <c r="E8594" t="s" s="2">
        <v>17</v>
      </c>
      <c r="F8594" t="s" s="2">
        <f>HYPERLINK("http://ts.21cn.com/tousu/show/id/1362438","http://ts.21cn.com/tousu/show/id/1362438")</f>
      </c>
      <c r="G8594" t="s" s="2">
        <v>17</v>
      </c>
      <c r="H8594" t="s" s="2">
        <v>19</v>
      </c>
      <c r="I8594" t="s" s="2">
        <v>33160</v>
      </c>
      <c r="J8594" t="s" s="2">
        <v>33161</v>
      </c>
      <c r="K8594" t="s" s="2">
        <v>22</v>
      </c>
      <c r="L8594" t="s" s="2">
        <v>22</v>
      </c>
      <c r="M8594" t="s" s="2">
        <v>22</v>
      </c>
    </row>
    <row r="8595" ht="25.0" customHeight="true">
      <c r="A8595" t="s" s="2">
        <v>13</v>
      </c>
      <c r="B8595" t="s" s="2">
        <f>HYPERLINK("http://ts.21cn.com/tousu/show/id/1362461","贷上钱暴露催收")</f>
      </c>
      <c r="C8595" t="s" s="2">
        <v>15</v>
      </c>
      <c r="D8595" t="s" s="2">
        <v>16</v>
      </c>
      <c r="E8595" t="s" s="2">
        <v>17</v>
      </c>
      <c r="F8595" t="s" s="2">
        <f>HYPERLINK("http://ts.21cn.com/tousu/show/id/1362461","http://ts.21cn.com/tousu/show/id/1362461")</f>
      </c>
      <c r="G8595" t="s" s="2">
        <v>17</v>
      </c>
      <c r="H8595" t="s" s="2">
        <v>19</v>
      </c>
      <c r="I8595" t="s" s="2">
        <v>33164</v>
      </c>
      <c r="J8595" t="s" s="2">
        <v>33165</v>
      </c>
      <c r="K8595" t="s" s="2">
        <v>22</v>
      </c>
      <c r="L8595" t="s" s="2">
        <v>22</v>
      </c>
      <c r="M8595" t="s" s="2">
        <v>22</v>
      </c>
    </row>
    <row r="8596" ht="25.0" customHeight="true">
      <c r="A8596" t="s" s="2">
        <v>13</v>
      </c>
      <c r="B8596" t="s" s="2">
        <f>HYPERLINK("http://ts.21cn.com/tousu/show/id/1362459","聚福钱包未经许可私自扣款")</f>
      </c>
      <c r="C8596" t="s" s="2">
        <v>15</v>
      </c>
      <c r="D8596" t="s" s="2">
        <v>16</v>
      </c>
      <c r="E8596" t="s" s="2">
        <v>17</v>
      </c>
      <c r="F8596" t="s" s="2">
        <f>HYPERLINK("http://ts.21cn.com/tousu/show/id/1362459","http://ts.21cn.com/tousu/show/id/1362459")</f>
      </c>
      <c r="G8596" t="s" s="2">
        <v>17</v>
      </c>
      <c r="H8596" t="s" s="2">
        <v>19</v>
      </c>
      <c r="I8596" t="s" s="2">
        <v>33167</v>
      </c>
      <c r="J8596" t="s" s="2">
        <v>33168</v>
      </c>
      <c r="K8596" t="s" s="2">
        <v>22</v>
      </c>
      <c r="L8596" t="s" s="2">
        <v>22</v>
      </c>
      <c r="M8596" t="s" s="2">
        <v>22</v>
      </c>
    </row>
    <row r="8597" ht="25.0" customHeight="true">
      <c r="A8597" t="s" s="2">
        <v>13</v>
      </c>
      <c r="B8597" t="s" s="2">
        <f>HYPERLINK("http://ts.21cn.com/tousu/show/id/1362458","路人钱包高额利息骚扰亲朋好友")</f>
      </c>
      <c r="C8597" t="s" s="2">
        <v>15</v>
      </c>
      <c r="D8597" t="s" s="2">
        <v>16</v>
      </c>
      <c r="E8597" t="s" s="2">
        <v>17</v>
      </c>
      <c r="F8597" t="s" s="2">
        <f>HYPERLINK("http://ts.21cn.com/tousu/show/id/1362458","http://ts.21cn.com/tousu/show/id/1362458")</f>
      </c>
      <c r="G8597" t="s" s="2">
        <v>17</v>
      </c>
      <c r="H8597" t="s" s="2">
        <v>19</v>
      </c>
      <c r="I8597" t="s" s="2">
        <v>33171</v>
      </c>
      <c r="J8597" t="s" s="2">
        <v>33172</v>
      </c>
      <c r="K8597" t="s" s="2">
        <v>22</v>
      </c>
      <c r="L8597" t="s" s="2">
        <v>22</v>
      </c>
      <c r="M8597" t="s" s="2">
        <v>22</v>
      </c>
    </row>
    <row r="8598" ht="25.0" customHeight="true">
      <c r="A8598" t="s" s="2">
        <v>13</v>
      </c>
      <c r="B8598" t="s" s="2">
        <f>HYPERLINK("http://ts.21cn.com/tousu/show/id/1362457","未经允许泄露个人借贷信息给三方，短信威胁")</f>
      </c>
      <c r="C8598" t="s" s="2">
        <v>15</v>
      </c>
      <c r="D8598" t="s" s="2">
        <v>16</v>
      </c>
      <c r="E8598" t="s" s="2">
        <v>17</v>
      </c>
      <c r="F8598" t="s" s="2">
        <f>HYPERLINK("http://ts.21cn.com/tousu/show/id/1362457","http://ts.21cn.com/tousu/show/id/1362457")</f>
      </c>
      <c r="G8598" t="s" s="2">
        <v>17</v>
      </c>
      <c r="H8598" t="s" s="2">
        <v>19</v>
      </c>
      <c r="I8598" t="s" s="2">
        <v>33175</v>
      </c>
      <c r="J8598" t="s" s="2">
        <v>33176</v>
      </c>
      <c r="K8598" t="s" s="2">
        <v>22</v>
      </c>
      <c r="L8598" t="s" s="2">
        <v>22</v>
      </c>
      <c r="M8598" t="s" s="2">
        <v>22</v>
      </c>
    </row>
    <row r="8599" ht="25.0" customHeight="true">
      <c r="A8599" t="s" s="2">
        <v>13</v>
      </c>
      <c r="B8599" t="s" s="2">
        <f>HYPERLINK("http://ts.21cn.com/tousu/show/id/1362456","你我贷砍头息")</f>
      </c>
      <c r="C8599" t="s" s="2">
        <v>15</v>
      </c>
      <c r="D8599" t="s" s="2">
        <v>16</v>
      </c>
      <c r="E8599" t="s" s="2">
        <v>17</v>
      </c>
      <c r="F8599" t="s" s="2">
        <f>HYPERLINK("http://ts.21cn.com/tousu/show/id/1362456","http://ts.21cn.com/tousu/show/id/1362456")</f>
      </c>
      <c r="G8599" t="s" s="2">
        <v>17</v>
      </c>
      <c r="H8599" t="s" s="2">
        <v>19</v>
      </c>
      <c r="I8599" t="s" s="2">
        <v>33179</v>
      </c>
      <c r="J8599" t="s" s="2">
        <v>33180</v>
      </c>
      <c r="K8599" t="s" s="2">
        <v>22</v>
      </c>
      <c r="L8599" t="s" s="2">
        <v>22</v>
      </c>
      <c r="M8599" t="s" s="2">
        <v>22</v>
      </c>
    </row>
    <row r="8600" ht="25.0" customHeight="true">
      <c r="A8600" t="s" s="2">
        <v>13</v>
      </c>
      <c r="B8600" t="s" s="2">
        <f>HYPERLINK("http://ts.21cn.com/tousu/show/id/1362455","蜡笔超卡女催收找茬诽谤本人")</f>
      </c>
      <c r="C8600" t="s" s="2">
        <v>15</v>
      </c>
      <c r="D8600" t="s" s="2">
        <v>16</v>
      </c>
      <c r="E8600" t="s" s="2">
        <v>17</v>
      </c>
      <c r="F8600" t="s" s="2">
        <f>HYPERLINK("http://ts.21cn.com/tousu/show/id/1362455","http://ts.21cn.com/tousu/show/id/1362455")</f>
      </c>
      <c r="G8600" t="s" s="2">
        <v>17</v>
      </c>
      <c r="H8600" t="s" s="2">
        <v>19</v>
      </c>
      <c r="I8600" t="s" s="2">
        <v>33183</v>
      </c>
      <c r="J8600" t="s" s="2">
        <v>33184</v>
      </c>
      <c r="K8600" t="s" s="2">
        <v>22</v>
      </c>
      <c r="L8600" t="s" s="2">
        <v>22</v>
      </c>
      <c r="M8600" t="s" s="2">
        <v>22</v>
      </c>
    </row>
    <row r="8601" ht="25.0" customHeight="true">
      <c r="A8601" t="s" s="2">
        <v>13</v>
      </c>
      <c r="B8601" t="s" s="2">
        <f>HYPERLINK("http://ts.21cn.com/tousu/show/id/1362454","有用分期高利贷公司")</f>
      </c>
      <c r="C8601" t="s" s="2">
        <v>15</v>
      </c>
      <c r="D8601" t="s" s="2">
        <v>16</v>
      </c>
      <c r="E8601" t="s" s="2">
        <v>17</v>
      </c>
      <c r="F8601" t="s" s="2">
        <f>HYPERLINK("http://ts.21cn.com/tousu/show/id/1362454","http://ts.21cn.com/tousu/show/id/1362454")</f>
      </c>
      <c r="G8601" t="s" s="2">
        <v>17</v>
      </c>
      <c r="H8601" t="s" s="2">
        <v>19</v>
      </c>
      <c r="I8601" t="s" s="2">
        <v>33187</v>
      </c>
      <c r="J8601" t="s" s="2">
        <v>33188</v>
      </c>
      <c r="K8601" t="s" s="2">
        <v>22</v>
      </c>
      <c r="L8601" t="s" s="2">
        <v>22</v>
      </c>
      <c r="M8601" t="s" s="2">
        <v>22</v>
      </c>
    </row>
    <row r="8602" ht="25.0" customHeight="true">
      <c r="A8602" t="s" s="2">
        <v>13</v>
      </c>
      <c r="B8602" t="s" s="2">
        <f>HYPERLINK("http://ts.21cn.com/tousu/show/id/1362453","微信无缘无故被打标")</f>
      </c>
      <c r="C8602" t="s" s="2">
        <v>15</v>
      </c>
      <c r="D8602" t="s" s="2">
        <v>16</v>
      </c>
      <c r="E8602" t="s" s="2">
        <v>17</v>
      </c>
      <c r="F8602" t="s" s="2">
        <f>HYPERLINK("http://ts.21cn.com/tousu/show/id/1362453","http://ts.21cn.com/tousu/show/id/1362453")</f>
      </c>
      <c r="G8602" t="s" s="2">
        <v>17</v>
      </c>
      <c r="H8602" t="s" s="2">
        <v>19</v>
      </c>
      <c r="I8602" t="s" s="2">
        <v>33191</v>
      </c>
      <c r="J8602" t="s" s="2">
        <v>33192</v>
      </c>
      <c r="K8602" t="s" s="2">
        <v>22</v>
      </c>
      <c r="L8602" t="s" s="2">
        <v>22</v>
      </c>
      <c r="M8602" t="s" s="2">
        <v>22</v>
      </c>
    </row>
    <row r="8603" ht="25.0" customHeight="true">
      <c r="A8603" t="s" s="2">
        <v>13</v>
      </c>
      <c r="B8603" t="s" s="2">
        <f>HYPERLINK("http://ts.21cn.com/tousu/show/id/1362452","逾期六天威胁爆通讯录")</f>
      </c>
      <c r="C8603" t="s" s="2">
        <v>15</v>
      </c>
      <c r="D8603" t="s" s="2">
        <v>16</v>
      </c>
      <c r="E8603" t="s" s="2">
        <v>17</v>
      </c>
      <c r="F8603" t="s" s="2">
        <f>HYPERLINK("http://ts.21cn.com/tousu/show/id/1362452","http://ts.21cn.com/tousu/show/id/1362452")</f>
      </c>
      <c r="G8603" t="s" s="2">
        <v>17</v>
      </c>
      <c r="H8603" t="s" s="2">
        <v>19</v>
      </c>
      <c r="I8603" t="s" s="2">
        <v>33195</v>
      </c>
      <c r="J8603" t="s" s="2">
        <v>33196</v>
      </c>
      <c r="K8603" t="s" s="2">
        <v>22</v>
      </c>
      <c r="L8603" t="s" s="2">
        <v>22</v>
      </c>
      <c r="M8603" t="s" s="2">
        <v>22</v>
      </c>
    </row>
    <row r="8604" ht="25.0" customHeight="true">
      <c r="A8604" t="s" s="2">
        <v>13</v>
      </c>
      <c r="B8604" t="s" s="2">
        <f>HYPERLINK("http://ts.21cn.com/tousu/show/id/1362451","万达普惠暴力催收骚扰")</f>
      </c>
      <c r="C8604" t="s" s="2">
        <v>15</v>
      </c>
      <c r="D8604" t="s" s="2">
        <v>16</v>
      </c>
      <c r="E8604" t="s" s="2">
        <v>17</v>
      </c>
      <c r="F8604" t="s" s="2">
        <f>HYPERLINK("http://ts.21cn.com/tousu/show/id/1362451","http://ts.21cn.com/tousu/show/id/1362451")</f>
      </c>
      <c r="G8604" t="s" s="2">
        <v>17</v>
      </c>
      <c r="H8604" t="s" s="2">
        <v>19</v>
      </c>
      <c r="I8604" t="s" s="2">
        <v>33199</v>
      </c>
      <c r="J8604" t="s" s="2">
        <v>33200</v>
      </c>
      <c r="K8604" t="s" s="2">
        <v>22</v>
      </c>
      <c r="L8604" t="s" s="2">
        <v>22</v>
      </c>
      <c r="M8604" t="s" s="2">
        <v>22</v>
      </c>
    </row>
    <row r="8605" ht="25.0" customHeight="true">
      <c r="A8605" t="s" s="2">
        <v>13</v>
      </c>
      <c r="B8605" t="s" s="2">
        <f>HYPERLINK("http://ts.21cn.com/tousu/show/id/1362450","贷上钱元宝钱包")</f>
      </c>
      <c r="C8605" t="s" s="2">
        <v>15</v>
      </c>
      <c r="D8605" t="s" s="2">
        <v>16</v>
      </c>
      <c r="E8605" t="s" s="2">
        <v>17</v>
      </c>
      <c r="F8605" t="s" s="2">
        <f>HYPERLINK("http://ts.21cn.com/tousu/show/id/1362450","http://ts.21cn.com/tousu/show/id/1362450")</f>
      </c>
      <c r="G8605" t="s" s="2">
        <v>17</v>
      </c>
      <c r="H8605" t="s" s="2">
        <v>19</v>
      </c>
      <c r="I8605" t="s" s="2">
        <v>33203</v>
      </c>
      <c r="J8605" t="s" s="2">
        <v>33204</v>
      </c>
      <c r="K8605" t="s" s="2">
        <v>22</v>
      </c>
      <c r="L8605" t="s" s="2">
        <v>22</v>
      </c>
      <c r="M8605" t="s" s="2">
        <v>22</v>
      </c>
    </row>
    <row r="8606" ht="25.0" customHeight="true">
      <c r="A8606" t="s" s="2">
        <v>13</v>
      </c>
      <c r="B8606" t="s" s="2">
        <f>HYPERLINK("http://ts.21cn.com/tousu/show/id/1362449","随意拨打通讯录联系人")</f>
      </c>
      <c r="C8606" t="s" s="2">
        <v>15</v>
      </c>
      <c r="D8606" t="s" s="2">
        <v>16</v>
      </c>
      <c r="E8606" t="s" s="2">
        <v>17</v>
      </c>
      <c r="F8606" t="s" s="2">
        <f>HYPERLINK("http://ts.21cn.com/tousu/show/id/1362449","http://ts.21cn.com/tousu/show/id/1362449")</f>
      </c>
      <c r="G8606" t="s" s="2">
        <v>17</v>
      </c>
      <c r="H8606" t="s" s="2">
        <v>19</v>
      </c>
      <c r="I8606" t="s" s="2">
        <v>33207</v>
      </c>
      <c r="J8606" t="s" s="2">
        <v>33208</v>
      </c>
      <c r="K8606" t="s" s="2">
        <v>22</v>
      </c>
      <c r="L8606" t="s" s="2">
        <v>22</v>
      </c>
      <c r="M8606" t="s" s="2">
        <v>22</v>
      </c>
    </row>
    <row r="8607" ht="25.0" customHeight="true">
      <c r="A8607" t="s" s="2">
        <v>13</v>
      </c>
      <c r="B8607" t="s" s="2">
        <f>HYPERLINK("http://ts.21cn.com/tousu/show/id/1362447","御剑飞行恶意辱骂，催收")</f>
      </c>
      <c r="C8607" t="s" s="2">
        <v>15</v>
      </c>
      <c r="D8607" t="s" s="2">
        <v>16</v>
      </c>
      <c r="E8607" t="s" s="2">
        <v>17</v>
      </c>
      <c r="F8607" t="s" s="2">
        <f>HYPERLINK("http://ts.21cn.com/tousu/show/id/1362447","http://ts.21cn.com/tousu/show/id/1362447")</f>
      </c>
      <c r="G8607" t="s" s="2">
        <v>17</v>
      </c>
      <c r="H8607" t="s" s="2">
        <v>19</v>
      </c>
      <c r="I8607" t="s" s="2">
        <v>33211</v>
      </c>
      <c r="J8607" t="s" s="2">
        <v>33212</v>
      </c>
      <c r="K8607" t="s" s="2">
        <v>22</v>
      </c>
      <c r="L8607" t="s" s="2">
        <v>22</v>
      </c>
      <c r="M8607" t="s" s="2">
        <v>22</v>
      </c>
    </row>
    <row r="8608" ht="25.0" customHeight="true">
      <c r="A8608" t="s" s="2">
        <v>13</v>
      </c>
      <c r="B8608" t="s" s="2">
        <f>HYPERLINK("http://ts.21cn.com/tousu/show/id/1362448","芸学院教育机构霸王条款")</f>
      </c>
      <c r="C8608" t="s" s="2">
        <v>15</v>
      </c>
      <c r="D8608" t="s" s="2">
        <v>16</v>
      </c>
      <c r="E8608" t="s" s="2">
        <v>17</v>
      </c>
      <c r="F8608" t="s" s="2">
        <f>HYPERLINK("http://ts.21cn.com/tousu/show/id/1362448","http://ts.21cn.com/tousu/show/id/1362448")</f>
      </c>
      <c r="G8608" t="s" s="2">
        <v>17</v>
      </c>
      <c r="H8608" t="s" s="2">
        <v>19</v>
      </c>
      <c r="I8608" t="s" s="2">
        <v>33215</v>
      </c>
      <c r="J8608" t="s" s="2">
        <v>33216</v>
      </c>
      <c r="K8608" t="s" s="2">
        <v>22</v>
      </c>
      <c r="L8608" t="s" s="2">
        <v>22</v>
      </c>
      <c r="M8608" t="s" s="2">
        <v>22</v>
      </c>
    </row>
    <row r="8609" ht="25.0" customHeight="true">
      <c r="A8609" t="s" s="2">
        <v>13</v>
      </c>
      <c r="B8609" t="s" s="2">
        <f>HYPERLINK("http://ts.21cn.com/tousu/show/id/1362445","小闪分期退还保费")</f>
      </c>
      <c r="C8609" t="s" s="2">
        <v>52</v>
      </c>
      <c r="D8609" t="s" s="2">
        <v>16</v>
      </c>
      <c r="E8609" t="s" s="2">
        <v>17</v>
      </c>
      <c r="F8609" t="s" s="2">
        <f>HYPERLINK("http://ts.21cn.com/tousu/show/id/1362445","http://ts.21cn.com/tousu/show/id/1362445")</f>
      </c>
      <c r="G8609" t="s" s="2">
        <v>17</v>
      </c>
      <c r="H8609" t="s" s="2">
        <v>19</v>
      </c>
      <c r="I8609" t="s" s="2">
        <v>33219</v>
      </c>
      <c r="J8609" t="s" s="2">
        <v>33220</v>
      </c>
      <c r="K8609" t="s" s="2">
        <v>22</v>
      </c>
      <c r="L8609" t="s" s="2">
        <v>22</v>
      </c>
      <c r="M8609" t="s" s="2">
        <v>22</v>
      </c>
    </row>
    <row r="8610" ht="25.0" customHeight="true">
      <c r="A8610" t="s" s="2">
        <v>13</v>
      </c>
      <c r="B8610" t="s" s="2">
        <f>HYPERLINK("http://ts.21cn.com/tousu/show/id/1362443","途牛首付催收恶劣")</f>
      </c>
      <c r="C8610" t="s" s="2">
        <v>15</v>
      </c>
      <c r="D8610" t="s" s="2">
        <v>16</v>
      </c>
      <c r="E8610" t="s" s="2">
        <v>17</v>
      </c>
      <c r="F8610" t="s" s="2">
        <f>HYPERLINK("http://ts.21cn.com/tousu/show/id/1362443","http://ts.21cn.com/tousu/show/id/1362443")</f>
      </c>
      <c r="G8610" t="s" s="2">
        <v>17</v>
      </c>
      <c r="H8610" t="s" s="2">
        <v>19</v>
      </c>
      <c r="I8610" t="s" s="2">
        <v>33223</v>
      </c>
      <c r="J8610" t="s" s="2">
        <v>33224</v>
      </c>
      <c r="K8610" t="s" s="2">
        <v>22</v>
      </c>
      <c r="L8610" t="s" s="2">
        <v>22</v>
      </c>
      <c r="M8610" t="s" s="2">
        <v>22</v>
      </c>
    </row>
    <row r="8611" ht="25.0" customHeight="true">
      <c r="A8611" t="s" s="2">
        <v>13</v>
      </c>
      <c r="B8611" t="s" s="2">
        <f>HYPERLINK("http://ts.21cn.com/tousu/show/id/1362444","恐吓催收")</f>
      </c>
      <c r="C8611" t="s" s="2">
        <v>15</v>
      </c>
      <c r="D8611" t="s" s="2">
        <v>16</v>
      </c>
      <c r="E8611" t="s" s="2">
        <v>17</v>
      </c>
      <c r="F8611" t="s" s="2">
        <f>HYPERLINK("http://ts.21cn.com/tousu/show/id/1362444","http://ts.21cn.com/tousu/show/id/1362444")</f>
      </c>
      <c r="G8611" t="s" s="2">
        <v>17</v>
      </c>
      <c r="H8611" t="s" s="2">
        <v>19</v>
      </c>
      <c r="I8611" t="s" s="2">
        <v>33226</v>
      </c>
      <c r="J8611" t="s" s="2">
        <v>33227</v>
      </c>
      <c r="K8611" t="s" s="2">
        <v>22</v>
      </c>
      <c r="L8611" t="s" s="2">
        <v>22</v>
      </c>
      <c r="M8611" t="s" s="2">
        <v>22</v>
      </c>
    </row>
    <row r="8612" ht="25.0" customHeight="true">
      <c r="A8612" t="s" s="2">
        <v>13</v>
      </c>
      <c r="B8612" t="s" s="2">
        <f>HYPERLINK("http://ts.21cn.com/tousu/show/id/1362414","凡普金科砍头息")</f>
      </c>
      <c r="C8612" t="s" s="2">
        <v>15</v>
      </c>
      <c r="D8612" t="s" s="2">
        <v>16</v>
      </c>
      <c r="E8612" t="s" s="2">
        <v>17</v>
      </c>
      <c r="F8612" t="s" s="2">
        <f>HYPERLINK("http://ts.21cn.com/tousu/show/id/1362414","http://ts.21cn.com/tousu/show/id/1362414")</f>
      </c>
      <c r="G8612" t="s" s="2">
        <v>17</v>
      </c>
      <c r="H8612" t="s" s="2">
        <v>19</v>
      </c>
      <c r="I8612" t="s" s="2">
        <v>33230</v>
      </c>
      <c r="J8612" t="s" s="2">
        <v>33231</v>
      </c>
      <c r="K8612" t="s" s="2">
        <v>22</v>
      </c>
      <c r="L8612" t="s" s="2">
        <v>22</v>
      </c>
      <c r="M8612" t="s" s="2">
        <v>22</v>
      </c>
    </row>
    <row r="8613" ht="25.0" customHeight="true">
      <c r="A8613" t="s" s="2">
        <v>13</v>
      </c>
      <c r="B8613" t="s" s="2">
        <f>HYPERLINK("http://ts.21cn.com/tousu/show/id/1362440","投诉银盛通信强制扣费")</f>
      </c>
      <c r="C8613" t="s" s="2">
        <v>15</v>
      </c>
      <c r="D8613" t="s" s="2">
        <v>16</v>
      </c>
      <c r="E8613" t="s" s="2">
        <v>17</v>
      </c>
      <c r="F8613" t="s" s="2">
        <f>HYPERLINK("http://ts.21cn.com/tousu/show/id/1362440","http://ts.21cn.com/tousu/show/id/1362440")</f>
      </c>
      <c r="G8613" t="s" s="2">
        <v>17</v>
      </c>
      <c r="H8613" t="s" s="2">
        <v>19</v>
      </c>
      <c r="I8613" t="s" s="2">
        <v>33234</v>
      </c>
      <c r="J8613" t="s" s="2">
        <v>33235</v>
      </c>
      <c r="K8613" t="s" s="2">
        <v>22</v>
      </c>
      <c r="L8613" t="s" s="2">
        <v>22</v>
      </c>
      <c r="M8613" t="s" s="2">
        <v>22</v>
      </c>
    </row>
    <row r="8614" ht="25.0" customHeight="true">
      <c r="A8614" t="s" s="2">
        <v>13</v>
      </c>
      <c r="B8614" t="s" s="2">
        <f>HYPERLINK("http://ts.21cn.com/tousu/show/id/1362437","维信卡卡贷客服不作为，利息过高")</f>
      </c>
      <c r="C8614" t="s" s="2">
        <v>15</v>
      </c>
      <c r="D8614" t="s" s="2">
        <v>16</v>
      </c>
      <c r="E8614" t="s" s="2">
        <v>17</v>
      </c>
      <c r="F8614" t="s" s="2">
        <f>HYPERLINK("http://ts.21cn.com/tousu/show/id/1362437","http://ts.21cn.com/tousu/show/id/1362437")</f>
      </c>
      <c r="G8614" t="s" s="2">
        <v>17</v>
      </c>
      <c r="H8614" t="s" s="2">
        <v>19</v>
      </c>
      <c r="I8614" t="s" s="2">
        <v>33238</v>
      </c>
      <c r="J8614" t="s" s="2">
        <v>33239</v>
      </c>
      <c r="K8614" t="s" s="2">
        <v>22</v>
      </c>
      <c r="L8614" t="s" s="2">
        <v>22</v>
      </c>
      <c r="M8614" t="s" s="2">
        <v>22</v>
      </c>
    </row>
    <row r="8615" ht="25.0" customHeight="true">
      <c r="A8615" t="s" s="2">
        <v>13</v>
      </c>
      <c r="B8615" t="s" s="2">
        <f>HYPERLINK("http://ts.21cn.com/tousu/show/id/1362436","高额利息远超国家规定红线，忘协商")</f>
      </c>
      <c r="C8615" t="s" s="2">
        <v>15</v>
      </c>
      <c r="D8615" t="s" s="2">
        <v>16</v>
      </c>
      <c r="E8615" t="s" s="2">
        <v>17</v>
      </c>
      <c r="F8615" t="s" s="2">
        <f>HYPERLINK("http://ts.21cn.com/tousu/show/id/1362436","http://ts.21cn.com/tousu/show/id/1362436")</f>
      </c>
      <c r="G8615" t="s" s="2">
        <v>17</v>
      </c>
      <c r="H8615" t="s" s="2">
        <v>19</v>
      </c>
      <c r="I8615" t="s" s="2">
        <v>33242</v>
      </c>
      <c r="J8615" t="s" s="2">
        <v>33243</v>
      </c>
      <c r="K8615" t="s" s="2">
        <v>22</v>
      </c>
      <c r="L8615" t="s" s="2">
        <v>22</v>
      </c>
      <c r="M8615" t="s" s="2">
        <v>22</v>
      </c>
    </row>
    <row r="8616" ht="25.0" customHeight="true">
      <c r="A8616" t="s" s="2">
        <v>13</v>
      </c>
      <c r="B8616" t="s" s="2">
        <f>HYPERLINK("http://ts.21cn.com/tousu/show/id/1362435","捷信违法")</f>
      </c>
      <c r="C8616" t="s" s="2">
        <v>15</v>
      </c>
      <c r="D8616" t="s" s="2">
        <v>16</v>
      </c>
      <c r="E8616" t="s" s="2">
        <v>17</v>
      </c>
      <c r="F8616" t="s" s="2">
        <f>HYPERLINK("http://ts.21cn.com/tousu/show/id/1362435","http://ts.21cn.com/tousu/show/id/1362435")</f>
      </c>
      <c r="G8616" t="s" s="2">
        <v>17</v>
      </c>
      <c r="H8616" t="s" s="2">
        <v>19</v>
      </c>
      <c r="I8616" t="s" s="2">
        <v>33246</v>
      </c>
      <c r="J8616" t="s" s="2">
        <v>33247</v>
      </c>
      <c r="K8616" t="s" s="2">
        <v>22</v>
      </c>
      <c r="L8616" t="s" s="2">
        <v>22</v>
      </c>
      <c r="M8616" t="s" s="2">
        <v>22</v>
      </c>
    </row>
    <row r="8617" ht="25.0" customHeight="true">
      <c r="A8617" t="s" s="2">
        <v>13</v>
      </c>
      <c r="B8617" t="s" s="2">
        <f>HYPERLINK("http://ts.21cn.com/tousu/show/id/1362269","信用管家平台新袋钱包贷款高利贷")</f>
      </c>
      <c r="C8617" t="s" s="2">
        <v>15</v>
      </c>
      <c r="D8617" t="s" s="2">
        <v>16</v>
      </c>
      <c r="E8617" t="s" s="2">
        <v>17</v>
      </c>
      <c r="F8617" t="s" s="2">
        <f>HYPERLINK("http://ts.21cn.com/tousu/show/id/1362269","http://ts.21cn.com/tousu/show/id/1362269")</f>
      </c>
      <c r="G8617" t="s" s="2">
        <v>17</v>
      </c>
      <c r="H8617" t="s" s="2">
        <v>19</v>
      </c>
      <c r="I8617" t="s" s="2">
        <v>33250</v>
      </c>
      <c r="J8617" t="s" s="2">
        <v>33251</v>
      </c>
      <c r="K8617" t="s" s="2">
        <v>22</v>
      </c>
      <c r="L8617" t="s" s="2">
        <v>22</v>
      </c>
      <c r="M8617" t="s" s="2">
        <v>22</v>
      </c>
    </row>
    <row r="8618" ht="25.0" customHeight="true">
      <c r="A8618" t="s" s="2">
        <v>13</v>
      </c>
      <c r="B8618" t="s" s="2">
        <f>HYPERLINK("http://ts.21cn.com/tousu/show/id/1362434","平安普惠违法盗取贷款人通讯录")</f>
      </c>
      <c r="C8618" t="s" s="2">
        <v>15</v>
      </c>
      <c r="D8618" t="s" s="2">
        <v>16</v>
      </c>
      <c r="E8618" t="s" s="2">
        <v>17</v>
      </c>
      <c r="F8618" t="s" s="2">
        <f>HYPERLINK("http://ts.21cn.com/tousu/show/id/1362434","http://ts.21cn.com/tousu/show/id/1362434")</f>
      </c>
      <c r="G8618" t="s" s="2">
        <v>17</v>
      </c>
      <c r="H8618" t="s" s="2">
        <v>19</v>
      </c>
      <c r="I8618" t="s" s="2">
        <v>33254</v>
      </c>
      <c r="J8618" t="s" s="2">
        <v>33255</v>
      </c>
      <c r="K8618" t="s" s="2">
        <v>22</v>
      </c>
      <c r="L8618" t="s" s="2">
        <v>22</v>
      </c>
      <c r="M8618" t="s" s="2">
        <v>22</v>
      </c>
    </row>
    <row r="8619" ht="25.0" customHeight="true">
      <c r="A8619" t="s" s="2">
        <v>13</v>
      </c>
      <c r="B8619" t="s" s="2">
        <f>HYPERLINK("http://ts.21cn.com/tousu/show/id/1362432","要求闪电借款延期催收")</f>
      </c>
      <c r="C8619" t="s" s="2">
        <v>15</v>
      </c>
      <c r="D8619" t="s" s="2">
        <v>16</v>
      </c>
      <c r="E8619" t="s" s="2">
        <v>17</v>
      </c>
      <c r="F8619" t="s" s="2">
        <f>HYPERLINK("http://ts.21cn.com/tousu/show/id/1362432","http://ts.21cn.com/tousu/show/id/1362432")</f>
      </c>
      <c r="G8619" t="s" s="2">
        <v>17</v>
      </c>
      <c r="H8619" t="s" s="2">
        <v>19</v>
      </c>
      <c r="I8619" t="s" s="2">
        <v>33258</v>
      </c>
      <c r="J8619" t="s" s="2">
        <v>33259</v>
      </c>
      <c r="K8619" t="s" s="2">
        <v>22</v>
      </c>
      <c r="L8619" t="s" s="2">
        <v>22</v>
      </c>
      <c r="M8619" t="s" s="2">
        <v>22</v>
      </c>
    </row>
    <row r="8620" ht="25.0" customHeight="true">
      <c r="A8620" t="s" s="2">
        <v>13</v>
      </c>
      <c r="B8620" t="s" s="2">
        <f>HYPERLINK("http://ts.21cn.com/tousu/show/id/1362375","高利息擅自修改还款期数，修改合同")</f>
      </c>
      <c r="C8620" t="s" s="2">
        <v>15</v>
      </c>
      <c r="D8620" t="s" s="2">
        <v>16</v>
      </c>
      <c r="E8620" t="s" s="2">
        <v>17</v>
      </c>
      <c r="F8620" t="s" s="2">
        <f>HYPERLINK("http://ts.21cn.com/tousu/show/id/1362375","http://ts.21cn.com/tousu/show/id/1362375")</f>
      </c>
      <c r="G8620" t="s" s="2">
        <v>17</v>
      </c>
      <c r="H8620" t="s" s="2">
        <v>19</v>
      </c>
      <c r="I8620" t="s" s="2">
        <v>33262</v>
      </c>
      <c r="J8620" t="s" s="2">
        <v>33263</v>
      </c>
      <c r="K8620" t="s" s="2">
        <v>22</v>
      </c>
      <c r="L8620" t="s" s="2">
        <v>22</v>
      </c>
      <c r="M8620" t="s" s="2">
        <v>22</v>
      </c>
    </row>
    <row r="8621" ht="25.0" customHeight="true">
      <c r="A8621" t="s" s="2">
        <v>13</v>
      </c>
      <c r="B8621" t="s" s="2">
        <f>HYPERLINK("http://ts.21cn.com/tousu/show/id/1362431","网易云买了东西结果货没收到物流信息也全是假的")</f>
      </c>
      <c r="C8621" t="s" s="2">
        <v>15</v>
      </c>
      <c r="D8621" t="s" s="2">
        <v>16</v>
      </c>
      <c r="E8621" t="s" s="2">
        <v>17</v>
      </c>
      <c r="F8621" t="s" s="2">
        <f>HYPERLINK("http://ts.21cn.com/tousu/show/id/1362431","http://ts.21cn.com/tousu/show/id/1362431")</f>
      </c>
      <c r="G8621" t="s" s="2">
        <v>17</v>
      </c>
      <c r="H8621" t="s" s="2">
        <v>19</v>
      </c>
      <c r="I8621" t="s" s="2">
        <v>33266</v>
      </c>
      <c r="J8621" t="s" s="2">
        <v>33267</v>
      </c>
      <c r="K8621" t="s" s="2">
        <v>22</v>
      </c>
      <c r="L8621" t="s" s="2">
        <v>22</v>
      </c>
      <c r="M8621" t="s" s="2">
        <v>22</v>
      </c>
    </row>
    <row r="8622" ht="25.0" customHeight="true">
      <c r="A8622" t="s" s="2">
        <v>13</v>
      </c>
      <c r="B8622" t="s" s="2">
        <f>HYPERLINK("http://ts.21cn.com/tousu/show/id/1362429","立借钱置宝恶意逾期")</f>
      </c>
      <c r="C8622" t="s" s="2">
        <v>15</v>
      </c>
      <c r="D8622" t="s" s="2">
        <v>16</v>
      </c>
      <c r="E8622" t="s" s="2">
        <v>17</v>
      </c>
      <c r="F8622" t="s" s="2">
        <f>HYPERLINK("http://ts.21cn.com/tousu/show/id/1362429","http://ts.21cn.com/tousu/show/id/1362429")</f>
      </c>
      <c r="G8622" t="s" s="2">
        <v>17</v>
      </c>
      <c r="H8622" t="s" s="2">
        <v>19</v>
      </c>
      <c r="I8622" t="s" s="2">
        <v>33270</v>
      </c>
      <c r="J8622" t="s" s="2">
        <v>33271</v>
      </c>
      <c r="K8622" t="s" s="2">
        <v>22</v>
      </c>
      <c r="L8622" t="s" s="2">
        <v>22</v>
      </c>
      <c r="M8622" t="s" s="2">
        <v>22</v>
      </c>
    </row>
    <row r="8623" ht="25.0" customHeight="true">
      <c r="A8623" t="s" s="2">
        <v>13</v>
      </c>
      <c r="B8623" t="s" s="2">
        <f>HYPERLINK("http://ts.21cn.com/tousu/show/id/1362430","暴力催收威胁")</f>
      </c>
      <c r="C8623" t="s" s="2">
        <v>15</v>
      </c>
      <c r="D8623" t="s" s="2">
        <v>16</v>
      </c>
      <c r="E8623" t="s" s="2">
        <v>17</v>
      </c>
      <c r="F8623" t="s" s="2">
        <f>HYPERLINK("http://ts.21cn.com/tousu/show/id/1362430","http://ts.21cn.com/tousu/show/id/1362430")</f>
      </c>
      <c r="G8623" t="s" s="2">
        <v>17</v>
      </c>
      <c r="H8623" t="s" s="2">
        <v>19</v>
      </c>
      <c r="I8623" t="s" s="2">
        <v>33273</v>
      </c>
      <c r="J8623" t="s" s="2">
        <v>33274</v>
      </c>
      <c r="K8623" t="s" s="2">
        <v>22</v>
      </c>
      <c r="L8623" t="s" s="2">
        <v>22</v>
      </c>
      <c r="M8623" t="s" s="2">
        <v>22</v>
      </c>
    </row>
    <row r="8624" ht="25.0" customHeight="true">
      <c r="A8624" t="s" s="2">
        <v>13</v>
      </c>
      <c r="B8624" t="s" s="2">
        <f>HYPERLINK("http://ts.21cn.com/tousu/show/id/1362428","微粒贷非法催收，冻结微信号")</f>
      </c>
      <c r="C8624" t="s" s="2">
        <v>15</v>
      </c>
      <c r="D8624" t="s" s="2">
        <v>16</v>
      </c>
      <c r="E8624" t="s" s="2">
        <v>17</v>
      </c>
      <c r="F8624" t="s" s="2">
        <f>HYPERLINK("http://ts.21cn.com/tousu/show/id/1362428","http://ts.21cn.com/tousu/show/id/1362428")</f>
      </c>
      <c r="G8624" t="s" s="2">
        <v>17</v>
      </c>
      <c r="H8624" t="s" s="2">
        <v>19</v>
      </c>
      <c r="I8624" t="s" s="2">
        <v>33277</v>
      </c>
      <c r="J8624" t="s" s="2">
        <v>33278</v>
      </c>
      <c r="K8624" t="s" s="2">
        <v>22</v>
      </c>
      <c r="L8624" t="s" s="2">
        <v>22</v>
      </c>
      <c r="M8624" t="s" s="2">
        <v>22</v>
      </c>
    </row>
    <row r="8625" ht="25.0" customHeight="true">
      <c r="A8625" t="s" s="2">
        <v>13</v>
      </c>
      <c r="B8625" t="s" s="2">
        <f>HYPERLINK("http://ts.21cn.com/tousu/show/id/1362426","立即平台高利贷")</f>
      </c>
      <c r="C8625" t="s" s="2">
        <v>15</v>
      </c>
      <c r="D8625" t="s" s="2">
        <v>16</v>
      </c>
      <c r="E8625" t="s" s="2">
        <v>17</v>
      </c>
      <c r="F8625" t="s" s="2">
        <f>HYPERLINK("http://ts.21cn.com/tousu/show/id/1362426","http://ts.21cn.com/tousu/show/id/1362426")</f>
      </c>
      <c r="G8625" t="s" s="2">
        <v>17</v>
      </c>
      <c r="H8625" t="s" s="2">
        <v>19</v>
      </c>
      <c r="I8625" t="s" s="2">
        <v>33281</v>
      </c>
      <c r="J8625" t="s" s="2">
        <v>33282</v>
      </c>
      <c r="K8625" t="s" s="2">
        <v>22</v>
      </c>
      <c r="L8625" t="s" s="2">
        <v>22</v>
      </c>
      <c r="M8625" t="s" s="2">
        <v>22</v>
      </c>
    </row>
    <row r="8626" ht="25.0" customHeight="true">
      <c r="A8626" t="s" s="2">
        <v>13</v>
      </c>
      <c r="B8626" t="s" s="2">
        <f>HYPERLINK("http://ts.21cn.com/tousu/show/id/1362427","中金支付收取砍头息并欺诈用户")</f>
      </c>
      <c r="C8626" t="s" s="2">
        <v>15</v>
      </c>
      <c r="D8626" t="s" s="2">
        <v>16</v>
      </c>
      <c r="E8626" t="s" s="2">
        <v>17</v>
      </c>
      <c r="F8626" t="s" s="2">
        <f>HYPERLINK("http://ts.21cn.com/tousu/show/id/1362427","http://ts.21cn.com/tousu/show/id/1362427")</f>
      </c>
      <c r="G8626" t="s" s="2">
        <v>17</v>
      </c>
      <c r="H8626" t="s" s="2">
        <v>19</v>
      </c>
      <c r="I8626" t="s" s="2">
        <v>33281</v>
      </c>
      <c r="J8626" t="s" s="2">
        <v>33285</v>
      </c>
      <c r="K8626" t="s" s="2">
        <v>22</v>
      </c>
      <c r="L8626" t="s" s="2">
        <v>22</v>
      </c>
      <c r="M8626" t="s" s="2">
        <v>22</v>
      </c>
    </row>
    <row r="8627" ht="25.0" customHeight="true">
      <c r="A8627" t="s" s="2">
        <v>13</v>
      </c>
      <c r="B8627" t="s" s="2">
        <f>HYPERLINK("http://ts.21cn.com/tousu/show/id/1362425","小花钱包暴力催收威胁恐吓上门")</f>
      </c>
      <c r="C8627" t="s" s="2">
        <v>15</v>
      </c>
      <c r="D8627" t="s" s="2">
        <v>16</v>
      </c>
      <c r="E8627" t="s" s="2">
        <v>17</v>
      </c>
      <c r="F8627" t="s" s="2">
        <f>HYPERLINK("http://ts.21cn.com/tousu/show/id/1362425","http://ts.21cn.com/tousu/show/id/1362425")</f>
      </c>
      <c r="G8627" t="s" s="2">
        <v>17</v>
      </c>
      <c r="H8627" t="s" s="2">
        <v>19</v>
      </c>
      <c r="I8627" t="s" s="2">
        <v>33288</v>
      </c>
      <c r="J8627" t="s" s="2">
        <v>33289</v>
      </c>
      <c r="K8627" t="s" s="2">
        <v>22</v>
      </c>
      <c r="L8627" t="s" s="2">
        <v>22</v>
      </c>
      <c r="M8627" t="s" s="2">
        <v>22</v>
      </c>
    </row>
    <row r="8628" ht="25.0" customHeight="true">
      <c r="A8628" t="s" s="2">
        <v>13</v>
      </c>
      <c r="B8628" t="s" s="2">
        <f>HYPERLINK("http://ts.21cn.com/tousu/show/id/1362413","广东寰宇集团上级移联科技公司套路忽悠欺诈我")</f>
      </c>
      <c r="C8628" t="s" s="2">
        <v>15</v>
      </c>
      <c r="D8628" t="s" s="2">
        <v>16</v>
      </c>
      <c r="E8628" t="s" s="2">
        <v>17</v>
      </c>
      <c r="F8628" t="s" s="2">
        <f>HYPERLINK("http://ts.21cn.com/tousu/show/id/1362413","http://ts.21cn.com/tousu/show/id/1362413")</f>
      </c>
      <c r="G8628" t="s" s="2">
        <v>17</v>
      </c>
      <c r="H8628" t="s" s="2">
        <v>19</v>
      </c>
      <c r="I8628" t="s" s="2">
        <v>33292</v>
      </c>
      <c r="J8628" t="s" s="2">
        <v>33293</v>
      </c>
      <c r="K8628" t="s" s="2">
        <v>22</v>
      </c>
      <c r="L8628" t="s" s="2">
        <v>22</v>
      </c>
      <c r="M8628" t="s" s="2">
        <v>22</v>
      </c>
    </row>
    <row r="8629" ht="25.0" customHeight="true">
      <c r="A8629" t="s" s="2">
        <v>13</v>
      </c>
      <c r="B8629" t="s" s="2">
        <f>HYPERLINK("http://ts.21cn.com/tousu/show/id/1362423","招联金融暴力催收")</f>
      </c>
      <c r="C8629" t="s" s="2">
        <v>15</v>
      </c>
      <c r="D8629" t="s" s="2">
        <v>16</v>
      </c>
      <c r="E8629" t="s" s="2">
        <v>17</v>
      </c>
      <c r="F8629" t="s" s="2">
        <f>HYPERLINK("http://ts.21cn.com/tousu/show/id/1362423","http://ts.21cn.com/tousu/show/id/1362423")</f>
      </c>
      <c r="G8629" t="s" s="2">
        <v>17</v>
      </c>
      <c r="H8629" t="s" s="2">
        <v>19</v>
      </c>
      <c r="I8629" t="s" s="2">
        <v>33292</v>
      </c>
      <c r="J8629" t="s" s="2">
        <v>33295</v>
      </c>
      <c r="K8629" t="s" s="2">
        <v>22</v>
      </c>
      <c r="L8629" t="s" s="2">
        <v>22</v>
      </c>
      <c r="M8629" t="s" s="2">
        <v>22</v>
      </c>
    </row>
    <row r="8630" ht="25.0" customHeight="true">
      <c r="A8630" t="s" s="2">
        <v>13</v>
      </c>
      <c r="B8630" t="s" s="2">
        <f>HYPERLINK("http://ts.21cn.com/tousu/show/id/1362422","友信信贷在未逾期的时间内对借款人进行暴力催收")</f>
      </c>
      <c r="C8630" t="s" s="2">
        <v>15</v>
      </c>
      <c r="D8630" t="s" s="2">
        <v>16</v>
      </c>
      <c r="E8630" t="s" s="2">
        <v>17</v>
      </c>
      <c r="F8630" t="s" s="2">
        <f>HYPERLINK("http://ts.21cn.com/tousu/show/id/1362422","http://ts.21cn.com/tousu/show/id/1362422")</f>
      </c>
      <c r="G8630" t="s" s="2">
        <v>17</v>
      </c>
      <c r="H8630" t="s" s="2">
        <v>19</v>
      </c>
      <c r="I8630" t="s" s="2">
        <v>33297</v>
      </c>
      <c r="J8630" t="s" s="2">
        <v>33298</v>
      </c>
      <c r="K8630" t="s" s="2">
        <v>22</v>
      </c>
      <c r="L8630" t="s" s="2">
        <v>22</v>
      </c>
      <c r="M8630" t="s" s="2">
        <v>22</v>
      </c>
    </row>
    <row r="8631" ht="25.0" customHeight="true">
      <c r="A8631" t="s" s="2">
        <v>13</v>
      </c>
      <c r="B8631" t="s" s="2">
        <f>HYPERLINK("http://ts.21cn.com/tousu/show/id/1362421","51恶意催收暴力催收高利贷")</f>
      </c>
      <c r="C8631" t="s" s="2">
        <v>15</v>
      </c>
      <c r="D8631" t="s" s="2">
        <v>16</v>
      </c>
      <c r="E8631" t="s" s="2">
        <v>17</v>
      </c>
      <c r="F8631" t="s" s="2">
        <f>HYPERLINK("http://ts.21cn.com/tousu/show/id/1362421","http://ts.21cn.com/tousu/show/id/1362421")</f>
      </c>
      <c r="G8631" t="s" s="2">
        <v>17</v>
      </c>
      <c r="H8631" t="s" s="2">
        <v>19</v>
      </c>
      <c r="I8631" t="s" s="2">
        <v>33301</v>
      </c>
      <c r="J8631" t="s" s="2">
        <v>33302</v>
      </c>
      <c r="K8631" t="s" s="2">
        <v>22</v>
      </c>
      <c r="L8631" t="s" s="2">
        <v>22</v>
      </c>
      <c r="M8631" t="s" s="2">
        <v>22</v>
      </c>
    </row>
    <row r="8632" ht="25.0" customHeight="true">
      <c r="A8632" t="s" s="2">
        <v>13</v>
      </c>
      <c r="B8632" t="s" s="2">
        <f>HYPERLINK("http://ts.21cn.com/tousu/show/id/1362420","凤凰智信喜鹊快贷高额利息，暴力催收")</f>
      </c>
      <c r="C8632" t="s" s="2">
        <v>15</v>
      </c>
      <c r="D8632" t="s" s="2">
        <v>16</v>
      </c>
      <c r="E8632" t="s" s="2">
        <v>17</v>
      </c>
      <c r="F8632" t="s" s="2">
        <f>HYPERLINK("http://ts.21cn.com/tousu/show/id/1362420","http://ts.21cn.com/tousu/show/id/1362420")</f>
      </c>
      <c r="G8632" t="s" s="2">
        <v>17</v>
      </c>
      <c r="H8632" t="s" s="2">
        <v>19</v>
      </c>
      <c r="I8632" t="s" s="2">
        <v>33305</v>
      </c>
      <c r="J8632" t="s" s="2">
        <v>33306</v>
      </c>
      <c r="K8632" t="s" s="2">
        <v>22</v>
      </c>
      <c r="L8632" t="s" s="2">
        <v>22</v>
      </c>
      <c r="M8632" t="s" s="2">
        <v>22</v>
      </c>
    </row>
    <row r="8633" ht="25.0" customHeight="true">
      <c r="A8633" t="s" s="2">
        <v>13</v>
      </c>
      <c r="B8633" t="s" s="2">
        <f>HYPERLINK("http://ts.21cn.com/tousu/show/id/1362418","胖胖有米高利贷砍头息")</f>
      </c>
      <c r="C8633" t="s" s="2">
        <v>15</v>
      </c>
      <c r="D8633" t="s" s="2">
        <v>16</v>
      </c>
      <c r="E8633" t="s" s="2">
        <v>17</v>
      </c>
      <c r="F8633" t="s" s="2">
        <f>HYPERLINK("http://ts.21cn.com/tousu/show/id/1362418","http://ts.21cn.com/tousu/show/id/1362418")</f>
      </c>
      <c r="G8633" t="s" s="2">
        <v>17</v>
      </c>
      <c r="H8633" t="s" s="2">
        <v>19</v>
      </c>
      <c r="I8633" t="s" s="2">
        <v>33309</v>
      </c>
      <c r="J8633" t="s" s="2">
        <v>33310</v>
      </c>
      <c r="K8633" t="s" s="2">
        <v>22</v>
      </c>
      <c r="L8633" t="s" s="2">
        <v>22</v>
      </c>
      <c r="M8633" t="s" s="2">
        <v>22</v>
      </c>
    </row>
    <row r="8634" ht="25.0" customHeight="true">
      <c r="A8634" t="s" s="2">
        <v>13</v>
      </c>
      <c r="B8634" t="s" s="2">
        <f>HYPERLINK("http://ts.21cn.com/tousu/show/id/1362419","维信卡卡贷工作人员暴力催收")</f>
      </c>
      <c r="C8634" t="s" s="2">
        <v>15</v>
      </c>
      <c r="D8634" t="s" s="2">
        <v>16</v>
      </c>
      <c r="E8634" t="s" s="2">
        <v>17</v>
      </c>
      <c r="F8634" t="s" s="2">
        <f>HYPERLINK("http://ts.21cn.com/tousu/show/id/1362419","http://ts.21cn.com/tousu/show/id/1362419")</f>
      </c>
      <c r="G8634" t="s" s="2">
        <v>17</v>
      </c>
      <c r="H8634" t="s" s="2">
        <v>19</v>
      </c>
      <c r="I8634" t="s" s="2">
        <v>33313</v>
      </c>
      <c r="J8634" t="s" s="2">
        <v>33314</v>
      </c>
      <c r="K8634" t="s" s="2">
        <v>22</v>
      </c>
      <c r="L8634" t="s" s="2">
        <v>22</v>
      </c>
      <c r="M8634" t="s" s="2">
        <v>22</v>
      </c>
    </row>
    <row r="8635" ht="25.0" customHeight="true">
      <c r="A8635" t="s" s="2">
        <v>13</v>
      </c>
      <c r="B8635" t="s" s="2">
        <f>HYPERLINK("http://ts.21cn.com/tousu/show/id/1362416","智行火车票软件在没告知我要加速包的情况下，收了我18元加速包的费用，要求退还")</f>
      </c>
      <c r="C8635" t="s" s="2">
        <v>15</v>
      </c>
      <c r="D8635" t="s" s="2">
        <v>16</v>
      </c>
      <c r="E8635" t="s" s="2">
        <v>17</v>
      </c>
      <c r="F8635" t="s" s="2">
        <f>HYPERLINK("http://ts.21cn.com/tousu/show/id/1362416","http://ts.21cn.com/tousu/show/id/1362416")</f>
      </c>
      <c r="G8635" t="s" s="2">
        <v>17</v>
      </c>
      <c r="H8635" t="s" s="2">
        <v>19</v>
      </c>
      <c r="I8635" t="s" s="2">
        <v>33317</v>
      </c>
      <c r="J8635" t="s" s="2">
        <v>33318</v>
      </c>
      <c r="K8635" t="s" s="2">
        <v>22</v>
      </c>
      <c r="L8635" t="s" s="2">
        <v>22</v>
      </c>
      <c r="M8635" t="s" s="2">
        <v>22</v>
      </c>
    </row>
    <row r="8636" ht="25.0" customHeight="true">
      <c r="A8636" t="s" s="2">
        <v>13</v>
      </c>
      <c r="B8636" t="s" s="2">
        <f>HYPERLINK("http://ts.21cn.com/tousu/show/id/1362424","美团生活费骚扰客户导致公司造成损失")</f>
      </c>
      <c r="C8636" t="s" s="2">
        <v>15</v>
      </c>
      <c r="D8636" t="s" s="2">
        <v>16</v>
      </c>
      <c r="E8636" t="s" s="2">
        <v>17</v>
      </c>
      <c r="F8636" t="s" s="2">
        <f>HYPERLINK("http://ts.21cn.com/tousu/show/id/1362424","http://ts.21cn.com/tousu/show/id/1362424")</f>
      </c>
      <c r="G8636" t="s" s="2">
        <v>17</v>
      </c>
      <c r="H8636" t="s" s="2">
        <v>19</v>
      </c>
      <c r="I8636" t="s" s="2">
        <v>33321</v>
      </c>
      <c r="J8636" t="s" s="2">
        <v>33322</v>
      </c>
      <c r="K8636" t="s" s="2">
        <v>22</v>
      </c>
      <c r="L8636" t="s" s="2">
        <v>22</v>
      </c>
      <c r="M8636" t="s" s="2">
        <v>22</v>
      </c>
    </row>
    <row r="8637" ht="25.0" customHeight="true">
      <c r="A8637" t="s" s="2">
        <v>13</v>
      </c>
      <c r="B8637" t="s" s="2">
        <f>HYPERLINK("http://ts.21cn.com/tousu/show/id/1362415","第三方催收威胁")</f>
      </c>
      <c r="C8637" t="s" s="2">
        <v>15</v>
      </c>
      <c r="D8637" t="s" s="2">
        <v>16</v>
      </c>
      <c r="E8637" t="s" s="2">
        <v>17</v>
      </c>
      <c r="F8637" t="s" s="2">
        <f>HYPERLINK("http://ts.21cn.com/tousu/show/id/1362415","http://ts.21cn.com/tousu/show/id/1362415")</f>
      </c>
      <c r="G8637" t="s" s="2">
        <v>17</v>
      </c>
      <c r="H8637" t="s" s="2">
        <v>19</v>
      </c>
      <c r="I8637" t="s" s="2">
        <v>33325</v>
      </c>
      <c r="J8637" t="s" s="2">
        <v>33326</v>
      </c>
      <c r="K8637" t="s" s="2">
        <v>22</v>
      </c>
      <c r="L8637" t="s" s="2">
        <v>22</v>
      </c>
      <c r="M8637" t="s" s="2">
        <v>22</v>
      </c>
    </row>
    <row r="8638" ht="25.0" customHeight="true">
      <c r="A8638" t="s" s="2">
        <v>13</v>
      </c>
      <c r="B8638" t="s" s="2">
        <f>HYPERLINK("http://ts.21cn.com/tousu/show/id/1362412","豆豆钱以保险费名义砍头息，阴阳合同")</f>
      </c>
      <c r="C8638" t="s" s="2">
        <v>15</v>
      </c>
      <c r="D8638" t="s" s="2">
        <v>16</v>
      </c>
      <c r="E8638" t="s" s="2">
        <v>17</v>
      </c>
      <c r="F8638" t="s" s="2">
        <f>HYPERLINK("http://ts.21cn.com/tousu/show/id/1362412","http://ts.21cn.com/tousu/show/id/1362412")</f>
      </c>
      <c r="G8638" t="s" s="2">
        <v>17</v>
      </c>
      <c r="H8638" t="s" s="2">
        <v>19</v>
      </c>
      <c r="I8638" t="s" s="2">
        <v>33329</v>
      </c>
      <c r="J8638" t="s" s="2">
        <v>33330</v>
      </c>
      <c r="K8638" t="s" s="2">
        <v>22</v>
      </c>
      <c r="L8638" t="s" s="2">
        <v>22</v>
      </c>
      <c r="M8638" t="s" s="2">
        <v>22</v>
      </c>
    </row>
    <row r="8639" ht="25.0" customHeight="true">
      <c r="A8639" t="s" s="2">
        <v>13</v>
      </c>
      <c r="B8639" t="s" s="2">
        <f>HYPERLINK("http://ts.21cn.com/tousu/show/id/1362411","拍拍货一年前还完款，现在又收到催款信息")</f>
      </c>
      <c r="C8639" t="s" s="2">
        <v>52</v>
      </c>
      <c r="D8639" t="s" s="2">
        <v>16</v>
      </c>
      <c r="E8639" t="s" s="2">
        <v>17</v>
      </c>
      <c r="F8639" t="s" s="2">
        <f>HYPERLINK("http://ts.21cn.com/tousu/show/id/1362411","http://ts.21cn.com/tousu/show/id/1362411")</f>
      </c>
      <c r="G8639" t="s" s="2">
        <v>17</v>
      </c>
      <c r="H8639" t="s" s="2">
        <v>19</v>
      </c>
      <c r="I8639" t="s" s="2">
        <v>33333</v>
      </c>
      <c r="J8639" t="s" s="2">
        <v>33334</v>
      </c>
      <c r="K8639" t="s" s="2">
        <v>22</v>
      </c>
      <c r="L8639" t="s" s="2">
        <v>22</v>
      </c>
      <c r="M8639" t="s" s="2">
        <v>22</v>
      </c>
    </row>
    <row r="8640" ht="25.0" customHeight="true">
      <c r="A8640" t="s" s="2">
        <v>13</v>
      </c>
      <c r="B8640" t="s" s="2">
        <f>HYPERLINK("http://ts.21cn.com/tousu/show/id/1362410","暴力催收")</f>
      </c>
      <c r="C8640" t="s" s="2">
        <v>15</v>
      </c>
      <c r="D8640" t="s" s="2">
        <v>16</v>
      </c>
      <c r="E8640" t="s" s="2">
        <v>17</v>
      </c>
      <c r="F8640" t="s" s="2">
        <f>HYPERLINK("http://ts.21cn.com/tousu/show/id/1362410","http://ts.21cn.com/tousu/show/id/1362410")</f>
      </c>
      <c r="G8640" t="s" s="2">
        <v>17</v>
      </c>
      <c r="H8640" t="s" s="2">
        <v>19</v>
      </c>
      <c r="I8640" t="s" s="2">
        <v>33336</v>
      </c>
      <c r="J8640" t="s" s="2">
        <v>33337</v>
      </c>
      <c r="K8640" t="s" s="2">
        <v>22</v>
      </c>
      <c r="L8640" t="s" s="2">
        <v>22</v>
      </c>
      <c r="M8640" t="s" s="2">
        <v>22</v>
      </c>
    </row>
    <row r="8641" ht="25.0" customHeight="true">
      <c r="A8641" t="s" s="2">
        <v>13</v>
      </c>
      <c r="B8641" t="s" s="2">
        <f>HYPERLINK("http://ts.21cn.com/tousu/show/id/1362409","掌buy商城收取高额砍头息")</f>
      </c>
      <c r="C8641" t="s" s="2">
        <v>15</v>
      </c>
      <c r="D8641" t="s" s="2">
        <v>16</v>
      </c>
      <c r="E8641" t="s" s="2">
        <v>17</v>
      </c>
      <c r="F8641" t="s" s="2">
        <f>HYPERLINK("http://ts.21cn.com/tousu/show/id/1362409","http://ts.21cn.com/tousu/show/id/1362409")</f>
      </c>
      <c r="G8641" t="s" s="2">
        <v>17</v>
      </c>
      <c r="H8641" t="s" s="2">
        <v>19</v>
      </c>
      <c r="I8641" t="s" s="2">
        <v>33340</v>
      </c>
      <c r="J8641" t="s" s="2">
        <v>33341</v>
      </c>
      <c r="K8641" t="s" s="2">
        <v>22</v>
      </c>
      <c r="L8641" t="s" s="2">
        <v>22</v>
      </c>
      <c r="M8641" t="s" s="2">
        <v>22</v>
      </c>
    </row>
    <row r="8642" ht="25.0" customHeight="true">
      <c r="A8642" t="s" s="2">
        <v>13</v>
      </c>
      <c r="B8642" t="s" s="2">
        <f>HYPERLINK("http://ts.21cn.com/tousu/show/id/1362408","小黄车ofo不退还押金、客服挂客户电话")</f>
      </c>
      <c r="C8642" t="s" s="2">
        <v>15</v>
      </c>
      <c r="D8642" t="s" s="2">
        <v>16</v>
      </c>
      <c r="E8642" t="s" s="2">
        <v>17</v>
      </c>
      <c r="F8642" t="s" s="2">
        <f>HYPERLINK("http://ts.21cn.com/tousu/show/id/1362408","http://ts.21cn.com/tousu/show/id/1362408")</f>
      </c>
      <c r="G8642" t="s" s="2">
        <v>17</v>
      </c>
      <c r="H8642" t="s" s="2">
        <v>19</v>
      </c>
      <c r="I8642" t="s" s="2">
        <v>33344</v>
      </c>
      <c r="J8642" t="s" s="2">
        <v>33345</v>
      </c>
      <c r="K8642" t="s" s="2">
        <v>22</v>
      </c>
      <c r="L8642" t="s" s="2">
        <v>22</v>
      </c>
      <c r="M8642" t="s" s="2">
        <v>22</v>
      </c>
    </row>
    <row r="8643" ht="25.0" customHeight="true">
      <c r="A8643" t="s" s="2">
        <v>13</v>
      </c>
      <c r="B8643" t="s" s="2">
        <f>HYPERLINK("http://ts.21cn.com/tousu/show/id/1362407","凡普信变相高利贷")</f>
      </c>
      <c r="C8643" t="s" s="2">
        <v>15</v>
      </c>
      <c r="D8643" t="s" s="2">
        <v>16</v>
      </c>
      <c r="E8643" t="s" s="2">
        <v>17</v>
      </c>
      <c r="F8643" t="s" s="2">
        <f>HYPERLINK("http://ts.21cn.com/tousu/show/id/1362407","http://ts.21cn.com/tousu/show/id/1362407")</f>
      </c>
      <c r="G8643" t="s" s="2">
        <v>17</v>
      </c>
      <c r="H8643" t="s" s="2">
        <v>19</v>
      </c>
      <c r="I8643" t="s" s="2">
        <v>33348</v>
      </c>
      <c r="J8643" t="s" s="2">
        <v>33349</v>
      </c>
      <c r="K8643" t="s" s="2">
        <v>22</v>
      </c>
      <c r="L8643" t="s" s="2">
        <v>22</v>
      </c>
      <c r="M8643" t="s" s="2">
        <v>22</v>
      </c>
    </row>
    <row r="8644" ht="25.0" customHeight="true">
      <c r="A8644" t="s" s="2">
        <v>13</v>
      </c>
      <c r="B8644" t="s" s="2">
        <f>HYPERLINK("http://ts.21cn.com/tousu/show/id/1362406","民生银行催收")</f>
      </c>
      <c r="C8644" t="s" s="2">
        <v>15</v>
      </c>
      <c r="D8644" t="s" s="2">
        <v>16</v>
      </c>
      <c r="E8644" t="s" s="2">
        <v>17</v>
      </c>
      <c r="F8644" t="s" s="2">
        <f>HYPERLINK("http://ts.21cn.com/tousu/show/id/1362406","http://ts.21cn.com/tousu/show/id/1362406")</f>
      </c>
      <c r="G8644" t="s" s="2">
        <v>17</v>
      </c>
      <c r="H8644" t="s" s="2">
        <v>19</v>
      </c>
      <c r="I8644" t="s" s="2">
        <v>33352</v>
      </c>
      <c r="J8644" t="s" s="2">
        <v>33353</v>
      </c>
      <c r="K8644" t="s" s="2">
        <v>22</v>
      </c>
      <c r="L8644" t="s" s="2">
        <v>22</v>
      </c>
      <c r="M8644" t="s" s="2">
        <v>22</v>
      </c>
    </row>
    <row r="8645" ht="25.0" customHeight="true">
      <c r="A8645" t="s" s="2">
        <v>13</v>
      </c>
      <c r="B8645" t="s" s="2">
        <f>HYPERLINK("http://ts.21cn.com/tousu/show/id/1362405","神马借恶意使用户逾期")</f>
      </c>
      <c r="C8645" t="s" s="2">
        <v>15</v>
      </c>
      <c r="D8645" t="s" s="2">
        <v>16</v>
      </c>
      <c r="E8645" t="s" s="2">
        <v>17</v>
      </c>
      <c r="F8645" t="s" s="2">
        <f>HYPERLINK("http://ts.21cn.com/tousu/show/id/1362405","http://ts.21cn.com/tousu/show/id/1362405")</f>
      </c>
      <c r="G8645" t="s" s="2">
        <v>17</v>
      </c>
      <c r="H8645" t="s" s="2">
        <v>19</v>
      </c>
      <c r="I8645" t="s" s="2">
        <v>33356</v>
      </c>
      <c r="J8645" t="s" s="2">
        <v>33357</v>
      </c>
      <c r="K8645" t="s" s="2">
        <v>22</v>
      </c>
      <c r="L8645" t="s" s="2">
        <v>22</v>
      </c>
      <c r="M8645" t="s" s="2">
        <v>22</v>
      </c>
    </row>
    <row r="8646" ht="25.0" customHeight="true">
      <c r="A8646" t="s" s="2">
        <v>13</v>
      </c>
      <c r="B8646" t="s" s="2">
        <f>HYPERLINK("http://ts.21cn.com/tousu/show/id/1362404","罚息超出国家规定")</f>
      </c>
      <c r="C8646" t="s" s="2">
        <v>15</v>
      </c>
      <c r="D8646" t="s" s="2">
        <v>16</v>
      </c>
      <c r="E8646" t="s" s="2">
        <v>17</v>
      </c>
      <c r="F8646" t="s" s="2">
        <f>HYPERLINK("http://ts.21cn.com/tousu/show/id/1362404","http://ts.21cn.com/tousu/show/id/1362404")</f>
      </c>
      <c r="G8646" t="s" s="2">
        <v>17</v>
      </c>
      <c r="H8646" t="s" s="2">
        <v>19</v>
      </c>
      <c r="I8646" t="s" s="2">
        <v>33360</v>
      </c>
      <c r="J8646" t="s" s="2">
        <v>33361</v>
      </c>
      <c r="K8646" t="s" s="2">
        <v>22</v>
      </c>
      <c r="L8646" t="s" s="2">
        <v>22</v>
      </c>
      <c r="M8646" t="s" s="2">
        <v>22</v>
      </c>
    </row>
    <row r="8647" ht="25.0" customHeight="true">
      <c r="A8647" t="s" s="2">
        <v>13</v>
      </c>
      <c r="B8647" t="s" s="2">
        <f>HYPERLINK("http://ts.21cn.com/tousu/show/id/1362402","拍下商品不发货一直让我退货")</f>
      </c>
      <c r="C8647" t="s" s="2">
        <v>15</v>
      </c>
      <c r="D8647" t="s" s="2">
        <v>16</v>
      </c>
      <c r="E8647" t="s" s="2">
        <v>17</v>
      </c>
      <c r="F8647" t="s" s="2">
        <f>HYPERLINK("http://ts.21cn.com/tousu/show/id/1362402","http://ts.21cn.com/tousu/show/id/1362402")</f>
      </c>
      <c r="G8647" t="s" s="2">
        <v>17</v>
      </c>
      <c r="H8647" t="s" s="2">
        <v>19</v>
      </c>
      <c r="I8647" t="s" s="2">
        <v>33364</v>
      </c>
      <c r="J8647" t="s" s="2">
        <v>33365</v>
      </c>
      <c r="K8647" t="s" s="2">
        <v>22</v>
      </c>
      <c r="L8647" t="s" s="2">
        <v>22</v>
      </c>
      <c r="M8647" t="s" s="2">
        <v>22</v>
      </c>
    </row>
    <row r="8648" ht="25.0" customHeight="true">
      <c r="A8648" t="s" s="2">
        <v>13</v>
      </c>
      <c r="B8648" t="s" s="2">
        <f>HYPERLINK("http://ts.21cn.com/tousu/show/id/1362401","豆豆钱暴力催收")</f>
      </c>
      <c r="C8648" t="s" s="2">
        <v>15</v>
      </c>
      <c r="D8648" t="s" s="2">
        <v>16</v>
      </c>
      <c r="E8648" t="s" s="2">
        <v>17</v>
      </c>
      <c r="F8648" t="s" s="2">
        <f>HYPERLINK("http://ts.21cn.com/tousu/show/id/1362401","http://ts.21cn.com/tousu/show/id/1362401")</f>
      </c>
      <c r="G8648" t="s" s="2">
        <v>17</v>
      </c>
      <c r="H8648" t="s" s="2">
        <v>19</v>
      </c>
      <c r="I8648" t="s" s="2">
        <v>33367</v>
      </c>
      <c r="J8648" t="s" s="2">
        <v>33368</v>
      </c>
      <c r="K8648" t="s" s="2">
        <v>22</v>
      </c>
      <c r="L8648" t="s" s="2">
        <v>22</v>
      </c>
      <c r="M8648" t="s" s="2">
        <v>22</v>
      </c>
    </row>
    <row r="8649" ht="25.0" customHeight="true">
      <c r="A8649" t="s" s="2">
        <v>13</v>
      </c>
      <c r="B8649" t="s" s="2">
        <f>HYPERLINK("http://ts.21cn.com/tousu/show/id/1362400","你我贷暴力催收")</f>
      </c>
      <c r="C8649" t="s" s="2">
        <v>15</v>
      </c>
      <c r="D8649" t="s" s="2">
        <v>16</v>
      </c>
      <c r="E8649" t="s" s="2">
        <v>17</v>
      </c>
      <c r="F8649" t="s" s="2">
        <f>HYPERLINK("http://ts.21cn.com/tousu/show/id/1362400","http://ts.21cn.com/tousu/show/id/1362400")</f>
      </c>
      <c r="G8649" t="s" s="2">
        <v>17</v>
      </c>
      <c r="H8649" t="s" s="2">
        <v>19</v>
      </c>
      <c r="I8649" t="s" s="2">
        <v>33370</v>
      </c>
      <c r="J8649" t="s" s="2">
        <v>33371</v>
      </c>
      <c r="K8649" t="s" s="2">
        <v>22</v>
      </c>
      <c r="L8649" t="s" s="2">
        <v>22</v>
      </c>
      <c r="M8649" t="s" s="2">
        <v>22</v>
      </c>
    </row>
    <row r="8650" ht="25.0" customHeight="true">
      <c r="A8650" t="s" s="2">
        <v>13</v>
      </c>
      <c r="B8650" t="s" s="2">
        <f>HYPERLINK("http://ts.21cn.com/tousu/show/id/1362396","小赢卡贷")</f>
      </c>
      <c r="C8650" t="s" s="2">
        <v>15</v>
      </c>
      <c r="D8650" t="s" s="2">
        <v>16</v>
      </c>
      <c r="E8650" t="s" s="2">
        <v>17</v>
      </c>
      <c r="F8650" t="s" s="2">
        <f>HYPERLINK("http://ts.21cn.com/tousu/show/id/1362396","http://ts.21cn.com/tousu/show/id/1362396")</f>
      </c>
      <c r="G8650" t="s" s="2">
        <v>17</v>
      </c>
      <c r="H8650" t="s" s="2">
        <v>19</v>
      </c>
      <c r="I8650" t="s" s="2">
        <v>33373</v>
      </c>
      <c r="J8650" t="s" s="2">
        <v>33374</v>
      </c>
      <c r="K8650" t="s" s="2">
        <v>22</v>
      </c>
      <c r="L8650" t="s" s="2">
        <v>22</v>
      </c>
      <c r="M8650" t="s" s="2">
        <v>22</v>
      </c>
    </row>
    <row r="8651" ht="25.0" customHeight="true">
      <c r="A8651" t="s" s="2">
        <v>13</v>
      </c>
      <c r="B8651" t="s" s="2">
        <f>HYPERLINK("http://ts.21cn.com/tousu/show/id/1362399","辱骂短信")</f>
      </c>
      <c r="C8651" t="s" s="2">
        <v>15</v>
      </c>
      <c r="D8651" t="s" s="2">
        <v>16</v>
      </c>
      <c r="E8651" t="s" s="2">
        <v>17</v>
      </c>
      <c r="F8651" t="s" s="2">
        <f>HYPERLINK("http://ts.21cn.com/tousu/show/id/1362399","http://ts.21cn.com/tousu/show/id/1362399")</f>
      </c>
      <c r="G8651" t="s" s="2">
        <v>17</v>
      </c>
      <c r="H8651" t="s" s="2">
        <v>19</v>
      </c>
      <c r="I8651" t="s" s="2">
        <v>33373</v>
      </c>
      <c r="J8651" t="s" s="2">
        <v>33377</v>
      </c>
      <c r="K8651" t="s" s="2">
        <v>22</v>
      </c>
      <c r="L8651" t="s" s="2">
        <v>22</v>
      </c>
      <c r="M8651" t="s" s="2">
        <v>22</v>
      </c>
    </row>
    <row r="8652" ht="25.0" customHeight="true">
      <c r="A8652" t="s" s="2">
        <v>13</v>
      </c>
      <c r="B8652" t="s" s="2">
        <f>HYPERLINK("http://ts.21cn.com/tousu/show/id/1362398","建设银行信用卡上门")</f>
      </c>
      <c r="C8652" t="s" s="2">
        <v>15</v>
      </c>
      <c r="D8652" t="s" s="2">
        <v>16</v>
      </c>
      <c r="E8652" t="s" s="2">
        <v>17</v>
      </c>
      <c r="F8652" t="s" s="2">
        <f>HYPERLINK("http://ts.21cn.com/tousu/show/id/1362398","http://ts.21cn.com/tousu/show/id/1362398")</f>
      </c>
      <c r="G8652" t="s" s="2">
        <v>17</v>
      </c>
      <c r="H8652" t="s" s="2">
        <v>19</v>
      </c>
      <c r="I8652" t="s" s="2">
        <v>33380</v>
      </c>
      <c r="J8652" t="s" s="2">
        <v>33381</v>
      </c>
      <c r="K8652" t="s" s="2">
        <v>22</v>
      </c>
      <c r="L8652" t="s" s="2">
        <v>22</v>
      </c>
      <c r="M8652" t="s" s="2">
        <v>22</v>
      </c>
    </row>
    <row r="8653" ht="25.0" customHeight="true">
      <c r="A8653" t="s" s="2">
        <v>13</v>
      </c>
      <c r="B8653" t="s" s="2">
        <f>HYPERLINK("http://ts.21cn.com/tousu/show/id/1362397","无缘无故没经过我同意从银行卡里面扣款")</f>
      </c>
      <c r="C8653" t="s" s="2">
        <v>52</v>
      </c>
      <c r="D8653" t="s" s="2">
        <v>16</v>
      </c>
      <c r="E8653" t="s" s="2">
        <v>17</v>
      </c>
      <c r="F8653" t="s" s="2">
        <f>HYPERLINK("http://ts.21cn.com/tousu/show/id/1362397","http://ts.21cn.com/tousu/show/id/1362397")</f>
      </c>
      <c r="G8653" t="s" s="2">
        <v>17</v>
      </c>
      <c r="H8653" t="s" s="2">
        <v>19</v>
      </c>
      <c r="I8653" t="s" s="2">
        <v>33384</v>
      </c>
      <c r="J8653" t="s" s="2">
        <v>33385</v>
      </c>
      <c r="K8653" t="s" s="2">
        <v>22</v>
      </c>
      <c r="L8653" t="s" s="2">
        <v>22</v>
      </c>
      <c r="M8653" t="s" s="2">
        <v>22</v>
      </c>
    </row>
    <row r="8654" ht="25.0" customHeight="true">
      <c r="A8654" t="s" s="2">
        <v>13</v>
      </c>
      <c r="B8654" t="s" s="2">
        <f>HYPERLINK("http://ts.21cn.com/tousu/show/id/1362395","对于小象优品轰炸通讯录，拒不承认的投诉")</f>
      </c>
      <c r="C8654" t="s" s="2">
        <v>15</v>
      </c>
      <c r="D8654" t="s" s="2">
        <v>16</v>
      </c>
      <c r="E8654" t="s" s="2">
        <v>17</v>
      </c>
      <c r="F8654" t="s" s="2">
        <f>HYPERLINK("http://ts.21cn.com/tousu/show/id/1362395","http://ts.21cn.com/tousu/show/id/1362395")</f>
      </c>
      <c r="G8654" t="s" s="2">
        <v>17</v>
      </c>
      <c r="H8654" t="s" s="2">
        <v>19</v>
      </c>
      <c r="I8654" t="s" s="2">
        <v>33388</v>
      </c>
      <c r="J8654" t="s" s="2">
        <v>33389</v>
      </c>
      <c r="K8654" t="s" s="2">
        <v>22</v>
      </c>
      <c r="L8654" t="s" s="2">
        <v>22</v>
      </c>
      <c r="M8654" t="s" s="2">
        <v>22</v>
      </c>
    </row>
    <row r="8655" ht="25.0" customHeight="true">
      <c r="A8655" t="s" s="2">
        <v>13</v>
      </c>
      <c r="B8655" t="s" s="2">
        <f>HYPERLINK("http://ts.21cn.com/tousu/show/id/1362403","逾期一天催收就开始打电话，威胁1小时内处理")</f>
      </c>
      <c r="C8655" t="s" s="2">
        <v>15</v>
      </c>
      <c r="D8655" t="s" s="2">
        <v>16</v>
      </c>
      <c r="E8655" t="s" s="2">
        <v>17</v>
      </c>
      <c r="F8655" t="s" s="2">
        <f>HYPERLINK("http://ts.21cn.com/tousu/show/id/1362403","http://ts.21cn.com/tousu/show/id/1362403")</f>
      </c>
      <c r="G8655" t="s" s="2">
        <v>17</v>
      </c>
      <c r="H8655" t="s" s="2">
        <v>19</v>
      </c>
      <c r="I8655" t="s" s="2">
        <v>33392</v>
      </c>
      <c r="J8655" t="s" s="2">
        <v>33393</v>
      </c>
      <c r="K8655" t="s" s="2">
        <v>22</v>
      </c>
      <c r="L8655" t="s" s="2">
        <v>22</v>
      </c>
      <c r="M8655" t="s" s="2">
        <v>22</v>
      </c>
    </row>
    <row r="8656" ht="25.0" customHeight="true">
      <c r="A8656" t="s" s="2">
        <v>13</v>
      </c>
      <c r="B8656" t="s" s="2">
        <f>HYPERLINK("http://ts.21cn.com/tousu/show/id/1362394","di di")</f>
      </c>
      <c r="C8656" t="s" s="2">
        <v>15</v>
      </c>
      <c r="D8656" t="s" s="2">
        <v>16</v>
      </c>
      <c r="E8656" t="s" s="2">
        <v>17</v>
      </c>
      <c r="F8656" t="s" s="2">
        <f>HYPERLINK("http://ts.21cn.com/tousu/show/id/1362394","http://ts.21cn.com/tousu/show/id/1362394")</f>
      </c>
      <c r="G8656" t="s" s="2">
        <v>17</v>
      </c>
      <c r="H8656" t="s" s="2">
        <v>19</v>
      </c>
      <c r="I8656" t="s" s="2">
        <v>33396</v>
      </c>
      <c r="J8656" t="s" s="2">
        <v>33397</v>
      </c>
      <c r="K8656" t="s" s="2">
        <v>22</v>
      </c>
      <c r="L8656" t="s" s="2">
        <v>22</v>
      </c>
      <c r="M8656" t="s" s="2">
        <v>22</v>
      </c>
    </row>
    <row r="8657" ht="25.0" customHeight="true">
      <c r="A8657" t="s" s="2">
        <v>13</v>
      </c>
      <c r="B8657" t="s" s="2">
        <f>HYPERLINK("http://ts.21cn.com/tousu/show/id/1362393","维信金科")</f>
      </c>
      <c r="C8657" t="s" s="2">
        <v>15</v>
      </c>
      <c r="D8657" t="s" s="2">
        <v>16</v>
      </c>
      <c r="E8657" t="s" s="2">
        <v>17</v>
      </c>
      <c r="F8657" t="s" s="2">
        <f>HYPERLINK("http://ts.21cn.com/tousu/show/id/1362393","http://ts.21cn.com/tousu/show/id/1362393")</f>
      </c>
      <c r="G8657" t="s" s="2">
        <v>17</v>
      </c>
      <c r="H8657" t="s" s="2">
        <v>19</v>
      </c>
      <c r="I8657" t="s" s="2">
        <v>33399</v>
      </c>
      <c r="J8657" t="s" s="2">
        <v>33400</v>
      </c>
      <c r="K8657" t="s" s="2">
        <v>22</v>
      </c>
      <c r="L8657" t="s" s="2">
        <v>22</v>
      </c>
      <c r="M8657" t="s" s="2">
        <v>22</v>
      </c>
    </row>
    <row r="8658" ht="25.0" customHeight="true">
      <c r="A8658" t="s" s="2">
        <v>13</v>
      </c>
      <c r="B8658" t="s" s="2">
        <f>HYPERLINK("http://ts.21cn.com/tousu/show/id/1360824","遭广州银联网络支付公司盗款")</f>
      </c>
      <c r="C8658" t="s" s="2">
        <v>15</v>
      </c>
      <c r="D8658" t="s" s="2">
        <v>16</v>
      </c>
      <c r="E8658" t="s" s="2">
        <v>17</v>
      </c>
      <c r="F8658" t="s" s="2">
        <f>HYPERLINK("http://ts.21cn.com/tousu/show/id/1360824","http://ts.21cn.com/tousu/show/id/1360824")</f>
      </c>
      <c r="G8658" t="s" s="2">
        <v>17</v>
      </c>
      <c r="H8658" t="s" s="2">
        <v>19</v>
      </c>
      <c r="I8658" t="s" s="2">
        <v>33403</v>
      </c>
      <c r="J8658" t="s" s="2">
        <v>33404</v>
      </c>
      <c r="K8658" t="s" s="2">
        <v>22</v>
      </c>
      <c r="L8658" t="s" s="2">
        <v>22</v>
      </c>
      <c r="M8658" t="s" s="2">
        <v>22</v>
      </c>
    </row>
    <row r="8659" ht="25.0" customHeight="true">
      <c r="A8659" t="s" s="2">
        <v>13</v>
      </c>
      <c r="B8659" t="s" s="2">
        <f>HYPERLINK("http://ts.21cn.com/tousu/show/id/1362391","钱站是高利贷，阴阳合同")</f>
      </c>
      <c r="C8659" t="s" s="2">
        <v>15</v>
      </c>
      <c r="D8659" t="s" s="2">
        <v>16</v>
      </c>
      <c r="E8659" t="s" s="2">
        <v>17</v>
      </c>
      <c r="F8659" t="s" s="2">
        <f>HYPERLINK("http://ts.21cn.com/tousu/show/id/1362391","http://ts.21cn.com/tousu/show/id/1362391")</f>
      </c>
      <c r="G8659" t="s" s="2">
        <v>17</v>
      </c>
      <c r="H8659" t="s" s="2">
        <v>19</v>
      </c>
      <c r="I8659" t="s" s="2">
        <v>33407</v>
      </c>
      <c r="J8659" t="s" s="2">
        <v>33408</v>
      </c>
      <c r="K8659" t="s" s="2">
        <v>22</v>
      </c>
      <c r="L8659" t="s" s="2">
        <v>22</v>
      </c>
      <c r="M8659" t="s" s="2">
        <v>22</v>
      </c>
    </row>
    <row r="8660" ht="25.0" customHeight="true">
      <c r="A8660" t="s" s="2">
        <v>13</v>
      </c>
      <c r="B8660" t="s" s="2">
        <f>HYPERLINK("http://ts.21cn.com/tousu/show/id/1362390","北京有缘科技股份有限公司未经本人允许从我支付宝扣款")</f>
      </c>
      <c r="C8660" t="s" s="2">
        <v>52</v>
      </c>
      <c r="D8660" t="s" s="2">
        <v>16</v>
      </c>
      <c r="E8660" t="s" s="2">
        <v>17</v>
      </c>
      <c r="F8660" t="s" s="2">
        <f>HYPERLINK("http://ts.21cn.com/tousu/show/id/1362390","http://ts.21cn.com/tousu/show/id/1362390")</f>
      </c>
      <c r="G8660" t="s" s="2">
        <v>17</v>
      </c>
      <c r="H8660" t="s" s="2">
        <v>19</v>
      </c>
      <c r="I8660" t="s" s="2">
        <v>33411</v>
      </c>
      <c r="J8660" t="s" s="2">
        <v>33412</v>
      </c>
      <c r="K8660" t="s" s="2">
        <v>22</v>
      </c>
      <c r="L8660" t="s" s="2">
        <v>22</v>
      </c>
      <c r="M8660" t="s" s="2">
        <v>22</v>
      </c>
    </row>
    <row r="8661" ht="25.0" customHeight="true">
      <c r="A8661" t="s" s="2">
        <v>13</v>
      </c>
      <c r="B8661" t="s" s="2">
        <f>HYPERLINK("http://ts.21cn.com/tousu/show/id/1362389","还呗公司态度不好威胁我")</f>
      </c>
      <c r="C8661" t="s" s="2">
        <v>15</v>
      </c>
      <c r="D8661" t="s" s="2">
        <v>16</v>
      </c>
      <c r="E8661" t="s" s="2">
        <v>17</v>
      </c>
      <c r="F8661" t="s" s="2">
        <f>HYPERLINK("http://ts.21cn.com/tousu/show/id/1362389","http://ts.21cn.com/tousu/show/id/1362389")</f>
      </c>
      <c r="G8661" t="s" s="2">
        <v>17</v>
      </c>
      <c r="H8661" t="s" s="2">
        <v>19</v>
      </c>
      <c r="I8661" t="s" s="2">
        <v>33415</v>
      </c>
      <c r="J8661" t="s" s="2">
        <v>33416</v>
      </c>
      <c r="K8661" t="s" s="2">
        <v>22</v>
      </c>
      <c r="L8661" t="s" s="2">
        <v>22</v>
      </c>
      <c r="M8661" t="s" s="2">
        <v>22</v>
      </c>
    </row>
    <row r="8662" ht="25.0" customHeight="true">
      <c r="A8662" t="s" s="2">
        <v>13</v>
      </c>
      <c r="B8662" t="s" s="2">
        <f>HYPERLINK("http://ts.21cn.com/tousu/show/id/1362388","51人品贷收高额利息费用")</f>
      </c>
      <c r="C8662" t="s" s="2">
        <v>15</v>
      </c>
      <c r="D8662" t="s" s="2">
        <v>16</v>
      </c>
      <c r="E8662" t="s" s="2">
        <v>17</v>
      </c>
      <c r="F8662" t="s" s="2">
        <f>HYPERLINK("http://ts.21cn.com/tousu/show/id/1362388","http://ts.21cn.com/tousu/show/id/1362388")</f>
      </c>
      <c r="G8662" t="s" s="2">
        <v>17</v>
      </c>
      <c r="H8662" t="s" s="2">
        <v>19</v>
      </c>
      <c r="I8662" t="s" s="2">
        <v>33419</v>
      </c>
      <c r="J8662" t="s" s="2">
        <v>33420</v>
      </c>
      <c r="K8662" t="s" s="2">
        <v>22</v>
      </c>
      <c r="L8662" t="s" s="2">
        <v>22</v>
      </c>
      <c r="M8662" t="s" s="2">
        <v>22</v>
      </c>
    </row>
    <row r="8663" ht="25.0" customHeight="true">
      <c r="A8663" t="s" s="2">
        <v>13</v>
      </c>
      <c r="B8663" t="s" s="2">
        <f>HYPERLINK("http://ts.21cn.com/tousu/show/id/1362387","恐吓高利贷砍头息电话威胁")</f>
      </c>
      <c r="C8663" t="s" s="2">
        <v>15</v>
      </c>
      <c r="D8663" t="s" s="2">
        <v>16</v>
      </c>
      <c r="E8663" t="s" s="2">
        <v>17</v>
      </c>
      <c r="F8663" t="s" s="2">
        <f>HYPERLINK("http://ts.21cn.com/tousu/show/id/1362387","http://ts.21cn.com/tousu/show/id/1362387")</f>
      </c>
      <c r="G8663" t="s" s="2">
        <v>17</v>
      </c>
      <c r="H8663" t="s" s="2">
        <v>19</v>
      </c>
      <c r="I8663" t="s" s="2">
        <v>33423</v>
      </c>
      <c r="J8663" t="s" s="2">
        <v>33424</v>
      </c>
      <c r="K8663" t="s" s="2">
        <v>22</v>
      </c>
      <c r="L8663" t="s" s="2">
        <v>22</v>
      </c>
      <c r="M8663" t="s" s="2">
        <v>22</v>
      </c>
    </row>
    <row r="8664" ht="25.0" customHeight="true">
      <c r="A8664" t="s" s="2">
        <v>13</v>
      </c>
      <c r="B8664" t="s" s="2">
        <f>HYPERLINK("http://ts.21cn.com/tousu/show/id/1362386","闪银奇异暴力催收")</f>
      </c>
      <c r="C8664" t="s" s="2">
        <v>15</v>
      </c>
      <c r="D8664" t="s" s="2">
        <v>16</v>
      </c>
      <c r="E8664" t="s" s="2">
        <v>17</v>
      </c>
      <c r="F8664" t="s" s="2">
        <f>HYPERLINK("http://ts.21cn.com/tousu/show/id/1362386","http://ts.21cn.com/tousu/show/id/1362386")</f>
      </c>
      <c r="G8664" t="s" s="2">
        <v>17</v>
      </c>
      <c r="H8664" t="s" s="2">
        <v>19</v>
      </c>
      <c r="I8664" t="s" s="2">
        <v>33426</v>
      </c>
      <c r="J8664" t="s" s="2">
        <v>33427</v>
      </c>
      <c r="K8664" t="s" s="2">
        <v>22</v>
      </c>
      <c r="L8664" t="s" s="2">
        <v>22</v>
      </c>
      <c r="M8664" t="s" s="2">
        <v>22</v>
      </c>
    </row>
    <row r="8665" ht="25.0" customHeight="true">
      <c r="A8665" t="s" s="2">
        <v>13</v>
      </c>
      <c r="B8665" t="s" s="2">
        <f>HYPERLINK("http://ts.21cn.com/tousu/show/id/1362385","广发信用卡暴力催收")</f>
      </c>
      <c r="C8665" t="s" s="2">
        <v>15</v>
      </c>
      <c r="D8665" t="s" s="2">
        <v>16</v>
      </c>
      <c r="E8665" t="s" s="2">
        <v>17</v>
      </c>
      <c r="F8665" t="s" s="2">
        <f>HYPERLINK("http://ts.21cn.com/tousu/show/id/1362385","http://ts.21cn.com/tousu/show/id/1362385")</f>
      </c>
      <c r="G8665" t="s" s="2">
        <v>17</v>
      </c>
      <c r="H8665" t="s" s="2">
        <v>19</v>
      </c>
      <c r="I8665" t="s" s="2">
        <v>33430</v>
      </c>
      <c r="J8665" t="s" s="2">
        <v>33431</v>
      </c>
      <c r="K8665" t="s" s="2">
        <v>22</v>
      </c>
      <c r="L8665" t="s" s="2">
        <v>22</v>
      </c>
      <c r="M8665" t="s" s="2">
        <v>22</v>
      </c>
    </row>
    <row r="8666" ht="25.0" customHeight="true">
      <c r="A8666" t="s" s="2">
        <v>13</v>
      </c>
      <c r="B8666" t="s" s="2">
        <f>HYPERLINK("http://ts.21cn.com/tousu/show/id/1362384","洋钱罐未经我本人同意私自打我通讯录联系人")</f>
      </c>
      <c r="C8666" t="s" s="2">
        <v>15</v>
      </c>
      <c r="D8666" t="s" s="2">
        <v>16</v>
      </c>
      <c r="E8666" t="s" s="2">
        <v>17</v>
      </c>
      <c r="F8666" t="s" s="2">
        <f>HYPERLINK("http://ts.21cn.com/tousu/show/id/1362384","http://ts.21cn.com/tousu/show/id/1362384")</f>
      </c>
      <c r="G8666" t="s" s="2">
        <v>17</v>
      </c>
      <c r="H8666" t="s" s="2">
        <v>19</v>
      </c>
      <c r="I8666" t="s" s="2">
        <v>33434</v>
      </c>
      <c r="J8666" t="s" s="2">
        <v>33435</v>
      </c>
      <c r="K8666" t="s" s="2">
        <v>22</v>
      </c>
      <c r="L8666" t="s" s="2">
        <v>22</v>
      </c>
      <c r="M8666" t="s" s="2">
        <v>22</v>
      </c>
    </row>
    <row r="8667" ht="25.0" customHeight="true">
      <c r="A8667" t="s" s="2">
        <v>13</v>
      </c>
      <c r="B8667" t="s" s="2">
        <f>HYPERLINK("http://ts.21cn.com/tousu/show/id/1362383","百付宝（还我血汗钱）")</f>
      </c>
      <c r="C8667" t="s" s="2">
        <v>15</v>
      </c>
      <c r="D8667" t="s" s="2">
        <v>16</v>
      </c>
      <c r="E8667" t="s" s="2">
        <v>17</v>
      </c>
      <c r="F8667" t="s" s="2">
        <f>HYPERLINK("http://ts.21cn.com/tousu/show/id/1362383","http://ts.21cn.com/tousu/show/id/1362383")</f>
      </c>
      <c r="G8667" t="s" s="2">
        <v>17</v>
      </c>
      <c r="H8667" t="s" s="2">
        <v>19</v>
      </c>
      <c r="I8667" t="s" s="2">
        <v>33438</v>
      </c>
      <c r="J8667" t="s" s="2">
        <v>33439</v>
      </c>
      <c r="K8667" t="s" s="2">
        <v>22</v>
      </c>
      <c r="L8667" t="s" s="2">
        <v>22</v>
      </c>
      <c r="M8667" t="s" s="2">
        <v>22</v>
      </c>
    </row>
    <row r="8668" ht="25.0" customHeight="true">
      <c r="A8668" t="s" s="2">
        <v>13</v>
      </c>
      <c r="B8668" t="s" s="2">
        <f>HYPERLINK("http://ts.21cn.com/tousu/show/id/1362382","半个月不下款还扣款，退费无门槛优惠券")</f>
      </c>
      <c r="C8668" t="s" s="2">
        <v>52</v>
      </c>
      <c r="D8668" t="s" s="2">
        <v>16</v>
      </c>
      <c r="E8668" t="s" s="2">
        <v>17</v>
      </c>
      <c r="F8668" t="s" s="2">
        <f>HYPERLINK("http://ts.21cn.com/tousu/show/id/1362382","http://ts.21cn.com/tousu/show/id/1362382")</f>
      </c>
      <c r="G8668" t="s" s="2">
        <v>17</v>
      </c>
      <c r="H8668" t="s" s="2">
        <v>19</v>
      </c>
      <c r="I8668" t="s" s="2">
        <v>33442</v>
      </c>
      <c r="J8668" t="s" s="2">
        <v>33443</v>
      </c>
      <c r="K8668" t="s" s="2">
        <v>22</v>
      </c>
      <c r="L8668" t="s" s="2">
        <v>22</v>
      </c>
      <c r="M8668" t="s" s="2">
        <v>22</v>
      </c>
    </row>
    <row r="8669" ht="25.0" customHeight="true">
      <c r="A8669" t="s" s="2">
        <v>13</v>
      </c>
      <c r="B8669" t="s" s="2">
        <f>HYPERLINK("http://ts.21cn.com/tousu/show/id/1362379","现金巴士高逾期费以及暴力催收")</f>
      </c>
      <c r="C8669" t="s" s="2">
        <v>15</v>
      </c>
      <c r="D8669" t="s" s="2">
        <v>16</v>
      </c>
      <c r="E8669" t="s" s="2">
        <v>17</v>
      </c>
      <c r="F8669" t="s" s="2">
        <f>HYPERLINK("http://ts.21cn.com/tousu/show/id/1362379","http://ts.21cn.com/tousu/show/id/1362379")</f>
      </c>
      <c r="G8669" t="s" s="2">
        <v>17</v>
      </c>
      <c r="H8669" t="s" s="2">
        <v>19</v>
      </c>
      <c r="I8669" t="s" s="2">
        <v>33446</v>
      </c>
      <c r="J8669" t="s" s="2">
        <v>33447</v>
      </c>
      <c r="K8669" t="s" s="2">
        <v>22</v>
      </c>
      <c r="L8669" t="s" s="2">
        <v>22</v>
      </c>
      <c r="M8669" t="s" s="2">
        <v>22</v>
      </c>
    </row>
    <row r="8670" ht="25.0" customHeight="true">
      <c r="A8670" t="s" s="2">
        <v>13</v>
      </c>
      <c r="B8670" t="s" s="2">
        <f>HYPERLINK("http://ts.21cn.com/tousu/show/id/1362381","套路贷，高利贷")</f>
      </c>
      <c r="C8670" t="s" s="2">
        <v>15</v>
      </c>
      <c r="D8670" t="s" s="2">
        <v>16</v>
      </c>
      <c r="E8670" t="s" s="2">
        <v>17</v>
      </c>
      <c r="F8670" t="s" s="2">
        <f>HYPERLINK("http://ts.21cn.com/tousu/show/id/1362381","http://ts.21cn.com/tousu/show/id/1362381")</f>
      </c>
      <c r="G8670" t="s" s="2">
        <v>17</v>
      </c>
      <c r="H8670" t="s" s="2">
        <v>19</v>
      </c>
      <c r="I8670" t="s" s="2">
        <v>33449</v>
      </c>
      <c r="J8670" t="s" s="2">
        <v>33450</v>
      </c>
      <c r="K8670" t="s" s="2">
        <v>22</v>
      </c>
      <c r="L8670" t="s" s="2">
        <v>22</v>
      </c>
      <c r="M8670" t="s" s="2">
        <v>22</v>
      </c>
    </row>
    <row r="8671" ht="25.0" customHeight="true">
      <c r="A8671" t="s" s="2">
        <v>13</v>
      </c>
      <c r="B8671" t="s" s="2">
        <f>HYPERLINK("http://ts.21cn.com/tousu/show/id/1362377","分期通恶意收取会员费用")</f>
      </c>
      <c r="C8671" t="s" s="2">
        <v>15</v>
      </c>
      <c r="D8671" t="s" s="2">
        <v>16</v>
      </c>
      <c r="E8671" t="s" s="2">
        <v>17</v>
      </c>
      <c r="F8671" t="s" s="2">
        <f>HYPERLINK("http://ts.21cn.com/tousu/show/id/1362377","http://ts.21cn.com/tousu/show/id/1362377")</f>
      </c>
      <c r="G8671" t="s" s="2">
        <v>17</v>
      </c>
      <c r="H8671" t="s" s="2">
        <v>19</v>
      </c>
      <c r="I8671" t="s" s="2">
        <v>33452</v>
      </c>
      <c r="J8671" t="s" s="2">
        <v>33453</v>
      </c>
      <c r="K8671" t="s" s="2">
        <v>22</v>
      </c>
      <c r="L8671" t="s" s="2">
        <v>22</v>
      </c>
      <c r="M8671" t="s" s="2">
        <v>22</v>
      </c>
    </row>
    <row r="8672" ht="25.0" customHeight="true">
      <c r="A8672" t="s" s="2">
        <v>13</v>
      </c>
      <c r="B8672" t="s" s="2">
        <f>HYPERLINK("http://ts.21cn.com/tousu/show/id/1362378","微贷多米贷私自扣款")</f>
      </c>
      <c r="C8672" t="s" s="2">
        <v>15</v>
      </c>
      <c r="D8672" t="s" s="2">
        <v>16</v>
      </c>
      <c r="E8672" t="s" s="2">
        <v>17</v>
      </c>
      <c r="F8672" t="s" s="2">
        <f>HYPERLINK("http://ts.21cn.com/tousu/show/id/1362378","http://ts.21cn.com/tousu/show/id/1362378")</f>
      </c>
      <c r="G8672" t="s" s="2">
        <v>17</v>
      </c>
      <c r="H8672" t="s" s="2">
        <v>19</v>
      </c>
      <c r="I8672" t="s" s="2">
        <v>33456</v>
      </c>
      <c r="J8672" t="s" s="2">
        <v>33457</v>
      </c>
      <c r="K8672" t="s" s="2">
        <v>22</v>
      </c>
      <c r="L8672" t="s" s="2">
        <v>22</v>
      </c>
      <c r="M8672" t="s" s="2">
        <v>22</v>
      </c>
    </row>
    <row r="8673" ht="25.0" customHeight="true">
      <c r="A8673" t="s" s="2">
        <v>13</v>
      </c>
      <c r="B8673" t="s" s="2">
        <f>HYPERLINK("http://ts.21cn.com/tousu/show/id/1362376","高利贷骚扰公司及亲友")</f>
      </c>
      <c r="C8673" t="s" s="2">
        <v>15</v>
      </c>
      <c r="D8673" t="s" s="2">
        <v>16</v>
      </c>
      <c r="E8673" t="s" s="2">
        <v>17</v>
      </c>
      <c r="F8673" t="s" s="2">
        <f>HYPERLINK("http://ts.21cn.com/tousu/show/id/1362376","http://ts.21cn.com/tousu/show/id/1362376")</f>
      </c>
      <c r="G8673" t="s" s="2">
        <v>17</v>
      </c>
      <c r="H8673" t="s" s="2">
        <v>19</v>
      </c>
      <c r="I8673" t="s" s="2">
        <v>33460</v>
      </c>
      <c r="J8673" t="s" s="2">
        <v>33461</v>
      </c>
      <c r="K8673" t="s" s="2">
        <v>22</v>
      </c>
      <c r="L8673" t="s" s="2">
        <v>22</v>
      </c>
      <c r="M8673" t="s" s="2">
        <v>22</v>
      </c>
    </row>
    <row r="8674" ht="25.0" customHeight="true">
      <c r="A8674" t="s" s="2">
        <v>13</v>
      </c>
      <c r="B8674" t="s" s="2">
        <f>HYPERLINK("http://ts.21cn.com/tousu/show/id/1362373","来电共享充电宝无良商家")</f>
      </c>
      <c r="C8674" t="s" s="2">
        <v>15</v>
      </c>
      <c r="D8674" t="s" s="2">
        <v>16</v>
      </c>
      <c r="E8674" t="s" s="2">
        <v>17</v>
      </c>
      <c r="F8674" t="s" s="2">
        <f>HYPERLINK("http://ts.21cn.com/tousu/show/id/1362373","http://ts.21cn.com/tousu/show/id/1362373")</f>
      </c>
      <c r="G8674" t="s" s="2">
        <v>17</v>
      </c>
      <c r="H8674" t="s" s="2">
        <v>19</v>
      </c>
      <c r="I8674" t="s" s="2">
        <v>33464</v>
      </c>
      <c r="J8674" t="s" s="2">
        <v>33465</v>
      </c>
      <c r="K8674" t="s" s="2">
        <v>22</v>
      </c>
      <c r="L8674" t="s" s="2">
        <v>22</v>
      </c>
      <c r="M8674" t="s" s="2">
        <v>22</v>
      </c>
    </row>
    <row r="8675" ht="25.0" customHeight="true">
      <c r="A8675" t="s" s="2">
        <v>13</v>
      </c>
      <c r="B8675" t="s" s="2">
        <f>HYPERLINK("http://ts.21cn.com/tousu/show/id/1362374","及贷收取高额利息逾期恐吓威胁")</f>
      </c>
      <c r="C8675" t="s" s="2">
        <v>15</v>
      </c>
      <c r="D8675" t="s" s="2">
        <v>16</v>
      </c>
      <c r="E8675" t="s" s="2">
        <v>17</v>
      </c>
      <c r="F8675" t="s" s="2">
        <f>HYPERLINK("http://ts.21cn.com/tousu/show/id/1362374","http://ts.21cn.com/tousu/show/id/1362374")</f>
      </c>
      <c r="G8675" t="s" s="2">
        <v>17</v>
      </c>
      <c r="H8675" t="s" s="2">
        <v>19</v>
      </c>
      <c r="I8675" t="s" s="2">
        <v>33468</v>
      </c>
      <c r="J8675" t="s" s="2">
        <v>33469</v>
      </c>
      <c r="K8675" t="s" s="2">
        <v>22</v>
      </c>
      <c r="L8675" t="s" s="2">
        <v>22</v>
      </c>
      <c r="M8675" t="s" s="2">
        <v>22</v>
      </c>
    </row>
    <row r="8676" ht="25.0" customHeight="true">
      <c r="A8676" t="s" s="2">
        <v>13</v>
      </c>
      <c r="B8676" t="s" s="2">
        <f>HYPERLINK("http://ts.21cn.com/tousu/show/id/1362371","暴力催收！恶语伤人！恐吓威胁！")</f>
      </c>
      <c r="C8676" t="s" s="2">
        <v>15</v>
      </c>
      <c r="D8676" t="s" s="2">
        <v>16</v>
      </c>
      <c r="E8676" t="s" s="2">
        <v>17</v>
      </c>
      <c r="F8676" t="s" s="2">
        <f>HYPERLINK("http://ts.21cn.com/tousu/show/id/1362371","http://ts.21cn.com/tousu/show/id/1362371")</f>
      </c>
      <c r="G8676" t="s" s="2">
        <v>17</v>
      </c>
      <c r="H8676" t="s" s="2">
        <v>19</v>
      </c>
      <c r="I8676" t="s" s="2">
        <v>33472</v>
      </c>
      <c r="J8676" t="s" s="2">
        <v>33473</v>
      </c>
      <c r="K8676" t="s" s="2">
        <v>22</v>
      </c>
      <c r="L8676" t="s" s="2">
        <v>22</v>
      </c>
      <c r="M8676" t="s" s="2">
        <v>22</v>
      </c>
    </row>
    <row r="8677" ht="25.0" customHeight="true">
      <c r="A8677" t="s" s="2">
        <v>13</v>
      </c>
      <c r="B8677" t="s" s="2">
        <f>HYPERLINK("http://ts.21cn.com/tousu/show/id/1362372","哆咪黑卡诱导他人借款激活申请后自动免密扣款199元")</f>
      </c>
      <c r="C8677" t="s" s="2">
        <v>15</v>
      </c>
      <c r="D8677" t="s" s="2">
        <v>16</v>
      </c>
      <c r="E8677" t="s" s="2">
        <v>17</v>
      </c>
      <c r="F8677" t="s" s="2">
        <f>HYPERLINK("http://ts.21cn.com/tousu/show/id/1362372","http://ts.21cn.com/tousu/show/id/1362372")</f>
      </c>
      <c r="G8677" t="s" s="2">
        <v>17</v>
      </c>
      <c r="H8677" t="s" s="2">
        <v>19</v>
      </c>
      <c r="I8677" t="s" s="2">
        <v>33475</v>
      </c>
      <c r="J8677" t="s" s="2">
        <v>33476</v>
      </c>
      <c r="K8677" t="s" s="2">
        <v>22</v>
      </c>
      <c r="L8677" t="s" s="2">
        <v>22</v>
      </c>
      <c r="M8677" t="s" s="2">
        <v>22</v>
      </c>
    </row>
    <row r="8678" ht="25.0" customHeight="true">
      <c r="A8678" t="s" s="2">
        <v>13</v>
      </c>
      <c r="B8678" t="s" s="2">
        <f>HYPERLINK("http://ts.21cn.com/tousu/show/id/1362368","基于您的历史交易行为综合判断，您本次理赔申请不符合运费险赔付标准")</f>
      </c>
      <c r="C8678" t="s" s="2">
        <v>15</v>
      </c>
      <c r="D8678" t="s" s="2">
        <v>16</v>
      </c>
      <c r="E8678" t="s" s="2">
        <v>17</v>
      </c>
      <c r="F8678" t="s" s="2">
        <f>HYPERLINK("http://ts.21cn.com/tousu/show/id/1362368","http://ts.21cn.com/tousu/show/id/1362368")</f>
      </c>
      <c r="G8678" t="s" s="2">
        <v>17</v>
      </c>
      <c r="H8678" t="s" s="2">
        <v>19</v>
      </c>
      <c r="I8678" t="s" s="2">
        <v>33479</v>
      </c>
      <c r="J8678" t="s" s="2">
        <v>33480</v>
      </c>
      <c r="K8678" t="s" s="2">
        <v>22</v>
      </c>
      <c r="L8678" t="s" s="2">
        <v>22</v>
      </c>
      <c r="M8678" t="s" s="2">
        <v>22</v>
      </c>
    </row>
    <row r="8679" ht="25.0" customHeight="true">
      <c r="A8679" t="s" s="2">
        <v>13</v>
      </c>
      <c r="B8679" t="s" s="2">
        <f>HYPERLINK("http://ts.21cn.com/tousu/show/id/1362367","闪银销账")</f>
      </c>
      <c r="C8679" t="s" s="2">
        <v>52</v>
      </c>
      <c r="D8679" t="s" s="2">
        <v>16</v>
      </c>
      <c r="E8679" t="s" s="2">
        <v>17</v>
      </c>
      <c r="F8679" t="s" s="2">
        <f>HYPERLINK("http://ts.21cn.com/tousu/show/id/1362367","http://ts.21cn.com/tousu/show/id/1362367")</f>
      </c>
      <c r="G8679" t="s" s="2">
        <v>17</v>
      </c>
      <c r="H8679" t="s" s="2">
        <v>19</v>
      </c>
      <c r="I8679" t="s" s="2">
        <v>33483</v>
      </c>
      <c r="J8679" t="s" s="2">
        <v>33484</v>
      </c>
      <c r="K8679" t="s" s="2">
        <v>22</v>
      </c>
      <c r="L8679" t="s" s="2">
        <v>22</v>
      </c>
      <c r="M8679" t="s" s="2">
        <v>22</v>
      </c>
    </row>
    <row r="8680" ht="25.0" customHeight="true">
      <c r="A8680" t="s" s="2">
        <v>13</v>
      </c>
      <c r="B8680" t="s" s="2">
        <f>HYPERLINK("http://ts.21cn.com/tousu/show/id/1362366","梧桐诚选大肆折让老百姓血汗钱")</f>
      </c>
      <c r="C8680" t="s" s="2">
        <v>15</v>
      </c>
      <c r="D8680" t="s" s="2">
        <v>16</v>
      </c>
      <c r="E8680" t="s" s="2">
        <v>17</v>
      </c>
      <c r="F8680" t="s" s="2">
        <f>HYPERLINK("http://ts.21cn.com/tousu/show/id/1362366","http://ts.21cn.com/tousu/show/id/1362366")</f>
      </c>
      <c r="G8680" t="s" s="2">
        <v>17</v>
      </c>
      <c r="H8680" t="s" s="2">
        <v>19</v>
      </c>
      <c r="I8680" t="s" s="2">
        <v>33486</v>
      </c>
      <c r="J8680" t="s" s="2">
        <v>33487</v>
      </c>
      <c r="K8680" t="s" s="2">
        <v>22</v>
      </c>
      <c r="L8680" t="s" s="2">
        <v>22</v>
      </c>
      <c r="M8680" t="s" s="2">
        <v>22</v>
      </c>
    </row>
    <row r="8681" ht="25.0" customHeight="true">
      <c r="A8681" t="s" s="2">
        <v>13</v>
      </c>
      <c r="B8681" t="s" s="2">
        <f>HYPERLINK("http://ts.21cn.com/tousu/show/id/1362365","宜人贷高利贷阴阳合同")</f>
      </c>
      <c r="C8681" t="s" s="2">
        <v>15</v>
      </c>
      <c r="D8681" t="s" s="2">
        <v>16</v>
      </c>
      <c r="E8681" t="s" s="2">
        <v>17</v>
      </c>
      <c r="F8681" t="s" s="2">
        <f>HYPERLINK("http://ts.21cn.com/tousu/show/id/1362365","http://ts.21cn.com/tousu/show/id/1362365")</f>
      </c>
      <c r="G8681" t="s" s="2">
        <v>17</v>
      </c>
      <c r="H8681" t="s" s="2">
        <v>19</v>
      </c>
      <c r="I8681" t="s" s="2">
        <v>33490</v>
      </c>
      <c r="J8681" t="s" s="2">
        <v>33491</v>
      </c>
      <c r="K8681" t="s" s="2">
        <v>22</v>
      </c>
      <c r="L8681" t="s" s="2">
        <v>22</v>
      </c>
      <c r="M8681" t="s" s="2">
        <v>22</v>
      </c>
    </row>
    <row r="8682" ht="25.0" customHeight="true">
      <c r="A8682" t="s" s="2">
        <v>13</v>
      </c>
      <c r="B8682" t="s" s="2">
        <f>HYPERLINK("http://ts.21cn.com/tousu/show/id/1362364","招联金融威胁爆通讯录")</f>
      </c>
      <c r="C8682" t="s" s="2">
        <v>15</v>
      </c>
      <c r="D8682" t="s" s="2">
        <v>16</v>
      </c>
      <c r="E8682" t="s" s="2">
        <v>17</v>
      </c>
      <c r="F8682" t="s" s="2">
        <f>HYPERLINK("http://ts.21cn.com/tousu/show/id/1362364","http://ts.21cn.com/tousu/show/id/1362364")</f>
      </c>
      <c r="G8682" t="s" s="2">
        <v>17</v>
      </c>
      <c r="H8682" t="s" s="2">
        <v>19</v>
      </c>
      <c r="I8682" t="s" s="2">
        <v>33494</v>
      </c>
      <c r="J8682" t="s" s="2">
        <v>33495</v>
      </c>
      <c r="K8682" t="s" s="2">
        <v>22</v>
      </c>
      <c r="L8682" t="s" s="2">
        <v>22</v>
      </c>
      <c r="M8682" t="s" s="2">
        <v>22</v>
      </c>
    </row>
    <row r="8683" ht="25.0" customHeight="true">
      <c r="A8683" t="s" s="2">
        <v>13</v>
      </c>
      <c r="B8683" t="s" s="2">
        <f>HYPERLINK("http://ts.21cn.com/tousu/show/id/1362361","虫虫快借高利贷")</f>
      </c>
      <c r="C8683" t="s" s="2">
        <v>15</v>
      </c>
      <c r="D8683" t="s" s="2">
        <v>16</v>
      </c>
      <c r="E8683" t="s" s="2">
        <v>17</v>
      </c>
      <c r="F8683" t="s" s="2">
        <f>HYPERLINK("http://ts.21cn.com/tousu/show/id/1362361","http://ts.21cn.com/tousu/show/id/1362361")</f>
      </c>
      <c r="G8683" t="s" s="2">
        <v>17</v>
      </c>
      <c r="H8683" t="s" s="2">
        <v>19</v>
      </c>
      <c r="I8683" t="s" s="2">
        <v>33497</v>
      </c>
      <c r="J8683" t="s" s="2">
        <v>33498</v>
      </c>
      <c r="K8683" t="s" s="2">
        <v>22</v>
      </c>
      <c r="L8683" t="s" s="2">
        <v>22</v>
      </c>
      <c r="M8683" t="s" s="2">
        <v>22</v>
      </c>
    </row>
    <row r="8684" ht="25.0" customHeight="true">
      <c r="A8684" t="s" s="2">
        <v>13</v>
      </c>
      <c r="B8684" t="s" s="2">
        <f>HYPERLINK("http://ts.21cn.com/tousu/show/id/1362360","小赢卡贷威胁骚扰本人通讯录联系人")</f>
      </c>
      <c r="C8684" t="s" s="2">
        <v>15</v>
      </c>
      <c r="D8684" t="s" s="2">
        <v>16</v>
      </c>
      <c r="E8684" t="s" s="2">
        <v>17</v>
      </c>
      <c r="F8684" t="s" s="2">
        <f>HYPERLINK("http://ts.21cn.com/tousu/show/id/1362360","http://ts.21cn.com/tousu/show/id/1362360")</f>
      </c>
      <c r="G8684" t="s" s="2">
        <v>17</v>
      </c>
      <c r="H8684" t="s" s="2">
        <v>19</v>
      </c>
      <c r="I8684" t="s" s="2">
        <v>33497</v>
      </c>
      <c r="J8684" t="s" s="2">
        <v>33501</v>
      </c>
      <c r="K8684" t="s" s="2">
        <v>22</v>
      </c>
      <c r="L8684" t="s" s="2">
        <v>22</v>
      </c>
      <c r="M8684" t="s" s="2">
        <v>22</v>
      </c>
    </row>
    <row r="8685" ht="25.0" customHeight="true">
      <c r="A8685" t="s" s="2">
        <v>13</v>
      </c>
      <c r="B8685" t="s" s="2">
        <f>HYPERLINK("http://ts.21cn.com/tousu/show/id/1362362","微信支付永久冻结请求解冻，提取零钱")</f>
      </c>
      <c r="C8685" t="s" s="2">
        <v>15</v>
      </c>
      <c r="D8685" t="s" s="2">
        <v>16</v>
      </c>
      <c r="E8685" t="s" s="2">
        <v>17</v>
      </c>
      <c r="F8685" t="s" s="2">
        <f>HYPERLINK("http://ts.21cn.com/tousu/show/id/1362362","http://ts.21cn.com/tousu/show/id/1362362")</f>
      </c>
      <c r="G8685" t="s" s="2">
        <v>17</v>
      </c>
      <c r="H8685" t="s" s="2">
        <v>19</v>
      </c>
      <c r="I8685" t="s" s="2">
        <v>33504</v>
      </c>
      <c r="J8685" t="s" s="2">
        <v>33505</v>
      </c>
      <c r="K8685" t="s" s="2">
        <v>22</v>
      </c>
      <c r="L8685" t="s" s="2">
        <v>22</v>
      </c>
      <c r="M8685" t="s" s="2">
        <v>22</v>
      </c>
    </row>
    <row r="8686" ht="25.0" customHeight="true">
      <c r="A8686" t="s" s="2">
        <v>13</v>
      </c>
      <c r="B8686" t="s" s="2">
        <f>HYPERLINK("http://ts.21cn.com/tousu/show/id/1362359","延期交房事件")</f>
      </c>
      <c r="C8686" t="s" s="2">
        <v>15</v>
      </c>
      <c r="D8686" t="s" s="2">
        <v>16</v>
      </c>
      <c r="E8686" t="s" s="2">
        <v>17</v>
      </c>
      <c r="F8686" t="s" s="2">
        <f>HYPERLINK("http://ts.21cn.com/tousu/show/id/1362359","http://ts.21cn.com/tousu/show/id/1362359")</f>
      </c>
      <c r="G8686" t="s" s="2">
        <v>17</v>
      </c>
      <c r="H8686" t="s" s="2">
        <v>19</v>
      </c>
      <c r="I8686" t="s" s="2">
        <v>33508</v>
      </c>
      <c r="J8686" t="s" s="2">
        <v>33509</v>
      </c>
      <c r="K8686" t="s" s="2">
        <v>22</v>
      </c>
      <c r="L8686" t="s" s="2">
        <v>22</v>
      </c>
      <c r="M8686" t="s" s="2">
        <v>22</v>
      </c>
    </row>
    <row r="8687" ht="25.0" customHeight="true">
      <c r="A8687" t="s" s="2">
        <v>13</v>
      </c>
      <c r="B8687" t="s" s="2">
        <f>HYPERLINK("http://ts.21cn.com/tousu/show/id/1362358","京东白条第三方催收威胁")</f>
      </c>
      <c r="C8687" t="s" s="2">
        <v>15</v>
      </c>
      <c r="D8687" t="s" s="2">
        <v>16</v>
      </c>
      <c r="E8687" t="s" s="2">
        <v>17</v>
      </c>
      <c r="F8687" t="s" s="2">
        <f>HYPERLINK("http://ts.21cn.com/tousu/show/id/1362358","http://ts.21cn.com/tousu/show/id/1362358")</f>
      </c>
      <c r="G8687" t="s" s="2">
        <v>17</v>
      </c>
      <c r="H8687" t="s" s="2">
        <v>19</v>
      </c>
      <c r="I8687" t="s" s="2">
        <v>33512</v>
      </c>
      <c r="J8687" t="s" s="2">
        <v>33513</v>
      </c>
      <c r="K8687" t="s" s="2">
        <v>22</v>
      </c>
      <c r="L8687" t="s" s="2">
        <v>22</v>
      </c>
      <c r="M8687" t="s" s="2">
        <v>22</v>
      </c>
    </row>
    <row r="8688" ht="25.0" customHeight="true">
      <c r="A8688" t="s" s="2">
        <v>13</v>
      </c>
      <c r="B8688" t="s" s="2">
        <f>HYPERLINK("http://ts.21cn.com/tousu/show/id/1362357","在小闪分期申请贷款21天还在审核中")</f>
      </c>
      <c r="C8688" t="s" s="2">
        <v>15</v>
      </c>
      <c r="D8688" t="s" s="2">
        <v>16</v>
      </c>
      <c r="E8688" t="s" s="2">
        <v>17</v>
      </c>
      <c r="F8688" t="s" s="2">
        <f>HYPERLINK("http://ts.21cn.com/tousu/show/id/1362357","http://ts.21cn.com/tousu/show/id/1362357")</f>
      </c>
      <c r="G8688" t="s" s="2">
        <v>17</v>
      </c>
      <c r="H8688" t="s" s="2">
        <v>19</v>
      </c>
      <c r="I8688" t="s" s="2">
        <v>33516</v>
      </c>
      <c r="J8688" t="s" s="2">
        <v>33517</v>
      </c>
      <c r="K8688" t="s" s="2">
        <v>22</v>
      </c>
      <c r="L8688" t="s" s="2">
        <v>22</v>
      </c>
      <c r="M8688" t="s" s="2">
        <v>22</v>
      </c>
    </row>
    <row r="8689" ht="25.0" customHeight="true">
      <c r="A8689" t="s" s="2">
        <v>13</v>
      </c>
      <c r="B8689" t="s" s="2">
        <f>HYPERLINK("http://ts.21cn.com/tousu/show/id/1362356","先花一亿元严重骚扰")</f>
      </c>
      <c r="C8689" t="s" s="2">
        <v>52</v>
      </c>
      <c r="D8689" t="s" s="2">
        <v>16</v>
      </c>
      <c r="E8689" t="s" s="2">
        <v>17</v>
      </c>
      <c r="F8689" t="s" s="2">
        <f>HYPERLINK("http://ts.21cn.com/tousu/show/id/1362356","http://ts.21cn.com/tousu/show/id/1362356")</f>
      </c>
      <c r="G8689" t="s" s="2">
        <v>17</v>
      </c>
      <c r="H8689" t="s" s="2">
        <v>19</v>
      </c>
      <c r="I8689" t="s" s="2">
        <v>33520</v>
      </c>
      <c r="J8689" t="s" s="2">
        <v>33521</v>
      </c>
      <c r="K8689" t="s" s="2">
        <v>22</v>
      </c>
      <c r="L8689" t="s" s="2">
        <v>22</v>
      </c>
      <c r="M8689" t="s" s="2">
        <v>22</v>
      </c>
    </row>
    <row r="8690" ht="25.0" customHeight="true">
      <c r="A8690" t="s" s="2">
        <v>13</v>
      </c>
      <c r="B8690" t="s" s="2">
        <f>HYPERLINK("http://ts.21cn.com/tousu/show/id/1362349","花转转，畅捷支付协商无果，从新申请投诉")</f>
      </c>
      <c r="C8690" t="s" s="2">
        <v>15</v>
      </c>
      <c r="D8690" t="s" s="2">
        <v>16</v>
      </c>
      <c r="E8690" t="s" s="2">
        <v>17</v>
      </c>
      <c r="F8690" t="s" s="2">
        <f>HYPERLINK("http://ts.21cn.com/tousu/show/id/1362349","http://ts.21cn.com/tousu/show/id/1362349")</f>
      </c>
      <c r="G8690" t="s" s="2">
        <v>17</v>
      </c>
      <c r="H8690" t="s" s="2">
        <v>19</v>
      </c>
      <c r="I8690" t="s" s="2">
        <v>33524</v>
      </c>
      <c r="J8690" t="s" s="2">
        <v>33525</v>
      </c>
      <c r="K8690" t="s" s="2">
        <v>22</v>
      </c>
      <c r="L8690" t="s" s="2">
        <v>22</v>
      </c>
      <c r="M8690" t="s" s="2">
        <v>22</v>
      </c>
    </row>
    <row r="8691" ht="25.0" customHeight="true">
      <c r="A8691" t="s" s="2">
        <v>13</v>
      </c>
      <c r="B8691" t="s" s="2">
        <f>HYPERLINK("http://ts.21cn.com/tousu/show/id/1362355","停止骚扰，停止起诉法院，请求合理分期付款")</f>
      </c>
      <c r="C8691" t="s" s="2">
        <v>52</v>
      </c>
      <c r="D8691" t="s" s="2">
        <v>16</v>
      </c>
      <c r="E8691" t="s" s="2">
        <v>17</v>
      </c>
      <c r="F8691" t="s" s="2">
        <f>HYPERLINK("http://ts.21cn.com/tousu/show/id/1362355","http://ts.21cn.com/tousu/show/id/1362355")</f>
      </c>
      <c r="G8691" t="s" s="2">
        <v>17</v>
      </c>
      <c r="H8691" t="s" s="2">
        <v>19</v>
      </c>
      <c r="I8691" t="s" s="2">
        <v>33528</v>
      </c>
      <c r="J8691" t="s" s="2">
        <v>33529</v>
      </c>
      <c r="K8691" t="s" s="2">
        <v>22</v>
      </c>
      <c r="L8691" t="s" s="2">
        <v>22</v>
      </c>
      <c r="M8691" t="s" s="2">
        <v>22</v>
      </c>
    </row>
    <row r="8692" ht="25.0" customHeight="true">
      <c r="A8692" t="s" s="2">
        <v>13</v>
      </c>
      <c r="B8692" t="s" s="2">
        <f>HYPERLINK("http://ts.21cn.com/tousu/show/id/1362348","左右钱包5天砍头息高炮")</f>
      </c>
      <c r="C8692" t="s" s="2">
        <v>15</v>
      </c>
      <c r="D8692" t="s" s="2">
        <v>16</v>
      </c>
      <c r="E8692" t="s" s="2">
        <v>17</v>
      </c>
      <c r="F8692" t="s" s="2">
        <f>HYPERLINK("http://ts.21cn.com/tousu/show/id/1362348","http://ts.21cn.com/tousu/show/id/1362348")</f>
      </c>
      <c r="G8692" t="s" s="2">
        <v>17</v>
      </c>
      <c r="H8692" t="s" s="2">
        <v>19</v>
      </c>
      <c r="I8692" t="s" s="2">
        <v>33532</v>
      </c>
      <c r="J8692" t="s" s="2">
        <v>33533</v>
      </c>
      <c r="K8692" t="s" s="2">
        <v>22</v>
      </c>
      <c r="L8692" t="s" s="2">
        <v>22</v>
      </c>
      <c r="M8692" t="s" s="2">
        <v>22</v>
      </c>
    </row>
    <row r="8693" ht="25.0" customHeight="true">
      <c r="A8693" t="s" s="2">
        <v>13</v>
      </c>
      <c r="B8693" t="s" s="2">
        <f>HYPERLINK("http://ts.21cn.com/tousu/show/id/1362353","闪银")</f>
      </c>
      <c r="C8693" t="s" s="2">
        <v>15</v>
      </c>
      <c r="D8693" t="s" s="2">
        <v>16</v>
      </c>
      <c r="E8693" t="s" s="2">
        <v>17</v>
      </c>
      <c r="F8693" t="s" s="2">
        <f>HYPERLINK("http://ts.21cn.com/tousu/show/id/1362353","http://ts.21cn.com/tousu/show/id/1362353")</f>
      </c>
      <c r="G8693" t="s" s="2">
        <v>17</v>
      </c>
      <c r="H8693" t="s" s="2">
        <v>19</v>
      </c>
      <c r="I8693" t="s" s="2">
        <v>33535</v>
      </c>
      <c r="J8693" t="s" s="2">
        <v>33536</v>
      </c>
      <c r="K8693" t="s" s="2">
        <v>22</v>
      </c>
      <c r="L8693" t="s" s="2">
        <v>22</v>
      </c>
      <c r="M8693" t="s" s="2">
        <v>22</v>
      </c>
    </row>
    <row r="8694" ht="25.0" customHeight="true">
      <c r="A8694" t="s" s="2">
        <v>13</v>
      </c>
      <c r="B8694" t="s" s="2">
        <f>HYPERLINK("http://ts.21cn.com/tousu/show/id/1362350","闪银客服打电话威胁暴力催收")</f>
      </c>
      <c r="C8694" t="s" s="2">
        <v>15</v>
      </c>
      <c r="D8694" t="s" s="2">
        <v>16</v>
      </c>
      <c r="E8694" t="s" s="2">
        <v>17</v>
      </c>
      <c r="F8694" t="s" s="2">
        <f>HYPERLINK("http://ts.21cn.com/tousu/show/id/1362350","http://ts.21cn.com/tousu/show/id/1362350")</f>
      </c>
      <c r="G8694" t="s" s="2">
        <v>17</v>
      </c>
      <c r="H8694" t="s" s="2">
        <v>19</v>
      </c>
      <c r="I8694" t="s" s="2">
        <v>33539</v>
      </c>
      <c r="J8694" t="s" s="2">
        <v>33540</v>
      </c>
      <c r="K8694" t="s" s="2">
        <v>22</v>
      </c>
      <c r="L8694" t="s" s="2">
        <v>22</v>
      </c>
      <c r="M8694" t="s" s="2">
        <v>22</v>
      </c>
    </row>
    <row r="8695" ht="25.0" customHeight="true">
      <c r="A8695" t="s" s="2">
        <v>13</v>
      </c>
      <c r="B8695" t="s" s="2">
        <f>HYPERLINK("http://ts.21cn.com/tousu/show/id/1362351","钱站超利贷")</f>
      </c>
      <c r="C8695" t="s" s="2">
        <v>15</v>
      </c>
      <c r="D8695" t="s" s="2">
        <v>16</v>
      </c>
      <c r="E8695" t="s" s="2">
        <v>17</v>
      </c>
      <c r="F8695" t="s" s="2">
        <f>HYPERLINK("http://ts.21cn.com/tousu/show/id/1362351","http://ts.21cn.com/tousu/show/id/1362351")</f>
      </c>
      <c r="G8695" t="s" s="2">
        <v>17</v>
      </c>
      <c r="H8695" t="s" s="2">
        <v>19</v>
      </c>
      <c r="I8695" t="s" s="2">
        <v>33543</v>
      </c>
      <c r="J8695" t="s" s="2">
        <v>33544</v>
      </c>
      <c r="K8695" t="s" s="2">
        <v>22</v>
      </c>
      <c r="L8695" t="s" s="2">
        <v>22</v>
      </c>
      <c r="M8695" t="s" s="2">
        <v>22</v>
      </c>
    </row>
    <row r="8696" ht="25.0" customHeight="true">
      <c r="A8696" t="s" s="2">
        <v>13</v>
      </c>
      <c r="B8696" t="s" s="2">
        <f>HYPERLINK("http://ts.21cn.com/tousu/show/id/1362347","拼多多已网络繁忙为由限制商家提现")</f>
      </c>
      <c r="C8696" t="s" s="2">
        <v>15</v>
      </c>
      <c r="D8696" t="s" s="2">
        <v>16</v>
      </c>
      <c r="E8696" t="s" s="2">
        <v>17</v>
      </c>
      <c r="F8696" t="s" s="2">
        <f>HYPERLINK("http://ts.21cn.com/tousu/show/id/1362347","http://ts.21cn.com/tousu/show/id/1362347")</f>
      </c>
      <c r="G8696" t="s" s="2">
        <v>17</v>
      </c>
      <c r="H8696" t="s" s="2">
        <v>19</v>
      </c>
      <c r="I8696" t="s" s="2">
        <v>33547</v>
      </c>
      <c r="J8696" t="s" s="2">
        <v>33548</v>
      </c>
      <c r="K8696" t="s" s="2">
        <v>22</v>
      </c>
      <c r="L8696" t="s" s="2">
        <v>22</v>
      </c>
      <c r="M8696" t="s" s="2">
        <v>22</v>
      </c>
    </row>
    <row r="8697" ht="25.0" customHeight="true">
      <c r="A8697" t="s" s="2">
        <v>13</v>
      </c>
      <c r="B8697" t="s" s="2">
        <f>HYPERLINK("http://ts.21cn.com/tousu/show/id/1362346","暴力催收、砍头息")</f>
      </c>
      <c r="C8697" t="s" s="2">
        <v>15</v>
      </c>
      <c r="D8697" t="s" s="2">
        <v>16</v>
      </c>
      <c r="E8697" t="s" s="2">
        <v>17</v>
      </c>
      <c r="F8697" t="s" s="2">
        <f>HYPERLINK("http://ts.21cn.com/tousu/show/id/1362346","http://ts.21cn.com/tousu/show/id/1362346")</f>
      </c>
      <c r="G8697" t="s" s="2">
        <v>17</v>
      </c>
      <c r="H8697" t="s" s="2">
        <v>19</v>
      </c>
      <c r="I8697" t="s" s="2">
        <v>33551</v>
      </c>
      <c r="J8697" t="s" s="2">
        <v>33552</v>
      </c>
      <c r="K8697" t="s" s="2">
        <v>22</v>
      </c>
      <c r="L8697" t="s" s="2">
        <v>22</v>
      </c>
      <c r="M8697" t="s" s="2">
        <v>22</v>
      </c>
    </row>
    <row r="8698" ht="25.0" customHeight="true">
      <c r="A8698" t="s" s="2">
        <v>13</v>
      </c>
      <c r="B8698" t="s" s="2">
        <f>HYPERLINK("http://ts.21cn.com/tousu/show/id/1362345","微贷网多米贷强制投保以及强制购买麻将赌博虚拟币")</f>
      </c>
      <c r="C8698" t="s" s="2">
        <v>15</v>
      </c>
      <c r="D8698" t="s" s="2">
        <v>16</v>
      </c>
      <c r="E8698" t="s" s="2">
        <v>17</v>
      </c>
      <c r="F8698" t="s" s="2">
        <f>HYPERLINK("http://ts.21cn.com/tousu/show/id/1362345","http://ts.21cn.com/tousu/show/id/1362345")</f>
      </c>
      <c r="G8698" t="s" s="2">
        <v>17</v>
      </c>
      <c r="H8698" t="s" s="2">
        <v>19</v>
      </c>
      <c r="I8698" t="s" s="2">
        <v>33555</v>
      </c>
      <c r="J8698" t="s" s="2">
        <v>33556</v>
      </c>
      <c r="K8698" t="s" s="2">
        <v>22</v>
      </c>
      <c r="L8698" t="s" s="2">
        <v>22</v>
      </c>
      <c r="M8698" t="s" s="2">
        <v>22</v>
      </c>
    </row>
    <row r="8699" ht="25.0" customHeight="true">
      <c r="A8699" t="s" s="2">
        <v>13</v>
      </c>
      <c r="B8699" t="s" s="2">
        <f>HYPERLINK("http://ts.21cn.com/tousu/show/id/1362341","约单App流氓软件，充值后提现不了")</f>
      </c>
      <c r="C8699" t="s" s="2">
        <v>15</v>
      </c>
      <c r="D8699" t="s" s="2">
        <v>16</v>
      </c>
      <c r="E8699" t="s" s="2">
        <v>17</v>
      </c>
      <c r="F8699" t="s" s="2">
        <f>HYPERLINK("http://ts.21cn.com/tousu/show/id/1362341","http://ts.21cn.com/tousu/show/id/1362341")</f>
      </c>
      <c r="G8699" t="s" s="2">
        <v>17</v>
      </c>
      <c r="H8699" t="s" s="2">
        <v>19</v>
      </c>
      <c r="I8699" t="s" s="2">
        <v>33559</v>
      </c>
      <c r="J8699" t="s" s="2">
        <v>33560</v>
      </c>
      <c r="K8699" t="s" s="2">
        <v>22</v>
      </c>
      <c r="L8699" t="s" s="2">
        <v>22</v>
      </c>
      <c r="M8699" t="s" s="2">
        <v>22</v>
      </c>
    </row>
    <row r="8700" ht="25.0" customHeight="true">
      <c r="A8700" t="s" s="2">
        <v>13</v>
      </c>
      <c r="B8700" t="s" s="2">
        <f>HYPERLINK("http://ts.21cn.com/tousu/show/id/1362340","爆通讯录骚扰我亲友")</f>
      </c>
      <c r="C8700" t="s" s="2">
        <v>15</v>
      </c>
      <c r="D8700" t="s" s="2">
        <v>16</v>
      </c>
      <c r="E8700" t="s" s="2">
        <v>17</v>
      </c>
      <c r="F8700" t="s" s="2">
        <f>HYPERLINK("http://ts.21cn.com/tousu/show/id/1362340","http://ts.21cn.com/tousu/show/id/1362340")</f>
      </c>
      <c r="G8700" t="s" s="2">
        <v>17</v>
      </c>
      <c r="H8700" t="s" s="2">
        <v>19</v>
      </c>
      <c r="I8700" t="s" s="2">
        <v>33563</v>
      </c>
      <c r="J8700" t="s" s="2">
        <v>33564</v>
      </c>
      <c r="K8700" t="s" s="2">
        <v>22</v>
      </c>
      <c r="L8700" t="s" s="2">
        <v>22</v>
      </c>
      <c r="M8700" t="s" s="2">
        <v>22</v>
      </c>
    </row>
    <row r="8701" ht="25.0" customHeight="true">
      <c r="A8701" t="s" s="2">
        <v>13</v>
      </c>
      <c r="B8701" t="s" s="2">
        <f>HYPERLINK("http://ts.21cn.com/tousu/show/id/1362342","平安普惠恶意催收")</f>
      </c>
      <c r="C8701" t="s" s="2">
        <v>15</v>
      </c>
      <c r="D8701" t="s" s="2">
        <v>16</v>
      </c>
      <c r="E8701" t="s" s="2">
        <v>17</v>
      </c>
      <c r="F8701" t="s" s="2">
        <f>HYPERLINK("http://ts.21cn.com/tousu/show/id/1362342","http://ts.21cn.com/tousu/show/id/1362342")</f>
      </c>
      <c r="G8701" t="s" s="2">
        <v>17</v>
      </c>
      <c r="H8701" t="s" s="2">
        <v>19</v>
      </c>
      <c r="I8701" t="s" s="2">
        <v>33567</v>
      </c>
      <c r="J8701" t="s" s="2">
        <v>33568</v>
      </c>
      <c r="K8701" t="s" s="2">
        <v>22</v>
      </c>
      <c r="L8701" t="s" s="2">
        <v>22</v>
      </c>
      <c r="M8701" t="s" s="2">
        <v>22</v>
      </c>
    </row>
    <row r="8702" ht="25.0" customHeight="true">
      <c r="A8702" t="s" s="2">
        <v>13</v>
      </c>
      <c r="B8702" t="s" s="2">
        <f>HYPERLINK("http://ts.21cn.com/tousu/show/id/1362324","分期乐长期协商还款")</f>
      </c>
      <c r="C8702" t="s" s="2">
        <v>52</v>
      </c>
      <c r="D8702" t="s" s="2">
        <v>16</v>
      </c>
      <c r="E8702" t="s" s="2">
        <v>17</v>
      </c>
      <c r="F8702" t="s" s="2">
        <f>HYPERLINK("http://ts.21cn.com/tousu/show/id/1362324","http://ts.21cn.com/tousu/show/id/1362324")</f>
      </c>
      <c r="G8702" t="s" s="2">
        <v>17</v>
      </c>
      <c r="H8702" t="s" s="2">
        <v>19</v>
      </c>
      <c r="I8702" t="s" s="2">
        <v>33571</v>
      </c>
      <c r="J8702" t="s" s="2">
        <v>33572</v>
      </c>
      <c r="K8702" t="s" s="2">
        <v>22</v>
      </c>
      <c r="L8702" t="s" s="2">
        <v>22</v>
      </c>
      <c r="M8702" t="s" s="2">
        <v>22</v>
      </c>
    </row>
    <row r="8703" ht="25.0" customHeight="true">
      <c r="A8703" t="s" s="2">
        <v>13</v>
      </c>
      <c r="B8703" t="s" s="2">
        <f>HYPERLINK("http://ts.21cn.com/tousu/show/id/1362339","态度太差")</f>
      </c>
      <c r="C8703" t="s" s="2">
        <v>15</v>
      </c>
      <c r="D8703" t="s" s="2">
        <v>16</v>
      </c>
      <c r="E8703" t="s" s="2">
        <v>17</v>
      </c>
      <c r="F8703" t="s" s="2">
        <f>HYPERLINK("http://ts.21cn.com/tousu/show/id/1362339","http://ts.21cn.com/tousu/show/id/1362339")</f>
      </c>
      <c r="G8703" t="s" s="2">
        <v>17</v>
      </c>
      <c r="H8703" t="s" s="2">
        <v>19</v>
      </c>
      <c r="I8703" t="s" s="2">
        <v>33571</v>
      </c>
      <c r="J8703" t="s" s="2">
        <v>33575</v>
      </c>
      <c r="K8703" t="s" s="2">
        <v>22</v>
      </c>
      <c r="L8703" t="s" s="2">
        <v>22</v>
      </c>
      <c r="M8703" t="s" s="2">
        <v>22</v>
      </c>
    </row>
    <row r="8704" ht="25.0" customHeight="true">
      <c r="A8704" t="s" s="2">
        <v>13</v>
      </c>
      <c r="B8704" t="s" s="2">
        <f>HYPERLINK("http://ts.21cn.com/tousu/show/id/1362338","骚扰联系人")</f>
      </c>
      <c r="C8704" t="s" s="2">
        <v>15</v>
      </c>
      <c r="D8704" t="s" s="2">
        <v>16</v>
      </c>
      <c r="E8704" t="s" s="2">
        <v>17</v>
      </c>
      <c r="F8704" t="s" s="2">
        <f>HYPERLINK("http://ts.21cn.com/tousu/show/id/1362338","http://ts.21cn.com/tousu/show/id/1362338")</f>
      </c>
      <c r="G8704" t="s" s="2">
        <v>17</v>
      </c>
      <c r="H8704" t="s" s="2">
        <v>19</v>
      </c>
      <c r="I8704" t="s" s="2">
        <v>33577</v>
      </c>
      <c r="J8704" t="s" s="2">
        <v>33578</v>
      </c>
      <c r="K8704" t="s" s="2">
        <v>22</v>
      </c>
      <c r="L8704" t="s" s="2">
        <v>22</v>
      </c>
      <c r="M8704" t="s" s="2">
        <v>22</v>
      </c>
    </row>
    <row r="8705" ht="25.0" customHeight="true">
      <c r="A8705" t="s" s="2">
        <v>13</v>
      </c>
      <c r="B8705" t="s" s="2">
        <f>HYPERLINK("http://ts.21cn.com/tousu/show/id/1362331","宝付支付为违规平台提供扣款渠道")</f>
      </c>
      <c r="C8705" t="s" s="2">
        <v>15</v>
      </c>
      <c r="D8705" t="s" s="2">
        <v>16</v>
      </c>
      <c r="E8705" t="s" s="2">
        <v>17</v>
      </c>
      <c r="F8705" t="s" s="2">
        <f>HYPERLINK("http://ts.21cn.com/tousu/show/id/1362331","http://ts.21cn.com/tousu/show/id/1362331")</f>
      </c>
      <c r="G8705" t="s" s="2">
        <v>17</v>
      </c>
      <c r="H8705" t="s" s="2">
        <v>19</v>
      </c>
      <c r="I8705" t="s" s="2">
        <v>33581</v>
      </c>
      <c r="J8705" t="s" s="2">
        <v>33582</v>
      </c>
      <c r="K8705" t="s" s="2">
        <v>22</v>
      </c>
      <c r="L8705" t="s" s="2">
        <v>22</v>
      </c>
      <c r="M8705" t="s" s="2">
        <v>22</v>
      </c>
    </row>
    <row r="8706" ht="25.0" customHeight="true">
      <c r="A8706" t="s" s="2">
        <v>13</v>
      </c>
      <c r="B8706" t="s" s="2">
        <f>HYPERLINK("http://ts.21cn.com/tousu/show/id/1362337","鸿运当头犀利高")</f>
      </c>
      <c r="C8706" t="s" s="2">
        <v>52</v>
      </c>
      <c r="D8706" t="s" s="2">
        <v>16</v>
      </c>
      <c r="E8706" t="s" s="2">
        <v>17</v>
      </c>
      <c r="F8706" t="s" s="2">
        <f>HYPERLINK("http://ts.21cn.com/tousu/show/id/1362337","http://ts.21cn.com/tousu/show/id/1362337")</f>
      </c>
      <c r="G8706" t="s" s="2">
        <v>17</v>
      </c>
      <c r="H8706" t="s" s="2">
        <v>19</v>
      </c>
      <c r="I8706" t="s" s="2">
        <v>33585</v>
      </c>
      <c r="J8706" t="s" s="2">
        <v>33586</v>
      </c>
      <c r="K8706" t="s" s="2">
        <v>22</v>
      </c>
      <c r="L8706" t="s" s="2">
        <v>22</v>
      </c>
      <c r="M8706" t="s" s="2">
        <v>22</v>
      </c>
    </row>
    <row r="8707" ht="25.0" customHeight="true">
      <c r="A8707" t="s" s="2">
        <v>13</v>
      </c>
      <c r="B8707" t="s" s="2">
        <f>HYPERLINK("http://ts.21cn.com/tousu/show/id/1362336","立刻出行押金退不出来")</f>
      </c>
      <c r="C8707" t="s" s="2">
        <v>15</v>
      </c>
      <c r="D8707" t="s" s="2">
        <v>16</v>
      </c>
      <c r="E8707" t="s" s="2">
        <v>17</v>
      </c>
      <c r="F8707" t="s" s="2">
        <f>HYPERLINK("http://ts.21cn.com/tousu/show/id/1362336","http://ts.21cn.com/tousu/show/id/1362336")</f>
      </c>
      <c r="G8707" t="s" s="2">
        <v>17</v>
      </c>
      <c r="H8707" t="s" s="2">
        <v>19</v>
      </c>
      <c r="I8707" t="s" s="2">
        <v>33589</v>
      </c>
      <c r="J8707" t="s" s="2">
        <v>33590</v>
      </c>
      <c r="K8707" t="s" s="2">
        <v>22</v>
      </c>
      <c r="L8707" t="s" s="2">
        <v>22</v>
      </c>
      <c r="M8707" t="s" s="2">
        <v>22</v>
      </c>
    </row>
    <row r="8708" ht="25.0" customHeight="true">
      <c r="A8708" t="s" s="2">
        <v>13</v>
      </c>
      <c r="B8708" t="s" s="2">
        <f>HYPERLINK("http://ts.21cn.com/tousu/show/id/1362335","协商还款")</f>
      </c>
      <c r="C8708" t="s" s="2">
        <v>52</v>
      </c>
      <c r="D8708" t="s" s="2">
        <v>16</v>
      </c>
      <c r="E8708" t="s" s="2">
        <v>17</v>
      </c>
      <c r="F8708" t="s" s="2">
        <f>HYPERLINK("http://ts.21cn.com/tousu/show/id/1362335","http://ts.21cn.com/tousu/show/id/1362335")</f>
      </c>
      <c r="G8708" t="s" s="2">
        <v>17</v>
      </c>
      <c r="H8708" t="s" s="2">
        <v>19</v>
      </c>
      <c r="I8708" t="s" s="2">
        <v>33592</v>
      </c>
      <c r="J8708" t="s" s="2">
        <v>33593</v>
      </c>
      <c r="K8708" t="s" s="2">
        <v>22</v>
      </c>
      <c r="L8708" t="s" s="2">
        <v>22</v>
      </c>
      <c r="M8708" t="s" s="2">
        <v>22</v>
      </c>
    </row>
    <row r="8709" ht="25.0" customHeight="true">
      <c r="A8709" t="s" s="2">
        <v>13</v>
      </c>
      <c r="B8709" t="s" s="2">
        <f>HYPERLINK("http://ts.21cn.com/tousu/show/id/1362333","交通银行骚扰恐吓")</f>
      </c>
      <c r="C8709" t="s" s="2">
        <v>15</v>
      </c>
      <c r="D8709" t="s" s="2">
        <v>16</v>
      </c>
      <c r="E8709" t="s" s="2">
        <v>17</v>
      </c>
      <c r="F8709" t="s" s="2">
        <f>HYPERLINK("http://ts.21cn.com/tousu/show/id/1362333","http://ts.21cn.com/tousu/show/id/1362333")</f>
      </c>
      <c r="G8709" t="s" s="2">
        <v>17</v>
      </c>
      <c r="H8709" t="s" s="2">
        <v>19</v>
      </c>
      <c r="I8709" t="s" s="2">
        <v>33596</v>
      </c>
      <c r="J8709" t="s" s="2">
        <v>33597</v>
      </c>
      <c r="K8709" t="s" s="2">
        <v>22</v>
      </c>
      <c r="L8709" t="s" s="2">
        <v>22</v>
      </c>
      <c r="M8709" t="s" s="2">
        <v>22</v>
      </c>
    </row>
    <row r="8710" ht="25.0" customHeight="true">
      <c r="A8710" t="s" s="2">
        <v>13</v>
      </c>
      <c r="B8710" t="s" s="2">
        <f>HYPERLINK("http://ts.21cn.com/tousu/show/id/1362330","借贷宝催收恐吓，暴力催收")</f>
      </c>
      <c r="C8710" t="s" s="2">
        <v>15</v>
      </c>
      <c r="D8710" t="s" s="2">
        <v>16</v>
      </c>
      <c r="E8710" t="s" s="2">
        <v>17</v>
      </c>
      <c r="F8710" t="s" s="2">
        <f>HYPERLINK("http://ts.21cn.com/tousu/show/id/1362330","http://ts.21cn.com/tousu/show/id/1362330")</f>
      </c>
      <c r="G8710" t="s" s="2">
        <v>17</v>
      </c>
      <c r="H8710" t="s" s="2">
        <v>19</v>
      </c>
      <c r="I8710" t="s" s="2">
        <v>33600</v>
      </c>
      <c r="J8710" t="s" s="2">
        <v>33601</v>
      </c>
      <c r="K8710" t="s" s="2">
        <v>22</v>
      </c>
      <c r="L8710" t="s" s="2">
        <v>22</v>
      </c>
      <c r="M8710" t="s" s="2">
        <v>22</v>
      </c>
    </row>
    <row r="8711" ht="25.0" customHeight="true">
      <c r="A8711" t="s" s="2">
        <v>13</v>
      </c>
      <c r="B8711" t="s" s="2">
        <f>HYPERLINK("http://ts.21cn.com/tousu/show/id/1362332","平安普惠贷款隐瞒隐藏并强制收取高额保险费管理费投诉事宜")</f>
      </c>
      <c r="C8711" t="s" s="2">
        <v>15</v>
      </c>
      <c r="D8711" t="s" s="2">
        <v>16</v>
      </c>
      <c r="E8711" t="s" s="2">
        <v>17</v>
      </c>
      <c r="F8711" t="s" s="2">
        <f>HYPERLINK("http://ts.21cn.com/tousu/show/id/1362332","http://ts.21cn.com/tousu/show/id/1362332")</f>
      </c>
      <c r="G8711" t="s" s="2">
        <v>17</v>
      </c>
      <c r="H8711" t="s" s="2">
        <v>19</v>
      </c>
      <c r="I8711" t="s" s="2">
        <v>33603</v>
      </c>
      <c r="J8711" t="s" s="2">
        <v>33604</v>
      </c>
      <c r="K8711" t="s" s="2">
        <v>22</v>
      </c>
      <c r="L8711" t="s" s="2">
        <v>22</v>
      </c>
      <c r="M8711" t="s" s="2">
        <v>22</v>
      </c>
    </row>
    <row r="8712" ht="25.0" customHeight="true">
      <c r="A8712" t="s" s="2">
        <v>13</v>
      </c>
      <c r="B8712" t="s" s="2">
        <f>HYPERLINK("http://ts.21cn.com/tousu/show/id/1362329","合利宝助长714高炮为非作歹")</f>
      </c>
      <c r="C8712" t="s" s="2">
        <v>15</v>
      </c>
      <c r="D8712" t="s" s="2">
        <v>16</v>
      </c>
      <c r="E8712" t="s" s="2">
        <v>17</v>
      </c>
      <c r="F8712" t="s" s="2">
        <f>HYPERLINK("http://ts.21cn.com/tousu/show/id/1362329","http://ts.21cn.com/tousu/show/id/1362329")</f>
      </c>
      <c r="G8712" t="s" s="2">
        <v>17</v>
      </c>
      <c r="H8712" t="s" s="2">
        <v>19</v>
      </c>
      <c r="I8712" t="s" s="2">
        <v>33607</v>
      </c>
      <c r="J8712" t="s" s="2">
        <v>33608</v>
      </c>
      <c r="K8712" t="s" s="2">
        <v>22</v>
      </c>
      <c r="L8712" t="s" s="2">
        <v>22</v>
      </c>
      <c r="M8712" t="s" s="2">
        <v>22</v>
      </c>
    </row>
    <row r="8713" ht="25.0" customHeight="true">
      <c r="A8713" t="s" s="2">
        <v>13</v>
      </c>
      <c r="B8713" t="s" s="2">
        <f>HYPERLINK("http://ts.21cn.com/tousu/show/id/1362328","钱盆网通过中介公司放贷获取高利")</f>
      </c>
      <c r="C8713" t="s" s="2">
        <v>15</v>
      </c>
      <c r="D8713" t="s" s="2">
        <v>16</v>
      </c>
      <c r="E8713" t="s" s="2">
        <v>17</v>
      </c>
      <c r="F8713" t="s" s="2">
        <f>HYPERLINK("http://ts.21cn.com/tousu/show/id/1362328","http://ts.21cn.com/tousu/show/id/1362328")</f>
      </c>
      <c r="G8713" t="s" s="2">
        <v>17</v>
      </c>
      <c r="H8713" t="s" s="2">
        <v>19</v>
      </c>
      <c r="I8713" t="s" s="2">
        <v>33611</v>
      </c>
      <c r="J8713" t="s" s="2">
        <v>33612</v>
      </c>
      <c r="K8713" t="s" s="2">
        <v>22</v>
      </c>
      <c r="L8713" t="s" s="2">
        <v>22</v>
      </c>
      <c r="M8713" t="s" s="2">
        <v>22</v>
      </c>
    </row>
    <row r="8714" ht="25.0" customHeight="true">
      <c r="A8714" t="s" s="2">
        <v>13</v>
      </c>
      <c r="B8714" t="s" s="2">
        <f>HYPERLINK("http://ts.21cn.com/tousu/show/id/1362326","招联金融暴力催收还恐吓")</f>
      </c>
      <c r="C8714" t="s" s="2">
        <v>15</v>
      </c>
      <c r="D8714" t="s" s="2">
        <v>16</v>
      </c>
      <c r="E8714" t="s" s="2">
        <v>17</v>
      </c>
      <c r="F8714" t="s" s="2">
        <f>HYPERLINK("http://ts.21cn.com/tousu/show/id/1362326","http://ts.21cn.com/tousu/show/id/1362326")</f>
      </c>
      <c r="G8714" t="s" s="2">
        <v>17</v>
      </c>
      <c r="H8714" t="s" s="2">
        <v>19</v>
      </c>
      <c r="I8714" t="s" s="2">
        <v>33615</v>
      </c>
      <c r="J8714" t="s" s="2">
        <v>33616</v>
      </c>
      <c r="K8714" t="s" s="2">
        <v>22</v>
      </c>
      <c r="L8714" t="s" s="2">
        <v>22</v>
      </c>
      <c r="M8714" t="s" s="2">
        <v>22</v>
      </c>
    </row>
    <row r="8715" ht="25.0" customHeight="true">
      <c r="A8715" t="s" s="2">
        <v>13</v>
      </c>
      <c r="B8715" t="s" s="2">
        <f>HYPERLINK("http://ts.21cn.com/tousu/show/id/1362327","闪银高利贷暴力催收")</f>
      </c>
      <c r="C8715" t="s" s="2">
        <v>15</v>
      </c>
      <c r="D8715" t="s" s="2">
        <v>16</v>
      </c>
      <c r="E8715" t="s" s="2">
        <v>17</v>
      </c>
      <c r="F8715" t="s" s="2">
        <f>HYPERLINK("http://ts.21cn.com/tousu/show/id/1362327","http://ts.21cn.com/tousu/show/id/1362327")</f>
      </c>
      <c r="G8715" t="s" s="2">
        <v>17</v>
      </c>
      <c r="H8715" t="s" s="2">
        <v>19</v>
      </c>
      <c r="I8715" t="s" s="2">
        <v>33618</v>
      </c>
      <c r="J8715" t="s" s="2">
        <v>33619</v>
      </c>
      <c r="K8715" t="s" s="2">
        <v>22</v>
      </c>
      <c r="L8715" t="s" s="2">
        <v>22</v>
      </c>
      <c r="M8715" t="s" s="2">
        <v>22</v>
      </c>
    </row>
    <row r="8716" ht="25.0" customHeight="true">
      <c r="A8716" t="s" s="2">
        <v>13</v>
      </c>
      <c r="B8716" t="s" s="2">
        <f>HYPERLINK("http://ts.21cn.com/tousu/show/id/1362325","高利贷，暴力催收")</f>
      </c>
      <c r="C8716" t="s" s="2">
        <v>15</v>
      </c>
      <c r="D8716" t="s" s="2">
        <v>16</v>
      </c>
      <c r="E8716" t="s" s="2">
        <v>17</v>
      </c>
      <c r="F8716" t="s" s="2">
        <f>HYPERLINK("http://ts.21cn.com/tousu/show/id/1362325","http://ts.21cn.com/tousu/show/id/1362325")</f>
      </c>
      <c r="G8716" t="s" s="2">
        <v>17</v>
      </c>
      <c r="H8716" t="s" s="2">
        <v>19</v>
      </c>
      <c r="I8716" t="s" s="2">
        <v>33621</v>
      </c>
      <c r="J8716" t="s" s="2">
        <v>33622</v>
      </c>
      <c r="K8716" t="s" s="2">
        <v>22</v>
      </c>
      <c r="L8716" t="s" s="2">
        <v>22</v>
      </c>
      <c r="M8716" t="s" s="2">
        <v>22</v>
      </c>
    </row>
    <row r="8717" ht="25.0" customHeight="true">
      <c r="A8717" t="s" s="2">
        <v>13</v>
      </c>
      <c r="B8717" t="s" s="2">
        <f>HYPERLINK("http://ts.21cn.com/tousu/show/id/1362323","钱站提前还款就不给额度了")</f>
      </c>
      <c r="C8717" t="s" s="2">
        <v>52</v>
      </c>
      <c r="D8717" t="s" s="2">
        <v>16</v>
      </c>
      <c r="E8717" t="s" s="2">
        <v>17</v>
      </c>
      <c r="F8717" t="s" s="2">
        <f>HYPERLINK("http://ts.21cn.com/tousu/show/id/1362323","http://ts.21cn.com/tousu/show/id/1362323")</f>
      </c>
      <c r="G8717" t="s" s="2">
        <v>17</v>
      </c>
      <c r="H8717" t="s" s="2">
        <v>19</v>
      </c>
      <c r="I8717" t="s" s="2">
        <v>33625</v>
      </c>
      <c r="J8717" t="s" s="2">
        <v>33626</v>
      </c>
      <c r="K8717" t="s" s="2">
        <v>22</v>
      </c>
      <c r="L8717" t="s" s="2">
        <v>22</v>
      </c>
      <c r="M8717" t="s" s="2">
        <v>22</v>
      </c>
    </row>
    <row r="8718" ht="25.0" customHeight="true">
      <c r="A8718" t="s" s="2">
        <v>13</v>
      </c>
      <c r="B8718" t="s" s="2">
        <f>HYPERLINK("http://ts.21cn.com/tousu/show/id/1362321","合肥甘麦商贸有限公司为境外博彩公司做收钱充值")</f>
      </c>
      <c r="C8718" t="s" s="2">
        <v>15</v>
      </c>
      <c r="D8718" t="s" s="2">
        <v>16</v>
      </c>
      <c r="E8718" t="s" s="2">
        <v>17</v>
      </c>
      <c r="F8718" t="s" s="2">
        <f>HYPERLINK("http://ts.21cn.com/tousu/show/id/1362321","http://ts.21cn.com/tousu/show/id/1362321")</f>
      </c>
      <c r="G8718" t="s" s="2">
        <v>17</v>
      </c>
      <c r="H8718" t="s" s="2">
        <v>19</v>
      </c>
      <c r="I8718" t="s" s="2">
        <v>33629</v>
      </c>
      <c r="J8718" t="s" s="2">
        <v>33630</v>
      </c>
      <c r="K8718" t="s" s="2">
        <v>22</v>
      </c>
      <c r="L8718" t="s" s="2">
        <v>22</v>
      </c>
      <c r="M8718" t="s" s="2">
        <v>22</v>
      </c>
    </row>
    <row r="8719" ht="25.0" customHeight="true">
      <c r="A8719" t="s" s="2">
        <v>13</v>
      </c>
      <c r="B8719" t="s" s="2">
        <f>HYPERLINK("http://ts.21cn.com/tousu/show/id/1362322","想提前还款，发现利息太高")</f>
      </c>
      <c r="C8719" t="s" s="2">
        <v>15</v>
      </c>
      <c r="D8719" t="s" s="2">
        <v>16</v>
      </c>
      <c r="E8719" t="s" s="2">
        <v>17</v>
      </c>
      <c r="F8719" t="s" s="2">
        <f>HYPERLINK("http://ts.21cn.com/tousu/show/id/1362322","http://ts.21cn.com/tousu/show/id/1362322")</f>
      </c>
      <c r="G8719" t="s" s="2">
        <v>17</v>
      </c>
      <c r="H8719" t="s" s="2">
        <v>19</v>
      </c>
      <c r="I8719" t="s" s="2">
        <v>33633</v>
      </c>
      <c r="J8719" t="s" s="2">
        <v>33634</v>
      </c>
      <c r="K8719" t="s" s="2">
        <v>22</v>
      </c>
      <c r="L8719" t="s" s="2">
        <v>22</v>
      </c>
      <c r="M8719" t="s" s="2">
        <v>22</v>
      </c>
    </row>
    <row r="8720" ht="25.0" customHeight="true">
      <c r="A8720" t="s" s="2">
        <v>13</v>
      </c>
      <c r="B8720" t="s" s="2">
        <f>HYPERLINK("http://ts.21cn.com/tousu/show/id/1362320","钱站收取高额砍头息，还称之为手机服务费")</f>
      </c>
      <c r="C8720" t="s" s="2">
        <v>52</v>
      </c>
      <c r="D8720" t="s" s="2">
        <v>16</v>
      </c>
      <c r="E8720" t="s" s="2">
        <v>17</v>
      </c>
      <c r="F8720" t="s" s="2">
        <f>HYPERLINK("http://ts.21cn.com/tousu/show/id/1362320","http://ts.21cn.com/tousu/show/id/1362320")</f>
      </c>
      <c r="G8720" t="s" s="2">
        <v>17</v>
      </c>
      <c r="H8720" t="s" s="2">
        <v>19</v>
      </c>
      <c r="I8720" t="s" s="2">
        <v>33637</v>
      </c>
      <c r="J8720" t="s" s="2">
        <v>33638</v>
      </c>
      <c r="K8720" t="s" s="2">
        <v>22</v>
      </c>
      <c r="L8720" t="s" s="2">
        <v>22</v>
      </c>
      <c r="M8720" t="s" s="2">
        <v>22</v>
      </c>
    </row>
    <row r="8721" ht="25.0" customHeight="true">
      <c r="A8721" t="s" s="2">
        <v>13</v>
      </c>
      <c r="B8721" t="s" s="2">
        <f>HYPERLINK("http://ts.21cn.com/tousu/show/id/1362319","工作人员失职，导致还款时间偏差，造成多次逾期！")</f>
      </c>
      <c r="C8721" t="s" s="2">
        <v>15</v>
      </c>
      <c r="D8721" t="s" s="2">
        <v>16</v>
      </c>
      <c r="E8721" t="s" s="2">
        <v>17</v>
      </c>
      <c r="F8721" t="s" s="2">
        <f>HYPERLINK("http://ts.21cn.com/tousu/show/id/1362319","http://ts.21cn.com/tousu/show/id/1362319")</f>
      </c>
      <c r="G8721" t="s" s="2">
        <v>17</v>
      </c>
      <c r="H8721" t="s" s="2">
        <v>19</v>
      </c>
      <c r="I8721" t="s" s="2">
        <v>33641</v>
      </c>
      <c r="J8721" t="s" s="2">
        <v>33642</v>
      </c>
      <c r="K8721" t="s" s="2">
        <v>22</v>
      </c>
      <c r="L8721" t="s" s="2">
        <v>22</v>
      </c>
      <c r="M8721" t="s" s="2">
        <v>22</v>
      </c>
    </row>
    <row r="8722" ht="25.0" customHeight="true">
      <c r="A8722" t="s" s="2">
        <v>13</v>
      </c>
      <c r="B8722" t="s" s="2">
        <f>HYPERLINK("http://ts.21cn.com/tousu/show/id/1362318","玖富万卡擅自改写合同，变相收取费用，高利贷")</f>
      </c>
      <c r="C8722" t="s" s="2">
        <v>15</v>
      </c>
      <c r="D8722" t="s" s="2">
        <v>16</v>
      </c>
      <c r="E8722" t="s" s="2">
        <v>17</v>
      </c>
      <c r="F8722" t="s" s="2">
        <f>HYPERLINK("http://ts.21cn.com/tousu/show/id/1362318","http://ts.21cn.com/tousu/show/id/1362318")</f>
      </c>
      <c r="G8722" t="s" s="2">
        <v>17</v>
      </c>
      <c r="H8722" t="s" s="2">
        <v>19</v>
      </c>
      <c r="I8722" t="s" s="2">
        <v>33644</v>
      </c>
      <c r="J8722" t="s" s="2">
        <v>33645</v>
      </c>
      <c r="K8722" t="s" s="2">
        <v>22</v>
      </c>
      <c r="L8722" t="s" s="2">
        <v>22</v>
      </c>
      <c r="M8722" t="s" s="2">
        <v>22</v>
      </c>
    </row>
    <row r="8723" ht="25.0" customHeight="true">
      <c r="A8723" t="s" s="2">
        <v>13</v>
      </c>
      <c r="B8723" t="s" s="2">
        <f>HYPERLINK("http://ts.21cn.com/tousu/show/id/1362317","严重骚扰我")</f>
      </c>
      <c r="C8723" t="s" s="2">
        <v>15</v>
      </c>
      <c r="D8723" t="s" s="2">
        <v>16</v>
      </c>
      <c r="E8723" t="s" s="2">
        <v>17</v>
      </c>
      <c r="F8723" t="s" s="2">
        <f>HYPERLINK("http://ts.21cn.com/tousu/show/id/1362317","http://ts.21cn.com/tousu/show/id/1362317")</f>
      </c>
      <c r="G8723" t="s" s="2">
        <v>17</v>
      </c>
      <c r="H8723" t="s" s="2">
        <v>19</v>
      </c>
      <c r="I8723" t="s" s="2">
        <v>33648</v>
      </c>
      <c r="J8723" t="s" s="2">
        <v>33649</v>
      </c>
      <c r="K8723" t="s" s="2">
        <v>22</v>
      </c>
      <c r="L8723" t="s" s="2">
        <v>22</v>
      </c>
      <c r="M8723" t="s" s="2">
        <v>22</v>
      </c>
    </row>
    <row r="8724" ht="25.0" customHeight="true">
      <c r="A8724" t="s" s="2">
        <v>13</v>
      </c>
      <c r="B8724" t="s" s="2">
        <f>HYPERLINK("http://ts.21cn.com/tousu/show/id/1362316","付款后订单自动取消未退款")</f>
      </c>
      <c r="C8724" t="s" s="2">
        <v>52</v>
      </c>
      <c r="D8724" t="s" s="2">
        <v>16</v>
      </c>
      <c r="E8724" t="s" s="2">
        <v>17</v>
      </c>
      <c r="F8724" t="s" s="2">
        <f>HYPERLINK("http://ts.21cn.com/tousu/show/id/1362316","http://ts.21cn.com/tousu/show/id/1362316")</f>
      </c>
      <c r="G8724" t="s" s="2">
        <v>17</v>
      </c>
      <c r="H8724" t="s" s="2">
        <v>19</v>
      </c>
      <c r="I8724" t="s" s="2">
        <v>33652</v>
      </c>
      <c r="J8724" t="s" s="2">
        <v>33653</v>
      </c>
      <c r="K8724" t="s" s="2">
        <v>22</v>
      </c>
      <c r="L8724" t="s" s="2">
        <v>22</v>
      </c>
      <c r="M8724" t="s" s="2">
        <v>22</v>
      </c>
    </row>
    <row r="8725" ht="25.0" customHeight="true">
      <c r="A8725" t="s" s="2">
        <v>13</v>
      </c>
      <c r="B8725" t="s" s="2">
        <f>HYPERLINK("http://ts.21cn.com/tousu/show/id/1356639","贷上钱是准备逼我")</f>
      </c>
      <c r="C8725" t="s" s="2">
        <v>15</v>
      </c>
      <c r="D8725" t="s" s="2">
        <v>16</v>
      </c>
      <c r="E8725" t="s" s="2">
        <v>17</v>
      </c>
      <c r="F8725" t="s" s="2">
        <f>HYPERLINK("http://ts.21cn.com/tousu/show/id/1356639","http://ts.21cn.com/tousu/show/id/1356639")</f>
      </c>
      <c r="G8725" t="s" s="2">
        <v>17</v>
      </c>
      <c r="H8725" t="s" s="2">
        <v>19</v>
      </c>
      <c r="I8725" t="s" s="2">
        <v>33656</v>
      </c>
      <c r="J8725" t="s" s="2">
        <v>33657</v>
      </c>
      <c r="K8725" t="s" s="2">
        <v>22</v>
      </c>
      <c r="L8725" t="s" s="2">
        <v>22</v>
      </c>
      <c r="M8725" t="s" s="2">
        <v>22</v>
      </c>
    </row>
    <row r="8726" ht="25.0" customHeight="true">
      <c r="A8726" t="s" s="2">
        <v>13</v>
      </c>
      <c r="B8726" t="s" s="2">
        <f>HYPERLINK("http://ts.21cn.com/tousu/show/id/1362315","高利贷，暴力催收")</f>
      </c>
      <c r="C8726" t="s" s="2">
        <v>15</v>
      </c>
      <c r="D8726" t="s" s="2">
        <v>16</v>
      </c>
      <c r="E8726" t="s" s="2">
        <v>17</v>
      </c>
      <c r="F8726" t="s" s="2">
        <f>HYPERLINK("http://ts.21cn.com/tousu/show/id/1362315","http://ts.21cn.com/tousu/show/id/1362315")</f>
      </c>
      <c r="G8726" t="s" s="2">
        <v>17</v>
      </c>
      <c r="H8726" t="s" s="2">
        <v>19</v>
      </c>
      <c r="I8726" t="s" s="2">
        <v>33659</v>
      </c>
      <c r="J8726" t="s" s="2">
        <v>33660</v>
      </c>
      <c r="K8726" t="s" s="2">
        <v>22</v>
      </c>
      <c r="L8726" t="s" s="2">
        <v>22</v>
      </c>
      <c r="M8726" t="s" s="2">
        <v>22</v>
      </c>
    </row>
    <row r="8727" ht="25.0" customHeight="true">
      <c r="A8727" t="s" s="2">
        <v>13</v>
      </c>
      <c r="B8727" t="s" s="2">
        <f>HYPERLINK("http://ts.21cn.com/tousu/show/id/1362313","辛辛苦苦挣的血汗钱，不明不白的被盗走！")</f>
      </c>
      <c r="C8727" t="s" s="2">
        <v>15</v>
      </c>
      <c r="D8727" t="s" s="2">
        <v>16</v>
      </c>
      <c r="E8727" t="s" s="2">
        <v>17</v>
      </c>
      <c r="F8727" t="s" s="2">
        <f>HYPERLINK("http://ts.21cn.com/tousu/show/id/1362313","http://ts.21cn.com/tousu/show/id/1362313")</f>
      </c>
      <c r="G8727" t="s" s="2">
        <v>17</v>
      </c>
      <c r="H8727" t="s" s="2">
        <v>19</v>
      </c>
      <c r="I8727" t="s" s="2">
        <v>33663</v>
      </c>
      <c r="J8727" t="s" s="2">
        <v>33664</v>
      </c>
      <c r="K8727" t="s" s="2">
        <v>22</v>
      </c>
      <c r="L8727" t="s" s="2">
        <v>22</v>
      </c>
      <c r="M8727" t="s" s="2">
        <v>22</v>
      </c>
    </row>
    <row r="8728" ht="25.0" customHeight="true">
      <c r="A8728" t="s" s="2">
        <v>13</v>
      </c>
      <c r="B8728" t="s" s="2">
        <f>HYPERLINK("http://ts.21cn.com/tousu/show/id/1362312","QQ游戏龙魂沙城关服欺诈")</f>
      </c>
      <c r="C8728" t="s" s="2">
        <v>15</v>
      </c>
      <c r="D8728" t="s" s="2">
        <v>16</v>
      </c>
      <c r="E8728" t="s" s="2">
        <v>17</v>
      </c>
      <c r="F8728" t="s" s="2">
        <f>HYPERLINK("http://ts.21cn.com/tousu/show/id/1362312","http://ts.21cn.com/tousu/show/id/1362312")</f>
      </c>
      <c r="G8728" t="s" s="2">
        <v>17</v>
      </c>
      <c r="H8728" t="s" s="2">
        <v>19</v>
      </c>
      <c r="I8728" t="s" s="2">
        <v>33666</v>
      </c>
      <c r="J8728" t="s" s="2">
        <v>33667</v>
      </c>
      <c r="K8728" t="s" s="2">
        <v>22</v>
      </c>
      <c r="L8728" t="s" s="2">
        <v>22</v>
      </c>
      <c r="M8728" t="s" s="2">
        <v>22</v>
      </c>
    </row>
    <row r="8729" ht="25.0" customHeight="true">
      <c r="A8729" t="s" s="2">
        <v>13</v>
      </c>
      <c r="B8729" t="s" s="2">
        <f>HYPERLINK("http://ts.21cn.com/tousu/show/id/1362311","立借高利贷")</f>
      </c>
      <c r="C8729" t="s" s="2">
        <v>15</v>
      </c>
      <c r="D8729" t="s" s="2">
        <v>16</v>
      </c>
      <c r="E8729" t="s" s="2">
        <v>17</v>
      </c>
      <c r="F8729" t="s" s="2">
        <f>HYPERLINK("http://ts.21cn.com/tousu/show/id/1362311","http://ts.21cn.com/tousu/show/id/1362311")</f>
      </c>
      <c r="G8729" t="s" s="2">
        <v>17</v>
      </c>
      <c r="H8729" t="s" s="2">
        <v>19</v>
      </c>
      <c r="I8729" t="s" s="2">
        <v>33669</v>
      </c>
      <c r="J8729" t="s" s="2">
        <v>33670</v>
      </c>
      <c r="K8729" t="s" s="2">
        <v>22</v>
      </c>
      <c r="L8729" t="s" s="2">
        <v>22</v>
      </c>
      <c r="M8729" t="s" s="2">
        <v>22</v>
      </c>
    </row>
    <row r="8730" ht="25.0" customHeight="true">
      <c r="A8730" t="s" s="2">
        <v>13</v>
      </c>
      <c r="B8730" t="s" s="2">
        <f>HYPERLINK("http://ts.21cn.com/tousu/show/id/1362310","充值会员本来到账了今天登陆一看又没了")</f>
      </c>
      <c r="C8730" t="s" s="2">
        <v>15</v>
      </c>
      <c r="D8730" t="s" s="2">
        <v>16</v>
      </c>
      <c r="E8730" t="s" s="2">
        <v>17</v>
      </c>
      <c r="F8730" t="s" s="2">
        <f>HYPERLINK("http://ts.21cn.com/tousu/show/id/1362310","http://ts.21cn.com/tousu/show/id/1362310")</f>
      </c>
      <c r="G8730" t="s" s="2">
        <v>17</v>
      </c>
      <c r="H8730" t="s" s="2">
        <v>19</v>
      </c>
      <c r="I8730" t="s" s="2">
        <v>33673</v>
      </c>
      <c r="J8730" t="s" s="2">
        <v>33674</v>
      </c>
      <c r="K8730" t="s" s="2">
        <v>22</v>
      </c>
      <c r="L8730" t="s" s="2">
        <v>22</v>
      </c>
      <c r="M8730" t="s" s="2">
        <v>22</v>
      </c>
    </row>
    <row r="8731" ht="25.0" customHeight="true">
      <c r="A8731" t="s" s="2">
        <v>13</v>
      </c>
      <c r="B8731" t="s" s="2">
        <f>HYPERLINK("http://ts.21cn.com/tousu/show/id/1362304","得仕股份，上海银生宝公司为彩票公司提供充值")</f>
      </c>
      <c r="C8731" t="s" s="2">
        <v>15</v>
      </c>
      <c r="D8731" t="s" s="2">
        <v>16</v>
      </c>
      <c r="E8731" t="s" s="2">
        <v>17</v>
      </c>
      <c r="F8731" t="s" s="2">
        <f>HYPERLINK("http://ts.21cn.com/tousu/show/id/1362304","http://ts.21cn.com/tousu/show/id/1362304")</f>
      </c>
      <c r="G8731" t="s" s="2">
        <v>17</v>
      </c>
      <c r="H8731" t="s" s="2">
        <v>19</v>
      </c>
      <c r="I8731" t="s" s="2">
        <v>33677</v>
      </c>
      <c r="J8731" t="s" s="2">
        <v>33678</v>
      </c>
      <c r="K8731" t="s" s="2">
        <v>22</v>
      </c>
      <c r="L8731" t="s" s="2">
        <v>22</v>
      </c>
      <c r="M8731" t="s" s="2">
        <v>22</v>
      </c>
    </row>
    <row r="8732" ht="25.0" customHeight="true">
      <c r="A8732" t="s" s="2">
        <v>13</v>
      </c>
      <c r="B8732" t="s" s="2">
        <f>HYPERLINK("http://ts.21cn.com/tousu/show/id/1362286","人人花乱扣费")</f>
      </c>
      <c r="C8732" t="s" s="2">
        <v>15</v>
      </c>
      <c r="D8732" t="s" s="2">
        <v>16</v>
      </c>
      <c r="E8732" t="s" s="2">
        <v>17</v>
      </c>
      <c r="F8732" t="s" s="2">
        <f>HYPERLINK("http://ts.21cn.com/tousu/show/id/1362286","http://ts.21cn.com/tousu/show/id/1362286")</f>
      </c>
      <c r="G8732" t="s" s="2">
        <v>17</v>
      </c>
      <c r="H8732" t="s" s="2">
        <v>19</v>
      </c>
      <c r="I8732" t="s" s="2">
        <v>33680</v>
      </c>
      <c r="J8732" t="s" s="2">
        <v>33681</v>
      </c>
      <c r="K8732" t="s" s="2">
        <v>22</v>
      </c>
      <c r="L8732" t="s" s="2">
        <v>22</v>
      </c>
      <c r="M8732" t="s" s="2">
        <v>22</v>
      </c>
    </row>
    <row r="8733" ht="25.0" customHeight="true">
      <c r="A8733" t="s" s="2">
        <v>13</v>
      </c>
      <c r="B8733" t="s" s="2">
        <f>HYPERLINK("http://ts.21cn.com/tousu/show/id/1362308","买买乐购软暴力催收")</f>
      </c>
      <c r="C8733" t="s" s="2">
        <v>15</v>
      </c>
      <c r="D8733" t="s" s="2">
        <v>16</v>
      </c>
      <c r="E8733" t="s" s="2">
        <v>17</v>
      </c>
      <c r="F8733" t="s" s="2">
        <f>HYPERLINK("http://ts.21cn.com/tousu/show/id/1362308","http://ts.21cn.com/tousu/show/id/1362308")</f>
      </c>
      <c r="G8733" t="s" s="2">
        <v>17</v>
      </c>
      <c r="H8733" t="s" s="2">
        <v>19</v>
      </c>
      <c r="I8733" t="s" s="2">
        <v>33684</v>
      </c>
      <c r="J8733" t="s" s="2">
        <v>33685</v>
      </c>
      <c r="K8733" t="s" s="2">
        <v>22</v>
      </c>
      <c r="L8733" t="s" s="2">
        <v>22</v>
      </c>
      <c r="M8733" t="s" s="2">
        <v>22</v>
      </c>
    </row>
    <row r="8734" ht="25.0" customHeight="true">
      <c r="A8734" t="s" s="2">
        <v>13</v>
      </c>
      <c r="B8734" t="s" s="2">
        <f>HYPERLINK("http://ts.21cn.com/tousu/show/id/1362306","洋钱罐协商提前还款要全部利息")</f>
      </c>
      <c r="C8734" t="s" s="2">
        <v>52</v>
      </c>
      <c r="D8734" t="s" s="2">
        <v>16</v>
      </c>
      <c r="E8734" t="s" s="2">
        <v>17</v>
      </c>
      <c r="F8734" t="s" s="2">
        <f>HYPERLINK("http://ts.21cn.com/tousu/show/id/1362306","http://ts.21cn.com/tousu/show/id/1362306")</f>
      </c>
      <c r="G8734" t="s" s="2">
        <v>17</v>
      </c>
      <c r="H8734" t="s" s="2">
        <v>19</v>
      </c>
      <c r="I8734" t="s" s="2">
        <v>33684</v>
      </c>
      <c r="J8734" t="s" s="2">
        <v>33688</v>
      </c>
      <c r="K8734" t="s" s="2">
        <v>22</v>
      </c>
      <c r="L8734" t="s" s="2">
        <v>22</v>
      </c>
      <c r="M8734" t="s" s="2">
        <v>22</v>
      </c>
    </row>
    <row r="8735" ht="25.0" customHeight="true">
      <c r="A8735" t="s" s="2">
        <v>13</v>
      </c>
      <c r="B8735" t="s" s="2">
        <f>HYPERLINK("http://ts.21cn.com/tousu/show/id/1362305","微信支付永久冻结，请求解封，提取零钱")</f>
      </c>
      <c r="C8735" t="s" s="2">
        <v>15</v>
      </c>
      <c r="D8735" t="s" s="2">
        <v>16</v>
      </c>
      <c r="E8735" t="s" s="2">
        <v>17</v>
      </c>
      <c r="F8735" t="s" s="2">
        <f>HYPERLINK("http://ts.21cn.com/tousu/show/id/1362305","http://ts.21cn.com/tousu/show/id/1362305")</f>
      </c>
      <c r="G8735" t="s" s="2">
        <v>17</v>
      </c>
      <c r="H8735" t="s" s="2">
        <v>19</v>
      </c>
      <c r="I8735" t="s" s="2">
        <v>33691</v>
      </c>
      <c r="J8735" t="s" s="2">
        <v>33692</v>
      </c>
      <c r="K8735" t="s" s="2">
        <v>22</v>
      </c>
      <c r="L8735" t="s" s="2">
        <v>22</v>
      </c>
      <c r="M8735" t="s" s="2">
        <v>22</v>
      </c>
    </row>
    <row r="8736" ht="25.0" customHeight="true">
      <c r="A8736" t="s" s="2">
        <v>13</v>
      </c>
      <c r="B8736" t="s" s="2">
        <f>HYPERLINK("http://ts.21cn.com/tousu/show/id/1362307","360借条恶意催收")</f>
      </c>
      <c r="C8736" t="s" s="2">
        <v>15</v>
      </c>
      <c r="D8736" t="s" s="2">
        <v>16</v>
      </c>
      <c r="E8736" t="s" s="2">
        <v>17</v>
      </c>
      <c r="F8736" t="s" s="2">
        <f>HYPERLINK("http://ts.21cn.com/tousu/show/id/1362307","http://ts.21cn.com/tousu/show/id/1362307")</f>
      </c>
      <c r="G8736" t="s" s="2">
        <v>17</v>
      </c>
      <c r="H8736" t="s" s="2">
        <v>19</v>
      </c>
      <c r="I8736" t="s" s="2">
        <v>33695</v>
      </c>
      <c r="J8736" t="s" s="2">
        <v>33696</v>
      </c>
      <c r="K8736" t="s" s="2">
        <v>22</v>
      </c>
      <c r="L8736" t="s" s="2">
        <v>22</v>
      </c>
      <c r="M8736" t="s" s="2">
        <v>22</v>
      </c>
    </row>
    <row r="8737" ht="25.0" customHeight="true">
      <c r="A8737" t="s" s="2">
        <v>13</v>
      </c>
      <c r="B8737" t="s" s="2">
        <f>HYPERLINK("http://ts.21cn.com/tousu/show/id/1362270","你我贷高利贷催收")</f>
      </c>
      <c r="C8737" t="s" s="2">
        <v>15</v>
      </c>
      <c r="D8737" t="s" s="2">
        <v>16</v>
      </c>
      <c r="E8737" t="s" s="2">
        <v>17</v>
      </c>
      <c r="F8737" t="s" s="2">
        <f>HYPERLINK("http://ts.21cn.com/tousu/show/id/1362270","http://ts.21cn.com/tousu/show/id/1362270")</f>
      </c>
      <c r="G8737" t="s" s="2">
        <v>17</v>
      </c>
      <c r="H8737" t="s" s="2">
        <v>19</v>
      </c>
      <c r="I8737" t="s" s="2">
        <v>33699</v>
      </c>
      <c r="J8737" t="s" s="2">
        <v>33700</v>
      </c>
      <c r="K8737" t="s" s="2">
        <v>22</v>
      </c>
      <c r="L8737" t="s" s="2">
        <v>22</v>
      </c>
      <c r="M8737" t="s" s="2">
        <v>22</v>
      </c>
    </row>
    <row r="8738" ht="25.0" customHeight="true">
      <c r="A8738" t="s" s="2">
        <v>13</v>
      </c>
      <c r="B8738" t="s" s="2">
        <f>HYPERLINK("http://ts.21cn.com/tousu/show/id/1362303","先花一亿元不要打假人语音骚扰了！")</f>
      </c>
      <c r="C8738" t="s" s="2">
        <v>52</v>
      </c>
      <c r="D8738" t="s" s="2">
        <v>16</v>
      </c>
      <c r="E8738" t="s" s="2">
        <v>17</v>
      </c>
      <c r="F8738" t="s" s="2">
        <f>HYPERLINK("http://ts.21cn.com/tousu/show/id/1362303","http://ts.21cn.com/tousu/show/id/1362303")</f>
      </c>
      <c r="G8738" t="s" s="2">
        <v>17</v>
      </c>
      <c r="H8738" t="s" s="2">
        <v>19</v>
      </c>
      <c r="I8738" t="s" s="2">
        <v>33703</v>
      </c>
      <c r="J8738" t="s" s="2">
        <v>33704</v>
      </c>
      <c r="K8738" t="s" s="2">
        <v>22</v>
      </c>
      <c r="L8738" t="s" s="2">
        <v>22</v>
      </c>
      <c r="M8738" t="s" s="2">
        <v>22</v>
      </c>
    </row>
    <row r="8739" ht="25.0" customHeight="true">
      <c r="A8739" t="s" s="2">
        <v>13</v>
      </c>
      <c r="B8739" t="s" s="2">
        <f>HYPERLINK("http://ts.21cn.com/tousu/show/id/1362302","尚德机构咖啡金融套路贷款强制消费")</f>
      </c>
      <c r="C8739" t="s" s="2">
        <v>15</v>
      </c>
      <c r="D8739" t="s" s="2">
        <v>16</v>
      </c>
      <c r="E8739" t="s" s="2">
        <v>17</v>
      </c>
      <c r="F8739" t="s" s="2">
        <f>HYPERLINK("http://ts.21cn.com/tousu/show/id/1362302","http://ts.21cn.com/tousu/show/id/1362302")</f>
      </c>
      <c r="G8739" t="s" s="2">
        <v>17</v>
      </c>
      <c r="H8739" t="s" s="2">
        <v>19</v>
      </c>
      <c r="I8739" t="s" s="2">
        <v>33707</v>
      </c>
      <c r="J8739" t="s" s="2">
        <v>33708</v>
      </c>
      <c r="K8739" t="s" s="2">
        <v>22</v>
      </c>
      <c r="L8739" t="s" s="2">
        <v>22</v>
      </c>
      <c r="M8739" t="s" s="2">
        <v>22</v>
      </c>
    </row>
    <row r="8740" ht="25.0" customHeight="true">
      <c r="A8740" t="s" s="2">
        <v>13</v>
      </c>
      <c r="B8740" t="s" s="2">
        <f>HYPERLINK("http://ts.21cn.com/tousu/show/id/1362300","暴力催债，语音威胁")</f>
      </c>
      <c r="C8740" t="s" s="2">
        <v>15</v>
      </c>
      <c r="D8740" t="s" s="2">
        <v>16</v>
      </c>
      <c r="E8740" t="s" s="2">
        <v>17</v>
      </c>
      <c r="F8740" t="s" s="2">
        <f>HYPERLINK("http://ts.21cn.com/tousu/show/id/1362300","http://ts.21cn.com/tousu/show/id/1362300")</f>
      </c>
      <c r="G8740" t="s" s="2">
        <v>17</v>
      </c>
      <c r="H8740" t="s" s="2">
        <v>19</v>
      </c>
      <c r="I8740" t="s" s="2">
        <v>33711</v>
      </c>
      <c r="J8740" t="s" s="2">
        <v>33712</v>
      </c>
      <c r="K8740" t="s" s="2">
        <v>22</v>
      </c>
      <c r="L8740" t="s" s="2">
        <v>22</v>
      </c>
      <c r="M8740" t="s" s="2">
        <v>22</v>
      </c>
    </row>
    <row r="8741" ht="25.0" customHeight="true">
      <c r="A8741" t="s" s="2">
        <v>13</v>
      </c>
      <c r="B8741" t="s" s="2">
        <f>HYPERLINK("http://ts.21cn.com/tousu/show/id/1362298","银谷普惠高额砍头息，套路贷，阴阳合同，勾结黑恶势力多次频繁爆通讯录泄露个人隐私，骚扰软暴力催收")</f>
      </c>
      <c r="C8741" t="s" s="2">
        <v>15</v>
      </c>
      <c r="D8741" t="s" s="2">
        <v>16</v>
      </c>
      <c r="E8741" t="s" s="2">
        <v>17</v>
      </c>
      <c r="F8741" t="s" s="2">
        <f>HYPERLINK("http://ts.21cn.com/tousu/show/id/1362298","http://ts.21cn.com/tousu/show/id/1362298")</f>
      </c>
      <c r="G8741" t="s" s="2">
        <v>17</v>
      </c>
      <c r="H8741" t="s" s="2">
        <v>19</v>
      </c>
      <c r="I8741" t="s" s="2">
        <v>33715</v>
      </c>
      <c r="J8741" t="s" s="2">
        <v>33716</v>
      </c>
      <c r="K8741" t="s" s="2">
        <v>22</v>
      </c>
      <c r="L8741" t="s" s="2">
        <v>22</v>
      </c>
      <c r="M8741" t="s" s="2">
        <v>22</v>
      </c>
    </row>
    <row r="8742" ht="25.0" customHeight="true">
      <c r="A8742" t="s" s="2">
        <v>13</v>
      </c>
      <c r="B8742" t="s" s="2">
        <f>HYPERLINK("http://ts.21cn.com/tousu/show/id/1362295","高利贷，砍头息，催收")</f>
      </c>
      <c r="C8742" t="s" s="2">
        <v>15</v>
      </c>
      <c r="D8742" t="s" s="2">
        <v>16</v>
      </c>
      <c r="E8742" t="s" s="2">
        <v>17</v>
      </c>
      <c r="F8742" t="s" s="2">
        <f>HYPERLINK("http://ts.21cn.com/tousu/show/id/1362295","http://ts.21cn.com/tousu/show/id/1362295")</f>
      </c>
      <c r="G8742" t="s" s="2">
        <v>17</v>
      </c>
      <c r="H8742" t="s" s="2">
        <v>19</v>
      </c>
      <c r="I8742" t="s" s="2">
        <v>33719</v>
      </c>
      <c r="J8742" t="s" s="2">
        <v>33720</v>
      </c>
      <c r="K8742" t="s" s="2">
        <v>22</v>
      </c>
      <c r="L8742" t="s" s="2">
        <v>22</v>
      </c>
      <c r="M8742" t="s" s="2">
        <v>22</v>
      </c>
    </row>
    <row r="8743" ht="25.0" customHeight="true">
      <c r="A8743" t="s" s="2">
        <v>13</v>
      </c>
      <c r="B8743" t="s" s="2">
        <f>HYPERLINK("http://ts.21cn.com/tousu/show/id/1362294","美利车金融恶性催收！")</f>
      </c>
      <c r="C8743" t="s" s="2">
        <v>15</v>
      </c>
      <c r="D8743" t="s" s="2">
        <v>16</v>
      </c>
      <c r="E8743" t="s" s="2">
        <v>17</v>
      </c>
      <c r="F8743" t="s" s="2">
        <f>HYPERLINK("http://ts.21cn.com/tousu/show/id/1362294","http://ts.21cn.com/tousu/show/id/1362294")</f>
      </c>
      <c r="G8743" t="s" s="2">
        <v>17</v>
      </c>
      <c r="H8743" t="s" s="2">
        <v>19</v>
      </c>
      <c r="I8743" t="s" s="2">
        <v>33723</v>
      </c>
      <c r="J8743" t="s" s="2">
        <v>33724</v>
      </c>
      <c r="K8743" t="s" s="2">
        <v>22</v>
      </c>
      <c r="L8743" t="s" s="2">
        <v>22</v>
      </c>
      <c r="M8743" t="s" s="2">
        <v>22</v>
      </c>
    </row>
    <row r="8744" ht="25.0" customHeight="true">
      <c r="A8744" t="s" s="2">
        <v>13</v>
      </c>
      <c r="B8744" t="s" s="2">
        <f>HYPERLINK("http://ts.21cn.com/tousu/show/id/1362293","要求宽限还款期限")</f>
      </c>
      <c r="C8744" t="s" s="2">
        <v>15</v>
      </c>
      <c r="D8744" t="s" s="2">
        <v>16</v>
      </c>
      <c r="E8744" t="s" s="2">
        <v>17</v>
      </c>
      <c r="F8744" t="s" s="2">
        <f>HYPERLINK("http://ts.21cn.com/tousu/show/id/1362293","http://ts.21cn.com/tousu/show/id/1362293")</f>
      </c>
      <c r="G8744" t="s" s="2">
        <v>17</v>
      </c>
      <c r="H8744" t="s" s="2">
        <v>19</v>
      </c>
      <c r="I8744" t="s" s="2">
        <v>33727</v>
      </c>
      <c r="J8744" t="s" s="2">
        <v>33728</v>
      </c>
      <c r="K8744" t="s" s="2">
        <v>22</v>
      </c>
      <c r="L8744" t="s" s="2">
        <v>22</v>
      </c>
      <c r="M8744" t="s" s="2">
        <v>22</v>
      </c>
    </row>
    <row r="8745" ht="25.0" customHeight="true">
      <c r="A8745" t="s" s="2">
        <v>13</v>
      </c>
      <c r="B8745" t="s" s="2">
        <f>HYPERLINK("http://ts.21cn.com/tousu/show/id/1362292","微粒贷工作人员不守信用，说可以免利息的，还了一大半人找不着，微信删除，电话不接，导致我现在陷入绝境")</f>
      </c>
      <c r="C8745" t="s" s="2">
        <v>15</v>
      </c>
      <c r="D8745" t="s" s="2">
        <v>16</v>
      </c>
      <c r="E8745" t="s" s="2">
        <v>17</v>
      </c>
      <c r="F8745" t="s" s="2">
        <f>HYPERLINK("http://ts.21cn.com/tousu/show/id/1362292","http://ts.21cn.com/tousu/show/id/1362292")</f>
      </c>
      <c r="G8745" t="s" s="2">
        <v>17</v>
      </c>
      <c r="H8745" t="s" s="2">
        <v>19</v>
      </c>
      <c r="I8745" t="s" s="2">
        <v>33731</v>
      </c>
      <c r="J8745" t="s" s="2">
        <v>33732</v>
      </c>
      <c r="K8745" t="s" s="2">
        <v>22</v>
      </c>
      <c r="L8745" t="s" s="2">
        <v>22</v>
      </c>
      <c r="M8745" t="s" s="2">
        <v>22</v>
      </c>
    </row>
    <row r="8746" ht="25.0" customHeight="true">
      <c r="A8746" t="s" s="2">
        <v>13</v>
      </c>
      <c r="B8746" t="s" s="2">
        <f>HYPERLINK("http://ts.21cn.com/tousu/show/id/1362291","宜信普惠恶意骚扰人身攻击")</f>
      </c>
      <c r="C8746" t="s" s="2">
        <v>15</v>
      </c>
      <c r="D8746" t="s" s="2">
        <v>16</v>
      </c>
      <c r="E8746" t="s" s="2">
        <v>17</v>
      </c>
      <c r="F8746" t="s" s="2">
        <f>HYPERLINK("http://ts.21cn.com/tousu/show/id/1362291","http://ts.21cn.com/tousu/show/id/1362291")</f>
      </c>
      <c r="G8746" t="s" s="2">
        <v>17</v>
      </c>
      <c r="H8746" t="s" s="2">
        <v>19</v>
      </c>
      <c r="I8746" t="s" s="2">
        <v>33735</v>
      </c>
      <c r="J8746" t="s" s="2">
        <v>33736</v>
      </c>
      <c r="K8746" t="s" s="2">
        <v>22</v>
      </c>
      <c r="L8746" t="s" s="2">
        <v>22</v>
      </c>
      <c r="M8746" t="s" s="2">
        <v>22</v>
      </c>
    </row>
    <row r="8747" ht="25.0" customHeight="true">
      <c r="A8747" t="s" s="2">
        <v>13</v>
      </c>
      <c r="B8747" t="s" s="2">
        <f>HYPERLINK("http://ts.21cn.com/tousu/show/id/1362288","汇潮支付违规帮助高利贷支付")</f>
      </c>
      <c r="C8747" t="s" s="2">
        <v>15</v>
      </c>
      <c r="D8747" t="s" s="2">
        <v>16</v>
      </c>
      <c r="E8747" t="s" s="2">
        <v>17</v>
      </c>
      <c r="F8747" t="s" s="2">
        <f>HYPERLINK("http://ts.21cn.com/tousu/show/id/1362288","http://ts.21cn.com/tousu/show/id/1362288")</f>
      </c>
      <c r="G8747" t="s" s="2">
        <v>17</v>
      </c>
      <c r="H8747" t="s" s="2">
        <v>19</v>
      </c>
      <c r="I8747" t="s" s="2">
        <v>33739</v>
      </c>
      <c r="J8747" t="s" s="2">
        <v>33740</v>
      </c>
      <c r="K8747" t="s" s="2">
        <v>22</v>
      </c>
      <c r="L8747" t="s" s="2">
        <v>22</v>
      </c>
      <c r="M8747" t="s" s="2">
        <v>22</v>
      </c>
    </row>
    <row r="8748" ht="25.0" customHeight="true">
      <c r="A8748" t="s" s="2">
        <v>13</v>
      </c>
      <c r="B8748" t="s" s="2">
        <f>HYPERLINK("http://ts.21cn.com/tousu/show/id/1362290","强制借款高利贷套路贷")</f>
      </c>
      <c r="C8748" t="s" s="2">
        <v>15</v>
      </c>
      <c r="D8748" t="s" s="2">
        <v>16</v>
      </c>
      <c r="E8748" t="s" s="2">
        <v>17</v>
      </c>
      <c r="F8748" t="s" s="2">
        <f>HYPERLINK("http://ts.21cn.com/tousu/show/id/1362290","http://ts.21cn.com/tousu/show/id/1362290")</f>
      </c>
      <c r="G8748" t="s" s="2">
        <v>17</v>
      </c>
      <c r="H8748" t="s" s="2">
        <v>19</v>
      </c>
      <c r="I8748" t="s" s="2">
        <v>33743</v>
      </c>
      <c r="J8748" t="s" s="2">
        <v>33744</v>
      </c>
      <c r="K8748" t="s" s="2">
        <v>22</v>
      </c>
      <c r="L8748" t="s" s="2">
        <v>22</v>
      </c>
      <c r="M8748" t="s" s="2">
        <v>22</v>
      </c>
    </row>
    <row r="8749" ht="25.0" customHeight="true">
      <c r="A8749" t="s" s="2">
        <v>13</v>
      </c>
      <c r="B8749" t="s" s="2">
        <f>HYPERLINK("http://ts.21cn.com/tousu/show/id/1362289","立刻出行APP押金499元，申请退押金110天了，还没退押金。")</f>
      </c>
      <c r="C8749" t="s" s="2">
        <v>15</v>
      </c>
      <c r="D8749" t="s" s="2">
        <v>16</v>
      </c>
      <c r="E8749" t="s" s="2">
        <v>17</v>
      </c>
      <c r="F8749" t="s" s="2">
        <f>HYPERLINK("http://ts.21cn.com/tousu/show/id/1362289","http://ts.21cn.com/tousu/show/id/1362289")</f>
      </c>
      <c r="G8749" t="s" s="2">
        <v>17</v>
      </c>
      <c r="H8749" t="s" s="2">
        <v>19</v>
      </c>
      <c r="I8749" t="s" s="2">
        <v>33747</v>
      </c>
      <c r="J8749" t="s" s="2">
        <v>33748</v>
      </c>
      <c r="K8749" t="s" s="2">
        <v>22</v>
      </c>
      <c r="L8749" t="s" s="2">
        <v>22</v>
      </c>
      <c r="M8749" t="s" s="2">
        <v>22</v>
      </c>
    </row>
    <row r="8750" ht="25.0" customHeight="true">
      <c r="A8750" t="s" s="2">
        <v>13</v>
      </c>
      <c r="B8750" t="s" s="2">
        <f>HYPERLINK("http://ts.21cn.com/tousu/show/id/1362287","恶意扣款")</f>
      </c>
      <c r="C8750" t="s" s="2">
        <v>15</v>
      </c>
      <c r="D8750" t="s" s="2">
        <v>16</v>
      </c>
      <c r="E8750" t="s" s="2">
        <v>17</v>
      </c>
      <c r="F8750" t="s" s="2">
        <f>HYPERLINK("http://ts.21cn.com/tousu/show/id/1362287","http://ts.21cn.com/tousu/show/id/1362287")</f>
      </c>
      <c r="G8750" t="s" s="2">
        <v>17</v>
      </c>
      <c r="H8750" t="s" s="2">
        <v>19</v>
      </c>
      <c r="I8750" t="s" s="2">
        <v>33750</v>
      </c>
      <c r="J8750" t="s" s="2">
        <v>33751</v>
      </c>
      <c r="K8750" t="s" s="2">
        <v>22</v>
      </c>
      <c r="L8750" t="s" s="2">
        <v>22</v>
      </c>
      <c r="M8750" t="s" s="2">
        <v>22</v>
      </c>
    </row>
    <row r="8751" ht="25.0" customHeight="true">
      <c r="A8751" t="s" s="2">
        <v>13</v>
      </c>
      <c r="B8751" t="s" s="2">
        <f>HYPERLINK("http://ts.21cn.com/tousu/show/id/1362284","暴力催收，电话接通就辱骂")</f>
      </c>
      <c r="C8751" t="s" s="2">
        <v>15</v>
      </c>
      <c r="D8751" t="s" s="2">
        <v>16</v>
      </c>
      <c r="E8751" t="s" s="2">
        <v>17</v>
      </c>
      <c r="F8751" t="s" s="2">
        <f>HYPERLINK("http://ts.21cn.com/tousu/show/id/1362284","http://ts.21cn.com/tousu/show/id/1362284")</f>
      </c>
      <c r="G8751" t="s" s="2">
        <v>17</v>
      </c>
      <c r="H8751" t="s" s="2">
        <v>19</v>
      </c>
      <c r="I8751" t="s" s="2">
        <v>33754</v>
      </c>
      <c r="J8751" t="s" s="2">
        <v>33755</v>
      </c>
      <c r="K8751" t="s" s="2">
        <v>22</v>
      </c>
      <c r="L8751" t="s" s="2">
        <v>22</v>
      </c>
      <c r="M8751" t="s" s="2">
        <v>22</v>
      </c>
    </row>
    <row r="8752" ht="25.0" customHeight="true">
      <c r="A8752" t="s" s="2">
        <v>13</v>
      </c>
      <c r="B8752" t="s" s="2">
        <f>HYPERLINK("http://ts.21cn.com/tousu/show/id/1362285","携程网订票强制购买额外租车券")</f>
      </c>
      <c r="C8752" t="s" s="2">
        <v>15</v>
      </c>
      <c r="D8752" t="s" s="2">
        <v>16</v>
      </c>
      <c r="E8752" t="s" s="2">
        <v>17</v>
      </c>
      <c r="F8752" t="s" s="2">
        <f>HYPERLINK("http://ts.21cn.com/tousu/show/id/1362285","http://ts.21cn.com/tousu/show/id/1362285")</f>
      </c>
      <c r="G8752" t="s" s="2">
        <v>17</v>
      </c>
      <c r="H8752" t="s" s="2">
        <v>19</v>
      </c>
      <c r="I8752" t="s" s="2">
        <v>33758</v>
      </c>
      <c r="J8752" t="s" s="2">
        <v>33759</v>
      </c>
      <c r="K8752" t="s" s="2">
        <v>22</v>
      </c>
      <c r="L8752" t="s" s="2">
        <v>22</v>
      </c>
      <c r="M8752" t="s" s="2">
        <v>22</v>
      </c>
    </row>
    <row r="8753" ht="25.0" customHeight="true">
      <c r="A8753" t="s" s="2">
        <v>13</v>
      </c>
      <c r="B8753" t="s" s="2">
        <f>HYPERLINK("http://ts.21cn.com/tousu/show/id/1362283","京东客服退款踢皮球")</f>
      </c>
      <c r="C8753" t="s" s="2">
        <v>15</v>
      </c>
      <c r="D8753" t="s" s="2">
        <v>16</v>
      </c>
      <c r="E8753" t="s" s="2">
        <v>17</v>
      </c>
      <c r="F8753" t="s" s="2">
        <f>HYPERLINK("http://ts.21cn.com/tousu/show/id/1362283","http://ts.21cn.com/tousu/show/id/1362283")</f>
      </c>
      <c r="G8753" t="s" s="2">
        <v>17</v>
      </c>
      <c r="H8753" t="s" s="2">
        <v>19</v>
      </c>
      <c r="I8753" t="s" s="2">
        <v>33762</v>
      </c>
      <c r="J8753" t="s" s="2">
        <v>33763</v>
      </c>
      <c r="K8753" t="s" s="2">
        <v>22</v>
      </c>
      <c r="L8753" t="s" s="2">
        <v>22</v>
      </c>
      <c r="M8753" t="s" s="2">
        <v>22</v>
      </c>
    </row>
    <row r="8754" ht="25.0" customHeight="true">
      <c r="A8754" t="s" s="2">
        <v>13</v>
      </c>
      <c r="B8754" t="s" s="2">
        <f>HYPERLINK("http://ts.21cn.com/tousu/show/id/1362282","我来贷催收骚扰")</f>
      </c>
      <c r="C8754" t="s" s="2">
        <v>15</v>
      </c>
      <c r="D8754" t="s" s="2">
        <v>16</v>
      </c>
      <c r="E8754" t="s" s="2">
        <v>17</v>
      </c>
      <c r="F8754" t="s" s="2">
        <f>HYPERLINK("http://ts.21cn.com/tousu/show/id/1362282","http://ts.21cn.com/tousu/show/id/1362282")</f>
      </c>
      <c r="G8754" t="s" s="2">
        <v>17</v>
      </c>
      <c r="H8754" t="s" s="2">
        <v>19</v>
      </c>
      <c r="I8754" t="s" s="2">
        <v>33766</v>
      </c>
      <c r="J8754" t="s" s="2">
        <v>33767</v>
      </c>
      <c r="K8754" t="s" s="2">
        <v>22</v>
      </c>
      <c r="L8754" t="s" s="2">
        <v>22</v>
      </c>
      <c r="M8754" t="s" s="2">
        <v>22</v>
      </c>
    </row>
    <row r="8755" ht="25.0" customHeight="true">
      <c r="A8755" t="s" s="2">
        <v>13</v>
      </c>
      <c r="B8755" t="s" s="2">
        <f>HYPERLINK("http://ts.21cn.com/tousu/show/id/1362281","银谷还钱")</f>
      </c>
      <c r="C8755" t="s" s="2">
        <v>52</v>
      </c>
      <c r="D8755" t="s" s="2">
        <v>16</v>
      </c>
      <c r="E8755" t="s" s="2">
        <v>17</v>
      </c>
      <c r="F8755" t="s" s="2">
        <f>HYPERLINK("http://ts.21cn.com/tousu/show/id/1362281","http://ts.21cn.com/tousu/show/id/1362281")</f>
      </c>
      <c r="G8755" t="s" s="2">
        <v>17</v>
      </c>
      <c r="H8755" t="s" s="2">
        <v>19</v>
      </c>
      <c r="I8755" t="s" s="2">
        <v>33770</v>
      </c>
      <c r="J8755" t="s" s="2">
        <v>33771</v>
      </c>
      <c r="K8755" t="s" s="2">
        <v>22</v>
      </c>
      <c r="L8755" t="s" s="2">
        <v>22</v>
      </c>
      <c r="M8755" t="s" s="2">
        <v>22</v>
      </c>
    </row>
    <row r="8756" ht="25.0" customHeight="true">
      <c r="A8756" t="s" s="2">
        <v>13</v>
      </c>
      <c r="B8756" t="s" s="2">
        <f>HYPERLINK("http://ts.21cn.com/tousu/show/id/1362279","恶意骚扰")</f>
      </c>
      <c r="C8756" t="s" s="2">
        <v>15</v>
      </c>
      <c r="D8756" t="s" s="2">
        <v>16</v>
      </c>
      <c r="E8756" t="s" s="2">
        <v>17</v>
      </c>
      <c r="F8756" t="s" s="2">
        <f>HYPERLINK("http://ts.21cn.com/tousu/show/id/1362279","http://ts.21cn.com/tousu/show/id/1362279")</f>
      </c>
      <c r="G8756" t="s" s="2">
        <v>17</v>
      </c>
      <c r="H8756" t="s" s="2">
        <v>19</v>
      </c>
      <c r="I8756" t="s" s="2">
        <v>33773</v>
      </c>
      <c r="J8756" t="s" s="2">
        <v>33774</v>
      </c>
      <c r="K8756" t="s" s="2">
        <v>22</v>
      </c>
      <c r="L8756" t="s" s="2">
        <v>22</v>
      </c>
      <c r="M8756" t="s" s="2">
        <v>22</v>
      </c>
    </row>
    <row r="8757" ht="25.0" customHeight="true">
      <c r="A8757" t="s" s="2">
        <v>13</v>
      </c>
      <c r="B8757" t="s" s="2">
        <f>HYPERLINK("http://ts.21cn.com/tousu/show/id/1362278","马上金融恐吓威胁违法催收")</f>
      </c>
      <c r="C8757" t="s" s="2">
        <v>15</v>
      </c>
      <c r="D8757" t="s" s="2">
        <v>16</v>
      </c>
      <c r="E8757" t="s" s="2">
        <v>17</v>
      </c>
      <c r="F8757" t="s" s="2">
        <f>HYPERLINK("http://ts.21cn.com/tousu/show/id/1362278","http://ts.21cn.com/tousu/show/id/1362278")</f>
      </c>
      <c r="G8757" t="s" s="2">
        <v>17</v>
      </c>
      <c r="H8757" t="s" s="2">
        <v>19</v>
      </c>
      <c r="I8757" t="s" s="2">
        <v>33777</v>
      </c>
      <c r="J8757" t="s" s="2">
        <v>33778</v>
      </c>
      <c r="K8757" t="s" s="2">
        <v>22</v>
      </c>
      <c r="L8757" t="s" s="2">
        <v>22</v>
      </c>
      <c r="M8757" t="s" s="2">
        <v>22</v>
      </c>
    </row>
    <row r="8758" ht="25.0" customHeight="true">
      <c r="A8758" t="s" s="2">
        <v>13</v>
      </c>
      <c r="B8758" t="s" s="2">
        <f>HYPERLINK("http://ts.21cn.com/tousu/show/id/1362277","广州是海珠区中影德金影城（客村丽影店）强制消费不开发票")</f>
      </c>
      <c r="C8758" t="s" s="2">
        <v>15</v>
      </c>
      <c r="D8758" t="s" s="2">
        <v>16</v>
      </c>
      <c r="E8758" t="s" s="2">
        <v>17</v>
      </c>
      <c r="F8758" t="s" s="2">
        <f>HYPERLINK("http://ts.21cn.com/tousu/show/id/1362277","http://ts.21cn.com/tousu/show/id/1362277")</f>
      </c>
      <c r="G8758" t="s" s="2">
        <v>17</v>
      </c>
      <c r="H8758" t="s" s="2">
        <v>19</v>
      </c>
      <c r="I8758" t="s" s="2">
        <v>33781</v>
      </c>
      <c r="J8758" t="s" s="2">
        <v>33782</v>
      </c>
      <c r="K8758" t="s" s="2">
        <v>22</v>
      </c>
      <c r="L8758" t="s" s="2">
        <v>22</v>
      </c>
      <c r="M8758" t="s" s="2">
        <v>22</v>
      </c>
    </row>
    <row r="8759" ht="25.0" customHeight="true">
      <c r="A8759" t="s" s="2">
        <v>13</v>
      </c>
      <c r="B8759" t="s" s="2">
        <f>HYPERLINK("http://ts.21cn.com/tousu/show/id/1362276","投诉新疆前海保险与网贷非法合作")</f>
      </c>
      <c r="C8759" t="s" s="2">
        <v>15</v>
      </c>
      <c r="D8759" t="s" s="2">
        <v>16</v>
      </c>
      <c r="E8759" t="s" s="2">
        <v>17</v>
      </c>
      <c r="F8759" t="s" s="2">
        <f>HYPERLINK("http://ts.21cn.com/tousu/show/id/1362276","http://ts.21cn.com/tousu/show/id/1362276")</f>
      </c>
      <c r="G8759" t="s" s="2">
        <v>17</v>
      </c>
      <c r="H8759" t="s" s="2">
        <v>19</v>
      </c>
      <c r="I8759" t="s" s="2">
        <v>33785</v>
      </c>
      <c r="J8759" t="s" s="2">
        <v>33786</v>
      </c>
      <c r="K8759" t="s" s="2">
        <v>22</v>
      </c>
      <c r="L8759" t="s" s="2">
        <v>22</v>
      </c>
      <c r="M8759" t="s" s="2">
        <v>22</v>
      </c>
    </row>
    <row r="8760" ht="25.0" customHeight="true">
      <c r="A8760" t="s" s="2">
        <v>13</v>
      </c>
      <c r="B8760" t="s" s="2">
        <f>HYPERLINK("http://ts.21cn.com/tousu/show/id/1362268","高利贷，套路贷暴力催收，高额利息")</f>
      </c>
      <c r="C8760" t="s" s="2">
        <v>15</v>
      </c>
      <c r="D8760" t="s" s="2">
        <v>16</v>
      </c>
      <c r="E8760" t="s" s="2">
        <v>17</v>
      </c>
      <c r="F8760" t="s" s="2">
        <f>HYPERLINK("http://ts.21cn.com/tousu/show/id/1362268","http://ts.21cn.com/tousu/show/id/1362268")</f>
      </c>
      <c r="G8760" t="s" s="2">
        <v>17</v>
      </c>
      <c r="H8760" t="s" s="2">
        <v>19</v>
      </c>
      <c r="I8760" t="s" s="2">
        <v>33789</v>
      </c>
      <c r="J8760" t="s" s="2">
        <v>33790</v>
      </c>
      <c r="K8760" t="s" s="2">
        <v>22</v>
      </c>
      <c r="L8760" t="s" s="2">
        <v>22</v>
      </c>
      <c r="M8760" t="s" s="2">
        <v>22</v>
      </c>
    </row>
    <row r="8761" ht="25.0" customHeight="true">
      <c r="A8761" t="s" s="2">
        <v>13</v>
      </c>
      <c r="B8761" t="s" s="2">
        <f>HYPERLINK("http://ts.21cn.com/tousu/show/id/1362275","高利贷砍头息")</f>
      </c>
      <c r="C8761" t="s" s="2">
        <v>15</v>
      </c>
      <c r="D8761" t="s" s="2">
        <v>16</v>
      </c>
      <c r="E8761" t="s" s="2">
        <v>17</v>
      </c>
      <c r="F8761" t="s" s="2">
        <f>HYPERLINK("http://ts.21cn.com/tousu/show/id/1362275","http://ts.21cn.com/tousu/show/id/1362275")</f>
      </c>
      <c r="G8761" t="s" s="2">
        <v>17</v>
      </c>
      <c r="H8761" t="s" s="2">
        <v>19</v>
      </c>
      <c r="I8761" t="s" s="2">
        <v>33789</v>
      </c>
      <c r="J8761" t="s" s="2">
        <v>33792</v>
      </c>
      <c r="K8761" t="s" s="2">
        <v>22</v>
      </c>
      <c r="L8761" t="s" s="2">
        <v>22</v>
      </c>
      <c r="M8761" t="s" s="2">
        <v>22</v>
      </c>
    </row>
    <row r="8762" ht="25.0" customHeight="true">
      <c r="A8762" t="s" s="2">
        <v>13</v>
      </c>
      <c r="B8762" t="s" s="2">
        <f>HYPERLINK("http://ts.21cn.com/tousu/show/id/1362273","哈罗出行助力车只退还50%的费用")</f>
      </c>
      <c r="C8762" t="s" s="2">
        <v>52</v>
      </c>
      <c r="D8762" t="s" s="2">
        <v>16</v>
      </c>
      <c r="E8762" t="s" s="2">
        <v>17</v>
      </c>
      <c r="F8762" t="s" s="2">
        <f>HYPERLINK("http://ts.21cn.com/tousu/show/id/1362273","http://ts.21cn.com/tousu/show/id/1362273")</f>
      </c>
      <c r="G8762" t="s" s="2">
        <v>17</v>
      </c>
      <c r="H8762" t="s" s="2">
        <v>19</v>
      </c>
      <c r="I8762" t="s" s="2">
        <v>33795</v>
      </c>
      <c r="J8762" t="s" s="2">
        <v>33796</v>
      </c>
      <c r="K8762" t="s" s="2">
        <v>22</v>
      </c>
      <c r="L8762" t="s" s="2">
        <v>22</v>
      </c>
      <c r="M8762" t="s" s="2">
        <v>22</v>
      </c>
    </row>
    <row r="8763" ht="25.0" customHeight="true">
      <c r="A8763" t="s" s="2">
        <v>13</v>
      </c>
      <c r="B8763" t="s" s="2">
        <f>HYPERLINK("http://ts.21cn.com/tousu/show/id/1362274","钱站高利贷，非法催收")</f>
      </c>
      <c r="C8763" t="s" s="2">
        <v>15</v>
      </c>
      <c r="D8763" t="s" s="2">
        <v>16</v>
      </c>
      <c r="E8763" t="s" s="2">
        <v>17</v>
      </c>
      <c r="F8763" t="s" s="2">
        <f>HYPERLINK("http://ts.21cn.com/tousu/show/id/1362274","http://ts.21cn.com/tousu/show/id/1362274")</f>
      </c>
      <c r="G8763" t="s" s="2">
        <v>17</v>
      </c>
      <c r="H8763" t="s" s="2">
        <v>19</v>
      </c>
      <c r="I8763" t="s" s="2">
        <v>33798</v>
      </c>
      <c r="J8763" t="s" s="2">
        <v>33799</v>
      </c>
      <c r="K8763" t="s" s="2">
        <v>22</v>
      </c>
      <c r="L8763" t="s" s="2">
        <v>22</v>
      </c>
      <c r="M8763" t="s" s="2">
        <v>22</v>
      </c>
    </row>
    <row r="8764" ht="25.0" customHeight="true">
      <c r="A8764" t="s" s="2">
        <v>13</v>
      </c>
      <c r="B8764" t="s" s="2">
        <f>HYPERLINK("http://ts.21cn.com/tousu/show/id/1362271","阴阳合同高利贷高违约金")</f>
      </c>
      <c r="C8764" t="s" s="2">
        <v>15</v>
      </c>
      <c r="D8764" t="s" s="2">
        <v>16</v>
      </c>
      <c r="E8764" t="s" s="2">
        <v>17</v>
      </c>
      <c r="F8764" t="s" s="2">
        <f>HYPERLINK("http://ts.21cn.com/tousu/show/id/1362271","http://ts.21cn.com/tousu/show/id/1362271")</f>
      </c>
      <c r="G8764" t="s" s="2">
        <v>17</v>
      </c>
      <c r="H8764" t="s" s="2">
        <v>19</v>
      </c>
      <c r="I8764" t="s" s="2">
        <v>33802</v>
      </c>
      <c r="J8764" t="s" s="2">
        <v>33803</v>
      </c>
      <c r="K8764" t="s" s="2">
        <v>22</v>
      </c>
      <c r="L8764" t="s" s="2">
        <v>22</v>
      </c>
      <c r="M8764" t="s" s="2">
        <v>22</v>
      </c>
    </row>
    <row r="8765" ht="25.0" customHeight="true">
      <c r="A8765" t="s" s="2">
        <v>13</v>
      </c>
      <c r="B8765" t="s" s="2">
        <f>HYPERLINK("http://ts.21cn.com/tousu/show/id/1362254","信用管家里面薪意贷高额利息")</f>
      </c>
      <c r="C8765" t="s" s="2">
        <v>15</v>
      </c>
      <c r="D8765" t="s" s="2">
        <v>16</v>
      </c>
      <c r="E8765" t="s" s="2">
        <v>17</v>
      </c>
      <c r="F8765" t="s" s="2">
        <f>HYPERLINK("http://ts.21cn.com/tousu/show/id/1362254","http://ts.21cn.com/tousu/show/id/1362254")</f>
      </c>
      <c r="G8765" t="s" s="2">
        <v>17</v>
      </c>
      <c r="H8765" t="s" s="2">
        <v>19</v>
      </c>
      <c r="I8765" t="s" s="2">
        <v>33806</v>
      </c>
      <c r="J8765" t="s" s="2">
        <v>33807</v>
      </c>
      <c r="K8765" t="s" s="2">
        <v>22</v>
      </c>
      <c r="L8765" t="s" s="2">
        <v>22</v>
      </c>
      <c r="M8765" t="s" s="2">
        <v>22</v>
      </c>
    </row>
    <row r="8766" ht="25.0" customHeight="true">
      <c r="A8766" t="s" s="2">
        <v>13</v>
      </c>
      <c r="B8766" t="s" s="2">
        <f>HYPERLINK("http://ts.21cn.com/tousu/show/id/1362265","偿还合理利息")</f>
      </c>
      <c r="C8766" t="s" s="2">
        <v>15</v>
      </c>
      <c r="D8766" t="s" s="2">
        <v>16</v>
      </c>
      <c r="E8766" t="s" s="2">
        <v>17</v>
      </c>
      <c r="F8766" t="s" s="2">
        <f>HYPERLINK("http://ts.21cn.com/tousu/show/id/1362265","http://ts.21cn.com/tousu/show/id/1362265")</f>
      </c>
      <c r="G8766" t="s" s="2">
        <v>17</v>
      </c>
      <c r="H8766" t="s" s="2">
        <v>19</v>
      </c>
      <c r="I8766" t="s" s="2">
        <v>33810</v>
      </c>
      <c r="J8766" t="s" s="2">
        <v>33811</v>
      </c>
      <c r="K8766" t="s" s="2">
        <v>22</v>
      </c>
      <c r="L8766" t="s" s="2">
        <v>22</v>
      </c>
      <c r="M8766" t="s" s="2">
        <v>22</v>
      </c>
    </row>
    <row r="8767" ht="25.0" customHeight="true">
      <c r="A8767" t="s" s="2">
        <v>13</v>
      </c>
      <c r="B8767" t="s" s="2">
        <f>HYPERLINK("http://ts.21cn.com/tousu/show/id/1362264","米米罐存在高利贷")</f>
      </c>
      <c r="C8767" t="s" s="2">
        <v>15</v>
      </c>
      <c r="D8767" t="s" s="2">
        <v>16</v>
      </c>
      <c r="E8767" t="s" s="2">
        <v>17</v>
      </c>
      <c r="F8767" t="s" s="2">
        <f>HYPERLINK("http://ts.21cn.com/tousu/show/id/1362264","http://ts.21cn.com/tousu/show/id/1362264")</f>
      </c>
      <c r="G8767" t="s" s="2">
        <v>17</v>
      </c>
      <c r="H8767" t="s" s="2">
        <v>19</v>
      </c>
      <c r="I8767" t="s" s="2">
        <v>33814</v>
      </c>
      <c r="J8767" t="s" s="2">
        <v>33815</v>
      </c>
      <c r="K8767" t="s" s="2">
        <v>22</v>
      </c>
      <c r="L8767" t="s" s="2">
        <v>22</v>
      </c>
      <c r="M8767" t="s" s="2">
        <v>22</v>
      </c>
    </row>
    <row r="8768" ht="25.0" customHeight="true">
      <c r="A8768" t="s" s="2">
        <v>13</v>
      </c>
      <c r="B8768" t="s" s="2">
        <f>HYPERLINK("http://ts.21cn.com/tousu/show/id/1362263","及贷逾期")</f>
      </c>
      <c r="C8768" t="s" s="2">
        <v>52</v>
      </c>
      <c r="D8768" t="s" s="2">
        <v>16</v>
      </c>
      <c r="E8768" t="s" s="2">
        <v>17</v>
      </c>
      <c r="F8768" t="s" s="2">
        <f>HYPERLINK("http://ts.21cn.com/tousu/show/id/1362263","http://ts.21cn.com/tousu/show/id/1362263")</f>
      </c>
      <c r="G8768" t="s" s="2">
        <v>17</v>
      </c>
      <c r="H8768" t="s" s="2">
        <v>19</v>
      </c>
      <c r="I8768" t="s" s="2">
        <v>33818</v>
      </c>
      <c r="J8768" t="s" s="2">
        <v>33819</v>
      </c>
      <c r="K8768" t="s" s="2">
        <v>22</v>
      </c>
      <c r="L8768" t="s" s="2">
        <v>22</v>
      </c>
      <c r="M8768" t="s" s="2">
        <v>22</v>
      </c>
    </row>
    <row r="8769" ht="25.0" customHeight="true">
      <c r="A8769" t="s" s="2">
        <v>13</v>
      </c>
      <c r="B8769" t="s" s="2">
        <f>HYPERLINK("http://ts.21cn.com/tousu/show/id/1362262","现金巴士恶意扣款，有会员费，加速费，暴力催收")</f>
      </c>
      <c r="C8769" t="s" s="2">
        <v>15</v>
      </c>
      <c r="D8769" t="s" s="2">
        <v>16</v>
      </c>
      <c r="E8769" t="s" s="2">
        <v>17</v>
      </c>
      <c r="F8769" t="s" s="2">
        <f>HYPERLINK("http://ts.21cn.com/tousu/show/id/1362262","http://ts.21cn.com/tousu/show/id/1362262")</f>
      </c>
      <c r="G8769" t="s" s="2">
        <v>17</v>
      </c>
      <c r="H8769" t="s" s="2">
        <v>19</v>
      </c>
      <c r="I8769" t="s" s="2">
        <v>33822</v>
      </c>
      <c r="J8769" t="s" s="2">
        <v>33823</v>
      </c>
      <c r="K8769" t="s" s="2">
        <v>22</v>
      </c>
      <c r="L8769" t="s" s="2">
        <v>22</v>
      </c>
      <c r="M8769" t="s" s="2">
        <v>22</v>
      </c>
    </row>
    <row r="8770" ht="25.0" customHeight="true">
      <c r="A8770" t="s" s="2">
        <v>13</v>
      </c>
      <c r="B8770" t="s" s="2">
        <f>HYPERLINK("http://ts.21cn.com/tousu/show/id/1362260","收取高额逾期费用")</f>
      </c>
      <c r="C8770" t="s" s="2">
        <v>15</v>
      </c>
      <c r="D8770" t="s" s="2">
        <v>16</v>
      </c>
      <c r="E8770" t="s" s="2">
        <v>17</v>
      </c>
      <c r="F8770" t="s" s="2">
        <f>HYPERLINK("http://ts.21cn.com/tousu/show/id/1362260","http://ts.21cn.com/tousu/show/id/1362260")</f>
      </c>
      <c r="G8770" t="s" s="2">
        <v>17</v>
      </c>
      <c r="H8770" t="s" s="2">
        <v>19</v>
      </c>
      <c r="I8770" t="s" s="2">
        <v>33826</v>
      </c>
      <c r="J8770" t="s" s="2">
        <v>33827</v>
      </c>
      <c r="K8770" t="s" s="2">
        <v>22</v>
      </c>
      <c r="L8770" t="s" s="2">
        <v>22</v>
      </c>
      <c r="M8770" t="s" s="2">
        <v>22</v>
      </c>
    </row>
    <row r="8771" ht="25.0" customHeight="true">
      <c r="A8771" t="s" s="2">
        <v>13</v>
      </c>
      <c r="B8771" t="s" s="2">
        <f>HYPERLINK("http://ts.21cn.com/tousu/show/id/1362259","我的号码被电话邦误标记了，审核每次都驳回")</f>
      </c>
      <c r="C8771" t="s" s="2">
        <v>15</v>
      </c>
      <c r="D8771" t="s" s="2">
        <v>16</v>
      </c>
      <c r="E8771" t="s" s="2">
        <v>17</v>
      </c>
      <c r="F8771" t="s" s="2">
        <f>HYPERLINK("http://ts.21cn.com/tousu/show/id/1362259","http://ts.21cn.com/tousu/show/id/1362259")</f>
      </c>
      <c r="G8771" t="s" s="2">
        <v>17</v>
      </c>
      <c r="H8771" t="s" s="2">
        <v>19</v>
      </c>
      <c r="I8771" t="s" s="2">
        <v>33830</v>
      </c>
      <c r="J8771" t="s" s="2">
        <v>33831</v>
      </c>
      <c r="K8771" t="s" s="2">
        <v>22</v>
      </c>
      <c r="L8771" t="s" s="2">
        <v>22</v>
      </c>
      <c r="M8771" t="s" s="2">
        <v>22</v>
      </c>
    </row>
    <row r="8772" ht="25.0" customHeight="true">
      <c r="A8772" t="s" s="2">
        <v>13</v>
      </c>
      <c r="B8772" t="s" s="2">
        <f>HYPERLINK("http://ts.21cn.com/tousu/show/id/1362242","投诉出行唯选，要回自己办卡的一千九百九十八元")</f>
      </c>
      <c r="C8772" t="s" s="2">
        <v>52</v>
      </c>
      <c r="D8772" t="s" s="2">
        <v>16</v>
      </c>
      <c r="E8772" t="s" s="2">
        <v>17</v>
      </c>
      <c r="F8772" t="s" s="2">
        <f>HYPERLINK("http://ts.21cn.com/tousu/show/id/1362242","http://ts.21cn.com/tousu/show/id/1362242")</f>
      </c>
      <c r="G8772" t="s" s="2">
        <v>17</v>
      </c>
      <c r="H8772" t="s" s="2">
        <v>19</v>
      </c>
      <c r="I8772" t="s" s="2">
        <v>33834</v>
      </c>
      <c r="J8772" t="s" s="2">
        <v>33835</v>
      </c>
      <c r="K8772" t="s" s="2">
        <v>22</v>
      </c>
      <c r="L8772" t="s" s="2">
        <v>22</v>
      </c>
      <c r="M8772" t="s" s="2">
        <v>22</v>
      </c>
    </row>
    <row r="8773" ht="25.0" customHeight="true">
      <c r="A8773" t="s" s="2">
        <v>13</v>
      </c>
      <c r="B8773" t="s" s="2">
        <f>HYPERLINK("http://ts.21cn.com/tousu/show/id/1362256","客服跟我解释不清楚，我还款了是怕越滚越多，但是我并不是认可，这期今天也是逾期一天，还还是1409逾期一天逾期费用是百分")</f>
      </c>
      <c r="C8773" t="s" s="2">
        <v>15</v>
      </c>
      <c r="D8773" t="s" s="2">
        <v>16</v>
      </c>
      <c r="E8773" t="s" s="2">
        <v>17</v>
      </c>
      <c r="F8773" t="s" s="2">
        <f>HYPERLINK("http://ts.21cn.com/tousu/show/id/1362256","http://ts.21cn.com/tousu/show/id/1362256")</f>
      </c>
      <c r="G8773" t="s" s="2">
        <v>17</v>
      </c>
      <c r="H8773" t="s" s="2">
        <v>19</v>
      </c>
      <c r="I8773" t="s" s="2">
        <v>33838</v>
      </c>
      <c r="J8773" t="s" s="2">
        <v>33839</v>
      </c>
      <c r="K8773" t="s" s="2">
        <v>22</v>
      </c>
      <c r="L8773" t="s" s="2">
        <v>22</v>
      </c>
      <c r="M8773" t="s" s="2">
        <v>22</v>
      </c>
    </row>
    <row r="8774" ht="25.0" customHeight="true">
      <c r="A8774" t="s" s="2">
        <v>13</v>
      </c>
      <c r="B8774" t="s" s="2">
        <f>HYPERLINK("http://ts.21cn.com/tousu/show/id/1362258","求分期乐给时间周转宽限")</f>
      </c>
      <c r="C8774" t="s" s="2">
        <v>52</v>
      </c>
      <c r="D8774" t="s" s="2">
        <v>16</v>
      </c>
      <c r="E8774" t="s" s="2">
        <v>17</v>
      </c>
      <c r="F8774" t="s" s="2">
        <f>HYPERLINK("http://ts.21cn.com/tousu/show/id/1362258","http://ts.21cn.com/tousu/show/id/1362258")</f>
      </c>
      <c r="G8774" t="s" s="2">
        <v>17</v>
      </c>
      <c r="H8774" t="s" s="2">
        <v>19</v>
      </c>
      <c r="I8774" t="s" s="2">
        <v>33842</v>
      </c>
      <c r="J8774" t="s" s="2">
        <v>33843</v>
      </c>
      <c r="K8774" t="s" s="2">
        <v>22</v>
      </c>
      <c r="L8774" t="s" s="2">
        <v>22</v>
      </c>
      <c r="M8774" t="s" s="2">
        <v>22</v>
      </c>
    </row>
    <row r="8775" ht="25.0" customHeight="true">
      <c r="A8775" t="s" s="2">
        <v>13</v>
      </c>
      <c r="B8775" t="s" s="2">
        <f>HYPERLINK("http://ts.21cn.com/tousu/show/id/1362253","玖富高利贷暴力催收")</f>
      </c>
      <c r="C8775" t="s" s="2">
        <v>15</v>
      </c>
      <c r="D8775" t="s" s="2">
        <v>16</v>
      </c>
      <c r="E8775" t="s" s="2">
        <v>17</v>
      </c>
      <c r="F8775" t="s" s="2">
        <f>HYPERLINK("http://ts.21cn.com/tousu/show/id/1362253","http://ts.21cn.com/tousu/show/id/1362253")</f>
      </c>
      <c r="G8775" t="s" s="2">
        <v>17</v>
      </c>
      <c r="H8775" t="s" s="2">
        <v>19</v>
      </c>
      <c r="I8775" t="s" s="2">
        <v>33846</v>
      </c>
      <c r="J8775" t="s" s="2">
        <v>33847</v>
      </c>
      <c r="K8775" t="s" s="2">
        <v>22</v>
      </c>
      <c r="L8775" t="s" s="2">
        <v>22</v>
      </c>
      <c r="M8775" t="s" s="2">
        <v>22</v>
      </c>
    </row>
    <row r="8776" ht="25.0" customHeight="true">
      <c r="A8776" t="s" s="2">
        <v>13</v>
      </c>
      <c r="B8776" t="s" s="2">
        <f>HYPERLINK("http://ts.21cn.com/tousu/show/id/1362251","京东金融私自泄露个人隐私信息")</f>
      </c>
      <c r="C8776" t="s" s="2">
        <v>15</v>
      </c>
      <c r="D8776" t="s" s="2">
        <v>16</v>
      </c>
      <c r="E8776" t="s" s="2">
        <v>17</v>
      </c>
      <c r="F8776" t="s" s="2">
        <f>HYPERLINK("http://ts.21cn.com/tousu/show/id/1362251","http://ts.21cn.com/tousu/show/id/1362251")</f>
      </c>
      <c r="G8776" t="s" s="2">
        <v>17</v>
      </c>
      <c r="H8776" t="s" s="2">
        <v>19</v>
      </c>
      <c r="I8776" t="s" s="2">
        <v>33850</v>
      </c>
      <c r="J8776" t="s" s="2">
        <v>33851</v>
      </c>
      <c r="K8776" t="s" s="2">
        <v>22</v>
      </c>
      <c r="L8776" t="s" s="2">
        <v>22</v>
      </c>
      <c r="M8776" t="s" s="2">
        <v>22</v>
      </c>
    </row>
    <row r="8777" ht="25.0" customHeight="true">
      <c r="A8777" t="s" s="2">
        <v>13</v>
      </c>
      <c r="B8777" t="s" s="2">
        <f>HYPERLINK("http://ts.21cn.com/tousu/show/id/1362252","钱站高利贷不合法网贷")</f>
      </c>
      <c r="C8777" t="s" s="2">
        <v>15</v>
      </c>
      <c r="D8777" t="s" s="2">
        <v>16</v>
      </c>
      <c r="E8777" t="s" s="2">
        <v>17</v>
      </c>
      <c r="F8777" t="s" s="2">
        <f>HYPERLINK("http://ts.21cn.com/tousu/show/id/1362252","http://ts.21cn.com/tousu/show/id/1362252")</f>
      </c>
      <c r="G8777" t="s" s="2">
        <v>17</v>
      </c>
      <c r="H8777" t="s" s="2">
        <v>19</v>
      </c>
      <c r="I8777" t="s" s="2">
        <v>33854</v>
      </c>
      <c r="J8777" t="s" s="2">
        <v>33855</v>
      </c>
      <c r="K8777" t="s" s="2">
        <v>22</v>
      </c>
      <c r="L8777" t="s" s="2">
        <v>22</v>
      </c>
      <c r="M8777" t="s" s="2">
        <v>22</v>
      </c>
    </row>
    <row r="8778" ht="25.0" customHeight="true">
      <c r="A8778" t="s" s="2">
        <v>13</v>
      </c>
      <c r="B8778" t="s" s="2">
        <f>HYPERLINK("http://ts.21cn.com/tousu/show/id/1362250","钱站诱惑欺诈目无王法")</f>
      </c>
      <c r="C8778" t="s" s="2">
        <v>15</v>
      </c>
      <c r="D8778" t="s" s="2">
        <v>16</v>
      </c>
      <c r="E8778" t="s" s="2">
        <v>17</v>
      </c>
      <c r="F8778" t="s" s="2">
        <f>HYPERLINK("http://ts.21cn.com/tousu/show/id/1362250","http://ts.21cn.com/tousu/show/id/1362250")</f>
      </c>
      <c r="G8778" t="s" s="2">
        <v>17</v>
      </c>
      <c r="H8778" t="s" s="2">
        <v>19</v>
      </c>
      <c r="I8778" t="s" s="2">
        <v>33858</v>
      </c>
      <c r="J8778" t="s" s="2">
        <v>33859</v>
      </c>
      <c r="K8778" t="s" s="2">
        <v>22</v>
      </c>
      <c r="L8778" t="s" s="2">
        <v>22</v>
      </c>
      <c r="M8778" t="s" s="2">
        <v>22</v>
      </c>
    </row>
    <row r="8779" ht="25.0" customHeight="true">
      <c r="A8779" t="s" s="2">
        <v>13</v>
      </c>
      <c r="B8779" t="s" s="2">
        <f>HYPERLINK("http://ts.21cn.com/tousu/show/id/1362249","求闪银给两天时间宽限")</f>
      </c>
      <c r="C8779" t="s" s="2">
        <v>52</v>
      </c>
      <c r="D8779" t="s" s="2">
        <v>16</v>
      </c>
      <c r="E8779" t="s" s="2">
        <v>17</v>
      </c>
      <c r="F8779" t="s" s="2">
        <f>HYPERLINK("http://ts.21cn.com/tousu/show/id/1362249","http://ts.21cn.com/tousu/show/id/1362249")</f>
      </c>
      <c r="G8779" t="s" s="2">
        <v>17</v>
      </c>
      <c r="H8779" t="s" s="2">
        <v>19</v>
      </c>
      <c r="I8779" t="s" s="2">
        <v>33862</v>
      </c>
      <c r="J8779" t="s" s="2">
        <v>33863</v>
      </c>
      <c r="K8779" t="s" s="2">
        <v>22</v>
      </c>
      <c r="L8779" t="s" s="2">
        <v>22</v>
      </c>
      <c r="M8779" t="s" s="2">
        <v>22</v>
      </c>
    </row>
    <row r="8780" ht="25.0" customHeight="true">
      <c r="A8780" t="s" s="2">
        <v>13</v>
      </c>
      <c r="B8780" t="s" s="2">
        <f>HYPERLINK("http://ts.21cn.com/tousu/show/id/1362248","中信银行暴利催收")</f>
      </c>
      <c r="C8780" t="s" s="2">
        <v>15</v>
      </c>
      <c r="D8780" t="s" s="2">
        <v>16</v>
      </c>
      <c r="E8780" t="s" s="2">
        <v>17</v>
      </c>
      <c r="F8780" t="s" s="2">
        <f>HYPERLINK("http://ts.21cn.com/tousu/show/id/1362248","http://ts.21cn.com/tousu/show/id/1362248")</f>
      </c>
      <c r="G8780" t="s" s="2">
        <v>17</v>
      </c>
      <c r="H8780" t="s" s="2">
        <v>19</v>
      </c>
      <c r="I8780" t="s" s="2">
        <v>33866</v>
      </c>
      <c r="J8780" t="s" s="2">
        <v>33867</v>
      </c>
      <c r="K8780" t="s" s="2">
        <v>22</v>
      </c>
      <c r="L8780" t="s" s="2">
        <v>22</v>
      </c>
      <c r="M8780" t="s" s="2">
        <v>22</v>
      </c>
    </row>
    <row r="8781" ht="25.0" customHeight="true">
      <c r="A8781" t="s" s="2">
        <v>13</v>
      </c>
      <c r="B8781" t="s" s="2">
        <f>HYPERLINK("http://ts.21cn.com/tousu/show/id/1362247","退还我的保险费用，包括之前我还清的也要退还")</f>
      </c>
      <c r="C8781" t="s" s="2">
        <v>15</v>
      </c>
      <c r="D8781" t="s" s="2">
        <v>16</v>
      </c>
      <c r="E8781" t="s" s="2">
        <v>17</v>
      </c>
      <c r="F8781" t="s" s="2">
        <f>HYPERLINK("http://ts.21cn.com/tousu/show/id/1362247","http://ts.21cn.com/tousu/show/id/1362247")</f>
      </c>
      <c r="G8781" t="s" s="2">
        <v>17</v>
      </c>
      <c r="H8781" t="s" s="2">
        <v>19</v>
      </c>
      <c r="I8781" t="s" s="2">
        <v>33870</v>
      </c>
      <c r="J8781" t="s" s="2">
        <v>33871</v>
      </c>
      <c r="K8781" t="s" s="2">
        <v>22</v>
      </c>
      <c r="L8781" t="s" s="2">
        <v>22</v>
      </c>
      <c r="M8781" t="s" s="2">
        <v>22</v>
      </c>
    </row>
    <row r="8782" ht="25.0" customHeight="true">
      <c r="A8782" t="s" s="2">
        <v>13</v>
      </c>
      <c r="B8782" t="s" s="2">
        <f>HYPERLINK("http://ts.21cn.com/tousu/show/id/1362246","百度服务乱扣费、（血汗钱）")</f>
      </c>
      <c r="C8782" t="s" s="2">
        <v>15</v>
      </c>
      <c r="D8782" t="s" s="2">
        <v>16</v>
      </c>
      <c r="E8782" t="s" s="2">
        <v>17</v>
      </c>
      <c r="F8782" t="s" s="2">
        <f>HYPERLINK("http://ts.21cn.com/tousu/show/id/1362246","http://ts.21cn.com/tousu/show/id/1362246")</f>
      </c>
      <c r="G8782" t="s" s="2">
        <v>17</v>
      </c>
      <c r="H8782" t="s" s="2">
        <v>19</v>
      </c>
      <c r="I8782" t="s" s="2">
        <v>33874</v>
      </c>
      <c r="J8782" t="s" s="2">
        <v>33875</v>
      </c>
      <c r="K8782" t="s" s="2">
        <v>22</v>
      </c>
      <c r="L8782" t="s" s="2">
        <v>22</v>
      </c>
      <c r="M8782" t="s" s="2">
        <v>22</v>
      </c>
    </row>
    <row r="8783" ht="25.0" customHeight="true">
      <c r="A8783" t="s" s="2">
        <v>13</v>
      </c>
      <c r="B8783" t="s" s="2">
        <f>HYPERLINK("http://ts.21cn.com/tousu/show/id/1362245","集体举报百度有钱花协助广州核芯教育科技有限公司联合诱导培训贷事件")</f>
      </c>
      <c r="C8783" t="s" s="2">
        <v>15</v>
      </c>
      <c r="D8783" t="s" s="2">
        <v>16</v>
      </c>
      <c r="E8783" t="s" s="2">
        <v>17</v>
      </c>
      <c r="F8783" t="s" s="2">
        <f>HYPERLINK("http://ts.21cn.com/tousu/show/id/1362245","http://ts.21cn.com/tousu/show/id/1362245")</f>
      </c>
      <c r="G8783" t="s" s="2">
        <v>17</v>
      </c>
      <c r="H8783" t="s" s="2">
        <v>19</v>
      </c>
      <c r="I8783" t="s" s="2">
        <v>33877</v>
      </c>
      <c r="J8783" t="s" s="2">
        <v>33878</v>
      </c>
      <c r="K8783" t="s" s="2">
        <v>22</v>
      </c>
      <c r="L8783" t="s" s="2">
        <v>22</v>
      </c>
      <c r="M8783" t="s" s="2">
        <v>22</v>
      </c>
    </row>
    <row r="8784" ht="25.0" customHeight="true">
      <c r="A8784" t="s" s="2">
        <v>13</v>
      </c>
      <c r="B8784" t="s" s="2">
        <f>HYPERLINK("http://ts.21cn.com/tousu/show/id/1362243","小当家还不了款")</f>
      </c>
      <c r="C8784" t="s" s="2">
        <v>52</v>
      </c>
      <c r="D8784" t="s" s="2">
        <v>16</v>
      </c>
      <c r="E8784" t="s" s="2">
        <v>17</v>
      </c>
      <c r="F8784" t="s" s="2">
        <f>HYPERLINK("http://ts.21cn.com/tousu/show/id/1362243","http://ts.21cn.com/tousu/show/id/1362243")</f>
      </c>
      <c r="G8784" t="s" s="2">
        <v>17</v>
      </c>
      <c r="H8784" t="s" s="2">
        <v>19</v>
      </c>
      <c r="I8784" t="s" s="2">
        <v>33881</v>
      </c>
      <c r="J8784" t="s" s="2">
        <v>33882</v>
      </c>
      <c r="K8784" t="s" s="2">
        <v>22</v>
      </c>
      <c r="L8784" t="s" s="2">
        <v>22</v>
      </c>
      <c r="M8784" t="s" s="2">
        <v>22</v>
      </c>
    </row>
    <row r="8785" ht="25.0" customHeight="true">
      <c r="A8785" t="s" s="2">
        <v>13</v>
      </c>
      <c r="B8785" t="s" s="2">
        <f>HYPERLINK("http://ts.21cn.com/tousu/show/id/1362241","点我达恶意扣款")</f>
      </c>
      <c r="C8785" t="s" s="2">
        <v>15</v>
      </c>
      <c r="D8785" t="s" s="2">
        <v>16</v>
      </c>
      <c r="E8785" t="s" s="2">
        <v>17</v>
      </c>
      <c r="F8785" t="s" s="2">
        <f>HYPERLINK("http://ts.21cn.com/tousu/show/id/1362241","http://ts.21cn.com/tousu/show/id/1362241")</f>
      </c>
      <c r="G8785" t="s" s="2">
        <v>17</v>
      </c>
      <c r="H8785" t="s" s="2">
        <v>19</v>
      </c>
      <c r="I8785" t="s" s="2">
        <v>33885</v>
      </c>
      <c r="J8785" t="s" s="2">
        <v>33886</v>
      </c>
      <c r="K8785" t="s" s="2">
        <v>22</v>
      </c>
      <c r="L8785" t="s" s="2">
        <v>22</v>
      </c>
      <c r="M8785" t="s" s="2">
        <v>22</v>
      </c>
    </row>
    <row r="8786" ht="25.0" customHeight="true">
      <c r="A8786" t="s" s="2">
        <v>13</v>
      </c>
      <c r="B8786" t="s" s="2">
        <f>HYPERLINK("http://ts.21cn.com/tousu/show/id/1362238","兴业银行信用卡暴力催收")</f>
      </c>
      <c r="C8786" t="s" s="2">
        <v>15</v>
      </c>
      <c r="D8786" t="s" s="2">
        <v>16</v>
      </c>
      <c r="E8786" t="s" s="2">
        <v>17</v>
      </c>
      <c r="F8786" t="s" s="2">
        <f>HYPERLINK("http://ts.21cn.com/tousu/show/id/1362238","http://ts.21cn.com/tousu/show/id/1362238")</f>
      </c>
      <c r="G8786" t="s" s="2">
        <v>17</v>
      </c>
      <c r="H8786" t="s" s="2">
        <v>19</v>
      </c>
      <c r="I8786" t="s" s="2">
        <v>33888</v>
      </c>
      <c r="J8786" t="s" s="2">
        <v>33889</v>
      </c>
      <c r="K8786" t="s" s="2">
        <v>22</v>
      </c>
      <c r="L8786" t="s" s="2">
        <v>22</v>
      </c>
      <c r="M8786" t="s" s="2">
        <v>22</v>
      </c>
    </row>
    <row r="8787" ht="25.0" customHeight="true">
      <c r="A8787" t="s" s="2">
        <v>13</v>
      </c>
      <c r="B8787" t="s" s="2">
        <f>HYPERLINK("http://ts.21cn.com/tousu/show/id/1362239","闪银哼哼，瞬瞬套路贷")</f>
      </c>
      <c r="C8787" t="s" s="2">
        <v>15</v>
      </c>
      <c r="D8787" t="s" s="2">
        <v>16</v>
      </c>
      <c r="E8787" t="s" s="2">
        <v>17</v>
      </c>
      <c r="F8787" t="s" s="2">
        <f>HYPERLINK("http://ts.21cn.com/tousu/show/id/1362239","http://ts.21cn.com/tousu/show/id/1362239")</f>
      </c>
      <c r="G8787" t="s" s="2">
        <v>17</v>
      </c>
      <c r="H8787" t="s" s="2">
        <v>19</v>
      </c>
      <c r="I8787" t="s" s="2">
        <v>33892</v>
      </c>
      <c r="J8787" t="s" s="2">
        <v>33893</v>
      </c>
      <c r="K8787" t="s" s="2">
        <v>22</v>
      </c>
      <c r="L8787" t="s" s="2">
        <v>22</v>
      </c>
      <c r="M8787" t="s" s="2">
        <v>22</v>
      </c>
    </row>
    <row r="8788" ht="25.0" customHeight="true">
      <c r="A8788" t="s" s="2">
        <v>13</v>
      </c>
      <c r="B8788" t="s" s="2">
        <f>HYPERLINK("http://ts.21cn.com/tousu/show/id/1362237","拍拍贷盗取用户信息，频繁骚扰不相关联系人")</f>
      </c>
      <c r="C8788" t="s" s="2">
        <v>15</v>
      </c>
      <c r="D8788" t="s" s="2">
        <v>16</v>
      </c>
      <c r="E8788" t="s" s="2">
        <v>17</v>
      </c>
      <c r="F8788" t="s" s="2">
        <f>HYPERLINK("http://ts.21cn.com/tousu/show/id/1362237","http://ts.21cn.com/tousu/show/id/1362237")</f>
      </c>
      <c r="G8788" t="s" s="2">
        <v>17</v>
      </c>
      <c r="H8788" t="s" s="2">
        <v>19</v>
      </c>
      <c r="I8788" t="s" s="2">
        <v>33896</v>
      </c>
      <c r="J8788" t="s" s="2">
        <v>33897</v>
      </c>
      <c r="K8788" t="s" s="2">
        <v>22</v>
      </c>
      <c r="L8788" t="s" s="2">
        <v>22</v>
      </c>
      <c r="M8788" t="s" s="2">
        <v>22</v>
      </c>
    </row>
    <row r="8789" ht="25.0" customHeight="true">
      <c r="A8789" t="s" s="2">
        <v>13</v>
      </c>
      <c r="B8789" t="s" s="2">
        <f>HYPERLINK("http://ts.21cn.com/tousu/show/id/1362236","双证司机流水得不到保障派单公平没有倾斜")</f>
      </c>
      <c r="C8789" t="s" s="2">
        <v>15</v>
      </c>
      <c r="D8789" t="s" s="2">
        <v>16</v>
      </c>
      <c r="E8789" t="s" s="2">
        <v>17</v>
      </c>
      <c r="F8789" t="s" s="2">
        <f>HYPERLINK("http://ts.21cn.com/tousu/show/id/1362236","http://ts.21cn.com/tousu/show/id/1362236")</f>
      </c>
      <c r="G8789" t="s" s="2">
        <v>17</v>
      </c>
      <c r="H8789" t="s" s="2">
        <v>19</v>
      </c>
      <c r="I8789" t="s" s="2">
        <v>33900</v>
      </c>
      <c r="J8789" t="s" s="2">
        <v>33901</v>
      </c>
      <c r="K8789" t="s" s="2">
        <v>22</v>
      </c>
      <c r="L8789" t="s" s="2">
        <v>22</v>
      </c>
      <c r="M8789" t="s" s="2">
        <v>22</v>
      </c>
    </row>
    <row r="8790" ht="25.0" customHeight="true">
      <c r="A8790" t="s" s="2">
        <v>13</v>
      </c>
      <c r="B8790" t="s" s="2">
        <f>HYPERLINK("http://ts.21cn.com/tousu/show/id/1362234","滴滴平台不公平，乱扣钱")</f>
      </c>
      <c r="C8790" t="s" s="2">
        <v>15</v>
      </c>
      <c r="D8790" t="s" s="2">
        <v>16</v>
      </c>
      <c r="E8790" t="s" s="2">
        <v>17</v>
      </c>
      <c r="F8790" t="s" s="2">
        <f>HYPERLINK("http://ts.21cn.com/tousu/show/id/1362234","http://ts.21cn.com/tousu/show/id/1362234")</f>
      </c>
      <c r="G8790" t="s" s="2">
        <v>17</v>
      </c>
      <c r="H8790" t="s" s="2">
        <v>19</v>
      </c>
      <c r="I8790" t="s" s="2">
        <v>33904</v>
      </c>
      <c r="J8790" t="s" s="2">
        <v>33905</v>
      </c>
      <c r="K8790" t="s" s="2">
        <v>22</v>
      </c>
      <c r="L8790" t="s" s="2">
        <v>22</v>
      </c>
      <c r="M8790" t="s" s="2">
        <v>22</v>
      </c>
    </row>
    <row r="8791" ht="25.0" customHeight="true">
      <c r="A8791" t="s" s="2">
        <v>13</v>
      </c>
      <c r="B8791" t="s" s="2">
        <f>HYPERLINK("http://ts.21cn.com/tousu/show/id/1362232","海南胜云可网络科技有限公司")</f>
      </c>
      <c r="C8791" t="s" s="2">
        <v>52</v>
      </c>
      <c r="D8791" t="s" s="2">
        <v>16</v>
      </c>
      <c r="E8791" t="s" s="2">
        <v>17</v>
      </c>
      <c r="F8791" t="s" s="2">
        <f>HYPERLINK("http://ts.21cn.com/tousu/show/id/1362232","http://ts.21cn.com/tousu/show/id/1362232")</f>
      </c>
      <c r="G8791" t="s" s="2">
        <v>17</v>
      </c>
      <c r="H8791" t="s" s="2">
        <v>19</v>
      </c>
      <c r="I8791" t="s" s="2">
        <v>33908</v>
      </c>
      <c r="J8791" t="s" s="2">
        <v>33909</v>
      </c>
      <c r="K8791" t="s" s="2">
        <v>22</v>
      </c>
      <c r="L8791" t="s" s="2">
        <v>22</v>
      </c>
      <c r="M8791" t="s" s="2">
        <v>22</v>
      </c>
    </row>
    <row r="8792" ht="25.0" customHeight="true">
      <c r="A8792" t="s" s="2">
        <v>13</v>
      </c>
      <c r="B8792" t="s" s="2">
        <f>HYPERLINK("http://ts.21cn.com/tousu/show/id/1362231","中行银企对接无故代收费")</f>
      </c>
      <c r="C8792" t="s" s="2">
        <v>15</v>
      </c>
      <c r="D8792" t="s" s="2">
        <v>16</v>
      </c>
      <c r="E8792" t="s" s="2">
        <v>17</v>
      </c>
      <c r="F8792" t="s" s="2">
        <f>HYPERLINK("http://ts.21cn.com/tousu/show/id/1362231","http://ts.21cn.com/tousu/show/id/1362231")</f>
      </c>
      <c r="G8792" t="s" s="2">
        <v>17</v>
      </c>
      <c r="H8792" t="s" s="2">
        <v>19</v>
      </c>
      <c r="I8792" t="s" s="2">
        <v>33912</v>
      </c>
      <c r="J8792" t="s" s="2">
        <v>33913</v>
      </c>
      <c r="K8792" t="s" s="2">
        <v>22</v>
      </c>
      <c r="L8792" t="s" s="2">
        <v>22</v>
      </c>
      <c r="M8792" t="s" s="2">
        <v>22</v>
      </c>
    </row>
    <row r="8793" ht="25.0" customHeight="true">
      <c r="A8793" t="s" s="2">
        <v>13</v>
      </c>
      <c r="B8793" t="s" s="2">
        <f>HYPERLINK("http://ts.21cn.com/tousu/show/id/1362230","百度金融第三方催收不知道哪里弄来我现在公司电话，严重影响我的工作")</f>
      </c>
      <c r="C8793" t="s" s="2">
        <v>15</v>
      </c>
      <c r="D8793" t="s" s="2">
        <v>16</v>
      </c>
      <c r="E8793" t="s" s="2">
        <v>17</v>
      </c>
      <c r="F8793" t="s" s="2">
        <f>HYPERLINK("http://ts.21cn.com/tousu/show/id/1362230","http://ts.21cn.com/tousu/show/id/1362230")</f>
      </c>
      <c r="G8793" t="s" s="2">
        <v>17</v>
      </c>
      <c r="H8793" t="s" s="2">
        <v>19</v>
      </c>
      <c r="I8793" t="s" s="2">
        <v>33916</v>
      </c>
      <c r="J8793" t="s" s="2">
        <v>33917</v>
      </c>
      <c r="K8793" t="s" s="2">
        <v>22</v>
      </c>
      <c r="L8793" t="s" s="2">
        <v>22</v>
      </c>
      <c r="M8793" t="s" s="2">
        <v>22</v>
      </c>
    </row>
    <row r="8794" ht="25.0" customHeight="true">
      <c r="A8794" t="s" s="2">
        <v>13</v>
      </c>
      <c r="B8794" t="s" s="2">
        <f>HYPERLINK("http://ts.21cn.com/tousu/show/id/1362229","合同欺诈")</f>
      </c>
      <c r="C8794" t="s" s="2">
        <v>15</v>
      </c>
      <c r="D8794" t="s" s="2">
        <v>16</v>
      </c>
      <c r="E8794" t="s" s="2">
        <v>17</v>
      </c>
      <c r="F8794" t="s" s="2">
        <f>HYPERLINK("http://ts.21cn.com/tousu/show/id/1362229","http://ts.21cn.com/tousu/show/id/1362229")</f>
      </c>
      <c r="G8794" t="s" s="2">
        <v>17</v>
      </c>
      <c r="H8794" t="s" s="2">
        <v>19</v>
      </c>
      <c r="I8794" t="s" s="2">
        <v>33920</v>
      </c>
      <c r="J8794" t="s" s="2">
        <v>33921</v>
      </c>
      <c r="K8794" t="s" s="2">
        <v>22</v>
      </c>
      <c r="L8794" t="s" s="2">
        <v>22</v>
      </c>
      <c r="M8794" t="s" s="2">
        <v>22</v>
      </c>
    </row>
    <row r="8795" ht="25.0" customHeight="true">
      <c r="A8795" t="s" s="2">
        <v>13</v>
      </c>
      <c r="B8795" t="s" s="2">
        <f>HYPERLINK("http://ts.21cn.com/tousu/show/id/1362228","及贷放款时直接扣除所谓的保费，存在欺诈消费行为")</f>
      </c>
      <c r="C8795" t="s" s="2">
        <v>15</v>
      </c>
      <c r="D8795" t="s" s="2">
        <v>16</v>
      </c>
      <c r="E8795" t="s" s="2">
        <v>17</v>
      </c>
      <c r="F8795" t="s" s="2">
        <f>HYPERLINK("http://ts.21cn.com/tousu/show/id/1362228","http://ts.21cn.com/tousu/show/id/1362228")</f>
      </c>
      <c r="G8795" t="s" s="2">
        <v>17</v>
      </c>
      <c r="H8795" t="s" s="2">
        <v>19</v>
      </c>
      <c r="I8795" t="s" s="2">
        <v>33923</v>
      </c>
      <c r="J8795" t="s" s="2">
        <v>33924</v>
      </c>
      <c r="K8795" t="s" s="2">
        <v>22</v>
      </c>
      <c r="L8795" t="s" s="2">
        <v>22</v>
      </c>
      <c r="M8795" t="s" s="2">
        <v>22</v>
      </c>
    </row>
    <row r="8796" ht="25.0" customHeight="true">
      <c r="A8796" t="s" s="2">
        <v>13</v>
      </c>
      <c r="B8796" t="s" s="2">
        <f>HYPERLINK("http://ts.21cn.com/tousu/show/id/1362227","捷信利息太高，高出国家规定利息")</f>
      </c>
      <c r="C8796" t="s" s="2">
        <v>15</v>
      </c>
      <c r="D8796" t="s" s="2">
        <v>16</v>
      </c>
      <c r="E8796" t="s" s="2">
        <v>17</v>
      </c>
      <c r="F8796" t="s" s="2">
        <f>HYPERLINK("http://ts.21cn.com/tousu/show/id/1362227","http://ts.21cn.com/tousu/show/id/1362227")</f>
      </c>
      <c r="G8796" t="s" s="2">
        <v>17</v>
      </c>
      <c r="H8796" t="s" s="2">
        <v>19</v>
      </c>
      <c r="I8796" t="s" s="2">
        <v>33927</v>
      </c>
      <c r="J8796" t="s" s="2">
        <v>33928</v>
      </c>
      <c r="K8796" t="s" s="2">
        <v>22</v>
      </c>
      <c r="L8796" t="s" s="2">
        <v>22</v>
      </c>
      <c r="M8796" t="s" s="2">
        <v>22</v>
      </c>
    </row>
    <row r="8797" ht="25.0" customHeight="true">
      <c r="A8797" t="s" s="2">
        <v>13</v>
      </c>
      <c r="B8797" t="s" s="2">
        <f>HYPERLINK("http://ts.21cn.com/tousu/show/id/1362226","省呗-高利贷")</f>
      </c>
      <c r="C8797" t="s" s="2">
        <v>15</v>
      </c>
      <c r="D8797" t="s" s="2">
        <v>16</v>
      </c>
      <c r="E8797" t="s" s="2">
        <v>17</v>
      </c>
      <c r="F8797" t="s" s="2">
        <f>HYPERLINK("http://ts.21cn.com/tousu/show/id/1362226","http://ts.21cn.com/tousu/show/id/1362226")</f>
      </c>
      <c r="G8797" t="s" s="2">
        <v>17</v>
      </c>
      <c r="H8797" t="s" s="2">
        <v>19</v>
      </c>
      <c r="I8797" t="s" s="2">
        <v>33931</v>
      </c>
      <c r="J8797" t="s" s="2">
        <v>33932</v>
      </c>
      <c r="K8797" t="s" s="2">
        <v>22</v>
      </c>
      <c r="L8797" t="s" s="2">
        <v>22</v>
      </c>
      <c r="M8797" t="s" s="2">
        <v>22</v>
      </c>
    </row>
    <row r="8798" ht="25.0" customHeight="true">
      <c r="A8798" t="s" s="2">
        <v>13</v>
      </c>
      <c r="B8798" t="s" s="2">
        <f>HYPERLINK("http://ts.21cn.com/tousu/show/id/1361571","爆我通讯录骚扰我亲戚")</f>
      </c>
      <c r="C8798" t="s" s="2">
        <v>15</v>
      </c>
      <c r="D8798" t="s" s="2">
        <v>16</v>
      </c>
      <c r="E8798" t="s" s="2">
        <v>17</v>
      </c>
      <c r="F8798" t="s" s="2">
        <f>HYPERLINK("http://ts.21cn.com/tousu/show/id/1361571","http://ts.21cn.com/tousu/show/id/1361571")</f>
      </c>
      <c r="G8798" t="s" s="2">
        <v>17</v>
      </c>
      <c r="H8798" t="s" s="2">
        <v>19</v>
      </c>
      <c r="I8798" t="s" s="2">
        <v>33935</v>
      </c>
      <c r="J8798" t="s" s="2">
        <v>33936</v>
      </c>
      <c r="K8798" t="s" s="2">
        <v>22</v>
      </c>
      <c r="L8798" t="s" s="2">
        <v>22</v>
      </c>
      <c r="M8798" t="s" s="2">
        <v>22</v>
      </c>
    </row>
    <row r="8799" ht="25.0" customHeight="true">
      <c r="A8799" t="s" s="2">
        <v>13</v>
      </c>
      <c r="B8799" t="s" s="2">
        <f>HYPERLINK("http://ts.21cn.com/tousu/show/id/1362225","希望闪银延期")</f>
      </c>
      <c r="C8799" t="s" s="2">
        <v>52</v>
      </c>
      <c r="D8799" t="s" s="2">
        <v>16</v>
      </c>
      <c r="E8799" t="s" s="2">
        <v>17</v>
      </c>
      <c r="F8799" t="s" s="2">
        <f>HYPERLINK("http://ts.21cn.com/tousu/show/id/1362225","http://ts.21cn.com/tousu/show/id/1362225")</f>
      </c>
      <c r="G8799" t="s" s="2">
        <v>17</v>
      </c>
      <c r="H8799" t="s" s="2">
        <v>19</v>
      </c>
      <c r="I8799" t="s" s="2">
        <v>33939</v>
      </c>
      <c r="J8799" t="s" s="2">
        <v>33940</v>
      </c>
      <c r="K8799" t="s" s="2">
        <v>22</v>
      </c>
      <c r="L8799" t="s" s="2">
        <v>22</v>
      </c>
      <c r="M8799" t="s" s="2">
        <v>22</v>
      </c>
    </row>
    <row r="8800" ht="25.0" customHeight="true">
      <c r="A8800" t="s" s="2">
        <v>13</v>
      </c>
      <c r="B8800" t="s" s="2">
        <f>HYPERLINK("http://ts.21cn.com/tousu/show/id/1362209","中信银行信用卡催收假冒公安函")</f>
      </c>
      <c r="C8800" t="s" s="2">
        <v>15</v>
      </c>
      <c r="D8800" t="s" s="2">
        <v>16</v>
      </c>
      <c r="E8800" t="s" s="2">
        <v>17</v>
      </c>
      <c r="F8800" t="s" s="2">
        <f>HYPERLINK("http://ts.21cn.com/tousu/show/id/1362209","http://ts.21cn.com/tousu/show/id/1362209")</f>
      </c>
      <c r="G8800" t="s" s="2">
        <v>17</v>
      </c>
      <c r="H8800" t="s" s="2">
        <v>19</v>
      </c>
      <c r="I8800" t="s" s="2">
        <v>33943</v>
      </c>
      <c r="J8800" t="s" s="2">
        <v>33944</v>
      </c>
      <c r="K8800" t="s" s="2">
        <v>22</v>
      </c>
      <c r="L8800" t="s" s="2">
        <v>22</v>
      </c>
      <c r="M8800" t="s" s="2">
        <v>22</v>
      </c>
    </row>
    <row r="8801" ht="25.0" customHeight="true">
      <c r="A8801" t="s" s="2">
        <v>13</v>
      </c>
      <c r="B8801" t="s" s="2">
        <f>HYPERLINK("http://ts.21cn.com/tousu/show/id/1362224","及贷智享贷")</f>
      </c>
      <c r="C8801" t="s" s="2">
        <v>15</v>
      </c>
      <c r="D8801" t="s" s="2">
        <v>16</v>
      </c>
      <c r="E8801" t="s" s="2">
        <v>17</v>
      </c>
      <c r="F8801" t="s" s="2">
        <f>HYPERLINK("http://ts.21cn.com/tousu/show/id/1362224","http://ts.21cn.com/tousu/show/id/1362224")</f>
      </c>
      <c r="G8801" t="s" s="2">
        <v>17</v>
      </c>
      <c r="H8801" t="s" s="2">
        <v>19</v>
      </c>
      <c r="I8801" t="s" s="2">
        <v>33947</v>
      </c>
      <c r="J8801" t="s" s="2">
        <v>33948</v>
      </c>
      <c r="K8801" t="s" s="2">
        <v>22</v>
      </c>
      <c r="L8801" t="s" s="2">
        <v>22</v>
      </c>
      <c r="M8801" t="s" s="2">
        <v>22</v>
      </c>
    </row>
    <row r="8802" ht="25.0" customHeight="true">
      <c r="A8802" t="s" s="2">
        <v>13</v>
      </c>
      <c r="B8802" t="s" s="2">
        <f>HYPERLINK("http://ts.21cn.com/tousu/show/id/1362222","飞贷年利率是36%，是高利贷，逾期几天威胁上门砍人")</f>
      </c>
      <c r="C8802" t="s" s="2">
        <v>15</v>
      </c>
      <c r="D8802" t="s" s="2">
        <v>16</v>
      </c>
      <c r="E8802" t="s" s="2">
        <v>17</v>
      </c>
      <c r="F8802" t="s" s="2">
        <f>HYPERLINK("http://ts.21cn.com/tousu/show/id/1362222","http://ts.21cn.com/tousu/show/id/1362222")</f>
      </c>
      <c r="G8802" t="s" s="2">
        <v>17</v>
      </c>
      <c r="H8802" t="s" s="2">
        <v>19</v>
      </c>
      <c r="I8802" t="s" s="2">
        <v>33951</v>
      </c>
      <c r="J8802" t="s" s="2">
        <v>33952</v>
      </c>
      <c r="K8802" t="s" s="2">
        <v>22</v>
      </c>
      <c r="L8802" t="s" s="2">
        <v>22</v>
      </c>
      <c r="M8802" t="s" s="2">
        <v>22</v>
      </c>
    </row>
    <row r="8803" ht="25.0" customHeight="true">
      <c r="A8803" t="s" s="2">
        <v>13</v>
      </c>
      <c r="B8803" t="s" s="2">
        <f>HYPERLINK("http://ts.21cn.com/tousu/show/id/1362223","肥猫应急什么时候处理")</f>
      </c>
      <c r="C8803" t="s" s="2">
        <v>15</v>
      </c>
      <c r="D8803" t="s" s="2">
        <v>16</v>
      </c>
      <c r="E8803" t="s" s="2">
        <v>17</v>
      </c>
      <c r="F8803" t="s" s="2">
        <f>HYPERLINK("http://ts.21cn.com/tousu/show/id/1362223","http://ts.21cn.com/tousu/show/id/1362223")</f>
      </c>
      <c r="G8803" t="s" s="2">
        <v>17</v>
      </c>
      <c r="H8803" t="s" s="2">
        <v>19</v>
      </c>
      <c r="I8803" t="s" s="2">
        <v>33955</v>
      </c>
      <c r="J8803" t="s" s="2">
        <v>33956</v>
      </c>
      <c r="K8803" t="s" s="2">
        <v>22</v>
      </c>
      <c r="L8803" t="s" s="2">
        <v>22</v>
      </c>
      <c r="M8803" t="s" s="2">
        <v>22</v>
      </c>
    </row>
    <row r="8804" ht="25.0" customHeight="true">
      <c r="A8804" t="s" s="2">
        <v>13</v>
      </c>
      <c r="B8804" t="s" s="2">
        <f>HYPERLINK("http://ts.21cn.com/tousu/show/id/1362221","及贷变相高息高利贷")</f>
      </c>
      <c r="C8804" t="s" s="2">
        <v>15</v>
      </c>
      <c r="D8804" t="s" s="2">
        <v>16</v>
      </c>
      <c r="E8804" t="s" s="2">
        <v>17</v>
      </c>
      <c r="F8804" t="s" s="2">
        <f>HYPERLINK("http://ts.21cn.com/tousu/show/id/1362221","http://ts.21cn.com/tousu/show/id/1362221")</f>
      </c>
      <c r="G8804" t="s" s="2">
        <v>17</v>
      </c>
      <c r="H8804" t="s" s="2">
        <v>19</v>
      </c>
      <c r="I8804" t="s" s="2">
        <v>33959</v>
      </c>
      <c r="J8804" t="s" s="2">
        <v>33960</v>
      </c>
      <c r="K8804" t="s" s="2">
        <v>22</v>
      </c>
      <c r="L8804" t="s" s="2">
        <v>22</v>
      </c>
      <c r="M8804" t="s" s="2">
        <v>22</v>
      </c>
    </row>
    <row r="8805" ht="25.0" customHeight="true">
      <c r="A8805" t="s" s="2">
        <v>13</v>
      </c>
      <c r="B8805" t="s" s="2">
        <f>HYPERLINK("http://ts.21cn.com/tousu/show/id/1362220","周周花花套路贷")</f>
      </c>
      <c r="C8805" t="s" s="2">
        <v>15</v>
      </c>
      <c r="D8805" t="s" s="2">
        <v>16</v>
      </c>
      <c r="E8805" t="s" s="2">
        <v>17</v>
      </c>
      <c r="F8805" t="s" s="2">
        <f>HYPERLINK("http://ts.21cn.com/tousu/show/id/1362220","http://ts.21cn.com/tousu/show/id/1362220")</f>
      </c>
      <c r="G8805" t="s" s="2">
        <v>17</v>
      </c>
      <c r="H8805" t="s" s="2">
        <v>19</v>
      </c>
      <c r="I8805" t="s" s="2">
        <v>33962</v>
      </c>
      <c r="J8805" t="s" s="2">
        <v>33963</v>
      </c>
      <c r="K8805" t="s" s="2">
        <v>22</v>
      </c>
      <c r="L8805" t="s" s="2">
        <v>22</v>
      </c>
      <c r="M8805" t="s" s="2">
        <v>22</v>
      </c>
    </row>
    <row r="8806" ht="25.0" customHeight="true">
      <c r="A8806" t="s" s="2">
        <v>13</v>
      </c>
      <c r="B8806" t="s" s="2">
        <f>HYPERLINK("http://ts.21cn.com/tousu/show/id/1361922","威尔士健身，威尔士工作人员告知虚假合同，申请退卡迟迟不受理，提出无理条件，不给我办退卡事宜")</f>
      </c>
      <c r="C8806" t="s" s="2">
        <v>15</v>
      </c>
      <c r="D8806" t="s" s="2">
        <v>16</v>
      </c>
      <c r="E8806" t="s" s="2">
        <v>17</v>
      </c>
      <c r="F8806" t="s" s="2">
        <f>HYPERLINK("http://ts.21cn.com/tousu/show/id/1361922","http://ts.21cn.com/tousu/show/id/1361922")</f>
      </c>
      <c r="G8806" t="s" s="2">
        <v>17</v>
      </c>
      <c r="H8806" t="s" s="2">
        <v>19</v>
      </c>
      <c r="I8806" t="s" s="2">
        <v>33966</v>
      </c>
      <c r="J8806" t="s" s="2">
        <v>33967</v>
      </c>
      <c r="K8806" t="s" s="2">
        <v>22</v>
      </c>
      <c r="L8806" t="s" s="2">
        <v>22</v>
      </c>
      <c r="M8806" t="s" s="2">
        <v>22</v>
      </c>
    </row>
    <row r="8807" ht="25.0" customHeight="true">
      <c r="A8807" t="s" s="2">
        <v>13</v>
      </c>
      <c r="B8807" t="s" s="2">
        <f>HYPERLINK("http://ts.21cn.com/tousu/show/id/1362219","汇潮为高利贷提供支付通道")</f>
      </c>
      <c r="C8807" t="s" s="2">
        <v>15</v>
      </c>
      <c r="D8807" t="s" s="2">
        <v>16</v>
      </c>
      <c r="E8807" t="s" s="2">
        <v>17</v>
      </c>
      <c r="F8807" t="s" s="2">
        <f>HYPERLINK("http://ts.21cn.com/tousu/show/id/1362219","http://ts.21cn.com/tousu/show/id/1362219")</f>
      </c>
      <c r="G8807" t="s" s="2">
        <v>17</v>
      </c>
      <c r="H8807" t="s" s="2">
        <v>19</v>
      </c>
      <c r="I8807" t="s" s="2">
        <v>33970</v>
      </c>
      <c r="J8807" t="s" s="2">
        <v>33971</v>
      </c>
      <c r="K8807" t="s" s="2">
        <v>22</v>
      </c>
      <c r="L8807" t="s" s="2">
        <v>22</v>
      </c>
      <c r="M8807" t="s" s="2">
        <v>22</v>
      </c>
    </row>
    <row r="8808" ht="25.0" customHeight="true">
      <c r="A8808" t="s" s="2">
        <v>13</v>
      </c>
      <c r="B8808" t="s" s="2">
        <f>HYPERLINK("http://ts.21cn.com/tousu/show/id/1362216","上下班每天同一位置骑突然一天扣调度费20")</f>
      </c>
      <c r="C8808" t="s" s="2">
        <v>15</v>
      </c>
      <c r="D8808" t="s" s="2">
        <v>16</v>
      </c>
      <c r="E8808" t="s" s="2">
        <v>17</v>
      </c>
      <c r="F8808" t="s" s="2">
        <f>HYPERLINK("http://ts.21cn.com/tousu/show/id/1362216","http://ts.21cn.com/tousu/show/id/1362216")</f>
      </c>
      <c r="G8808" t="s" s="2">
        <v>17</v>
      </c>
      <c r="H8808" t="s" s="2">
        <v>19</v>
      </c>
      <c r="I8808" t="s" s="2">
        <v>33974</v>
      </c>
      <c r="J8808" t="s" s="2">
        <v>33975</v>
      </c>
      <c r="K8808" t="s" s="2">
        <v>22</v>
      </c>
      <c r="L8808" t="s" s="2">
        <v>22</v>
      </c>
      <c r="M8808" t="s" s="2">
        <v>22</v>
      </c>
    </row>
    <row r="8809" ht="25.0" customHeight="true">
      <c r="A8809" t="s" s="2">
        <v>13</v>
      </c>
      <c r="B8809" t="s" s="2">
        <f>HYPERLINK("http://ts.21cn.com/tousu/show/id/1362193","虚假发货")</f>
      </c>
      <c r="C8809" t="s" s="2">
        <v>15</v>
      </c>
      <c r="D8809" t="s" s="2">
        <v>16</v>
      </c>
      <c r="E8809" t="s" s="2">
        <v>17</v>
      </c>
      <c r="F8809" t="s" s="2">
        <f>HYPERLINK("http://ts.21cn.com/tousu/show/id/1362193","http://ts.21cn.com/tousu/show/id/1362193")</f>
      </c>
      <c r="G8809" t="s" s="2">
        <v>17</v>
      </c>
      <c r="H8809" t="s" s="2">
        <v>19</v>
      </c>
      <c r="I8809" t="s" s="2">
        <v>33977</v>
      </c>
      <c r="J8809" t="s" s="2">
        <v>33978</v>
      </c>
      <c r="K8809" t="s" s="2">
        <v>22</v>
      </c>
      <c r="L8809" t="s" s="2">
        <v>22</v>
      </c>
      <c r="M8809" t="s" s="2">
        <v>22</v>
      </c>
    </row>
    <row r="8810" ht="25.0" customHeight="true">
      <c r="A8810" t="s" s="2">
        <v>13</v>
      </c>
      <c r="B8810" t="s" s="2">
        <f>HYPERLINK("http://ts.21cn.com/tousu/show/id/1362215","洋钱包恶意盗窃扣款")</f>
      </c>
      <c r="C8810" t="s" s="2">
        <v>15</v>
      </c>
      <c r="D8810" t="s" s="2">
        <v>16</v>
      </c>
      <c r="E8810" t="s" s="2">
        <v>17</v>
      </c>
      <c r="F8810" t="s" s="2">
        <f>HYPERLINK("http://ts.21cn.com/tousu/show/id/1362215","http://ts.21cn.com/tousu/show/id/1362215")</f>
      </c>
      <c r="G8810" t="s" s="2">
        <v>17</v>
      </c>
      <c r="H8810" t="s" s="2">
        <v>19</v>
      </c>
      <c r="I8810" t="s" s="2">
        <v>33981</v>
      </c>
      <c r="J8810" t="s" s="2">
        <v>33982</v>
      </c>
      <c r="K8810" t="s" s="2">
        <v>22</v>
      </c>
      <c r="L8810" t="s" s="2">
        <v>22</v>
      </c>
      <c r="M8810" t="s" s="2">
        <v>22</v>
      </c>
    </row>
    <row r="8811" ht="25.0" customHeight="true">
      <c r="A8811" t="s" s="2">
        <v>13</v>
      </c>
      <c r="B8811" t="s" s="2">
        <f>HYPERLINK("http://ts.21cn.com/tousu/show/id/1362213","钱伴催收人员私加微信")</f>
      </c>
      <c r="C8811" t="s" s="2">
        <v>15</v>
      </c>
      <c r="D8811" t="s" s="2">
        <v>16</v>
      </c>
      <c r="E8811" t="s" s="2">
        <v>17</v>
      </c>
      <c r="F8811" t="s" s="2">
        <f>HYPERLINK("http://ts.21cn.com/tousu/show/id/1362213","http://ts.21cn.com/tousu/show/id/1362213")</f>
      </c>
      <c r="G8811" t="s" s="2">
        <v>17</v>
      </c>
      <c r="H8811" t="s" s="2">
        <v>19</v>
      </c>
      <c r="I8811" t="s" s="2">
        <v>33985</v>
      </c>
      <c r="J8811" t="s" s="2">
        <v>33986</v>
      </c>
      <c r="K8811" t="s" s="2">
        <v>22</v>
      </c>
      <c r="L8811" t="s" s="2">
        <v>22</v>
      </c>
      <c r="M8811" t="s" s="2">
        <v>22</v>
      </c>
    </row>
    <row r="8812" ht="25.0" customHeight="true">
      <c r="A8812" t="s" s="2">
        <v>13</v>
      </c>
      <c r="B8812" t="s" s="2">
        <f>HYPERLINK("http://ts.21cn.com/tousu/show/id/1362214","阴阳合同，恶意骚扰暴力催收，高额利息，不让提前还款，还款当日系统屏蔽不让主动还款，也不扣款")</f>
      </c>
      <c r="C8812" t="s" s="2">
        <v>15</v>
      </c>
      <c r="D8812" t="s" s="2">
        <v>16</v>
      </c>
      <c r="E8812" t="s" s="2">
        <v>17</v>
      </c>
      <c r="F8812" t="s" s="2">
        <f>HYPERLINK("http://ts.21cn.com/tousu/show/id/1362214","http://ts.21cn.com/tousu/show/id/1362214")</f>
      </c>
      <c r="G8812" t="s" s="2">
        <v>17</v>
      </c>
      <c r="H8812" t="s" s="2">
        <v>19</v>
      </c>
      <c r="I8812" t="s" s="2">
        <v>33989</v>
      </c>
      <c r="J8812" t="s" s="2">
        <v>33990</v>
      </c>
      <c r="K8812" t="s" s="2">
        <v>22</v>
      </c>
      <c r="L8812" t="s" s="2">
        <v>22</v>
      </c>
      <c r="M8812" t="s" s="2">
        <v>22</v>
      </c>
    </row>
    <row r="8813" ht="25.0" customHeight="true">
      <c r="A8813" t="s" s="2">
        <v>13</v>
      </c>
      <c r="B8813" t="s" s="2">
        <f>HYPERLINK("http://ts.21cn.com/tousu/show/id/1362212","恶意代扣")</f>
      </c>
      <c r="C8813" t="s" s="2">
        <v>15</v>
      </c>
      <c r="D8813" t="s" s="2">
        <v>16</v>
      </c>
      <c r="E8813" t="s" s="2">
        <v>17</v>
      </c>
      <c r="F8813" t="s" s="2">
        <f>HYPERLINK("http://ts.21cn.com/tousu/show/id/1362212","http://ts.21cn.com/tousu/show/id/1362212")</f>
      </c>
      <c r="G8813" t="s" s="2">
        <v>17</v>
      </c>
      <c r="H8813" t="s" s="2">
        <v>19</v>
      </c>
      <c r="I8813" t="s" s="2">
        <v>33993</v>
      </c>
      <c r="J8813" t="s" s="2">
        <v>33994</v>
      </c>
      <c r="K8813" t="s" s="2">
        <v>22</v>
      </c>
      <c r="L8813" t="s" s="2">
        <v>22</v>
      </c>
      <c r="M8813" t="s" s="2">
        <v>22</v>
      </c>
    </row>
    <row r="8814" ht="25.0" customHeight="true">
      <c r="A8814" t="s" s="2">
        <v>13</v>
      </c>
      <c r="B8814" t="s" s="2">
        <f>HYPERLINK("http://ts.21cn.com/tousu/show/id/1362211","豆豆钱屡次骚扰亲友，威胁当事人")</f>
      </c>
      <c r="C8814" t="s" s="2">
        <v>52</v>
      </c>
      <c r="D8814" t="s" s="2">
        <v>16</v>
      </c>
      <c r="E8814" t="s" s="2">
        <v>17</v>
      </c>
      <c r="F8814" t="s" s="2">
        <f>HYPERLINK("http://ts.21cn.com/tousu/show/id/1362211","http://ts.21cn.com/tousu/show/id/1362211")</f>
      </c>
      <c r="G8814" t="s" s="2">
        <v>17</v>
      </c>
      <c r="H8814" t="s" s="2">
        <v>19</v>
      </c>
      <c r="I8814" t="s" s="2">
        <v>33997</v>
      </c>
      <c r="J8814" t="s" s="2">
        <v>33998</v>
      </c>
      <c r="K8814" t="s" s="2">
        <v>22</v>
      </c>
      <c r="L8814" t="s" s="2">
        <v>22</v>
      </c>
      <c r="M8814" t="s" s="2">
        <v>22</v>
      </c>
    </row>
    <row r="8815" ht="25.0" customHeight="true">
      <c r="A8815" t="s" s="2">
        <v>13</v>
      </c>
      <c r="B8815" t="s" s="2">
        <f>HYPERLINK("http://ts.21cn.com/tousu/show/id/1362207","泰康人寿赔付金额与业务员所说严重不符")</f>
      </c>
      <c r="C8815" t="s" s="2">
        <v>15</v>
      </c>
      <c r="D8815" t="s" s="2">
        <v>16</v>
      </c>
      <c r="E8815" t="s" s="2">
        <v>17</v>
      </c>
      <c r="F8815" t="s" s="2">
        <f>HYPERLINK("http://ts.21cn.com/tousu/show/id/1362207","http://ts.21cn.com/tousu/show/id/1362207")</f>
      </c>
      <c r="G8815" t="s" s="2">
        <v>17</v>
      </c>
      <c r="H8815" t="s" s="2">
        <v>19</v>
      </c>
      <c r="I8815" t="s" s="2">
        <v>34001</v>
      </c>
      <c r="J8815" t="s" s="2">
        <v>34002</v>
      </c>
      <c r="K8815" t="s" s="2">
        <v>22</v>
      </c>
      <c r="L8815" t="s" s="2">
        <v>22</v>
      </c>
      <c r="M8815" t="s" s="2">
        <v>22</v>
      </c>
    </row>
    <row r="8816" ht="25.0" customHeight="true">
      <c r="A8816" t="s" s="2">
        <v>13</v>
      </c>
      <c r="B8816" t="s" s="2">
        <f>HYPERLINK("http://ts.21cn.com/tousu/show/id/1362210","民生银行威胁父母")</f>
      </c>
      <c r="C8816" t="s" s="2">
        <v>15</v>
      </c>
      <c r="D8816" t="s" s="2">
        <v>16</v>
      </c>
      <c r="E8816" t="s" s="2">
        <v>17</v>
      </c>
      <c r="F8816" t="s" s="2">
        <f>HYPERLINK("http://ts.21cn.com/tousu/show/id/1362210","http://ts.21cn.com/tousu/show/id/1362210")</f>
      </c>
      <c r="G8816" t="s" s="2">
        <v>17</v>
      </c>
      <c r="H8816" t="s" s="2">
        <v>19</v>
      </c>
      <c r="I8816" t="s" s="2">
        <v>34005</v>
      </c>
      <c r="J8816" t="s" s="2">
        <v>34006</v>
      </c>
      <c r="K8816" t="s" s="2">
        <v>22</v>
      </c>
      <c r="L8816" t="s" s="2">
        <v>22</v>
      </c>
      <c r="M8816" t="s" s="2">
        <v>22</v>
      </c>
    </row>
    <row r="8817" ht="25.0" customHeight="true">
      <c r="A8817" t="s" s="2">
        <v>13</v>
      </c>
      <c r="B8817" t="s" s="2">
        <f>HYPERLINK("http://ts.21cn.com/tousu/show/id/1362208","嗨学网诱导消费者签订霸王条款，不退费")</f>
      </c>
      <c r="C8817" t="s" s="2">
        <v>15</v>
      </c>
      <c r="D8817" t="s" s="2">
        <v>16</v>
      </c>
      <c r="E8817" t="s" s="2">
        <v>17</v>
      </c>
      <c r="F8817" t="s" s="2">
        <f>HYPERLINK("http://ts.21cn.com/tousu/show/id/1362208","http://ts.21cn.com/tousu/show/id/1362208")</f>
      </c>
      <c r="G8817" t="s" s="2">
        <v>17</v>
      </c>
      <c r="H8817" t="s" s="2">
        <v>19</v>
      </c>
      <c r="I8817" t="s" s="2">
        <v>34008</v>
      </c>
      <c r="J8817" t="s" s="2">
        <v>34009</v>
      </c>
      <c r="K8817" t="s" s="2">
        <v>22</v>
      </c>
      <c r="L8817" t="s" s="2">
        <v>22</v>
      </c>
      <c r="M8817" t="s" s="2">
        <v>22</v>
      </c>
    </row>
    <row r="8818" ht="25.0" customHeight="true">
      <c r="A8818" t="s" s="2">
        <v>13</v>
      </c>
      <c r="B8818" t="s" s="2">
        <f>HYPERLINK("http://ts.21cn.com/tousu/show/id/1362206","壹心分期高额利息")</f>
      </c>
      <c r="C8818" t="s" s="2">
        <v>15</v>
      </c>
      <c r="D8818" t="s" s="2">
        <v>16</v>
      </c>
      <c r="E8818" t="s" s="2">
        <v>17</v>
      </c>
      <c r="F8818" t="s" s="2">
        <f>HYPERLINK("http://ts.21cn.com/tousu/show/id/1362206","http://ts.21cn.com/tousu/show/id/1362206")</f>
      </c>
      <c r="G8818" t="s" s="2">
        <v>17</v>
      </c>
      <c r="H8818" t="s" s="2">
        <v>19</v>
      </c>
      <c r="I8818" t="s" s="2">
        <v>34012</v>
      </c>
      <c r="J8818" t="s" s="2">
        <v>34013</v>
      </c>
      <c r="K8818" t="s" s="2">
        <v>22</v>
      </c>
      <c r="L8818" t="s" s="2">
        <v>22</v>
      </c>
      <c r="M8818" t="s" s="2">
        <v>22</v>
      </c>
    </row>
    <row r="8819" ht="25.0" customHeight="true">
      <c r="A8819" t="s" s="2">
        <v>13</v>
      </c>
      <c r="B8819" t="s" s="2">
        <f>HYPERLINK("http://ts.21cn.com/tousu/show/id/1362205","招联好期待暴力催收")</f>
      </c>
      <c r="C8819" t="s" s="2">
        <v>15</v>
      </c>
      <c r="D8819" t="s" s="2">
        <v>16</v>
      </c>
      <c r="E8819" t="s" s="2">
        <v>17</v>
      </c>
      <c r="F8819" t="s" s="2">
        <f>HYPERLINK("http://ts.21cn.com/tousu/show/id/1362205","http://ts.21cn.com/tousu/show/id/1362205")</f>
      </c>
      <c r="G8819" t="s" s="2">
        <v>17</v>
      </c>
      <c r="H8819" t="s" s="2">
        <v>19</v>
      </c>
      <c r="I8819" t="s" s="2">
        <v>34015</v>
      </c>
      <c r="J8819" t="s" s="2">
        <v>34016</v>
      </c>
      <c r="K8819" t="s" s="2">
        <v>22</v>
      </c>
      <c r="L8819" t="s" s="2">
        <v>22</v>
      </c>
      <c r="M8819" t="s" s="2">
        <v>22</v>
      </c>
    </row>
    <row r="8820" ht="25.0" customHeight="true">
      <c r="A8820" t="s" s="2">
        <v>13</v>
      </c>
      <c r="B8820" t="s" s="2">
        <f>HYPERLINK("http://ts.21cn.com/tousu/show/id/1362204","贷上钱暴力催收")</f>
      </c>
      <c r="C8820" t="s" s="2">
        <v>15</v>
      </c>
      <c r="D8820" t="s" s="2">
        <v>16</v>
      </c>
      <c r="E8820" t="s" s="2">
        <v>17</v>
      </c>
      <c r="F8820" t="s" s="2">
        <f>HYPERLINK("http://ts.21cn.com/tousu/show/id/1362204","http://ts.21cn.com/tousu/show/id/1362204")</f>
      </c>
      <c r="G8820" t="s" s="2">
        <v>17</v>
      </c>
      <c r="H8820" t="s" s="2">
        <v>19</v>
      </c>
      <c r="I8820" t="s" s="2">
        <v>34019</v>
      </c>
      <c r="J8820" t="s" s="2">
        <v>34020</v>
      </c>
      <c r="K8820" t="s" s="2">
        <v>22</v>
      </c>
      <c r="L8820" t="s" s="2">
        <v>22</v>
      </c>
      <c r="M8820" t="s" s="2">
        <v>22</v>
      </c>
    </row>
    <row r="8821" ht="25.0" customHeight="true">
      <c r="A8821" t="s" s="2">
        <v>13</v>
      </c>
      <c r="B8821" t="s" s="2">
        <f>HYPERLINK("http://ts.21cn.com/tousu/show/id/1362203","利息高")</f>
      </c>
      <c r="C8821" t="s" s="2">
        <v>52</v>
      </c>
      <c r="D8821" t="s" s="2">
        <v>16</v>
      </c>
      <c r="E8821" t="s" s="2">
        <v>17</v>
      </c>
      <c r="F8821" t="s" s="2">
        <f>HYPERLINK("http://ts.21cn.com/tousu/show/id/1362203","http://ts.21cn.com/tousu/show/id/1362203")</f>
      </c>
      <c r="G8821" t="s" s="2">
        <v>17</v>
      </c>
      <c r="H8821" t="s" s="2">
        <v>19</v>
      </c>
      <c r="I8821" t="s" s="2">
        <v>34022</v>
      </c>
      <c r="J8821" t="s" s="2">
        <v>34023</v>
      </c>
      <c r="K8821" t="s" s="2">
        <v>22</v>
      </c>
      <c r="L8821" t="s" s="2">
        <v>22</v>
      </c>
      <c r="M8821" t="s" s="2">
        <v>22</v>
      </c>
    </row>
    <row r="8822" ht="25.0" customHeight="true">
      <c r="A8822" t="s" s="2">
        <v>13</v>
      </c>
      <c r="B8822" t="s" s="2">
        <f>HYPERLINK("http://ts.21cn.com/tousu/show/id/1362202","平安银行让第三方催债，暴力催收")</f>
      </c>
      <c r="C8822" t="s" s="2">
        <v>15</v>
      </c>
      <c r="D8822" t="s" s="2">
        <v>16</v>
      </c>
      <c r="E8822" t="s" s="2">
        <v>17</v>
      </c>
      <c r="F8822" t="s" s="2">
        <f>HYPERLINK("http://ts.21cn.com/tousu/show/id/1362202","http://ts.21cn.com/tousu/show/id/1362202")</f>
      </c>
      <c r="G8822" t="s" s="2">
        <v>17</v>
      </c>
      <c r="H8822" t="s" s="2">
        <v>19</v>
      </c>
      <c r="I8822" t="s" s="2">
        <v>34026</v>
      </c>
      <c r="J8822" t="s" s="2">
        <v>34027</v>
      </c>
      <c r="K8822" t="s" s="2">
        <v>22</v>
      </c>
      <c r="L8822" t="s" s="2">
        <v>22</v>
      </c>
      <c r="M8822" t="s" s="2">
        <v>22</v>
      </c>
    </row>
    <row r="8823" ht="25.0" customHeight="true">
      <c r="A8823" t="s" s="2">
        <v>13</v>
      </c>
      <c r="B8823" t="s" s="2">
        <f>HYPERLINK("http://ts.21cn.com/tousu/show/id/1362200","借花钱恶意扣款")</f>
      </c>
      <c r="C8823" t="s" s="2">
        <v>15</v>
      </c>
      <c r="D8823" t="s" s="2">
        <v>16</v>
      </c>
      <c r="E8823" t="s" s="2">
        <v>17</v>
      </c>
      <c r="F8823" t="s" s="2">
        <f>HYPERLINK("http://ts.21cn.com/tousu/show/id/1362200","http://ts.21cn.com/tousu/show/id/1362200")</f>
      </c>
      <c r="G8823" t="s" s="2">
        <v>17</v>
      </c>
      <c r="H8823" t="s" s="2">
        <v>19</v>
      </c>
      <c r="I8823" t="s" s="2">
        <v>34029</v>
      </c>
      <c r="J8823" t="s" s="2">
        <v>34030</v>
      </c>
      <c r="K8823" t="s" s="2">
        <v>22</v>
      </c>
      <c r="L8823" t="s" s="2">
        <v>22</v>
      </c>
      <c r="M8823" t="s" s="2">
        <v>22</v>
      </c>
    </row>
    <row r="8824" ht="25.0" customHeight="true">
      <c r="A8824" t="s" s="2">
        <v>13</v>
      </c>
      <c r="B8824" t="s" s="2">
        <f>HYPERLINK("http://ts.21cn.com/tousu/show/id/1362172","北京有缘在线网络让我猝不及防")</f>
      </c>
      <c r="C8824" t="s" s="2">
        <v>15</v>
      </c>
      <c r="D8824" t="s" s="2">
        <v>16</v>
      </c>
      <c r="E8824" t="s" s="2">
        <v>17</v>
      </c>
      <c r="F8824" t="s" s="2">
        <f>HYPERLINK("http://ts.21cn.com/tousu/show/id/1362172","http://ts.21cn.com/tousu/show/id/1362172")</f>
      </c>
      <c r="G8824" t="s" s="2">
        <v>17</v>
      </c>
      <c r="H8824" t="s" s="2">
        <v>19</v>
      </c>
      <c r="I8824" t="s" s="2">
        <v>34033</v>
      </c>
      <c r="J8824" t="s" s="2">
        <v>34034</v>
      </c>
      <c r="K8824" t="s" s="2">
        <v>22</v>
      </c>
      <c r="L8824" t="s" s="2">
        <v>22</v>
      </c>
      <c r="M8824" t="s" s="2">
        <v>22</v>
      </c>
    </row>
    <row r="8825" ht="25.0" customHeight="true">
      <c r="A8825" t="s" s="2">
        <v>13</v>
      </c>
      <c r="B8825" t="s" s="2">
        <f>HYPERLINK("http://ts.21cn.com/tousu/show/id/1362199","高利贷，暴力催收，严重骚扰我的联系人")</f>
      </c>
      <c r="C8825" t="s" s="2">
        <v>15</v>
      </c>
      <c r="D8825" t="s" s="2">
        <v>16</v>
      </c>
      <c r="E8825" t="s" s="2">
        <v>17</v>
      </c>
      <c r="F8825" t="s" s="2">
        <f>HYPERLINK("http://ts.21cn.com/tousu/show/id/1362199","http://ts.21cn.com/tousu/show/id/1362199")</f>
      </c>
      <c r="G8825" t="s" s="2">
        <v>17</v>
      </c>
      <c r="H8825" t="s" s="2">
        <v>19</v>
      </c>
      <c r="I8825" t="s" s="2">
        <v>34037</v>
      </c>
      <c r="J8825" t="s" s="2">
        <v>34038</v>
      </c>
      <c r="K8825" t="s" s="2">
        <v>22</v>
      </c>
      <c r="L8825" t="s" s="2">
        <v>22</v>
      </c>
      <c r="M8825" t="s" s="2">
        <v>22</v>
      </c>
    </row>
    <row r="8826" ht="25.0" customHeight="true">
      <c r="A8826" t="s" s="2">
        <v>13</v>
      </c>
      <c r="B8826" t="s" s="2">
        <f>HYPERLINK("http://ts.21cn.com/tousu/show/id/1361937","协商还款，停止恶意催收骚扰")</f>
      </c>
      <c r="C8826" t="s" s="2">
        <v>15</v>
      </c>
      <c r="D8826" t="s" s="2">
        <v>16</v>
      </c>
      <c r="E8826" t="s" s="2">
        <v>17</v>
      </c>
      <c r="F8826" t="s" s="2">
        <f>HYPERLINK("http://ts.21cn.com/tousu/show/id/1361937","http://ts.21cn.com/tousu/show/id/1361937")</f>
      </c>
      <c r="G8826" t="s" s="2">
        <v>17</v>
      </c>
      <c r="H8826" t="s" s="2">
        <v>19</v>
      </c>
      <c r="I8826" t="s" s="2">
        <v>34041</v>
      </c>
      <c r="J8826" t="s" s="2">
        <v>34042</v>
      </c>
      <c r="K8826" t="s" s="2">
        <v>22</v>
      </c>
      <c r="L8826" t="s" s="2">
        <v>22</v>
      </c>
      <c r="M8826" t="s" s="2">
        <v>22</v>
      </c>
    </row>
    <row r="8827" ht="25.0" customHeight="true">
      <c r="A8827" t="s" s="2">
        <v>13</v>
      </c>
      <c r="B8827" t="s" s="2">
        <f>HYPERLINK("http://ts.21cn.com/tousu/show/id/1362198","钱站高利贷砍头息高额服务费变相高利息")</f>
      </c>
      <c r="C8827" t="s" s="2">
        <v>15</v>
      </c>
      <c r="D8827" t="s" s="2">
        <v>16</v>
      </c>
      <c r="E8827" t="s" s="2">
        <v>17</v>
      </c>
      <c r="F8827" t="s" s="2">
        <f>HYPERLINK("http://ts.21cn.com/tousu/show/id/1362198","http://ts.21cn.com/tousu/show/id/1362198")</f>
      </c>
      <c r="G8827" t="s" s="2">
        <v>17</v>
      </c>
      <c r="H8827" t="s" s="2">
        <v>19</v>
      </c>
      <c r="I8827" t="s" s="2">
        <v>34045</v>
      </c>
      <c r="J8827" t="s" s="2">
        <v>34046</v>
      </c>
      <c r="K8827" t="s" s="2">
        <v>22</v>
      </c>
      <c r="L8827" t="s" s="2">
        <v>22</v>
      </c>
      <c r="M8827" t="s" s="2">
        <v>22</v>
      </c>
    </row>
    <row r="8828" ht="25.0" customHeight="true">
      <c r="A8828" t="s" s="2">
        <v>13</v>
      </c>
      <c r="B8828" t="s" s="2">
        <f>HYPERLINK("http://ts.21cn.com/tousu/show/id/1362196","小赢卡贷恶意骚扰联系人，威胁催收")</f>
      </c>
      <c r="C8828" t="s" s="2">
        <v>15</v>
      </c>
      <c r="D8828" t="s" s="2">
        <v>16</v>
      </c>
      <c r="E8828" t="s" s="2">
        <v>17</v>
      </c>
      <c r="F8828" t="s" s="2">
        <f>HYPERLINK("http://ts.21cn.com/tousu/show/id/1362196","http://ts.21cn.com/tousu/show/id/1362196")</f>
      </c>
      <c r="G8828" t="s" s="2">
        <v>17</v>
      </c>
      <c r="H8828" t="s" s="2">
        <v>19</v>
      </c>
      <c r="I8828" t="s" s="2">
        <v>34049</v>
      </c>
      <c r="J8828" t="s" s="2">
        <v>34050</v>
      </c>
      <c r="K8828" t="s" s="2">
        <v>22</v>
      </c>
      <c r="L8828" t="s" s="2">
        <v>22</v>
      </c>
      <c r="M8828" t="s" s="2">
        <v>22</v>
      </c>
    </row>
    <row r="8829" ht="25.0" customHeight="true">
      <c r="A8829" t="s" s="2">
        <v>13</v>
      </c>
      <c r="B8829" t="s" s="2">
        <f>HYPERLINK("http://ts.21cn.com/tousu/show/id/1362195","注册小集钱包未通知私自扣款")</f>
      </c>
      <c r="C8829" t="s" s="2">
        <v>15</v>
      </c>
      <c r="D8829" t="s" s="2">
        <v>16</v>
      </c>
      <c r="E8829" t="s" s="2">
        <v>17</v>
      </c>
      <c r="F8829" t="s" s="2">
        <f>HYPERLINK("http://ts.21cn.com/tousu/show/id/1362195","http://ts.21cn.com/tousu/show/id/1362195")</f>
      </c>
      <c r="G8829" t="s" s="2">
        <v>17</v>
      </c>
      <c r="H8829" t="s" s="2">
        <v>19</v>
      </c>
      <c r="I8829" t="s" s="2">
        <v>34052</v>
      </c>
      <c r="J8829" t="s" s="2">
        <v>34053</v>
      </c>
      <c r="K8829" t="s" s="2">
        <v>22</v>
      </c>
      <c r="L8829" t="s" s="2">
        <v>22</v>
      </c>
      <c r="M8829" t="s" s="2">
        <v>22</v>
      </c>
    </row>
    <row r="8830" ht="25.0" customHeight="true">
      <c r="A8830" t="s" s="2">
        <v>13</v>
      </c>
      <c r="B8830" t="s" s="2">
        <f>HYPERLINK("http://ts.21cn.com/tousu/show/id/1362194","平安普惠贷款隐瞒隐藏并强制收取高额保险费管理费投诉事宜")</f>
      </c>
      <c r="C8830" t="s" s="2">
        <v>15</v>
      </c>
      <c r="D8830" t="s" s="2">
        <v>16</v>
      </c>
      <c r="E8830" t="s" s="2">
        <v>17</v>
      </c>
      <c r="F8830" t="s" s="2">
        <f>HYPERLINK("http://ts.21cn.com/tousu/show/id/1362194","http://ts.21cn.com/tousu/show/id/1362194")</f>
      </c>
      <c r="G8830" t="s" s="2">
        <v>17</v>
      </c>
      <c r="H8830" t="s" s="2">
        <v>19</v>
      </c>
      <c r="I8830" t="s" s="2">
        <v>34055</v>
      </c>
      <c r="J8830" t="s" s="2">
        <v>34056</v>
      </c>
      <c r="K8830" t="s" s="2">
        <v>22</v>
      </c>
      <c r="L8830" t="s" s="2">
        <v>22</v>
      </c>
      <c r="M8830" t="s" s="2">
        <v>22</v>
      </c>
    </row>
    <row r="8831" ht="25.0" customHeight="true">
      <c r="A8831" t="s" s="2">
        <v>13</v>
      </c>
      <c r="B8831" t="s" s="2">
        <f>HYPERLINK("http://ts.21cn.com/tousu/show/id/1326340","江西风尚购物卖假货")</f>
      </c>
      <c r="C8831" t="s" s="2">
        <v>15</v>
      </c>
      <c r="D8831" t="s" s="2">
        <v>16</v>
      </c>
      <c r="E8831" t="s" s="2">
        <v>17</v>
      </c>
      <c r="F8831" t="s" s="2">
        <f>HYPERLINK("http://ts.21cn.com/tousu/show/id/1326340","http://ts.21cn.com/tousu/show/id/1326340")</f>
      </c>
      <c r="G8831" t="s" s="2">
        <v>17</v>
      </c>
      <c r="H8831" t="s" s="2">
        <v>19</v>
      </c>
      <c r="I8831" t="s" s="2">
        <v>34059</v>
      </c>
      <c r="J8831" t="s" s="2">
        <v>34060</v>
      </c>
      <c r="K8831" t="s" s="2">
        <v>22</v>
      </c>
      <c r="L8831" t="s" s="2">
        <v>22</v>
      </c>
      <c r="M8831" t="s" s="2">
        <v>22</v>
      </c>
    </row>
    <row r="8832" ht="25.0" customHeight="true">
      <c r="A8832" t="s" s="2">
        <v>13</v>
      </c>
      <c r="B8832" t="s" s="2">
        <f>HYPERLINK("http://ts.21cn.com/tousu/show/id/1362192","闪电借款买了黑卡不下款也不退黑卡钱")</f>
      </c>
      <c r="C8832" t="s" s="2">
        <v>15</v>
      </c>
      <c r="D8832" t="s" s="2">
        <v>16</v>
      </c>
      <c r="E8832" t="s" s="2">
        <v>17</v>
      </c>
      <c r="F8832" t="s" s="2">
        <f>HYPERLINK("http://ts.21cn.com/tousu/show/id/1362192","http://ts.21cn.com/tousu/show/id/1362192")</f>
      </c>
      <c r="G8832" t="s" s="2">
        <v>17</v>
      </c>
      <c r="H8832" t="s" s="2">
        <v>19</v>
      </c>
      <c r="I8832" t="s" s="2">
        <v>34063</v>
      </c>
      <c r="J8832" t="s" s="2">
        <v>34064</v>
      </c>
      <c r="K8832" t="s" s="2">
        <v>22</v>
      </c>
      <c r="L8832" t="s" s="2">
        <v>22</v>
      </c>
      <c r="M8832" t="s" s="2">
        <v>22</v>
      </c>
    </row>
    <row r="8833" ht="25.0" customHeight="true">
      <c r="A8833" t="s" s="2">
        <v>13</v>
      </c>
      <c r="B8833" t="s" s="2">
        <f>HYPERLINK("http://ts.21cn.com/tousu/show/id/1362191","豆豆钱给我亲戚朋友打骚扰电话恶意恐吓催收")</f>
      </c>
      <c r="C8833" t="s" s="2">
        <v>15</v>
      </c>
      <c r="D8833" t="s" s="2">
        <v>16</v>
      </c>
      <c r="E8833" t="s" s="2">
        <v>17</v>
      </c>
      <c r="F8833" t="s" s="2">
        <f>HYPERLINK("http://ts.21cn.com/tousu/show/id/1362191","http://ts.21cn.com/tousu/show/id/1362191")</f>
      </c>
      <c r="G8833" t="s" s="2">
        <v>17</v>
      </c>
      <c r="H8833" t="s" s="2">
        <v>19</v>
      </c>
      <c r="I8833" t="s" s="2">
        <v>34067</v>
      </c>
      <c r="J8833" t="s" s="2">
        <v>34068</v>
      </c>
      <c r="K8833" t="s" s="2">
        <v>22</v>
      </c>
      <c r="L8833" t="s" s="2">
        <v>22</v>
      </c>
      <c r="M8833" t="s" s="2">
        <v>22</v>
      </c>
    </row>
    <row r="8834" ht="25.0" customHeight="true">
      <c r="A8834" t="s" s="2">
        <v>13</v>
      </c>
      <c r="B8834" t="s" s="2">
        <f>HYPERLINK("http://ts.21cn.com/tousu/show/id/1362190","钱站套路贷")</f>
      </c>
      <c r="C8834" t="s" s="2">
        <v>15</v>
      </c>
      <c r="D8834" t="s" s="2">
        <v>16</v>
      </c>
      <c r="E8834" t="s" s="2">
        <v>17</v>
      </c>
      <c r="F8834" t="s" s="2">
        <f>HYPERLINK("http://ts.21cn.com/tousu/show/id/1362190","http://ts.21cn.com/tousu/show/id/1362190")</f>
      </c>
      <c r="G8834" t="s" s="2">
        <v>17</v>
      </c>
      <c r="H8834" t="s" s="2">
        <v>19</v>
      </c>
      <c r="I8834" t="s" s="2">
        <v>34070</v>
      </c>
      <c r="J8834" t="s" s="2">
        <v>34071</v>
      </c>
      <c r="K8834" t="s" s="2">
        <v>22</v>
      </c>
      <c r="L8834" t="s" s="2">
        <v>22</v>
      </c>
      <c r="M8834" t="s" s="2">
        <v>22</v>
      </c>
    </row>
    <row r="8835" ht="25.0" customHeight="true">
      <c r="A8835" t="s" s="2">
        <v>13</v>
      </c>
      <c r="B8835" t="s" s="2">
        <f>HYPERLINK("http://ts.21cn.com/tousu/show/id/1362189","敏付违规提供充值通道")</f>
      </c>
      <c r="C8835" t="s" s="2">
        <v>15</v>
      </c>
      <c r="D8835" t="s" s="2">
        <v>16</v>
      </c>
      <c r="E8835" t="s" s="2">
        <v>17</v>
      </c>
      <c r="F8835" t="s" s="2">
        <f>HYPERLINK("http://ts.21cn.com/tousu/show/id/1362189","http://ts.21cn.com/tousu/show/id/1362189")</f>
      </c>
      <c r="G8835" t="s" s="2">
        <v>17</v>
      </c>
      <c r="H8835" t="s" s="2">
        <v>19</v>
      </c>
      <c r="I8835" t="s" s="2">
        <v>34074</v>
      </c>
      <c r="J8835" t="s" s="2">
        <v>34075</v>
      </c>
      <c r="K8835" t="s" s="2">
        <v>22</v>
      </c>
      <c r="L8835" t="s" s="2">
        <v>22</v>
      </c>
      <c r="M8835" t="s" s="2">
        <v>22</v>
      </c>
    </row>
    <row r="8836" ht="25.0" customHeight="true">
      <c r="A8836" t="s" s="2">
        <v>13</v>
      </c>
      <c r="B8836" t="s" s="2">
        <f>HYPERLINK("http://ts.21cn.com/tousu/show/id/1362188","捷信消费金融有限公司收取高额不合法服务费，手续费，存在欺瞒行为")</f>
      </c>
      <c r="C8836" t="s" s="2">
        <v>15</v>
      </c>
      <c r="D8836" t="s" s="2">
        <v>16</v>
      </c>
      <c r="E8836" t="s" s="2">
        <v>17</v>
      </c>
      <c r="F8836" t="s" s="2">
        <f>HYPERLINK("http://ts.21cn.com/tousu/show/id/1362188","http://ts.21cn.com/tousu/show/id/1362188")</f>
      </c>
      <c r="G8836" t="s" s="2">
        <v>17</v>
      </c>
      <c r="H8836" t="s" s="2">
        <v>19</v>
      </c>
      <c r="I8836" t="s" s="2">
        <v>34078</v>
      </c>
      <c r="J8836" t="s" s="2">
        <v>34079</v>
      </c>
      <c r="K8836" t="s" s="2">
        <v>22</v>
      </c>
      <c r="L8836" t="s" s="2">
        <v>22</v>
      </c>
      <c r="M8836" t="s" s="2">
        <v>22</v>
      </c>
    </row>
    <row r="8837" ht="25.0" customHeight="true">
      <c r="A8837" t="s" s="2">
        <v>13</v>
      </c>
      <c r="B8837" t="s" s="2">
        <f>HYPERLINK("http://ts.21cn.com/tousu/show/id/1362186","中国移动话费套餐陷阱")</f>
      </c>
      <c r="C8837" t="s" s="2">
        <v>15</v>
      </c>
      <c r="D8837" t="s" s="2">
        <v>16</v>
      </c>
      <c r="E8837" t="s" s="2">
        <v>17</v>
      </c>
      <c r="F8837" t="s" s="2">
        <f>HYPERLINK("http://ts.21cn.com/tousu/show/id/1362186","http://ts.21cn.com/tousu/show/id/1362186")</f>
      </c>
      <c r="G8837" t="s" s="2">
        <v>17</v>
      </c>
      <c r="H8837" t="s" s="2">
        <v>19</v>
      </c>
      <c r="I8837" t="s" s="2">
        <v>34082</v>
      </c>
      <c r="J8837" t="s" s="2">
        <v>34083</v>
      </c>
      <c r="K8837" t="s" s="2">
        <v>22</v>
      </c>
      <c r="L8837" t="s" s="2">
        <v>22</v>
      </c>
      <c r="M8837" t="s" s="2">
        <v>22</v>
      </c>
    </row>
    <row r="8838" ht="25.0" customHeight="true">
      <c r="A8838" t="s" s="2">
        <v>13</v>
      </c>
      <c r="B8838" t="s" s="2">
        <f>HYPERLINK("http://ts.21cn.com/tousu/show/id/1362185","恶意催收，干扰生活，714高炮")</f>
      </c>
      <c r="C8838" t="s" s="2">
        <v>15</v>
      </c>
      <c r="D8838" t="s" s="2">
        <v>16</v>
      </c>
      <c r="E8838" t="s" s="2">
        <v>17</v>
      </c>
      <c r="F8838" t="s" s="2">
        <f>HYPERLINK("http://ts.21cn.com/tousu/show/id/1362185","http://ts.21cn.com/tousu/show/id/1362185")</f>
      </c>
      <c r="G8838" t="s" s="2">
        <v>17</v>
      </c>
      <c r="H8838" t="s" s="2">
        <v>19</v>
      </c>
      <c r="I8838" t="s" s="2">
        <v>34086</v>
      </c>
      <c r="J8838" t="s" s="2">
        <v>34087</v>
      </c>
      <c r="K8838" t="s" s="2">
        <v>22</v>
      </c>
      <c r="L8838" t="s" s="2">
        <v>22</v>
      </c>
      <c r="M8838" t="s" s="2">
        <v>22</v>
      </c>
    </row>
    <row r="8839" ht="25.0" customHeight="true">
      <c r="A8839" t="s" s="2">
        <v>13</v>
      </c>
      <c r="B8839" t="s" s="2">
        <f>HYPERLINK("http://ts.21cn.com/tousu/show/id/1362184","网银在线违反清算管理规定、非金融机构支付服务管理办法相关规定")</f>
      </c>
      <c r="C8839" t="s" s="2">
        <v>15</v>
      </c>
      <c r="D8839" t="s" s="2">
        <v>16</v>
      </c>
      <c r="E8839" t="s" s="2">
        <v>17</v>
      </c>
      <c r="F8839" t="s" s="2">
        <f>HYPERLINK("http://ts.21cn.com/tousu/show/id/1362184","http://ts.21cn.com/tousu/show/id/1362184")</f>
      </c>
      <c r="G8839" t="s" s="2">
        <v>17</v>
      </c>
      <c r="H8839" t="s" s="2">
        <v>19</v>
      </c>
      <c r="I8839" t="s" s="2">
        <v>34090</v>
      </c>
      <c r="J8839" t="s" s="2">
        <v>34091</v>
      </c>
      <c r="K8839" t="s" s="2">
        <v>22</v>
      </c>
      <c r="L8839" t="s" s="2">
        <v>22</v>
      </c>
      <c r="M8839" t="s" s="2">
        <v>22</v>
      </c>
    </row>
    <row r="8840" ht="25.0" customHeight="true">
      <c r="A8840" t="s" s="2">
        <v>13</v>
      </c>
      <c r="B8840" t="s" s="2">
        <f>HYPERLINK("http://ts.21cn.com/tousu/show/id/1362181","一直不给解决问题")</f>
      </c>
      <c r="C8840" t="s" s="2">
        <v>15</v>
      </c>
      <c r="D8840" t="s" s="2">
        <v>16</v>
      </c>
      <c r="E8840" t="s" s="2">
        <v>17</v>
      </c>
      <c r="F8840" t="s" s="2">
        <f>HYPERLINK("http://ts.21cn.com/tousu/show/id/1362181","http://ts.21cn.com/tousu/show/id/1362181")</f>
      </c>
      <c r="G8840" t="s" s="2">
        <v>17</v>
      </c>
      <c r="H8840" t="s" s="2">
        <v>19</v>
      </c>
      <c r="I8840" t="s" s="2">
        <v>34094</v>
      </c>
      <c r="J8840" t="s" s="2">
        <v>34095</v>
      </c>
      <c r="K8840" t="s" s="2">
        <v>22</v>
      </c>
      <c r="L8840" t="s" s="2">
        <v>22</v>
      </c>
      <c r="M8840" t="s" s="2">
        <v>22</v>
      </c>
    </row>
    <row r="8841" ht="25.0" customHeight="true">
      <c r="A8841" t="s" s="2">
        <v>13</v>
      </c>
      <c r="B8841" t="s" s="2">
        <f>HYPERLINK("http://ts.21cn.com/tousu/show/id/1362179","北京友缘在线网络科技有限公司欺诈用户要求退款")</f>
      </c>
      <c r="C8841" t="s" s="2">
        <v>15</v>
      </c>
      <c r="D8841" t="s" s="2">
        <v>16</v>
      </c>
      <c r="E8841" t="s" s="2">
        <v>17</v>
      </c>
      <c r="F8841" t="s" s="2">
        <f>HYPERLINK("http://ts.21cn.com/tousu/show/id/1362179","http://ts.21cn.com/tousu/show/id/1362179")</f>
      </c>
      <c r="G8841" t="s" s="2">
        <v>17</v>
      </c>
      <c r="H8841" t="s" s="2">
        <v>19</v>
      </c>
      <c r="I8841" t="s" s="2">
        <v>34098</v>
      </c>
      <c r="J8841" t="s" s="2">
        <v>34099</v>
      </c>
      <c r="K8841" t="s" s="2">
        <v>22</v>
      </c>
      <c r="L8841" t="s" s="2">
        <v>22</v>
      </c>
      <c r="M8841" t="s" s="2">
        <v>22</v>
      </c>
    </row>
    <row r="8842" ht="25.0" customHeight="true">
      <c r="A8842" t="s" s="2">
        <v>13</v>
      </c>
      <c r="B8842" t="s" s="2">
        <f>HYPERLINK("http://ts.21cn.com/tousu/show/id/1362178","微品分期收取高额手续费")</f>
      </c>
      <c r="C8842" t="s" s="2">
        <v>15</v>
      </c>
      <c r="D8842" t="s" s="2">
        <v>16</v>
      </c>
      <c r="E8842" t="s" s="2">
        <v>17</v>
      </c>
      <c r="F8842" t="s" s="2">
        <f>HYPERLINK("http://ts.21cn.com/tousu/show/id/1362178","http://ts.21cn.com/tousu/show/id/1362178")</f>
      </c>
      <c r="G8842" t="s" s="2">
        <v>17</v>
      </c>
      <c r="H8842" t="s" s="2">
        <v>19</v>
      </c>
      <c r="I8842" t="s" s="2">
        <v>34102</v>
      </c>
      <c r="J8842" t="s" s="2">
        <v>34103</v>
      </c>
      <c r="K8842" t="s" s="2">
        <v>22</v>
      </c>
      <c r="L8842" t="s" s="2">
        <v>22</v>
      </c>
      <c r="M8842" t="s" s="2">
        <v>22</v>
      </c>
    </row>
    <row r="8843" ht="25.0" customHeight="true">
      <c r="A8843" t="s" s="2">
        <v>13</v>
      </c>
      <c r="B8843" t="s" s="2">
        <f>HYPERLINK("http://ts.21cn.com/tousu/show/id/1362177","网易云商城取消订单却发货给别人")</f>
      </c>
      <c r="C8843" t="s" s="2">
        <v>52</v>
      </c>
      <c r="D8843" t="s" s="2">
        <v>16</v>
      </c>
      <c r="E8843" t="s" s="2">
        <v>17</v>
      </c>
      <c r="F8843" t="s" s="2">
        <f>HYPERLINK("http://ts.21cn.com/tousu/show/id/1362177","http://ts.21cn.com/tousu/show/id/1362177")</f>
      </c>
      <c r="G8843" t="s" s="2">
        <v>17</v>
      </c>
      <c r="H8843" t="s" s="2">
        <v>19</v>
      </c>
      <c r="I8843" t="s" s="2">
        <v>34106</v>
      </c>
      <c r="J8843" t="s" s="2">
        <v>34107</v>
      </c>
      <c r="K8843" t="s" s="2">
        <v>22</v>
      </c>
      <c r="L8843" t="s" s="2">
        <v>22</v>
      </c>
      <c r="M8843" t="s" s="2">
        <v>22</v>
      </c>
    </row>
    <row r="8844" ht="25.0" customHeight="true">
      <c r="A8844" t="s" s="2">
        <v>13</v>
      </c>
      <c r="B8844" t="s" s="2">
        <f>HYPERLINK("http://ts.21cn.com/tousu/show/id/1362176","现金巴士前期有收费，后面利息不符合")</f>
      </c>
      <c r="C8844" t="s" s="2">
        <v>52</v>
      </c>
      <c r="D8844" t="s" s="2">
        <v>16</v>
      </c>
      <c r="E8844" t="s" s="2">
        <v>17</v>
      </c>
      <c r="F8844" t="s" s="2">
        <f>HYPERLINK("http://ts.21cn.com/tousu/show/id/1362176","http://ts.21cn.com/tousu/show/id/1362176")</f>
      </c>
      <c r="G8844" t="s" s="2">
        <v>17</v>
      </c>
      <c r="H8844" t="s" s="2">
        <v>19</v>
      </c>
      <c r="I8844" t="s" s="2">
        <v>34110</v>
      </c>
      <c r="J8844" t="s" s="2">
        <v>34111</v>
      </c>
      <c r="K8844" t="s" s="2">
        <v>22</v>
      </c>
      <c r="L8844" t="s" s="2">
        <v>22</v>
      </c>
      <c r="M8844" t="s" s="2">
        <v>22</v>
      </c>
    </row>
    <row r="8845" ht="25.0" customHeight="true">
      <c r="A8845" t="s" s="2">
        <v>13</v>
      </c>
      <c r="B8845" t="s" s="2">
        <f>HYPERLINK("http://ts.21cn.com/tousu/show/id/1362175","贷上钱网络高利贷")</f>
      </c>
      <c r="C8845" t="s" s="2">
        <v>15</v>
      </c>
      <c r="D8845" t="s" s="2">
        <v>16</v>
      </c>
      <c r="E8845" t="s" s="2">
        <v>17</v>
      </c>
      <c r="F8845" t="s" s="2">
        <f>HYPERLINK("http://ts.21cn.com/tousu/show/id/1362175","http://ts.21cn.com/tousu/show/id/1362175")</f>
      </c>
      <c r="G8845" t="s" s="2">
        <v>17</v>
      </c>
      <c r="H8845" t="s" s="2">
        <v>19</v>
      </c>
      <c r="I8845" t="s" s="2">
        <v>34114</v>
      </c>
      <c r="J8845" t="s" s="2">
        <v>34115</v>
      </c>
      <c r="K8845" t="s" s="2">
        <v>22</v>
      </c>
      <c r="L8845" t="s" s="2">
        <v>22</v>
      </c>
      <c r="M8845" t="s" s="2">
        <v>22</v>
      </c>
    </row>
    <row r="8846" ht="25.0" customHeight="true">
      <c r="A8846" t="s" s="2">
        <v>13</v>
      </c>
      <c r="B8846" t="s" s="2">
        <f>HYPERLINK("http://ts.21cn.com/tousu/show/id/1362174","金猪钱包套路")</f>
      </c>
      <c r="C8846" t="s" s="2">
        <v>15</v>
      </c>
      <c r="D8846" t="s" s="2">
        <v>16</v>
      </c>
      <c r="E8846" t="s" s="2">
        <v>17</v>
      </c>
      <c r="F8846" t="s" s="2">
        <f>HYPERLINK("http://ts.21cn.com/tousu/show/id/1362174","http://ts.21cn.com/tousu/show/id/1362174")</f>
      </c>
      <c r="G8846" t="s" s="2">
        <v>17</v>
      </c>
      <c r="H8846" t="s" s="2">
        <v>19</v>
      </c>
      <c r="I8846" t="s" s="2">
        <v>34118</v>
      </c>
      <c r="J8846" t="s" s="2">
        <v>34119</v>
      </c>
      <c r="K8846" t="s" s="2">
        <v>22</v>
      </c>
      <c r="L8846" t="s" s="2">
        <v>22</v>
      </c>
      <c r="M8846" t="s" s="2">
        <v>22</v>
      </c>
    </row>
    <row r="8847" ht="25.0" customHeight="true">
      <c r="A8847" t="s" s="2">
        <v>13</v>
      </c>
      <c r="B8847" t="s" s="2">
        <f>HYPERLINK("http://ts.21cn.com/tousu/show/id/1362173","谎称退款，实际没退")</f>
      </c>
      <c r="C8847" t="s" s="2">
        <v>52</v>
      </c>
      <c r="D8847" t="s" s="2">
        <v>16</v>
      </c>
      <c r="E8847" t="s" s="2">
        <v>17</v>
      </c>
      <c r="F8847" t="s" s="2">
        <f>HYPERLINK("http://ts.21cn.com/tousu/show/id/1362173","http://ts.21cn.com/tousu/show/id/1362173")</f>
      </c>
      <c r="G8847" t="s" s="2">
        <v>17</v>
      </c>
      <c r="H8847" t="s" s="2">
        <v>19</v>
      </c>
      <c r="I8847" t="s" s="2">
        <v>34122</v>
      </c>
      <c r="J8847" t="s" s="2">
        <v>34123</v>
      </c>
      <c r="K8847" t="s" s="2">
        <v>22</v>
      </c>
      <c r="L8847" t="s" s="2">
        <v>22</v>
      </c>
      <c r="M8847" t="s" s="2">
        <v>22</v>
      </c>
    </row>
    <row r="8848" ht="25.0" customHeight="true">
      <c r="A8848" t="s" s="2">
        <v>13</v>
      </c>
      <c r="B8848" t="s" s="2">
        <f>HYPERLINK("http://ts.21cn.com/tousu/show/id/1362171","唯品会威胁本人")</f>
      </c>
      <c r="C8848" t="s" s="2">
        <v>15</v>
      </c>
      <c r="D8848" t="s" s="2">
        <v>16</v>
      </c>
      <c r="E8848" t="s" s="2">
        <v>17</v>
      </c>
      <c r="F8848" t="s" s="2">
        <f>HYPERLINK("http://ts.21cn.com/tousu/show/id/1362171","http://ts.21cn.com/tousu/show/id/1362171")</f>
      </c>
      <c r="G8848" t="s" s="2">
        <v>17</v>
      </c>
      <c r="H8848" t="s" s="2">
        <v>19</v>
      </c>
      <c r="I8848" t="s" s="2">
        <v>34126</v>
      </c>
      <c r="J8848" t="s" s="2">
        <v>34127</v>
      </c>
      <c r="K8848" t="s" s="2">
        <v>22</v>
      </c>
      <c r="L8848" t="s" s="2">
        <v>22</v>
      </c>
      <c r="M8848" t="s" s="2">
        <v>22</v>
      </c>
    </row>
    <row r="8849" ht="25.0" customHeight="true">
      <c r="A8849" t="s" s="2">
        <v>13</v>
      </c>
      <c r="B8849" t="s" s="2">
        <f>HYPERLINK("http://ts.21cn.com/tousu/show/id/1362170","利息高暴力催收骚扰")</f>
      </c>
      <c r="C8849" t="s" s="2">
        <v>15</v>
      </c>
      <c r="D8849" t="s" s="2">
        <v>16</v>
      </c>
      <c r="E8849" t="s" s="2">
        <v>17</v>
      </c>
      <c r="F8849" t="s" s="2">
        <f>HYPERLINK("http://ts.21cn.com/tousu/show/id/1362170","http://ts.21cn.com/tousu/show/id/1362170")</f>
      </c>
      <c r="G8849" t="s" s="2">
        <v>17</v>
      </c>
      <c r="H8849" t="s" s="2">
        <v>19</v>
      </c>
      <c r="I8849" t="s" s="2">
        <v>34130</v>
      </c>
      <c r="J8849" t="s" s="2">
        <v>34131</v>
      </c>
      <c r="K8849" t="s" s="2">
        <v>22</v>
      </c>
      <c r="L8849" t="s" s="2">
        <v>22</v>
      </c>
      <c r="M8849" t="s" s="2">
        <v>22</v>
      </c>
    </row>
    <row r="8850" ht="25.0" customHeight="true">
      <c r="A8850" t="s" s="2">
        <v>13</v>
      </c>
      <c r="B8850" t="s" s="2">
        <f>HYPERLINK("http://ts.21cn.com/tousu/show/id/1362169","在智行买火车票未取票不给退款")</f>
      </c>
      <c r="C8850" t="s" s="2">
        <v>15</v>
      </c>
      <c r="D8850" t="s" s="2">
        <v>16</v>
      </c>
      <c r="E8850" t="s" s="2">
        <v>17</v>
      </c>
      <c r="F8850" t="s" s="2">
        <f>HYPERLINK("http://ts.21cn.com/tousu/show/id/1362169","http://ts.21cn.com/tousu/show/id/1362169")</f>
      </c>
      <c r="G8850" t="s" s="2">
        <v>17</v>
      </c>
      <c r="H8850" t="s" s="2">
        <v>19</v>
      </c>
      <c r="I8850" t="s" s="2">
        <v>34134</v>
      </c>
      <c r="J8850" t="s" s="2">
        <v>34135</v>
      </c>
      <c r="K8850" t="s" s="2">
        <v>22</v>
      </c>
      <c r="L8850" t="s" s="2">
        <v>22</v>
      </c>
      <c r="M8850" t="s" s="2">
        <v>22</v>
      </c>
    </row>
    <row r="8851" ht="25.0" customHeight="true">
      <c r="A8851" t="s" s="2">
        <v>13</v>
      </c>
      <c r="B8851" t="s" s="2">
        <f>HYPERLINK("http://ts.21cn.com/tousu/show/id/1362168","银行卡钱通过在国美app支付被盗刷4100元充值话费多次联系国美并提交相关信息一直以推卸责任为由让我联系警察客服人员不处")</f>
      </c>
      <c r="C8851" t="s" s="2">
        <v>15</v>
      </c>
      <c r="D8851" t="s" s="2">
        <v>16</v>
      </c>
      <c r="E8851" t="s" s="2">
        <v>17</v>
      </c>
      <c r="F8851" t="s" s="2">
        <f>HYPERLINK("http://ts.21cn.com/tousu/show/id/1362168","http://ts.21cn.com/tousu/show/id/1362168")</f>
      </c>
      <c r="G8851" t="s" s="2">
        <v>17</v>
      </c>
      <c r="H8851" t="s" s="2">
        <v>19</v>
      </c>
      <c r="I8851" t="s" s="2">
        <v>34138</v>
      </c>
      <c r="J8851" t="s" s="2">
        <v>34139</v>
      </c>
      <c r="K8851" t="s" s="2">
        <v>22</v>
      </c>
      <c r="L8851" t="s" s="2">
        <v>22</v>
      </c>
      <c r="M8851" t="s" s="2">
        <v>22</v>
      </c>
    </row>
    <row r="8852" ht="25.0" customHeight="true">
      <c r="A8852" t="s" s="2">
        <v>13</v>
      </c>
      <c r="B8852" t="s" s="2">
        <f>HYPERLINK("http://ts.21cn.com/tousu/show/id/1362167","我来贷暴力催收")</f>
      </c>
      <c r="C8852" t="s" s="2">
        <v>15</v>
      </c>
      <c r="D8852" t="s" s="2">
        <v>16</v>
      </c>
      <c r="E8852" t="s" s="2">
        <v>17</v>
      </c>
      <c r="F8852" t="s" s="2">
        <f>HYPERLINK("http://ts.21cn.com/tousu/show/id/1362167","http://ts.21cn.com/tousu/show/id/1362167")</f>
      </c>
      <c r="G8852" t="s" s="2">
        <v>17</v>
      </c>
      <c r="H8852" t="s" s="2">
        <v>19</v>
      </c>
      <c r="I8852" t="s" s="2">
        <v>34141</v>
      </c>
      <c r="J8852" t="s" s="2">
        <v>34142</v>
      </c>
      <c r="K8852" t="s" s="2">
        <v>22</v>
      </c>
      <c r="L8852" t="s" s="2">
        <v>22</v>
      </c>
      <c r="M8852" t="s" s="2">
        <v>22</v>
      </c>
    </row>
    <row r="8853" ht="25.0" customHeight="true">
      <c r="A8853" t="s" s="2">
        <v>13</v>
      </c>
      <c r="B8853" t="s" s="2">
        <f>HYPERLINK("http://ts.21cn.com/tousu/show/id/1362166","豹子贷无故扣钱不需要还要扣")</f>
      </c>
      <c r="C8853" t="s" s="2">
        <v>15</v>
      </c>
      <c r="D8853" t="s" s="2">
        <v>16</v>
      </c>
      <c r="E8853" t="s" s="2">
        <v>17</v>
      </c>
      <c r="F8853" t="s" s="2">
        <f>HYPERLINK("http://ts.21cn.com/tousu/show/id/1362166","http://ts.21cn.com/tousu/show/id/1362166")</f>
      </c>
      <c r="G8853" t="s" s="2">
        <v>17</v>
      </c>
      <c r="H8853" t="s" s="2">
        <v>19</v>
      </c>
      <c r="I8853" t="s" s="2">
        <v>34144</v>
      </c>
      <c r="J8853" t="s" s="2">
        <v>34145</v>
      </c>
      <c r="K8853" t="s" s="2">
        <v>22</v>
      </c>
      <c r="L8853" t="s" s="2">
        <v>22</v>
      </c>
      <c r="M8853" t="s" s="2">
        <v>22</v>
      </c>
    </row>
    <row r="8854" ht="25.0" customHeight="true">
      <c r="A8854" t="s" s="2">
        <v>13</v>
      </c>
      <c r="B8854" t="s" s="2">
        <f>HYPERLINK("http://ts.21cn.com/tousu/show/id/1362165","发货错误异地签收")</f>
      </c>
      <c r="C8854" t="s" s="2">
        <v>15</v>
      </c>
      <c r="D8854" t="s" s="2">
        <v>16</v>
      </c>
      <c r="E8854" t="s" s="2">
        <v>17</v>
      </c>
      <c r="F8854" t="s" s="2">
        <f>HYPERLINK("http://ts.21cn.com/tousu/show/id/1362165","http://ts.21cn.com/tousu/show/id/1362165")</f>
      </c>
      <c r="G8854" t="s" s="2">
        <v>17</v>
      </c>
      <c r="H8854" t="s" s="2">
        <v>19</v>
      </c>
      <c r="I8854" t="s" s="2">
        <v>34148</v>
      </c>
      <c r="J8854" t="s" s="2">
        <v>34149</v>
      </c>
      <c r="K8854" t="s" s="2">
        <v>22</v>
      </c>
      <c r="L8854" t="s" s="2">
        <v>22</v>
      </c>
      <c r="M8854" t="s" s="2">
        <v>22</v>
      </c>
    </row>
    <row r="8855" ht="25.0" customHeight="true">
      <c r="A8855" t="s" s="2">
        <v>13</v>
      </c>
      <c r="B8855" t="s" s="2">
        <f>HYPERLINK("http://ts.21cn.com/tousu/show/id/1362164","骚扰通讯录")</f>
      </c>
      <c r="C8855" t="s" s="2">
        <v>52</v>
      </c>
      <c r="D8855" t="s" s="2">
        <v>16</v>
      </c>
      <c r="E8855" t="s" s="2">
        <v>17</v>
      </c>
      <c r="F8855" t="s" s="2">
        <f>HYPERLINK("http://ts.21cn.com/tousu/show/id/1362164","http://ts.21cn.com/tousu/show/id/1362164")</f>
      </c>
      <c r="G8855" t="s" s="2">
        <v>17</v>
      </c>
      <c r="H8855" t="s" s="2">
        <v>19</v>
      </c>
      <c r="I8855" t="s" s="2">
        <v>34151</v>
      </c>
      <c r="J8855" t="s" s="2">
        <v>34152</v>
      </c>
      <c r="K8855" t="s" s="2">
        <v>22</v>
      </c>
      <c r="L8855" t="s" s="2">
        <v>22</v>
      </c>
      <c r="M8855" t="s" s="2">
        <v>22</v>
      </c>
    </row>
    <row r="8856" ht="25.0" customHeight="true">
      <c r="A8856" t="s" s="2">
        <v>13</v>
      </c>
      <c r="B8856" t="s" s="2">
        <f>HYPERLINK("http://ts.21cn.com/tousu/show/id/1362163","我来贷暴力催收")</f>
      </c>
      <c r="C8856" t="s" s="2">
        <v>15</v>
      </c>
      <c r="D8856" t="s" s="2">
        <v>16</v>
      </c>
      <c r="E8856" t="s" s="2">
        <v>17</v>
      </c>
      <c r="F8856" t="s" s="2">
        <f>HYPERLINK("http://ts.21cn.com/tousu/show/id/1362163","http://ts.21cn.com/tousu/show/id/1362163")</f>
      </c>
      <c r="G8856" t="s" s="2">
        <v>17</v>
      </c>
      <c r="H8856" t="s" s="2">
        <v>19</v>
      </c>
      <c r="I8856" t="s" s="2">
        <v>34154</v>
      </c>
      <c r="J8856" t="s" s="2">
        <v>34155</v>
      </c>
      <c r="K8856" t="s" s="2">
        <v>22</v>
      </c>
      <c r="L8856" t="s" s="2">
        <v>22</v>
      </c>
      <c r="M8856" t="s" s="2">
        <v>22</v>
      </c>
    </row>
    <row r="8857" ht="25.0" customHeight="true">
      <c r="A8857" t="s" s="2">
        <v>13</v>
      </c>
      <c r="B8857" t="s" s="2">
        <f>HYPERLINK("http://ts.21cn.com/tousu/show/id/1362162","骚扰我恐吓我")</f>
      </c>
      <c r="C8857" t="s" s="2">
        <v>15</v>
      </c>
      <c r="D8857" t="s" s="2">
        <v>16</v>
      </c>
      <c r="E8857" t="s" s="2">
        <v>17</v>
      </c>
      <c r="F8857" t="s" s="2">
        <f>HYPERLINK("http://ts.21cn.com/tousu/show/id/1362162","http://ts.21cn.com/tousu/show/id/1362162")</f>
      </c>
      <c r="G8857" t="s" s="2">
        <v>17</v>
      </c>
      <c r="H8857" t="s" s="2">
        <v>19</v>
      </c>
      <c r="I8857" t="s" s="2">
        <v>34158</v>
      </c>
      <c r="J8857" t="s" s="2">
        <v>34159</v>
      </c>
      <c r="K8857" t="s" s="2">
        <v>22</v>
      </c>
      <c r="L8857" t="s" s="2">
        <v>22</v>
      </c>
      <c r="M8857" t="s" s="2">
        <v>22</v>
      </c>
    </row>
    <row r="8858" ht="25.0" customHeight="true">
      <c r="A8858" t="s" s="2">
        <v>13</v>
      </c>
      <c r="B8858" t="s" s="2">
        <f>HYPERLINK("http://ts.21cn.com/tousu/show/id/1362161","钱站黑心乱扣钱，捏造借款合同")</f>
      </c>
      <c r="C8858" t="s" s="2">
        <v>15</v>
      </c>
      <c r="D8858" t="s" s="2">
        <v>16</v>
      </c>
      <c r="E8858" t="s" s="2">
        <v>17</v>
      </c>
      <c r="F8858" t="s" s="2">
        <f>HYPERLINK("http://ts.21cn.com/tousu/show/id/1362161","http://ts.21cn.com/tousu/show/id/1362161")</f>
      </c>
      <c r="G8858" t="s" s="2">
        <v>17</v>
      </c>
      <c r="H8858" t="s" s="2">
        <v>19</v>
      </c>
      <c r="I8858" t="s" s="2">
        <v>34162</v>
      </c>
      <c r="J8858" t="s" s="2">
        <v>34163</v>
      </c>
      <c r="K8858" t="s" s="2">
        <v>22</v>
      </c>
      <c r="L8858" t="s" s="2">
        <v>22</v>
      </c>
      <c r="M8858" t="s" s="2">
        <v>22</v>
      </c>
    </row>
    <row r="8859" ht="25.0" customHeight="true">
      <c r="A8859" t="s" s="2">
        <v>13</v>
      </c>
      <c r="B8859" t="s" s="2">
        <f>HYPERLINK("http://ts.21cn.com/tousu/show/id/1362160","好易借超额收取逾期费用")</f>
      </c>
      <c r="C8859" t="s" s="2">
        <v>52</v>
      </c>
      <c r="D8859" t="s" s="2">
        <v>16</v>
      </c>
      <c r="E8859" t="s" s="2">
        <v>17</v>
      </c>
      <c r="F8859" t="s" s="2">
        <f>HYPERLINK("http://ts.21cn.com/tousu/show/id/1362160","http://ts.21cn.com/tousu/show/id/1362160")</f>
      </c>
      <c r="G8859" t="s" s="2">
        <v>17</v>
      </c>
      <c r="H8859" t="s" s="2">
        <v>19</v>
      </c>
      <c r="I8859" t="s" s="2">
        <v>34166</v>
      </c>
      <c r="J8859" t="s" s="2">
        <v>34167</v>
      </c>
      <c r="K8859" t="s" s="2">
        <v>22</v>
      </c>
      <c r="L8859" t="s" s="2">
        <v>22</v>
      </c>
      <c r="M8859" t="s" s="2">
        <v>22</v>
      </c>
    </row>
    <row r="8860" ht="25.0" customHeight="true">
      <c r="A8860" t="s" s="2">
        <v>13</v>
      </c>
      <c r="B8860" t="s" s="2">
        <f>HYPERLINK("http://ts.21cn.com/tousu/show/id/1362159","拍拍贷恶意催收骚扰通讯录虚假律师函恐吓亲友")</f>
      </c>
      <c r="C8860" t="s" s="2">
        <v>15</v>
      </c>
      <c r="D8860" t="s" s="2">
        <v>16</v>
      </c>
      <c r="E8860" t="s" s="2">
        <v>17</v>
      </c>
      <c r="F8860" t="s" s="2">
        <f>HYPERLINK("http://ts.21cn.com/tousu/show/id/1362159","http://ts.21cn.com/tousu/show/id/1362159")</f>
      </c>
      <c r="G8860" t="s" s="2">
        <v>17</v>
      </c>
      <c r="H8860" t="s" s="2">
        <v>19</v>
      </c>
      <c r="I8860" t="s" s="2">
        <v>34170</v>
      </c>
      <c r="J8860" t="s" s="2">
        <v>34171</v>
      </c>
      <c r="K8860" t="s" s="2">
        <v>22</v>
      </c>
      <c r="L8860" t="s" s="2">
        <v>22</v>
      </c>
      <c r="M8860" t="s" s="2">
        <v>22</v>
      </c>
    </row>
    <row r="8861" ht="25.0" customHeight="true">
      <c r="A8861" t="s" s="2">
        <v>13</v>
      </c>
      <c r="B8861" t="s" s="2">
        <f>HYPERLINK("http://ts.21cn.com/tousu/show/id/1362157","钱站爱钱进利息高的离谱")</f>
      </c>
      <c r="C8861" t="s" s="2">
        <v>15</v>
      </c>
      <c r="D8861" t="s" s="2">
        <v>16</v>
      </c>
      <c r="E8861" t="s" s="2">
        <v>17</v>
      </c>
      <c r="F8861" t="s" s="2">
        <f>HYPERLINK("http://ts.21cn.com/tousu/show/id/1362157","http://ts.21cn.com/tousu/show/id/1362157")</f>
      </c>
      <c r="G8861" t="s" s="2">
        <v>17</v>
      </c>
      <c r="H8861" t="s" s="2">
        <v>19</v>
      </c>
      <c r="I8861" t="s" s="2">
        <v>34173</v>
      </c>
      <c r="J8861" t="s" s="2">
        <v>34174</v>
      </c>
      <c r="K8861" t="s" s="2">
        <v>22</v>
      </c>
      <c r="L8861" t="s" s="2">
        <v>22</v>
      </c>
      <c r="M8861" t="s" s="2">
        <v>22</v>
      </c>
    </row>
    <row r="8862" ht="25.0" customHeight="true">
      <c r="A8862" t="s" s="2">
        <v>13</v>
      </c>
      <c r="B8862" t="s" s="2">
        <f>HYPERLINK("http://ts.21cn.com/tousu/show/id/1362156","信用管家APP")</f>
      </c>
      <c r="C8862" t="s" s="2">
        <v>52</v>
      </c>
      <c r="D8862" t="s" s="2">
        <v>16</v>
      </c>
      <c r="E8862" t="s" s="2">
        <v>17</v>
      </c>
      <c r="F8862" t="s" s="2">
        <f>HYPERLINK("http://ts.21cn.com/tousu/show/id/1362156","http://ts.21cn.com/tousu/show/id/1362156")</f>
      </c>
      <c r="G8862" t="s" s="2">
        <v>17</v>
      </c>
      <c r="H8862" t="s" s="2">
        <v>19</v>
      </c>
      <c r="I8862" t="s" s="2">
        <v>34177</v>
      </c>
      <c r="J8862" t="s" s="2">
        <v>34178</v>
      </c>
      <c r="K8862" t="s" s="2">
        <v>22</v>
      </c>
      <c r="L8862" t="s" s="2">
        <v>22</v>
      </c>
      <c r="M8862" t="s" s="2">
        <v>22</v>
      </c>
    </row>
    <row r="8863" ht="25.0" customHeight="true">
      <c r="A8863" t="s" s="2">
        <v>13</v>
      </c>
      <c r="B8863" t="s" s="2">
        <f>HYPERLINK("http://ts.21cn.com/tousu/show/id/1362155","豆豆钱乱扣保险费")</f>
      </c>
      <c r="C8863" t="s" s="2">
        <v>15</v>
      </c>
      <c r="D8863" t="s" s="2">
        <v>16</v>
      </c>
      <c r="E8863" t="s" s="2">
        <v>17</v>
      </c>
      <c r="F8863" t="s" s="2">
        <f>HYPERLINK("http://ts.21cn.com/tousu/show/id/1362155","http://ts.21cn.com/tousu/show/id/1362155")</f>
      </c>
      <c r="G8863" t="s" s="2">
        <v>17</v>
      </c>
      <c r="H8863" t="s" s="2">
        <v>19</v>
      </c>
      <c r="I8863" t="s" s="2">
        <v>34181</v>
      </c>
      <c r="J8863" t="s" s="2">
        <v>34182</v>
      </c>
      <c r="K8863" t="s" s="2">
        <v>22</v>
      </c>
      <c r="L8863" t="s" s="2">
        <v>22</v>
      </c>
      <c r="M8863" t="s" s="2">
        <v>22</v>
      </c>
    </row>
    <row r="8864" ht="25.0" customHeight="true">
      <c r="A8864" t="s" s="2">
        <v>13</v>
      </c>
      <c r="B8864" t="s" s="2">
        <f>HYPERLINK("http://ts.21cn.com/tousu/show/id/1362154","借款70000，合同上是借款78000，实到账70000元，分36期还款一共要还120000多")</f>
      </c>
      <c r="C8864" t="s" s="2">
        <v>15</v>
      </c>
      <c r="D8864" t="s" s="2">
        <v>16</v>
      </c>
      <c r="E8864" t="s" s="2">
        <v>17</v>
      </c>
      <c r="F8864" t="s" s="2">
        <f>HYPERLINK("http://ts.21cn.com/tousu/show/id/1362154","http://ts.21cn.com/tousu/show/id/1362154")</f>
      </c>
      <c r="G8864" t="s" s="2">
        <v>17</v>
      </c>
      <c r="H8864" t="s" s="2">
        <v>19</v>
      </c>
      <c r="I8864" t="s" s="2">
        <v>34185</v>
      </c>
      <c r="J8864" t="s" s="2">
        <v>34186</v>
      </c>
      <c r="K8864" t="s" s="2">
        <v>22</v>
      </c>
      <c r="L8864" t="s" s="2">
        <v>22</v>
      </c>
      <c r="M8864" t="s" s="2">
        <v>22</v>
      </c>
    </row>
    <row r="8865" ht="25.0" customHeight="true">
      <c r="A8865" t="s" s="2">
        <v>13</v>
      </c>
      <c r="B8865" t="s" s="2">
        <f>HYPERLINK("http://ts.21cn.com/tousu/show/id/1362153","信用管家APP")</f>
      </c>
      <c r="C8865" t="s" s="2">
        <v>52</v>
      </c>
      <c r="D8865" t="s" s="2">
        <v>16</v>
      </c>
      <c r="E8865" t="s" s="2">
        <v>17</v>
      </c>
      <c r="F8865" t="s" s="2">
        <f>HYPERLINK("http://ts.21cn.com/tousu/show/id/1362153","http://ts.21cn.com/tousu/show/id/1362153")</f>
      </c>
      <c r="G8865" t="s" s="2">
        <v>17</v>
      </c>
      <c r="H8865" t="s" s="2">
        <v>19</v>
      </c>
      <c r="I8865" t="s" s="2">
        <v>34188</v>
      </c>
      <c r="J8865" t="s" s="2">
        <v>34178</v>
      </c>
      <c r="K8865" t="s" s="2">
        <v>22</v>
      </c>
      <c r="L8865" t="s" s="2">
        <v>22</v>
      </c>
      <c r="M8865" t="s" s="2">
        <v>22</v>
      </c>
    </row>
    <row r="8866" ht="25.0" customHeight="true">
      <c r="A8866" t="s" s="2">
        <v>13</v>
      </c>
      <c r="B8866" t="s" s="2">
        <f>HYPERLINK("http://ts.21cn.com/tousu/show/id/1362152","资金被冻结")</f>
      </c>
      <c r="C8866" t="s" s="2">
        <v>15</v>
      </c>
      <c r="D8866" t="s" s="2">
        <v>16</v>
      </c>
      <c r="E8866" t="s" s="2">
        <v>17</v>
      </c>
      <c r="F8866" t="s" s="2">
        <f>HYPERLINK("http://ts.21cn.com/tousu/show/id/1362152","http://ts.21cn.com/tousu/show/id/1362152")</f>
      </c>
      <c r="G8866" t="s" s="2">
        <v>17</v>
      </c>
      <c r="H8866" t="s" s="2">
        <v>19</v>
      </c>
      <c r="I8866" t="s" s="2">
        <v>34191</v>
      </c>
      <c r="J8866" t="s" s="2">
        <v>34192</v>
      </c>
      <c r="K8866" t="s" s="2">
        <v>22</v>
      </c>
      <c r="L8866" t="s" s="2">
        <v>22</v>
      </c>
      <c r="M8866" t="s" s="2">
        <v>22</v>
      </c>
    </row>
    <row r="8867" ht="25.0" customHeight="true">
      <c r="A8867" t="s" s="2">
        <v>13</v>
      </c>
      <c r="B8867" t="s" s="2">
        <f>HYPERLINK("http://ts.21cn.com/tousu/show/id/1362151","恶意骚扰通讯录好友，且晚上骚扰")</f>
      </c>
      <c r="C8867" t="s" s="2">
        <v>15</v>
      </c>
      <c r="D8867" t="s" s="2">
        <v>16</v>
      </c>
      <c r="E8867" t="s" s="2">
        <v>17</v>
      </c>
      <c r="F8867" t="s" s="2">
        <f>HYPERLINK("http://ts.21cn.com/tousu/show/id/1362151","http://ts.21cn.com/tousu/show/id/1362151")</f>
      </c>
      <c r="G8867" t="s" s="2">
        <v>17</v>
      </c>
      <c r="H8867" t="s" s="2">
        <v>19</v>
      </c>
      <c r="I8867" t="s" s="2">
        <v>34195</v>
      </c>
      <c r="J8867" t="s" s="2">
        <v>34196</v>
      </c>
      <c r="K8867" t="s" s="2">
        <v>22</v>
      </c>
      <c r="L8867" t="s" s="2">
        <v>22</v>
      </c>
      <c r="M8867" t="s" s="2">
        <v>22</v>
      </c>
    </row>
    <row r="8868" ht="25.0" customHeight="true">
      <c r="A8868" t="s" s="2">
        <v>13</v>
      </c>
      <c r="B8868" t="s" s="2">
        <f>HYPERLINK("http://ts.21cn.com/tousu/show/id/1362150","（特约）迅付信息科技有限公司乱扣费")</f>
      </c>
      <c r="C8868" t="s" s="2">
        <v>15</v>
      </c>
      <c r="D8868" t="s" s="2">
        <v>16</v>
      </c>
      <c r="E8868" t="s" s="2">
        <v>17</v>
      </c>
      <c r="F8868" t="s" s="2">
        <f>HYPERLINK("http://ts.21cn.com/tousu/show/id/1362150","http://ts.21cn.com/tousu/show/id/1362150")</f>
      </c>
      <c r="G8868" t="s" s="2">
        <v>17</v>
      </c>
      <c r="H8868" t="s" s="2">
        <v>19</v>
      </c>
      <c r="I8868" t="s" s="2">
        <v>34199</v>
      </c>
      <c r="J8868" t="s" s="2">
        <v>34200</v>
      </c>
      <c r="K8868" t="s" s="2">
        <v>22</v>
      </c>
      <c r="L8868" t="s" s="2">
        <v>22</v>
      </c>
      <c r="M8868" t="s" s="2">
        <v>22</v>
      </c>
    </row>
    <row r="8869" ht="25.0" customHeight="true">
      <c r="A8869" t="s" s="2">
        <v>13</v>
      </c>
      <c r="B8869" t="s" s="2">
        <f>HYPERLINK("http://ts.21cn.com/tousu/show/id/1362149","拍拍贷简直黑社会啊在这严打黑的时间还是那么嚣张")</f>
      </c>
      <c r="C8869" t="s" s="2">
        <v>15</v>
      </c>
      <c r="D8869" t="s" s="2">
        <v>16</v>
      </c>
      <c r="E8869" t="s" s="2">
        <v>17</v>
      </c>
      <c r="F8869" t="s" s="2">
        <f>HYPERLINK("http://ts.21cn.com/tousu/show/id/1362149","http://ts.21cn.com/tousu/show/id/1362149")</f>
      </c>
      <c r="G8869" t="s" s="2">
        <v>17</v>
      </c>
      <c r="H8869" t="s" s="2">
        <v>19</v>
      </c>
      <c r="I8869" t="s" s="2">
        <v>34203</v>
      </c>
      <c r="J8869" t="s" s="2">
        <v>34204</v>
      </c>
      <c r="K8869" t="s" s="2">
        <v>22</v>
      </c>
      <c r="L8869" t="s" s="2">
        <v>22</v>
      </c>
      <c r="M8869" t="s" s="2">
        <v>22</v>
      </c>
    </row>
    <row r="8870" ht="25.0" customHeight="true">
      <c r="A8870" t="s" s="2">
        <v>13</v>
      </c>
      <c r="B8870" t="s" s="2">
        <f>HYPERLINK("http://ts.21cn.com/tousu/show/id/1362148","乐意花高利贷")</f>
      </c>
      <c r="C8870" t="s" s="2">
        <v>15</v>
      </c>
      <c r="D8870" t="s" s="2">
        <v>16</v>
      </c>
      <c r="E8870" t="s" s="2">
        <v>17</v>
      </c>
      <c r="F8870" t="s" s="2">
        <f>HYPERLINK("http://ts.21cn.com/tousu/show/id/1362148","http://ts.21cn.com/tousu/show/id/1362148")</f>
      </c>
      <c r="G8870" t="s" s="2">
        <v>17</v>
      </c>
      <c r="H8870" t="s" s="2">
        <v>19</v>
      </c>
      <c r="I8870" t="s" s="2">
        <v>34206</v>
      </c>
      <c r="J8870" t="s" s="2">
        <v>34207</v>
      </c>
      <c r="K8870" t="s" s="2">
        <v>22</v>
      </c>
      <c r="L8870" t="s" s="2">
        <v>22</v>
      </c>
      <c r="M8870" t="s" s="2">
        <v>22</v>
      </c>
    </row>
    <row r="8871" ht="25.0" customHeight="true">
      <c r="A8871" t="s" s="2">
        <v>13</v>
      </c>
      <c r="B8871" t="s" s="2">
        <f>HYPERLINK("http://ts.21cn.com/tousu/show/id/1362147","钱站高利贷阴阳合同，非法催收，暴力恐吓")</f>
      </c>
      <c r="C8871" t="s" s="2">
        <v>15</v>
      </c>
      <c r="D8871" t="s" s="2">
        <v>16</v>
      </c>
      <c r="E8871" t="s" s="2">
        <v>17</v>
      </c>
      <c r="F8871" t="s" s="2">
        <f>HYPERLINK("http://ts.21cn.com/tousu/show/id/1362147","http://ts.21cn.com/tousu/show/id/1362147")</f>
      </c>
      <c r="G8871" t="s" s="2">
        <v>17</v>
      </c>
      <c r="H8871" t="s" s="2">
        <v>19</v>
      </c>
      <c r="I8871" t="s" s="2">
        <v>34210</v>
      </c>
      <c r="J8871" t="s" s="2">
        <v>34211</v>
      </c>
      <c r="K8871" t="s" s="2">
        <v>22</v>
      </c>
      <c r="L8871" t="s" s="2">
        <v>22</v>
      </c>
      <c r="M8871" t="s" s="2">
        <v>22</v>
      </c>
    </row>
    <row r="8872" ht="25.0" customHeight="true">
      <c r="A8872" t="s" s="2">
        <v>13</v>
      </c>
      <c r="B8872" t="s" s="2">
        <f>HYPERLINK("http://ts.21cn.com/tousu/show/id/1362146","聚福钱包未经许可私自扣款")</f>
      </c>
      <c r="C8872" t="s" s="2">
        <v>15</v>
      </c>
      <c r="D8872" t="s" s="2">
        <v>16</v>
      </c>
      <c r="E8872" t="s" s="2">
        <v>17</v>
      </c>
      <c r="F8872" t="s" s="2">
        <f>HYPERLINK("http://ts.21cn.com/tousu/show/id/1362146","http://ts.21cn.com/tousu/show/id/1362146")</f>
      </c>
      <c r="G8872" t="s" s="2">
        <v>17</v>
      </c>
      <c r="H8872" t="s" s="2">
        <v>19</v>
      </c>
      <c r="I8872" t="s" s="2">
        <v>34213</v>
      </c>
      <c r="J8872" t="s" s="2">
        <v>34214</v>
      </c>
      <c r="K8872" t="s" s="2">
        <v>22</v>
      </c>
      <c r="L8872" t="s" s="2">
        <v>22</v>
      </c>
      <c r="M8872" t="s" s="2">
        <v>22</v>
      </c>
    </row>
    <row r="8873" ht="25.0" customHeight="true">
      <c r="A8873" t="s" s="2">
        <v>13</v>
      </c>
      <c r="B8873" t="s" s="2">
        <f>HYPERLINK("http://ts.21cn.com/tousu/show/id/1362140","百合网诱导贷款消费、签订霸王条款前后描述的不一样")</f>
      </c>
      <c r="C8873" t="s" s="2">
        <v>15</v>
      </c>
      <c r="D8873" t="s" s="2">
        <v>16</v>
      </c>
      <c r="E8873" t="s" s="2">
        <v>17</v>
      </c>
      <c r="F8873" t="s" s="2">
        <f>HYPERLINK("http://ts.21cn.com/tousu/show/id/1362140","http://ts.21cn.com/tousu/show/id/1362140")</f>
      </c>
      <c r="G8873" t="s" s="2">
        <v>17</v>
      </c>
      <c r="H8873" t="s" s="2">
        <v>19</v>
      </c>
      <c r="I8873" t="s" s="2">
        <v>34217</v>
      </c>
      <c r="J8873" t="s" s="2">
        <v>34218</v>
      </c>
      <c r="K8873" t="s" s="2">
        <v>22</v>
      </c>
      <c r="L8873" t="s" s="2">
        <v>22</v>
      </c>
      <c r="M8873" t="s" s="2">
        <v>22</v>
      </c>
    </row>
    <row r="8874" ht="25.0" customHeight="true">
      <c r="A8874" t="s" s="2">
        <v>13</v>
      </c>
      <c r="B8874" t="s" s="2">
        <f>HYPERLINK("http://ts.21cn.com/tousu/show/id/1362145","恶意乱扣我钱")</f>
      </c>
      <c r="C8874" t="s" s="2">
        <v>15</v>
      </c>
      <c r="D8874" t="s" s="2">
        <v>16</v>
      </c>
      <c r="E8874" t="s" s="2">
        <v>17</v>
      </c>
      <c r="F8874" t="s" s="2">
        <f>HYPERLINK("http://ts.21cn.com/tousu/show/id/1362145","http://ts.21cn.com/tousu/show/id/1362145")</f>
      </c>
      <c r="G8874" t="s" s="2">
        <v>17</v>
      </c>
      <c r="H8874" t="s" s="2">
        <v>19</v>
      </c>
      <c r="I8874" t="s" s="2">
        <v>34221</v>
      </c>
      <c r="J8874" t="s" s="2">
        <v>34222</v>
      </c>
      <c r="K8874" t="s" s="2">
        <v>22</v>
      </c>
      <c r="L8874" t="s" s="2">
        <v>22</v>
      </c>
      <c r="M8874" t="s" s="2">
        <v>22</v>
      </c>
    </row>
    <row r="8875" ht="25.0" customHeight="true">
      <c r="A8875" t="s" s="2">
        <v>13</v>
      </c>
      <c r="B8875" t="s" s="2">
        <f>HYPERLINK("http://ts.21cn.com/tousu/show/id/1362144","莫名其妙的的征信报告费")</f>
      </c>
      <c r="C8875" t="s" s="2">
        <v>15</v>
      </c>
      <c r="D8875" t="s" s="2">
        <v>16</v>
      </c>
      <c r="E8875" t="s" s="2">
        <v>17</v>
      </c>
      <c r="F8875" t="s" s="2">
        <f>HYPERLINK("http://ts.21cn.com/tousu/show/id/1362144","http://ts.21cn.com/tousu/show/id/1362144")</f>
      </c>
      <c r="G8875" t="s" s="2">
        <v>17</v>
      </c>
      <c r="H8875" t="s" s="2">
        <v>19</v>
      </c>
      <c r="I8875" t="s" s="2">
        <v>34225</v>
      </c>
      <c r="J8875" t="s" s="2">
        <v>34226</v>
      </c>
      <c r="K8875" t="s" s="2">
        <v>22</v>
      </c>
      <c r="L8875" t="s" s="2">
        <v>22</v>
      </c>
      <c r="M8875" t="s" s="2">
        <v>22</v>
      </c>
    </row>
    <row r="8876" ht="25.0" customHeight="true">
      <c r="A8876" t="s" s="2">
        <v>13</v>
      </c>
      <c r="B8876" t="s" s="2">
        <f>HYPERLINK("http://ts.21cn.com/tousu/show/id/1362143","借了3000还了1000多，到头还欠2000多，借2000还了1000多还欠1000多，这是什么道理？终止合同我时间还没到就把后面的利息都算了进")</f>
      </c>
      <c r="C8876" t="s" s="2">
        <v>15</v>
      </c>
      <c r="D8876" t="s" s="2">
        <v>16</v>
      </c>
      <c r="E8876" t="s" s="2">
        <v>17</v>
      </c>
      <c r="F8876" t="s" s="2">
        <f>HYPERLINK("http://ts.21cn.com/tousu/show/id/1362143","http://ts.21cn.com/tousu/show/id/1362143")</f>
      </c>
      <c r="G8876" t="s" s="2">
        <v>17</v>
      </c>
      <c r="H8876" t="s" s="2">
        <v>19</v>
      </c>
      <c r="I8876" t="s" s="2">
        <v>34229</v>
      </c>
      <c r="J8876" t="s" s="2">
        <v>34230</v>
      </c>
      <c r="K8876" t="s" s="2">
        <v>22</v>
      </c>
      <c r="L8876" t="s" s="2">
        <v>22</v>
      </c>
      <c r="M8876" t="s" s="2">
        <v>22</v>
      </c>
    </row>
    <row r="8877" ht="25.0" customHeight="true">
      <c r="A8877" t="s" s="2">
        <v>13</v>
      </c>
      <c r="B8877" t="s" s="2">
        <f>HYPERLINK("http://ts.21cn.com/tousu/show/id/1362142","小闪分期，借款利息高")</f>
      </c>
      <c r="C8877" t="s" s="2">
        <v>15</v>
      </c>
      <c r="D8877" t="s" s="2">
        <v>16</v>
      </c>
      <c r="E8877" t="s" s="2">
        <v>17</v>
      </c>
      <c r="F8877" t="s" s="2">
        <f>HYPERLINK("http://ts.21cn.com/tousu/show/id/1362142","http://ts.21cn.com/tousu/show/id/1362142")</f>
      </c>
      <c r="G8877" t="s" s="2">
        <v>17</v>
      </c>
      <c r="H8877" t="s" s="2">
        <v>19</v>
      </c>
      <c r="I8877" t="s" s="2">
        <v>34233</v>
      </c>
      <c r="J8877" t="s" s="2">
        <v>34234</v>
      </c>
      <c r="K8877" t="s" s="2">
        <v>22</v>
      </c>
      <c r="L8877" t="s" s="2">
        <v>22</v>
      </c>
      <c r="M8877" t="s" s="2">
        <v>22</v>
      </c>
    </row>
    <row r="8878" ht="25.0" customHeight="true">
      <c r="A8878" t="s" s="2">
        <v>13</v>
      </c>
      <c r="B8878" t="s" s="2">
        <f>HYPERLINK("http://ts.21cn.com/tousu/show/id/1362141","月光侠高额砍头息，恐吓催收")</f>
      </c>
      <c r="C8878" t="s" s="2">
        <v>15</v>
      </c>
      <c r="D8878" t="s" s="2">
        <v>16</v>
      </c>
      <c r="E8878" t="s" s="2">
        <v>17</v>
      </c>
      <c r="F8878" t="s" s="2">
        <f>HYPERLINK("http://ts.21cn.com/tousu/show/id/1362141","http://ts.21cn.com/tousu/show/id/1362141")</f>
      </c>
      <c r="G8878" t="s" s="2">
        <v>17</v>
      </c>
      <c r="H8878" t="s" s="2">
        <v>19</v>
      </c>
      <c r="I8878" t="s" s="2">
        <v>34237</v>
      </c>
      <c r="J8878" t="s" s="2">
        <v>34238</v>
      </c>
      <c r="K8878" t="s" s="2">
        <v>22</v>
      </c>
      <c r="L8878" t="s" s="2">
        <v>22</v>
      </c>
      <c r="M8878" t="s" s="2">
        <v>22</v>
      </c>
    </row>
    <row r="8879" ht="25.0" customHeight="true">
      <c r="A8879" t="s" s="2">
        <v>13</v>
      </c>
      <c r="B8879" t="s" s="2">
        <f>HYPERLINK("http://ts.21cn.com/tousu/show/id/1362138","捷信高利贷骚扰通讯录违法上传征信数据")</f>
      </c>
      <c r="C8879" t="s" s="2">
        <v>15</v>
      </c>
      <c r="D8879" t="s" s="2">
        <v>16</v>
      </c>
      <c r="E8879" t="s" s="2">
        <v>17</v>
      </c>
      <c r="F8879" t="s" s="2">
        <f>HYPERLINK("http://ts.21cn.com/tousu/show/id/1362138","http://ts.21cn.com/tousu/show/id/1362138")</f>
      </c>
      <c r="G8879" t="s" s="2">
        <v>17</v>
      </c>
      <c r="H8879" t="s" s="2">
        <v>19</v>
      </c>
      <c r="I8879" t="s" s="2">
        <v>34241</v>
      </c>
      <c r="J8879" t="s" s="2">
        <v>34242</v>
      </c>
      <c r="K8879" t="s" s="2">
        <v>22</v>
      </c>
      <c r="L8879" t="s" s="2">
        <v>22</v>
      </c>
      <c r="M8879" t="s" s="2">
        <v>22</v>
      </c>
    </row>
    <row r="8880" ht="25.0" customHeight="true">
      <c r="A8880" t="s" s="2">
        <v>13</v>
      </c>
      <c r="B8880" t="s" s="2">
        <f>HYPERLINK("http://ts.21cn.com/tousu/show/id/1362137","华夏信财暴力催收")</f>
      </c>
      <c r="C8880" t="s" s="2">
        <v>15</v>
      </c>
      <c r="D8880" t="s" s="2">
        <v>16</v>
      </c>
      <c r="E8880" t="s" s="2">
        <v>17</v>
      </c>
      <c r="F8880" t="s" s="2">
        <f>HYPERLINK("http://ts.21cn.com/tousu/show/id/1362137","http://ts.21cn.com/tousu/show/id/1362137")</f>
      </c>
      <c r="G8880" t="s" s="2">
        <v>17</v>
      </c>
      <c r="H8880" t="s" s="2">
        <v>19</v>
      </c>
      <c r="I8880" t="s" s="2">
        <v>34245</v>
      </c>
      <c r="J8880" t="s" s="2">
        <v>34246</v>
      </c>
      <c r="K8880" t="s" s="2">
        <v>22</v>
      </c>
      <c r="L8880" t="s" s="2">
        <v>22</v>
      </c>
      <c r="M8880" t="s" s="2">
        <v>22</v>
      </c>
    </row>
    <row r="8881" ht="25.0" customHeight="true">
      <c r="A8881" t="s" s="2">
        <v>13</v>
      </c>
      <c r="B8881" t="s" s="2">
        <f>HYPERLINK("http://ts.21cn.com/tousu/show/id/1362136","卖的手机是假的，退不了货")</f>
      </c>
      <c r="C8881" t="s" s="2">
        <v>52</v>
      </c>
      <c r="D8881" t="s" s="2">
        <v>16</v>
      </c>
      <c r="E8881" t="s" s="2">
        <v>17</v>
      </c>
      <c r="F8881" t="s" s="2">
        <f>HYPERLINK("http://ts.21cn.com/tousu/show/id/1362136","http://ts.21cn.com/tousu/show/id/1362136")</f>
      </c>
      <c r="G8881" t="s" s="2">
        <v>17</v>
      </c>
      <c r="H8881" t="s" s="2">
        <v>19</v>
      </c>
      <c r="I8881" t="s" s="2">
        <v>34249</v>
      </c>
      <c r="J8881" t="s" s="2">
        <v>34250</v>
      </c>
      <c r="K8881" t="s" s="2">
        <v>22</v>
      </c>
      <c r="L8881" t="s" s="2">
        <v>22</v>
      </c>
      <c r="M8881" t="s" s="2">
        <v>22</v>
      </c>
    </row>
    <row r="8882" ht="25.0" customHeight="true">
      <c r="A8882" t="s" s="2">
        <v>13</v>
      </c>
      <c r="B8882" t="s" s="2">
        <f>HYPERLINK("http://ts.21cn.com/tousu/show/id/1362135","砍头息")</f>
      </c>
      <c r="C8882" t="s" s="2">
        <v>15</v>
      </c>
      <c r="D8882" t="s" s="2">
        <v>16</v>
      </c>
      <c r="E8882" t="s" s="2">
        <v>17</v>
      </c>
      <c r="F8882" t="s" s="2">
        <f>HYPERLINK("http://ts.21cn.com/tousu/show/id/1362135","http://ts.21cn.com/tousu/show/id/1362135")</f>
      </c>
      <c r="G8882" t="s" s="2">
        <v>17</v>
      </c>
      <c r="H8882" t="s" s="2">
        <v>19</v>
      </c>
      <c r="I8882" t="s" s="2">
        <v>34252</v>
      </c>
      <c r="J8882" t="s" s="2">
        <v>34253</v>
      </c>
      <c r="K8882" t="s" s="2">
        <v>22</v>
      </c>
      <c r="L8882" t="s" s="2">
        <v>22</v>
      </c>
      <c r="M8882" t="s" s="2">
        <v>22</v>
      </c>
    </row>
    <row r="8883" ht="25.0" customHeight="true">
      <c r="A8883" t="s" s="2">
        <v>13</v>
      </c>
      <c r="B8883" t="s" s="2">
        <f>HYPERLINK("http://ts.21cn.com/tousu/show/id/1362134","恶意扣款，请求协助追回")</f>
      </c>
      <c r="C8883" t="s" s="2">
        <v>15</v>
      </c>
      <c r="D8883" t="s" s="2">
        <v>16</v>
      </c>
      <c r="E8883" t="s" s="2">
        <v>17</v>
      </c>
      <c r="F8883" t="s" s="2">
        <f>HYPERLINK("http://ts.21cn.com/tousu/show/id/1362134","http://ts.21cn.com/tousu/show/id/1362134")</f>
      </c>
      <c r="G8883" t="s" s="2">
        <v>17</v>
      </c>
      <c r="H8883" t="s" s="2">
        <v>19</v>
      </c>
      <c r="I8883" t="s" s="2">
        <v>34256</v>
      </c>
      <c r="J8883" t="s" s="2">
        <v>34257</v>
      </c>
      <c r="K8883" t="s" s="2">
        <v>22</v>
      </c>
      <c r="L8883" t="s" s="2">
        <v>22</v>
      </c>
      <c r="M8883" t="s" s="2">
        <v>22</v>
      </c>
    </row>
    <row r="8884" ht="25.0" customHeight="true">
      <c r="A8884" t="s" s="2">
        <v>13</v>
      </c>
      <c r="B8884" t="s" s="2">
        <f>HYPERLINK("http://ts.21cn.com/tousu/show/id/1362133","四年被贷款竟不知情查征信方知逾期缘由")</f>
      </c>
      <c r="C8884" t="s" s="2">
        <v>15</v>
      </c>
      <c r="D8884" t="s" s="2">
        <v>16</v>
      </c>
      <c r="E8884" t="s" s="2">
        <v>17</v>
      </c>
      <c r="F8884" t="s" s="2">
        <f>HYPERLINK("http://ts.21cn.com/tousu/show/id/1362133","http://ts.21cn.com/tousu/show/id/1362133")</f>
      </c>
      <c r="G8884" t="s" s="2">
        <v>17</v>
      </c>
      <c r="H8884" t="s" s="2">
        <v>19</v>
      </c>
      <c r="I8884" t="s" s="2">
        <v>34260</v>
      </c>
      <c r="J8884" t="s" s="2">
        <v>34261</v>
      </c>
      <c r="K8884" t="s" s="2">
        <v>22</v>
      </c>
      <c r="L8884" t="s" s="2">
        <v>22</v>
      </c>
      <c r="M8884" t="s" s="2">
        <v>22</v>
      </c>
    </row>
    <row r="8885" ht="25.0" customHeight="true">
      <c r="A8885" t="s" s="2">
        <v>13</v>
      </c>
      <c r="B8885" t="s" s="2">
        <f>HYPERLINK("http://ts.21cn.com/tousu/show/id/1362132","捷信分期利息高吗？")</f>
      </c>
      <c r="C8885" t="s" s="2">
        <v>15</v>
      </c>
      <c r="D8885" t="s" s="2">
        <v>16</v>
      </c>
      <c r="E8885" t="s" s="2">
        <v>17</v>
      </c>
      <c r="F8885" t="s" s="2">
        <f>HYPERLINK("http://ts.21cn.com/tousu/show/id/1362132","http://ts.21cn.com/tousu/show/id/1362132")</f>
      </c>
      <c r="G8885" t="s" s="2">
        <v>17</v>
      </c>
      <c r="H8885" t="s" s="2">
        <v>19</v>
      </c>
      <c r="I8885" t="s" s="2">
        <v>34264</v>
      </c>
      <c r="J8885" t="s" s="2">
        <v>34265</v>
      </c>
      <c r="K8885" t="s" s="2">
        <v>22</v>
      </c>
      <c r="L8885" t="s" s="2">
        <v>22</v>
      </c>
      <c r="M8885" t="s" s="2">
        <v>22</v>
      </c>
    </row>
    <row r="8886" ht="25.0" customHeight="true">
      <c r="A8886" t="s" s="2">
        <v>13</v>
      </c>
      <c r="B8886" t="s" s="2">
        <f>HYPERLINK("http://ts.21cn.com/tousu/show/id/1362127","京东白条所谓委托方爆通讯录")</f>
      </c>
      <c r="C8886" t="s" s="2">
        <v>15</v>
      </c>
      <c r="D8886" t="s" s="2">
        <v>16</v>
      </c>
      <c r="E8886" t="s" s="2">
        <v>17</v>
      </c>
      <c r="F8886" t="s" s="2">
        <f>HYPERLINK("http://ts.21cn.com/tousu/show/id/1362127","http://ts.21cn.com/tousu/show/id/1362127")</f>
      </c>
      <c r="G8886" t="s" s="2">
        <v>17</v>
      </c>
      <c r="H8886" t="s" s="2">
        <v>19</v>
      </c>
      <c r="I8886" t="s" s="2">
        <v>34268</v>
      </c>
      <c r="J8886" t="s" s="2">
        <v>34269</v>
      </c>
      <c r="K8886" t="s" s="2">
        <v>22</v>
      </c>
      <c r="L8886" t="s" s="2">
        <v>22</v>
      </c>
      <c r="M8886" t="s" s="2">
        <v>22</v>
      </c>
    </row>
    <row r="8887" ht="25.0" customHeight="true">
      <c r="A8887" t="s" s="2">
        <v>13</v>
      </c>
      <c r="B8887" t="s" s="2">
        <f>HYPERLINK("http://ts.21cn.com/tousu/show/id/1362131","钱站阴阳合同高利贷")</f>
      </c>
      <c r="C8887" t="s" s="2">
        <v>15</v>
      </c>
      <c r="D8887" t="s" s="2">
        <v>16</v>
      </c>
      <c r="E8887" t="s" s="2">
        <v>17</v>
      </c>
      <c r="F8887" t="s" s="2">
        <f>HYPERLINK("http://ts.21cn.com/tousu/show/id/1362131","http://ts.21cn.com/tousu/show/id/1362131")</f>
      </c>
      <c r="G8887" t="s" s="2">
        <v>17</v>
      </c>
      <c r="H8887" t="s" s="2">
        <v>19</v>
      </c>
      <c r="I8887" t="s" s="2">
        <v>34271</v>
      </c>
      <c r="J8887" t="s" s="2">
        <v>34272</v>
      </c>
      <c r="K8887" t="s" s="2">
        <v>22</v>
      </c>
      <c r="L8887" t="s" s="2">
        <v>22</v>
      </c>
      <c r="M8887" t="s" s="2">
        <v>22</v>
      </c>
    </row>
    <row r="8888" ht="25.0" customHeight="true">
      <c r="A8888" t="s" s="2">
        <v>13</v>
      </c>
      <c r="B8888" t="s" s="2">
        <f>HYPERLINK("http://ts.21cn.com/tousu/show/id/1362130","信用管家的聚福钱包登陆app盗取信息银行卡钱财")</f>
      </c>
      <c r="C8888" t="s" s="2">
        <v>15</v>
      </c>
      <c r="D8888" t="s" s="2">
        <v>16</v>
      </c>
      <c r="E8888" t="s" s="2">
        <v>17</v>
      </c>
      <c r="F8888" t="s" s="2">
        <f>HYPERLINK("http://ts.21cn.com/tousu/show/id/1362130","http://ts.21cn.com/tousu/show/id/1362130")</f>
      </c>
      <c r="G8888" t="s" s="2">
        <v>17</v>
      </c>
      <c r="H8888" t="s" s="2">
        <v>19</v>
      </c>
      <c r="I8888" t="s" s="2">
        <v>34275</v>
      </c>
      <c r="J8888" t="s" s="2">
        <v>34276</v>
      </c>
      <c r="K8888" t="s" s="2">
        <v>22</v>
      </c>
      <c r="L8888" t="s" s="2">
        <v>22</v>
      </c>
      <c r="M8888" t="s" s="2">
        <v>22</v>
      </c>
    </row>
    <row r="8889" ht="25.0" customHeight="true">
      <c r="A8889" t="s" s="2">
        <v>13</v>
      </c>
      <c r="B8889" t="s" s="2">
        <f>HYPERLINK("http://ts.21cn.com/tousu/show/id/1362129","天天爆通讯录")</f>
      </c>
      <c r="C8889" t="s" s="2">
        <v>15</v>
      </c>
      <c r="D8889" t="s" s="2">
        <v>16</v>
      </c>
      <c r="E8889" t="s" s="2">
        <v>17</v>
      </c>
      <c r="F8889" t="s" s="2">
        <f>HYPERLINK("http://ts.21cn.com/tousu/show/id/1362129","http://ts.21cn.com/tousu/show/id/1362129")</f>
      </c>
      <c r="G8889" t="s" s="2">
        <v>17</v>
      </c>
      <c r="H8889" t="s" s="2">
        <v>19</v>
      </c>
      <c r="I8889" t="s" s="2">
        <v>34279</v>
      </c>
      <c r="J8889" t="s" s="2">
        <v>34280</v>
      </c>
      <c r="K8889" t="s" s="2">
        <v>22</v>
      </c>
      <c r="L8889" t="s" s="2">
        <v>22</v>
      </c>
      <c r="M8889" t="s" s="2">
        <v>22</v>
      </c>
    </row>
    <row r="8890" ht="25.0" customHeight="true">
      <c r="A8890" t="s" s="2">
        <v>13</v>
      </c>
      <c r="B8890" t="s" s="2">
        <f>HYPERLINK("http://ts.21cn.com/tousu/show/id/1362128","信用星球变相砍头息高利贷")</f>
      </c>
      <c r="C8890" t="s" s="2">
        <v>15</v>
      </c>
      <c r="D8890" t="s" s="2">
        <v>16</v>
      </c>
      <c r="E8890" t="s" s="2">
        <v>17</v>
      </c>
      <c r="F8890" t="s" s="2">
        <f>HYPERLINK("http://ts.21cn.com/tousu/show/id/1362128","http://ts.21cn.com/tousu/show/id/1362128")</f>
      </c>
      <c r="G8890" t="s" s="2">
        <v>17</v>
      </c>
      <c r="H8890" t="s" s="2">
        <v>19</v>
      </c>
      <c r="I8890" t="s" s="2">
        <v>34283</v>
      </c>
      <c r="J8890" t="s" s="2">
        <v>34284</v>
      </c>
      <c r="K8890" t="s" s="2">
        <v>22</v>
      </c>
      <c r="L8890" t="s" s="2">
        <v>22</v>
      </c>
      <c r="M8890" t="s" s="2">
        <v>22</v>
      </c>
    </row>
    <row r="8891" ht="25.0" customHeight="true">
      <c r="A8891" t="s" s="2">
        <v>13</v>
      </c>
      <c r="B8891" t="s" s="2">
        <f>HYPERLINK("http://ts.21cn.com/tousu/show/id/1362126","你我贷高利贷砍头息平台贷后服务费")</f>
      </c>
      <c r="C8891" t="s" s="2">
        <v>15</v>
      </c>
      <c r="D8891" t="s" s="2">
        <v>16</v>
      </c>
      <c r="E8891" t="s" s="2">
        <v>17</v>
      </c>
      <c r="F8891" t="s" s="2">
        <f>HYPERLINK("http://ts.21cn.com/tousu/show/id/1362126","http://ts.21cn.com/tousu/show/id/1362126")</f>
      </c>
      <c r="G8891" t="s" s="2">
        <v>17</v>
      </c>
      <c r="H8891" t="s" s="2">
        <v>19</v>
      </c>
      <c r="I8891" t="s" s="2">
        <v>34287</v>
      </c>
      <c r="J8891" t="s" s="2">
        <v>34288</v>
      </c>
      <c r="K8891" t="s" s="2">
        <v>22</v>
      </c>
      <c r="L8891" t="s" s="2">
        <v>22</v>
      </c>
      <c r="M8891" t="s" s="2">
        <v>22</v>
      </c>
    </row>
    <row r="8892" ht="25.0" customHeight="true">
      <c r="A8892" t="s" s="2">
        <v>13</v>
      </c>
      <c r="B8892" t="s" s="2">
        <f>HYPERLINK("http://ts.21cn.com/tousu/show/id/1361880","中华财险拒不赔偿厚本金融出借人全额本息")</f>
      </c>
      <c r="C8892" t="s" s="2">
        <v>15</v>
      </c>
      <c r="D8892" t="s" s="2">
        <v>16</v>
      </c>
      <c r="E8892" t="s" s="2">
        <v>17</v>
      </c>
      <c r="F8892" t="s" s="2">
        <f>HYPERLINK("http://ts.21cn.com/tousu/show/id/1361880","http://ts.21cn.com/tousu/show/id/1361880")</f>
      </c>
      <c r="G8892" t="s" s="2">
        <v>17</v>
      </c>
      <c r="H8892" t="s" s="2">
        <v>19</v>
      </c>
      <c r="I8892" t="s" s="2">
        <v>34291</v>
      </c>
      <c r="J8892" t="s" s="2">
        <v>34292</v>
      </c>
      <c r="K8892" t="s" s="2">
        <v>22</v>
      </c>
      <c r="L8892" t="s" s="2">
        <v>22</v>
      </c>
      <c r="M8892" t="s" s="2">
        <v>22</v>
      </c>
    </row>
    <row r="8893" ht="25.0" customHeight="true">
      <c r="A8893" t="s" s="2">
        <v>13</v>
      </c>
      <c r="B8893" t="s" s="2">
        <f>HYPERLINK("http://ts.21cn.com/tousu/show/id/1362119","欺骗消费者要求退款")</f>
      </c>
      <c r="C8893" t="s" s="2">
        <v>15</v>
      </c>
      <c r="D8893" t="s" s="2">
        <v>16</v>
      </c>
      <c r="E8893" t="s" s="2">
        <v>17</v>
      </c>
      <c r="F8893" t="s" s="2">
        <f>HYPERLINK("http://ts.21cn.com/tousu/show/id/1362119","http://ts.21cn.com/tousu/show/id/1362119")</f>
      </c>
      <c r="G8893" t="s" s="2">
        <v>17</v>
      </c>
      <c r="H8893" t="s" s="2">
        <v>19</v>
      </c>
      <c r="I8893" t="s" s="2">
        <v>34295</v>
      </c>
      <c r="J8893" t="s" s="2">
        <v>34296</v>
      </c>
      <c r="K8893" t="s" s="2">
        <v>22</v>
      </c>
      <c r="L8893" t="s" s="2">
        <v>22</v>
      </c>
      <c r="M8893" t="s" s="2">
        <v>22</v>
      </c>
    </row>
    <row r="8894" ht="25.0" customHeight="true">
      <c r="A8894" t="s" s="2">
        <v>13</v>
      </c>
      <c r="B8894" t="s" s="2">
        <f>HYPERLINK("http://ts.21cn.com/tousu/show/id/1362125","退还1800元包装费撤销订单")</f>
      </c>
      <c r="C8894" t="s" s="2">
        <v>15</v>
      </c>
      <c r="D8894" t="s" s="2">
        <v>16</v>
      </c>
      <c r="E8894" t="s" s="2">
        <v>17</v>
      </c>
      <c r="F8894" t="s" s="2">
        <f>HYPERLINK("http://ts.21cn.com/tousu/show/id/1362125","http://ts.21cn.com/tousu/show/id/1362125")</f>
      </c>
      <c r="G8894" t="s" s="2">
        <v>17</v>
      </c>
      <c r="H8894" t="s" s="2">
        <v>19</v>
      </c>
      <c r="I8894" t="s" s="2">
        <v>34299</v>
      </c>
      <c r="J8894" t="s" s="2">
        <v>34300</v>
      </c>
      <c r="K8894" t="s" s="2">
        <v>22</v>
      </c>
      <c r="L8894" t="s" s="2">
        <v>22</v>
      </c>
      <c r="M8894" t="s" s="2">
        <v>22</v>
      </c>
    </row>
    <row r="8895" ht="25.0" customHeight="true">
      <c r="A8895" t="s" s="2">
        <v>13</v>
      </c>
      <c r="B8895" t="s" s="2">
        <f>HYPERLINK("http://ts.21cn.com/tousu/show/id/1362124","不让还款强制逾期")</f>
      </c>
      <c r="C8895" t="s" s="2">
        <v>15</v>
      </c>
      <c r="D8895" t="s" s="2">
        <v>16</v>
      </c>
      <c r="E8895" t="s" s="2">
        <v>17</v>
      </c>
      <c r="F8895" t="s" s="2">
        <f>HYPERLINK("http://ts.21cn.com/tousu/show/id/1362124","http://ts.21cn.com/tousu/show/id/1362124")</f>
      </c>
      <c r="G8895" t="s" s="2">
        <v>17</v>
      </c>
      <c r="H8895" t="s" s="2">
        <v>19</v>
      </c>
      <c r="I8895" t="s" s="2">
        <v>34303</v>
      </c>
      <c r="J8895" t="s" s="2">
        <v>34304</v>
      </c>
      <c r="K8895" t="s" s="2">
        <v>22</v>
      </c>
      <c r="L8895" t="s" s="2">
        <v>22</v>
      </c>
      <c r="M8895" t="s" s="2">
        <v>22</v>
      </c>
    </row>
    <row r="8896" ht="25.0" customHeight="true">
      <c r="A8896" t="s" s="2">
        <v>13</v>
      </c>
      <c r="B8896" t="s" s="2">
        <f>HYPERLINK("http://ts.21cn.com/tousu/show/id/1362123","多宝分期非法收取高额利息")</f>
      </c>
      <c r="C8896" t="s" s="2">
        <v>15</v>
      </c>
      <c r="D8896" t="s" s="2">
        <v>16</v>
      </c>
      <c r="E8896" t="s" s="2">
        <v>17</v>
      </c>
      <c r="F8896" t="s" s="2">
        <f>HYPERLINK("http://ts.21cn.com/tousu/show/id/1362123","http://ts.21cn.com/tousu/show/id/1362123")</f>
      </c>
      <c r="G8896" t="s" s="2">
        <v>17</v>
      </c>
      <c r="H8896" t="s" s="2">
        <v>19</v>
      </c>
      <c r="I8896" t="s" s="2">
        <v>34307</v>
      </c>
      <c r="J8896" t="s" s="2">
        <v>34308</v>
      </c>
      <c r="K8896" t="s" s="2">
        <v>22</v>
      </c>
      <c r="L8896" t="s" s="2">
        <v>22</v>
      </c>
      <c r="M8896" t="s" s="2">
        <v>22</v>
      </c>
    </row>
    <row r="8897" ht="25.0" customHeight="true">
      <c r="A8897" t="s" s="2">
        <v>13</v>
      </c>
      <c r="B8897" t="s" s="2">
        <f>HYPERLINK("http://ts.21cn.com/tousu/show/id/1362121","婚介机构诱签无效合同损失14000元")</f>
      </c>
      <c r="C8897" t="s" s="2">
        <v>15</v>
      </c>
      <c r="D8897" t="s" s="2">
        <v>16</v>
      </c>
      <c r="E8897" t="s" s="2">
        <v>17</v>
      </c>
      <c r="F8897" t="s" s="2">
        <f>HYPERLINK("http://ts.21cn.com/tousu/show/id/1362121","http://ts.21cn.com/tousu/show/id/1362121")</f>
      </c>
      <c r="G8897" t="s" s="2">
        <v>17</v>
      </c>
      <c r="H8897" t="s" s="2">
        <v>19</v>
      </c>
      <c r="I8897" t="s" s="2">
        <v>34311</v>
      </c>
      <c r="J8897" t="s" s="2">
        <v>34312</v>
      </c>
      <c r="K8897" t="s" s="2">
        <v>22</v>
      </c>
      <c r="L8897" t="s" s="2">
        <v>22</v>
      </c>
      <c r="M8897" t="s" s="2">
        <v>22</v>
      </c>
    </row>
    <row r="8898" ht="25.0" customHeight="true">
      <c r="A8898" t="s" s="2">
        <v>13</v>
      </c>
      <c r="B8898" t="s" s="2">
        <f>HYPERLINK("http://ts.21cn.com/tousu/show/id/1362120","安逸花马上金融乱收费")</f>
      </c>
      <c r="C8898" t="s" s="2">
        <v>15</v>
      </c>
      <c r="D8898" t="s" s="2">
        <v>16</v>
      </c>
      <c r="E8898" t="s" s="2">
        <v>17</v>
      </c>
      <c r="F8898" t="s" s="2">
        <f>HYPERLINK("http://ts.21cn.com/tousu/show/id/1362120","http://ts.21cn.com/tousu/show/id/1362120")</f>
      </c>
      <c r="G8898" t="s" s="2">
        <v>17</v>
      </c>
      <c r="H8898" t="s" s="2">
        <v>19</v>
      </c>
      <c r="I8898" t="s" s="2">
        <v>34315</v>
      </c>
      <c r="J8898" t="s" s="2">
        <v>34316</v>
      </c>
      <c r="K8898" t="s" s="2">
        <v>22</v>
      </c>
      <c r="L8898" t="s" s="2">
        <v>22</v>
      </c>
      <c r="M8898" t="s" s="2">
        <v>22</v>
      </c>
    </row>
    <row r="8899" ht="25.0" customHeight="true">
      <c r="A8899" t="s" s="2">
        <v>13</v>
      </c>
      <c r="B8899" t="s" s="2">
        <f>HYPERLINK("http://ts.21cn.com/tousu/show/id/1362118","即贷骚扰通信录")</f>
      </c>
      <c r="C8899" t="s" s="2">
        <v>15</v>
      </c>
      <c r="D8899" t="s" s="2">
        <v>16</v>
      </c>
      <c r="E8899" t="s" s="2">
        <v>17</v>
      </c>
      <c r="F8899" t="s" s="2">
        <f>HYPERLINK("http://ts.21cn.com/tousu/show/id/1362118","http://ts.21cn.com/tousu/show/id/1362118")</f>
      </c>
      <c r="G8899" t="s" s="2">
        <v>17</v>
      </c>
      <c r="H8899" t="s" s="2">
        <v>19</v>
      </c>
      <c r="I8899" t="s" s="2">
        <v>34319</v>
      </c>
      <c r="J8899" t="s" s="2">
        <v>34320</v>
      </c>
      <c r="K8899" t="s" s="2">
        <v>22</v>
      </c>
      <c r="L8899" t="s" s="2">
        <v>22</v>
      </c>
      <c r="M8899" t="s" s="2">
        <v>22</v>
      </c>
    </row>
    <row r="8900" ht="25.0" customHeight="true">
      <c r="A8900" t="s" s="2">
        <v>13</v>
      </c>
      <c r="B8900" t="s" s="2">
        <f>HYPERLINK("http://ts.21cn.com/tousu/show/id/1362116","违规提供支付通道")</f>
      </c>
      <c r="C8900" t="s" s="2">
        <v>15</v>
      </c>
      <c r="D8900" t="s" s="2">
        <v>16</v>
      </c>
      <c r="E8900" t="s" s="2">
        <v>17</v>
      </c>
      <c r="F8900" t="s" s="2">
        <f>HYPERLINK("http://ts.21cn.com/tousu/show/id/1362116","http://ts.21cn.com/tousu/show/id/1362116")</f>
      </c>
      <c r="G8900" t="s" s="2">
        <v>17</v>
      </c>
      <c r="H8900" t="s" s="2">
        <v>19</v>
      </c>
      <c r="I8900" t="s" s="2">
        <v>34323</v>
      </c>
      <c r="J8900" t="s" s="2">
        <v>34324</v>
      </c>
      <c r="K8900" t="s" s="2">
        <v>22</v>
      </c>
      <c r="L8900" t="s" s="2">
        <v>22</v>
      </c>
      <c r="M8900" t="s" s="2">
        <v>22</v>
      </c>
    </row>
    <row r="8901" ht="25.0" customHeight="true">
      <c r="A8901" t="s" s="2">
        <v>13</v>
      </c>
      <c r="B8901" t="s" s="2">
        <f>HYPERLINK("http://ts.21cn.com/tousu/show/id/1362115","青客公寓优惠返还欺诈")</f>
      </c>
      <c r="C8901" t="s" s="2">
        <v>15</v>
      </c>
      <c r="D8901" t="s" s="2">
        <v>16</v>
      </c>
      <c r="E8901" t="s" s="2">
        <v>17</v>
      </c>
      <c r="F8901" t="s" s="2">
        <f>HYPERLINK("http://ts.21cn.com/tousu/show/id/1362115","http://ts.21cn.com/tousu/show/id/1362115")</f>
      </c>
      <c r="G8901" t="s" s="2">
        <v>17</v>
      </c>
      <c r="H8901" t="s" s="2">
        <v>19</v>
      </c>
      <c r="I8901" t="s" s="2">
        <v>34327</v>
      </c>
      <c r="J8901" t="s" s="2">
        <v>34328</v>
      </c>
      <c r="K8901" t="s" s="2">
        <v>22</v>
      </c>
      <c r="L8901" t="s" s="2">
        <v>22</v>
      </c>
      <c r="M8901" t="s" s="2">
        <v>22</v>
      </c>
    </row>
    <row r="8902" ht="25.0" customHeight="true">
      <c r="A8902" t="s" s="2">
        <v>13</v>
      </c>
      <c r="B8902" t="s" s="2">
        <f>HYPERLINK("http://ts.21cn.com/tousu/show/id/1362114","贷上钱不给注销帐号")</f>
      </c>
      <c r="C8902" t="s" s="2">
        <v>52</v>
      </c>
      <c r="D8902" t="s" s="2">
        <v>16</v>
      </c>
      <c r="E8902" t="s" s="2">
        <v>17</v>
      </c>
      <c r="F8902" t="s" s="2">
        <f>HYPERLINK("http://ts.21cn.com/tousu/show/id/1362114","http://ts.21cn.com/tousu/show/id/1362114")</f>
      </c>
      <c r="G8902" t="s" s="2">
        <v>17</v>
      </c>
      <c r="H8902" t="s" s="2">
        <v>19</v>
      </c>
      <c r="I8902" t="s" s="2">
        <v>34331</v>
      </c>
      <c r="J8902" t="s" s="2">
        <v>34332</v>
      </c>
      <c r="K8902" t="s" s="2">
        <v>22</v>
      </c>
      <c r="L8902" t="s" s="2">
        <v>22</v>
      </c>
      <c r="M8902" t="s" s="2">
        <v>22</v>
      </c>
    </row>
    <row r="8903" ht="25.0" customHeight="true">
      <c r="A8903" t="s" s="2">
        <v>13</v>
      </c>
      <c r="B8903" t="s" s="2">
        <f>HYPERLINK("http://ts.21cn.com/tousu/show/id/1362113","京东金融")</f>
      </c>
      <c r="C8903" t="s" s="2">
        <v>15</v>
      </c>
      <c r="D8903" t="s" s="2">
        <v>16</v>
      </c>
      <c r="E8903" t="s" s="2">
        <v>17</v>
      </c>
      <c r="F8903" t="s" s="2">
        <f>HYPERLINK("http://ts.21cn.com/tousu/show/id/1362113","http://ts.21cn.com/tousu/show/id/1362113")</f>
      </c>
      <c r="G8903" t="s" s="2">
        <v>17</v>
      </c>
      <c r="H8903" t="s" s="2">
        <v>19</v>
      </c>
      <c r="I8903" t="s" s="2">
        <v>34335</v>
      </c>
      <c r="J8903" t="s" s="2">
        <v>34336</v>
      </c>
      <c r="K8903" t="s" s="2">
        <v>22</v>
      </c>
      <c r="L8903" t="s" s="2">
        <v>22</v>
      </c>
      <c r="M8903" t="s" s="2">
        <v>22</v>
      </c>
    </row>
    <row r="8904" ht="25.0" customHeight="true">
      <c r="A8904" t="s" s="2">
        <v>13</v>
      </c>
      <c r="B8904" t="s" s="2">
        <f>HYPERLINK("http://ts.21cn.com/tousu/show/id/1362112","无故扣款")</f>
      </c>
      <c r="C8904" t="s" s="2">
        <v>15</v>
      </c>
      <c r="D8904" t="s" s="2">
        <v>16</v>
      </c>
      <c r="E8904" t="s" s="2">
        <v>17</v>
      </c>
      <c r="F8904" t="s" s="2">
        <f>HYPERLINK("http://ts.21cn.com/tousu/show/id/1362112","http://ts.21cn.com/tousu/show/id/1362112")</f>
      </c>
      <c r="G8904" t="s" s="2">
        <v>17</v>
      </c>
      <c r="H8904" t="s" s="2">
        <v>19</v>
      </c>
      <c r="I8904" t="s" s="2">
        <v>34338</v>
      </c>
      <c r="J8904" t="s" s="2">
        <v>34339</v>
      </c>
      <c r="K8904" t="s" s="2">
        <v>22</v>
      </c>
      <c r="L8904" t="s" s="2">
        <v>22</v>
      </c>
      <c r="M8904" t="s" s="2">
        <v>22</v>
      </c>
    </row>
    <row r="8905" ht="25.0" customHeight="true">
      <c r="A8905" t="s" s="2">
        <v>13</v>
      </c>
      <c r="B8905" t="s" s="2">
        <f>HYPERLINK("http://ts.21cn.com/tousu/show/id/1362111","乱扣费")</f>
      </c>
      <c r="C8905" t="s" s="2">
        <v>15</v>
      </c>
      <c r="D8905" t="s" s="2">
        <v>16</v>
      </c>
      <c r="E8905" t="s" s="2">
        <v>17</v>
      </c>
      <c r="F8905" t="s" s="2">
        <f>HYPERLINK("http://ts.21cn.com/tousu/show/id/1362111","http://ts.21cn.com/tousu/show/id/1362111")</f>
      </c>
      <c r="G8905" t="s" s="2">
        <v>17</v>
      </c>
      <c r="H8905" t="s" s="2">
        <v>19</v>
      </c>
      <c r="I8905" t="s" s="2">
        <v>34341</v>
      </c>
      <c r="J8905" t="s" s="2">
        <v>34342</v>
      </c>
      <c r="K8905" t="s" s="2">
        <v>22</v>
      </c>
      <c r="L8905" t="s" s="2">
        <v>22</v>
      </c>
      <c r="M8905" t="s" s="2">
        <v>22</v>
      </c>
    </row>
    <row r="8906" ht="25.0" customHeight="true">
      <c r="A8906" t="s" s="2">
        <v>13</v>
      </c>
      <c r="B8906" t="s" s="2">
        <f>HYPERLINK("http://ts.21cn.com/tousu/show/id/1362101","白条分期私自扣我银行卡里249元钱，完全没有通知")</f>
      </c>
      <c r="C8906" t="s" s="2">
        <v>15</v>
      </c>
      <c r="D8906" t="s" s="2">
        <v>16</v>
      </c>
      <c r="E8906" t="s" s="2">
        <v>17</v>
      </c>
      <c r="F8906" t="s" s="2">
        <f>HYPERLINK("http://ts.21cn.com/tousu/show/id/1362101","http://ts.21cn.com/tousu/show/id/1362101")</f>
      </c>
      <c r="G8906" t="s" s="2">
        <v>17</v>
      </c>
      <c r="H8906" t="s" s="2">
        <v>19</v>
      </c>
      <c r="I8906" t="s" s="2">
        <v>34345</v>
      </c>
      <c r="J8906" t="s" s="2">
        <v>34346</v>
      </c>
      <c r="K8906" t="s" s="2">
        <v>22</v>
      </c>
      <c r="L8906" t="s" s="2">
        <v>22</v>
      </c>
      <c r="M8906" t="s" s="2">
        <v>22</v>
      </c>
    </row>
    <row r="8907" ht="25.0" customHeight="true">
      <c r="A8907" t="s" s="2">
        <v>13</v>
      </c>
      <c r="B8907" t="s" s="2">
        <f>HYPERLINK("http://ts.21cn.com/tousu/show/id/1362107","钱站高利贷砍头息")</f>
      </c>
      <c r="C8907" t="s" s="2">
        <v>15</v>
      </c>
      <c r="D8907" t="s" s="2">
        <v>16</v>
      </c>
      <c r="E8907" t="s" s="2">
        <v>17</v>
      </c>
      <c r="F8907" t="s" s="2">
        <f>HYPERLINK("http://ts.21cn.com/tousu/show/id/1362107","http://ts.21cn.com/tousu/show/id/1362107")</f>
      </c>
      <c r="G8907" t="s" s="2">
        <v>17</v>
      </c>
      <c r="H8907" t="s" s="2">
        <v>19</v>
      </c>
      <c r="I8907" t="s" s="2">
        <v>34349</v>
      </c>
      <c r="J8907" t="s" s="2">
        <v>34350</v>
      </c>
      <c r="K8907" t="s" s="2">
        <v>22</v>
      </c>
      <c r="L8907" t="s" s="2">
        <v>22</v>
      </c>
      <c r="M8907" t="s" s="2">
        <v>22</v>
      </c>
    </row>
    <row r="8908" ht="25.0" customHeight="true">
      <c r="A8908" t="s" s="2">
        <v>13</v>
      </c>
      <c r="B8908" t="s" s="2">
        <f>HYPERLINK("http://ts.21cn.com/tousu/show/id/1362106","你我贷我已还款了，怎么还是逾期")</f>
      </c>
      <c r="C8908" t="s" s="2">
        <v>52</v>
      </c>
      <c r="D8908" t="s" s="2">
        <v>16</v>
      </c>
      <c r="E8908" t="s" s="2">
        <v>17</v>
      </c>
      <c r="F8908" t="s" s="2">
        <f>HYPERLINK("http://ts.21cn.com/tousu/show/id/1362106","http://ts.21cn.com/tousu/show/id/1362106")</f>
      </c>
      <c r="G8908" t="s" s="2">
        <v>17</v>
      </c>
      <c r="H8908" t="s" s="2">
        <v>19</v>
      </c>
      <c r="I8908" t="s" s="2">
        <v>34353</v>
      </c>
      <c r="J8908" t="s" s="2">
        <v>34354</v>
      </c>
      <c r="K8908" t="s" s="2">
        <v>22</v>
      </c>
      <c r="L8908" t="s" s="2">
        <v>22</v>
      </c>
      <c r="M8908" t="s" s="2">
        <v>22</v>
      </c>
    </row>
    <row r="8909" ht="25.0" customHeight="true">
      <c r="A8909" t="s" s="2">
        <v>13</v>
      </c>
      <c r="B8909" t="s" s="2">
        <f>HYPERLINK("http://ts.21cn.com/tousu/show/id/1362105","华为合作品牌商-佑美京东自营旗舰店虚假活动，商家虚假名单")</f>
      </c>
      <c r="C8909" t="s" s="2">
        <v>15</v>
      </c>
      <c r="D8909" t="s" s="2">
        <v>16</v>
      </c>
      <c r="E8909" t="s" s="2">
        <v>17</v>
      </c>
      <c r="F8909" t="s" s="2">
        <f>HYPERLINK("http://ts.21cn.com/tousu/show/id/1362105","http://ts.21cn.com/tousu/show/id/1362105")</f>
      </c>
      <c r="G8909" t="s" s="2">
        <v>17</v>
      </c>
      <c r="H8909" t="s" s="2">
        <v>19</v>
      </c>
      <c r="I8909" t="s" s="2">
        <v>34357</v>
      </c>
      <c r="J8909" t="s" s="2">
        <v>34358</v>
      </c>
      <c r="K8909" t="s" s="2">
        <v>22</v>
      </c>
      <c r="L8909" t="s" s="2">
        <v>22</v>
      </c>
      <c r="M8909" t="s" s="2">
        <v>22</v>
      </c>
    </row>
    <row r="8910" ht="25.0" customHeight="true">
      <c r="A8910" t="s" s="2">
        <v>13</v>
      </c>
      <c r="B8910" t="s" s="2">
        <f>HYPERLINK("http://ts.21cn.com/tousu/show/id/1362104","腾讯企点QQ包庇纵容违法违规营销QQ，对违法违规帐号不处理，投诉过程中多次逃避问题或置之不理")</f>
      </c>
      <c r="C8910" t="s" s="2">
        <v>15</v>
      </c>
      <c r="D8910" t="s" s="2">
        <v>16</v>
      </c>
      <c r="E8910" t="s" s="2">
        <v>17</v>
      </c>
      <c r="F8910" t="s" s="2">
        <f>HYPERLINK("http://ts.21cn.com/tousu/show/id/1362104","http://ts.21cn.com/tousu/show/id/1362104")</f>
      </c>
      <c r="G8910" t="s" s="2">
        <v>17</v>
      </c>
      <c r="H8910" t="s" s="2">
        <v>19</v>
      </c>
      <c r="I8910" t="s" s="2">
        <v>34361</v>
      </c>
      <c r="J8910" t="s" s="2">
        <v>34362</v>
      </c>
      <c r="K8910" t="s" s="2">
        <v>22</v>
      </c>
      <c r="L8910" t="s" s="2">
        <v>22</v>
      </c>
      <c r="M8910" t="s" s="2">
        <v>22</v>
      </c>
    </row>
    <row r="8911" ht="25.0" customHeight="true">
      <c r="A8911" t="s" s="2">
        <v>13</v>
      </c>
      <c r="B8911" t="s" s="2">
        <f>HYPERLINK("http://ts.21cn.com/tousu/show/id/1362103","【玖富集团】对外投资对个714高炮公司，并且第三方支付机构为其提供违规支付业务。")</f>
      </c>
      <c r="C8911" t="s" s="2">
        <v>52</v>
      </c>
      <c r="D8911" t="s" s="2">
        <v>16</v>
      </c>
      <c r="E8911" t="s" s="2">
        <v>17</v>
      </c>
      <c r="F8911" t="s" s="2">
        <f>HYPERLINK("http://ts.21cn.com/tousu/show/id/1362103","http://ts.21cn.com/tousu/show/id/1362103")</f>
      </c>
      <c r="G8911" t="s" s="2">
        <v>17</v>
      </c>
      <c r="H8911" t="s" s="2">
        <v>19</v>
      </c>
      <c r="I8911" t="s" s="2">
        <v>34365</v>
      </c>
      <c r="J8911" t="s" s="2">
        <v>34366</v>
      </c>
      <c r="K8911" t="s" s="2">
        <v>22</v>
      </c>
      <c r="L8911" t="s" s="2">
        <v>22</v>
      </c>
      <c r="M8911" t="s" s="2">
        <v>22</v>
      </c>
    </row>
    <row r="8912" ht="25.0" customHeight="true">
      <c r="A8912" t="s" s="2">
        <v>13</v>
      </c>
      <c r="B8912" t="s" s="2">
        <f>HYPERLINK("http://ts.21cn.com/tousu/show/id/1362102","钱伴平台高利贷，暴力催收")</f>
      </c>
      <c r="C8912" t="s" s="2">
        <v>15</v>
      </c>
      <c r="D8912" t="s" s="2">
        <v>16</v>
      </c>
      <c r="E8912" t="s" s="2">
        <v>17</v>
      </c>
      <c r="F8912" t="s" s="2">
        <f>HYPERLINK("http://ts.21cn.com/tousu/show/id/1362102","http://ts.21cn.com/tousu/show/id/1362102")</f>
      </c>
      <c r="G8912" t="s" s="2">
        <v>17</v>
      </c>
      <c r="H8912" t="s" s="2">
        <v>19</v>
      </c>
      <c r="I8912" t="s" s="2">
        <v>34369</v>
      </c>
      <c r="J8912" t="s" s="2">
        <v>34370</v>
      </c>
      <c r="K8912" t="s" s="2">
        <v>22</v>
      </c>
      <c r="L8912" t="s" s="2">
        <v>22</v>
      </c>
      <c r="M8912" t="s" s="2">
        <v>22</v>
      </c>
    </row>
    <row r="8913" ht="25.0" customHeight="true">
      <c r="A8913" t="s" s="2">
        <v>13</v>
      </c>
      <c r="B8913" t="s" s="2">
        <f>HYPERLINK("http://ts.21cn.com/tousu/show/id/1362100","手机借钱高利贷")</f>
      </c>
      <c r="C8913" t="s" s="2">
        <v>15</v>
      </c>
      <c r="D8913" t="s" s="2">
        <v>16</v>
      </c>
      <c r="E8913" t="s" s="2">
        <v>17</v>
      </c>
      <c r="F8913" t="s" s="2">
        <f>HYPERLINK("http://ts.21cn.com/tousu/show/id/1362100","http://ts.21cn.com/tousu/show/id/1362100")</f>
      </c>
      <c r="G8913" t="s" s="2">
        <v>17</v>
      </c>
      <c r="H8913" t="s" s="2">
        <v>19</v>
      </c>
      <c r="I8913" t="s" s="2">
        <v>34373</v>
      </c>
      <c r="J8913" t="s" s="2">
        <v>34374</v>
      </c>
      <c r="K8913" t="s" s="2">
        <v>22</v>
      </c>
      <c r="L8913" t="s" s="2">
        <v>22</v>
      </c>
      <c r="M8913" t="s" s="2">
        <v>22</v>
      </c>
    </row>
    <row r="8914" ht="25.0" customHeight="true">
      <c r="A8914" t="s" s="2">
        <v>13</v>
      </c>
      <c r="B8914" t="s" s="2">
        <f>HYPERLINK("http://ts.21cn.com/tousu/show/id/1362099","现金巴士套路用户")</f>
      </c>
      <c r="C8914" t="s" s="2">
        <v>52</v>
      </c>
      <c r="D8914" t="s" s="2">
        <v>16</v>
      </c>
      <c r="E8914" t="s" s="2">
        <v>17</v>
      </c>
      <c r="F8914" t="s" s="2">
        <f>HYPERLINK("http://ts.21cn.com/tousu/show/id/1362099","http://ts.21cn.com/tousu/show/id/1362099")</f>
      </c>
      <c r="G8914" t="s" s="2">
        <v>17</v>
      </c>
      <c r="H8914" t="s" s="2">
        <v>19</v>
      </c>
      <c r="I8914" t="s" s="2">
        <v>34377</v>
      </c>
      <c r="J8914" t="s" s="2">
        <v>34378</v>
      </c>
      <c r="K8914" t="s" s="2">
        <v>22</v>
      </c>
      <c r="L8914" t="s" s="2">
        <v>22</v>
      </c>
      <c r="M8914" t="s" s="2">
        <v>22</v>
      </c>
    </row>
    <row r="8915" ht="25.0" customHeight="true">
      <c r="A8915" t="s" s="2">
        <v>13</v>
      </c>
      <c r="B8915" t="s" s="2">
        <f>HYPERLINK("http://ts.21cn.com/tousu/show/id/1362098","云闪付提供网赌平台支付通道")</f>
      </c>
      <c r="C8915" t="s" s="2">
        <v>15</v>
      </c>
      <c r="D8915" t="s" s="2">
        <v>16</v>
      </c>
      <c r="E8915" t="s" s="2">
        <v>17</v>
      </c>
      <c r="F8915" t="s" s="2">
        <f>HYPERLINK("http://ts.21cn.com/tousu/show/id/1362098","http://ts.21cn.com/tousu/show/id/1362098")</f>
      </c>
      <c r="G8915" t="s" s="2">
        <v>17</v>
      </c>
      <c r="H8915" t="s" s="2">
        <v>19</v>
      </c>
      <c r="I8915" t="s" s="2">
        <v>34381</v>
      </c>
      <c r="J8915" t="s" s="2">
        <v>34382</v>
      </c>
      <c r="K8915" t="s" s="2">
        <v>22</v>
      </c>
      <c r="L8915" t="s" s="2">
        <v>22</v>
      </c>
      <c r="M8915" t="s" s="2">
        <v>22</v>
      </c>
    </row>
    <row r="8916" ht="25.0" customHeight="true">
      <c r="A8916" t="s" s="2">
        <v>13</v>
      </c>
      <c r="B8916" t="s" s="2">
        <f>HYPERLINK("http://ts.21cn.com/tousu/show/id/1362097","阴阳合同，不知情恶意扣费")</f>
      </c>
      <c r="C8916" t="s" s="2">
        <v>15</v>
      </c>
      <c r="D8916" t="s" s="2">
        <v>16</v>
      </c>
      <c r="E8916" t="s" s="2">
        <v>17</v>
      </c>
      <c r="F8916" t="s" s="2">
        <f>HYPERLINK("http://ts.21cn.com/tousu/show/id/1362097","http://ts.21cn.com/tousu/show/id/1362097")</f>
      </c>
      <c r="G8916" t="s" s="2">
        <v>17</v>
      </c>
      <c r="H8916" t="s" s="2">
        <v>19</v>
      </c>
      <c r="I8916" t="s" s="2">
        <v>34385</v>
      </c>
      <c r="J8916" t="s" s="2">
        <v>34386</v>
      </c>
      <c r="K8916" t="s" s="2">
        <v>22</v>
      </c>
      <c r="L8916" t="s" s="2">
        <v>22</v>
      </c>
      <c r="M8916" t="s" s="2">
        <v>22</v>
      </c>
    </row>
    <row r="8917" ht="25.0" customHeight="true">
      <c r="A8917" t="s" s="2">
        <v>13</v>
      </c>
      <c r="B8917" t="s" s="2">
        <f>HYPERLINK("http://ts.21cn.com/tousu/show/id/1362096","退还担保费")</f>
      </c>
      <c r="C8917" t="s" s="2">
        <v>15</v>
      </c>
      <c r="D8917" t="s" s="2">
        <v>16</v>
      </c>
      <c r="E8917" t="s" s="2">
        <v>17</v>
      </c>
      <c r="F8917" t="s" s="2">
        <f>HYPERLINK("http://ts.21cn.com/tousu/show/id/1362096","http://ts.21cn.com/tousu/show/id/1362096")</f>
      </c>
      <c r="G8917" t="s" s="2">
        <v>17</v>
      </c>
      <c r="H8917" t="s" s="2">
        <v>19</v>
      </c>
      <c r="I8917" t="s" s="2">
        <v>34389</v>
      </c>
      <c r="J8917" t="s" s="2">
        <v>34390</v>
      </c>
      <c r="K8917" t="s" s="2">
        <v>22</v>
      </c>
      <c r="L8917" t="s" s="2">
        <v>22</v>
      </c>
      <c r="M8917" t="s" s="2">
        <v>22</v>
      </c>
    </row>
    <row r="8918" ht="25.0" customHeight="true">
      <c r="A8918" t="s" s="2">
        <v>13</v>
      </c>
      <c r="B8918" t="s" s="2">
        <f>HYPERLINK("http://ts.21cn.com/tousu/show/id/1362095","协商展期")</f>
      </c>
      <c r="C8918" t="s" s="2">
        <v>52</v>
      </c>
      <c r="D8918" t="s" s="2">
        <v>16</v>
      </c>
      <c r="E8918" t="s" s="2">
        <v>17</v>
      </c>
      <c r="F8918" t="s" s="2">
        <f>HYPERLINK("http://ts.21cn.com/tousu/show/id/1362095","http://ts.21cn.com/tousu/show/id/1362095")</f>
      </c>
      <c r="G8918" t="s" s="2">
        <v>17</v>
      </c>
      <c r="H8918" t="s" s="2">
        <v>19</v>
      </c>
      <c r="I8918" t="s" s="2">
        <v>34393</v>
      </c>
      <c r="J8918" t="s" s="2">
        <v>34394</v>
      </c>
      <c r="K8918" t="s" s="2">
        <v>22</v>
      </c>
      <c r="L8918" t="s" s="2">
        <v>22</v>
      </c>
      <c r="M8918" t="s" s="2">
        <v>22</v>
      </c>
    </row>
    <row r="8919" ht="25.0" customHeight="true">
      <c r="A8919" t="s" s="2">
        <v>13</v>
      </c>
      <c r="B8919" t="s" s="2">
        <f>HYPERLINK("http://ts.21cn.com/tousu/show/id/1362094","微信充值后无法实现视频转码")</f>
      </c>
      <c r="C8919" t="s" s="2">
        <v>52</v>
      </c>
      <c r="D8919" t="s" s="2">
        <v>16</v>
      </c>
      <c r="E8919" t="s" s="2">
        <v>17</v>
      </c>
      <c r="F8919" t="s" s="2">
        <f>HYPERLINK("http://ts.21cn.com/tousu/show/id/1362094","http://ts.21cn.com/tousu/show/id/1362094")</f>
      </c>
      <c r="G8919" t="s" s="2">
        <v>17</v>
      </c>
      <c r="H8919" t="s" s="2">
        <v>19</v>
      </c>
      <c r="I8919" t="s" s="2">
        <v>34397</v>
      </c>
      <c r="J8919" t="s" s="2">
        <v>34398</v>
      </c>
      <c r="K8919" t="s" s="2">
        <v>22</v>
      </c>
      <c r="L8919" t="s" s="2">
        <v>22</v>
      </c>
      <c r="M8919" t="s" s="2">
        <v>22</v>
      </c>
    </row>
    <row r="8920" ht="25.0" customHeight="true">
      <c r="A8920" t="s" s="2">
        <v>13</v>
      </c>
      <c r="B8920" t="s" s="2">
        <f>HYPERLINK("http://ts.21cn.com/tousu/show/id/1362093","退还保险费")</f>
      </c>
      <c r="C8920" t="s" s="2">
        <v>15</v>
      </c>
      <c r="D8920" t="s" s="2">
        <v>16</v>
      </c>
      <c r="E8920" t="s" s="2">
        <v>17</v>
      </c>
      <c r="F8920" t="s" s="2">
        <f>HYPERLINK("http://ts.21cn.com/tousu/show/id/1362093","http://ts.21cn.com/tousu/show/id/1362093")</f>
      </c>
      <c r="G8920" t="s" s="2">
        <v>17</v>
      </c>
      <c r="H8920" t="s" s="2">
        <v>19</v>
      </c>
      <c r="I8920" t="s" s="2">
        <v>34401</v>
      </c>
      <c r="J8920" t="s" s="2">
        <v>34402</v>
      </c>
      <c r="K8920" t="s" s="2">
        <v>22</v>
      </c>
      <c r="L8920" t="s" s="2">
        <v>22</v>
      </c>
      <c r="M8920" t="s" s="2">
        <v>22</v>
      </c>
    </row>
    <row r="8921" ht="25.0" customHeight="true">
      <c r="A8921" t="s" s="2">
        <v>13</v>
      </c>
      <c r="B8921" t="s" s="2">
        <f>HYPERLINK("http://ts.21cn.com/tousu/show/id/1362092","首汽约车司机没有接到客人，却给客人发了250元的账单，然而投诉首汽约车客服，客服不管不问！")</f>
      </c>
      <c r="C8921" t="s" s="2">
        <v>15</v>
      </c>
      <c r="D8921" t="s" s="2">
        <v>16</v>
      </c>
      <c r="E8921" t="s" s="2">
        <v>17</v>
      </c>
      <c r="F8921" t="s" s="2">
        <f>HYPERLINK("http://ts.21cn.com/tousu/show/id/1362092","http://ts.21cn.com/tousu/show/id/1362092")</f>
      </c>
      <c r="G8921" t="s" s="2">
        <v>17</v>
      </c>
      <c r="H8921" t="s" s="2">
        <v>19</v>
      </c>
      <c r="I8921" t="s" s="2">
        <v>34405</v>
      </c>
      <c r="J8921" t="s" s="2">
        <v>34406</v>
      </c>
      <c r="K8921" t="s" s="2">
        <v>22</v>
      </c>
      <c r="L8921" t="s" s="2">
        <v>22</v>
      </c>
      <c r="M8921" t="s" s="2">
        <v>22</v>
      </c>
    </row>
    <row r="8922" ht="25.0" customHeight="true">
      <c r="A8922" t="s" s="2">
        <v>13</v>
      </c>
      <c r="B8922" t="s" s="2">
        <f>HYPERLINK("http://ts.21cn.com/tousu/show/id/1362091","同程旅游提钱游砍头息")</f>
      </c>
      <c r="C8922" t="s" s="2">
        <v>15</v>
      </c>
      <c r="D8922" t="s" s="2">
        <v>16</v>
      </c>
      <c r="E8922" t="s" s="2">
        <v>17</v>
      </c>
      <c r="F8922" t="s" s="2">
        <f>HYPERLINK("http://ts.21cn.com/tousu/show/id/1362091","http://ts.21cn.com/tousu/show/id/1362091")</f>
      </c>
      <c r="G8922" t="s" s="2">
        <v>17</v>
      </c>
      <c r="H8922" t="s" s="2">
        <v>19</v>
      </c>
      <c r="I8922" t="s" s="2">
        <v>34409</v>
      </c>
      <c r="J8922" t="s" s="2">
        <v>34410</v>
      </c>
      <c r="K8922" t="s" s="2">
        <v>22</v>
      </c>
      <c r="L8922" t="s" s="2">
        <v>22</v>
      </c>
      <c r="M8922" t="s" s="2">
        <v>22</v>
      </c>
    </row>
    <row r="8923" ht="25.0" customHeight="true">
      <c r="A8923" t="s" s="2">
        <v>13</v>
      </c>
      <c r="B8923" t="s" s="2">
        <f>HYPERLINK("http://ts.21cn.com/tousu/show/id/1362090","新生支付联合人人花恶意盗取私人钱财")</f>
      </c>
      <c r="C8923" t="s" s="2">
        <v>15</v>
      </c>
      <c r="D8923" t="s" s="2">
        <v>16</v>
      </c>
      <c r="E8923" t="s" s="2">
        <v>17</v>
      </c>
      <c r="F8923" t="s" s="2">
        <f>HYPERLINK("http://ts.21cn.com/tousu/show/id/1362090","http://ts.21cn.com/tousu/show/id/1362090")</f>
      </c>
      <c r="G8923" t="s" s="2">
        <v>17</v>
      </c>
      <c r="H8923" t="s" s="2">
        <v>19</v>
      </c>
      <c r="I8923" t="s" s="2">
        <v>34413</v>
      </c>
      <c r="J8923" t="s" s="2">
        <v>34414</v>
      </c>
      <c r="K8923" t="s" s="2">
        <v>22</v>
      </c>
      <c r="L8923" t="s" s="2">
        <v>22</v>
      </c>
      <c r="M8923" t="s" s="2">
        <v>22</v>
      </c>
    </row>
    <row r="8924" ht="25.0" customHeight="true">
      <c r="A8924" t="s" s="2">
        <v>13</v>
      </c>
      <c r="B8924" t="s" s="2">
        <f>HYPERLINK("http://ts.21cn.com/tousu/show/id/1362088","我来数科套路贷高利贷")</f>
      </c>
      <c r="C8924" t="s" s="2">
        <v>15</v>
      </c>
      <c r="D8924" t="s" s="2">
        <v>16</v>
      </c>
      <c r="E8924" t="s" s="2">
        <v>17</v>
      </c>
      <c r="F8924" t="s" s="2">
        <f>HYPERLINK("http://ts.21cn.com/tousu/show/id/1362088","http://ts.21cn.com/tousu/show/id/1362088")</f>
      </c>
      <c r="G8924" t="s" s="2">
        <v>17</v>
      </c>
      <c r="H8924" t="s" s="2">
        <v>19</v>
      </c>
      <c r="I8924" t="s" s="2">
        <v>34417</v>
      </c>
      <c r="J8924" t="s" s="2">
        <v>34418</v>
      </c>
      <c r="K8924" t="s" s="2">
        <v>22</v>
      </c>
      <c r="L8924" t="s" s="2">
        <v>22</v>
      </c>
      <c r="M8924" t="s" s="2">
        <v>22</v>
      </c>
    </row>
    <row r="8925" ht="25.0" customHeight="true">
      <c r="A8925" t="s" s="2">
        <v>13</v>
      </c>
      <c r="B8925" t="s" s="2">
        <f>HYPERLINK("http://ts.21cn.com/tousu/show/id/1362089","“百度网盘”自身漏洞造成客户经济损失，处理态度恶劣、逃避责任，客服不处理、不作为、不退款")</f>
      </c>
      <c r="C8925" t="s" s="2">
        <v>15</v>
      </c>
      <c r="D8925" t="s" s="2">
        <v>16</v>
      </c>
      <c r="E8925" t="s" s="2">
        <v>17</v>
      </c>
      <c r="F8925" t="s" s="2">
        <f>HYPERLINK("http://ts.21cn.com/tousu/show/id/1362089","http://ts.21cn.com/tousu/show/id/1362089")</f>
      </c>
      <c r="G8925" t="s" s="2">
        <v>17</v>
      </c>
      <c r="H8925" t="s" s="2">
        <v>19</v>
      </c>
      <c r="I8925" t="s" s="2">
        <v>34421</v>
      </c>
      <c r="J8925" t="s" s="2">
        <v>34422</v>
      </c>
      <c r="K8925" t="s" s="2">
        <v>22</v>
      </c>
      <c r="L8925" t="s" s="2">
        <v>22</v>
      </c>
      <c r="M8925" t="s" s="2">
        <v>22</v>
      </c>
    </row>
    <row r="8926" ht="25.0" customHeight="true">
      <c r="A8926" t="s" s="2">
        <v>13</v>
      </c>
      <c r="B8926" t="s" s="2">
        <f>HYPERLINK("http://ts.21cn.com/tousu/show/id/1362087","美团消费贷款骚扰借款人亲属")</f>
      </c>
      <c r="C8926" t="s" s="2">
        <v>15</v>
      </c>
      <c r="D8926" t="s" s="2">
        <v>16</v>
      </c>
      <c r="E8926" t="s" s="2">
        <v>17</v>
      </c>
      <c r="F8926" t="s" s="2">
        <f>HYPERLINK("http://ts.21cn.com/tousu/show/id/1362087","http://ts.21cn.com/tousu/show/id/1362087")</f>
      </c>
      <c r="G8926" t="s" s="2">
        <v>17</v>
      </c>
      <c r="H8926" t="s" s="2">
        <v>19</v>
      </c>
      <c r="I8926" t="s" s="2">
        <v>34425</v>
      </c>
      <c r="J8926" t="s" s="2">
        <v>34426</v>
      </c>
      <c r="K8926" t="s" s="2">
        <v>22</v>
      </c>
      <c r="L8926" t="s" s="2">
        <v>22</v>
      </c>
      <c r="M8926" t="s" s="2">
        <v>22</v>
      </c>
    </row>
    <row r="8927" ht="25.0" customHeight="true">
      <c r="A8927" t="s" s="2">
        <v>13</v>
      </c>
      <c r="B8927" t="s" s="2">
        <f>HYPERLINK("http://ts.21cn.com/tousu/show/id/1362086","钱橙无忧APP存在欺诈行为，在本人不知情下私自恶意扣款249元！")</f>
      </c>
      <c r="C8927" t="s" s="2">
        <v>15</v>
      </c>
      <c r="D8927" t="s" s="2">
        <v>16</v>
      </c>
      <c r="E8927" t="s" s="2">
        <v>17</v>
      </c>
      <c r="F8927" t="s" s="2">
        <f>HYPERLINK("http://ts.21cn.com/tousu/show/id/1362086","http://ts.21cn.com/tousu/show/id/1362086")</f>
      </c>
      <c r="G8927" t="s" s="2">
        <v>17</v>
      </c>
      <c r="H8927" t="s" s="2">
        <v>19</v>
      </c>
      <c r="I8927" t="s" s="2">
        <v>34429</v>
      </c>
      <c r="J8927" t="s" s="2">
        <v>34430</v>
      </c>
      <c r="K8927" t="s" s="2">
        <v>22</v>
      </c>
      <c r="L8927" t="s" s="2">
        <v>22</v>
      </c>
      <c r="M8927" t="s" s="2">
        <v>22</v>
      </c>
    </row>
    <row r="8928" ht="25.0" customHeight="true">
      <c r="A8928" t="s" s="2">
        <v>13</v>
      </c>
      <c r="B8928" t="s" s="2">
        <f>HYPERLINK("http://ts.21cn.com/tousu/show/id/1362085","众人帮悬赏任务唐人捕鱼跑路")</f>
      </c>
      <c r="C8928" t="s" s="2">
        <v>15</v>
      </c>
      <c r="D8928" t="s" s="2">
        <v>16</v>
      </c>
      <c r="E8928" t="s" s="2">
        <v>17</v>
      </c>
      <c r="F8928" t="s" s="2">
        <f>HYPERLINK("http://ts.21cn.com/tousu/show/id/1362085","http://ts.21cn.com/tousu/show/id/1362085")</f>
      </c>
      <c r="G8928" t="s" s="2">
        <v>17</v>
      </c>
      <c r="H8928" t="s" s="2">
        <v>19</v>
      </c>
      <c r="I8928" t="s" s="2">
        <v>34433</v>
      </c>
      <c r="J8928" t="s" s="2">
        <v>34434</v>
      </c>
      <c r="K8928" t="s" s="2">
        <v>22</v>
      </c>
      <c r="L8928" t="s" s="2">
        <v>22</v>
      </c>
      <c r="M8928" t="s" s="2">
        <v>22</v>
      </c>
    </row>
    <row r="8929" ht="25.0" customHeight="true">
      <c r="A8929" t="s" s="2">
        <v>13</v>
      </c>
      <c r="B8929" t="s" s="2">
        <f>HYPERLINK("http://ts.21cn.com/tousu/show/id/1362084","拍拍贷还款从晚上十一点半开始还款，多次还款还不进去导致逾期")</f>
      </c>
      <c r="C8929" t="s" s="2">
        <v>52</v>
      </c>
      <c r="D8929" t="s" s="2">
        <v>16</v>
      </c>
      <c r="E8929" t="s" s="2">
        <v>17</v>
      </c>
      <c r="F8929" t="s" s="2">
        <f>HYPERLINK("http://ts.21cn.com/tousu/show/id/1362084","http://ts.21cn.com/tousu/show/id/1362084")</f>
      </c>
      <c r="G8929" t="s" s="2">
        <v>17</v>
      </c>
      <c r="H8929" t="s" s="2">
        <v>19</v>
      </c>
      <c r="I8929" t="s" s="2">
        <v>34437</v>
      </c>
      <c r="J8929" t="s" s="2">
        <v>34438</v>
      </c>
      <c r="K8929" t="s" s="2">
        <v>22</v>
      </c>
      <c r="L8929" t="s" s="2">
        <v>22</v>
      </c>
      <c r="M8929" t="s" s="2">
        <v>22</v>
      </c>
    </row>
    <row r="8930" ht="25.0" customHeight="true">
      <c r="A8930" t="s" s="2">
        <v>13</v>
      </c>
      <c r="B8930" t="s" s="2">
        <f>HYPERLINK("http://ts.21cn.com/tousu/show/id/1362083","交易猫卖家恶意不发货不退款")</f>
      </c>
      <c r="C8930" t="s" s="2">
        <v>15</v>
      </c>
      <c r="D8930" t="s" s="2">
        <v>16</v>
      </c>
      <c r="E8930" t="s" s="2">
        <v>17</v>
      </c>
      <c r="F8930" t="s" s="2">
        <f>HYPERLINK("http://ts.21cn.com/tousu/show/id/1362083","http://ts.21cn.com/tousu/show/id/1362083")</f>
      </c>
      <c r="G8930" t="s" s="2">
        <v>17</v>
      </c>
      <c r="H8930" t="s" s="2">
        <v>19</v>
      </c>
      <c r="I8930" t="s" s="2">
        <v>34441</v>
      </c>
      <c r="J8930" t="s" s="2">
        <v>34442</v>
      </c>
      <c r="K8930" t="s" s="2">
        <v>22</v>
      </c>
      <c r="L8930" t="s" s="2">
        <v>22</v>
      </c>
      <c r="M8930" t="s" s="2">
        <v>22</v>
      </c>
    </row>
    <row r="8931" ht="25.0" customHeight="true">
      <c r="A8931" t="s" s="2">
        <v>13</v>
      </c>
      <c r="B8931" t="s" s="2">
        <f>HYPERLINK("http://ts.21cn.com/tousu/show/id/1362081","豹子贷无故扣钱不需要还要扣")</f>
      </c>
      <c r="C8931" t="s" s="2">
        <v>15</v>
      </c>
      <c r="D8931" t="s" s="2">
        <v>16</v>
      </c>
      <c r="E8931" t="s" s="2">
        <v>17</v>
      </c>
      <c r="F8931" t="s" s="2">
        <f>HYPERLINK("http://ts.21cn.com/tousu/show/id/1362081","http://ts.21cn.com/tousu/show/id/1362081")</f>
      </c>
      <c r="G8931" t="s" s="2">
        <v>17</v>
      </c>
      <c r="H8931" t="s" s="2">
        <v>19</v>
      </c>
      <c r="I8931" t="s" s="2">
        <v>34444</v>
      </c>
      <c r="J8931" t="s" s="2">
        <v>34445</v>
      </c>
      <c r="K8931" t="s" s="2">
        <v>22</v>
      </c>
      <c r="L8931" t="s" s="2">
        <v>22</v>
      </c>
      <c r="M8931" t="s" s="2">
        <v>22</v>
      </c>
    </row>
    <row r="8932" ht="25.0" customHeight="true">
      <c r="A8932" t="s" s="2">
        <v>13</v>
      </c>
      <c r="B8932" t="s" s="2">
        <f>HYPERLINK("http://ts.21cn.com/tousu/show/id/1362079","汇潮支付有限公司为非法平台提供支付渠道")</f>
      </c>
      <c r="C8932" t="s" s="2">
        <v>15</v>
      </c>
      <c r="D8932" t="s" s="2">
        <v>16</v>
      </c>
      <c r="E8932" t="s" s="2">
        <v>17</v>
      </c>
      <c r="F8932" t="s" s="2">
        <f>HYPERLINK("http://ts.21cn.com/tousu/show/id/1362079","http://ts.21cn.com/tousu/show/id/1362079")</f>
      </c>
      <c r="G8932" t="s" s="2">
        <v>17</v>
      </c>
      <c r="H8932" t="s" s="2">
        <v>19</v>
      </c>
      <c r="I8932" t="s" s="2">
        <v>34448</v>
      </c>
      <c r="J8932" t="s" s="2">
        <v>34449</v>
      </c>
      <c r="K8932" t="s" s="2">
        <v>22</v>
      </c>
      <c r="L8932" t="s" s="2">
        <v>22</v>
      </c>
      <c r="M8932" t="s" s="2">
        <v>22</v>
      </c>
    </row>
    <row r="8933" ht="25.0" customHeight="true">
      <c r="A8933" t="s" s="2">
        <v>13</v>
      </c>
      <c r="B8933" t="s" s="2">
        <f>HYPERLINK("http://ts.21cn.com/tousu/show/id/1362080","拍拍贷还款日当日晚23点不能手动还款恶意被逾期")</f>
      </c>
      <c r="C8933" t="s" s="2">
        <v>15</v>
      </c>
      <c r="D8933" t="s" s="2">
        <v>16</v>
      </c>
      <c r="E8933" t="s" s="2">
        <v>17</v>
      </c>
      <c r="F8933" t="s" s="2">
        <f>HYPERLINK("http://ts.21cn.com/tousu/show/id/1362080","http://ts.21cn.com/tousu/show/id/1362080")</f>
      </c>
      <c r="G8933" t="s" s="2">
        <v>17</v>
      </c>
      <c r="H8933" t="s" s="2">
        <v>19</v>
      </c>
      <c r="I8933" t="s" s="2">
        <v>34452</v>
      </c>
      <c r="J8933" t="s" s="2">
        <v>34453</v>
      </c>
      <c r="K8933" t="s" s="2">
        <v>22</v>
      </c>
      <c r="L8933" t="s" s="2">
        <v>22</v>
      </c>
      <c r="M8933" t="s" s="2">
        <v>22</v>
      </c>
    </row>
    <row r="8934" ht="25.0" customHeight="true">
      <c r="A8934" t="s" s="2">
        <v>13</v>
      </c>
      <c r="B8934" t="s" s="2">
        <f>HYPERLINK("http://ts.21cn.com/tousu/show/id/1362065","天猫平台霸王条款不退款")</f>
      </c>
      <c r="C8934" t="s" s="2">
        <v>15</v>
      </c>
      <c r="D8934" t="s" s="2">
        <v>16</v>
      </c>
      <c r="E8934" t="s" s="2">
        <v>17</v>
      </c>
      <c r="F8934" t="s" s="2">
        <f>HYPERLINK("http://ts.21cn.com/tousu/show/id/1362065","http://ts.21cn.com/tousu/show/id/1362065")</f>
      </c>
      <c r="G8934" t="s" s="2">
        <v>17</v>
      </c>
      <c r="H8934" t="s" s="2">
        <v>19</v>
      </c>
      <c r="I8934" t="s" s="2">
        <v>34456</v>
      </c>
      <c r="J8934" t="s" s="2">
        <v>34457</v>
      </c>
      <c r="K8934" t="s" s="2">
        <v>22</v>
      </c>
      <c r="L8934" t="s" s="2">
        <v>22</v>
      </c>
      <c r="M8934" t="s" s="2">
        <v>22</v>
      </c>
    </row>
    <row r="8935" ht="25.0" customHeight="true">
      <c r="A8935" t="s" s="2">
        <v>13</v>
      </c>
      <c r="B8935" t="s" s="2">
        <f>HYPERLINK("http://ts.21cn.com/tousu/show/id/1362053","钱站阴阳合同高利贷")</f>
      </c>
      <c r="C8935" t="s" s="2">
        <v>15</v>
      </c>
      <c r="D8935" t="s" s="2">
        <v>16</v>
      </c>
      <c r="E8935" t="s" s="2">
        <v>17</v>
      </c>
      <c r="F8935" t="s" s="2">
        <f>HYPERLINK("http://ts.21cn.com/tousu/show/id/1362053","http://ts.21cn.com/tousu/show/id/1362053")</f>
      </c>
      <c r="G8935" t="s" s="2">
        <v>17</v>
      </c>
      <c r="H8935" t="s" s="2">
        <v>19</v>
      </c>
      <c r="I8935" t="s" s="2">
        <v>34459</v>
      </c>
      <c r="J8935" t="s" s="2">
        <v>34460</v>
      </c>
      <c r="K8935" t="s" s="2">
        <v>22</v>
      </c>
      <c r="L8935" t="s" s="2">
        <v>22</v>
      </c>
      <c r="M8935" t="s" s="2">
        <v>22</v>
      </c>
    </row>
    <row r="8936" ht="25.0" customHeight="true">
      <c r="A8936" t="s" s="2">
        <v>13</v>
      </c>
      <c r="B8936" t="s" s="2">
        <f>HYPERLINK("http://ts.21cn.com/tousu/show/id/1362074","来分期来好好解释一下")</f>
      </c>
      <c r="C8936" t="s" s="2">
        <v>15</v>
      </c>
      <c r="D8936" t="s" s="2">
        <v>16</v>
      </c>
      <c r="E8936" t="s" s="2">
        <v>17</v>
      </c>
      <c r="F8936" t="s" s="2">
        <f>HYPERLINK("http://ts.21cn.com/tousu/show/id/1362074","http://ts.21cn.com/tousu/show/id/1362074")</f>
      </c>
      <c r="G8936" t="s" s="2">
        <v>17</v>
      </c>
      <c r="H8936" t="s" s="2">
        <v>19</v>
      </c>
      <c r="I8936" t="s" s="2">
        <v>34463</v>
      </c>
      <c r="J8936" t="s" s="2">
        <v>34464</v>
      </c>
      <c r="K8936" t="s" s="2">
        <v>22</v>
      </c>
      <c r="L8936" t="s" s="2">
        <v>22</v>
      </c>
      <c r="M8936" t="s" s="2">
        <v>22</v>
      </c>
    </row>
    <row r="8937" ht="25.0" customHeight="true">
      <c r="A8937" t="s" s="2">
        <v>13</v>
      </c>
      <c r="B8937" t="s" s="2">
        <f>HYPERLINK("http://ts.21cn.com/tousu/show/id/1362078","无故扣款，扯皮，不退款")</f>
      </c>
      <c r="C8937" t="s" s="2">
        <v>15</v>
      </c>
      <c r="D8937" t="s" s="2">
        <v>16</v>
      </c>
      <c r="E8937" t="s" s="2">
        <v>17</v>
      </c>
      <c r="F8937" t="s" s="2">
        <f>HYPERLINK("http://ts.21cn.com/tousu/show/id/1362078","http://ts.21cn.com/tousu/show/id/1362078")</f>
      </c>
      <c r="G8937" t="s" s="2">
        <v>17</v>
      </c>
      <c r="H8937" t="s" s="2">
        <v>19</v>
      </c>
      <c r="I8937" t="s" s="2">
        <v>34467</v>
      </c>
      <c r="J8937" t="s" s="2">
        <v>34468</v>
      </c>
      <c r="K8937" t="s" s="2">
        <v>22</v>
      </c>
      <c r="L8937" t="s" s="2">
        <v>22</v>
      </c>
      <c r="M8937" t="s" s="2">
        <v>22</v>
      </c>
    </row>
    <row r="8938" ht="25.0" customHeight="true">
      <c r="A8938" t="s" s="2">
        <v>13</v>
      </c>
      <c r="B8938" t="s" s="2">
        <f>HYPERLINK("http://ts.21cn.com/tousu/show/id/1362077","网贷借款")</f>
      </c>
      <c r="C8938" t="s" s="2">
        <v>15</v>
      </c>
      <c r="D8938" t="s" s="2">
        <v>16</v>
      </c>
      <c r="E8938" t="s" s="2">
        <v>17</v>
      </c>
      <c r="F8938" t="s" s="2">
        <f>HYPERLINK("http://ts.21cn.com/tousu/show/id/1362077","http://ts.21cn.com/tousu/show/id/1362077")</f>
      </c>
      <c r="G8938" t="s" s="2">
        <v>17</v>
      </c>
      <c r="H8938" t="s" s="2">
        <v>19</v>
      </c>
      <c r="I8938" t="s" s="2">
        <v>34471</v>
      </c>
      <c r="J8938" t="s" s="2">
        <v>34472</v>
      </c>
      <c r="K8938" t="s" s="2">
        <v>22</v>
      </c>
      <c r="L8938" t="s" s="2">
        <v>22</v>
      </c>
      <c r="M8938" t="s" s="2">
        <v>22</v>
      </c>
    </row>
    <row r="8939" ht="25.0" customHeight="true">
      <c r="A8939" t="s" s="2">
        <v>13</v>
      </c>
      <c r="B8939" t="s" s="2">
        <f>HYPERLINK("http://ts.21cn.com/tousu/show/id/1362076","拇指下款恶意扣款，盗取他人钱财！")</f>
      </c>
      <c r="C8939" t="s" s="2">
        <v>15</v>
      </c>
      <c r="D8939" t="s" s="2">
        <v>16</v>
      </c>
      <c r="E8939" t="s" s="2">
        <v>17</v>
      </c>
      <c r="F8939" t="s" s="2">
        <f>HYPERLINK("http://ts.21cn.com/tousu/show/id/1362076","http://ts.21cn.com/tousu/show/id/1362076")</f>
      </c>
      <c r="G8939" t="s" s="2">
        <v>17</v>
      </c>
      <c r="H8939" t="s" s="2">
        <v>19</v>
      </c>
      <c r="I8939" t="s" s="2">
        <v>34475</v>
      </c>
      <c r="J8939" t="s" s="2">
        <v>34476</v>
      </c>
      <c r="K8939" t="s" s="2">
        <v>22</v>
      </c>
      <c r="L8939" t="s" s="2">
        <v>22</v>
      </c>
      <c r="M8939" t="s" s="2">
        <v>22</v>
      </c>
    </row>
    <row r="8940" ht="25.0" customHeight="true">
      <c r="A8940" t="s" s="2">
        <v>13</v>
      </c>
      <c r="B8940" t="s" s="2">
        <f>HYPERLINK("http://ts.21cn.com/tousu/show/id/1362075","拿钱花呗app私自扣款")</f>
      </c>
      <c r="C8940" t="s" s="2">
        <v>15</v>
      </c>
      <c r="D8940" t="s" s="2">
        <v>16</v>
      </c>
      <c r="E8940" t="s" s="2">
        <v>17</v>
      </c>
      <c r="F8940" t="s" s="2">
        <f>HYPERLINK("http://ts.21cn.com/tousu/show/id/1362075","http://ts.21cn.com/tousu/show/id/1362075")</f>
      </c>
      <c r="G8940" t="s" s="2">
        <v>17</v>
      </c>
      <c r="H8940" t="s" s="2">
        <v>19</v>
      </c>
      <c r="I8940" t="s" s="2">
        <v>34479</v>
      </c>
      <c r="J8940" t="s" s="2">
        <v>34480</v>
      </c>
      <c r="K8940" t="s" s="2">
        <v>22</v>
      </c>
      <c r="L8940" t="s" s="2">
        <v>22</v>
      </c>
      <c r="M8940" t="s" s="2">
        <v>22</v>
      </c>
    </row>
    <row r="8941" ht="25.0" customHeight="true">
      <c r="A8941" t="s" s="2">
        <v>13</v>
      </c>
      <c r="B8941" t="s" s="2">
        <f>HYPERLINK("http://ts.21cn.com/tousu/show/id/1362073","活力花收取砍头息保险费用")</f>
      </c>
      <c r="C8941" t="s" s="2">
        <v>15</v>
      </c>
      <c r="D8941" t="s" s="2">
        <v>16</v>
      </c>
      <c r="E8941" t="s" s="2">
        <v>17</v>
      </c>
      <c r="F8941" t="s" s="2">
        <f>HYPERLINK("http://ts.21cn.com/tousu/show/id/1362073","http://ts.21cn.com/tousu/show/id/1362073")</f>
      </c>
      <c r="G8941" t="s" s="2">
        <v>17</v>
      </c>
      <c r="H8941" t="s" s="2">
        <v>19</v>
      </c>
      <c r="I8941" t="s" s="2">
        <v>34483</v>
      </c>
      <c r="J8941" t="s" s="2">
        <v>13768</v>
      </c>
      <c r="K8941" t="s" s="2">
        <v>22</v>
      </c>
      <c r="L8941" t="s" s="2">
        <v>22</v>
      </c>
      <c r="M8941" t="s" s="2">
        <v>22</v>
      </c>
    </row>
    <row r="8942" ht="25.0" customHeight="true">
      <c r="A8942" t="s" s="2">
        <v>13</v>
      </c>
      <c r="B8942" t="s" s="2">
        <f>HYPERLINK("http://ts.21cn.com/tousu/show/id/1362072","工资差一天马上金融延期一天还")</f>
      </c>
      <c r="C8942" t="s" s="2">
        <v>52</v>
      </c>
      <c r="D8942" t="s" s="2">
        <v>16</v>
      </c>
      <c r="E8942" t="s" s="2">
        <v>17</v>
      </c>
      <c r="F8942" t="s" s="2">
        <f>HYPERLINK("http://ts.21cn.com/tousu/show/id/1362072","http://ts.21cn.com/tousu/show/id/1362072")</f>
      </c>
      <c r="G8942" t="s" s="2">
        <v>17</v>
      </c>
      <c r="H8942" t="s" s="2">
        <v>19</v>
      </c>
      <c r="I8942" t="s" s="2">
        <v>34486</v>
      </c>
      <c r="J8942" t="s" s="2">
        <v>34487</v>
      </c>
      <c r="K8942" t="s" s="2">
        <v>22</v>
      </c>
      <c r="L8942" t="s" s="2">
        <v>22</v>
      </c>
      <c r="M8942" t="s" s="2">
        <v>22</v>
      </c>
    </row>
    <row r="8943" ht="25.0" customHeight="true">
      <c r="A8943" t="s" s="2">
        <v>13</v>
      </c>
      <c r="B8943" t="s" s="2">
        <f>HYPERLINK("http://ts.21cn.com/tousu/show/id/1362071","邯郸市永年区裴坡庄小区无证施工扰民")</f>
      </c>
      <c r="C8943" t="s" s="2">
        <v>15</v>
      </c>
      <c r="D8943" t="s" s="2">
        <v>16</v>
      </c>
      <c r="E8943" t="s" s="2">
        <v>17</v>
      </c>
      <c r="F8943" t="s" s="2">
        <f>HYPERLINK("http://ts.21cn.com/tousu/show/id/1362071","http://ts.21cn.com/tousu/show/id/1362071")</f>
      </c>
      <c r="G8943" t="s" s="2">
        <v>17</v>
      </c>
      <c r="H8943" t="s" s="2">
        <v>19</v>
      </c>
      <c r="I8943" t="s" s="2">
        <v>34490</v>
      </c>
      <c r="J8943" t="s" s="2">
        <v>34491</v>
      </c>
      <c r="K8943" t="s" s="2">
        <v>22</v>
      </c>
      <c r="L8943" t="s" s="2">
        <v>22</v>
      </c>
      <c r="M8943" t="s" s="2">
        <v>22</v>
      </c>
    </row>
    <row r="8944" ht="25.0" customHeight="true">
      <c r="A8944" t="s" s="2">
        <v>13</v>
      </c>
      <c r="B8944" t="s" s="2">
        <f>HYPERLINK("http://ts.21cn.com/tousu/show/id/1362070","淘宝方祁旗舰店涉及欺诈")</f>
      </c>
      <c r="C8944" t="s" s="2">
        <v>15</v>
      </c>
      <c r="D8944" t="s" s="2">
        <v>16</v>
      </c>
      <c r="E8944" t="s" s="2">
        <v>17</v>
      </c>
      <c r="F8944" t="s" s="2">
        <f>HYPERLINK("http://ts.21cn.com/tousu/show/id/1362070","http://ts.21cn.com/tousu/show/id/1362070")</f>
      </c>
      <c r="G8944" t="s" s="2">
        <v>17</v>
      </c>
      <c r="H8944" t="s" s="2">
        <v>19</v>
      </c>
      <c r="I8944" t="s" s="2">
        <v>34494</v>
      </c>
      <c r="J8944" t="s" s="2">
        <v>34495</v>
      </c>
      <c r="K8944" t="s" s="2">
        <v>22</v>
      </c>
      <c r="L8944" t="s" s="2">
        <v>22</v>
      </c>
      <c r="M8944" t="s" s="2">
        <v>22</v>
      </c>
    </row>
    <row r="8945" ht="25.0" customHeight="true">
      <c r="A8945" t="s" s="2">
        <v>13</v>
      </c>
      <c r="B8945" t="s" s="2">
        <f>HYPERLINK("http://ts.21cn.com/tousu/show/id/1362069","解决支付宝逾期记录")</f>
      </c>
      <c r="C8945" t="s" s="2">
        <v>15</v>
      </c>
      <c r="D8945" t="s" s="2">
        <v>16</v>
      </c>
      <c r="E8945" t="s" s="2">
        <v>17</v>
      </c>
      <c r="F8945" t="s" s="2">
        <f>HYPERLINK("http://ts.21cn.com/tousu/show/id/1362069","http://ts.21cn.com/tousu/show/id/1362069")</f>
      </c>
      <c r="G8945" t="s" s="2">
        <v>17</v>
      </c>
      <c r="H8945" t="s" s="2">
        <v>19</v>
      </c>
      <c r="I8945" t="s" s="2">
        <v>34498</v>
      </c>
      <c r="J8945" t="s" s="2">
        <v>34499</v>
      </c>
      <c r="K8945" t="s" s="2">
        <v>22</v>
      </c>
      <c r="L8945" t="s" s="2">
        <v>22</v>
      </c>
      <c r="M8945" t="s" s="2">
        <v>22</v>
      </c>
    </row>
    <row r="8946" ht="25.0" customHeight="true">
      <c r="A8946" t="s" s="2">
        <v>13</v>
      </c>
      <c r="B8946" t="s" s="2">
        <f>HYPERLINK("http://ts.21cn.com/tousu/show/id/1362068","悦如公寓租房押金退换")</f>
      </c>
      <c r="C8946" t="s" s="2">
        <v>15</v>
      </c>
      <c r="D8946" t="s" s="2">
        <v>16</v>
      </c>
      <c r="E8946" t="s" s="2">
        <v>17</v>
      </c>
      <c r="F8946" t="s" s="2">
        <f>HYPERLINK("http://ts.21cn.com/tousu/show/id/1362068","http://ts.21cn.com/tousu/show/id/1362068")</f>
      </c>
      <c r="G8946" t="s" s="2">
        <v>17</v>
      </c>
      <c r="H8946" t="s" s="2">
        <v>19</v>
      </c>
      <c r="I8946" t="s" s="2">
        <v>34502</v>
      </c>
      <c r="J8946" t="s" s="2">
        <v>34503</v>
      </c>
      <c r="K8946" t="s" s="2">
        <v>22</v>
      </c>
      <c r="L8946" t="s" s="2">
        <v>22</v>
      </c>
      <c r="M8946" t="s" s="2">
        <v>22</v>
      </c>
    </row>
    <row r="8947" ht="25.0" customHeight="true">
      <c r="A8947" t="s" s="2">
        <v>13</v>
      </c>
      <c r="B8947" t="s" s="2">
        <f>HYPERLINK("http://ts.21cn.com/tousu/show/id/1362067","本人投诉滴滴司机未经乘客上车私自开启行程，未打电话给我")</f>
      </c>
      <c r="C8947" t="s" s="2">
        <v>15</v>
      </c>
      <c r="D8947" t="s" s="2">
        <v>16</v>
      </c>
      <c r="E8947" t="s" s="2">
        <v>17</v>
      </c>
      <c r="F8947" t="s" s="2">
        <f>HYPERLINK("http://ts.21cn.com/tousu/show/id/1362067","http://ts.21cn.com/tousu/show/id/1362067")</f>
      </c>
      <c r="G8947" t="s" s="2">
        <v>17</v>
      </c>
      <c r="H8947" t="s" s="2">
        <v>19</v>
      </c>
      <c r="I8947" t="s" s="2">
        <v>34506</v>
      </c>
      <c r="J8947" t="s" s="2">
        <v>34507</v>
      </c>
      <c r="K8947" t="s" s="2">
        <v>22</v>
      </c>
      <c r="L8947" t="s" s="2">
        <v>22</v>
      </c>
      <c r="M8947" t="s" s="2">
        <v>22</v>
      </c>
    </row>
    <row r="8948" ht="25.0" customHeight="true">
      <c r="A8948" t="s" s="2">
        <v>13</v>
      </c>
      <c r="B8948" t="s" s="2">
        <f>HYPERLINK("http://ts.21cn.com/tousu/show/id/1362066","北京友缘在线网络科技有限公司欺诈用户要求退款")</f>
      </c>
      <c r="C8948" t="s" s="2">
        <v>15</v>
      </c>
      <c r="D8948" t="s" s="2">
        <v>16</v>
      </c>
      <c r="E8948" t="s" s="2">
        <v>17</v>
      </c>
      <c r="F8948" t="s" s="2">
        <f>HYPERLINK("http://ts.21cn.com/tousu/show/id/1362066","http://ts.21cn.com/tousu/show/id/1362066")</f>
      </c>
      <c r="G8948" t="s" s="2">
        <v>17</v>
      </c>
      <c r="H8948" t="s" s="2">
        <v>19</v>
      </c>
      <c r="I8948" t="s" s="2">
        <v>34509</v>
      </c>
      <c r="J8948" t="s" s="2">
        <v>34510</v>
      </c>
      <c r="K8948" t="s" s="2">
        <v>22</v>
      </c>
      <c r="L8948" t="s" s="2">
        <v>22</v>
      </c>
      <c r="M8948" t="s" s="2">
        <v>22</v>
      </c>
    </row>
    <row r="8949" ht="25.0" customHeight="true">
      <c r="A8949" t="s" s="2">
        <v>13</v>
      </c>
      <c r="B8949" t="s" s="2">
        <f>HYPERLINK("http://ts.21cn.com/tousu/show/id/1362064","玖富万卡高利贷，暴力催收")</f>
      </c>
      <c r="C8949" t="s" s="2">
        <v>15</v>
      </c>
      <c r="D8949" t="s" s="2">
        <v>16</v>
      </c>
      <c r="E8949" t="s" s="2">
        <v>17</v>
      </c>
      <c r="F8949" t="s" s="2">
        <f>HYPERLINK("http://ts.21cn.com/tousu/show/id/1362064","http://ts.21cn.com/tousu/show/id/1362064")</f>
      </c>
      <c r="G8949" t="s" s="2">
        <v>17</v>
      </c>
      <c r="H8949" t="s" s="2">
        <v>19</v>
      </c>
      <c r="I8949" t="s" s="2">
        <v>34513</v>
      </c>
      <c r="J8949" t="s" s="2">
        <v>34514</v>
      </c>
      <c r="K8949" t="s" s="2">
        <v>22</v>
      </c>
      <c r="L8949" t="s" s="2">
        <v>22</v>
      </c>
      <c r="M8949" t="s" s="2">
        <v>22</v>
      </c>
    </row>
    <row r="8950" ht="25.0" customHeight="true">
      <c r="A8950" t="s" s="2">
        <v>13</v>
      </c>
      <c r="B8950" t="s" s="2">
        <f>HYPERLINK("http://ts.21cn.com/tousu/show/id/1362063","66小游戏欺诈用户推广")</f>
      </c>
      <c r="C8950" t="s" s="2">
        <v>15</v>
      </c>
      <c r="D8950" t="s" s="2">
        <v>16</v>
      </c>
      <c r="E8950" t="s" s="2">
        <v>17</v>
      </c>
      <c r="F8950" t="s" s="2">
        <f>HYPERLINK("http://ts.21cn.com/tousu/show/id/1362063","http://ts.21cn.com/tousu/show/id/1362063")</f>
      </c>
      <c r="G8950" t="s" s="2">
        <v>17</v>
      </c>
      <c r="H8950" t="s" s="2">
        <v>19</v>
      </c>
      <c r="I8950" t="s" s="2">
        <v>34517</v>
      </c>
      <c r="J8950" t="s" s="2">
        <v>34518</v>
      </c>
      <c r="K8950" t="s" s="2">
        <v>22</v>
      </c>
      <c r="L8950" t="s" s="2">
        <v>22</v>
      </c>
      <c r="M8950" t="s" s="2">
        <v>22</v>
      </c>
    </row>
    <row r="8951" ht="25.0" customHeight="true">
      <c r="A8951" t="s" s="2">
        <v>13</v>
      </c>
      <c r="B8951" t="s" s="2">
        <f>HYPERLINK("http://ts.21cn.com/tousu/show/id/1362062","暴力崔收")</f>
      </c>
      <c r="C8951" t="s" s="2">
        <v>15</v>
      </c>
      <c r="D8951" t="s" s="2">
        <v>16</v>
      </c>
      <c r="E8951" t="s" s="2">
        <v>17</v>
      </c>
      <c r="F8951" t="s" s="2">
        <f>HYPERLINK("http://ts.21cn.com/tousu/show/id/1362062","http://ts.21cn.com/tousu/show/id/1362062")</f>
      </c>
      <c r="G8951" t="s" s="2">
        <v>17</v>
      </c>
      <c r="H8951" t="s" s="2">
        <v>19</v>
      </c>
      <c r="I8951" t="s" s="2">
        <v>34520</v>
      </c>
      <c r="J8951" t="s" s="2">
        <v>34521</v>
      </c>
      <c r="K8951" t="s" s="2">
        <v>22</v>
      </c>
      <c r="L8951" t="s" s="2">
        <v>22</v>
      </c>
      <c r="M8951" t="s" s="2">
        <v>22</v>
      </c>
    </row>
    <row r="8952" ht="25.0" customHeight="true">
      <c r="A8952" t="s" s="2">
        <v>13</v>
      </c>
      <c r="B8952" t="s" s="2">
        <f>HYPERLINK("http://ts.21cn.com/tousu/show/id/1362061","诱导小孩子消费")</f>
      </c>
      <c r="C8952" t="s" s="2">
        <v>15</v>
      </c>
      <c r="D8952" t="s" s="2">
        <v>16</v>
      </c>
      <c r="E8952" t="s" s="2">
        <v>17</v>
      </c>
      <c r="F8952" t="s" s="2">
        <f>HYPERLINK("http://ts.21cn.com/tousu/show/id/1362061","http://ts.21cn.com/tousu/show/id/1362061")</f>
      </c>
      <c r="G8952" t="s" s="2">
        <v>17</v>
      </c>
      <c r="H8952" t="s" s="2">
        <v>19</v>
      </c>
      <c r="I8952" t="s" s="2">
        <v>34524</v>
      </c>
      <c r="J8952" t="s" s="2">
        <v>34525</v>
      </c>
      <c r="K8952" t="s" s="2">
        <v>22</v>
      </c>
      <c r="L8952" t="s" s="2">
        <v>22</v>
      </c>
      <c r="M8952" t="s" s="2">
        <v>22</v>
      </c>
    </row>
    <row r="8953" ht="25.0" customHeight="true">
      <c r="A8953" t="s" s="2">
        <v>13</v>
      </c>
      <c r="B8953" t="s" s="2">
        <f>HYPERLINK("http://ts.21cn.com/tousu/show/id/1362060","宜人贷，砍头息，高利息")</f>
      </c>
      <c r="C8953" t="s" s="2">
        <v>15</v>
      </c>
      <c r="D8953" t="s" s="2">
        <v>16</v>
      </c>
      <c r="E8953" t="s" s="2">
        <v>17</v>
      </c>
      <c r="F8953" t="s" s="2">
        <f>HYPERLINK("http://ts.21cn.com/tousu/show/id/1362060","http://ts.21cn.com/tousu/show/id/1362060")</f>
      </c>
      <c r="G8953" t="s" s="2">
        <v>17</v>
      </c>
      <c r="H8953" t="s" s="2">
        <v>19</v>
      </c>
      <c r="I8953" t="s" s="2">
        <v>34528</v>
      </c>
      <c r="J8953" t="s" s="2">
        <v>34529</v>
      </c>
      <c r="K8953" t="s" s="2">
        <v>22</v>
      </c>
      <c r="L8953" t="s" s="2">
        <v>22</v>
      </c>
      <c r="M8953" t="s" s="2">
        <v>22</v>
      </c>
    </row>
    <row r="8954" ht="25.0" customHeight="true">
      <c r="A8954" t="s" s="2">
        <v>13</v>
      </c>
      <c r="B8954" t="s" s="2">
        <f>HYPERLINK("http://ts.21cn.com/tousu/show/id/1362059","高利贷，高额罚息")</f>
      </c>
      <c r="C8954" t="s" s="2">
        <v>15</v>
      </c>
      <c r="D8954" t="s" s="2">
        <v>16</v>
      </c>
      <c r="E8954" t="s" s="2">
        <v>17</v>
      </c>
      <c r="F8954" t="s" s="2">
        <f>HYPERLINK("http://ts.21cn.com/tousu/show/id/1362059","http://ts.21cn.com/tousu/show/id/1362059")</f>
      </c>
      <c r="G8954" t="s" s="2">
        <v>17</v>
      </c>
      <c r="H8954" t="s" s="2">
        <v>19</v>
      </c>
      <c r="I8954" t="s" s="2">
        <v>34531</v>
      </c>
      <c r="J8954" t="s" s="2">
        <v>34532</v>
      </c>
      <c r="K8954" t="s" s="2">
        <v>22</v>
      </c>
      <c r="L8954" t="s" s="2">
        <v>22</v>
      </c>
      <c r="M8954" t="s" s="2">
        <v>22</v>
      </c>
    </row>
    <row r="8955" ht="25.0" customHeight="true">
      <c r="A8955" t="s" s="2">
        <v>13</v>
      </c>
      <c r="B8955" t="s" s="2">
        <f>HYPERLINK("http://ts.21cn.com/tousu/show/id/1362058","我想过正常人的生活，还望浦发信用卡中心高抬贵手")</f>
      </c>
      <c r="C8955" t="s" s="2">
        <v>52</v>
      </c>
      <c r="D8955" t="s" s="2">
        <v>16</v>
      </c>
      <c r="E8955" t="s" s="2">
        <v>17</v>
      </c>
      <c r="F8955" t="s" s="2">
        <f>HYPERLINK("http://ts.21cn.com/tousu/show/id/1362058","http://ts.21cn.com/tousu/show/id/1362058")</f>
      </c>
      <c r="G8955" t="s" s="2">
        <v>17</v>
      </c>
      <c r="H8955" t="s" s="2">
        <v>19</v>
      </c>
      <c r="I8955" t="s" s="2">
        <v>34535</v>
      </c>
      <c r="J8955" t="s" s="2">
        <v>34536</v>
      </c>
      <c r="K8955" t="s" s="2">
        <v>22</v>
      </c>
      <c r="L8955" t="s" s="2">
        <v>22</v>
      </c>
      <c r="M8955" t="s" s="2">
        <v>22</v>
      </c>
    </row>
    <row r="8956" ht="25.0" customHeight="true">
      <c r="A8956" t="s" s="2">
        <v>13</v>
      </c>
      <c r="B8956" t="s" s="2">
        <f>HYPERLINK("http://ts.21cn.com/tousu/show/id/1362057","人人花APP未经允许胡乱扣款")</f>
      </c>
      <c r="C8956" t="s" s="2">
        <v>15</v>
      </c>
      <c r="D8956" t="s" s="2">
        <v>16</v>
      </c>
      <c r="E8956" t="s" s="2">
        <v>17</v>
      </c>
      <c r="F8956" t="s" s="2">
        <f>HYPERLINK("http://ts.21cn.com/tousu/show/id/1362057","http://ts.21cn.com/tousu/show/id/1362057")</f>
      </c>
      <c r="G8956" t="s" s="2">
        <v>17</v>
      </c>
      <c r="H8956" t="s" s="2">
        <v>19</v>
      </c>
      <c r="I8956" t="s" s="2">
        <v>34539</v>
      </c>
      <c r="J8956" t="s" s="2">
        <v>34540</v>
      </c>
      <c r="K8956" t="s" s="2">
        <v>22</v>
      </c>
      <c r="L8956" t="s" s="2">
        <v>22</v>
      </c>
      <c r="M8956" t="s" s="2">
        <v>22</v>
      </c>
    </row>
    <row r="8957" ht="25.0" customHeight="true">
      <c r="A8957" t="s" s="2">
        <v>13</v>
      </c>
      <c r="B8957" t="s" s="2">
        <f>HYPERLINK("http://ts.21cn.com/tousu/show/id/1362000","悠融u卡贷未逾期打联系人侮辱恐吓")</f>
      </c>
      <c r="C8957" t="s" s="2">
        <v>15</v>
      </c>
      <c r="D8957" t="s" s="2">
        <v>16</v>
      </c>
      <c r="E8957" t="s" s="2">
        <v>17</v>
      </c>
      <c r="F8957" t="s" s="2">
        <f>HYPERLINK("http://ts.21cn.com/tousu/show/id/1362000","http://ts.21cn.com/tousu/show/id/1362000")</f>
      </c>
      <c r="G8957" t="s" s="2">
        <v>17</v>
      </c>
      <c r="H8957" t="s" s="2">
        <v>19</v>
      </c>
      <c r="I8957" t="s" s="2">
        <v>34543</v>
      </c>
      <c r="J8957" t="s" s="2">
        <v>34544</v>
      </c>
      <c r="K8957" t="s" s="2">
        <v>22</v>
      </c>
      <c r="L8957" t="s" s="2">
        <v>22</v>
      </c>
      <c r="M8957" t="s" s="2">
        <v>22</v>
      </c>
    </row>
    <row r="8958" ht="25.0" customHeight="true">
      <c r="A8958" t="s" s="2">
        <v>13</v>
      </c>
      <c r="B8958" t="s" s="2">
        <f>HYPERLINK("http://ts.21cn.com/tousu/show/id/1362056","拼多多商家彤莕家具官方旗舰店欺诈消费者")</f>
      </c>
      <c r="C8958" t="s" s="2">
        <v>15</v>
      </c>
      <c r="D8958" t="s" s="2">
        <v>16</v>
      </c>
      <c r="E8958" t="s" s="2">
        <v>17</v>
      </c>
      <c r="F8958" t="s" s="2">
        <f>HYPERLINK("http://ts.21cn.com/tousu/show/id/1362056","http://ts.21cn.com/tousu/show/id/1362056")</f>
      </c>
      <c r="G8958" t="s" s="2">
        <v>17</v>
      </c>
      <c r="H8958" t="s" s="2">
        <v>19</v>
      </c>
      <c r="I8958" t="s" s="2">
        <v>34547</v>
      </c>
      <c r="J8958" t="s" s="2">
        <v>34548</v>
      </c>
      <c r="K8958" t="s" s="2">
        <v>22</v>
      </c>
      <c r="L8958" t="s" s="2">
        <v>22</v>
      </c>
      <c r="M8958" t="s" s="2">
        <v>22</v>
      </c>
    </row>
    <row r="8959" ht="25.0" customHeight="true">
      <c r="A8959" t="s" s="2">
        <v>13</v>
      </c>
      <c r="B8959" t="s" s="2">
        <f>HYPERLINK("http://ts.21cn.com/tousu/show/id/1362055","人人花乱扣费")</f>
      </c>
      <c r="C8959" t="s" s="2">
        <v>15</v>
      </c>
      <c r="D8959" t="s" s="2">
        <v>16</v>
      </c>
      <c r="E8959" t="s" s="2">
        <v>17</v>
      </c>
      <c r="F8959" t="s" s="2">
        <f>HYPERLINK("http://ts.21cn.com/tousu/show/id/1362055","http://ts.21cn.com/tousu/show/id/1362055")</f>
      </c>
      <c r="G8959" t="s" s="2">
        <v>17</v>
      </c>
      <c r="H8959" t="s" s="2">
        <v>19</v>
      </c>
      <c r="I8959" t="s" s="2">
        <v>34550</v>
      </c>
      <c r="J8959" t="s" s="2">
        <v>34551</v>
      </c>
      <c r="K8959" t="s" s="2">
        <v>22</v>
      </c>
      <c r="L8959" t="s" s="2">
        <v>22</v>
      </c>
      <c r="M8959" t="s" s="2">
        <v>22</v>
      </c>
    </row>
    <row r="8960" ht="25.0" customHeight="true">
      <c r="A8960" t="s" s="2">
        <v>13</v>
      </c>
      <c r="B8960" t="s" s="2">
        <f>HYPERLINK("http://ts.21cn.com/tousu/show/id/1362003","美团打车在车子没营运证，司机没从业资格证的情况下让注册账号跑网约车")</f>
      </c>
      <c r="C8960" t="s" s="2">
        <v>15</v>
      </c>
      <c r="D8960" t="s" s="2">
        <v>16</v>
      </c>
      <c r="E8960" t="s" s="2">
        <v>17</v>
      </c>
      <c r="F8960" t="s" s="2">
        <f>HYPERLINK("http://ts.21cn.com/tousu/show/id/1362003","http://ts.21cn.com/tousu/show/id/1362003")</f>
      </c>
      <c r="G8960" t="s" s="2">
        <v>17</v>
      </c>
      <c r="H8960" t="s" s="2">
        <v>19</v>
      </c>
      <c r="I8960" t="s" s="2">
        <v>34554</v>
      </c>
      <c r="J8960" t="s" s="2">
        <v>34555</v>
      </c>
      <c r="K8960" t="s" s="2">
        <v>22</v>
      </c>
      <c r="L8960" t="s" s="2">
        <v>22</v>
      </c>
      <c r="M8960" t="s" s="2">
        <v>22</v>
      </c>
    </row>
    <row r="8961" ht="25.0" customHeight="true">
      <c r="A8961" t="s" s="2">
        <v>13</v>
      </c>
      <c r="B8961" t="s" s="2">
        <f>HYPERLINK("http://ts.21cn.com/tousu/show/id/1362052","微博借钱无法更换手机号")</f>
      </c>
      <c r="C8961" t="s" s="2">
        <v>15</v>
      </c>
      <c r="D8961" t="s" s="2">
        <v>16</v>
      </c>
      <c r="E8961" t="s" s="2">
        <v>17</v>
      </c>
      <c r="F8961" t="s" s="2">
        <f>HYPERLINK("http://ts.21cn.com/tousu/show/id/1362052","http://ts.21cn.com/tousu/show/id/1362052")</f>
      </c>
      <c r="G8961" t="s" s="2">
        <v>17</v>
      </c>
      <c r="H8961" t="s" s="2">
        <v>19</v>
      </c>
      <c r="I8961" t="s" s="2">
        <v>34558</v>
      </c>
      <c r="J8961" t="s" s="2">
        <v>34559</v>
      </c>
      <c r="K8961" t="s" s="2">
        <v>22</v>
      </c>
      <c r="L8961" t="s" s="2">
        <v>22</v>
      </c>
      <c r="M8961" t="s" s="2">
        <v>22</v>
      </c>
    </row>
    <row r="8962" ht="25.0" customHeight="true">
      <c r="A8962" t="s" s="2">
        <v>13</v>
      </c>
      <c r="B8962" t="s" s="2">
        <f>HYPERLINK("http://ts.21cn.com/tousu/show/id/1362051","北京光宇诱导玩家充钱")</f>
      </c>
      <c r="C8962" t="s" s="2">
        <v>15</v>
      </c>
      <c r="D8962" t="s" s="2">
        <v>16</v>
      </c>
      <c r="E8962" t="s" s="2">
        <v>17</v>
      </c>
      <c r="F8962" t="s" s="2">
        <f>HYPERLINK("http://ts.21cn.com/tousu/show/id/1362051","http://ts.21cn.com/tousu/show/id/1362051")</f>
      </c>
      <c r="G8962" t="s" s="2">
        <v>17</v>
      </c>
      <c r="H8962" t="s" s="2">
        <v>19</v>
      </c>
      <c r="I8962" t="s" s="2">
        <v>34562</v>
      </c>
      <c r="J8962" t="s" s="2">
        <v>34563</v>
      </c>
      <c r="K8962" t="s" s="2">
        <v>22</v>
      </c>
      <c r="L8962" t="s" s="2">
        <v>22</v>
      </c>
      <c r="M8962" t="s" s="2">
        <v>22</v>
      </c>
    </row>
    <row r="8963" ht="25.0" customHeight="true">
      <c r="A8963" t="s" s="2">
        <v>13</v>
      </c>
      <c r="B8963" t="s" s="2">
        <f>HYPERLINK("http://ts.21cn.com/tousu/show/id/1362050","拼多多商家给客户处理售后就要交10万保证金")</f>
      </c>
      <c r="C8963" t="s" s="2">
        <v>15</v>
      </c>
      <c r="D8963" t="s" s="2">
        <v>16</v>
      </c>
      <c r="E8963" t="s" s="2">
        <v>17</v>
      </c>
      <c r="F8963" t="s" s="2">
        <f>HYPERLINK("http://ts.21cn.com/tousu/show/id/1362050","http://ts.21cn.com/tousu/show/id/1362050")</f>
      </c>
      <c r="G8963" t="s" s="2">
        <v>17</v>
      </c>
      <c r="H8963" t="s" s="2">
        <v>19</v>
      </c>
      <c r="I8963" t="s" s="2">
        <v>34566</v>
      </c>
      <c r="J8963" t="s" s="2">
        <v>34567</v>
      </c>
      <c r="K8963" t="s" s="2">
        <v>22</v>
      </c>
      <c r="L8963" t="s" s="2">
        <v>22</v>
      </c>
      <c r="M8963" t="s" s="2">
        <v>22</v>
      </c>
    </row>
    <row r="8964" ht="25.0" customHeight="true">
      <c r="A8964" t="s" s="2">
        <v>13</v>
      </c>
      <c r="B8964" t="s" s="2">
        <f>HYPERLINK("http://ts.21cn.com/tousu/show/id/1362049","高利贷，阴阳合同")</f>
      </c>
      <c r="C8964" t="s" s="2">
        <v>15</v>
      </c>
      <c r="D8964" t="s" s="2">
        <v>16</v>
      </c>
      <c r="E8964" t="s" s="2">
        <v>17</v>
      </c>
      <c r="F8964" t="s" s="2">
        <f>HYPERLINK("http://ts.21cn.com/tousu/show/id/1362049","http://ts.21cn.com/tousu/show/id/1362049")</f>
      </c>
      <c r="G8964" t="s" s="2">
        <v>17</v>
      </c>
      <c r="H8964" t="s" s="2">
        <v>19</v>
      </c>
      <c r="I8964" t="s" s="2">
        <v>34569</v>
      </c>
      <c r="J8964" t="s" s="2">
        <v>34570</v>
      </c>
      <c r="K8964" t="s" s="2">
        <v>22</v>
      </c>
      <c r="L8964" t="s" s="2">
        <v>22</v>
      </c>
      <c r="M8964" t="s" s="2">
        <v>22</v>
      </c>
    </row>
    <row r="8965" ht="25.0" customHeight="true">
      <c r="A8965" t="s" s="2">
        <v>13</v>
      </c>
      <c r="B8965" t="s" s="2">
        <f>HYPERLINK("http://ts.21cn.com/tousu/show/id/1362048","51人品贷套路贷高利贷砍头息服务费")</f>
      </c>
      <c r="C8965" t="s" s="2">
        <v>15</v>
      </c>
      <c r="D8965" t="s" s="2">
        <v>16</v>
      </c>
      <c r="E8965" t="s" s="2">
        <v>17</v>
      </c>
      <c r="F8965" t="s" s="2">
        <f>HYPERLINK("http://ts.21cn.com/tousu/show/id/1362048","http://ts.21cn.com/tousu/show/id/1362048")</f>
      </c>
      <c r="G8965" t="s" s="2">
        <v>17</v>
      </c>
      <c r="H8965" t="s" s="2">
        <v>19</v>
      </c>
      <c r="I8965" t="s" s="2">
        <v>34573</v>
      </c>
      <c r="J8965" t="s" s="2">
        <v>34574</v>
      </c>
      <c r="K8965" t="s" s="2">
        <v>22</v>
      </c>
      <c r="L8965" t="s" s="2">
        <v>22</v>
      </c>
      <c r="M8965" t="s" s="2">
        <v>22</v>
      </c>
    </row>
    <row r="8966" ht="25.0" customHeight="true">
      <c r="A8966" t="s" s="2">
        <v>13</v>
      </c>
      <c r="B8966" t="s" s="2">
        <f>HYPERLINK("http://ts.21cn.com/tousu/show/id/1362047","部落冲突号被盗了，拿回来发现号被永久封禁")</f>
      </c>
      <c r="C8966" t="s" s="2">
        <v>15</v>
      </c>
      <c r="D8966" t="s" s="2">
        <v>16</v>
      </c>
      <c r="E8966" t="s" s="2">
        <v>17</v>
      </c>
      <c r="F8966" t="s" s="2">
        <f>HYPERLINK("http://ts.21cn.com/tousu/show/id/1362047","http://ts.21cn.com/tousu/show/id/1362047")</f>
      </c>
      <c r="G8966" t="s" s="2">
        <v>17</v>
      </c>
      <c r="H8966" t="s" s="2">
        <v>19</v>
      </c>
      <c r="I8966" t="s" s="2">
        <v>34577</v>
      </c>
      <c r="J8966" t="s" s="2">
        <v>34578</v>
      </c>
      <c r="K8966" t="s" s="2">
        <v>22</v>
      </c>
      <c r="L8966" t="s" s="2">
        <v>22</v>
      </c>
      <c r="M8966" t="s" s="2">
        <v>22</v>
      </c>
    </row>
    <row r="8967" ht="25.0" customHeight="true">
      <c r="A8967" t="s" s="2">
        <v>13</v>
      </c>
      <c r="B8967" t="s" s="2">
        <f>HYPERLINK("http://ts.21cn.com/tousu/show/id/1362046","闲鱼乱扣分")</f>
      </c>
      <c r="C8967" t="s" s="2">
        <v>15</v>
      </c>
      <c r="D8967" t="s" s="2">
        <v>16</v>
      </c>
      <c r="E8967" t="s" s="2">
        <v>17</v>
      </c>
      <c r="F8967" t="s" s="2">
        <f>HYPERLINK("http://ts.21cn.com/tousu/show/id/1362046","http://ts.21cn.com/tousu/show/id/1362046")</f>
      </c>
      <c r="G8967" t="s" s="2">
        <v>17</v>
      </c>
      <c r="H8967" t="s" s="2">
        <v>19</v>
      </c>
      <c r="I8967" t="s" s="2">
        <v>34581</v>
      </c>
      <c r="J8967" t="s" s="2">
        <v>34582</v>
      </c>
      <c r="K8967" t="s" s="2">
        <v>22</v>
      </c>
      <c r="L8967" t="s" s="2">
        <v>22</v>
      </c>
      <c r="M8967" t="s" s="2">
        <v>22</v>
      </c>
    </row>
    <row r="8968" ht="25.0" customHeight="true">
      <c r="A8968" t="s" s="2">
        <v>13</v>
      </c>
      <c r="B8968" t="s" s="2">
        <f>HYPERLINK("http://ts.21cn.com/tousu/show/id/1362045","今巴蟹提货不到")</f>
      </c>
      <c r="C8968" t="s" s="2">
        <v>52</v>
      </c>
      <c r="D8968" t="s" s="2">
        <v>16</v>
      </c>
      <c r="E8968" t="s" s="2">
        <v>17</v>
      </c>
      <c r="F8968" t="s" s="2">
        <f>HYPERLINK("http://ts.21cn.com/tousu/show/id/1362045","http://ts.21cn.com/tousu/show/id/1362045")</f>
      </c>
      <c r="G8968" t="s" s="2">
        <v>17</v>
      </c>
      <c r="H8968" t="s" s="2">
        <v>19</v>
      </c>
      <c r="I8968" t="s" s="2">
        <v>34585</v>
      </c>
      <c r="J8968" t="s" s="2">
        <v>34586</v>
      </c>
      <c r="K8968" t="s" s="2">
        <v>22</v>
      </c>
      <c r="L8968" t="s" s="2">
        <v>22</v>
      </c>
      <c r="M8968" t="s" s="2">
        <v>22</v>
      </c>
    </row>
    <row r="8969" ht="25.0" customHeight="true">
      <c r="A8969" t="s" s="2">
        <v>13</v>
      </c>
      <c r="B8969" t="s" s="2">
        <f>HYPERLINK("http://ts.21cn.com/tousu/show/id/1362044","要求支付宝给个处理结果合理解释")</f>
      </c>
      <c r="C8969" t="s" s="2">
        <v>15</v>
      </c>
      <c r="D8969" t="s" s="2">
        <v>16</v>
      </c>
      <c r="E8969" t="s" s="2">
        <v>17</v>
      </c>
      <c r="F8969" t="s" s="2">
        <f>HYPERLINK("http://ts.21cn.com/tousu/show/id/1362044","http://ts.21cn.com/tousu/show/id/1362044")</f>
      </c>
      <c r="G8969" t="s" s="2">
        <v>17</v>
      </c>
      <c r="H8969" t="s" s="2">
        <v>19</v>
      </c>
      <c r="I8969" t="s" s="2">
        <v>34589</v>
      </c>
      <c r="J8969" t="s" s="2">
        <v>34590</v>
      </c>
      <c r="K8969" t="s" s="2">
        <v>22</v>
      </c>
      <c r="L8969" t="s" s="2">
        <v>22</v>
      </c>
      <c r="M8969" t="s" s="2">
        <v>22</v>
      </c>
    </row>
    <row r="8970" ht="25.0" customHeight="true">
      <c r="A8970" t="s" s="2">
        <v>13</v>
      </c>
      <c r="B8970" t="s" s="2">
        <f>HYPERLINK("http://ts.21cn.com/tousu/show/id/1362043","拍拍贷扣款失败导致逾期一天要多收25元手续费")</f>
      </c>
      <c r="C8970" t="s" s="2">
        <v>52</v>
      </c>
      <c r="D8970" t="s" s="2">
        <v>16</v>
      </c>
      <c r="E8970" t="s" s="2">
        <v>17</v>
      </c>
      <c r="F8970" t="s" s="2">
        <f>HYPERLINK("http://ts.21cn.com/tousu/show/id/1362043","http://ts.21cn.com/tousu/show/id/1362043")</f>
      </c>
      <c r="G8970" t="s" s="2">
        <v>17</v>
      </c>
      <c r="H8970" t="s" s="2">
        <v>19</v>
      </c>
      <c r="I8970" t="s" s="2">
        <v>34593</v>
      </c>
      <c r="J8970" t="s" s="2">
        <v>34594</v>
      </c>
      <c r="K8970" t="s" s="2">
        <v>22</v>
      </c>
      <c r="L8970" t="s" s="2">
        <v>22</v>
      </c>
      <c r="M8970" t="s" s="2">
        <v>22</v>
      </c>
    </row>
    <row r="8971" ht="25.0" customHeight="true">
      <c r="A8971" t="s" s="2">
        <v>13</v>
      </c>
      <c r="B8971" t="s" s="2">
        <f>HYPERLINK("http://ts.21cn.com/tousu/show/id/1362041","安庆盛通信息科技有限公司欺诈，恶意扣费")</f>
      </c>
      <c r="C8971" t="s" s="2">
        <v>15</v>
      </c>
      <c r="D8971" t="s" s="2">
        <v>16</v>
      </c>
      <c r="E8971" t="s" s="2">
        <v>17</v>
      </c>
      <c r="F8971" t="s" s="2">
        <f>HYPERLINK("http://ts.21cn.com/tousu/show/id/1362041","http://ts.21cn.com/tousu/show/id/1362041")</f>
      </c>
      <c r="G8971" t="s" s="2">
        <v>17</v>
      </c>
      <c r="H8971" t="s" s="2">
        <v>19</v>
      </c>
      <c r="I8971" t="s" s="2">
        <v>34597</v>
      </c>
      <c r="J8971" t="s" s="2">
        <v>34598</v>
      </c>
      <c r="K8971" t="s" s="2">
        <v>22</v>
      </c>
      <c r="L8971" t="s" s="2">
        <v>22</v>
      </c>
      <c r="M8971" t="s" s="2">
        <v>22</v>
      </c>
    </row>
    <row r="8972" ht="25.0" customHeight="true">
      <c r="A8972" t="s" s="2">
        <v>13</v>
      </c>
      <c r="B8972" t="s" s="2">
        <f>HYPERLINK("http://ts.21cn.com/tousu/show/id/1362042","钱橙无忧随意扣费")</f>
      </c>
      <c r="C8972" t="s" s="2">
        <v>15</v>
      </c>
      <c r="D8972" t="s" s="2">
        <v>16</v>
      </c>
      <c r="E8972" t="s" s="2">
        <v>17</v>
      </c>
      <c r="F8972" t="s" s="2">
        <f>HYPERLINK("http://ts.21cn.com/tousu/show/id/1362042","http://ts.21cn.com/tousu/show/id/1362042")</f>
      </c>
      <c r="G8972" t="s" s="2">
        <v>17</v>
      </c>
      <c r="H8972" t="s" s="2">
        <v>19</v>
      </c>
      <c r="I8972" t="s" s="2">
        <v>34600</v>
      </c>
      <c r="J8972" t="s" s="2">
        <v>34601</v>
      </c>
      <c r="K8972" t="s" s="2">
        <v>22</v>
      </c>
      <c r="L8972" t="s" s="2">
        <v>22</v>
      </c>
      <c r="M8972" t="s" s="2">
        <v>22</v>
      </c>
    </row>
    <row r="8973" ht="25.0" customHeight="true">
      <c r="A8973" t="s" s="2">
        <v>13</v>
      </c>
      <c r="B8973" t="s" s="2">
        <f>HYPERLINK("http://ts.21cn.com/tousu/show/id/1362040","东莞虎门小红马舞蹈利用58招聘为由培训贷款学费")</f>
      </c>
      <c r="C8973" t="s" s="2">
        <v>15</v>
      </c>
      <c r="D8973" t="s" s="2">
        <v>16</v>
      </c>
      <c r="E8973" t="s" s="2">
        <v>17</v>
      </c>
      <c r="F8973" t="s" s="2">
        <f>HYPERLINK("http://ts.21cn.com/tousu/show/id/1362040","http://ts.21cn.com/tousu/show/id/1362040")</f>
      </c>
      <c r="G8973" t="s" s="2">
        <v>17</v>
      </c>
      <c r="H8973" t="s" s="2">
        <v>19</v>
      </c>
      <c r="I8973" t="s" s="2">
        <v>34604</v>
      </c>
      <c r="J8973" t="s" s="2">
        <v>34605</v>
      </c>
      <c r="K8973" t="s" s="2">
        <v>22</v>
      </c>
      <c r="L8973" t="s" s="2">
        <v>22</v>
      </c>
      <c r="M8973" t="s" s="2">
        <v>22</v>
      </c>
    </row>
    <row r="8974" ht="25.0" customHeight="true">
      <c r="A8974" t="s" s="2">
        <v>13</v>
      </c>
      <c r="B8974" t="s" s="2">
        <f>HYPERLINK("http://ts.21cn.com/tousu/show/id/1362039","我要投诉拼多多定制的商品支持退货退款")</f>
      </c>
      <c r="C8974" t="s" s="2">
        <v>15</v>
      </c>
      <c r="D8974" t="s" s="2">
        <v>16</v>
      </c>
      <c r="E8974" t="s" s="2">
        <v>17</v>
      </c>
      <c r="F8974" t="s" s="2">
        <f>HYPERLINK("http://ts.21cn.com/tousu/show/id/1362039","http://ts.21cn.com/tousu/show/id/1362039")</f>
      </c>
      <c r="G8974" t="s" s="2">
        <v>17</v>
      </c>
      <c r="H8974" t="s" s="2">
        <v>19</v>
      </c>
      <c r="I8974" t="s" s="2">
        <v>34608</v>
      </c>
      <c r="J8974" t="s" s="2">
        <v>34609</v>
      </c>
      <c r="K8974" t="s" s="2">
        <v>22</v>
      </c>
      <c r="L8974" t="s" s="2">
        <v>22</v>
      </c>
      <c r="M8974" t="s" s="2">
        <v>22</v>
      </c>
    </row>
    <row r="8975" ht="25.0" customHeight="true">
      <c r="A8975" t="s" s="2">
        <v>13</v>
      </c>
      <c r="B8975" t="s" s="2">
        <f>HYPERLINK("http://ts.21cn.com/tousu/show/id/1362038","好易借高利贷")</f>
      </c>
      <c r="C8975" t="s" s="2">
        <v>15</v>
      </c>
      <c r="D8975" t="s" s="2">
        <v>16</v>
      </c>
      <c r="E8975" t="s" s="2">
        <v>17</v>
      </c>
      <c r="F8975" t="s" s="2">
        <f>HYPERLINK("http://ts.21cn.com/tousu/show/id/1362038","http://ts.21cn.com/tousu/show/id/1362038")</f>
      </c>
      <c r="G8975" t="s" s="2">
        <v>17</v>
      </c>
      <c r="H8975" t="s" s="2">
        <v>19</v>
      </c>
      <c r="I8975" t="s" s="2">
        <v>34611</v>
      </c>
      <c r="J8975" t="s" s="2">
        <v>34612</v>
      </c>
      <c r="K8975" t="s" s="2">
        <v>22</v>
      </c>
      <c r="L8975" t="s" s="2">
        <v>22</v>
      </c>
      <c r="M8975" t="s" s="2">
        <v>22</v>
      </c>
    </row>
    <row r="8976" ht="25.0" customHeight="true">
      <c r="A8976" t="s" s="2">
        <v>13</v>
      </c>
      <c r="B8976" t="s" s="2">
        <f>HYPERLINK("http://ts.21cn.com/tousu/show/id/1362013","去天信贷app平台网贷交了手续费不给放款")</f>
      </c>
      <c r="C8976" t="s" s="2">
        <v>15</v>
      </c>
      <c r="D8976" t="s" s="2">
        <v>16</v>
      </c>
      <c r="E8976" t="s" s="2">
        <v>17</v>
      </c>
      <c r="F8976" t="s" s="2">
        <f>HYPERLINK("http://ts.21cn.com/tousu/show/id/1362013","http://ts.21cn.com/tousu/show/id/1362013")</f>
      </c>
      <c r="G8976" t="s" s="2">
        <v>17</v>
      </c>
      <c r="H8976" t="s" s="2">
        <v>19</v>
      </c>
      <c r="I8976" t="s" s="2">
        <v>34615</v>
      </c>
      <c r="J8976" t="s" s="2">
        <v>34616</v>
      </c>
      <c r="K8976" t="s" s="2">
        <v>22</v>
      </c>
      <c r="L8976" t="s" s="2">
        <v>22</v>
      </c>
      <c r="M8976" t="s" s="2">
        <v>22</v>
      </c>
    </row>
    <row r="8977" ht="25.0" customHeight="true">
      <c r="A8977" t="s" s="2">
        <v>13</v>
      </c>
      <c r="B8977" t="s" s="2">
        <f>HYPERLINK("http://ts.21cn.com/tousu/show/id/1362037","安庆盛通信息科技有限公司的情人花App存在欺诈，恶意扣费")</f>
      </c>
      <c r="C8977" t="s" s="2">
        <v>15</v>
      </c>
      <c r="D8977" t="s" s="2">
        <v>16</v>
      </c>
      <c r="E8977" t="s" s="2">
        <v>17</v>
      </c>
      <c r="F8977" t="s" s="2">
        <f>HYPERLINK("http://ts.21cn.com/tousu/show/id/1362037","http://ts.21cn.com/tousu/show/id/1362037")</f>
      </c>
      <c r="G8977" t="s" s="2">
        <v>17</v>
      </c>
      <c r="H8977" t="s" s="2">
        <v>19</v>
      </c>
      <c r="I8977" t="s" s="2">
        <v>34619</v>
      </c>
      <c r="J8977" t="s" s="2">
        <v>34620</v>
      </c>
      <c r="K8977" t="s" s="2">
        <v>22</v>
      </c>
      <c r="L8977" t="s" s="2">
        <v>22</v>
      </c>
      <c r="M8977" t="s" s="2">
        <v>22</v>
      </c>
    </row>
    <row r="8978" ht="25.0" customHeight="true">
      <c r="A8978" t="s" s="2">
        <v>13</v>
      </c>
      <c r="B8978" t="s" s="2">
        <f>HYPERLINK("http://ts.21cn.com/tousu/show/id/1362036","投诉淘宝网，多次限制下单")</f>
      </c>
      <c r="C8978" t="s" s="2">
        <v>15</v>
      </c>
      <c r="D8978" t="s" s="2">
        <v>16</v>
      </c>
      <c r="E8978" t="s" s="2">
        <v>17</v>
      </c>
      <c r="F8978" t="s" s="2">
        <f>HYPERLINK("http://ts.21cn.com/tousu/show/id/1362036","http://ts.21cn.com/tousu/show/id/1362036")</f>
      </c>
      <c r="G8978" t="s" s="2">
        <v>17</v>
      </c>
      <c r="H8978" t="s" s="2">
        <v>19</v>
      </c>
      <c r="I8978" t="s" s="2">
        <v>34623</v>
      </c>
      <c r="J8978" t="s" s="2">
        <v>34624</v>
      </c>
      <c r="K8978" t="s" s="2">
        <v>22</v>
      </c>
      <c r="L8978" t="s" s="2">
        <v>22</v>
      </c>
      <c r="M8978" t="s" s="2">
        <v>22</v>
      </c>
    </row>
    <row r="8979" ht="25.0" customHeight="true">
      <c r="A8979" t="s" s="2">
        <v>13</v>
      </c>
      <c r="B8979" t="s" s="2">
        <f>HYPERLINK("http://ts.21cn.com/tousu/show/id/1361364","南京途虎网约车租赁公司欺诈消费者，强扣保证金")</f>
      </c>
      <c r="C8979" t="s" s="2">
        <v>15</v>
      </c>
      <c r="D8979" t="s" s="2">
        <v>16</v>
      </c>
      <c r="E8979" t="s" s="2">
        <v>17</v>
      </c>
      <c r="F8979" t="s" s="2">
        <f>HYPERLINK("http://ts.21cn.com/tousu/show/id/1361364","http://ts.21cn.com/tousu/show/id/1361364")</f>
      </c>
      <c r="G8979" t="s" s="2">
        <v>17</v>
      </c>
      <c r="H8979" t="s" s="2">
        <v>19</v>
      </c>
      <c r="I8979" t="s" s="2">
        <v>34627</v>
      </c>
      <c r="J8979" t="s" s="2">
        <v>34628</v>
      </c>
      <c r="K8979" t="s" s="2">
        <v>22</v>
      </c>
      <c r="L8979" t="s" s="2">
        <v>22</v>
      </c>
      <c r="M8979" t="s" s="2">
        <v>22</v>
      </c>
    </row>
    <row r="8980" ht="25.0" customHeight="true">
      <c r="A8980" t="s" s="2">
        <v>13</v>
      </c>
      <c r="B8980" t="s" s="2">
        <f>HYPERLINK("http://ts.21cn.com/tousu/show/id/1362035","合同欺诈，私自扣款")</f>
      </c>
      <c r="C8980" t="s" s="2">
        <v>15</v>
      </c>
      <c r="D8980" t="s" s="2">
        <v>16</v>
      </c>
      <c r="E8980" t="s" s="2">
        <v>17</v>
      </c>
      <c r="F8980" t="s" s="2">
        <f>HYPERLINK("http://ts.21cn.com/tousu/show/id/1362035","http://ts.21cn.com/tousu/show/id/1362035")</f>
      </c>
      <c r="G8980" t="s" s="2">
        <v>17</v>
      </c>
      <c r="H8980" t="s" s="2">
        <v>19</v>
      </c>
      <c r="I8980" t="s" s="2">
        <v>34630</v>
      </c>
      <c r="J8980" t="s" s="2">
        <v>34631</v>
      </c>
      <c r="K8980" t="s" s="2">
        <v>22</v>
      </c>
      <c r="L8980" t="s" s="2">
        <v>22</v>
      </c>
      <c r="M8980" t="s" s="2">
        <v>22</v>
      </c>
    </row>
    <row r="8981" ht="25.0" customHeight="true">
      <c r="A8981" t="s" s="2">
        <v>13</v>
      </c>
      <c r="B8981" t="s" s="2">
        <f>HYPERLINK("http://ts.21cn.com/tousu/show/id/1362034","玖富万卡擅自改写合同，变相收取费用，高利贷")</f>
      </c>
      <c r="C8981" t="s" s="2">
        <v>15</v>
      </c>
      <c r="D8981" t="s" s="2">
        <v>16</v>
      </c>
      <c r="E8981" t="s" s="2">
        <v>17</v>
      </c>
      <c r="F8981" t="s" s="2">
        <f>HYPERLINK("http://ts.21cn.com/tousu/show/id/1362034","http://ts.21cn.com/tousu/show/id/1362034")</f>
      </c>
      <c r="G8981" t="s" s="2">
        <v>17</v>
      </c>
      <c r="H8981" t="s" s="2">
        <v>19</v>
      </c>
      <c r="I8981" t="s" s="2">
        <v>34633</v>
      </c>
      <c r="J8981" t="s" s="2">
        <v>34634</v>
      </c>
      <c r="K8981" t="s" s="2">
        <v>22</v>
      </c>
      <c r="L8981" t="s" s="2">
        <v>22</v>
      </c>
      <c r="M8981" t="s" s="2">
        <v>22</v>
      </c>
    </row>
    <row r="8982" ht="25.0" customHeight="true">
      <c r="A8982" t="s" s="2">
        <v>13</v>
      </c>
      <c r="B8982" t="s" s="2">
        <f>HYPERLINK("http://ts.21cn.com/tousu/show/id/1362033","尚德机构虚假宣传")</f>
      </c>
      <c r="C8982" t="s" s="2">
        <v>15</v>
      </c>
      <c r="D8982" t="s" s="2">
        <v>16</v>
      </c>
      <c r="E8982" t="s" s="2">
        <v>17</v>
      </c>
      <c r="F8982" t="s" s="2">
        <f>HYPERLINK("http://ts.21cn.com/tousu/show/id/1362033","http://ts.21cn.com/tousu/show/id/1362033")</f>
      </c>
      <c r="G8982" t="s" s="2">
        <v>17</v>
      </c>
      <c r="H8982" t="s" s="2">
        <v>19</v>
      </c>
      <c r="I8982" t="s" s="2">
        <v>34637</v>
      </c>
      <c r="J8982" t="s" s="2">
        <v>34638</v>
      </c>
      <c r="K8982" t="s" s="2">
        <v>22</v>
      </c>
      <c r="L8982" t="s" s="2">
        <v>22</v>
      </c>
      <c r="M8982" t="s" s="2">
        <v>22</v>
      </c>
    </row>
    <row r="8983" ht="25.0" customHeight="true">
      <c r="A8983" t="s" s="2">
        <v>13</v>
      </c>
      <c r="B8983" t="s" s="2">
        <f>HYPERLINK("http://ts.21cn.com/tousu/show/id/1362031","拍拍贷在账户有足够金额的情况下仍然无法还款")</f>
      </c>
      <c r="C8983" t="s" s="2">
        <v>15</v>
      </c>
      <c r="D8983" t="s" s="2">
        <v>16</v>
      </c>
      <c r="E8983" t="s" s="2">
        <v>17</v>
      </c>
      <c r="F8983" t="s" s="2">
        <f>HYPERLINK("http://ts.21cn.com/tousu/show/id/1362031","http://ts.21cn.com/tousu/show/id/1362031")</f>
      </c>
      <c r="G8983" t="s" s="2">
        <v>17</v>
      </c>
      <c r="H8983" t="s" s="2">
        <v>19</v>
      </c>
      <c r="I8983" t="s" s="2">
        <v>34641</v>
      </c>
      <c r="J8983" t="s" s="2">
        <v>34642</v>
      </c>
      <c r="K8983" t="s" s="2">
        <v>22</v>
      </c>
      <c r="L8983" t="s" s="2">
        <v>22</v>
      </c>
      <c r="M8983" t="s" s="2">
        <v>22</v>
      </c>
    </row>
    <row r="8984" ht="25.0" customHeight="true">
      <c r="A8984" t="s" s="2">
        <v>13</v>
      </c>
      <c r="B8984" t="s" s="2">
        <f>HYPERLINK("http://ts.21cn.com/tousu/show/id/1362029","乱收费无缘无故扣我钱")</f>
      </c>
      <c r="C8984" t="s" s="2">
        <v>15</v>
      </c>
      <c r="D8984" t="s" s="2">
        <v>16</v>
      </c>
      <c r="E8984" t="s" s="2">
        <v>17</v>
      </c>
      <c r="F8984" t="s" s="2">
        <f>HYPERLINK("http://ts.21cn.com/tousu/show/id/1362029","http://ts.21cn.com/tousu/show/id/1362029")</f>
      </c>
      <c r="G8984" t="s" s="2">
        <v>17</v>
      </c>
      <c r="H8984" t="s" s="2">
        <v>19</v>
      </c>
      <c r="I8984" t="s" s="2">
        <v>34645</v>
      </c>
      <c r="J8984" t="s" s="2">
        <v>34646</v>
      </c>
      <c r="K8984" t="s" s="2">
        <v>22</v>
      </c>
      <c r="L8984" t="s" s="2">
        <v>22</v>
      </c>
      <c r="M8984" t="s" s="2">
        <v>22</v>
      </c>
    </row>
    <row r="8985" ht="25.0" customHeight="true">
      <c r="A8985" t="s" s="2">
        <v>13</v>
      </c>
      <c r="B8985" t="s" s="2">
        <f>HYPERLINK("http://ts.21cn.com/tousu/show/id/1362028","活力花暴力催收，威胁")</f>
      </c>
      <c r="C8985" t="s" s="2">
        <v>15</v>
      </c>
      <c r="D8985" t="s" s="2">
        <v>16</v>
      </c>
      <c r="E8985" t="s" s="2">
        <v>17</v>
      </c>
      <c r="F8985" t="s" s="2">
        <f>HYPERLINK("http://ts.21cn.com/tousu/show/id/1362028","http://ts.21cn.com/tousu/show/id/1362028")</f>
      </c>
      <c r="G8985" t="s" s="2">
        <v>17</v>
      </c>
      <c r="H8985" t="s" s="2">
        <v>19</v>
      </c>
      <c r="I8985" t="s" s="2">
        <v>34649</v>
      </c>
      <c r="J8985" t="s" s="2">
        <v>34650</v>
      </c>
      <c r="K8985" t="s" s="2">
        <v>22</v>
      </c>
      <c r="L8985" t="s" s="2">
        <v>22</v>
      </c>
      <c r="M8985" t="s" s="2">
        <v>22</v>
      </c>
    </row>
    <row r="8986" ht="25.0" customHeight="true">
      <c r="A8986" t="s" s="2">
        <v>13</v>
      </c>
      <c r="B8986" t="s" s="2">
        <f>HYPERLINK("http://ts.21cn.com/tousu/show/id/1362025","人人花乱扣费")</f>
      </c>
      <c r="C8986" t="s" s="2">
        <v>15</v>
      </c>
      <c r="D8986" t="s" s="2">
        <v>16</v>
      </c>
      <c r="E8986" t="s" s="2">
        <v>17</v>
      </c>
      <c r="F8986" t="s" s="2">
        <f>HYPERLINK("http://ts.21cn.com/tousu/show/id/1362025","http://ts.21cn.com/tousu/show/id/1362025")</f>
      </c>
      <c r="G8986" t="s" s="2">
        <v>17</v>
      </c>
      <c r="H8986" t="s" s="2">
        <v>19</v>
      </c>
      <c r="I8986" t="s" s="2">
        <v>34652</v>
      </c>
      <c r="J8986" t="s" s="2">
        <v>34653</v>
      </c>
      <c r="K8986" t="s" s="2">
        <v>22</v>
      </c>
      <c r="L8986" t="s" s="2">
        <v>22</v>
      </c>
      <c r="M8986" t="s" s="2">
        <v>22</v>
      </c>
    </row>
    <row r="8987" ht="25.0" customHeight="true">
      <c r="A8987" t="s" s="2">
        <v>13</v>
      </c>
      <c r="B8987" t="s" s="2">
        <f>HYPERLINK("http://ts.21cn.com/tousu/show/id/1362027","钱站app违法收取砍头息")</f>
      </c>
      <c r="C8987" t="s" s="2">
        <v>15</v>
      </c>
      <c r="D8987" t="s" s="2">
        <v>16</v>
      </c>
      <c r="E8987" t="s" s="2">
        <v>17</v>
      </c>
      <c r="F8987" t="s" s="2">
        <f>HYPERLINK("http://ts.21cn.com/tousu/show/id/1362027","http://ts.21cn.com/tousu/show/id/1362027")</f>
      </c>
      <c r="G8987" t="s" s="2">
        <v>17</v>
      </c>
      <c r="H8987" t="s" s="2">
        <v>19</v>
      </c>
      <c r="I8987" t="s" s="2">
        <v>34656</v>
      </c>
      <c r="J8987" t="s" s="2">
        <v>34657</v>
      </c>
      <c r="K8987" t="s" s="2">
        <v>22</v>
      </c>
      <c r="L8987" t="s" s="2">
        <v>22</v>
      </c>
      <c r="M8987" t="s" s="2">
        <v>22</v>
      </c>
    </row>
    <row r="8988" ht="25.0" customHeight="true">
      <c r="A8988" t="s" s="2">
        <v>13</v>
      </c>
      <c r="B8988" t="s" s="2">
        <f>HYPERLINK("http://ts.21cn.com/tousu/show/id/1362026","遭遇砍头息")</f>
      </c>
      <c r="C8988" t="s" s="2">
        <v>15</v>
      </c>
      <c r="D8988" t="s" s="2">
        <v>16</v>
      </c>
      <c r="E8988" t="s" s="2">
        <v>17</v>
      </c>
      <c r="F8988" t="s" s="2">
        <f>HYPERLINK("http://ts.21cn.com/tousu/show/id/1362026","http://ts.21cn.com/tousu/show/id/1362026")</f>
      </c>
      <c r="G8988" t="s" s="2">
        <v>17</v>
      </c>
      <c r="H8988" t="s" s="2">
        <v>19</v>
      </c>
      <c r="I8988" t="s" s="2">
        <v>34660</v>
      </c>
      <c r="J8988" t="s" s="2">
        <v>34661</v>
      </c>
      <c r="K8988" t="s" s="2">
        <v>22</v>
      </c>
      <c r="L8988" t="s" s="2">
        <v>22</v>
      </c>
      <c r="M8988" t="s" s="2">
        <v>22</v>
      </c>
    </row>
    <row r="8989" ht="25.0" customHeight="true">
      <c r="A8989" t="s" s="2">
        <v>13</v>
      </c>
      <c r="B8989" t="s" s="2">
        <f>HYPERLINK("http://ts.21cn.com/tousu/show/id/1362023","汇潮支付联合违法网贷为其提供支付通道")</f>
      </c>
      <c r="C8989" t="s" s="2">
        <v>15</v>
      </c>
      <c r="D8989" t="s" s="2">
        <v>16</v>
      </c>
      <c r="E8989" t="s" s="2">
        <v>17</v>
      </c>
      <c r="F8989" t="s" s="2">
        <f>HYPERLINK("http://ts.21cn.com/tousu/show/id/1362023","http://ts.21cn.com/tousu/show/id/1362023")</f>
      </c>
      <c r="G8989" t="s" s="2">
        <v>17</v>
      </c>
      <c r="H8989" t="s" s="2">
        <v>19</v>
      </c>
      <c r="I8989" t="s" s="2">
        <v>34664</v>
      </c>
      <c r="J8989" t="s" s="2">
        <v>34665</v>
      </c>
      <c r="K8989" t="s" s="2">
        <v>22</v>
      </c>
      <c r="L8989" t="s" s="2">
        <v>22</v>
      </c>
      <c r="M8989" t="s" s="2">
        <v>22</v>
      </c>
    </row>
    <row r="8990" ht="25.0" customHeight="true">
      <c r="A8990" t="s" s="2">
        <v>13</v>
      </c>
      <c r="B8990" t="s" s="2">
        <f>HYPERLINK("http://ts.21cn.com/tousu/show/id/1361990","中程建教育机构诱导学员交钱")</f>
      </c>
      <c r="C8990" t="s" s="2">
        <v>15</v>
      </c>
      <c r="D8990" t="s" s="2">
        <v>16</v>
      </c>
      <c r="E8990" t="s" s="2">
        <v>17</v>
      </c>
      <c r="F8990" t="s" s="2">
        <f>HYPERLINK("http://ts.21cn.com/tousu/show/id/1361990","http://ts.21cn.com/tousu/show/id/1361990")</f>
      </c>
      <c r="G8990" t="s" s="2">
        <v>17</v>
      </c>
      <c r="H8990" t="s" s="2">
        <v>19</v>
      </c>
      <c r="I8990" t="s" s="2">
        <v>34668</v>
      </c>
      <c r="J8990" t="s" s="2">
        <v>34669</v>
      </c>
      <c r="K8990" t="s" s="2">
        <v>22</v>
      </c>
      <c r="L8990" t="s" s="2">
        <v>22</v>
      </c>
      <c r="M8990" t="s" s="2">
        <v>22</v>
      </c>
    </row>
    <row r="8991" ht="25.0" customHeight="true">
      <c r="A8991" t="s" s="2">
        <v>13</v>
      </c>
      <c r="B8991" t="s" s="2">
        <f>HYPERLINK("http://ts.21cn.com/tousu/show/id/1362021","信而富变相收砍头息")</f>
      </c>
      <c r="C8991" t="s" s="2">
        <v>15</v>
      </c>
      <c r="D8991" t="s" s="2">
        <v>16</v>
      </c>
      <c r="E8991" t="s" s="2">
        <v>17</v>
      </c>
      <c r="F8991" t="s" s="2">
        <f>HYPERLINK("http://ts.21cn.com/tousu/show/id/1362021","http://ts.21cn.com/tousu/show/id/1362021")</f>
      </c>
      <c r="G8991" t="s" s="2">
        <v>17</v>
      </c>
      <c r="H8991" t="s" s="2">
        <v>19</v>
      </c>
      <c r="I8991" t="s" s="2">
        <v>34672</v>
      </c>
      <c r="J8991" t="s" s="2">
        <v>34673</v>
      </c>
      <c r="K8991" t="s" s="2">
        <v>22</v>
      </c>
      <c r="L8991" t="s" s="2">
        <v>22</v>
      </c>
      <c r="M8991" t="s" s="2">
        <v>22</v>
      </c>
    </row>
    <row r="8992" ht="25.0" customHeight="true">
      <c r="A8992" t="s" s="2">
        <v>13</v>
      </c>
      <c r="B8992" t="s" s="2">
        <f>HYPERLINK("http://ts.21cn.com/tousu/show/id/1362020","平安普惠自身支付系统故障造成扣款失败判定我逾期")</f>
      </c>
      <c r="C8992" t="s" s="2">
        <v>15</v>
      </c>
      <c r="D8992" t="s" s="2">
        <v>16</v>
      </c>
      <c r="E8992" t="s" s="2">
        <v>17</v>
      </c>
      <c r="F8992" t="s" s="2">
        <f>HYPERLINK("http://ts.21cn.com/tousu/show/id/1362020","http://ts.21cn.com/tousu/show/id/1362020")</f>
      </c>
      <c r="G8992" t="s" s="2">
        <v>17</v>
      </c>
      <c r="H8992" t="s" s="2">
        <v>19</v>
      </c>
      <c r="I8992" t="s" s="2">
        <v>34676</v>
      </c>
      <c r="J8992" t="s" s="2">
        <v>34677</v>
      </c>
      <c r="K8992" t="s" s="2">
        <v>22</v>
      </c>
      <c r="L8992" t="s" s="2">
        <v>22</v>
      </c>
      <c r="M8992" t="s" s="2">
        <v>22</v>
      </c>
    </row>
    <row r="8993" ht="25.0" customHeight="true">
      <c r="A8993" t="s" s="2">
        <v>13</v>
      </c>
      <c r="B8993" t="s" s="2">
        <f>HYPERLINK("http://ts.21cn.com/tousu/show/id/1361999","个人被朋友骗，不小心借了分期乐2000，想还款，发现要还3000多")</f>
      </c>
      <c r="C8993" t="s" s="2">
        <v>15</v>
      </c>
      <c r="D8993" t="s" s="2">
        <v>16</v>
      </c>
      <c r="E8993" t="s" s="2">
        <v>17</v>
      </c>
      <c r="F8993" t="s" s="2">
        <f>HYPERLINK("http://ts.21cn.com/tousu/show/id/1361999","http://ts.21cn.com/tousu/show/id/1361999")</f>
      </c>
      <c r="G8993" t="s" s="2">
        <v>17</v>
      </c>
      <c r="H8993" t="s" s="2">
        <v>19</v>
      </c>
      <c r="I8993" t="s" s="2">
        <v>34680</v>
      </c>
      <c r="J8993" t="s" s="2">
        <v>34681</v>
      </c>
      <c r="K8993" t="s" s="2">
        <v>22</v>
      </c>
      <c r="L8993" t="s" s="2">
        <v>22</v>
      </c>
      <c r="M8993" t="s" s="2">
        <v>22</v>
      </c>
    </row>
    <row r="8994" ht="25.0" customHeight="true">
      <c r="A8994" t="s" s="2">
        <v>13</v>
      </c>
      <c r="B8994" t="s" s="2">
        <f>HYPERLINK("http://ts.21cn.com/tousu/show/id/1362019","转转坑卖家保证金")</f>
      </c>
      <c r="C8994" t="s" s="2">
        <v>15</v>
      </c>
      <c r="D8994" t="s" s="2">
        <v>16</v>
      </c>
      <c r="E8994" t="s" s="2">
        <v>17</v>
      </c>
      <c r="F8994" t="s" s="2">
        <f>HYPERLINK("http://ts.21cn.com/tousu/show/id/1362019","http://ts.21cn.com/tousu/show/id/1362019")</f>
      </c>
      <c r="G8994" t="s" s="2">
        <v>17</v>
      </c>
      <c r="H8994" t="s" s="2">
        <v>19</v>
      </c>
      <c r="I8994" t="s" s="2">
        <v>34684</v>
      </c>
      <c r="J8994" t="s" s="2">
        <v>34685</v>
      </c>
      <c r="K8994" t="s" s="2">
        <v>22</v>
      </c>
      <c r="L8994" t="s" s="2">
        <v>22</v>
      </c>
      <c r="M8994" t="s" s="2">
        <v>22</v>
      </c>
    </row>
    <row r="8995" ht="25.0" customHeight="true">
      <c r="A8995" t="s" s="2">
        <v>13</v>
      </c>
      <c r="B8995" t="s" s="2">
        <f>HYPERLINK("http://ts.21cn.com/tousu/show/id/1362018","骑行哈啰单车中途突发故障单导致残疾谁来赔偿")</f>
      </c>
      <c r="C8995" t="s" s="2">
        <v>15</v>
      </c>
      <c r="D8995" t="s" s="2">
        <v>16</v>
      </c>
      <c r="E8995" t="s" s="2">
        <v>17</v>
      </c>
      <c r="F8995" t="s" s="2">
        <f>HYPERLINK("http://ts.21cn.com/tousu/show/id/1362018","http://ts.21cn.com/tousu/show/id/1362018")</f>
      </c>
      <c r="G8995" t="s" s="2">
        <v>17</v>
      </c>
      <c r="H8995" t="s" s="2">
        <v>19</v>
      </c>
      <c r="I8995" t="s" s="2">
        <v>34688</v>
      </c>
      <c r="J8995" t="s" s="2">
        <v>34689</v>
      </c>
      <c r="K8995" t="s" s="2">
        <v>22</v>
      </c>
      <c r="L8995" t="s" s="2">
        <v>22</v>
      </c>
      <c r="M8995" t="s" s="2">
        <v>22</v>
      </c>
    </row>
    <row r="8996" ht="25.0" customHeight="true">
      <c r="A8996" t="s" s="2">
        <v>13</v>
      </c>
      <c r="B8996" t="s" s="2">
        <f>HYPERLINK("http://ts.21cn.com/tousu/show/id/1362017","我来贷暴力催收")</f>
      </c>
      <c r="C8996" t="s" s="2">
        <v>15</v>
      </c>
      <c r="D8996" t="s" s="2">
        <v>16</v>
      </c>
      <c r="E8996" t="s" s="2">
        <v>17</v>
      </c>
      <c r="F8996" t="s" s="2">
        <f>HYPERLINK("http://ts.21cn.com/tousu/show/id/1362017","http://ts.21cn.com/tousu/show/id/1362017")</f>
      </c>
      <c r="G8996" t="s" s="2">
        <v>17</v>
      </c>
      <c r="H8996" t="s" s="2">
        <v>19</v>
      </c>
      <c r="I8996" t="s" s="2">
        <v>34691</v>
      </c>
      <c r="J8996" t="s" s="2">
        <v>34692</v>
      </c>
      <c r="K8996" t="s" s="2">
        <v>22</v>
      </c>
      <c r="L8996" t="s" s="2">
        <v>22</v>
      </c>
      <c r="M8996" t="s" s="2">
        <v>22</v>
      </c>
    </row>
    <row r="8997" ht="25.0" customHeight="true">
      <c r="A8997" t="s" s="2">
        <v>13</v>
      </c>
      <c r="B8997" t="s" s="2">
        <f>HYPERLINK("http://ts.21cn.com/tousu/show/id/1362016","新橙优品高利贷")</f>
      </c>
      <c r="C8997" t="s" s="2">
        <v>15</v>
      </c>
      <c r="D8997" t="s" s="2">
        <v>16</v>
      </c>
      <c r="E8997" t="s" s="2">
        <v>17</v>
      </c>
      <c r="F8997" t="s" s="2">
        <f>HYPERLINK("http://ts.21cn.com/tousu/show/id/1362016","http://ts.21cn.com/tousu/show/id/1362016")</f>
      </c>
      <c r="G8997" t="s" s="2">
        <v>17</v>
      </c>
      <c r="H8997" t="s" s="2">
        <v>19</v>
      </c>
      <c r="I8997" t="s" s="2">
        <v>34694</v>
      </c>
      <c r="J8997" t="s" s="2">
        <v>34695</v>
      </c>
      <c r="K8997" t="s" s="2">
        <v>22</v>
      </c>
      <c r="L8997" t="s" s="2">
        <v>22</v>
      </c>
      <c r="M8997" t="s" s="2">
        <v>22</v>
      </c>
    </row>
    <row r="8998" ht="25.0" customHeight="true">
      <c r="A8998" t="s" s="2">
        <v>13</v>
      </c>
      <c r="B8998" t="s" s="2">
        <f>HYPERLINK("http://ts.21cn.com/tousu/show/id/1362014","人人车拍卖平台人人快卖不退保证金")</f>
      </c>
      <c r="C8998" t="s" s="2">
        <v>15</v>
      </c>
      <c r="D8998" t="s" s="2">
        <v>16</v>
      </c>
      <c r="E8998" t="s" s="2">
        <v>17</v>
      </c>
      <c r="F8998" t="s" s="2">
        <f>HYPERLINK("http://ts.21cn.com/tousu/show/id/1362014","http://ts.21cn.com/tousu/show/id/1362014")</f>
      </c>
      <c r="G8998" t="s" s="2">
        <v>17</v>
      </c>
      <c r="H8998" t="s" s="2">
        <v>19</v>
      </c>
      <c r="I8998" t="s" s="2">
        <v>34698</v>
      </c>
      <c r="J8998" t="s" s="2">
        <v>34699</v>
      </c>
      <c r="K8998" t="s" s="2">
        <v>22</v>
      </c>
      <c r="L8998" t="s" s="2">
        <v>22</v>
      </c>
      <c r="M8998" t="s" s="2">
        <v>22</v>
      </c>
    </row>
    <row r="8999" ht="25.0" customHeight="true">
      <c r="A8999" t="s" s="2">
        <v>13</v>
      </c>
      <c r="B8999" t="s" s="2">
        <f>HYPERLINK("http://ts.21cn.com/tousu/show/id/1362011","投诉广州市汇聚支付电子科技有限公司违规违法给博彩平台提供充值通道")</f>
      </c>
      <c r="C8999" t="s" s="2">
        <v>15</v>
      </c>
      <c r="D8999" t="s" s="2">
        <v>16</v>
      </c>
      <c r="E8999" t="s" s="2">
        <v>17</v>
      </c>
      <c r="F8999" t="s" s="2">
        <f>HYPERLINK("http://ts.21cn.com/tousu/show/id/1362011","http://ts.21cn.com/tousu/show/id/1362011")</f>
      </c>
      <c r="G8999" t="s" s="2">
        <v>17</v>
      </c>
      <c r="H8999" t="s" s="2">
        <v>19</v>
      </c>
      <c r="I8999" t="s" s="2">
        <v>34702</v>
      </c>
      <c r="J8999" t="s" s="2">
        <v>34703</v>
      </c>
      <c r="K8999" t="s" s="2">
        <v>22</v>
      </c>
      <c r="L8999" t="s" s="2">
        <v>22</v>
      </c>
      <c r="M8999" t="s" s="2">
        <v>22</v>
      </c>
    </row>
    <row r="9000" ht="25.0" customHeight="true">
      <c r="A9000" t="s" s="2">
        <v>13</v>
      </c>
      <c r="B9000" t="s" s="2">
        <f>HYPERLINK("http://ts.21cn.com/tousu/show/id/1362010","恶性催收，威胁，")</f>
      </c>
      <c r="C9000" t="s" s="2">
        <v>15</v>
      </c>
      <c r="D9000" t="s" s="2">
        <v>16</v>
      </c>
      <c r="E9000" t="s" s="2">
        <v>17</v>
      </c>
      <c r="F9000" t="s" s="2">
        <f>HYPERLINK("http://ts.21cn.com/tousu/show/id/1362010","http://ts.21cn.com/tousu/show/id/1362010")</f>
      </c>
      <c r="G9000" t="s" s="2">
        <v>17</v>
      </c>
      <c r="H9000" t="s" s="2">
        <v>19</v>
      </c>
      <c r="I9000" t="s" s="2">
        <v>34706</v>
      </c>
      <c r="J9000" t="s" s="2">
        <v>34707</v>
      </c>
      <c r="K9000" t="s" s="2">
        <v>22</v>
      </c>
      <c r="L9000" t="s" s="2">
        <v>22</v>
      </c>
      <c r="M9000" t="s" s="2">
        <v>22</v>
      </c>
    </row>
    <row r="9001" ht="25.0" customHeight="true">
      <c r="A9001" t="s" s="2">
        <v>13</v>
      </c>
      <c r="B9001" t="s" s="2">
        <f>HYPERLINK("http://ts.21cn.com/tousu/show/id/1362007","豹子贷无故扣钱不需要还要扣")</f>
      </c>
      <c r="C9001" t="s" s="2">
        <v>15</v>
      </c>
      <c r="D9001" t="s" s="2">
        <v>16</v>
      </c>
      <c r="E9001" t="s" s="2">
        <v>17</v>
      </c>
      <c r="F9001" t="s" s="2">
        <f>HYPERLINK("http://ts.21cn.com/tousu/show/id/1362007","http://ts.21cn.com/tousu/show/id/1362007")</f>
      </c>
      <c r="G9001" t="s" s="2">
        <v>17</v>
      </c>
      <c r="H9001" t="s" s="2">
        <v>19</v>
      </c>
      <c r="I9001" t="s" s="2">
        <v>34709</v>
      </c>
      <c r="J9001" t="s" s="2">
        <v>34710</v>
      </c>
      <c r="K9001" t="s" s="2">
        <v>22</v>
      </c>
      <c r="L9001" t="s" s="2">
        <v>22</v>
      </c>
      <c r="M9001" t="s" s="2">
        <v>22</v>
      </c>
    </row>
    <row r="9002" ht="25.0" customHeight="true">
      <c r="A9002" t="s" s="2">
        <v>13</v>
      </c>
      <c r="B9002" t="s" s="2">
        <f>HYPERLINK("http://ts.21cn.com/tousu/show/id/1362008","骚扰朋友家人")</f>
      </c>
      <c r="C9002" t="s" s="2">
        <v>15</v>
      </c>
      <c r="D9002" t="s" s="2">
        <v>16</v>
      </c>
      <c r="E9002" t="s" s="2">
        <v>17</v>
      </c>
      <c r="F9002" t="s" s="2">
        <f>HYPERLINK("http://ts.21cn.com/tousu/show/id/1362008","http://ts.21cn.com/tousu/show/id/1362008")</f>
      </c>
      <c r="G9002" t="s" s="2">
        <v>17</v>
      </c>
      <c r="H9002" t="s" s="2">
        <v>19</v>
      </c>
      <c r="I9002" t="s" s="2">
        <v>34709</v>
      </c>
      <c r="J9002" t="s" s="2">
        <v>34713</v>
      </c>
      <c r="K9002" t="s" s="2">
        <v>22</v>
      </c>
      <c r="L9002" t="s" s="2">
        <v>22</v>
      </c>
      <c r="M9002" t="s" s="2">
        <v>22</v>
      </c>
    </row>
    <row r="9003" ht="25.0" customHeight="true">
      <c r="A9003" t="s" s="2">
        <v>13</v>
      </c>
      <c r="B9003" t="s" s="2">
        <f>HYPERLINK("http://ts.21cn.com/tousu/show/id/1362005","我来贷10.45以后无法还款")</f>
      </c>
      <c r="C9003" t="s" s="2">
        <v>52</v>
      </c>
      <c r="D9003" t="s" s="2">
        <v>16</v>
      </c>
      <c r="E9003" t="s" s="2">
        <v>17</v>
      </c>
      <c r="F9003" t="s" s="2">
        <f>HYPERLINK("http://ts.21cn.com/tousu/show/id/1362005","http://ts.21cn.com/tousu/show/id/1362005")</f>
      </c>
      <c r="G9003" t="s" s="2">
        <v>17</v>
      </c>
      <c r="H9003" t="s" s="2">
        <v>19</v>
      </c>
      <c r="I9003" t="s" s="2">
        <v>34716</v>
      </c>
      <c r="J9003" t="s" s="2">
        <v>34717</v>
      </c>
      <c r="K9003" t="s" s="2">
        <v>22</v>
      </c>
      <c r="L9003" t="s" s="2">
        <v>22</v>
      </c>
      <c r="M9003" t="s" s="2">
        <v>22</v>
      </c>
    </row>
    <row r="9004" ht="25.0" customHeight="true">
      <c r="A9004" t="s" s="2">
        <v>13</v>
      </c>
      <c r="B9004" t="s" s="2">
        <f>HYPERLINK("http://ts.21cn.com/tousu/show/id/1362004","钱站借6000还12000调整率率还款")</f>
      </c>
      <c r="C9004" t="s" s="2">
        <v>15</v>
      </c>
      <c r="D9004" t="s" s="2">
        <v>16</v>
      </c>
      <c r="E9004" t="s" s="2">
        <v>17</v>
      </c>
      <c r="F9004" t="s" s="2">
        <f>HYPERLINK("http://ts.21cn.com/tousu/show/id/1362004","http://ts.21cn.com/tousu/show/id/1362004")</f>
      </c>
      <c r="G9004" t="s" s="2">
        <v>17</v>
      </c>
      <c r="H9004" t="s" s="2">
        <v>19</v>
      </c>
      <c r="I9004" t="s" s="2">
        <v>34720</v>
      </c>
      <c r="J9004" t="s" s="2">
        <v>34721</v>
      </c>
      <c r="K9004" t="s" s="2">
        <v>22</v>
      </c>
      <c r="L9004" t="s" s="2">
        <v>22</v>
      </c>
      <c r="M9004" t="s" s="2">
        <v>22</v>
      </c>
    </row>
    <row r="9005" ht="25.0" customHeight="true">
      <c r="A9005" t="s" s="2">
        <v>13</v>
      </c>
      <c r="B9005" t="s" s="2">
        <f>HYPERLINK("http://ts.21cn.com/tousu/show/id/1362002","诱导未成年儿童充值游戏")</f>
      </c>
      <c r="C9005" t="s" s="2">
        <v>15</v>
      </c>
      <c r="D9005" t="s" s="2">
        <v>16</v>
      </c>
      <c r="E9005" t="s" s="2">
        <v>17</v>
      </c>
      <c r="F9005" t="s" s="2">
        <f>HYPERLINK("http://ts.21cn.com/tousu/show/id/1362002","http://ts.21cn.com/tousu/show/id/1362002")</f>
      </c>
      <c r="G9005" t="s" s="2">
        <v>17</v>
      </c>
      <c r="H9005" t="s" s="2">
        <v>19</v>
      </c>
      <c r="I9005" t="s" s="2">
        <v>34724</v>
      </c>
      <c r="J9005" t="s" s="2">
        <v>34725</v>
      </c>
      <c r="K9005" t="s" s="2">
        <v>22</v>
      </c>
      <c r="L9005" t="s" s="2">
        <v>22</v>
      </c>
      <c r="M9005" t="s" s="2">
        <v>22</v>
      </c>
    </row>
    <row r="9006" ht="25.0" customHeight="true">
      <c r="A9006" t="s" s="2">
        <v>13</v>
      </c>
      <c r="B9006" t="s" s="2">
        <f>HYPERLINK("http://ts.21cn.com/tousu/show/id/1362001","黑心丰田汽车4S店恶劣欺诈消费者")</f>
      </c>
      <c r="C9006" t="s" s="2">
        <v>15</v>
      </c>
      <c r="D9006" t="s" s="2">
        <v>16</v>
      </c>
      <c r="E9006" t="s" s="2">
        <v>17</v>
      </c>
      <c r="F9006" t="s" s="2">
        <f>HYPERLINK("http://ts.21cn.com/tousu/show/id/1362001","http://ts.21cn.com/tousu/show/id/1362001")</f>
      </c>
      <c r="G9006" t="s" s="2">
        <v>17</v>
      </c>
      <c r="H9006" t="s" s="2">
        <v>19</v>
      </c>
      <c r="I9006" t="s" s="2">
        <v>34728</v>
      </c>
      <c r="J9006" t="s" s="2">
        <v>34729</v>
      </c>
      <c r="K9006" t="s" s="2">
        <v>22</v>
      </c>
      <c r="L9006" t="s" s="2">
        <v>22</v>
      </c>
      <c r="M9006" t="s" s="2">
        <v>22</v>
      </c>
    </row>
    <row r="9007" ht="25.0" customHeight="true">
      <c r="A9007" t="s" s="2">
        <v>13</v>
      </c>
      <c r="B9007" t="s" s="2">
        <f>HYPERLINK("http://ts.21cn.com/tousu/show/id/1361998","前海锐步商业保理（深圳）有限公司虚假贷款，以开通会员、账户异常为由套取费用不放款。")</f>
      </c>
      <c r="C9007" t="s" s="2">
        <v>15</v>
      </c>
      <c r="D9007" t="s" s="2">
        <v>16</v>
      </c>
      <c r="E9007" t="s" s="2">
        <v>17</v>
      </c>
      <c r="F9007" t="s" s="2">
        <f>HYPERLINK("http://ts.21cn.com/tousu/show/id/1361998","http://ts.21cn.com/tousu/show/id/1361998")</f>
      </c>
      <c r="G9007" t="s" s="2">
        <v>17</v>
      </c>
      <c r="H9007" t="s" s="2">
        <v>19</v>
      </c>
      <c r="I9007" t="s" s="2">
        <v>34731</v>
      </c>
      <c r="J9007" t="s" s="2">
        <v>34732</v>
      </c>
      <c r="K9007" t="s" s="2">
        <v>22</v>
      </c>
      <c r="L9007" t="s" s="2">
        <v>22</v>
      </c>
      <c r="M9007" t="s" s="2">
        <v>22</v>
      </c>
    </row>
    <row r="9008" ht="25.0" customHeight="true">
      <c r="A9008" t="s" s="2">
        <v>13</v>
      </c>
      <c r="B9008" t="s" s="2">
        <f>HYPERLINK("http://ts.21cn.com/tousu/show/id/1361993","及贷存在砍头息，催收人员威胁暴力催收")</f>
      </c>
      <c r="C9008" t="s" s="2">
        <v>15</v>
      </c>
      <c r="D9008" t="s" s="2">
        <v>16</v>
      </c>
      <c r="E9008" t="s" s="2">
        <v>17</v>
      </c>
      <c r="F9008" t="s" s="2">
        <f>HYPERLINK("http://ts.21cn.com/tousu/show/id/1361993","http://ts.21cn.com/tousu/show/id/1361993")</f>
      </c>
      <c r="G9008" t="s" s="2">
        <v>17</v>
      </c>
      <c r="H9008" t="s" s="2">
        <v>19</v>
      </c>
      <c r="I9008" t="s" s="2">
        <v>34735</v>
      </c>
      <c r="J9008" t="s" s="2">
        <v>34736</v>
      </c>
      <c r="K9008" t="s" s="2">
        <v>22</v>
      </c>
      <c r="L9008" t="s" s="2">
        <v>22</v>
      </c>
      <c r="M9008" t="s" s="2">
        <v>22</v>
      </c>
    </row>
    <row r="9009" ht="25.0" customHeight="true">
      <c r="A9009" t="s" s="2">
        <v>13</v>
      </c>
      <c r="B9009" t="s" s="2">
        <f>HYPERLINK("http://ts.21cn.com/tousu/show/id/1361971","北京友缘在线旗下处处app未经同意不知道通过什么手段开启了免密支付导致被扣费用存在严重欺诈行为")</f>
      </c>
      <c r="C9009" t="s" s="2">
        <v>15</v>
      </c>
      <c r="D9009" t="s" s="2">
        <v>16</v>
      </c>
      <c r="E9009" t="s" s="2">
        <v>17</v>
      </c>
      <c r="F9009" t="s" s="2">
        <f>HYPERLINK("http://ts.21cn.com/tousu/show/id/1361971","http://ts.21cn.com/tousu/show/id/1361971")</f>
      </c>
      <c r="G9009" t="s" s="2">
        <v>17</v>
      </c>
      <c r="H9009" t="s" s="2">
        <v>19</v>
      </c>
      <c r="I9009" t="s" s="2">
        <v>34739</v>
      </c>
      <c r="J9009" t="s" s="2">
        <v>34740</v>
      </c>
      <c r="K9009" t="s" s="2">
        <v>22</v>
      </c>
      <c r="L9009" t="s" s="2">
        <v>22</v>
      </c>
      <c r="M9009" t="s" s="2">
        <v>22</v>
      </c>
    </row>
    <row r="9010" ht="25.0" customHeight="true">
      <c r="A9010" t="s" s="2">
        <v>13</v>
      </c>
      <c r="B9010" t="s" s="2">
        <f>HYPERLINK("http://ts.21cn.com/tousu/show/id/1361982","百事普惠恶意扣款")</f>
      </c>
      <c r="C9010" t="s" s="2">
        <v>15</v>
      </c>
      <c r="D9010" t="s" s="2">
        <v>16</v>
      </c>
      <c r="E9010" t="s" s="2">
        <v>17</v>
      </c>
      <c r="F9010" t="s" s="2">
        <f>HYPERLINK("http://ts.21cn.com/tousu/show/id/1361982","http://ts.21cn.com/tousu/show/id/1361982")</f>
      </c>
      <c r="G9010" t="s" s="2">
        <v>17</v>
      </c>
      <c r="H9010" t="s" s="2">
        <v>19</v>
      </c>
      <c r="I9010" t="s" s="2">
        <v>34742</v>
      </c>
      <c r="J9010" t="s" s="2">
        <v>34743</v>
      </c>
      <c r="K9010" t="s" s="2">
        <v>22</v>
      </c>
      <c r="L9010" t="s" s="2">
        <v>22</v>
      </c>
      <c r="M9010" t="s" s="2">
        <v>22</v>
      </c>
    </row>
    <row r="9011" ht="25.0" customHeight="true">
      <c r="A9011" t="s" s="2">
        <v>13</v>
      </c>
      <c r="B9011" t="s" s="2">
        <f>HYPERLINK("http://ts.21cn.com/tousu/show/id/1361965","云闪付，中国正规清算机构为违法软件提供转账渠道")</f>
      </c>
      <c r="C9011" t="s" s="2">
        <v>15</v>
      </c>
      <c r="D9011" t="s" s="2">
        <v>16</v>
      </c>
      <c r="E9011" t="s" s="2">
        <v>17</v>
      </c>
      <c r="F9011" t="s" s="2">
        <f>HYPERLINK("http://ts.21cn.com/tousu/show/id/1361965","http://ts.21cn.com/tousu/show/id/1361965")</f>
      </c>
      <c r="G9011" t="s" s="2">
        <v>17</v>
      </c>
      <c r="H9011" t="s" s="2">
        <v>19</v>
      </c>
      <c r="I9011" t="s" s="2">
        <v>34745</v>
      </c>
      <c r="J9011" t="s" s="2">
        <v>34746</v>
      </c>
      <c r="K9011" t="s" s="2">
        <v>22</v>
      </c>
      <c r="L9011" t="s" s="2">
        <v>22</v>
      </c>
      <c r="M9011" t="s" s="2">
        <v>22</v>
      </c>
    </row>
    <row r="9012" ht="25.0" customHeight="true">
      <c r="A9012" t="s" s="2">
        <v>13</v>
      </c>
      <c r="B9012" t="s" s="2">
        <f>HYPERLINK("http://ts.21cn.com/tousu/show/id/1361917","我在凡普金科（凡普金科集团有限公司）小贷公司贷款8万，凡普金科3年收取了我高达57000元的高额利息")</f>
      </c>
      <c r="C9012" t="s" s="2">
        <v>15</v>
      </c>
      <c r="D9012" t="s" s="2">
        <v>16</v>
      </c>
      <c r="E9012" t="s" s="2">
        <v>17</v>
      </c>
      <c r="F9012" t="s" s="2">
        <f>HYPERLINK("http://ts.21cn.com/tousu/show/id/1361917","http://ts.21cn.com/tousu/show/id/1361917")</f>
      </c>
      <c r="G9012" t="s" s="2">
        <v>17</v>
      </c>
      <c r="H9012" t="s" s="2">
        <v>19</v>
      </c>
      <c r="I9012" t="s" s="2">
        <v>34749</v>
      </c>
      <c r="J9012" t="s" s="2">
        <v>34750</v>
      </c>
      <c r="K9012" t="s" s="2">
        <v>22</v>
      </c>
      <c r="L9012" t="s" s="2">
        <v>22</v>
      </c>
      <c r="M9012" t="s" s="2">
        <v>22</v>
      </c>
    </row>
    <row r="9013" ht="25.0" customHeight="true">
      <c r="A9013" t="s" s="2">
        <v>13</v>
      </c>
      <c r="B9013" t="s" s="2">
        <f>HYPERLINK("http://ts.21cn.com/tousu/show/id/1361939","关于微信同城艺龙买退车票")</f>
      </c>
      <c r="C9013" t="s" s="2">
        <v>52</v>
      </c>
      <c r="D9013" t="s" s="2">
        <v>16</v>
      </c>
      <c r="E9013" t="s" s="2">
        <v>17</v>
      </c>
      <c r="F9013" t="s" s="2">
        <f>HYPERLINK("http://ts.21cn.com/tousu/show/id/1361939","http://ts.21cn.com/tousu/show/id/1361939")</f>
      </c>
      <c r="G9013" t="s" s="2">
        <v>17</v>
      </c>
      <c r="H9013" t="s" s="2">
        <v>19</v>
      </c>
      <c r="I9013" t="s" s="2">
        <v>34753</v>
      </c>
      <c r="J9013" t="s" s="2">
        <v>34754</v>
      </c>
      <c r="K9013" t="s" s="2">
        <v>22</v>
      </c>
      <c r="L9013" t="s" s="2">
        <v>22</v>
      </c>
      <c r="M9013" t="s" s="2">
        <v>22</v>
      </c>
    </row>
    <row r="9014" ht="25.0" customHeight="true">
      <c r="A9014" t="s" s="2">
        <v>13</v>
      </c>
      <c r="B9014" t="s" s="2">
        <f>HYPERLINK("http://ts.21cn.com/tousu/show/id/1361928","360借条提前还款也需要把剩下几期利息全部还上")</f>
      </c>
      <c r="C9014" t="s" s="2">
        <v>15</v>
      </c>
      <c r="D9014" t="s" s="2">
        <v>16</v>
      </c>
      <c r="E9014" t="s" s="2">
        <v>17</v>
      </c>
      <c r="F9014" t="s" s="2">
        <f>HYPERLINK("http://ts.21cn.com/tousu/show/id/1361928","http://ts.21cn.com/tousu/show/id/1361928")</f>
      </c>
      <c r="G9014" t="s" s="2">
        <v>17</v>
      </c>
      <c r="H9014" t="s" s="2">
        <v>19</v>
      </c>
      <c r="I9014" t="s" s="2">
        <v>34757</v>
      </c>
      <c r="J9014" t="s" s="2">
        <v>34758</v>
      </c>
      <c r="K9014" t="s" s="2">
        <v>22</v>
      </c>
      <c r="L9014" t="s" s="2">
        <v>22</v>
      </c>
      <c r="M9014" t="s" s="2">
        <v>22</v>
      </c>
    </row>
    <row r="9015" ht="25.0" customHeight="true">
      <c r="A9015" t="s" s="2">
        <v>13</v>
      </c>
      <c r="B9015" t="s" s="2">
        <f>HYPERLINK("http://ts.21cn.com/tousu/show/id/1361906","要求百度有钱花减掉罚息和高利息")</f>
      </c>
      <c r="C9015" t="s" s="2">
        <v>15</v>
      </c>
      <c r="D9015" t="s" s="2">
        <v>16</v>
      </c>
      <c r="E9015" t="s" s="2">
        <v>17</v>
      </c>
      <c r="F9015" t="s" s="2">
        <f>HYPERLINK("http://ts.21cn.com/tousu/show/id/1361906","http://ts.21cn.com/tousu/show/id/1361906")</f>
      </c>
      <c r="G9015" t="s" s="2">
        <v>17</v>
      </c>
      <c r="H9015" t="s" s="2">
        <v>19</v>
      </c>
      <c r="I9015" t="s" s="2">
        <v>34761</v>
      </c>
      <c r="J9015" t="s" s="2">
        <v>34762</v>
      </c>
      <c r="K9015" t="s" s="2">
        <v>22</v>
      </c>
      <c r="L9015" t="s" s="2">
        <v>22</v>
      </c>
      <c r="M9015" t="s" s="2">
        <v>22</v>
      </c>
    </row>
    <row r="9016" ht="25.0" customHeight="true">
      <c r="A9016" t="s" s="2">
        <v>13</v>
      </c>
      <c r="B9016" t="s" s="2">
        <f>HYPERLINK("http://ts.21cn.com/tousu/show/id/1361894","欺诈消费者，恶意扣款")</f>
      </c>
      <c r="C9016" t="s" s="2">
        <v>15</v>
      </c>
      <c r="D9016" t="s" s="2">
        <v>16</v>
      </c>
      <c r="E9016" t="s" s="2">
        <v>17</v>
      </c>
      <c r="F9016" t="s" s="2">
        <f>HYPERLINK("http://ts.21cn.com/tousu/show/id/1361894","http://ts.21cn.com/tousu/show/id/1361894")</f>
      </c>
      <c r="G9016" t="s" s="2">
        <v>17</v>
      </c>
      <c r="H9016" t="s" s="2">
        <v>19</v>
      </c>
      <c r="I9016" t="s" s="2">
        <v>34765</v>
      </c>
      <c r="J9016" t="s" s="2">
        <v>34766</v>
      </c>
      <c r="K9016" t="s" s="2">
        <v>22</v>
      </c>
      <c r="L9016" t="s" s="2">
        <v>22</v>
      </c>
      <c r="M9016" t="s" s="2">
        <v>22</v>
      </c>
    </row>
    <row r="9017" ht="25.0" customHeight="true">
      <c r="A9017" t="s" s="2">
        <v>13</v>
      </c>
      <c r="B9017" t="s" s="2">
        <f>HYPERLINK("http://ts.21cn.com/tousu/show/id/1361883","支付功能关闭")</f>
      </c>
      <c r="C9017" t="s" s="2">
        <v>52</v>
      </c>
      <c r="D9017" t="s" s="2">
        <v>16</v>
      </c>
      <c r="E9017" t="s" s="2">
        <v>17</v>
      </c>
      <c r="F9017" t="s" s="2">
        <f>HYPERLINK("http://ts.21cn.com/tousu/show/id/1361883","http://ts.21cn.com/tousu/show/id/1361883")</f>
      </c>
      <c r="G9017" t="s" s="2">
        <v>17</v>
      </c>
      <c r="H9017" t="s" s="2">
        <v>19</v>
      </c>
      <c r="I9017" t="s" s="2">
        <v>34769</v>
      </c>
      <c r="J9017" t="s" s="2">
        <v>34770</v>
      </c>
      <c r="K9017" t="s" s="2">
        <v>22</v>
      </c>
      <c r="L9017" t="s" s="2">
        <v>22</v>
      </c>
      <c r="M9017" t="s" s="2">
        <v>22</v>
      </c>
    </row>
    <row r="9018" ht="25.0" customHeight="true">
      <c r="A9018" t="s" s="2">
        <v>13</v>
      </c>
      <c r="B9018" t="s" s="2">
        <f>HYPERLINK("http://ts.21cn.com/tousu/show/id/1361872","升学教育退学学费难")</f>
      </c>
      <c r="C9018" t="s" s="2">
        <v>15</v>
      </c>
      <c r="D9018" t="s" s="2">
        <v>16</v>
      </c>
      <c r="E9018" t="s" s="2">
        <v>17</v>
      </c>
      <c r="F9018" t="s" s="2">
        <f>HYPERLINK("http://ts.21cn.com/tousu/show/id/1361872","http://ts.21cn.com/tousu/show/id/1361872")</f>
      </c>
      <c r="G9018" t="s" s="2">
        <v>17</v>
      </c>
      <c r="H9018" t="s" s="2">
        <v>19</v>
      </c>
      <c r="I9018" t="s" s="2">
        <v>34773</v>
      </c>
      <c r="J9018" t="s" s="2">
        <v>34774</v>
      </c>
      <c r="K9018" t="s" s="2">
        <v>22</v>
      </c>
      <c r="L9018" t="s" s="2">
        <v>22</v>
      </c>
      <c r="M9018" t="s" s="2">
        <v>22</v>
      </c>
    </row>
    <row r="9019" ht="25.0" customHeight="true">
      <c r="A9019" t="s" s="2">
        <v>13</v>
      </c>
      <c r="B9019" t="s" s="2">
        <f>HYPERLINK("http://ts.21cn.com/tousu/show/id/1361869","爱农驿站为境外赌博网站提供支付通道")</f>
      </c>
      <c r="C9019" t="s" s="2">
        <v>15</v>
      </c>
      <c r="D9019" t="s" s="2">
        <v>16</v>
      </c>
      <c r="E9019" t="s" s="2">
        <v>17</v>
      </c>
      <c r="F9019" t="s" s="2">
        <f>HYPERLINK("http://ts.21cn.com/tousu/show/id/1361869","http://ts.21cn.com/tousu/show/id/1361869")</f>
      </c>
      <c r="G9019" t="s" s="2">
        <v>17</v>
      </c>
      <c r="H9019" t="s" s="2">
        <v>19</v>
      </c>
      <c r="I9019" t="s" s="2">
        <v>34776</v>
      </c>
      <c r="J9019" t="s" s="2">
        <v>34777</v>
      </c>
      <c r="K9019" t="s" s="2">
        <v>22</v>
      </c>
      <c r="L9019" t="s" s="2">
        <v>22</v>
      </c>
      <c r="M9019" t="s" s="2">
        <v>22</v>
      </c>
    </row>
    <row r="9020" ht="25.0" customHeight="true">
      <c r="A9020" t="s" s="2">
        <v>13</v>
      </c>
      <c r="B9020" t="s" s="2">
        <f>HYPERLINK("http://ts.21cn.com/tousu/show/id/1361861","保障消费者合法权益")</f>
      </c>
      <c r="C9020" t="s" s="2">
        <v>15</v>
      </c>
      <c r="D9020" t="s" s="2">
        <v>16</v>
      </c>
      <c r="E9020" t="s" s="2">
        <v>17</v>
      </c>
      <c r="F9020" t="s" s="2">
        <f>HYPERLINK("http://ts.21cn.com/tousu/show/id/1361861","http://ts.21cn.com/tousu/show/id/1361861")</f>
      </c>
      <c r="G9020" t="s" s="2">
        <v>17</v>
      </c>
      <c r="H9020" t="s" s="2">
        <v>19</v>
      </c>
      <c r="I9020" t="s" s="2">
        <v>34780</v>
      </c>
      <c r="J9020" t="s" s="2">
        <v>34781</v>
      </c>
      <c r="K9020" t="s" s="2">
        <v>22</v>
      </c>
      <c r="L9020" t="s" s="2">
        <v>22</v>
      </c>
      <c r="M9020" t="s" s="2">
        <v>22</v>
      </c>
    </row>
    <row r="9021" ht="25.0" customHeight="true">
      <c r="A9021" t="s" s="2">
        <v>13</v>
      </c>
      <c r="B9021" t="s" s="2">
        <f>HYPERLINK("http://ts.21cn.com/tousu/show/id/1361850","厦门快乐时代科技有限公司")</f>
      </c>
      <c r="C9021" t="s" s="2">
        <v>15</v>
      </c>
      <c r="D9021" t="s" s="2">
        <v>16</v>
      </c>
      <c r="E9021" t="s" s="2">
        <v>17</v>
      </c>
      <c r="F9021" t="s" s="2">
        <f>HYPERLINK("http://ts.21cn.com/tousu/show/id/1361850","http://ts.21cn.com/tousu/show/id/1361850")</f>
      </c>
      <c r="G9021" t="s" s="2">
        <v>17</v>
      </c>
      <c r="H9021" t="s" s="2">
        <v>19</v>
      </c>
      <c r="I9021" t="s" s="2">
        <v>34784</v>
      </c>
      <c r="J9021" t="s" s="2">
        <v>34785</v>
      </c>
      <c r="K9021" t="s" s="2">
        <v>22</v>
      </c>
      <c r="L9021" t="s" s="2">
        <v>22</v>
      </c>
      <c r="M9021" t="s" s="2">
        <v>22</v>
      </c>
    </row>
    <row r="9022" ht="25.0" customHeight="true">
      <c r="A9022" t="s" s="2">
        <v>13</v>
      </c>
      <c r="B9022" t="s" s="2">
        <f>HYPERLINK("http://ts.21cn.com/tousu/show/id/1361829","不知情扣款")</f>
      </c>
      <c r="C9022" t="s" s="2">
        <v>15</v>
      </c>
      <c r="D9022" t="s" s="2">
        <v>16</v>
      </c>
      <c r="E9022" t="s" s="2">
        <v>17</v>
      </c>
      <c r="F9022" t="s" s="2">
        <f>HYPERLINK("http://ts.21cn.com/tousu/show/id/1361829","http://ts.21cn.com/tousu/show/id/1361829")</f>
      </c>
      <c r="G9022" t="s" s="2">
        <v>17</v>
      </c>
      <c r="H9022" t="s" s="2">
        <v>19</v>
      </c>
      <c r="I9022" t="s" s="2">
        <v>34788</v>
      </c>
      <c r="J9022" t="s" s="2">
        <v>34789</v>
      </c>
      <c r="K9022" t="s" s="2">
        <v>22</v>
      </c>
      <c r="L9022" t="s" s="2">
        <v>22</v>
      </c>
      <c r="M9022" t="s" s="2">
        <v>22</v>
      </c>
    </row>
    <row r="9023" ht="25.0" customHeight="true">
      <c r="A9023" t="s" s="2">
        <v>13</v>
      </c>
      <c r="B9023" t="s" s="2">
        <f>HYPERLINK("http://ts.21cn.com/tousu/show/id/1361818","享换机暴力催收")</f>
      </c>
      <c r="C9023" t="s" s="2">
        <v>15</v>
      </c>
      <c r="D9023" t="s" s="2">
        <v>16</v>
      </c>
      <c r="E9023" t="s" s="2">
        <v>17</v>
      </c>
      <c r="F9023" t="s" s="2">
        <f>HYPERLINK("http://ts.21cn.com/tousu/show/id/1361818","http://ts.21cn.com/tousu/show/id/1361818")</f>
      </c>
      <c r="G9023" t="s" s="2">
        <v>17</v>
      </c>
      <c r="H9023" t="s" s="2">
        <v>19</v>
      </c>
      <c r="I9023" t="s" s="2">
        <v>34792</v>
      </c>
      <c r="J9023" t="s" s="2">
        <v>34793</v>
      </c>
      <c r="K9023" t="s" s="2">
        <v>22</v>
      </c>
      <c r="L9023" t="s" s="2">
        <v>22</v>
      </c>
      <c r="M9023" t="s" s="2">
        <v>22</v>
      </c>
    </row>
    <row r="9024" ht="25.0" customHeight="true">
      <c r="A9024" t="s" s="2">
        <v>13</v>
      </c>
      <c r="B9024" t="s" s="2">
        <f>HYPERLINK("http://ts.21cn.com/tousu/show/id/1361811","要求平安银行，北京爱农，天津融宝支付，易通支付，全额退款")</f>
      </c>
      <c r="C9024" t="s" s="2">
        <v>52</v>
      </c>
      <c r="D9024" t="s" s="2">
        <v>16</v>
      </c>
      <c r="E9024" t="s" s="2">
        <v>17</v>
      </c>
      <c r="F9024" t="s" s="2">
        <f>HYPERLINK("http://ts.21cn.com/tousu/show/id/1361811","http://ts.21cn.com/tousu/show/id/1361811")</f>
      </c>
      <c r="G9024" t="s" s="2">
        <v>17</v>
      </c>
      <c r="H9024" t="s" s="2">
        <v>19</v>
      </c>
      <c r="I9024" t="s" s="2">
        <v>34796</v>
      </c>
      <c r="J9024" t="s" s="2">
        <v>34797</v>
      </c>
      <c r="K9024" t="s" s="2">
        <v>22</v>
      </c>
      <c r="L9024" t="s" s="2">
        <v>22</v>
      </c>
      <c r="M9024" t="s" s="2">
        <v>22</v>
      </c>
    </row>
    <row r="9025" ht="25.0" customHeight="true">
      <c r="A9025" t="s" s="2">
        <v>13</v>
      </c>
      <c r="B9025" t="s" s="2">
        <f>HYPERLINK("http://ts.21cn.com/tousu/show/id/1361807","小赢卡贷高利贷")</f>
      </c>
      <c r="C9025" t="s" s="2">
        <v>15</v>
      </c>
      <c r="D9025" t="s" s="2">
        <v>16</v>
      </c>
      <c r="E9025" t="s" s="2">
        <v>17</v>
      </c>
      <c r="F9025" t="s" s="2">
        <f>HYPERLINK("http://ts.21cn.com/tousu/show/id/1361807","http://ts.21cn.com/tousu/show/id/1361807")</f>
      </c>
      <c r="G9025" t="s" s="2">
        <v>17</v>
      </c>
      <c r="H9025" t="s" s="2">
        <v>19</v>
      </c>
      <c r="I9025" t="s" s="2">
        <v>34799</v>
      </c>
      <c r="J9025" t="s" s="2">
        <v>34800</v>
      </c>
      <c r="K9025" t="s" s="2">
        <v>22</v>
      </c>
      <c r="L9025" t="s" s="2">
        <v>22</v>
      </c>
      <c r="M9025" t="s" s="2">
        <v>22</v>
      </c>
    </row>
    <row r="9026" ht="25.0" customHeight="true">
      <c r="A9026" t="s" s="2">
        <v>13</v>
      </c>
      <c r="B9026" t="s" s="2">
        <f>HYPERLINK("http://ts.21cn.com/tousu/show/id/1361795","捷信金融平台工作人员态度极其差")</f>
      </c>
      <c r="C9026" t="s" s="2">
        <v>15</v>
      </c>
      <c r="D9026" t="s" s="2">
        <v>16</v>
      </c>
      <c r="E9026" t="s" s="2">
        <v>17</v>
      </c>
      <c r="F9026" t="s" s="2">
        <f>HYPERLINK("http://ts.21cn.com/tousu/show/id/1361795","http://ts.21cn.com/tousu/show/id/1361795")</f>
      </c>
      <c r="G9026" t="s" s="2">
        <v>17</v>
      </c>
      <c r="H9026" t="s" s="2">
        <v>19</v>
      </c>
      <c r="I9026" t="s" s="2">
        <v>34803</v>
      </c>
      <c r="J9026" t="s" s="2">
        <v>34804</v>
      </c>
      <c r="K9026" t="s" s="2">
        <v>22</v>
      </c>
      <c r="L9026" t="s" s="2">
        <v>22</v>
      </c>
      <c r="M9026" t="s" s="2">
        <v>22</v>
      </c>
    </row>
    <row r="9027" ht="25.0" customHeight="true">
      <c r="A9027" t="s" s="2">
        <v>13</v>
      </c>
      <c r="B9027" t="s" s="2">
        <f>HYPERLINK("http://ts.21cn.com/tousu/show/id/1361784","虚假信息，糊弄借款者")</f>
      </c>
      <c r="C9027" t="s" s="2">
        <v>15</v>
      </c>
      <c r="D9027" t="s" s="2">
        <v>16</v>
      </c>
      <c r="E9027" t="s" s="2">
        <v>17</v>
      </c>
      <c r="F9027" t="s" s="2">
        <f>HYPERLINK("http://ts.21cn.com/tousu/show/id/1361784","http://ts.21cn.com/tousu/show/id/1361784")</f>
      </c>
      <c r="G9027" t="s" s="2">
        <v>17</v>
      </c>
      <c r="H9027" t="s" s="2">
        <v>19</v>
      </c>
      <c r="I9027" t="s" s="2">
        <v>34807</v>
      </c>
      <c r="J9027" t="s" s="2">
        <v>34808</v>
      </c>
      <c r="K9027" t="s" s="2">
        <v>22</v>
      </c>
      <c r="L9027" t="s" s="2">
        <v>22</v>
      </c>
      <c r="M9027" t="s" s="2">
        <v>22</v>
      </c>
    </row>
    <row r="9028" ht="25.0" customHeight="true">
      <c r="A9028" t="s" s="2">
        <v>13</v>
      </c>
      <c r="B9028" t="s" s="2">
        <f>HYPERLINK("http://ts.21cn.com/tousu/show/id/1361773","建行还我被盗刷的钱")</f>
      </c>
      <c r="C9028" t="s" s="2">
        <v>15</v>
      </c>
      <c r="D9028" t="s" s="2">
        <v>16</v>
      </c>
      <c r="E9028" t="s" s="2">
        <v>17</v>
      </c>
      <c r="F9028" t="s" s="2">
        <f>HYPERLINK("http://ts.21cn.com/tousu/show/id/1361773","http://ts.21cn.com/tousu/show/id/1361773")</f>
      </c>
      <c r="G9028" t="s" s="2">
        <v>17</v>
      </c>
      <c r="H9028" t="s" s="2">
        <v>19</v>
      </c>
      <c r="I9028" t="s" s="2">
        <v>34810</v>
      </c>
      <c r="J9028" t="s" s="2">
        <v>34811</v>
      </c>
      <c r="K9028" t="s" s="2">
        <v>22</v>
      </c>
      <c r="L9028" t="s" s="2">
        <v>22</v>
      </c>
      <c r="M9028" t="s" s="2">
        <v>22</v>
      </c>
    </row>
    <row r="9029" ht="25.0" customHeight="true">
      <c r="A9029" t="s" s="2">
        <v>13</v>
      </c>
      <c r="B9029" t="s" s="2">
        <f>HYPERLINK("http://ts.21cn.com/tousu/show/id/1361762","招联金融诱导消费者借款，不履行承诺")</f>
      </c>
      <c r="C9029" t="s" s="2">
        <v>15</v>
      </c>
      <c r="D9029" t="s" s="2">
        <v>16</v>
      </c>
      <c r="E9029" t="s" s="2">
        <v>17</v>
      </c>
      <c r="F9029" t="s" s="2">
        <f>HYPERLINK("http://ts.21cn.com/tousu/show/id/1361762","http://ts.21cn.com/tousu/show/id/1361762")</f>
      </c>
      <c r="G9029" t="s" s="2">
        <v>17</v>
      </c>
      <c r="H9029" t="s" s="2">
        <v>19</v>
      </c>
      <c r="I9029" t="s" s="2">
        <v>34814</v>
      </c>
      <c r="J9029" t="s" s="2">
        <v>34815</v>
      </c>
      <c r="K9029" t="s" s="2">
        <v>22</v>
      </c>
      <c r="L9029" t="s" s="2">
        <v>22</v>
      </c>
      <c r="M9029" t="s" s="2">
        <v>22</v>
      </c>
    </row>
    <row r="9030" ht="25.0" customHeight="true">
      <c r="A9030" t="s" s="2">
        <v>13</v>
      </c>
      <c r="B9030" t="s" s="2">
        <f>HYPERLINK("http://ts.21cn.com/tousu/show/id/1361751","诱惑导购冻结押金")</f>
      </c>
      <c r="C9030" t="s" s="2">
        <v>15</v>
      </c>
      <c r="D9030" t="s" s="2">
        <v>16</v>
      </c>
      <c r="E9030" t="s" s="2">
        <v>17</v>
      </c>
      <c r="F9030" t="s" s="2">
        <f>HYPERLINK("http://ts.21cn.com/tousu/show/id/1361751","http://ts.21cn.com/tousu/show/id/1361751")</f>
      </c>
      <c r="G9030" t="s" s="2">
        <v>17</v>
      </c>
      <c r="H9030" t="s" s="2">
        <v>19</v>
      </c>
      <c r="I9030" t="s" s="2">
        <v>34818</v>
      </c>
      <c r="J9030" t="s" s="2">
        <v>34819</v>
      </c>
      <c r="K9030" t="s" s="2">
        <v>22</v>
      </c>
      <c r="L9030" t="s" s="2">
        <v>22</v>
      </c>
      <c r="M9030" t="s" s="2">
        <v>22</v>
      </c>
    </row>
    <row r="9031" ht="25.0" customHeight="true">
      <c r="A9031" t="s" s="2">
        <v>13</v>
      </c>
      <c r="B9031" t="s" s="2">
        <f>HYPERLINK("http://ts.21cn.com/tousu/show/id/1361740","升学教育机构不退款")</f>
      </c>
      <c r="C9031" t="s" s="2">
        <v>15</v>
      </c>
      <c r="D9031" t="s" s="2">
        <v>16</v>
      </c>
      <c r="E9031" t="s" s="2">
        <v>17</v>
      </c>
      <c r="F9031" t="s" s="2">
        <f>HYPERLINK("http://ts.21cn.com/tousu/show/id/1361740","http://ts.21cn.com/tousu/show/id/1361740")</f>
      </c>
      <c r="G9031" t="s" s="2">
        <v>17</v>
      </c>
      <c r="H9031" t="s" s="2">
        <v>19</v>
      </c>
      <c r="I9031" t="s" s="2">
        <v>34821</v>
      </c>
      <c r="J9031" t="s" s="2">
        <v>34822</v>
      </c>
      <c r="K9031" t="s" s="2">
        <v>22</v>
      </c>
      <c r="L9031" t="s" s="2">
        <v>22</v>
      </c>
      <c r="M9031" t="s" s="2">
        <v>22</v>
      </c>
    </row>
    <row r="9032" ht="25.0" customHeight="true">
      <c r="A9032" t="s" s="2">
        <v>13</v>
      </c>
      <c r="B9032" t="s" s="2">
        <f>HYPERLINK("http://ts.21cn.com/tousu/show/id/1361736","高利息违约金！")</f>
      </c>
      <c r="C9032" t="s" s="2">
        <v>15</v>
      </c>
      <c r="D9032" t="s" s="2">
        <v>16</v>
      </c>
      <c r="E9032" t="s" s="2">
        <v>17</v>
      </c>
      <c r="F9032" t="s" s="2">
        <f>HYPERLINK("http://ts.21cn.com/tousu/show/id/1361736","http://ts.21cn.com/tousu/show/id/1361736")</f>
      </c>
      <c r="G9032" t="s" s="2">
        <v>17</v>
      </c>
      <c r="H9032" t="s" s="2">
        <v>19</v>
      </c>
      <c r="I9032" t="s" s="2">
        <v>34825</v>
      </c>
      <c r="J9032" t="s" s="2">
        <v>34826</v>
      </c>
      <c r="K9032" t="s" s="2">
        <v>22</v>
      </c>
      <c r="L9032" t="s" s="2">
        <v>22</v>
      </c>
      <c r="M9032" t="s" s="2">
        <v>22</v>
      </c>
    </row>
    <row r="9033" ht="25.0" customHeight="true">
      <c r="A9033" t="s" s="2">
        <v>13</v>
      </c>
      <c r="B9033" t="s" s="2">
        <f>HYPERLINK("http://ts.21cn.com/tousu/show/id/1361652","希望360借条收取合理利息")</f>
      </c>
      <c r="C9033" t="s" s="2">
        <v>15</v>
      </c>
      <c r="D9033" t="s" s="2">
        <v>16</v>
      </c>
      <c r="E9033" t="s" s="2">
        <v>17</v>
      </c>
      <c r="F9033" t="s" s="2">
        <f>HYPERLINK("http://ts.21cn.com/tousu/show/id/1361652","http://ts.21cn.com/tousu/show/id/1361652")</f>
      </c>
      <c r="G9033" t="s" s="2">
        <v>17</v>
      </c>
      <c r="H9033" t="s" s="2">
        <v>19</v>
      </c>
      <c r="I9033" t="s" s="2">
        <v>34829</v>
      </c>
      <c r="J9033" t="s" s="2">
        <v>34830</v>
      </c>
      <c r="K9033" t="s" s="2">
        <v>22</v>
      </c>
      <c r="L9033" t="s" s="2">
        <v>22</v>
      </c>
      <c r="M9033" t="s" s="2">
        <v>22</v>
      </c>
    </row>
    <row r="9034" ht="25.0" customHeight="true">
      <c r="A9034" t="s" s="2">
        <v>13</v>
      </c>
      <c r="B9034" t="s" s="2">
        <f>HYPERLINK("http://ts.21cn.com/tousu/show/id/1361720","浦发银行，协商停息分期，停止无休止骚扰！")</f>
      </c>
      <c r="C9034" t="s" s="2">
        <v>15</v>
      </c>
      <c r="D9034" t="s" s="2">
        <v>16</v>
      </c>
      <c r="E9034" t="s" s="2">
        <v>17</v>
      </c>
      <c r="F9034" t="s" s="2">
        <f>HYPERLINK("http://ts.21cn.com/tousu/show/id/1361720","http://ts.21cn.com/tousu/show/id/1361720")</f>
      </c>
      <c r="G9034" t="s" s="2">
        <v>17</v>
      </c>
      <c r="H9034" t="s" s="2">
        <v>19</v>
      </c>
      <c r="I9034" t="s" s="2">
        <v>34833</v>
      </c>
      <c r="J9034" t="s" s="2">
        <v>34834</v>
      </c>
      <c r="K9034" t="s" s="2">
        <v>22</v>
      </c>
      <c r="L9034" t="s" s="2">
        <v>22</v>
      </c>
      <c r="M9034" t="s" s="2">
        <v>22</v>
      </c>
    </row>
    <row r="9035" ht="25.0" customHeight="true">
      <c r="A9035" t="s" s="2">
        <v>13</v>
      </c>
      <c r="B9035" t="s" s="2">
        <f>HYPERLINK("http://ts.21cn.com/tousu/show/id/1361696","卡牛瑞贷恶意逾期")</f>
      </c>
      <c r="C9035" t="s" s="2">
        <v>15</v>
      </c>
      <c r="D9035" t="s" s="2">
        <v>16</v>
      </c>
      <c r="E9035" t="s" s="2">
        <v>17</v>
      </c>
      <c r="F9035" t="s" s="2">
        <f>HYPERLINK("http://ts.21cn.com/tousu/show/id/1361696","http://ts.21cn.com/tousu/show/id/1361696")</f>
      </c>
      <c r="G9035" t="s" s="2">
        <v>17</v>
      </c>
      <c r="H9035" t="s" s="2">
        <v>19</v>
      </c>
      <c r="I9035" t="s" s="2">
        <v>34837</v>
      </c>
      <c r="J9035" t="s" s="2">
        <v>34838</v>
      </c>
      <c r="K9035" t="s" s="2">
        <v>22</v>
      </c>
      <c r="L9035" t="s" s="2">
        <v>22</v>
      </c>
      <c r="M9035" t="s" s="2">
        <v>22</v>
      </c>
    </row>
    <row r="9036" ht="25.0" customHeight="true">
      <c r="A9036" t="s" s="2">
        <v>13</v>
      </c>
      <c r="B9036" t="s" s="2">
        <f>HYPERLINK("http://ts.21cn.com/tousu/show/id/1361719","我带了三万还了两万多，还要在还两万")</f>
      </c>
      <c r="C9036" t="s" s="2">
        <v>15</v>
      </c>
      <c r="D9036" t="s" s="2">
        <v>16</v>
      </c>
      <c r="E9036" t="s" s="2">
        <v>17</v>
      </c>
      <c r="F9036" t="s" s="2">
        <f>HYPERLINK("http://ts.21cn.com/tousu/show/id/1361719","http://ts.21cn.com/tousu/show/id/1361719")</f>
      </c>
      <c r="G9036" t="s" s="2">
        <v>17</v>
      </c>
      <c r="H9036" t="s" s="2">
        <v>19</v>
      </c>
      <c r="I9036" t="s" s="2">
        <v>34841</v>
      </c>
      <c r="J9036" t="s" s="2">
        <v>34842</v>
      </c>
      <c r="K9036" t="s" s="2">
        <v>22</v>
      </c>
      <c r="L9036" t="s" s="2">
        <v>22</v>
      </c>
      <c r="M9036" t="s" s="2">
        <v>22</v>
      </c>
    </row>
    <row r="9037" ht="25.0" customHeight="true">
      <c r="A9037" t="s" s="2">
        <v>13</v>
      </c>
      <c r="B9037" t="s" s="2">
        <f>HYPERLINK("http://ts.21cn.com/tousu/show/id/1361708","房东恶意拖欠押金")</f>
      </c>
      <c r="C9037" t="s" s="2">
        <v>15</v>
      </c>
      <c r="D9037" t="s" s="2">
        <v>16</v>
      </c>
      <c r="E9037" t="s" s="2">
        <v>17</v>
      </c>
      <c r="F9037" t="s" s="2">
        <f>HYPERLINK("http://ts.21cn.com/tousu/show/id/1361708","http://ts.21cn.com/tousu/show/id/1361708")</f>
      </c>
      <c r="G9037" t="s" s="2">
        <v>17</v>
      </c>
      <c r="H9037" t="s" s="2">
        <v>19</v>
      </c>
      <c r="I9037" t="s" s="2">
        <v>34845</v>
      </c>
      <c r="J9037" t="s" s="2">
        <v>34846</v>
      </c>
      <c r="K9037" t="s" s="2">
        <v>22</v>
      </c>
      <c r="L9037" t="s" s="2">
        <v>22</v>
      </c>
      <c r="M9037" t="s" s="2">
        <v>22</v>
      </c>
    </row>
    <row r="9038" ht="25.0" customHeight="true">
      <c r="A9038" t="s" s="2">
        <v>13</v>
      </c>
      <c r="B9038" t="s" s="2">
        <f>HYPERLINK("http://ts.21cn.com/tousu/show/id/1361706","拉卡拉暂缓结算冻结资金180天")</f>
      </c>
      <c r="C9038" t="s" s="2">
        <v>52</v>
      </c>
      <c r="D9038" t="s" s="2">
        <v>16</v>
      </c>
      <c r="E9038" t="s" s="2">
        <v>17</v>
      </c>
      <c r="F9038" t="s" s="2">
        <f>HYPERLINK("http://ts.21cn.com/tousu/show/id/1361706","http://ts.21cn.com/tousu/show/id/1361706")</f>
      </c>
      <c r="G9038" t="s" s="2">
        <v>17</v>
      </c>
      <c r="H9038" t="s" s="2">
        <v>19</v>
      </c>
      <c r="I9038" t="s" s="2">
        <v>34849</v>
      </c>
      <c r="J9038" t="s" s="2">
        <v>34850</v>
      </c>
      <c r="K9038" t="s" s="2">
        <v>22</v>
      </c>
      <c r="L9038" t="s" s="2">
        <v>22</v>
      </c>
      <c r="M9038" t="s" s="2">
        <v>22</v>
      </c>
    </row>
    <row r="9039" ht="25.0" customHeight="true">
      <c r="A9039" t="s" s="2">
        <v>13</v>
      </c>
      <c r="B9039" t="s" s="2">
        <f>HYPERLINK("http://ts.21cn.com/tousu/show/id/1361667","网贷平台把个人信息泄露")</f>
      </c>
      <c r="C9039" t="s" s="2">
        <v>15</v>
      </c>
      <c r="D9039" t="s" s="2">
        <v>16</v>
      </c>
      <c r="E9039" t="s" s="2">
        <v>17</v>
      </c>
      <c r="F9039" t="s" s="2">
        <f>HYPERLINK("http://ts.21cn.com/tousu/show/id/1361667","http://ts.21cn.com/tousu/show/id/1361667")</f>
      </c>
      <c r="G9039" t="s" s="2">
        <v>17</v>
      </c>
      <c r="H9039" t="s" s="2">
        <v>19</v>
      </c>
      <c r="I9039" t="s" s="2">
        <v>34853</v>
      </c>
      <c r="J9039" t="s" s="2">
        <v>34854</v>
      </c>
      <c r="K9039" t="s" s="2">
        <v>22</v>
      </c>
      <c r="L9039" t="s" s="2">
        <v>22</v>
      </c>
      <c r="M9039" t="s" s="2">
        <v>22</v>
      </c>
    </row>
    <row r="9040" ht="25.0" customHeight="true">
      <c r="A9040" t="s" s="2">
        <v>13</v>
      </c>
      <c r="B9040" t="s" s="2">
        <f>HYPERLINK("http://ts.21cn.com/tousu/show/id/1361685","马上金融公司恶意拨打通讯录，威胁非借款人")</f>
      </c>
      <c r="C9040" t="s" s="2">
        <v>15</v>
      </c>
      <c r="D9040" t="s" s="2">
        <v>16</v>
      </c>
      <c r="E9040" t="s" s="2">
        <v>17</v>
      </c>
      <c r="F9040" t="s" s="2">
        <f>HYPERLINK("http://ts.21cn.com/tousu/show/id/1361685","http://ts.21cn.com/tousu/show/id/1361685")</f>
      </c>
      <c r="G9040" t="s" s="2">
        <v>17</v>
      </c>
      <c r="H9040" t="s" s="2">
        <v>19</v>
      </c>
      <c r="I9040" t="s" s="2">
        <v>34857</v>
      </c>
      <c r="J9040" t="s" s="2">
        <v>34858</v>
      </c>
      <c r="K9040" t="s" s="2">
        <v>22</v>
      </c>
      <c r="L9040" t="s" s="2">
        <v>22</v>
      </c>
      <c r="M9040" t="s" s="2">
        <v>22</v>
      </c>
    </row>
    <row r="9041" ht="25.0" customHeight="true">
      <c r="A9041" t="s" s="2">
        <v>13</v>
      </c>
      <c r="B9041" t="s" s="2">
        <f>HYPERLINK("http://ts.21cn.com/tousu/show/id/1361675","天下信用威胁我")</f>
      </c>
      <c r="C9041" t="s" s="2">
        <v>15</v>
      </c>
      <c r="D9041" t="s" s="2">
        <v>16</v>
      </c>
      <c r="E9041" t="s" s="2">
        <v>17</v>
      </c>
      <c r="F9041" t="s" s="2">
        <f>HYPERLINK("http://ts.21cn.com/tousu/show/id/1361675","http://ts.21cn.com/tousu/show/id/1361675")</f>
      </c>
      <c r="G9041" t="s" s="2">
        <v>17</v>
      </c>
      <c r="H9041" t="s" s="2">
        <v>19</v>
      </c>
      <c r="I9041" t="s" s="2">
        <v>34861</v>
      </c>
      <c r="J9041" t="s" s="2">
        <v>34862</v>
      </c>
      <c r="K9041" t="s" s="2">
        <v>22</v>
      </c>
      <c r="L9041" t="s" s="2">
        <v>22</v>
      </c>
      <c r="M9041" t="s" s="2">
        <v>22</v>
      </c>
    </row>
    <row r="9042" ht="25.0" customHeight="true">
      <c r="A9042" t="s" s="2">
        <v>13</v>
      </c>
      <c r="B9042" t="s" s="2">
        <f>HYPERLINK("http://ts.21cn.com/tousu/show/id/1361663","捷信员工以业务不足为由，请学生刷单，并私自办理购买商品业务分期，要求学生偿还")</f>
      </c>
      <c r="C9042" t="s" s="2">
        <v>15</v>
      </c>
      <c r="D9042" t="s" s="2">
        <v>16</v>
      </c>
      <c r="E9042" t="s" s="2">
        <v>17</v>
      </c>
      <c r="F9042" t="s" s="2">
        <f>HYPERLINK("http://ts.21cn.com/tousu/show/id/1361663","http://ts.21cn.com/tousu/show/id/1361663")</f>
      </c>
      <c r="G9042" t="s" s="2">
        <v>17</v>
      </c>
      <c r="H9042" t="s" s="2">
        <v>19</v>
      </c>
      <c r="I9042" t="s" s="2">
        <v>34865</v>
      </c>
      <c r="J9042" t="s" s="2">
        <v>34866</v>
      </c>
      <c r="K9042" t="s" s="2">
        <v>22</v>
      </c>
      <c r="L9042" t="s" s="2">
        <v>22</v>
      </c>
      <c r="M9042" t="s" s="2">
        <v>22</v>
      </c>
    </row>
    <row r="9043" ht="25.0" customHeight="true">
      <c r="A9043" t="s" s="2">
        <v>13</v>
      </c>
      <c r="B9043" t="s" s="2">
        <f>HYPERLINK("http://ts.21cn.com/tousu/show/id/1361641","招联金融利用循环额度欺诈客户")</f>
      </c>
      <c r="C9043" t="s" s="2">
        <v>15</v>
      </c>
      <c r="D9043" t="s" s="2">
        <v>16</v>
      </c>
      <c r="E9043" t="s" s="2">
        <v>17</v>
      </c>
      <c r="F9043" t="s" s="2">
        <f>HYPERLINK("http://ts.21cn.com/tousu/show/id/1361641","http://ts.21cn.com/tousu/show/id/1361641")</f>
      </c>
      <c r="G9043" t="s" s="2">
        <v>17</v>
      </c>
      <c r="H9043" t="s" s="2">
        <v>19</v>
      </c>
      <c r="I9043" t="s" s="2">
        <v>34869</v>
      </c>
      <c r="J9043" t="s" s="2">
        <v>34870</v>
      </c>
      <c r="K9043" t="s" s="2">
        <v>22</v>
      </c>
      <c r="L9043" t="s" s="2">
        <v>22</v>
      </c>
      <c r="M9043" t="s" s="2">
        <v>22</v>
      </c>
    </row>
    <row r="9044" ht="25.0" customHeight="true">
      <c r="A9044" t="s" s="2">
        <v>13</v>
      </c>
      <c r="B9044" t="s" s="2">
        <f>HYPERLINK("http://ts.21cn.com/tousu/show/id/1361630","街电无缘无故扣我99")</f>
      </c>
      <c r="C9044" t="s" s="2">
        <v>15</v>
      </c>
      <c r="D9044" t="s" s="2">
        <v>16</v>
      </c>
      <c r="E9044" t="s" s="2">
        <v>17</v>
      </c>
      <c r="F9044" t="s" s="2">
        <f>HYPERLINK("http://ts.21cn.com/tousu/show/id/1361630","http://ts.21cn.com/tousu/show/id/1361630")</f>
      </c>
      <c r="G9044" t="s" s="2">
        <v>17</v>
      </c>
      <c r="H9044" t="s" s="2">
        <v>19</v>
      </c>
      <c r="I9044" t="s" s="2">
        <v>34873</v>
      </c>
      <c r="J9044" t="s" s="2">
        <v>34874</v>
      </c>
      <c r="K9044" t="s" s="2">
        <v>22</v>
      </c>
      <c r="L9044" t="s" s="2">
        <v>22</v>
      </c>
      <c r="M9044" t="s" s="2">
        <v>22</v>
      </c>
    </row>
    <row r="9045" ht="25.0" customHeight="true">
      <c r="A9045" t="s" s="2">
        <v>13</v>
      </c>
      <c r="B9045" t="s" s="2">
        <f>HYPERLINK("http://ts.21cn.com/tousu/show/id/1361609","借款本金与合同本金不一致")</f>
      </c>
      <c r="C9045" t="s" s="2">
        <v>15</v>
      </c>
      <c r="D9045" t="s" s="2">
        <v>16</v>
      </c>
      <c r="E9045" t="s" s="2">
        <v>17</v>
      </c>
      <c r="F9045" t="s" s="2">
        <f>HYPERLINK("http://ts.21cn.com/tousu/show/id/1361609","http://ts.21cn.com/tousu/show/id/1361609")</f>
      </c>
      <c r="G9045" t="s" s="2">
        <v>17</v>
      </c>
      <c r="H9045" t="s" s="2">
        <v>19</v>
      </c>
      <c r="I9045" t="s" s="2">
        <v>34877</v>
      </c>
      <c r="J9045" t="s" s="2">
        <v>34878</v>
      </c>
      <c r="K9045" t="s" s="2">
        <v>22</v>
      </c>
      <c r="L9045" t="s" s="2">
        <v>22</v>
      </c>
      <c r="M9045" t="s" s="2">
        <v>22</v>
      </c>
    </row>
    <row r="9046" ht="25.0" customHeight="true">
      <c r="A9046" t="s" s="2">
        <v>13</v>
      </c>
      <c r="B9046" t="s" s="2">
        <f>HYPERLINK("http://ts.21cn.com/tousu/show/id/1361599","小象优品高利贷逾期四天恶意催收")</f>
      </c>
      <c r="C9046" t="s" s="2">
        <v>15</v>
      </c>
      <c r="D9046" t="s" s="2">
        <v>16</v>
      </c>
      <c r="E9046" t="s" s="2">
        <v>17</v>
      </c>
      <c r="F9046" t="s" s="2">
        <f>HYPERLINK("http://ts.21cn.com/tousu/show/id/1361599","http://ts.21cn.com/tousu/show/id/1361599")</f>
      </c>
      <c r="G9046" t="s" s="2">
        <v>17</v>
      </c>
      <c r="H9046" t="s" s="2">
        <v>19</v>
      </c>
      <c r="I9046" t="s" s="2">
        <v>34881</v>
      </c>
      <c r="J9046" t="s" s="2">
        <v>34882</v>
      </c>
      <c r="K9046" t="s" s="2">
        <v>22</v>
      </c>
      <c r="L9046" t="s" s="2">
        <v>22</v>
      </c>
      <c r="M9046" t="s" s="2">
        <v>22</v>
      </c>
    </row>
    <row r="9047" ht="25.0" customHeight="true">
      <c r="A9047" t="s" s="2">
        <v>13</v>
      </c>
      <c r="B9047" t="s" s="2">
        <f>HYPERLINK("http://ts.21cn.com/tousu/show/id/1361575","要求分期宝返我多付的利息钱")</f>
      </c>
      <c r="C9047" t="s" s="2">
        <v>15</v>
      </c>
      <c r="D9047" t="s" s="2">
        <v>16</v>
      </c>
      <c r="E9047" t="s" s="2">
        <v>17</v>
      </c>
      <c r="F9047" t="s" s="2">
        <f>HYPERLINK("http://ts.21cn.com/tousu/show/id/1361575","http://ts.21cn.com/tousu/show/id/1361575")</f>
      </c>
      <c r="G9047" t="s" s="2">
        <v>17</v>
      </c>
      <c r="H9047" t="s" s="2">
        <v>19</v>
      </c>
      <c r="I9047" t="s" s="2">
        <v>34885</v>
      </c>
      <c r="J9047" t="s" s="2">
        <v>34886</v>
      </c>
      <c r="K9047" t="s" s="2">
        <v>22</v>
      </c>
      <c r="L9047" t="s" s="2">
        <v>22</v>
      </c>
      <c r="M9047" t="s" s="2">
        <v>22</v>
      </c>
    </row>
    <row r="9048" ht="25.0" customHeight="true">
      <c r="A9048" t="s" s="2">
        <v>13</v>
      </c>
      <c r="B9048" t="s" s="2">
        <f>HYPERLINK("http://ts.21cn.com/tousu/show/id/1361564","捷信高额利息超过规定")</f>
      </c>
      <c r="C9048" t="s" s="2">
        <v>15</v>
      </c>
      <c r="D9048" t="s" s="2">
        <v>16</v>
      </c>
      <c r="E9048" t="s" s="2">
        <v>17</v>
      </c>
      <c r="F9048" t="s" s="2">
        <f>HYPERLINK("http://ts.21cn.com/tousu/show/id/1361564","http://ts.21cn.com/tousu/show/id/1361564")</f>
      </c>
      <c r="G9048" t="s" s="2">
        <v>17</v>
      </c>
      <c r="H9048" t="s" s="2">
        <v>19</v>
      </c>
      <c r="I9048" t="s" s="2">
        <v>34889</v>
      </c>
      <c r="J9048" t="s" s="2">
        <v>34890</v>
      </c>
      <c r="K9048" t="s" s="2">
        <v>22</v>
      </c>
      <c r="L9048" t="s" s="2">
        <v>22</v>
      </c>
      <c r="M9048" t="s" s="2">
        <v>22</v>
      </c>
    </row>
    <row r="9049" ht="25.0" customHeight="true">
      <c r="A9049" t="s" s="2">
        <v>13</v>
      </c>
      <c r="B9049" t="s" s="2">
        <f>HYPERLINK("http://ts.21cn.com/tousu/show/id/1361558","高利贷骚扰")</f>
      </c>
      <c r="C9049" t="s" s="2">
        <v>15</v>
      </c>
      <c r="D9049" t="s" s="2">
        <v>16</v>
      </c>
      <c r="E9049" t="s" s="2">
        <v>17</v>
      </c>
      <c r="F9049" t="s" s="2">
        <f>HYPERLINK("http://ts.21cn.com/tousu/show/id/1361558","http://ts.21cn.com/tousu/show/id/1361558")</f>
      </c>
      <c r="G9049" t="s" s="2">
        <v>17</v>
      </c>
      <c r="H9049" t="s" s="2">
        <v>19</v>
      </c>
      <c r="I9049" t="s" s="2">
        <v>34892</v>
      </c>
      <c r="J9049" t="s" s="2">
        <v>34893</v>
      </c>
      <c r="K9049" t="s" s="2">
        <v>22</v>
      </c>
      <c r="L9049" t="s" s="2">
        <v>22</v>
      </c>
      <c r="M9049" t="s" s="2">
        <v>22</v>
      </c>
    </row>
    <row r="9050" ht="25.0" customHeight="true">
      <c r="A9050" t="s" s="2">
        <v>13</v>
      </c>
      <c r="B9050" t="s" s="2">
        <f>HYPERLINK("http://ts.21cn.com/tousu/show/id/1361553","超高利贷套路套暴力催收")</f>
      </c>
      <c r="C9050" t="s" s="2">
        <v>15</v>
      </c>
      <c r="D9050" t="s" s="2">
        <v>16</v>
      </c>
      <c r="E9050" t="s" s="2">
        <v>17</v>
      </c>
      <c r="F9050" t="s" s="2">
        <f>HYPERLINK("http://ts.21cn.com/tousu/show/id/1361553","http://ts.21cn.com/tousu/show/id/1361553")</f>
      </c>
      <c r="G9050" t="s" s="2">
        <v>17</v>
      </c>
      <c r="H9050" t="s" s="2">
        <v>19</v>
      </c>
      <c r="I9050" t="s" s="2">
        <v>34896</v>
      </c>
      <c r="J9050" t="s" s="2">
        <v>34897</v>
      </c>
      <c r="K9050" t="s" s="2">
        <v>22</v>
      </c>
      <c r="L9050" t="s" s="2">
        <v>22</v>
      </c>
      <c r="M9050" t="s" s="2">
        <v>22</v>
      </c>
    </row>
    <row r="9051" ht="25.0" customHeight="true">
      <c r="A9051" t="s" s="2">
        <v>13</v>
      </c>
      <c r="B9051" t="s" s="2">
        <f>HYPERLINK("http://ts.21cn.com/tousu/show/id/1361542","平安i贷暴为催收")</f>
      </c>
      <c r="C9051" t="s" s="2">
        <v>15</v>
      </c>
      <c r="D9051" t="s" s="2">
        <v>16</v>
      </c>
      <c r="E9051" t="s" s="2">
        <v>17</v>
      </c>
      <c r="F9051" t="s" s="2">
        <f>HYPERLINK("http://ts.21cn.com/tousu/show/id/1361542","http://ts.21cn.com/tousu/show/id/1361542")</f>
      </c>
      <c r="G9051" t="s" s="2">
        <v>17</v>
      </c>
      <c r="H9051" t="s" s="2">
        <v>19</v>
      </c>
      <c r="I9051" t="s" s="2">
        <v>34900</v>
      </c>
      <c r="J9051" t="s" s="2">
        <v>34901</v>
      </c>
      <c r="K9051" t="s" s="2">
        <v>22</v>
      </c>
      <c r="L9051" t="s" s="2">
        <v>22</v>
      </c>
      <c r="M9051" t="s" s="2">
        <v>22</v>
      </c>
    </row>
    <row r="9052" ht="25.0" customHeight="true">
      <c r="A9052" t="s" s="2">
        <v>13</v>
      </c>
      <c r="B9052" t="s" s="2">
        <f>HYPERLINK("http://ts.21cn.com/tousu/show/id/1361531","中信银行短信骚扰和恐吓")</f>
      </c>
      <c r="C9052" t="s" s="2">
        <v>15</v>
      </c>
      <c r="D9052" t="s" s="2">
        <v>16</v>
      </c>
      <c r="E9052" t="s" s="2">
        <v>17</v>
      </c>
      <c r="F9052" t="s" s="2">
        <f>HYPERLINK("http://ts.21cn.com/tousu/show/id/1361531","http://ts.21cn.com/tousu/show/id/1361531")</f>
      </c>
      <c r="G9052" t="s" s="2">
        <v>17</v>
      </c>
      <c r="H9052" t="s" s="2">
        <v>19</v>
      </c>
      <c r="I9052" t="s" s="2">
        <v>34904</v>
      </c>
      <c r="J9052" t="s" s="2">
        <v>34905</v>
      </c>
      <c r="K9052" t="s" s="2">
        <v>22</v>
      </c>
      <c r="L9052" t="s" s="2">
        <v>22</v>
      </c>
      <c r="M9052" t="s" s="2">
        <v>22</v>
      </c>
    </row>
    <row r="9053" ht="25.0" customHeight="true">
      <c r="A9053" t="s" s="2">
        <v>13</v>
      </c>
      <c r="B9053" t="s" s="2">
        <f>HYPERLINK("http://ts.21cn.com/tousu/show/id/1361520","招联金融恶意骚扰通讯录，暴利催收")</f>
      </c>
      <c r="C9053" t="s" s="2">
        <v>15</v>
      </c>
      <c r="D9053" t="s" s="2">
        <v>16</v>
      </c>
      <c r="E9053" t="s" s="2">
        <v>17</v>
      </c>
      <c r="F9053" t="s" s="2">
        <f>HYPERLINK("http://ts.21cn.com/tousu/show/id/1361520","http://ts.21cn.com/tousu/show/id/1361520")</f>
      </c>
      <c r="G9053" t="s" s="2">
        <v>17</v>
      </c>
      <c r="H9053" t="s" s="2">
        <v>19</v>
      </c>
      <c r="I9053" t="s" s="2">
        <v>34908</v>
      </c>
      <c r="J9053" t="s" s="2">
        <v>34909</v>
      </c>
      <c r="K9053" t="s" s="2">
        <v>22</v>
      </c>
      <c r="L9053" t="s" s="2">
        <v>22</v>
      </c>
      <c r="M9053" t="s" s="2">
        <v>22</v>
      </c>
    </row>
    <row r="9054" ht="25.0" customHeight="true">
      <c r="A9054" t="s" s="2">
        <v>13</v>
      </c>
      <c r="B9054" t="s" s="2">
        <f>HYPERLINK("http://ts.21cn.com/tousu/show/id/1361498","玖富万卡联合玖富万卡协商部演双簧")</f>
      </c>
      <c r="C9054" t="s" s="2">
        <v>15</v>
      </c>
      <c r="D9054" t="s" s="2">
        <v>16</v>
      </c>
      <c r="E9054" t="s" s="2">
        <v>17</v>
      </c>
      <c r="F9054" t="s" s="2">
        <f>HYPERLINK("http://ts.21cn.com/tousu/show/id/1361498","http://ts.21cn.com/tousu/show/id/1361498")</f>
      </c>
      <c r="G9054" t="s" s="2">
        <v>17</v>
      </c>
      <c r="H9054" t="s" s="2">
        <v>19</v>
      </c>
      <c r="I9054" t="s" s="2">
        <v>34912</v>
      </c>
      <c r="J9054" t="s" s="2">
        <v>34913</v>
      </c>
      <c r="K9054" t="s" s="2">
        <v>22</v>
      </c>
      <c r="L9054" t="s" s="2">
        <v>22</v>
      </c>
      <c r="M9054" t="s" s="2">
        <v>22</v>
      </c>
    </row>
    <row r="9055" ht="25.0" customHeight="true">
      <c r="A9055" t="s" s="2">
        <v>13</v>
      </c>
      <c r="B9055" t="s" s="2">
        <f>HYPERLINK("http://ts.21cn.com/tousu/show/id/1361487","聚富分期强制扣款")</f>
      </c>
      <c r="C9055" t="s" s="2">
        <v>15</v>
      </c>
      <c r="D9055" t="s" s="2">
        <v>16</v>
      </c>
      <c r="E9055" t="s" s="2">
        <v>17</v>
      </c>
      <c r="F9055" t="s" s="2">
        <f>HYPERLINK("http://ts.21cn.com/tousu/show/id/1361487","http://ts.21cn.com/tousu/show/id/1361487")</f>
      </c>
      <c r="G9055" t="s" s="2">
        <v>17</v>
      </c>
      <c r="H9055" t="s" s="2">
        <v>19</v>
      </c>
      <c r="I9055" t="s" s="2">
        <v>34916</v>
      </c>
      <c r="J9055" t="s" s="2">
        <v>34917</v>
      </c>
      <c r="K9055" t="s" s="2">
        <v>22</v>
      </c>
      <c r="L9055" t="s" s="2">
        <v>22</v>
      </c>
      <c r="M9055" t="s" s="2">
        <v>22</v>
      </c>
    </row>
    <row r="9056" ht="25.0" customHeight="true">
      <c r="A9056" t="s" s="2">
        <v>13</v>
      </c>
      <c r="B9056" t="s" s="2">
        <f>HYPERLINK("http://ts.21cn.com/tousu/show/id/1361465","网贷不合法涉县高利贷")</f>
      </c>
      <c r="C9056" t="s" s="2">
        <v>15</v>
      </c>
      <c r="D9056" t="s" s="2">
        <v>16</v>
      </c>
      <c r="E9056" t="s" s="2">
        <v>17</v>
      </c>
      <c r="F9056" t="s" s="2">
        <f>HYPERLINK("http://ts.21cn.com/tousu/show/id/1361465","http://ts.21cn.com/tousu/show/id/1361465")</f>
      </c>
      <c r="G9056" t="s" s="2">
        <v>17</v>
      </c>
      <c r="H9056" t="s" s="2">
        <v>19</v>
      </c>
      <c r="I9056" t="s" s="2">
        <v>34920</v>
      </c>
      <c r="J9056" t="s" s="2">
        <v>34921</v>
      </c>
      <c r="K9056" t="s" s="2">
        <v>22</v>
      </c>
      <c r="L9056" t="s" s="2">
        <v>22</v>
      </c>
      <c r="M9056" t="s" s="2">
        <v>22</v>
      </c>
    </row>
    <row r="9057" ht="25.0" customHeight="true">
      <c r="A9057" t="s" s="2">
        <v>13</v>
      </c>
      <c r="B9057" t="s" s="2">
        <f>HYPERLINK("http://ts.21cn.com/tousu/show/id/1361454","闪电借款暴性催收骚扰他人")</f>
      </c>
      <c r="C9057" t="s" s="2">
        <v>15</v>
      </c>
      <c r="D9057" t="s" s="2">
        <v>16</v>
      </c>
      <c r="E9057" t="s" s="2">
        <v>17</v>
      </c>
      <c r="F9057" t="s" s="2">
        <f>HYPERLINK("http://ts.21cn.com/tousu/show/id/1361454","http://ts.21cn.com/tousu/show/id/1361454")</f>
      </c>
      <c r="G9057" t="s" s="2">
        <v>17</v>
      </c>
      <c r="H9057" t="s" s="2">
        <v>19</v>
      </c>
      <c r="I9057" t="s" s="2">
        <v>34924</v>
      </c>
      <c r="J9057" t="s" s="2">
        <v>34925</v>
      </c>
      <c r="K9057" t="s" s="2">
        <v>22</v>
      </c>
      <c r="L9057" t="s" s="2">
        <v>22</v>
      </c>
      <c r="M9057" t="s" s="2">
        <v>22</v>
      </c>
    </row>
    <row r="9058" ht="25.0" customHeight="true">
      <c r="A9058" t="s" s="2">
        <v>13</v>
      </c>
      <c r="B9058" t="s" s="2">
        <f>HYPERLINK("http://ts.21cn.com/tousu/show/id/1361443","马上消费金融，暴力催收，群发短信，恐吓催收")</f>
      </c>
      <c r="C9058" t="s" s="2">
        <v>15</v>
      </c>
      <c r="D9058" t="s" s="2">
        <v>16</v>
      </c>
      <c r="E9058" t="s" s="2">
        <v>17</v>
      </c>
      <c r="F9058" t="s" s="2">
        <f>HYPERLINK("http://ts.21cn.com/tousu/show/id/1361443","http://ts.21cn.com/tousu/show/id/1361443")</f>
      </c>
      <c r="G9058" t="s" s="2">
        <v>17</v>
      </c>
      <c r="H9058" t="s" s="2">
        <v>19</v>
      </c>
      <c r="I9058" t="s" s="2">
        <v>34927</v>
      </c>
      <c r="J9058" t="s" s="2">
        <v>34928</v>
      </c>
      <c r="K9058" t="s" s="2">
        <v>22</v>
      </c>
      <c r="L9058" t="s" s="2">
        <v>22</v>
      </c>
      <c r="M9058" t="s" s="2">
        <v>22</v>
      </c>
    </row>
    <row r="9059" ht="25.0" customHeight="true">
      <c r="A9059" t="s" s="2">
        <v>13</v>
      </c>
      <c r="B9059" t="s" s="2">
        <f>HYPERLINK("http://ts.21cn.com/tousu/show/id/1361442","小象优品暴力催收骚扰通讯录")</f>
      </c>
      <c r="C9059" t="s" s="2">
        <v>15</v>
      </c>
      <c r="D9059" t="s" s="2">
        <v>16</v>
      </c>
      <c r="E9059" t="s" s="2">
        <v>17</v>
      </c>
      <c r="F9059" t="s" s="2">
        <f>HYPERLINK("http://ts.21cn.com/tousu/show/id/1361442","http://ts.21cn.com/tousu/show/id/1361442")</f>
      </c>
      <c r="G9059" t="s" s="2">
        <v>17</v>
      </c>
      <c r="H9059" t="s" s="2">
        <v>19</v>
      </c>
      <c r="I9059" t="s" s="2">
        <v>34930</v>
      </c>
      <c r="J9059" t="s" s="2">
        <v>34931</v>
      </c>
      <c r="K9059" t="s" s="2">
        <v>22</v>
      </c>
      <c r="L9059" t="s" s="2">
        <v>22</v>
      </c>
      <c r="M9059" t="s" s="2">
        <v>22</v>
      </c>
    </row>
    <row r="9060" ht="25.0" customHeight="true">
      <c r="A9060" t="s" s="2">
        <v>13</v>
      </c>
      <c r="B9060" t="s" s="2">
        <f>HYPERLINK("http://ts.21cn.com/tousu/show/id/1361421","工作人员不办事")</f>
      </c>
      <c r="C9060" t="s" s="2">
        <v>15</v>
      </c>
      <c r="D9060" t="s" s="2">
        <v>16</v>
      </c>
      <c r="E9060" t="s" s="2">
        <v>17</v>
      </c>
      <c r="F9060" t="s" s="2">
        <f>HYPERLINK("http://ts.21cn.com/tousu/show/id/1361421","http://ts.21cn.com/tousu/show/id/1361421")</f>
      </c>
      <c r="G9060" t="s" s="2">
        <v>17</v>
      </c>
      <c r="H9060" t="s" s="2">
        <v>19</v>
      </c>
      <c r="I9060" t="s" s="2">
        <v>34934</v>
      </c>
      <c r="J9060" t="s" s="2">
        <v>34935</v>
      </c>
      <c r="K9060" t="s" s="2">
        <v>22</v>
      </c>
      <c r="L9060" t="s" s="2">
        <v>22</v>
      </c>
      <c r="M9060" t="s" s="2">
        <v>22</v>
      </c>
    </row>
    <row r="9061" ht="25.0" customHeight="true">
      <c r="A9061" t="s" s="2">
        <v>13</v>
      </c>
      <c r="B9061" t="s" s="2">
        <f>HYPERLINK("http://ts.21cn.com/tousu/show/id/1361410","兴业银行协商还款不成")</f>
      </c>
      <c r="C9061" t="s" s="2">
        <v>15</v>
      </c>
      <c r="D9061" t="s" s="2">
        <v>16</v>
      </c>
      <c r="E9061" t="s" s="2">
        <v>17</v>
      </c>
      <c r="F9061" t="s" s="2">
        <f>HYPERLINK("http://ts.21cn.com/tousu/show/id/1361410","http://ts.21cn.com/tousu/show/id/1361410")</f>
      </c>
      <c r="G9061" t="s" s="2">
        <v>17</v>
      </c>
      <c r="H9061" t="s" s="2">
        <v>19</v>
      </c>
      <c r="I9061" t="s" s="2">
        <v>34938</v>
      </c>
      <c r="J9061" t="s" s="2">
        <v>34939</v>
      </c>
      <c r="K9061" t="s" s="2">
        <v>22</v>
      </c>
      <c r="L9061" t="s" s="2">
        <v>22</v>
      </c>
      <c r="M9061" t="s" s="2">
        <v>22</v>
      </c>
    </row>
    <row r="9062" ht="25.0" customHeight="true">
      <c r="A9062" t="s" s="2">
        <v>13</v>
      </c>
      <c r="B9062" t="s" s="2">
        <f>HYPERLINK("http://ts.21cn.com/tousu/show/id/1361352","买个2800元的账号玩了不到7个小时就被封，投保居然不赔付")</f>
      </c>
      <c r="C9062" t="s" s="2">
        <v>15</v>
      </c>
      <c r="D9062" t="s" s="2">
        <v>16</v>
      </c>
      <c r="E9062" t="s" s="2">
        <v>17</v>
      </c>
      <c r="F9062" t="s" s="2">
        <f>HYPERLINK("http://ts.21cn.com/tousu/show/id/1361352","http://ts.21cn.com/tousu/show/id/1361352")</f>
      </c>
      <c r="G9062" t="s" s="2">
        <v>17</v>
      </c>
      <c r="H9062" t="s" s="2">
        <v>19</v>
      </c>
      <c r="I9062" t="s" s="2">
        <v>34942</v>
      </c>
      <c r="J9062" t="s" s="2">
        <v>34943</v>
      </c>
      <c r="K9062" t="s" s="2">
        <v>22</v>
      </c>
      <c r="L9062" t="s" s="2">
        <v>22</v>
      </c>
      <c r="M9062" t="s" s="2">
        <v>22</v>
      </c>
    </row>
    <row r="9063" ht="25.0" customHeight="true">
      <c r="A9063" t="s" s="2">
        <v>13</v>
      </c>
      <c r="B9063" t="s" s="2">
        <f>HYPERLINK("http://ts.21cn.com/tousu/show/id/1361388","你我贷以平台服务费变相收取高利息")</f>
      </c>
      <c r="C9063" t="s" s="2">
        <v>15</v>
      </c>
      <c r="D9063" t="s" s="2">
        <v>16</v>
      </c>
      <c r="E9063" t="s" s="2">
        <v>17</v>
      </c>
      <c r="F9063" t="s" s="2">
        <f>HYPERLINK("http://ts.21cn.com/tousu/show/id/1361388","http://ts.21cn.com/tousu/show/id/1361388")</f>
      </c>
      <c r="G9063" t="s" s="2">
        <v>17</v>
      </c>
      <c r="H9063" t="s" s="2">
        <v>19</v>
      </c>
      <c r="I9063" t="s" s="2">
        <v>34946</v>
      </c>
      <c r="J9063" t="s" s="2">
        <v>34947</v>
      </c>
      <c r="K9063" t="s" s="2">
        <v>22</v>
      </c>
      <c r="L9063" t="s" s="2">
        <v>22</v>
      </c>
      <c r="M9063" t="s" s="2">
        <v>22</v>
      </c>
    </row>
    <row r="9064" ht="25.0" customHeight="true">
      <c r="A9064" t="s" s="2">
        <v>13</v>
      </c>
      <c r="B9064" t="s" s="2">
        <f>HYPERLINK("http://ts.21cn.com/tousu/show/id/1361377","西部航空退票手续费如此昂贵！")</f>
      </c>
      <c r="C9064" t="s" s="2">
        <v>15</v>
      </c>
      <c r="D9064" t="s" s="2">
        <v>16</v>
      </c>
      <c r="E9064" t="s" s="2">
        <v>17</v>
      </c>
      <c r="F9064" t="s" s="2">
        <f>HYPERLINK("http://ts.21cn.com/tousu/show/id/1361377","http://ts.21cn.com/tousu/show/id/1361377")</f>
      </c>
      <c r="G9064" t="s" s="2">
        <v>17</v>
      </c>
      <c r="H9064" t="s" s="2">
        <v>19</v>
      </c>
      <c r="I9064" t="s" s="2">
        <v>34950</v>
      </c>
      <c r="J9064" t="s" s="2">
        <v>34951</v>
      </c>
      <c r="K9064" t="s" s="2">
        <v>22</v>
      </c>
      <c r="L9064" t="s" s="2">
        <v>22</v>
      </c>
      <c r="M9064" t="s" s="2">
        <v>22</v>
      </c>
    </row>
    <row r="9065" ht="25.0" customHeight="true">
      <c r="A9065" t="s" s="2">
        <v>13</v>
      </c>
      <c r="B9065" t="s" s="2">
        <f>HYPERLINK("http://ts.21cn.com/tousu/show/id/1361366","物品运输损坏，顺丰快递电话客服公然违背事实，撒谎!")</f>
      </c>
      <c r="C9065" t="s" s="2">
        <v>15</v>
      </c>
      <c r="D9065" t="s" s="2">
        <v>16</v>
      </c>
      <c r="E9065" t="s" s="2">
        <v>17</v>
      </c>
      <c r="F9065" t="s" s="2">
        <f>HYPERLINK("http://ts.21cn.com/tousu/show/id/1361366","http://ts.21cn.com/tousu/show/id/1361366")</f>
      </c>
      <c r="G9065" t="s" s="2">
        <v>17</v>
      </c>
      <c r="H9065" t="s" s="2">
        <v>19</v>
      </c>
      <c r="I9065" t="s" s="2">
        <v>34954</v>
      </c>
      <c r="J9065" t="s" s="2">
        <v>34955</v>
      </c>
      <c r="K9065" t="s" s="2">
        <v>22</v>
      </c>
      <c r="L9065" t="s" s="2">
        <v>22</v>
      </c>
      <c r="M9065" t="s" s="2">
        <v>22</v>
      </c>
    </row>
    <row r="9066" ht="25.0" customHeight="true">
      <c r="A9066" t="s" s="2">
        <v>13</v>
      </c>
      <c r="B9066" t="s" s="2">
        <f>HYPERLINK("http://ts.21cn.com/tousu/show/id/1361355","汇潮支付退回砍头息")</f>
      </c>
      <c r="C9066" t="s" s="2">
        <v>15</v>
      </c>
      <c r="D9066" t="s" s="2">
        <v>16</v>
      </c>
      <c r="E9066" t="s" s="2">
        <v>17</v>
      </c>
      <c r="F9066" t="s" s="2">
        <f>HYPERLINK("http://ts.21cn.com/tousu/show/id/1361355","http://ts.21cn.com/tousu/show/id/1361355")</f>
      </c>
      <c r="G9066" t="s" s="2">
        <v>17</v>
      </c>
      <c r="H9066" t="s" s="2">
        <v>19</v>
      </c>
      <c r="I9066" t="s" s="2">
        <v>34958</v>
      </c>
      <c r="J9066" t="s" s="2">
        <v>34959</v>
      </c>
      <c r="K9066" t="s" s="2">
        <v>22</v>
      </c>
      <c r="L9066" t="s" s="2">
        <v>22</v>
      </c>
      <c r="M9066" t="s" s="2">
        <v>22</v>
      </c>
    </row>
    <row r="9067" ht="25.0" customHeight="true">
      <c r="A9067" t="s" s="2">
        <v>13</v>
      </c>
      <c r="B9067" t="s" s="2">
        <f>HYPERLINK("http://ts.21cn.com/tousu/show/id/1361344","希望得到小象优品的再次协商联系")</f>
      </c>
      <c r="C9067" t="s" s="2">
        <v>52</v>
      </c>
      <c r="D9067" t="s" s="2">
        <v>16</v>
      </c>
      <c r="E9067" t="s" s="2">
        <v>17</v>
      </c>
      <c r="F9067" t="s" s="2">
        <f>HYPERLINK("http://ts.21cn.com/tousu/show/id/1361344","http://ts.21cn.com/tousu/show/id/1361344")</f>
      </c>
      <c r="G9067" t="s" s="2">
        <v>17</v>
      </c>
      <c r="H9067" t="s" s="2">
        <v>19</v>
      </c>
      <c r="I9067" t="s" s="2">
        <v>34962</v>
      </c>
      <c r="J9067" t="s" s="2">
        <v>34963</v>
      </c>
      <c r="K9067" t="s" s="2">
        <v>22</v>
      </c>
      <c r="L9067" t="s" s="2">
        <v>22</v>
      </c>
      <c r="M9067" t="s" s="2">
        <v>22</v>
      </c>
    </row>
    <row r="9068" ht="25.0" customHeight="true">
      <c r="A9068" t="s" s="2">
        <v>13</v>
      </c>
      <c r="B9068" t="s" s="2">
        <f>HYPERLINK("http://ts.21cn.com/tousu/show/id/1361333","德祐地产拖欠中介费，多次沟通不予退还")</f>
      </c>
      <c r="C9068" t="s" s="2">
        <v>15</v>
      </c>
      <c r="D9068" t="s" s="2">
        <v>16</v>
      </c>
      <c r="E9068" t="s" s="2">
        <v>17</v>
      </c>
      <c r="F9068" t="s" s="2">
        <f>HYPERLINK("http://ts.21cn.com/tousu/show/id/1361333","http://ts.21cn.com/tousu/show/id/1361333")</f>
      </c>
      <c r="G9068" t="s" s="2">
        <v>17</v>
      </c>
      <c r="H9068" t="s" s="2">
        <v>19</v>
      </c>
      <c r="I9068" t="s" s="2">
        <v>34966</v>
      </c>
      <c r="J9068" t="s" s="2">
        <v>34967</v>
      </c>
      <c r="K9068" t="s" s="2">
        <v>22</v>
      </c>
      <c r="L9068" t="s" s="2">
        <v>22</v>
      </c>
      <c r="M9068" t="s" s="2">
        <v>22</v>
      </c>
    </row>
    <row r="9069" ht="25.0" customHeight="true">
      <c r="A9069" t="s" s="2">
        <v>13</v>
      </c>
      <c r="B9069" t="s" s="2">
        <f>HYPERLINK("http://ts.21cn.com/tousu/show/id/1361311","广东乐王扣走我帐户19998")</f>
      </c>
      <c r="C9069" t="s" s="2">
        <v>52</v>
      </c>
      <c r="D9069" t="s" s="2">
        <v>16</v>
      </c>
      <c r="E9069" t="s" s="2">
        <v>17</v>
      </c>
      <c r="F9069" t="s" s="2">
        <f>HYPERLINK("http://ts.21cn.com/tousu/show/id/1361311","http://ts.21cn.com/tousu/show/id/1361311")</f>
      </c>
      <c r="G9069" t="s" s="2">
        <v>17</v>
      </c>
      <c r="H9069" t="s" s="2">
        <v>19</v>
      </c>
      <c r="I9069" t="s" s="2">
        <v>34970</v>
      </c>
      <c r="J9069" t="s" s="2">
        <v>34971</v>
      </c>
      <c r="K9069" t="s" s="2">
        <v>22</v>
      </c>
      <c r="L9069" t="s" s="2">
        <v>22</v>
      </c>
      <c r="M9069" t="s" s="2">
        <v>22</v>
      </c>
    </row>
    <row r="9070" ht="25.0" customHeight="true">
      <c r="A9070" t="s" s="2">
        <v>13</v>
      </c>
      <c r="B9070" t="s" s="2">
        <f>HYPERLINK("http://ts.21cn.com/tousu/show/id/1361308","小象优品骚扰通讯录")</f>
      </c>
      <c r="C9070" t="s" s="2">
        <v>15</v>
      </c>
      <c r="D9070" t="s" s="2">
        <v>16</v>
      </c>
      <c r="E9070" t="s" s="2">
        <v>17</v>
      </c>
      <c r="F9070" t="s" s="2">
        <f>HYPERLINK("http://ts.21cn.com/tousu/show/id/1361308","http://ts.21cn.com/tousu/show/id/1361308")</f>
      </c>
      <c r="G9070" t="s" s="2">
        <v>17</v>
      </c>
      <c r="H9070" t="s" s="2">
        <v>19</v>
      </c>
      <c r="I9070" t="s" s="2">
        <v>34974</v>
      </c>
      <c r="J9070" t="s" s="2">
        <v>34975</v>
      </c>
      <c r="K9070" t="s" s="2">
        <v>22</v>
      </c>
      <c r="L9070" t="s" s="2">
        <v>22</v>
      </c>
      <c r="M9070" t="s" s="2">
        <v>22</v>
      </c>
    </row>
    <row r="9071" ht="25.0" customHeight="true">
      <c r="A9071" t="s" s="2">
        <v>13</v>
      </c>
      <c r="B9071" t="s" s="2">
        <f>HYPERLINK("http://ts.21cn.com/tousu/show/id/1361306","闪银放高利贷、扣高额砍头息爆、通讯录")</f>
      </c>
      <c r="C9071" t="s" s="2">
        <v>15</v>
      </c>
      <c r="D9071" t="s" s="2">
        <v>16</v>
      </c>
      <c r="E9071" t="s" s="2">
        <v>17</v>
      </c>
      <c r="F9071" t="s" s="2">
        <f>HYPERLINK("http://ts.21cn.com/tousu/show/id/1361306","http://ts.21cn.com/tousu/show/id/1361306")</f>
      </c>
      <c r="G9071" t="s" s="2">
        <v>17</v>
      </c>
      <c r="H9071" t="s" s="2">
        <v>19</v>
      </c>
      <c r="I9071" t="s" s="2">
        <v>34978</v>
      </c>
      <c r="J9071" t="s" s="2">
        <v>34979</v>
      </c>
      <c r="K9071" t="s" s="2">
        <v>22</v>
      </c>
      <c r="L9071" t="s" s="2">
        <v>22</v>
      </c>
      <c r="M9071" t="s" s="2">
        <v>22</v>
      </c>
    </row>
    <row r="9072" ht="25.0" customHeight="true">
      <c r="A9072" t="s" s="2">
        <v>13</v>
      </c>
      <c r="B9072" t="s" s="2">
        <f>HYPERLINK("http://ts.21cn.com/tousu/show/id/1361300","高利贷！")</f>
      </c>
      <c r="C9072" t="s" s="2">
        <v>15</v>
      </c>
      <c r="D9072" t="s" s="2">
        <v>16</v>
      </c>
      <c r="E9072" t="s" s="2">
        <v>17</v>
      </c>
      <c r="F9072" t="s" s="2">
        <f>HYPERLINK("http://ts.21cn.com/tousu/show/id/1361300","http://ts.21cn.com/tousu/show/id/1361300")</f>
      </c>
      <c r="G9072" t="s" s="2">
        <v>17</v>
      </c>
      <c r="H9072" t="s" s="2">
        <v>19</v>
      </c>
      <c r="I9072" t="s" s="2">
        <v>34982</v>
      </c>
      <c r="J9072" t="s" s="2">
        <v>34983</v>
      </c>
      <c r="K9072" t="s" s="2">
        <v>22</v>
      </c>
      <c r="L9072" t="s" s="2">
        <v>22</v>
      </c>
      <c r="M9072" t="s" s="2">
        <v>22</v>
      </c>
    </row>
    <row r="9073" ht="25.0" customHeight="true">
      <c r="A9073" t="s" s="2">
        <v>13</v>
      </c>
      <c r="B9073" t="s" s="2">
        <f>HYPERLINK("http://ts.21cn.com/tousu/show/id/1361289","招商银行信用卡拒绝协商违约金")</f>
      </c>
      <c r="C9073" t="s" s="2">
        <v>15</v>
      </c>
      <c r="D9073" t="s" s="2">
        <v>16</v>
      </c>
      <c r="E9073" t="s" s="2">
        <v>17</v>
      </c>
      <c r="F9073" t="s" s="2">
        <f>HYPERLINK("http://ts.21cn.com/tousu/show/id/1361289","http://ts.21cn.com/tousu/show/id/1361289")</f>
      </c>
      <c r="G9073" t="s" s="2">
        <v>17</v>
      </c>
      <c r="H9073" t="s" s="2">
        <v>19</v>
      </c>
      <c r="I9073" t="s" s="2">
        <v>34986</v>
      </c>
      <c r="J9073" t="s" s="2">
        <v>34987</v>
      </c>
      <c r="K9073" t="s" s="2">
        <v>22</v>
      </c>
      <c r="L9073" t="s" s="2">
        <v>22</v>
      </c>
      <c r="M9073" t="s" s="2">
        <v>22</v>
      </c>
    </row>
    <row r="9074" ht="25.0" customHeight="true">
      <c r="A9074" t="s" s="2">
        <v>13</v>
      </c>
      <c r="B9074" t="s" s="2">
        <f>HYPERLINK("http://ts.21cn.com/tousu/show/id/1361278","阴阳合同，高利贷")</f>
      </c>
      <c r="C9074" t="s" s="2">
        <v>15</v>
      </c>
      <c r="D9074" t="s" s="2">
        <v>16</v>
      </c>
      <c r="E9074" t="s" s="2">
        <v>17</v>
      </c>
      <c r="F9074" t="s" s="2">
        <f>HYPERLINK("http://ts.21cn.com/tousu/show/id/1361278","http://ts.21cn.com/tousu/show/id/1361278")</f>
      </c>
      <c r="G9074" t="s" s="2">
        <v>17</v>
      </c>
      <c r="H9074" t="s" s="2">
        <v>19</v>
      </c>
      <c r="I9074" t="s" s="2">
        <v>34989</v>
      </c>
      <c r="J9074" t="s" s="2">
        <v>34990</v>
      </c>
      <c r="K9074" t="s" s="2">
        <v>22</v>
      </c>
      <c r="L9074" t="s" s="2">
        <v>22</v>
      </c>
      <c r="M9074" t="s" s="2">
        <v>22</v>
      </c>
    </row>
    <row r="9075" ht="25.0" customHeight="true">
      <c r="A9075" t="s" s="2">
        <v>13</v>
      </c>
      <c r="B9075" t="s" s="2">
        <f>HYPERLINK("http://ts.21cn.com/tousu/show/id/1361267","我来贷暴力催收")</f>
      </c>
      <c r="C9075" t="s" s="2">
        <v>15</v>
      </c>
      <c r="D9075" t="s" s="2">
        <v>16</v>
      </c>
      <c r="E9075" t="s" s="2">
        <v>17</v>
      </c>
      <c r="F9075" t="s" s="2">
        <f>HYPERLINK("http://ts.21cn.com/tousu/show/id/1361267","http://ts.21cn.com/tousu/show/id/1361267")</f>
      </c>
      <c r="G9075" t="s" s="2">
        <v>17</v>
      </c>
      <c r="H9075" t="s" s="2">
        <v>19</v>
      </c>
      <c r="I9075" t="s" s="2">
        <v>34992</v>
      </c>
      <c r="J9075" t="s" s="2">
        <v>34993</v>
      </c>
      <c r="K9075" t="s" s="2">
        <v>22</v>
      </c>
      <c r="L9075" t="s" s="2">
        <v>22</v>
      </c>
      <c r="M9075" t="s" s="2">
        <v>22</v>
      </c>
    </row>
    <row r="9076" ht="25.0" customHeight="true">
      <c r="A9076" t="s" s="2">
        <v>13</v>
      </c>
      <c r="B9076" t="s" s="2">
        <f>HYPERLINK("http://ts.21cn.com/tousu/show/id/1361256","淘宝账户登入异常.无任何人工答复。投诉无门、申诉无门.消费者权益何在？")</f>
      </c>
      <c r="C9076" t="s" s="2">
        <v>15</v>
      </c>
      <c r="D9076" t="s" s="2">
        <v>16</v>
      </c>
      <c r="E9076" t="s" s="2">
        <v>17</v>
      </c>
      <c r="F9076" t="s" s="2">
        <f>HYPERLINK("http://ts.21cn.com/tousu/show/id/1361256","http://ts.21cn.com/tousu/show/id/1361256")</f>
      </c>
      <c r="G9076" t="s" s="2">
        <v>17</v>
      </c>
      <c r="H9076" t="s" s="2">
        <v>19</v>
      </c>
      <c r="I9076" t="s" s="2">
        <v>34996</v>
      </c>
      <c r="J9076" t="s" s="2">
        <v>34997</v>
      </c>
      <c r="K9076" t="s" s="2">
        <v>22</v>
      </c>
      <c r="L9076" t="s" s="2">
        <v>22</v>
      </c>
      <c r="M9076" t="s" s="2">
        <v>22</v>
      </c>
    </row>
    <row r="9077" ht="25.0" customHeight="true">
      <c r="A9077" t="s" s="2">
        <v>13</v>
      </c>
      <c r="B9077" t="s" s="2">
        <f>HYPERLINK("http://ts.21cn.com/tousu/show/id/1361245","快钱旗下如意果小魔鱼，快钱为其提供通道，高利贷，砍头息")</f>
      </c>
      <c r="C9077" t="s" s="2">
        <v>15</v>
      </c>
      <c r="D9077" t="s" s="2">
        <v>16</v>
      </c>
      <c r="E9077" t="s" s="2">
        <v>17</v>
      </c>
      <c r="F9077" t="s" s="2">
        <f>HYPERLINK("http://ts.21cn.com/tousu/show/id/1361245","http://ts.21cn.com/tousu/show/id/1361245")</f>
      </c>
      <c r="G9077" t="s" s="2">
        <v>17</v>
      </c>
      <c r="H9077" t="s" s="2">
        <v>19</v>
      </c>
      <c r="I9077" t="s" s="2">
        <v>35000</v>
      </c>
      <c r="J9077" t="s" s="2">
        <v>35001</v>
      </c>
      <c r="K9077" t="s" s="2">
        <v>22</v>
      </c>
      <c r="L9077" t="s" s="2">
        <v>22</v>
      </c>
      <c r="M9077" t="s" s="2">
        <v>22</v>
      </c>
    </row>
    <row r="9078" ht="25.0" customHeight="true">
      <c r="A9078" t="s" s="2">
        <v>13</v>
      </c>
      <c r="B9078" t="s" s="2">
        <f>HYPERLINK("http://ts.21cn.com/tousu/show/id/1361234","平安普惠群发通讯录短信泄露个人信息")</f>
      </c>
      <c r="C9078" t="s" s="2">
        <v>15</v>
      </c>
      <c r="D9078" t="s" s="2">
        <v>16</v>
      </c>
      <c r="E9078" t="s" s="2">
        <v>17</v>
      </c>
      <c r="F9078" t="s" s="2">
        <f>HYPERLINK("http://ts.21cn.com/tousu/show/id/1361234","http://ts.21cn.com/tousu/show/id/1361234")</f>
      </c>
      <c r="G9078" t="s" s="2">
        <v>17</v>
      </c>
      <c r="H9078" t="s" s="2">
        <v>19</v>
      </c>
      <c r="I9078" t="s" s="2">
        <v>35004</v>
      </c>
      <c r="J9078" t="s" s="2">
        <v>35005</v>
      </c>
      <c r="K9078" t="s" s="2">
        <v>22</v>
      </c>
      <c r="L9078" t="s" s="2">
        <v>22</v>
      </c>
      <c r="M9078" t="s" s="2">
        <v>22</v>
      </c>
    </row>
    <row r="9079" ht="25.0" customHeight="true">
      <c r="A9079" t="s" s="2">
        <v>13</v>
      </c>
      <c r="B9079" t="s" s="2">
        <f>HYPERLINK("http://ts.21cn.com/tousu/show/id/1361223","恶意催收")</f>
      </c>
      <c r="C9079" t="s" s="2">
        <v>15</v>
      </c>
      <c r="D9079" t="s" s="2">
        <v>16</v>
      </c>
      <c r="E9079" t="s" s="2">
        <v>17</v>
      </c>
      <c r="F9079" t="s" s="2">
        <f>HYPERLINK("http://ts.21cn.com/tousu/show/id/1361223","http://ts.21cn.com/tousu/show/id/1361223")</f>
      </c>
      <c r="G9079" t="s" s="2">
        <v>17</v>
      </c>
      <c r="H9079" t="s" s="2">
        <v>19</v>
      </c>
      <c r="I9079" t="s" s="2">
        <v>35007</v>
      </c>
      <c r="J9079" t="s" s="2">
        <v>35008</v>
      </c>
      <c r="K9079" t="s" s="2">
        <v>22</v>
      </c>
      <c r="L9079" t="s" s="2">
        <v>22</v>
      </c>
      <c r="M9079" t="s" s="2">
        <v>22</v>
      </c>
    </row>
    <row r="9080" ht="25.0" customHeight="true">
      <c r="A9080" t="s" s="2">
        <v>13</v>
      </c>
      <c r="B9080" t="s" s="2">
        <f>HYPERLINK("http://ts.21cn.com/tousu/show/id/1361212","招联催收")</f>
      </c>
      <c r="C9080" t="s" s="2">
        <v>15</v>
      </c>
      <c r="D9080" t="s" s="2">
        <v>16</v>
      </c>
      <c r="E9080" t="s" s="2">
        <v>17</v>
      </c>
      <c r="F9080" t="s" s="2">
        <f>HYPERLINK("http://ts.21cn.com/tousu/show/id/1361212","http://ts.21cn.com/tousu/show/id/1361212")</f>
      </c>
      <c r="G9080" t="s" s="2">
        <v>17</v>
      </c>
      <c r="H9080" t="s" s="2">
        <v>19</v>
      </c>
      <c r="I9080" t="s" s="2">
        <v>35011</v>
      </c>
      <c r="J9080" t="s" s="2">
        <v>35012</v>
      </c>
      <c r="K9080" t="s" s="2">
        <v>22</v>
      </c>
      <c r="L9080" t="s" s="2">
        <v>22</v>
      </c>
      <c r="M9080" t="s" s="2">
        <v>22</v>
      </c>
    </row>
    <row r="9081" ht="25.0" customHeight="true">
      <c r="A9081" t="s" s="2">
        <v>13</v>
      </c>
      <c r="B9081" t="s" s="2">
        <f>HYPERLINK("http://ts.21cn.com/tousu/show/id/1361201","多次要求办理业务不下款")</f>
      </c>
      <c r="C9081" t="s" s="2">
        <v>15</v>
      </c>
      <c r="D9081" t="s" s="2">
        <v>16</v>
      </c>
      <c r="E9081" t="s" s="2">
        <v>17</v>
      </c>
      <c r="F9081" t="s" s="2">
        <f>HYPERLINK("http://ts.21cn.com/tousu/show/id/1361201","http://ts.21cn.com/tousu/show/id/1361201")</f>
      </c>
      <c r="G9081" t="s" s="2">
        <v>17</v>
      </c>
      <c r="H9081" t="s" s="2">
        <v>19</v>
      </c>
      <c r="I9081" t="s" s="2">
        <v>35015</v>
      </c>
      <c r="J9081" t="s" s="2">
        <v>35016</v>
      </c>
      <c r="K9081" t="s" s="2">
        <v>22</v>
      </c>
      <c r="L9081" t="s" s="2">
        <v>22</v>
      </c>
      <c r="M9081" t="s" s="2">
        <v>22</v>
      </c>
    </row>
    <row r="9082" ht="25.0" customHeight="true">
      <c r="A9082" t="s" s="2">
        <v>13</v>
      </c>
      <c r="B9082" t="s" s="2">
        <f>HYPERLINK("http://ts.21cn.com/tousu/show/id/1361179","培训贷、不予退款、霸王条款")</f>
      </c>
      <c r="C9082" t="s" s="2">
        <v>15</v>
      </c>
      <c r="D9082" t="s" s="2">
        <v>16</v>
      </c>
      <c r="E9082" t="s" s="2">
        <v>17</v>
      </c>
      <c r="F9082" t="s" s="2">
        <f>HYPERLINK("http://ts.21cn.com/tousu/show/id/1361179","http://ts.21cn.com/tousu/show/id/1361179")</f>
      </c>
      <c r="G9082" t="s" s="2">
        <v>17</v>
      </c>
      <c r="H9082" t="s" s="2">
        <v>19</v>
      </c>
      <c r="I9082" t="s" s="2">
        <v>35019</v>
      </c>
      <c r="J9082" t="s" s="2">
        <v>35020</v>
      </c>
      <c r="K9082" t="s" s="2">
        <v>22</v>
      </c>
      <c r="L9082" t="s" s="2">
        <v>22</v>
      </c>
      <c r="M9082" t="s" s="2">
        <v>22</v>
      </c>
    </row>
    <row r="9083" ht="25.0" customHeight="true">
      <c r="A9083" t="s" s="2">
        <v>13</v>
      </c>
      <c r="B9083" t="s" s="2">
        <f>HYPERLINK("http://ts.21cn.com/tousu/show/id/1361168","贷上钱违法催收骚扰通讯录")</f>
      </c>
      <c r="C9083" t="s" s="2">
        <v>15</v>
      </c>
      <c r="D9083" t="s" s="2">
        <v>16</v>
      </c>
      <c r="E9083" t="s" s="2">
        <v>17</v>
      </c>
      <c r="F9083" t="s" s="2">
        <f>HYPERLINK("http://ts.21cn.com/tousu/show/id/1361168","http://ts.21cn.com/tousu/show/id/1361168")</f>
      </c>
      <c r="G9083" t="s" s="2">
        <v>17</v>
      </c>
      <c r="H9083" t="s" s="2">
        <v>19</v>
      </c>
      <c r="I9083" t="s" s="2">
        <v>35023</v>
      </c>
      <c r="J9083" t="s" s="2">
        <v>35024</v>
      </c>
      <c r="K9083" t="s" s="2">
        <v>22</v>
      </c>
      <c r="L9083" t="s" s="2">
        <v>22</v>
      </c>
      <c r="M9083" t="s" s="2">
        <v>22</v>
      </c>
    </row>
    <row r="9084" ht="25.0" customHeight="true">
      <c r="A9084" t="s" s="2">
        <v>13</v>
      </c>
      <c r="B9084" t="s" s="2">
        <f>HYPERLINK("http://ts.21cn.com/tousu/show/id/1361157","在拼多多买了用品不给发货")</f>
      </c>
      <c r="C9084" t="s" s="2">
        <v>15</v>
      </c>
      <c r="D9084" t="s" s="2">
        <v>16</v>
      </c>
      <c r="E9084" t="s" s="2">
        <v>17</v>
      </c>
      <c r="F9084" t="s" s="2">
        <f>HYPERLINK("http://ts.21cn.com/tousu/show/id/1361157","http://ts.21cn.com/tousu/show/id/1361157")</f>
      </c>
      <c r="G9084" t="s" s="2">
        <v>17</v>
      </c>
      <c r="H9084" t="s" s="2">
        <v>19</v>
      </c>
      <c r="I9084" t="s" s="2">
        <v>35027</v>
      </c>
      <c r="J9084" t="s" s="2">
        <v>35028</v>
      </c>
      <c r="K9084" t="s" s="2">
        <v>22</v>
      </c>
      <c r="L9084" t="s" s="2">
        <v>22</v>
      </c>
      <c r="M9084" t="s" s="2">
        <v>22</v>
      </c>
    </row>
    <row r="9085" ht="25.0" customHeight="true">
      <c r="A9085" t="s" s="2">
        <v>13</v>
      </c>
      <c r="B9085" t="s" s="2">
        <f>HYPERLINK("http://ts.21cn.com/tousu/show/id/1361135","尽享花乱发信息说在他们平台有欠款")</f>
      </c>
      <c r="C9085" t="s" s="2">
        <v>15</v>
      </c>
      <c r="D9085" t="s" s="2">
        <v>16</v>
      </c>
      <c r="E9085" t="s" s="2">
        <v>17</v>
      </c>
      <c r="F9085" t="s" s="2">
        <f>HYPERLINK("http://ts.21cn.com/tousu/show/id/1361135","http://ts.21cn.com/tousu/show/id/1361135")</f>
      </c>
      <c r="G9085" t="s" s="2">
        <v>17</v>
      </c>
      <c r="H9085" t="s" s="2">
        <v>19</v>
      </c>
      <c r="I9085" t="s" s="2">
        <v>35031</v>
      </c>
      <c r="J9085" t="s" s="2">
        <v>35032</v>
      </c>
      <c r="K9085" t="s" s="2">
        <v>22</v>
      </c>
      <c r="L9085" t="s" s="2">
        <v>22</v>
      </c>
      <c r="M9085" t="s" s="2">
        <v>22</v>
      </c>
    </row>
    <row r="9086" ht="25.0" customHeight="true">
      <c r="A9086" t="s" s="2">
        <v>13</v>
      </c>
      <c r="B9086" t="s" s="2">
        <f>HYPERLINK("http://ts.21cn.com/tousu/show/id/1361146","关于月光分期侠账单及借款")</f>
      </c>
      <c r="C9086" t="s" s="2">
        <v>15</v>
      </c>
      <c r="D9086" t="s" s="2">
        <v>16</v>
      </c>
      <c r="E9086" t="s" s="2">
        <v>17</v>
      </c>
      <c r="F9086" t="s" s="2">
        <f>HYPERLINK("http://ts.21cn.com/tousu/show/id/1361146","http://ts.21cn.com/tousu/show/id/1361146")</f>
      </c>
      <c r="G9086" t="s" s="2">
        <v>17</v>
      </c>
      <c r="H9086" t="s" s="2">
        <v>19</v>
      </c>
      <c r="I9086" t="s" s="2">
        <v>35035</v>
      </c>
      <c r="J9086" t="s" s="2">
        <v>35036</v>
      </c>
      <c r="K9086" t="s" s="2">
        <v>22</v>
      </c>
      <c r="L9086" t="s" s="2">
        <v>22</v>
      </c>
      <c r="M9086" t="s" s="2">
        <v>22</v>
      </c>
    </row>
    <row r="9087" ht="25.0" customHeight="true">
      <c r="A9087" t="s" s="2">
        <v>13</v>
      </c>
      <c r="B9087" t="s" s="2">
        <f>HYPERLINK("http://ts.21cn.com/tousu/show/id/1361126","闪银奇异砍头息")</f>
      </c>
      <c r="C9087" t="s" s="2">
        <v>15</v>
      </c>
      <c r="D9087" t="s" s="2">
        <v>16</v>
      </c>
      <c r="E9087" t="s" s="2">
        <v>17</v>
      </c>
      <c r="F9087" t="s" s="2">
        <f>HYPERLINK("http://ts.21cn.com/tousu/show/id/1361126","http://ts.21cn.com/tousu/show/id/1361126")</f>
      </c>
      <c r="G9087" t="s" s="2">
        <v>17</v>
      </c>
      <c r="H9087" t="s" s="2">
        <v>19</v>
      </c>
      <c r="I9087" t="s" s="2">
        <v>35038</v>
      </c>
      <c r="J9087" t="s" s="2">
        <v>35039</v>
      </c>
      <c r="K9087" t="s" s="2">
        <v>22</v>
      </c>
      <c r="L9087" t="s" s="2">
        <v>22</v>
      </c>
      <c r="M9087" t="s" s="2">
        <v>22</v>
      </c>
    </row>
    <row r="9088" ht="25.0" customHeight="true">
      <c r="A9088" t="s" s="2">
        <v>13</v>
      </c>
      <c r="B9088" t="s" s="2">
        <f>HYPERLINK("http://ts.21cn.com/tousu/show/id/1361124","敷衍了事的公司")</f>
      </c>
      <c r="C9088" t="s" s="2">
        <v>15</v>
      </c>
      <c r="D9088" t="s" s="2">
        <v>16</v>
      </c>
      <c r="E9088" t="s" s="2">
        <v>17</v>
      </c>
      <c r="F9088" t="s" s="2">
        <f>HYPERLINK("http://ts.21cn.com/tousu/show/id/1361124","http://ts.21cn.com/tousu/show/id/1361124")</f>
      </c>
      <c r="G9088" t="s" s="2">
        <v>17</v>
      </c>
      <c r="H9088" t="s" s="2">
        <v>19</v>
      </c>
      <c r="I9088" t="s" s="2">
        <v>35042</v>
      </c>
      <c r="J9088" t="s" s="2">
        <v>35043</v>
      </c>
      <c r="K9088" t="s" s="2">
        <v>22</v>
      </c>
      <c r="L9088" t="s" s="2">
        <v>22</v>
      </c>
      <c r="M9088" t="s" s="2">
        <v>22</v>
      </c>
    </row>
    <row r="9089" ht="25.0" customHeight="true">
      <c r="A9089" t="s" s="2">
        <v>13</v>
      </c>
      <c r="B9089" t="s" s="2">
        <f>HYPERLINK("http://ts.21cn.com/tousu/show/id/1361125","钱站非法导入通讯录电话骚扰")</f>
      </c>
      <c r="C9089" t="s" s="2">
        <v>15</v>
      </c>
      <c r="D9089" t="s" s="2">
        <v>16</v>
      </c>
      <c r="E9089" t="s" s="2">
        <v>17</v>
      </c>
      <c r="F9089" t="s" s="2">
        <f>HYPERLINK("http://ts.21cn.com/tousu/show/id/1361125","http://ts.21cn.com/tousu/show/id/1361125")</f>
      </c>
      <c r="G9089" t="s" s="2">
        <v>17</v>
      </c>
      <c r="H9089" t="s" s="2">
        <v>19</v>
      </c>
      <c r="I9089" t="s" s="2">
        <v>35046</v>
      </c>
      <c r="J9089" t="s" s="2">
        <v>35047</v>
      </c>
      <c r="K9089" t="s" s="2">
        <v>22</v>
      </c>
      <c r="L9089" t="s" s="2">
        <v>22</v>
      </c>
      <c r="M9089" t="s" s="2">
        <v>22</v>
      </c>
    </row>
    <row r="9090" ht="25.0" customHeight="true">
      <c r="A9090" t="s" s="2">
        <v>13</v>
      </c>
      <c r="B9090" t="s" s="2">
        <f>HYPERLINK("http://ts.21cn.com/tousu/show/id/1361113","中华联合财产保险逾期不赔")</f>
      </c>
      <c r="C9090" t="s" s="2">
        <v>15</v>
      </c>
      <c r="D9090" t="s" s="2">
        <v>16</v>
      </c>
      <c r="E9090" t="s" s="2">
        <v>17</v>
      </c>
      <c r="F9090" t="s" s="2">
        <f>HYPERLINK("http://ts.21cn.com/tousu/show/id/1361113","http://ts.21cn.com/tousu/show/id/1361113")</f>
      </c>
      <c r="G9090" t="s" s="2">
        <v>17</v>
      </c>
      <c r="H9090" t="s" s="2">
        <v>19</v>
      </c>
      <c r="I9090" t="s" s="2">
        <v>35050</v>
      </c>
      <c r="J9090" t="s" s="2">
        <v>35051</v>
      </c>
      <c r="K9090" t="s" s="2">
        <v>22</v>
      </c>
      <c r="L9090" t="s" s="2">
        <v>22</v>
      </c>
      <c r="M9090" t="s" s="2">
        <v>22</v>
      </c>
    </row>
    <row r="9091" ht="25.0" customHeight="true">
      <c r="A9091" t="s" s="2">
        <v>13</v>
      </c>
      <c r="B9091" t="s" s="2">
        <f>HYPERLINK("http://ts.21cn.com/tousu/show/id/1361102","投诉白领贷麦子金服套路贷高利贷")</f>
      </c>
      <c r="C9091" t="s" s="2">
        <v>15</v>
      </c>
      <c r="D9091" t="s" s="2">
        <v>16</v>
      </c>
      <c r="E9091" t="s" s="2">
        <v>17</v>
      </c>
      <c r="F9091" t="s" s="2">
        <f>HYPERLINK("http://ts.21cn.com/tousu/show/id/1361102","http://ts.21cn.com/tousu/show/id/1361102")</f>
      </c>
      <c r="G9091" t="s" s="2">
        <v>17</v>
      </c>
      <c r="H9091" t="s" s="2">
        <v>19</v>
      </c>
      <c r="I9091" t="s" s="2">
        <v>35054</v>
      </c>
      <c r="J9091" t="s" s="2">
        <v>35055</v>
      </c>
      <c r="K9091" t="s" s="2">
        <v>22</v>
      </c>
      <c r="L9091" t="s" s="2">
        <v>22</v>
      </c>
      <c r="M9091" t="s" s="2">
        <v>22</v>
      </c>
    </row>
    <row r="9092" ht="25.0" customHeight="true">
      <c r="A9092" t="s" s="2">
        <v>13</v>
      </c>
      <c r="B9092" t="s" s="2">
        <f>HYPERLINK("http://ts.21cn.com/tousu/show/id/1361090","一点分期触犯国家法律法规借款有砍头息")</f>
      </c>
      <c r="C9092" t="s" s="2">
        <v>15</v>
      </c>
      <c r="D9092" t="s" s="2">
        <v>16</v>
      </c>
      <c r="E9092" t="s" s="2">
        <v>17</v>
      </c>
      <c r="F9092" t="s" s="2">
        <f>HYPERLINK("http://ts.21cn.com/tousu/show/id/1361090","http://ts.21cn.com/tousu/show/id/1361090")</f>
      </c>
      <c r="G9092" t="s" s="2">
        <v>17</v>
      </c>
      <c r="H9092" t="s" s="2">
        <v>19</v>
      </c>
      <c r="I9092" t="s" s="2">
        <v>35058</v>
      </c>
      <c r="J9092" t="s" s="2">
        <v>35059</v>
      </c>
      <c r="K9092" t="s" s="2">
        <v>22</v>
      </c>
      <c r="L9092" t="s" s="2">
        <v>22</v>
      </c>
      <c r="M9092" t="s" s="2">
        <v>22</v>
      </c>
    </row>
    <row r="9093" ht="25.0" customHeight="true">
      <c r="A9093" t="s" s="2">
        <v>13</v>
      </c>
      <c r="B9093" t="s" s="2">
        <f>HYPERLINK("http://ts.21cn.com/tousu/show/id/1361069","小通商城恶意扣款")</f>
      </c>
      <c r="C9093" t="s" s="2">
        <v>15</v>
      </c>
      <c r="D9093" t="s" s="2">
        <v>16</v>
      </c>
      <c r="E9093" t="s" s="2">
        <v>17</v>
      </c>
      <c r="F9093" t="s" s="2">
        <f>HYPERLINK("http://ts.21cn.com/tousu/show/id/1361069","http://ts.21cn.com/tousu/show/id/1361069")</f>
      </c>
      <c r="G9093" t="s" s="2">
        <v>17</v>
      </c>
      <c r="H9093" t="s" s="2">
        <v>19</v>
      </c>
      <c r="I9093" t="s" s="2">
        <v>35062</v>
      </c>
      <c r="J9093" t="s" s="2">
        <v>35063</v>
      </c>
      <c r="K9093" t="s" s="2">
        <v>22</v>
      </c>
      <c r="L9093" t="s" s="2">
        <v>22</v>
      </c>
      <c r="M9093" t="s" s="2">
        <v>22</v>
      </c>
    </row>
    <row r="9094" ht="25.0" customHeight="true">
      <c r="A9094" t="s" s="2">
        <v>13</v>
      </c>
      <c r="B9094" t="s" s="2">
        <f>HYPERLINK("http://ts.21cn.com/tousu/show/id/1361058","闪电借款，购买财神黑卡时显示说还款成功以后可以退款，现在又说不能退款")</f>
      </c>
      <c r="C9094" t="s" s="2">
        <v>15</v>
      </c>
      <c r="D9094" t="s" s="2">
        <v>16</v>
      </c>
      <c r="E9094" t="s" s="2">
        <v>17</v>
      </c>
      <c r="F9094" t="s" s="2">
        <f>HYPERLINK("http://ts.21cn.com/tousu/show/id/1361058","http://ts.21cn.com/tousu/show/id/1361058")</f>
      </c>
      <c r="G9094" t="s" s="2">
        <v>17</v>
      </c>
      <c r="H9094" t="s" s="2">
        <v>19</v>
      </c>
      <c r="I9094" t="s" s="2">
        <v>35066</v>
      </c>
      <c r="J9094" t="s" s="2">
        <v>35067</v>
      </c>
      <c r="K9094" t="s" s="2">
        <v>22</v>
      </c>
      <c r="L9094" t="s" s="2">
        <v>22</v>
      </c>
      <c r="M9094" t="s" s="2">
        <v>22</v>
      </c>
    </row>
    <row r="9095" ht="25.0" customHeight="true">
      <c r="A9095" t="s" s="2">
        <v>13</v>
      </c>
      <c r="B9095" t="s" s="2">
        <f>HYPERLINK("http://ts.21cn.com/tousu/show/id/1361047","京东商城手机质量问题不退换")</f>
      </c>
      <c r="C9095" t="s" s="2">
        <v>15</v>
      </c>
      <c r="D9095" t="s" s="2">
        <v>16</v>
      </c>
      <c r="E9095" t="s" s="2">
        <v>17</v>
      </c>
      <c r="F9095" t="s" s="2">
        <f>HYPERLINK("http://ts.21cn.com/tousu/show/id/1361047","http://ts.21cn.com/tousu/show/id/1361047")</f>
      </c>
      <c r="G9095" t="s" s="2">
        <v>17</v>
      </c>
      <c r="H9095" t="s" s="2">
        <v>19</v>
      </c>
      <c r="I9095" t="s" s="2">
        <v>35070</v>
      </c>
      <c r="J9095" t="s" s="2">
        <v>35071</v>
      </c>
      <c r="K9095" t="s" s="2">
        <v>22</v>
      </c>
      <c r="L9095" t="s" s="2">
        <v>22</v>
      </c>
      <c r="M9095" t="s" s="2">
        <v>22</v>
      </c>
    </row>
    <row r="9096" ht="25.0" customHeight="true">
      <c r="A9096" t="s" s="2">
        <v>13</v>
      </c>
      <c r="B9096" t="s" s="2">
        <f>HYPERLINK("http://ts.21cn.com/tousu/show/id/1361036","光华普惠暴力催收")</f>
      </c>
      <c r="C9096" t="s" s="2">
        <v>15</v>
      </c>
      <c r="D9096" t="s" s="2">
        <v>16</v>
      </c>
      <c r="E9096" t="s" s="2">
        <v>17</v>
      </c>
      <c r="F9096" t="s" s="2">
        <f>HYPERLINK("http://ts.21cn.com/tousu/show/id/1361036","http://ts.21cn.com/tousu/show/id/1361036")</f>
      </c>
      <c r="G9096" t="s" s="2">
        <v>17</v>
      </c>
      <c r="H9096" t="s" s="2">
        <v>19</v>
      </c>
      <c r="I9096" t="s" s="2">
        <v>35074</v>
      </c>
      <c r="J9096" t="s" s="2">
        <v>35075</v>
      </c>
      <c r="K9096" t="s" s="2">
        <v>22</v>
      </c>
      <c r="L9096" t="s" s="2">
        <v>22</v>
      </c>
      <c r="M9096" t="s" s="2">
        <v>22</v>
      </c>
    </row>
    <row r="9097" ht="25.0" customHeight="true">
      <c r="A9097" t="s" s="2">
        <v>13</v>
      </c>
      <c r="B9097" t="s" s="2">
        <f>HYPERLINK("http://ts.21cn.com/tousu/show/id/1361014","钱站发威胁短信")</f>
      </c>
      <c r="C9097" t="s" s="2">
        <v>15</v>
      </c>
      <c r="D9097" t="s" s="2">
        <v>16</v>
      </c>
      <c r="E9097" t="s" s="2">
        <v>17</v>
      </c>
      <c r="F9097" t="s" s="2">
        <f>HYPERLINK("http://ts.21cn.com/tousu/show/id/1361014","http://ts.21cn.com/tousu/show/id/1361014")</f>
      </c>
      <c r="G9097" t="s" s="2">
        <v>17</v>
      </c>
      <c r="H9097" t="s" s="2">
        <v>19</v>
      </c>
      <c r="I9097" t="s" s="2">
        <v>35078</v>
      </c>
      <c r="J9097" t="s" s="2">
        <v>35079</v>
      </c>
      <c r="K9097" t="s" s="2">
        <v>22</v>
      </c>
      <c r="L9097" t="s" s="2">
        <v>22</v>
      </c>
      <c r="M9097" t="s" s="2">
        <v>22</v>
      </c>
    </row>
    <row r="9098" ht="25.0" customHeight="true">
      <c r="A9098" t="s" s="2">
        <v>13</v>
      </c>
      <c r="B9098" t="s" s="2">
        <f>HYPERLINK("http://ts.21cn.com/tousu/show/id/1361003","兴业银行暴力催收")</f>
      </c>
      <c r="C9098" t="s" s="2">
        <v>15</v>
      </c>
      <c r="D9098" t="s" s="2">
        <v>16</v>
      </c>
      <c r="E9098" t="s" s="2">
        <v>17</v>
      </c>
      <c r="F9098" t="s" s="2">
        <f>HYPERLINK("http://ts.21cn.com/tousu/show/id/1361003","http://ts.21cn.com/tousu/show/id/1361003")</f>
      </c>
      <c r="G9098" t="s" s="2">
        <v>17</v>
      </c>
      <c r="H9098" t="s" s="2">
        <v>19</v>
      </c>
      <c r="I9098" t="s" s="2">
        <v>35082</v>
      </c>
      <c r="J9098" t="s" s="2">
        <v>35083</v>
      </c>
      <c r="K9098" t="s" s="2">
        <v>22</v>
      </c>
      <c r="L9098" t="s" s="2">
        <v>22</v>
      </c>
      <c r="M9098" t="s" s="2">
        <v>22</v>
      </c>
    </row>
    <row r="9099" ht="25.0" customHeight="true">
      <c r="A9099" t="s" s="2">
        <v>13</v>
      </c>
      <c r="B9099" t="s" s="2">
        <f>HYPERLINK("http://ts.21cn.com/tousu/show/id/1360817","我的农业银行网上银行无缘无故被（特约）广东乐王实业有限公司扣款")</f>
      </c>
      <c r="C9099" t="s" s="2">
        <v>15</v>
      </c>
      <c r="D9099" t="s" s="2">
        <v>16</v>
      </c>
      <c r="E9099" t="s" s="2">
        <v>17</v>
      </c>
      <c r="F9099" t="s" s="2">
        <f>HYPERLINK("http://ts.21cn.com/tousu/show/id/1360817","http://ts.21cn.com/tousu/show/id/1360817")</f>
      </c>
      <c r="G9099" t="s" s="2">
        <v>17</v>
      </c>
      <c r="H9099" t="s" s="2">
        <v>19</v>
      </c>
      <c r="I9099" t="s" s="2">
        <v>35086</v>
      </c>
      <c r="J9099" t="s" s="2">
        <v>35087</v>
      </c>
      <c r="K9099" t="s" s="2">
        <v>22</v>
      </c>
      <c r="L9099" t="s" s="2">
        <v>22</v>
      </c>
      <c r="M9099" t="s" s="2">
        <v>22</v>
      </c>
    </row>
    <row r="9100" ht="25.0" customHeight="true">
      <c r="A9100" t="s" s="2">
        <v>13</v>
      </c>
      <c r="B9100" t="s" s="2">
        <f>HYPERLINK("http://ts.21cn.com/tousu/show/id/1360992","中腾信砍头息，暴力催收，爆通讯录，乱骂人")</f>
      </c>
      <c r="C9100" t="s" s="2">
        <v>15</v>
      </c>
      <c r="D9100" t="s" s="2">
        <v>16</v>
      </c>
      <c r="E9100" t="s" s="2">
        <v>17</v>
      </c>
      <c r="F9100" t="s" s="2">
        <f>HYPERLINK("http://ts.21cn.com/tousu/show/id/1360992","http://ts.21cn.com/tousu/show/id/1360992")</f>
      </c>
      <c r="G9100" t="s" s="2">
        <v>17</v>
      </c>
      <c r="H9100" t="s" s="2">
        <v>19</v>
      </c>
      <c r="I9100" t="s" s="2">
        <v>35090</v>
      </c>
      <c r="J9100" t="s" s="2">
        <v>35091</v>
      </c>
      <c r="K9100" t="s" s="2">
        <v>22</v>
      </c>
      <c r="L9100" t="s" s="2">
        <v>22</v>
      </c>
      <c r="M9100" t="s" s="2">
        <v>22</v>
      </c>
    </row>
    <row r="9101" ht="25.0" customHeight="true">
      <c r="A9101" t="s" s="2">
        <v>13</v>
      </c>
      <c r="B9101" t="s" s="2">
        <f>HYPERLINK("http://ts.21cn.com/tousu/show/id/1360981","民航通黑卡虚假宣传、存在欺诈行为")</f>
      </c>
      <c r="C9101" t="s" s="2">
        <v>15</v>
      </c>
      <c r="D9101" t="s" s="2">
        <v>16</v>
      </c>
      <c r="E9101" t="s" s="2">
        <v>17</v>
      </c>
      <c r="F9101" t="s" s="2">
        <f>HYPERLINK("http://ts.21cn.com/tousu/show/id/1360981","http://ts.21cn.com/tousu/show/id/1360981")</f>
      </c>
      <c r="G9101" t="s" s="2">
        <v>17</v>
      </c>
      <c r="H9101" t="s" s="2">
        <v>19</v>
      </c>
      <c r="I9101" t="s" s="2">
        <v>35093</v>
      </c>
      <c r="J9101" t="s" s="2">
        <v>35094</v>
      </c>
      <c r="K9101" t="s" s="2">
        <v>22</v>
      </c>
      <c r="L9101" t="s" s="2">
        <v>22</v>
      </c>
      <c r="M9101" t="s" s="2">
        <v>22</v>
      </c>
    </row>
    <row r="9102" ht="25.0" customHeight="true">
      <c r="A9102" t="s" s="2">
        <v>13</v>
      </c>
      <c r="B9102" t="s" s="2">
        <f>HYPERLINK("http://ts.21cn.com/tousu/show/id/1360970","钱伴催收部门威胁爆通讯录")</f>
      </c>
      <c r="C9102" t="s" s="2">
        <v>15</v>
      </c>
      <c r="D9102" t="s" s="2">
        <v>16</v>
      </c>
      <c r="E9102" t="s" s="2">
        <v>17</v>
      </c>
      <c r="F9102" t="s" s="2">
        <f>HYPERLINK("http://ts.21cn.com/tousu/show/id/1360970","http://ts.21cn.com/tousu/show/id/1360970")</f>
      </c>
      <c r="G9102" t="s" s="2">
        <v>17</v>
      </c>
      <c r="H9102" t="s" s="2">
        <v>19</v>
      </c>
      <c r="I9102" t="s" s="2">
        <v>35097</v>
      </c>
      <c r="J9102" t="s" s="2">
        <v>35098</v>
      </c>
      <c r="K9102" t="s" s="2">
        <v>22</v>
      </c>
      <c r="L9102" t="s" s="2">
        <v>22</v>
      </c>
      <c r="M9102" t="s" s="2">
        <v>22</v>
      </c>
    </row>
    <row r="9103" ht="25.0" customHeight="true">
      <c r="A9103" t="s" s="2">
        <v>13</v>
      </c>
      <c r="B9103" t="s" s="2">
        <f>HYPERLINK("http://ts.21cn.com/tousu/show/id/1360966","汇潮支付有限公司违规操作提供第三方支付通道")</f>
      </c>
      <c r="C9103" t="s" s="2">
        <v>15</v>
      </c>
      <c r="D9103" t="s" s="2">
        <v>16</v>
      </c>
      <c r="E9103" t="s" s="2">
        <v>17</v>
      </c>
      <c r="F9103" t="s" s="2">
        <f>HYPERLINK("http://ts.21cn.com/tousu/show/id/1360966","http://ts.21cn.com/tousu/show/id/1360966")</f>
      </c>
      <c r="G9103" t="s" s="2">
        <v>17</v>
      </c>
      <c r="H9103" t="s" s="2">
        <v>19</v>
      </c>
      <c r="I9103" t="s" s="2">
        <v>35101</v>
      </c>
      <c r="J9103" t="s" s="2">
        <v>35102</v>
      </c>
      <c r="K9103" t="s" s="2">
        <v>22</v>
      </c>
      <c r="L9103" t="s" s="2">
        <v>22</v>
      </c>
      <c r="M9103" t="s" s="2">
        <v>22</v>
      </c>
    </row>
    <row r="9104" ht="25.0" customHeight="true">
      <c r="A9104" t="s" s="2">
        <v>13</v>
      </c>
      <c r="B9104" t="s" s="2">
        <f>HYPERLINK("http://ts.21cn.com/tousu/show/id/1360916","财神小管家欺诈消费者")</f>
      </c>
      <c r="C9104" t="s" s="2">
        <v>15</v>
      </c>
      <c r="D9104" t="s" s="2">
        <v>16</v>
      </c>
      <c r="E9104" t="s" s="2">
        <v>17</v>
      </c>
      <c r="F9104" t="s" s="2">
        <f>HYPERLINK("http://ts.21cn.com/tousu/show/id/1360916","http://ts.21cn.com/tousu/show/id/1360916")</f>
      </c>
      <c r="G9104" t="s" s="2">
        <v>17</v>
      </c>
      <c r="H9104" t="s" s="2">
        <v>19</v>
      </c>
      <c r="I9104" t="s" s="2">
        <v>35105</v>
      </c>
      <c r="J9104" t="s" s="2">
        <v>35106</v>
      </c>
      <c r="K9104" t="s" s="2">
        <v>22</v>
      </c>
      <c r="L9104" t="s" s="2">
        <v>22</v>
      </c>
      <c r="M9104" t="s" s="2">
        <v>22</v>
      </c>
    </row>
    <row r="9105" ht="25.0" customHeight="true">
      <c r="A9105" t="s" s="2">
        <v>13</v>
      </c>
      <c r="B9105" t="s" s="2">
        <f>HYPERLINK("http://ts.21cn.com/tousu/show/id/1360949","闲鱼顾客退货，货未收到就退款")</f>
      </c>
      <c r="C9105" t="s" s="2">
        <v>52</v>
      </c>
      <c r="D9105" t="s" s="2">
        <v>16</v>
      </c>
      <c r="E9105" t="s" s="2">
        <v>17</v>
      </c>
      <c r="F9105" t="s" s="2">
        <f>HYPERLINK("http://ts.21cn.com/tousu/show/id/1360949","http://ts.21cn.com/tousu/show/id/1360949")</f>
      </c>
      <c r="G9105" t="s" s="2">
        <v>17</v>
      </c>
      <c r="H9105" t="s" s="2">
        <v>19</v>
      </c>
      <c r="I9105" t="s" s="2">
        <v>35109</v>
      </c>
      <c r="J9105" t="s" s="2">
        <v>35110</v>
      </c>
      <c r="K9105" t="s" s="2">
        <v>22</v>
      </c>
      <c r="L9105" t="s" s="2">
        <v>22</v>
      </c>
      <c r="M9105" t="s" s="2">
        <v>22</v>
      </c>
    </row>
    <row r="9106" ht="25.0" customHeight="true">
      <c r="A9106" t="s" s="2">
        <v>13</v>
      </c>
      <c r="B9106" t="s" s="2">
        <f>HYPERLINK("http://ts.21cn.com/tousu/show/id/1360943","云闪付违规操作提供第三方支付通道要求退款")</f>
      </c>
      <c r="C9106" t="s" s="2">
        <v>15</v>
      </c>
      <c r="D9106" t="s" s="2">
        <v>16</v>
      </c>
      <c r="E9106" t="s" s="2">
        <v>17</v>
      </c>
      <c r="F9106" t="s" s="2">
        <f>HYPERLINK("http://ts.21cn.com/tousu/show/id/1360943","http://ts.21cn.com/tousu/show/id/1360943")</f>
      </c>
      <c r="G9106" t="s" s="2">
        <v>17</v>
      </c>
      <c r="H9106" t="s" s="2">
        <v>19</v>
      </c>
      <c r="I9106" t="s" s="2">
        <v>35113</v>
      </c>
      <c r="J9106" t="s" s="2">
        <v>35114</v>
      </c>
      <c r="K9106" t="s" s="2">
        <v>22</v>
      </c>
      <c r="L9106" t="s" s="2">
        <v>22</v>
      </c>
      <c r="M9106" t="s" s="2">
        <v>22</v>
      </c>
    </row>
    <row r="9107" ht="25.0" customHeight="true">
      <c r="A9107" t="s" s="2">
        <v>13</v>
      </c>
      <c r="B9107" t="s" s="2">
        <f>HYPERLINK("http://ts.21cn.com/tousu/show/id/1360938","随手记高利贷，阴阳合同，高额逾期费")</f>
      </c>
      <c r="C9107" t="s" s="2">
        <v>15</v>
      </c>
      <c r="D9107" t="s" s="2">
        <v>16</v>
      </c>
      <c r="E9107" t="s" s="2">
        <v>17</v>
      </c>
      <c r="F9107" t="s" s="2">
        <f>HYPERLINK("http://ts.21cn.com/tousu/show/id/1360938","http://ts.21cn.com/tousu/show/id/1360938")</f>
      </c>
      <c r="G9107" t="s" s="2">
        <v>17</v>
      </c>
      <c r="H9107" t="s" s="2">
        <v>19</v>
      </c>
      <c r="I9107" t="s" s="2">
        <v>35117</v>
      </c>
      <c r="J9107" t="s" s="2">
        <v>35118</v>
      </c>
      <c r="K9107" t="s" s="2">
        <v>22</v>
      </c>
      <c r="L9107" t="s" s="2">
        <v>22</v>
      </c>
      <c r="M9107" t="s" s="2">
        <v>22</v>
      </c>
    </row>
    <row r="9108" ht="25.0" customHeight="true">
      <c r="A9108" t="s" s="2">
        <v>13</v>
      </c>
      <c r="B9108" t="s" s="2">
        <f>HYPERLINK("http://ts.21cn.com/tousu/show/id/1360929","上海翰银为赌博平台收单，请求瀚银为我全额退款挽回经济损失")</f>
      </c>
      <c r="C9108" t="s" s="2">
        <v>15</v>
      </c>
      <c r="D9108" t="s" s="2">
        <v>16</v>
      </c>
      <c r="E9108" t="s" s="2">
        <v>17</v>
      </c>
      <c r="F9108" t="s" s="2">
        <f>HYPERLINK("http://ts.21cn.com/tousu/show/id/1360929","http://ts.21cn.com/tousu/show/id/1360929")</f>
      </c>
      <c r="G9108" t="s" s="2">
        <v>17</v>
      </c>
      <c r="H9108" t="s" s="2">
        <v>19</v>
      </c>
      <c r="I9108" t="s" s="2">
        <v>35121</v>
      </c>
      <c r="J9108" t="s" s="2">
        <v>35122</v>
      </c>
      <c r="K9108" t="s" s="2">
        <v>22</v>
      </c>
      <c r="L9108" t="s" s="2">
        <v>22</v>
      </c>
      <c r="M9108" t="s" s="2">
        <v>22</v>
      </c>
    </row>
    <row r="9109" ht="25.0" customHeight="true">
      <c r="A9109" t="s" s="2">
        <v>13</v>
      </c>
      <c r="B9109" t="s" s="2">
        <f>HYPERLINK("http://ts.21cn.com/tousu/show/id/1360927","投诉钱站高利贷，砍头息，阴阳合同")</f>
      </c>
      <c r="C9109" t="s" s="2">
        <v>15</v>
      </c>
      <c r="D9109" t="s" s="2">
        <v>16</v>
      </c>
      <c r="E9109" t="s" s="2">
        <v>17</v>
      </c>
      <c r="F9109" t="s" s="2">
        <f>HYPERLINK("http://ts.21cn.com/tousu/show/id/1360927","http://ts.21cn.com/tousu/show/id/1360927")</f>
      </c>
      <c r="G9109" t="s" s="2">
        <v>17</v>
      </c>
      <c r="H9109" t="s" s="2">
        <v>19</v>
      </c>
      <c r="I9109" t="s" s="2">
        <v>35125</v>
      </c>
      <c r="J9109" t="s" s="2">
        <v>35126</v>
      </c>
      <c r="K9109" t="s" s="2">
        <v>22</v>
      </c>
      <c r="L9109" t="s" s="2">
        <v>22</v>
      </c>
      <c r="M9109" t="s" s="2">
        <v>22</v>
      </c>
    </row>
    <row r="9110" ht="25.0" customHeight="true">
      <c r="A9110" t="s" s="2">
        <v>13</v>
      </c>
      <c r="B9110" t="s" s="2">
        <f>HYPERLINK("http://ts.21cn.com/tousu/show/id/1360905","对我进行辱骂并威胁我")</f>
      </c>
      <c r="C9110" t="s" s="2">
        <v>15</v>
      </c>
      <c r="D9110" t="s" s="2">
        <v>16</v>
      </c>
      <c r="E9110" t="s" s="2">
        <v>17</v>
      </c>
      <c r="F9110" t="s" s="2">
        <f>HYPERLINK("http://ts.21cn.com/tousu/show/id/1360905","http://ts.21cn.com/tousu/show/id/1360905")</f>
      </c>
      <c r="G9110" t="s" s="2">
        <v>17</v>
      </c>
      <c r="H9110" t="s" s="2">
        <v>19</v>
      </c>
      <c r="I9110" t="s" s="2">
        <v>35129</v>
      </c>
      <c r="J9110" t="s" s="2">
        <v>35130</v>
      </c>
      <c r="K9110" t="s" s="2">
        <v>22</v>
      </c>
      <c r="L9110" t="s" s="2">
        <v>22</v>
      </c>
      <c r="M9110" t="s" s="2">
        <v>22</v>
      </c>
    </row>
    <row r="9111" ht="25.0" customHeight="true">
      <c r="A9111" t="s" s="2">
        <v>13</v>
      </c>
      <c r="B9111" t="s" s="2">
        <f>HYPERLINK("http://ts.21cn.com/tousu/show/id/1360893","谩骂骚扰通讯录好友")</f>
      </c>
      <c r="C9111" t="s" s="2">
        <v>15</v>
      </c>
      <c r="D9111" t="s" s="2">
        <v>16</v>
      </c>
      <c r="E9111" t="s" s="2">
        <v>17</v>
      </c>
      <c r="F9111" t="s" s="2">
        <f>HYPERLINK("http://ts.21cn.com/tousu/show/id/1360893","http://ts.21cn.com/tousu/show/id/1360893")</f>
      </c>
      <c r="G9111" t="s" s="2">
        <v>17</v>
      </c>
      <c r="H9111" t="s" s="2">
        <v>19</v>
      </c>
      <c r="I9111" t="s" s="2">
        <v>35133</v>
      </c>
      <c r="J9111" t="s" s="2">
        <v>35134</v>
      </c>
      <c r="K9111" t="s" s="2">
        <v>22</v>
      </c>
      <c r="L9111" t="s" s="2">
        <v>22</v>
      </c>
      <c r="M9111" t="s" s="2">
        <v>22</v>
      </c>
    </row>
    <row r="9112" ht="25.0" customHeight="true">
      <c r="A9112" t="s" s="2">
        <v>13</v>
      </c>
      <c r="B9112" t="s" s="2">
        <f>HYPERLINK("http://ts.21cn.com/tousu/show/id/1360882","威胁，骚扰，暴力，催款")</f>
      </c>
      <c r="C9112" t="s" s="2">
        <v>15</v>
      </c>
      <c r="D9112" t="s" s="2">
        <v>16</v>
      </c>
      <c r="E9112" t="s" s="2">
        <v>17</v>
      </c>
      <c r="F9112" t="s" s="2">
        <f>HYPERLINK("http://ts.21cn.com/tousu/show/id/1360882","http://ts.21cn.com/tousu/show/id/1360882")</f>
      </c>
      <c r="G9112" t="s" s="2">
        <v>17</v>
      </c>
      <c r="H9112" t="s" s="2">
        <v>19</v>
      </c>
      <c r="I9112" t="s" s="2">
        <v>35137</v>
      </c>
      <c r="J9112" t="s" s="2">
        <v>35138</v>
      </c>
      <c r="K9112" t="s" s="2">
        <v>22</v>
      </c>
      <c r="L9112" t="s" s="2">
        <v>22</v>
      </c>
      <c r="M9112" t="s" s="2">
        <v>22</v>
      </c>
    </row>
    <row r="9113" ht="25.0" customHeight="true">
      <c r="A9113" t="s" s="2">
        <v>13</v>
      </c>
      <c r="B9113" t="s" s="2">
        <f>HYPERLINK("http://ts.21cn.com/tousu/show/id/1360871","小赢卡贷骚扰联系人，群发短信")</f>
      </c>
      <c r="C9113" t="s" s="2">
        <v>15</v>
      </c>
      <c r="D9113" t="s" s="2">
        <v>16</v>
      </c>
      <c r="E9113" t="s" s="2">
        <v>17</v>
      </c>
      <c r="F9113" t="s" s="2">
        <f>HYPERLINK("http://ts.21cn.com/tousu/show/id/1360871","http://ts.21cn.com/tousu/show/id/1360871")</f>
      </c>
      <c r="G9113" t="s" s="2">
        <v>17</v>
      </c>
      <c r="H9113" t="s" s="2">
        <v>19</v>
      </c>
      <c r="I9113" t="s" s="2">
        <v>35141</v>
      </c>
      <c r="J9113" t="s" s="2">
        <v>35142</v>
      </c>
      <c r="K9113" t="s" s="2">
        <v>22</v>
      </c>
      <c r="L9113" t="s" s="2">
        <v>22</v>
      </c>
      <c r="M9113" t="s" s="2">
        <v>22</v>
      </c>
    </row>
    <row r="9114" ht="25.0" customHeight="true">
      <c r="A9114" t="s" s="2">
        <v>13</v>
      </c>
      <c r="B9114" t="s" s="2">
        <f>HYPERLINK("http://ts.21cn.com/tousu/show/id/1360605","第三方为赌博平台提供支付通道我的血汗钱没了希望能得到解决")</f>
      </c>
      <c r="C9114" t="s" s="2">
        <v>15</v>
      </c>
      <c r="D9114" t="s" s="2">
        <v>16</v>
      </c>
      <c r="E9114" t="s" s="2">
        <v>17</v>
      </c>
      <c r="F9114" t="s" s="2">
        <f>HYPERLINK("http://ts.21cn.com/tousu/show/id/1360605","http://ts.21cn.com/tousu/show/id/1360605")</f>
      </c>
      <c r="G9114" t="s" s="2">
        <v>17</v>
      </c>
      <c r="H9114" t="s" s="2">
        <v>19</v>
      </c>
      <c r="I9114" t="s" s="2">
        <v>35145</v>
      </c>
      <c r="J9114" t="s" s="2">
        <v>35146</v>
      </c>
      <c r="K9114" t="s" s="2">
        <v>22</v>
      </c>
      <c r="L9114" t="s" s="2">
        <v>22</v>
      </c>
      <c r="M9114" t="s" s="2">
        <v>22</v>
      </c>
    </row>
    <row r="9115" ht="25.0" customHeight="true">
      <c r="A9115" t="s" s="2">
        <v>13</v>
      </c>
      <c r="B9115" t="s" s="2">
        <f>HYPERLINK("http://ts.21cn.com/tousu/show/id/1360868","分期还714套路贷退还砍头息")</f>
      </c>
      <c r="C9115" t="s" s="2">
        <v>15</v>
      </c>
      <c r="D9115" t="s" s="2">
        <v>16</v>
      </c>
      <c r="E9115" t="s" s="2">
        <v>17</v>
      </c>
      <c r="F9115" t="s" s="2">
        <f>HYPERLINK("http://ts.21cn.com/tousu/show/id/1360868","http://ts.21cn.com/tousu/show/id/1360868")</f>
      </c>
      <c r="G9115" t="s" s="2">
        <v>17</v>
      </c>
      <c r="H9115" t="s" s="2">
        <v>19</v>
      </c>
      <c r="I9115" t="s" s="2">
        <v>35149</v>
      </c>
      <c r="J9115" t="s" s="2">
        <v>35150</v>
      </c>
      <c r="K9115" t="s" s="2">
        <v>22</v>
      </c>
      <c r="L9115" t="s" s="2">
        <v>22</v>
      </c>
      <c r="M9115" t="s" s="2">
        <v>22</v>
      </c>
    </row>
    <row r="9116" ht="25.0" customHeight="true">
      <c r="A9116" t="s" s="2">
        <v>13</v>
      </c>
      <c r="B9116" t="s" s="2">
        <f>HYPERLINK("http://ts.21cn.com/tousu/show/id/1360860","结清")</f>
      </c>
      <c r="C9116" t="s" s="2">
        <v>52</v>
      </c>
      <c r="D9116" t="s" s="2">
        <v>16</v>
      </c>
      <c r="E9116" t="s" s="2">
        <v>17</v>
      </c>
      <c r="F9116" t="s" s="2">
        <f>HYPERLINK("http://ts.21cn.com/tousu/show/id/1360860","http://ts.21cn.com/tousu/show/id/1360860")</f>
      </c>
      <c r="G9116" t="s" s="2">
        <v>17</v>
      </c>
      <c r="H9116" t="s" s="2">
        <v>19</v>
      </c>
      <c r="I9116" t="s" s="2">
        <v>35153</v>
      </c>
      <c r="J9116" t="s" s="2">
        <v>35154</v>
      </c>
      <c r="K9116" t="s" s="2">
        <v>22</v>
      </c>
      <c r="L9116" t="s" s="2">
        <v>22</v>
      </c>
      <c r="M9116" t="s" s="2">
        <v>22</v>
      </c>
    </row>
    <row r="9117" ht="25.0" customHeight="true">
      <c r="A9117" t="s" s="2">
        <v>13</v>
      </c>
      <c r="B9117" t="s" s="2">
        <f>HYPERLINK("http://ts.21cn.com/tousu/show/id/1360642","信汇违规违法支付行为")</f>
      </c>
      <c r="C9117" t="s" s="2">
        <v>15</v>
      </c>
      <c r="D9117" t="s" s="2">
        <v>16</v>
      </c>
      <c r="E9117" t="s" s="2">
        <v>17</v>
      </c>
      <c r="F9117" t="s" s="2">
        <f>HYPERLINK("http://ts.21cn.com/tousu/show/id/1360642","http://ts.21cn.com/tousu/show/id/1360642")</f>
      </c>
      <c r="G9117" t="s" s="2">
        <v>17</v>
      </c>
      <c r="H9117" t="s" s="2">
        <v>19</v>
      </c>
      <c r="I9117" t="s" s="2">
        <v>35157</v>
      </c>
      <c r="J9117" t="s" s="2">
        <v>35158</v>
      </c>
      <c r="K9117" t="s" s="2">
        <v>22</v>
      </c>
      <c r="L9117" t="s" s="2">
        <v>22</v>
      </c>
      <c r="M9117" t="s" s="2">
        <v>22</v>
      </c>
    </row>
    <row r="9118" ht="25.0" customHeight="true">
      <c r="A9118" t="s" s="2">
        <v>13</v>
      </c>
      <c r="B9118" t="s" s="2">
        <f>HYPERLINK("http://ts.21cn.com/tousu/show/id/1360772","我来贷暴力催收")</f>
      </c>
      <c r="C9118" t="s" s="2">
        <v>15</v>
      </c>
      <c r="D9118" t="s" s="2">
        <v>16</v>
      </c>
      <c r="E9118" t="s" s="2">
        <v>17</v>
      </c>
      <c r="F9118" t="s" s="2">
        <f>HYPERLINK("http://ts.21cn.com/tousu/show/id/1360772","http://ts.21cn.com/tousu/show/id/1360772")</f>
      </c>
      <c r="G9118" t="s" s="2">
        <v>17</v>
      </c>
      <c r="H9118" t="s" s="2">
        <v>19</v>
      </c>
      <c r="I9118" t="s" s="2">
        <v>35160</v>
      </c>
      <c r="J9118" t="s" s="2">
        <v>35161</v>
      </c>
      <c r="K9118" t="s" s="2">
        <v>22</v>
      </c>
      <c r="L9118" t="s" s="2">
        <v>22</v>
      </c>
      <c r="M9118" t="s" s="2">
        <v>22</v>
      </c>
    </row>
    <row r="9119" ht="25.0" customHeight="true">
      <c r="A9119" t="s" s="2">
        <v>13</v>
      </c>
      <c r="B9119" t="s" s="2">
        <f>HYPERLINK("http://ts.21cn.com/tousu/show/id/1360839","360借条暴力催收、骚扰父母，爆通讯录，要求停止骚扰")</f>
      </c>
      <c r="C9119" t="s" s="2">
        <v>15</v>
      </c>
      <c r="D9119" t="s" s="2">
        <v>16</v>
      </c>
      <c r="E9119" t="s" s="2">
        <v>17</v>
      </c>
      <c r="F9119" t="s" s="2">
        <f>HYPERLINK("http://ts.21cn.com/tousu/show/id/1360839","http://ts.21cn.com/tousu/show/id/1360839")</f>
      </c>
      <c r="G9119" t="s" s="2">
        <v>17</v>
      </c>
      <c r="H9119" t="s" s="2">
        <v>19</v>
      </c>
      <c r="I9119" t="s" s="2">
        <v>35164</v>
      </c>
      <c r="J9119" t="s" s="2">
        <v>35165</v>
      </c>
      <c r="K9119" t="s" s="2">
        <v>22</v>
      </c>
      <c r="L9119" t="s" s="2">
        <v>22</v>
      </c>
      <c r="M9119" t="s" s="2">
        <v>22</v>
      </c>
    </row>
    <row r="9120" ht="25.0" customHeight="true">
      <c r="A9120" t="s" s="2">
        <v>13</v>
      </c>
      <c r="B9120" t="s" s="2">
        <f>HYPERLINK("http://ts.21cn.com/tousu/show/id/1360828","网贷")</f>
      </c>
      <c r="C9120" t="s" s="2">
        <v>15</v>
      </c>
      <c r="D9120" t="s" s="2">
        <v>16</v>
      </c>
      <c r="E9120" t="s" s="2">
        <v>17</v>
      </c>
      <c r="F9120" t="s" s="2">
        <f>HYPERLINK("http://ts.21cn.com/tousu/show/id/1360828","http://ts.21cn.com/tousu/show/id/1360828")</f>
      </c>
      <c r="G9120" t="s" s="2">
        <v>17</v>
      </c>
      <c r="H9120" t="s" s="2">
        <v>19</v>
      </c>
      <c r="I9120" t="s" s="2">
        <v>35167</v>
      </c>
      <c r="J9120" t="s" s="2">
        <v>35168</v>
      </c>
      <c r="K9120" t="s" s="2">
        <v>22</v>
      </c>
      <c r="L9120" t="s" s="2">
        <v>22</v>
      </c>
      <c r="M9120" t="s" s="2">
        <v>22</v>
      </c>
    </row>
    <row r="9121" ht="25.0" customHeight="true">
      <c r="A9121" t="s" s="2">
        <v>13</v>
      </c>
      <c r="B9121" t="s" s="2">
        <f>HYPERLINK("http://ts.21cn.com/tousu/show/id/1360814","特约中归胡乱扣款")</f>
      </c>
      <c r="C9121" t="s" s="2">
        <v>15</v>
      </c>
      <c r="D9121" t="s" s="2">
        <v>16</v>
      </c>
      <c r="E9121" t="s" s="2">
        <v>17</v>
      </c>
      <c r="F9121" t="s" s="2">
        <f>HYPERLINK("http://ts.21cn.com/tousu/show/id/1360814","http://ts.21cn.com/tousu/show/id/1360814")</f>
      </c>
      <c r="G9121" t="s" s="2">
        <v>17</v>
      </c>
      <c r="H9121" t="s" s="2">
        <v>19</v>
      </c>
      <c r="I9121" t="s" s="2">
        <v>35171</v>
      </c>
      <c r="J9121" t="s" s="2">
        <v>35172</v>
      </c>
      <c r="K9121" t="s" s="2">
        <v>22</v>
      </c>
      <c r="L9121" t="s" s="2">
        <v>22</v>
      </c>
      <c r="M9121" t="s" s="2">
        <v>22</v>
      </c>
    </row>
    <row r="9122" ht="25.0" customHeight="true">
      <c r="A9122" t="s" s="2">
        <v>13</v>
      </c>
      <c r="B9122" t="s" s="2">
        <f>HYPERLINK("http://ts.21cn.com/tousu/show/id/1360598","瀚银科技违法支付行为，尽快退款")</f>
      </c>
      <c r="C9122" t="s" s="2">
        <v>15</v>
      </c>
      <c r="D9122" t="s" s="2">
        <v>16</v>
      </c>
      <c r="E9122" t="s" s="2">
        <v>17</v>
      </c>
      <c r="F9122" t="s" s="2">
        <f>HYPERLINK("http://ts.21cn.com/tousu/show/id/1360598","http://ts.21cn.com/tousu/show/id/1360598")</f>
      </c>
      <c r="G9122" t="s" s="2">
        <v>17</v>
      </c>
      <c r="H9122" t="s" s="2">
        <v>19</v>
      </c>
      <c r="I9122" t="s" s="2">
        <v>35175</v>
      </c>
      <c r="J9122" t="s" s="2">
        <v>35176</v>
      </c>
      <c r="K9122" t="s" s="2">
        <v>22</v>
      </c>
      <c r="L9122" t="s" s="2">
        <v>22</v>
      </c>
      <c r="M9122" t="s" s="2">
        <v>22</v>
      </c>
    </row>
    <row r="9123" ht="25.0" customHeight="true">
      <c r="A9123" t="s" s="2">
        <v>13</v>
      </c>
      <c r="B9123" t="s" s="2">
        <f>HYPERLINK("http://ts.21cn.com/tousu/show/id/1360806","希财猫app充值后无法退款")</f>
      </c>
      <c r="C9123" t="s" s="2">
        <v>52</v>
      </c>
      <c r="D9123" t="s" s="2">
        <v>16</v>
      </c>
      <c r="E9123" t="s" s="2">
        <v>17</v>
      </c>
      <c r="F9123" t="s" s="2">
        <f>HYPERLINK("http://ts.21cn.com/tousu/show/id/1360806","http://ts.21cn.com/tousu/show/id/1360806")</f>
      </c>
      <c r="G9123" t="s" s="2">
        <v>17</v>
      </c>
      <c r="H9123" t="s" s="2">
        <v>19</v>
      </c>
      <c r="I9123" t="s" s="2">
        <v>35179</v>
      </c>
      <c r="J9123" t="s" s="2">
        <v>35180</v>
      </c>
      <c r="K9123" t="s" s="2">
        <v>22</v>
      </c>
      <c r="L9123" t="s" s="2">
        <v>22</v>
      </c>
      <c r="M9123" t="s" s="2">
        <v>22</v>
      </c>
    </row>
    <row r="9124" ht="25.0" customHeight="true">
      <c r="A9124" t="s" s="2">
        <v>13</v>
      </c>
      <c r="B9124" t="s" s="2">
        <f>HYPERLINK("http://ts.21cn.com/tousu/show/id/1360803","京东退款与实付款不符合")</f>
      </c>
      <c r="C9124" t="s" s="2">
        <v>52</v>
      </c>
      <c r="D9124" t="s" s="2">
        <v>16</v>
      </c>
      <c r="E9124" t="s" s="2">
        <v>17</v>
      </c>
      <c r="F9124" t="s" s="2">
        <f>HYPERLINK("http://ts.21cn.com/tousu/show/id/1360803","http://ts.21cn.com/tousu/show/id/1360803")</f>
      </c>
      <c r="G9124" t="s" s="2">
        <v>17</v>
      </c>
      <c r="H9124" t="s" s="2">
        <v>19</v>
      </c>
      <c r="I9124" t="s" s="2">
        <v>35183</v>
      </c>
      <c r="J9124" t="s" s="2">
        <v>35184</v>
      </c>
      <c r="K9124" t="s" s="2">
        <v>22</v>
      </c>
      <c r="L9124" t="s" s="2">
        <v>22</v>
      </c>
      <c r="M9124" t="s" s="2">
        <v>22</v>
      </c>
    </row>
    <row r="9125" ht="25.0" customHeight="true">
      <c r="A9125" t="s" s="2">
        <v>13</v>
      </c>
      <c r="B9125" t="s" s="2">
        <f>HYPERLINK("http://ts.21cn.com/tousu/show/id/1360794","自由魔卡超级马力贷")</f>
      </c>
      <c r="C9125" t="s" s="2">
        <v>52</v>
      </c>
      <c r="D9125" t="s" s="2">
        <v>16</v>
      </c>
      <c r="E9125" t="s" s="2">
        <v>17</v>
      </c>
      <c r="F9125" t="s" s="2">
        <f>HYPERLINK("http://ts.21cn.com/tousu/show/id/1360794","http://ts.21cn.com/tousu/show/id/1360794")</f>
      </c>
      <c r="G9125" t="s" s="2">
        <v>17</v>
      </c>
      <c r="H9125" t="s" s="2">
        <v>19</v>
      </c>
      <c r="I9125" t="s" s="2">
        <v>35187</v>
      </c>
      <c r="J9125" t="s" s="2">
        <v>35188</v>
      </c>
      <c r="K9125" t="s" s="2">
        <v>22</v>
      </c>
      <c r="L9125" t="s" s="2">
        <v>22</v>
      </c>
      <c r="M9125" t="s" s="2">
        <v>22</v>
      </c>
    </row>
    <row r="9126" ht="25.0" customHeight="true">
      <c r="A9126" t="s" s="2">
        <v>13</v>
      </c>
      <c r="B9126" t="s" s="2">
        <f>HYPERLINK("http://ts.21cn.com/tousu/show/id/1360791","百事普惠恶意扣款")</f>
      </c>
      <c r="C9126" t="s" s="2">
        <v>15</v>
      </c>
      <c r="D9126" t="s" s="2">
        <v>16</v>
      </c>
      <c r="E9126" t="s" s="2">
        <v>17</v>
      </c>
      <c r="F9126" t="s" s="2">
        <f>HYPERLINK("http://ts.21cn.com/tousu/show/id/1360791","http://ts.21cn.com/tousu/show/id/1360791")</f>
      </c>
      <c r="G9126" t="s" s="2">
        <v>17</v>
      </c>
      <c r="H9126" t="s" s="2">
        <v>19</v>
      </c>
      <c r="I9126" t="s" s="2">
        <v>35190</v>
      </c>
      <c r="J9126" t="s" s="2">
        <v>35191</v>
      </c>
      <c r="K9126" t="s" s="2">
        <v>22</v>
      </c>
      <c r="L9126" t="s" s="2">
        <v>22</v>
      </c>
      <c r="M9126" t="s" s="2">
        <v>22</v>
      </c>
    </row>
    <row r="9127" ht="25.0" customHeight="true">
      <c r="A9127" t="s" s="2">
        <v>13</v>
      </c>
      <c r="B9127" t="s" s="2">
        <f>HYPERLINK("http://ts.21cn.com/tousu/show/id/1360780","停止骚扰并道歉")</f>
      </c>
      <c r="C9127" t="s" s="2">
        <v>15</v>
      </c>
      <c r="D9127" t="s" s="2">
        <v>16</v>
      </c>
      <c r="E9127" t="s" s="2">
        <v>17</v>
      </c>
      <c r="F9127" t="s" s="2">
        <f>HYPERLINK("http://ts.21cn.com/tousu/show/id/1360780","http://ts.21cn.com/tousu/show/id/1360780")</f>
      </c>
      <c r="G9127" t="s" s="2">
        <v>17</v>
      </c>
      <c r="H9127" t="s" s="2">
        <v>19</v>
      </c>
      <c r="I9127" t="s" s="2">
        <v>35194</v>
      </c>
      <c r="J9127" t="s" s="2">
        <v>35195</v>
      </c>
      <c r="K9127" t="s" s="2">
        <v>22</v>
      </c>
      <c r="L9127" t="s" s="2">
        <v>22</v>
      </c>
      <c r="M9127" t="s" s="2">
        <v>22</v>
      </c>
    </row>
    <row r="9128" ht="25.0" customHeight="true">
      <c r="A9128" t="s" s="2">
        <v>13</v>
      </c>
      <c r="B9128" t="s" s="2">
        <f>HYPERLINK("http://ts.21cn.com/tousu/show/id/1360761","中信百信银行与网贷点融魔借捆绑销售产品")</f>
      </c>
      <c r="C9128" t="s" s="2">
        <v>15</v>
      </c>
      <c r="D9128" t="s" s="2">
        <v>16</v>
      </c>
      <c r="E9128" t="s" s="2">
        <v>17</v>
      </c>
      <c r="F9128" t="s" s="2">
        <f>HYPERLINK("http://ts.21cn.com/tousu/show/id/1360761","http://ts.21cn.com/tousu/show/id/1360761")</f>
      </c>
      <c r="G9128" t="s" s="2">
        <v>17</v>
      </c>
      <c r="H9128" t="s" s="2">
        <v>19</v>
      </c>
      <c r="I9128" t="s" s="2">
        <v>35198</v>
      </c>
      <c r="J9128" t="s" s="2">
        <v>35199</v>
      </c>
      <c r="K9128" t="s" s="2">
        <v>22</v>
      </c>
      <c r="L9128" t="s" s="2">
        <v>22</v>
      </c>
      <c r="M9128" t="s" s="2">
        <v>22</v>
      </c>
    </row>
    <row r="9129" ht="25.0" customHeight="true">
      <c r="A9129" t="s" s="2">
        <v>13</v>
      </c>
      <c r="B9129" t="s" s="2">
        <f>HYPERLINK("http://ts.21cn.com/tousu/show/id/1360759","严重骚扰，影响极大")</f>
      </c>
      <c r="C9129" t="s" s="2">
        <v>15</v>
      </c>
      <c r="D9129" t="s" s="2">
        <v>16</v>
      </c>
      <c r="E9129" t="s" s="2">
        <v>17</v>
      </c>
      <c r="F9129" t="s" s="2">
        <f>HYPERLINK("http://ts.21cn.com/tousu/show/id/1360759","http://ts.21cn.com/tousu/show/id/1360759")</f>
      </c>
      <c r="G9129" t="s" s="2">
        <v>17</v>
      </c>
      <c r="H9129" t="s" s="2">
        <v>19</v>
      </c>
      <c r="I9129" t="s" s="2">
        <v>35202</v>
      </c>
      <c r="J9129" t="s" s="2">
        <v>35203</v>
      </c>
      <c r="K9129" t="s" s="2">
        <v>22</v>
      </c>
      <c r="L9129" t="s" s="2">
        <v>22</v>
      </c>
      <c r="M9129" t="s" s="2">
        <v>22</v>
      </c>
    </row>
    <row r="9130" ht="25.0" customHeight="true">
      <c r="A9130" t="s" s="2">
        <v>13</v>
      </c>
      <c r="B9130" t="s" s="2">
        <f>HYPERLINK("http://ts.21cn.com/tousu/show/id/1360750","闪银至尊借款滞纳金太高")</f>
      </c>
      <c r="C9130" t="s" s="2">
        <v>52</v>
      </c>
      <c r="D9130" t="s" s="2">
        <v>16</v>
      </c>
      <c r="E9130" t="s" s="2">
        <v>17</v>
      </c>
      <c r="F9130" t="s" s="2">
        <f>HYPERLINK("http://ts.21cn.com/tousu/show/id/1360750","http://ts.21cn.com/tousu/show/id/1360750")</f>
      </c>
      <c r="G9130" t="s" s="2">
        <v>17</v>
      </c>
      <c r="H9130" t="s" s="2">
        <v>19</v>
      </c>
      <c r="I9130" t="s" s="2">
        <v>35206</v>
      </c>
      <c r="J9130" t="s" s="2">
        <v>35207</v>
      </c>
      <c r="K9130" t="s" s="2">
        <v>22</v>
      </c>
      <c r="L9130" t="s" s="2">
        <v>22</v>
      </c>
      <c r="M9130" t="s" s="2">
        <v>22</v>
      </c>
    </row>
    <row r="9131" ht="25.0" customHeight="true">
      <c r="A9131" t="s" s="2">
        <v>13</v>
      </c>
      <c r="B9131" t="s" s="2">
        <f>HYPERLINK("http://ts.21cn.com/tousu/show/id/1360748","恐吓催收")</f>
      </c>
      <c r="C9131" t="s" s="2">
        <v>15</v>
      </c>
      <c r="D9131" t="s" s="2">
        <v>16</v>
      </c>
      <c r="E9131" t="s" s="2">
        <v>17</v>
      </c>
      <c r="F9131" t="s" s="2">
        <f>HYPERLINK("http://ts.21cn.com/tousu/show/id/1360748","http://ts.21cn.com/tousu/show/id/1360748")</f>
      </c>
      <c r="G9131" t="s" s="2">
        <v>17</v>
      </c>
      <c r="H9131" t="s" s="2">
        <v>19</v>
      </c>
      <c r="I9131" t="s" s="2">
        <v>35209</v>
      </c>
      <c r="J9131" t="s" s="2">
        <v>35210</v>
      </c>
      <c r="K9131" t="s" s="2">
        <v>22</v>
      </c>
      <c r="L9131" t="s" s="2">
        <v>22</v>
      </c>
      <c r="M9131" t="s" s="2">
        <v>22</v>
      </c>
    </row>
    <row r="9132" ht="25.0" customHeight="true">
      <c r="A9132" t="s" s="2">
        <v>13</v>
      </c>
      <c r="B9132" t="s" s="2">
        <f>HYPERLINK("http://ts.21cn.com/tousu/show/id/1360737","砍头息捆绑式销售")</f>
      </c>
      <c r="C9132" t="s" s="2">
        <v>15</v>
      </c>
      <c r="D9132" t="s" s="2">
        <v>16</v>
      </c>
      <c r="E9132" t="s" s="2">
        <v>17</v>
      </c>
      <c r="F9132" t="s" s="2">
        <f>HYPERLINK("http://ts.21cn.com/tousu/show/id/1360737","http://ts.21cn.com/tousu/show/id/1360737")</f>
      </c>
      <c r="G9132" t="s" s="2">
        <v>17</v>
      </c>
      <c r="H9132" t="s" s="2">
        <v>19</v>
      </c>
      <c r="I9132" t="s" s="2">
        <v>35213</v>
      </c>
      <c r="J9132" t="s" s="2">
        <v>35214</v>
      </c>
      <c r="K9132" t="s" s="2">
        <v>22</v>
      </c>
      <c r="L9132" t="s" s="2">
        <v>22</v>
      </c>
      <c r="M9132" t="s" s="2">
        <v>22</v>
      </c>
    </row>
    <row r="9133" ht="25.0" customHeight="true">
      <c r="A9133" t="s" s="2">
        <v>13</v>
      </c>
      <c r="B9133" t="s" s="2">
        <f>HYPERLINK("http://ts.21cn.com/tousu/show/id/1360729","百万钱包砍头息2028元")</f>
      </c>
      <c r="C9133" t="s" s="2">
        <v>52</v>
      </c>
      <c r="D9133" t="s" s="2">
        <v>16</v>
      </c>
      <c r="E9133" t="s" s="2">
        <v>17</v>
      </c>
      <c r="F9133" t="s" s="2">
        <f>HYPERLINK("http://ts.21cn.com/tousu/show/id/1360729","http://ts.21cn.com/tousu/show/id/1360729")</f>
      </c>
      <c r="G9133" t="s" s="2">
        <v>17</v>
      </c>
      <c r="H9133" t="s" s="2">
        <v>19</v>
      </c>
      <c r="I9133" t="s" s="2">
        <v>35217</v>
      </c>
      <c r="J9133" t="s" s="2">
        <v>35218</v>
      </c>
      <c r="K9133" t="s" s="2">
        <v>22</v>
      </c>
      <c r="L9133" t="s" s="2">
        <v>22</v>
      </c>
      <c r="M9133" t="s" s="2">
        <v>22</v>
      </c>
    </row>
    <row r="9134" ht="25.0" customHeight="true">
      <c r="A9134" t="s" s="2">
        <v>13</v>
      </c>
      <c r="B9134" t="s" s="2">
        <f>HYPERLINK("http://ts.21cn.com/tousu/show/id/1360726","高利贷拒绝协商")</f>
      </c>
      <c r="C9134" t="s" s="2">
        <v>15</v>
      </c>
      <c r="D9134" t="s" s="2">
        <v>16</v>
      </c>
      <c r="E9134" t="s" s="2">
        <v>17</v>
      </c>
      <c r="F9134" t="s" s="2">
        <f>HYPERLINK("http://ts.21cn.com/tousu/show/id/1360726","http://ts.21cn.com/tousu/show/id/1360726")</f>
      </c>
      <c r="G9134" t="s" s="2">
        <v>17</v>
      </c>
      <c r="H9134" t="s" s="2">
        <v>19</v>
      </c>
      <c r="I9134" t="s" s="2">
        <v>35221</v>
      </c>
      <c r="J9134" t="s" s="2">
        <v>35222</v>
      </c>
      <c r="K9134" t="s" s="2">
        <v>22</v>
      </c>
      <c r="L9134" t="s" s="2">
        <v>22</v>
      </c>
      <c r="M9134" t="s" s="2">
        <v>22</v>
      </c>
    </row>
    <row r="9135" ht="25.0" customHeight="true">
      <c r="A9135" t="s" s="2">
        <v>13</v>
      </c>
      <c r="B9135" t="s" s="2">
        <f>HYPERLINK("http://ts.21cn.com/tousu/show/id/1360718","豆豆钱保险费未退")</f>
      </c>
      <c r="C9135" t="s" s="2">
        <v>15</v>
      </c>
      <c r="D9135" t="s" s="2">
        <v>16</v>
      </c>
      <c r="E9135" t="s" s="2">
        <v>17</v>
      </c>
      <c r="F9135" t="s" s="2">
        <f>HYPERLINK("http://ts.21cn.com/tousu/show/id/1360718","http://ts.21cn.com/tousu/show/id/1360718")</f>
      </c>
      <c r="G9135" t="s" s="2">
        <v>17</v>
      </c>
      <c r="H9135" t="s" s="2">
        <v>19</v>
      </c>
      <c r="I9135" t="s" s="2">
        <v>35225</v>
      </c>
      <c r="J9135" t="s" s="2">
        <v>35226</v>
      </c>
      <c r="K9135" t="s" s="2">
        <v>22</v>
      </c>
      <c r="L9135" t="s" s="2">
        <v>22</v>
      </c>
      <c r="M9135" t="s" s="2">
        <v>22</v>
      </c>
    </row>
    <row r="9136" ht="25.0" customHeight="true">
      <c r="A9136" t="s" s="2">
        <v>13</v>
      </c>
      <c r="B9136" t="s" s="2">
        <f>HYPERLINK("http://ts.21cn.com/tousu/show/id/1360715","ofo退款")</f>
      </c>
      <c r="C9136" t="s" s="2">
        <v>52</v>
      </c>
      <c r="D9136" t="s" s="2">
        <v>16</v>
      </c>
      <c r="E9136" t="s" s="2">
        <v>17</v>
      </c>
      <c r="F9136" t="s" s="2">
        <f>HYPERLINK("http://ts.21cn.com/tousu/show/id/1360715","http://ts.21cn.com/tousu/show/id/1360715")</f>
      </c>
      <c r="G9136" t="s" s="2">
        <v>17</v>
      </c>
      <c r="H9136" t="s" s="2">
        <v>19</v>
      </c>
      <c r="I9136" t="s" s="2">
        <v>35229</v>
      </c>
      <c r="J9136" t="s" s="2">
        <v>35230</v>
      </c>
      <c r="K9136" t="s" s="2">
        <v>22</v>
      </c>
      <c r="L9136" t="s" s="2">
        <v>22</v>
      </c>
      <c r="M9136" t="s" s="2">
        <v>22</v>
      </c>
    </row>
    <row r="9137" ht="25.0" customHeight="true">
      <c r="A9137" t="s" s="2">
        <v>13</v>
      </c>
      <c r="B9137" t="s" s="2">
        <f>HYPERLINK("http://ts.21cn.com/tousu/show/id/1360707","大数据杀熟，要求退款")</f>
      </c>
      <c r="C9137" t="s" s="2">
        <v>15</v>
      </c>
      <c r="D9137" t="s" s="2">
        <v>16</v>
      </c>
      <c r="E9137" t="s" s="2">
        <v>17</v>
      </c>
      <c r="F9137" t="s" s="2">
        <f>HYPERLINK("http://ts.21cn.com/tousu/show/id/1360707","http://ts.21cn.com/tousu/show/id/1360707")</f>
      </c>
      <c r="G9137" t="s" s="2">
        <v>17</v>
      </c>
      <c r="H9137" t="s" s="2">
        <v>19</v>
      </c>
      <c r="I9137" t="s" s="2">
        <v>35233</v>
      </c>
      <c r="J9137" t="s" s="2">
        <v>35234</v>
      </c>
      <c r="K9137" t="s" s="2">
        <v>22</v>
      </c>
      <c r="L9137" t="s" s="2">
        <v>22</v>
      </c>
      <c r="M9137" t="s" s="2">
        <v>22</v>
      </c>
    </row>
    <row r="9138" ht="25.0" customHeight="true">
      <c r="A9138" t="s" s="2">
        <v>13</v>
      </c>
      <c r="B9138" t="s" s="2">
        <f>HYPERLINK("http://ts.21cn.com/tousu/show/id/1360585","高利贷")</f>
      </c>
      <c r="C9138" t="s" s="2">
        <v>15</v>
      </c>
      <c r="D9138" t="s" s="2">
        <v>16</v>
      </c>
      <c r="E9138" t="s" s="2">
        <v>17</v>
      </c>
      <c r="F9138" t="s" s="2">
        <f>HYPERLINK("http://ts.21cn.com/tousu/show/id/1360585","http://ts.21cn.com/tousu/show/id/1360585")</f>
      </c>
      <c r="G9138" t="s" s="2">
        <v>17</v>
      </c>
      <c r="H9138" t="s" s="2">
        <v>19</v>
      </c>
      <c r="I9138" t="s" s="2">
        <v>35236</v>
      </c>
      <c r="J9138" t="s" s="2">
        <v>35237</v>
      </c>
      <c r="K9138" t="s" s="2">
        <v>22</v>
      </c>
      <c r="L9138" t="s" s="2">
        <v>22</v>
      </c>
      <c r="M9138" t="s" s="2">
        <v>22</v>
      </c>
    </row>
    <row r="9139" ht="25.0" customHeight="true">
      <c r="A9139" t="s" s="2">
        <v>13</v>
      </c>
      <c r="B9139" t="s" s="2">
        <f>HYPERLINK("http://ts.21cn.com/tousu/show/id/1360681","淘豆分期未经同意私自扣除银行卡内199元")</f>
      </c>
      <c r="C9139" t="s" s="2">
        <v>15</v>
      </c>
      <c r="D9139" t="s" s="2">
        <v>16</v>
      </c>
      <c r="E9139" t="s" s="2">
        <v>17</v>
      </c>
      <c r="F9139" t="s" s="2">
        <f>HYPERLINK("http://ts.21cn.com/tousu/show/id/1360681","http://ts.21cn.com/tousu/show/id/1360681")</f>
      </c>
      <c r="G9139" t="s" s="2">
        <v>17</v>
      </c>
      <c r="H9139" t="s" s="2">
        <v>19</v>
      </c>
      <c r="I9139" t="s" s="2">
        <v>35240</v>
      </c>
      <c r="J9139" t="s" s="2">
        <v>24870</v>
      </c>
      <c r="K9139" t="s" s="2">
        <v>22</v>
      </c>
      <c r="L9139" t="s" s="2">
        <v>22</v>
      </c>
      <c r="M9139" t="s" s="2">
        <v>22</v>
      </c>
    </row>
    <row r="9140" ht="25.0" customHeight="true">
      <c r="A9140" t="s" s="2">
        <v>13</v>
      </c>
      <c r="B9140" t="s" s="2">
        <f>HYPERLINK("http://ts.21cn.com/tousu/show/id/1360704","停止报案骚扰")</f>
      </c>
      <c r="C9140" t="s" s="2">
        <v>15</v>
      </c>
      <c r="D9140" t="s" s="2">
        <v>16</v>
      </c>
      <c r="E9140" t="s" s="2">
        <v>17</v>
      </c>
      <c r="F9140" t="s" s="2">
        <f>HYPERLINK("http://ts.21cn.com/tousu/show/id/1360704","http://ts.21cn.com/tousu/show/id/1360704")</f>
      </c>
      <c r="G9140" t="s" s="2">
        <v>17</v>
      </c>
      <c r="H9140" t="s" s="2">
        <v>19</v>
      </c>
      <c r="I9140" t="s" s="2">
        <v>35243</v>
      </c>
      <c r="J9140" t="s" s="2">
        <v>35244</v>
      </c>
      <c r="K9140" t="s" s="2">
        <v>22</v>
      </c>
      <c r="L9140" t="s" s="2">
        <v>22</v>
      </c>
      <c r="M9140" t="s" s="2">
        <v>22</v>
      </c>
    </row>
    <row r="9141" ht="25.0" customHeight="true">
      <c r="A9141" t="s" s="2">
        <v>13</v>
      </c>
      <c r="B9141" t="s" s="2">
        <f>HYPERLINK("http://ts.21cn.com/tousu/show/id/1360695","交通银行信用卡")</f>
      </c>
      <c r="C9141" t="s" s="2">
        <v>52</v>
      </c>
      <c r="D9141" t="s" s="2">
        <v>16</v>
      </c>
      <c r="E9141" t="s" s="2">
        <v>17</v>
      </c>
      <c r="F9141" t="s" s="2">
        <f>HYPERLINK("http://ts.21cn.com/tousu/show/id/1360695","http://ts.21cn.com/tousu/show/id/1360695")</f>
      </c>
      <c r="G9141" t="s" s="2">
        <v>17</v>
      </c>
      <c r="H9141" t="s" s="2">
        <v>19</v>
      </c>
      <c r="I9141" t="s" s="2">
        <v>35246</v>
      </c>
      <c r="J9141" t="s" s="2">
        <v>35247</v>
      </c>
      <c r="K9141" t="s" s="2">
        <v>22</v>
      </c>
      <c r="L9141" t="s" s="2">
        <v>22</v>
      </c>
      <c r="M9141" t="s" s="2">
        <v>22</v>
      </c>
    </row>
    <row r="9142" ht="25.0" customHeight="true">
      <c r="A9142" t="s" s="2">
        <v>13</v>
      </c>
      <c r="B9142" t="s" s="2">
        <f>HYPERLINK("http://ts.21cn.com/tousu/show/id/1360692","恐吓")</f>
      </c>
      <c r="C9142" t="s" s="2">
        <v>15</v>
      </c>
      <c r="D9142" t="s" s="2">
        <v>16</v>
      </c>
      <c r="E9142" t="s" s="2">
        <v>17</v>
      </c>
      <c r="F9142" t="s" s="2">
        <f>HYPERLINK("http://ts.21cn.com/tousu/show/id/1360692","http://ts.21cn.com/tousu/show/id/1360692")</f>
      </c>
      <c r="G9142" t="s" s="2">
        <v>17</v>
      </c>
      <c r="H9142" t="s" s="2">
        <v>19</v>
      </c>
      <c r="I9142" t="s" s="2">
        <v>35249</v>
      </c>
      <c r="J9142" t="s" s="2">
        <v>35250</v>
      </c>
      <c r="K9142" t="s" s="2">
        <v>22</v>
      </c>
      <c r="L9142" t="s" s="2">
        <v>22</v>
      </c>
      <c r="M9142" t="s" s="2">
        <v>22</v>
      </c>
    </row>
    <row r="9143" ht="25.0" customHeight="true">
      <c r="A9143" t="s" s="2">
        <v>13</v>
      </c>
      <c r="B9143" t="s" s="2">
        <f>HYPERLINK("http://ts.21cn.com/tousu/show/id/1360684","赫美微贷砍头息")</f>
      </c>
      <c r="C9143" t="s" s="2">
        <v>15</v>
      </c>
      <c r="D9143" t="s" s="2">
        <v>16</v>
      </c>
      <c r="E9143" t="s" s="2">
        <v>17</v>
      </c>
      <c r="F9143" t="s" s="2">
        <f>HYPERLINK("http://ts.21cn.com/tousu/show/id/1360684","http://ts.21cn.com/tousu/show/id/1360684")</f>
      </c>
      <c r="G9143" t="s" s="2">
        <v>17</v>
      </c>
      <c r="H9143" t="s" s="2">
        <v>19</v>
      </c>
      <c r="I9143" t="s" s="2">
        <v>35253</v>
      </c>
      <c r="J9143" t="s" s="2">
        <v>35254</v>
      </c>
      <c r="K9143" t="s" s="2">
        <v>22</v>
      </c>
      <c r="L9143" t="s" s="2">
        <v>22</v>
      </c>
      <c r="M9143" t="s" s="2">
        <v>22</v>
      </c>
    </row>
    <row r="9144" ht="25.0" customHeight="true">
      <c r="A9144" t="s" s="2">
        <v>13</v>
      </c>
      <c r="B9144" t="s" s="2">
        <f>HYPERLINK("http://ts.21cn.com/tousu/show/id/1360673","高额利息")</f>
      </c>
      <c r="C9144" t="s" s="2">
        <v>15</v>
      </c>
      <c r="D9144" t="s" s="2">
        <v>16</v>
      </c>
      <c r="E9144" t="s" s="2">
        <v>17</v>
      </c>
      <c r="F9144" t="s" s="2">
        <f>HYPERLINK("http://ts.21cn.com/tousu/show/id/1360673","http://ts.21cn.com/tousu/show/id/1360673")</f>
      </c>
      <c r="G9144" t="s" s="2">
        <v>17</v>
      </c>
      <c r="H9144" t="s" s="2">
        <v>19</v>
      </c>
      <c r="I9144" t="s" s="2">
        <v>35256</v>
      </c>
      <c r="J9144" t="s" s="2">
        <v>35257</v>
      </c>
      <c r="K9144" t="s" s="2">
        <v>22</v>
      </c>
      <c r="L9144" t="s" s="2">
        <v>22</v>
      </c>
      <c r="M9144" t="s" s="2">
        <v>22</v>
      </c>
    </row>
    <row r="9145" ht="25.0" customHeight="true">
      <c r="A9145" t="s" s="2">
        <v>13</v>
      </c>
      <c r="B9145" t="s" s="2">
        <f>HYPERLINK("http://ts.21cn.com/tousu/show/id/1360670","滴滴平台欺凌司机")</f>
      </c>
      <c r="C9145" t="s" s="2">
        <v>15</v>
      </c>
      <c r="D9145" t="s" s="2">
        <v>16</v>
      </c>
      <c r="E9145" t="s" s="2">
        <v>17</v>
      </c>
      <c r="F9145" t="s" s="2">
        <f>HYPERLINK("http://ts.21cn.com/tousu/show/id/1360670","http://ts.21cn.com/tousu/show/id/1360670")</f>
      </c>
      <c r="G9145" t="s" s="2">
        <v>17</v>
      </c>
      <c r="H9145" t="s" s="2">
        <v>19</v>
      </c>
      <c r="I9145" t="s" s="2">
        <v>35260</v>
      </c>
      <c r="J9145" t="s" s="2">
        <v>35261</v>
      </c>
      <c r="K9145" t="s" s="2">
        <v>22</v>
      </c>
      <c r="L9145" t="s" s="2">
        <v>22</v>
      </c>
      <c r="M9145" t="s" s="2">
        <v>22</v>
      </c>
    </row>
    <row r="9146" ht="25.0" customHeight="true">
      <c r="A9146" t="s" s="2">
        <v>13</v>
      </c>
      <c r="B9146" t="s" s="2">
        <f>HYPERLINK("http://ts.21cn.com/tousu/show/id/1360662","投诉华为mate20pro质量问题")</f>
      </c>
      <c r="C9146" t="s" s="2">
        <v>15</v>
      </c>
      <c r="D9146" t="s" s="2">
        <v>16</v>
      </c>
      <c r="E9146" t="s" s="2">
        <v>17</v>
      </c>
      <c r="F9146" t="s" s="2">
        <f>HYPERLINK("http://ts.21cn.com/tousu/show/id/1360662","http://ts.21cn.com/tousu/show/id/1360662")</f>
      </c>
      <c r="G9146" t="s" s="2">
        <v>17</v>
      </c>
      <c r="H9146" t="s" s="2">
        <v>19</v>
      </c>
      <c r="I9146" t="s" s="2">
        <v>35264</v>
      </c>
      <c r="J9146" t="s" s="2">
        <v>35265</v>
      </c>
      <c r="K9146" t="s" s="2">
        <v>22</v>
      </c>
      <c r="L9146" t="s" s="2">
        <v>22</v>
      </c>
      <c r="M9146" t="s" s="2">
        <v>22</v>
      </c>
    </row>
    <row r="9147" ht="25.0" customHeight="true">
      <c r="A9147" t="s" s="2">
        <v>13</v>
      </c>
      <c r="B9147" t="s" s="2">
        <f>HYPERLINK("http://ts.21cn.com/tousu/show/id/1360649","记得花无敌高炮催收言语恐吓威胁")</f>
      </c>
      <c r="C9147" t="s" s="2">
        <v>15</v>
      </c>
      <c r="D9147" t="s" s="2">
        <v>16</v>
      </c>
      <c r="E9147" t="s" s="2">
        <v>17</v>
      </c>
      <c r="F9147" t="s" s="2">
        <f>HYPERLINK("http://ts.21cn.com/tousu/show/id/1360649","http://ts.21cn.com/tousu/show/id/1360649")</f>
      </c>
      <c r="G9147" t="s" s="2">
        <v>17</v>
      </c>
      <c r="H9147" t="s" s="2">
        <v>19</v>
      </c>
      <c r="I9147" t="s" s="2">
        <v>35268</v>
      </c>
      <c r="J9147" t="s" s="2">
        <v>35269</v>
      </c>
      <c r="K9147" t="s" s="2">
        <v>22</v>
      </c>
      <c r="L9147" t="s" s="2">
        <v>22</v>
      </c>
      <c r="M9147" t="s" s="2">
        <v>22</v>
      </c>
    </row>
    <row r="9148" ht="25.0" customHeight="true">
      <c r="A9148" t="s" s="2">
        <v>13</v>
      </c>
      <c r="B9148" t="s" s="2">
        <f>HYPERLINK("http://ts.21cn.com/tousu/show/id/1360651","证大财富（证大金服）违规高利贷及暴力催收")</f>
      </c>
      <c r="C9148" t="s" s="2">
        <v>15</v>
      </c>
      <c r="D9148" t="s" s="2">
        <v>16</v>
      </c>
      <c r="E9148" t="s" s="2">
        <v>17</v>
      </c>
      <c r="F9148" t="s" s="2">
        <f>HYPERLINK("http://ts.21cn.com/tousu/show/id/1360651","http://ts.21cn.com/tousu/show/id/1360651")</f>
      </c>
      <c r="G9148" t="s" s="2">
        <v>17</v>
      </c>
      <c r="H9148" t="s" s="2">
        <v>19</v>
      </c>
      <c r="I9148" t="s" s="2">
        <v>35272</v>
      </c>
      <c r="J9148" t="s" s="2">
        <v>35273</v>
      </c>
      <c r="K9148" t="s" s="2">
        <v>22</v>
      </c>
      <c r="L9148" t="s" s="2">
        <v>22</v>
      </c>
      <c r="M9148" t="s" s="2">
        <v>22</v>
      </c>
    </row>
    <row r="9149" ht="25.0" customHeight="true">
      <c r="A9149" t="s" s="2">
        <v>13</v>
      </c>
      <c r="B9149" t="s" s="2">
        <f>HYPERLINK("http://ts.21cn.com/tousu/show/id/1360640","兴业信用卡催收公司威胁恐吓")</f>
      </c>
      <c r="C9149" t="s" s="2">
        <v>15</v>
      </c>
      <c r="D9149" t="s" s="2">
        <v>16</v>
      </c>
      <c r="E9149" t="s" s="2">
        <v>17</v>
      </c>
      <c r="F9149" t="s" s="2">
        <f>HYPERLINK("http://ts.21cn.com/tousu/show/id/1360640","http://ts.21cn.com/tousu/show/id/1360640")</f>
      </c>
      <c r="G9149" t="s" s="2">
        <v>17</v>
      </c>
      <c r="H9149" t="s" s="2">
        <v>19</v>
      </c>
      <c r="I9149" t="s" s="2">
        <v>35276</v>
      </c>
      <c r="J9149" t="s" s="2">
        <v>35277</v>
      </c>
      <c r="K9149" t="s" s="2">
        <v>22</v>
      </c>
      <c r="L9149" t="s" s="2">
        <v>22</v>
      </c>
      <c r="M9149" t="s" s="2">
        <v>22</v>
      </c>
    </row>
    <row r="9150" ht="25.0" customHeight="true">
      <c r="A9150" t="s" s="2">
        <v>13</v>
      </c>
      <c r="B9150" t="s" s="2">
        <f>HYPERLINK("http://ts.21cn.com/tousu/show/id/1360638","连连银通为高利贷翼钱包提供渠道")</f>
      </c>
      <c r="C9150" t="s" s="2">
        <v>15</v>
      </c>
      <c r="D9150" t="s" s="2">
        <v>16</v>
      </c>
      <c r="E9150" t="s" s="2">
        <v>17</v>
      </c>
      <c r="F9150" t="s" s="2">
        <f>HYPERLINK("http://ts.21cn.com/tousu/show/id/1360638","http://ts.21cn.com/tousu/show/id/1360638")</f>
      </c>
      <c r="G9150" t="s" s="2">
        <v>17</v>
      </c>
      <c r="H9150" t="s" s="2">
        <v>19</v>
      </c>
      <c r="I9150" t="s" s="2">
        <v>35280</v>
      </c>
      <c r="J9150" t="s" s="2">
        <v>35281</v>
      </c>
      <c r="K9150" t="s" s="2">
        <v>22</v>
      </c>
      <c r="L9150" t="s" s="2">
        <v>22</v>
      </c>
      <c r="M9150" t="s" s="2">
        <v>22</v>
      </c>
    </row>
    <row r="9151" ht="25.0" customHeight="true">
      <c r="A9151" t="s" s="2">
        <v>13</v>
      </c>
      <c r="B9151" t="s" s="2">
        <f>HYPERLINK("http://ts.21cn.com/tousu/show/id/1360627","钱站放款一个月不到账取消不了")</f>
      </c>
      <c r="C9151" t="s" s="2">
        <v>15</v>
      </c>
      <c r="D9151" t="s" s="2">
        <v>16</v>
      </c>
      <c r="E9151" t="s" s="2">
        <v>17</v>
      </c>
      <c r="F9151" t="s" s="2">
        <f>HYPERLINK("http://ts.21cn.com/tousu/show/id/1360627","http://ts.21cn.com/tousu/show/id/1360627")</f>
      </c>
      <c r="G9151" t="s" s="2">
        <v>17</v>
      </c>
      <c r="H9151" t="s" s="2">
        <v>19</v>
      </c>
      <c r="I9151" t="s" s="2">
        <v>35284</v>
      </c>
      <c r="J9151" t="s" s="2">
        <v>35285</v>
      </c>
      <c r="K9151" t="s" s="2">
        <v>22</v>
      </c>
      <c r="L9151" t="s" s="2">
        <v>22</v>
      </c>
      <c r="M9151" t="s" s="2">
        <v>22</v>
      </c>
    </row>
    <row r="9152" ht="25.0" customHeight="true">
      <c r="A9152" t="s" s="2">
        <v>13</v>
      </c>
      <c r="B9152" t="s" s="2">
        <f>HYPERLINK("http://ts.21cn.com/tousu/show/id/1360619","云联牧场（云耕云牧）提现困难，客服无法联系")</f>
      </c>
      <c r="C9152" t="s" s="2">
        <v>15</v>
      </c>
      <c r="D9152" t="s" s="2">
        <v>16</v>
      </c>
      <c r="E9152" t="s" s="2">
        <v>17</v>
      </c>
      <c r="F9152" t="s" s="2">
        <f>HYPERLINK("http://ts.21cn.com/tousu/show/id/1360619","http://ts.21cn.com/tousu/show/id/1360619")</f>
      </c>
      <c r="G9152" t="s" s="2">
        <v>17</v>
      </c>
      <c r="H9152" t="s" s="2">
        <v>19</v>
      </c>
      <c r="I9152" t="s" s="2">
        <v>35288</v>
      </c>
      <c r="J9152" t="s" s="2">
        <v>35289</v>
      </c>
      <c r="K9152" t="s" s="2">
        <v>22</v>
      </c>
      <c r="L9152" t="s" s="2">
        <v>22</v>
      </c>
      <c r="M9152" t="s" s="2">
        <v>22</v>
      </c>
    </row>
    <row r="9153" ht="25.0" customHeight="true">
      <c r="A9153" t="s" s="2">
        <v>13</v>
      </c>
      <c r="B9153" t="s" s="2">
        <f>HYPERLINK("http://ts.21cn.com/tousu/show/id/1360616","桔子商城分期骚扰")</f>
      </c>
      <c r="C9153" t="s" s="2">
        <v>15</v>
      </c>
      <c r="D9153" t="s" s="2">
        <v>16</v>
      </c>
      <c r="E9153" t="s" s="2">
        <v>17</v>
      </c>
      <c r="F9153" t="s" s="2">
        <f>HYPERLINK("http://ts.21cn.com/tousu/show/id/1360616","http://ts.21cn.com/tousu/show/id/1360616")</f>
      </c>
      <c r="G9153" t="s" s="2">
        <v>17</v>
      </c>
      <c r="H9153" t="s" s="2">
        <v>19</v>
      </c>
      <c r="I9153" t="s" s="2">
        <v>35292</v>
      </c>
      <c r="J9153" t="s" s="2">
        <v>35293</v>
      </c>
      <c r="K9153" t="s" s="2">
        <v>22</v>
      </c>
      <c r="L9153" t="s" s="2">
        <v>22</v>
      </c>
      <c r="M9153" t="s" s="2">
        <v>22</v>
      </c>
    </row>
    <row r="9154" ht="25.0" customHeight="true">
      <c r="A9154" t="s" s="2">
        <v>13</v>
      </c>
      <c r="B9154" t="s" s="2">
        <f>HYPERLINK("http://ts.21cn.com/tousu/show/id/1360608","银行卡被盗刷")</f>
      </c>
      <c r="C9154" t="s" s="2">
        <v>15</v>
      </c>
      <c r="D9154" t="s" s="2">
        <v>16</v>
      </c>
      <c r="E9154" t="s" s="2">
        <v>17</v>
      </c>
      <c r="F9154" t="s" s="2">
        <f>HYPERLINK("http://ts.21cn.com/tousu/show/id/1360608","http://ts.21cn.com/tousu/show/id/1360608")</f>
      </c>
      <c r="G9154" t="s" s="2">
        <v>17</v>
      </c>
      <c r="H9154" t="s" s="2">
        <v>19</v>
      </c>
      <c r="I9154" t="s" s="2">
        <v>35295</v>
      </c>
      <c r="J9154" t="s" s="2">
        <v>35296</v>
      </c>
      <c r="K9154" t="s" s="2">
        <v>22</v>
      </c>
      <c r="L9154" t="s" s="2">
        <v>22</v>
      </c>
      <c r="M9154" t="s" s="2">
        <v>22</v>
      </c>
    </row>
    <row r="9155" ht="25.0" customHeight="true">
      <c r="A9155" t="s" s="2">
        <v>13</v>
      </c>
      <c r="B9155" t="s" s="2">
        <f>HYPERLINK("http://ts.21cn.com/tousu/show/id/1360595","敏付慧金宝支付为非法博彩平台违规提供充值通道")</f>
      </c>
      <c r="C9155" t="s" s="2">
        <v>15</v>
      </c>
      <c r="D9155" t="s" s="2">
        <v>16</v>
      </c>
      <c r="E9155" t="s" s="2">
        <v>17</v>
      </c>
      <c r="F9155" t="s" s="2">
        <f>HYPERLINK("http://ts.21cn.com/tousu/show/id/1360595","http://ts.21cn.com/tousu/show/id/1360595")</f>
      </c>
      <c r="G9155" t="s" s="2">
        <v>17</v>
      </c>
      <c r="H9155" t="s" s="2">
        <v>19</v>
      </c>
      <c r="I9155" t="s" s="2">
        <v>35299</v>
      </c>
      <c r="J9155" t="s" s="2">
        <v>35300</v>
      </c>
      <c r="K9155" t="s" s="2">
        <v>22</v>
      </c>
      <c r="L9155" t="s" s="2">
        <v>22</v>
      </c>
      <c r="M9155" t="s" s="2">
        <v>22</v>
      </c>
    </row>
    <row r="9156" ht="25.0" customHeight="true">
      <c r="A9156" t="s" s="2">
        <v>13</v>
      </c>
      <c r="B9156" t="s" s="2">
        <f>HYPERLINK("http://ts.21cn.com/tousu/show/id/1360596","恶意盗刷信用卡，不肯退款")</f>
      </c>
      <c r="C9156" t="s" s="2">
        <v>15</v>
      </c>
      <c r="D9156" t="s" s="2">
        <v>16</v>
      </c>
      <c r="E9156" t="s" s="2">
        <v>17</v>
      </c>
      <c r="F9156" t="s" s="2">
        <f>HYPERLINK("http://ts.21cn.com/tousu/show/id/1360596","http://ts.21cn.com/tousu/show/id/1360596")</f>
      </c>
      <c r="G9156" t="s" s="2">
        <v>17</v>
      </c>
      <c r="H9156" t="s" s="2">
        <v>19</v>
      </c>
      <c r="I9156" t="s" s="2">
        <v>35303</v>
      </c>
      <c r="J9156" t="s" s="2">
        <v>35304</v>
      </c>
      <c r="K9156" t="s" s="2">
        <v>22</v>
      </c>
      <c r="L9156" t="s" s="2">
        <v>22</v>
      </c>
      <c r="M9156" t="s" s="2">
        <v>22</v>
      </c>
    </row>
    <row r="9157" ht="25.0" customHeight="true">
      <c r="A9157" t="s" s="2">
        <v>13</v>
      </c>
      <c r="B9157" t="s" s="2">
        <f>HYPERLINK("http://ts.21cn.com/tousu/show/id/1360593","拼多多包庇网赌拒不退款")</f>
      </c>
      <c r="C9157" t="s" s="2">
        <v>15</v>
      </c>
      <c r="D9157" t="s" s="2">
        <v>16</v>
      </c>
      <c r="E9157" t="s" s="2">
        <v>17</v>
      </c>
      <c r="F9157" t="s" s="2">
        <f>HYPERLINK("http://ts.21cn.com/tousu/show/id/1360593","http://ts.21cn.com/tousu/show/id/1360593")</f>
      </c>
      <c r="G9157" t="s" s="2">
        <v>17</v>
      </c>
      <c r="H9157" t="s" s="2">
        <v>19</v>
      </c>
      <c r="I9157" t="s" s="2">
        <v>35307</v>
      </c>
      <c r="J9157" t="s" s="2">
        <v>35308</v>
      </c>
      <c r="K9157" t="s" s="2">
        <v>22</v>
      </c>
      <c r="L9157" t="s" s="2">
        <v>22</v>
      </c>
      <c r="M9157" t="s" s="2">
        <v>22</v>
      </c>
    </row>
    <row r="9158" ht="25.0" customHeight="true">
      <c r="A9158" t="s" s="2">
        <v>13</v>
      </c>
      <c r="B9158" t="s" s="2">
        <f>HYPERLINK("http://ts.21cn.com/tousu/show/id/1360582","玖富万卡暴力催收威逼利诱")</f>
      </c>
      <c r="C9158" t="s" s="2">
        <v>15</v>
      </c>
      <c r="D9158" t="s" s="2">
        <v>16</v>
      </c>
      <c r="E9158" t="s" s="2">
        <v>17</v>
      </c>
      <c r="F9158" t="s" s="2">
        <f>HYPERLINK("http://ts.21cn.com/tousu/show/id/1360582","http://ts.21cn.com/tousu/show/id/1360582")</f>
      </c>
      <c r="G9158" t="s" s="2">
        <v>17</v>
      </c>
      <c r="H9158" t="s" s="2">
        <v>19</v>
      </c>
      <c r="I9158" t="s" s="2">
        <v>35311</v>
      </c>
      <c r="J9158" t="s" s="2">
        <v>35312</v>
      </c>
      <c r="K9158" t="s" s="2">
        <v>22</v>
      </c>
      <c r="L9158" t="s" s="2">
        <v>22</v>
      </c>
      <c r="M9158" t="s" s="2">
        <v>22</v>
      </c>
    </row>
    <row r="9159" ht="25.0" customHeight="true">
      <c r="A9159" t="s" s="2">
        <v>13</v>
      </c>
      <c r="B9159" t="s" s="2">
        <f>HYPERLINK("http://ts.21cn.com/tousu/show/id/1360574","恶意扣款")</f>
      </c>
      <c r="C9159" t="s" s="2">
        <v>15</v>
      </c>
      <c r="D9159" t="s" s="2">
        <v>16</v>
      </c>
      <c r="E9159" t="s" s="2">
        <v>17</v>
      </c>
      <c r="F9159" t="s" s="2">
        <f>HYPERLINK("http://ts.21cn.com/tousu/show/id/1360574","http://ts.21cn.com/tousu/show/id/1360574")</f>
      </c>
      <c r="G9159" t="s" s="2">
        <v>17</v>
      </c>
      <c r="H9159" t="s" s="2">
        <v>19</v>
      </c>
      <c r="I9159" t="s" s="2">
        <v>35314</v>
      </c>
      <c r="J9159" t="s" s="2">
        <v>35315</v>
      </c>
      <c r="K9159" t="s" s="2">
        <v>22</v>
      </c>
      <c r="L9159" t="s" s="2">
        <v>22</v>
      </c>
      <c r="M9159" t="s" s="2">
        <v>22</v>
      </c>
    </row>
    <row r="9160" ht="25.0" customHeight="true">
      <c r="A9160" t="s" s="2">
        <v>13</v>
      </c>
      <c r="B9160" t="s" s="2">
        <f>HYPERLINK("http://ts.21cn.com/tousu/show/id/1360571","360借条暴力催款寄律师函将律师函交由村委街道进行告栏公示通知起诉我")</f>
      </c>
      <c r="C9160" t="s" s="2">
        <v>15</v>
      </c>
      <c r="D9160" t="s" s="2">
        <v>16</v>
      </c>
      <c r="E9160" t="s" s="2">
        <v>17</v>
      </c>
      <c r="F9160" t="s" s="2">
        <f>HYPERLINK("http://ts.21cn.com/tousu/show/id/1360571","http://ts.21cn.com/tousu/show/id/1360571")</f>
      </c>
      <c r="G9160" t="s" s="2">
        <v>17</v>
      </c>
      <c r="H9160" t="s" s="2">
        <v>19</v>
      </c>
      <c r="I9160" t="s" s="2">
        <v>35318</v>
      </c>
      <c r="J9160" t="s" s="2">
        <v>35319</v>
      </c>
      <c r="K9160" t="s" s="2">
        <v>22</v>
      </c>
      <c r="L9160" t="s" s="2">
        <v>22</v>
      </c>
      <c r="M9160" t="s" s="2">
        <v>22</v>
      </c>
    </row>
    <row r="9161" ht="25.0" customHeight="true">
      <c r="A9161" t="s" s="2">
        <v>13</v>
      </c>
      <c r="B9161" t="s" s="2">
        <f>HYPERLINK("http://ts.21cn.com/tousu/show/id/1360539","蔡司镜头京东回收10元？")</f>
      </c>
      <c r="C9161" t="s" s="2">
        <v>52</v>
      </c>
      <c r="D9161" t="s" s="2">
        <v>16</v>
      </c>
      <c r="E9161" t="s" s="2">
        <v>17</v>
      </c>
      <c r="F9161" t="s" s="2">
        <f>HYPERLINK("http://ts.21cn.com/tousu/show/id/1360539","http://ts.21cn.com/tousu/show/id/1360539")</f>
      </c>
      <c r="G9161" t="s" s="2">
        <v>17</v>
      </c>
      <c r="H9161" t="s" s="2">
        <v>19</v>
      </c>
      <c r="I9161" t="s" s="2">
        <v>35322</v>
      </c>
      <c r="J9161" t="s" s="2">
        <v>35323</v>
      </c>
      <c r="K9161" t="s" s="2">
        <v>22</v>
      </c>
      <c r="L9161" t="s" s="2">
        <v>22</v>
      </c>
      <c r="M9161" t="s" s="2">
        <v>22</v>
      </c>
    </row>
    <row r="9162" ht="25.0" customHeight="true">
      <c r="A9162" t="s" s="2">
        <v>13</v>
      </c>
      <c r="B9162" t="s" s="2">
        <f>HYPERLINK("http://ts.21cn.com/tousu/show/id/1360563","罗汉分期在没有通知的情况下扣出198")</f>
      </c>
      <c r="C9162" t="s" s="2">
        <v>15</v>
      </c>
      <c r="D9162" t="s" s="2">
        <v>16</v>
      </c>
      <c r="E9162" t="s" s="2">
        <v>17</v>
      </c>
      <c r="F9162" t="s" s="2">
        <f>HYPERLINK("http://ts.21cn.com/tousu/show/id/1360563","http://ts.21cn.com/tousu/show/id/1360563")</f>
      </c>
      <c r="G9162" t="s" s="2">
        <v>17</v>
      </c>
      <c r="H9162" t="s" s="2">
        <v>19</v>
      </c>
      <c r="I9162" t="s" s="2">
        <v>35326</v>
      </c>
      <c r="J9162" t="s" s="2">
        <v>35327</v>
      </c>
      <c r="K9162" t="s" s="2">
        <v>22</v>
      </c>
      <c r="L9162" t="s" s="2">
        <v>22</v>
      </c>
      <c r="M9162" t="s" s="2">
        <v>22</v>
      </c>
    </row>
    <row r="9163" ht="25.0" customHeight="true">
      <c r="A9163" t="s" s="2">
        <v>13</v>
      </c>
      <c r="B9163" t="s" s="2">
        <f>HYPERLINK("http://ts.21cn.com/tousu/show/id/1360560","上海移动恶意关闭我手机短信功能")</f>
      </c>
      <c r="C9163" t="s" s="2">
        <v>15</v>
      </c>
      <c r="D9163" t="s" s="2">
        <v>16</v>
      </c>
      <c r="E9163" t="s" s="2">
        <v>17</v>
      </c>
      <c r="F9163" t="s" s="2">
        <f>HYPERLINK("http://ts.21cn.com/tousu/show/id/1360560","http://ts.21cn.com/tousu/show/id/1360560")</f>
      </c>
      <c r="G9163" t="s" s="2">
        <v>17</v>
      </c>
      <c r="H9163" t="s" s="2">
        <v>19</v>
      </c>
      <c r="I9163" t="s" s="2">
        <v>35330</v>
      </c>
      <c r="J9163" t="s" s="2">
        <v>35331</v>
      </c>
      <c r="K9163" t="s" s="2">
        <v>22</v>
      </c>
      <c r="L9163" t="s" s="2">
        <v>22</v>
      </c>
      <c r="M9163" t="s" s="2">
        <v>22</v>
      </c>
    </row>
    <row r="9164" ht="25.0" customHeight="true">
      <c r="A9164" t="s" s="2">
        <v>13</v>
      </c>
      <c r="B9164" t="s" s="2">
        <f>HYPERLINK("http://ts.21cn.com/tousu/show/id/1360552","协商2次分期")</f>
      </c>
      <c r="C9164" t="s" s="2">
        <v>52</v>
      </c>
      <c r="D9164" t="s" s="2">
        <v>16</v>
      </c>
      <c r="E9164" t="s" s="2">
        <v>17</v>
      </c>
      <c r="F9164" t="s" s="2">
        <f>HYPERLINK("http://ts.21cn.com/tousu/show/id/1360552","http://ts.21cn.com/tousu/show/id/1360552")</f>
      </c>
      <c r="G9164" t="s" s="2">
        <v>17</v>
      </c>
      <c r="H9164" t="s" s="2">
        <v>19</v>
      </c>
      <c r="I9164" t="s" s="2">
        <v>35334</v>
      </c>
      <c r="J9164" t="s" s="2">
        <v>35335</v>
      </c>
      <c r="K9164" t="s" s="2">
        <v>22</v>
      </c>
      <c r="L9164" t="s" s="2">
        <v>22</v>
      </c>
      <c r="M9164" t="s" s="2">
        <v>22</v>
      </c>
    </row>
    <row r="9165" ht="25.0" customHeight="true">
      <c r="A9165" t="s" s="2">
        <v>13</v>
      </c>
      <c r="B9165" t="s" s="2">
        <f>HYPERLINK("http://ts.21cn.com/tousu/show/id/1300896","浦发银行协商额度问题")</f>
      </c>
      <c r="C9165" t="s" s="2">
        <v>52</v>
      </c>
      <c r="D9165" t="s" s="2">
        <v>16</v>
      </c>
      <c r="E9165" t="s" s="2">
        <v>17</v>
      </c>
      <c r="F9165" t="s" s="2">
        <f>HYPERLINK("http://ts.21cn.com/tousu/show/id/1300896","http://ts.21cn.com/tousu/show/id/1300896")</f>
      </c>
      <c r="G9165" t="s" s="2">
        <v>17</v>
      </c>
      <c r="H9165" t="s" s="2">
        <v>19</v>
      </c>
      <c r="I9165" t="s" s="2">
        <v>35338</v>
      </c>
      <c r="J9165" t="s" s="2">
        <v>35339</v>
      </c>
      <c r="K9165" t="s" s="2">
        <v>22</v>
      </c>
      <c r="L9165" t="s" s="2">
        <v>22</v>
      </c>
      <c r="M9165" t="s" s="2">
        <v>22</v>
      </c>
    </row>
    <row r="9166" ht="25.0" customHeight="true">
      <c r="A9166" t="s" s="2">
        <v>13</v>
      </c>
      <c r="B9166" t="s" s="2">
        <f>HYPERLINK("http://ts.21cn.com/tousu/show/id/1360541","小赢卡贷爆力催收打村委会电话，轰炸通讯录")</f>
      </c>
      <c r="C9166" t="s" s="2">
        <v>15</v>
      </c>
      <c r="D9166" t="s" s="2">
        <v>16</v>
      </c>
      <c r="E9166" t="s" s="2">
        <v>17</v>
      </c>
      <c r="F9166" t="s" s="2">
        <f>HYPERLINK("http://ts.21cn.com/tousu/show/id/1360541","http://ts.21cn.com/tousu/show/id/1360541")</f>
      </c>
      <c r="G9166" t="s" s="2">
        <v>17</v>
      </c>
      <c r="H9166" t="s" s="2">
        <v>19</v>
      </c>
      <c r="I9166" t="s" s="2">
        <v>35342</v>
      </c>
      <c r="J9166" t="s" s="2">
        <v>35343</v>
      </c>
      <c r="K9166" t="s" s="2">
        <v>22</v>
      </c>
      <c r="L9166" t="s" s="2">
        <v>22</v>
      </c>
      <c r="M9166" t="s" s="2">
        <v>22</v>
      </c>
    </row>
    <row r="9167" ht="25.0" customHeight="true">
      <c r="A9167" t="s" s="2">
        <v>13</v>
      </c>
      <c r="B9167" t="s" s="2">
        <f>HYPERLINK("http://ts.21cn.com/tousu/show/id/1360530","贷上钱暴力催收，态度恶劣")</f>
      </c>
      <c r="C9167" t="s" s="2">
        <v>15</v>
      </c>
      <c r="D9167" t="s" s="2">
        <v>16</v>
      </c>
      <c r="E9167" t="s" s="2">
        <v>17</v>
      </c>
      <c r="F9167" t="s" s="2">
        <f>HYPERLINK("http://ts.21cn.com/tousu/show/id/1360530","http://ts.21cn.com/tousu/show/id/1360530")</f>
      </c>
      <c r="G9167" t="s" s="2">
        <v>17</v>
      </c>
      <c r="H9167" t="s" s="2">
        <v>19</v>
      </c>
      <c r="I9167" t="s" s="2">
        <v>35346</v>
      </c>
      <c r="J9167" t="s" s="2">
        <v>35347</v>
      </c>
      <c r="K9167" t="s" s="2">
        <v>22</v>
      </c>
      <c r="L9167" t="s" s="2">
        <v>22</v>
      </c>
      <c r="M9167" t="s" s="2">
        <v>22</v>
      </c>
    </row>
    <row r="9168" ht="25.0" customHeight="true">
      <c r="A9168" t="s" s="2">
        <v>13</v>
      </c>
      <c r="B9168" t="s" s="2">
        <f>HYPERLINK("http://ts.21cn.com/tousu/show/id/1360528","人人花乱扣费")</f>
      </c>
      <c r="C9168" t="s" s="2">
        <v>15</v>
      </c>
      <c r="D9168" t="s" s="2">
        <v>16</v>
      </c>
      <c r="E9168" t="s" s="2">
        <v>17</v>
      </c>
      <c r="F9168" t="s" s="2">
        <f>HYPERLINK("http://ts.21cn.com/tousu/show/id/1360528","http://ts.21cn.com/tousu/show/id/1360528")</f>
      </c>
      <c r="G9168" t="s" s="2">
        <v>17</v>
      </c>
      <c r="H9168" t="s" s="2">
        <v>19</v>
      </c>
      <c r="I9168" t="s" s="2">
        <v>35349</v>
      </c>
      <c r="J9168" t="s" s="2">
        <v>35350</v>
      </c>
      <c r="K9168" t="s" s="2">
        <v>22</v>
      </c>
      <c r="L9168" t="s" s="2">
        <v>22</v>
      </c>
      <c r="M9168" t="s" s="2">
        <v>22</v>
      </c>
    </row>
    <row r="9169" ht="25.0" customHeight="true">
      <c r="A9169" t="s" s="2">
        <v>13</v>
      </c>
      <c r="B9169" t="s" s="2">
        <f>HYPERLINK("http://ts.21cn.com/tousu/show/id/1360517","拍拍贷暴力催收客服态度恶劣")</f>
      </c>
      <c r="C9169" t="s" s="2">
        <v>15</v>
      </c>
      <c r="D9169" t="s" s="2">
        <v>16</v>
      </c>
      <c r="E9169" t="s" s="2">
        <v>17</v>
      </c>
      <c r="F9169" t="s" s="2">
        <f>HYPERLINK("http://ts.21cn.com/tousu/show/id/1360517","http://ts.21cn.com/tousu/show/id/1360517")</f>
      </c>
      <c r="G9169" t="s" s="2">
        <v>17</v>
      </c>
      <c r="H9169" t="s" s="2">
        <v>19</v>
      </c>
      <c r="I9169" t="s" s="2">
        <v>35353</v>
      </c>
      <c r="J9169" t="s" s="2">
        <v>35354</v>
      </c>
      <c r="K9169" t="s" s="2">
        <v>22</v>
      </c>
      <c r="L9169" t="s" s="2">
        <v>22</v>
      </c>
      <c r="M9169" t="s" s="2">
        <v>22</v>
      </c>
    </row>
    <row r="9170" ht="25.0" customHeight="true">
      <c r="A9170" t="s" s="2">
        <v>13</v>
      </c>
      <c r="B9170" t="s" s="2">
        <f>HYPERLINK("http://ts.21cn.com/tousu/show/id/1360319","美乐家具一直未发货申请全额退款")</f>
      </c>
      <c r="C9170" t="s" s="2">
        <v>52</v>
      </c>
      <c r="D9170" t="s" s="2">
        <v>16</v>
      </c>
      <c r="E9170" t="s" s="2">
        <v>17</v>
      </c>
      <c r="F9170" t="s" s="2">
        <f>HYPERLINK("http://ts.21cn.com/tousu/show/id/1360319","http://ts.21cn.com/tousu/show/id/1360319")</f>
      </c>
      <c r="G9170" t="s" s="2">
        <v>17</v>
      </c>
      <c r="H9170" t="s" s="2">
        <v>19</v>
      </c>
      <c r="I9170" t="s" s="2">
        <v>35357</v>
      </c>
      <c r="J9170" t="s" s="2">
        <v>35358</v>
      </c>
      <c r="K9170" t="s" s="2">
        <v>22</v>
      </c>
      <c r="L9170" t="s" s="2">
        <v>22</v>
      </c>
      <c r="M9170" t="s" s="2">
        <v>22</v>
      </c>
    </row>
    <row r="9171" ht="25.0" customHeight="true">
      <c r="A9171" t="s" s="2">
        <v>13</v>
      </c>
      <c r="B9171" t="s" s="2">
        <f>HYPERLINK("http://ts.21cn.com/tousu/show/id/1360509","网贷平台暴力催收恐吓")</f>
      </c>
      <c r="C9171" t="s" s="2">
        <v>15</v>
      </c>
      <c r="D9171" t="s" s="2">
        <v>16</v>
      </c>
      <c r="E9171" t="s" s="2">
        <v>17</v>
      </c>
      <c r="F9171" t="s" s="2">
        <f>HYPERLINK("http://ts.21cn.com/tousu/show/id/1360509","http://ts.21cn.com/tousu/show/id/1360509")</f>
      </c>
      <c r="G9171" t="s" s="2">
        <v>17</v>
      </c>
      <c r="H9171" t="s" s="2">
        <v>19</v>
      </c>
      <c r="I9171" t="s" s="2">
        <v>35361</v>
      </c>
      <c r="J9171" t="s" s="2">
        <v>35362</v>
      </c>
      <c r="K9171" t="s" s="2">
        <v>22</v>
      </c>
      <c r="L9171" t="s" s="2">
        <v>22</v>
      </c>
      <c r="M9171" t="s" s="2">
        <v>22</v>
      </c>
    </row>
    <row r="9172" ht="25.0" customHeight="true">
      <c r="A9172" t="s" s="2">
        <v>13</v>
      </c>
      <c r="B9172" t="s" s="2">
        <f>HYPERLINK("http://ts.21cn.com/tousu/show/id/1360506","闪银哼哼威胁还款")</f>
      </c>
      <c r="C9172" t="s" s="2">
        <v>15</v>
      </c>
      <c r="D9172" t="s" s="2">
        <v>16</v>
      </c>
      <c r="E9172" t="s" s="2">
        <v>17</v>
      </c>
      <c r="F9172" t="s" s="2">
        <f>HYPERLINK("http://ts.21cn.com/tousu/show/id/1360506","http://ts.21cn.com/tousu/show/id/1360506")</f>
      </c>
      <c r="G9172" t="s" s="2">
        <v>17</v>
      </c>
      <c r="H9172" t="s" s="2">
        <v>19</v>
      </c>
      <c r="I9172" t="s" s="2">
        <v>35365</v>
      </c>
      <c r="J9172" t="s" s="2">
        <v>35366</v>
      </c>
      <c r="K9172" t="s" s="2">
        <v>22</v>
      </c>
      <c r="L9172" t="s" s="2">
        <v>22</v>
      </c>
      <c r="M9172" t="s" s="2">
        <v>22</v>
      </c>
    </row>
    <row r="9173" ht="25.0" customHeight="true">
      <c r="A9173" t="s" s="2">
        <v>13</v>
      </c>
      <c r="B9173" t="s" s="2">
        <f>HYPERLINK("http://ts.21cn.com/tousu/show/id/1360497","在绿森商城购买的苹果手机9千多客服说最晚13号发货，结果到时不发，无诚信，应受到惩罚，商城应诚实守信")</f>
      </c>
      <c r="C9173" t="s" s="2">
        <v>15</v>
      </c>
      <c r="D9173" t="s" s="2">
        <v>16</v>
      </c>
      <c r="E9173" t="s" s="2">
        <v>17</v>
      </c>
      <c r="F9173" t="s" s="2">
        <f>HYPERLINK("http://ts.21cn.com/tousu/show/id/1360497","http://ts.21cn.com/tousu/show/id/1360497")</f>
      </c>
      <c r="G9173" t="s" s="2">
        <v>17</v>
      </c>
      <c r="H9173" t="s" s="2">
        <v>19</v>
      </c>
      <c r="I9173" t="s" s="2">
        <v>35369</v>
      </c>
      <c r="J9173" t="s" s="2">
        <v>35370</v>
      </c>
      <c r="K9173" t="s" s="2">
        <v>22</v>
      </c>
      <c r="L9173" t="s" s="2">
        <v>22</v>
      </c>
      <c r="M9173" t="s" s="2">
        <v>22</v>
      </c>
    </row>
    <row r="9174" ht="25.0" customHeight="true">
      <c r="A9174" t="s" s="2">
        <v>13</v>
      </c>
      <c r="B9174" t="s" s="2">
        <f>HYPERLINK("http://ts.21cn.com/tousu/show/id/1360494","我要投诉淘集集，商品下不了架，钱也提现几个月都没处理，")</f>
      </c>
      <c r="C9174" t="s" s="2">
        <v>15</v>
      </c>
      <c r="D9174" t="s" s="2">
        <v>16</v>
      </c>
      <c r="E9174" t="s" s="2">
        <v>17</v>
      </c>
      <c r="F9174" t="s" s="2">
        <f>HYPERLINK("http://ts.21cn.com/tousu/show/id/1360494","http://ts.21cn.com/tousu/show/id/1360494")</f>
      </c>
      <c r="G9174" t="s" s="2">
        <v>17</v>
      </c>
      <c r="H9174" t="s" s="2">
        <v>19</v>
      </c>
      <c r="I9174" t="s" s="2">
        <v>35373</v>
      </c>
      <c r="J9174" t="s" s="2">
        <v>35374</v>
      </c>
      <c r="K9174" t="s" s="2">
        <v>22</v>
      </c>
      <c r="L9174" t="s" s="2">
        <v>22</v>
      </c>
      <c r="M9174" t="s" s="2">
        <v>22</v>
      </c>
    </row>
    <row r="9175" ht="25.0" customHeight="true">
      <c r="A9175" t="s" s="2">
        <v>13</v>
      </c>
      <c r="B9175" t="s" s="2">
        <f>HYPERLINK("http://ts.21cn.com/tousu/show/id/1360486","苏宁易购以airpods2塑封膜拆封为由拒绝履行7天无理由退货，霸王条款")</f>
      </c>
      <c r="C9175" t="s" s="2">
        <v>15</v>
      </c>
      <c r="D9175" t="s" s="2">
        <v>16</v>
      </c>
      <c r="E9175" t="s" s="2">
        <v>17</v>
      </c>
      <c r="F9175" t="s" s="2">
        <f>HYPERLINK("http://ts.21cn.com/tousu/show/id/1360486","http://ts.21cn.com/tousu/show/id/1360486")</f>
      </c>
      <c r="G9175" t="s" s="2">
        <v>17</v>
      </c>
      <c r="H9175" t="s" s="2">
        <v>19</v>
      </c>
      <c r="I9175" t="s" s="2">
        <v>35377</v>
      </c>
      <c r="J9175" t="s" s="2">
        <v>35378</v>
      </c>
      <c r="K9175" t="s" s="2">
        <v>22</v>
      </c>
      <c r="L9175" t="s" s="2">
        <v>22</v>
      </c>
      <c r="M9175" t="s" s="2">
        <v>22</v>
      </c>
    </row>
    <row r="9176" ht="25.0" customHeight="true">
      <c r="A9176" t="s" s="2">
        <v>13</v>
      </c>
      <c r="B9176" t="s" s="2">
        <f>HYPERLINK("http://ts.21cn.com/tousu/show/id/1360483","捷信骚扰电话")</f>
      </c>
      <c r="C9176" t="s" s="2">
        <v>15</v>
      </c>
      <c r="D9176" t="s" s="2">
        <v>16</v>
      </c>
      <c r="E9176" t="s" s="2">
        <v>17</v>
      </c>
      <c r="F9176" t="s" s="2">
        <f>HYPERLINK("http://ts.21cn.com/tousu/show/id/1360483","http://ts.21cn.com/tousu/show/id/1360483")</f>
      </c>
      <c r="G9176" t="s" s="2">
        <v>17</v>
      </c>
      <c r="H9176" t="s" s="2">
        <v>19</v>
      </c>
      <c r="I9176" t="s" s="2">
        <v>35381</v>
      </c>
      <c r="J9176" t="s" s="2">
        <v>35382</v>
      </c>
      <c r="K9176" t="s" s="2">
        <v>22</v>
      </c>
      <c r="L9176" t="s" s="2">
        <v>22</v>
      </c>
      <c r="M9176" t="s" s="2">
        <v>22</v>
      </c>
    </row>
    <row r="9177" ht="25.0" customHeight="true">
      <c r="A9177" t="s" s="2">
        <v>13</v>
      </c>
      <c r="B9177" t="s" s="2">
        <f>HYPERLINK("http://ts.21cn.com/tousu/show/id/1360475","维信卡卡贷通过了一个月没下款")</f>
      </c>
      <c r="C9177" t="s" s="2">
        <v>52</v>
      </c>
      <c r="D9177" t="s" s="2">
        <v>16</v>
      </c>
      <c r="E9177" t="s" s="2">
        <v>17</v>
      </c>
      <c r="F9177" t="s" s="2">
        <f>HYPERLINK("http://ts.21cn.com/tousu/show/id/1360475","http://ts.21cn.com/tousu/show/id/1360475")</f>
      </c>
      <c r="G9177" t="s" s="2">
        <v>17</v>
      </c>
      <c r="H9177" t="s" s="2">
        <v>19</v>
      </c>
      <c r="I9177" t="s" s="2">
        <v>35385</v>
      </c>
      <c r="J9177" t="s" s="2">
        <v>35386</v>
      </c>
      <c r="K9177" t="s" s="2">
        <v>22</v>
      </c>
      <c r="L9177" t="s" s="2">
        <v>22</v>
      </c>
      <c r="M9177" t="s" s="2">
        <v>22</v>
      </c>
    </row>
    <row r="9178" ht="25.0" customHeight="true">
      <c r="A9178" t="s" s="2">
        <v>13</v>
      </c>
      <c r="B9178" t="s" s="2">
        <f>HYPERLINK("http://ts.21cn.com/tousu/show/id/1360472","我来贷故意不扣款导致逾期")</f>
      </c>
      <c r="C9178" t="s" s="2">
        <v>52</v>
      </c>
      <c r="D9178" t="s" s="2">
        <v>16</v>
      </c>
      <c r="E9178" t="s" s="2">
        <v>17</v>
      </c>
      <c r="F9178" t="s" s="2">
        <f>HYPERLINK("http://ts.21cn.com/tousu/show/id/1360472","http://ts.21cn.com/tousu/show/id/1360472")</f>
      </c>
      <c r="G9178" t="s" s="2">
        <v>17</v>
      </c>
      <c r="H9178" t="s" s="2">
        <v>19</v>
      </c>
      <c r="I9178" t="s" s="2">
        <v>35389</v>
      </c>
      <c r="J9178" t="s" s="2">
        <v>35390</v>
      </c>
      <c r="K9178" t="s" s="2">
        <v>22</v>
      </c>
      <c r="L9178" t="s" s="2">
        <v>22</v>
      </c>
      <c r="M9178" t="s" s="2">
        <v>22</v>
      </c>
    </row>
    <row r="9179" ht="25.0" customHeight="true">
      <c r="A9179" t="s" s="2">
        <v>13</v>
      </c>
      <c r="B9179" t="s" s="2">
        <f>HYPERLINK("http://ts.21cn.com/tousu/show/id/1360464","我来贷非法高利贷")</f>
      </c>
      <c r="C9179" t="s" s="2">
        <v>15</v>
      </c>
      <c r="D9179" t="s" s="2">
        <v>16</v>
      </c>
      <c r="E9179" t="s" s="2">
        <v>17</v>
      </c>
      <c r="F9179" t="s" s="2">
        <f>HYPERLINK("http://ts.21cn.com/tousu/show/id/1360464","http://ts.21cn.com/tousu/show/id/1360464")</f>
      </c>
      <c r="G9179" t="s" s="2">
        <v>17</v>
      </c>
      <c r="H9179" t="s" s="2">
        <v>19</v>
      </c>
      <c r="I9179" t="s" s="2">
        <v>35393</v>
      </c>
      <c r="J9179" t="s" s="2">
        <v>35394</v>
      </c>
      <c r="K9179" t="s" s="2">
        <v>22</v>
      </c>
      <c r="L9179" t="s" s="2">
        <v>22</v>
      </c>
      <c r="M9179" t="s" s="2">
        <v>22</v>
      </c>
    </row>
    <row r="9180" ht="25.0" customHeight="true">
      <c r="A9180" t="s" s="2">
        <v>13</v>
      </c>
      <c r="B9180" t="s" s="2">
        <f>HYPERLINK("http://ts.21cn.com/tousu/show/id/1360461","泄漏个人信息恶心群发催收信息")</f>
      </c>
      <c r="C9180" t="s" s="2">
        <v>15</v>
      </c>
      <c r="D9180" t="s" s="2">
        <v>16</v>
      </c>
      <c r="E9180" t="s" s="2">
        <v>17</v>
      </c>
      <c r="F9180" t="s" s="2">
        <f>HYPERLINK("http://ts.21cn.com/tousu/show/id/1360461","http://ts.21cn.com/tousu/show/id/1360461")</f>
      </c>
      <c r="G9180" t="s" s="2">
        <v>17</v>
      </c>
      <c r="H9180" t="s" s="2">
        <v>19</v>
      </c>
      <c r="I9180" t="s" s="2">
        <v>35397</v>
      </c>
      <c r="J9180" t="s" s="2">
        <v>35398</v>
      </c>
      <c r="K9180" t="s" s="2">
        <v>22</v>
      </c>
      <c r="L9180" t="s" s="2">
        <v>22</v>
      </c>
      <c r="M9180" t="s" s="2">
        <v>22</v>
      </c>
    </row>
    <row r="9181" ht="25.0" customHeight="true">
      <c r="A9181" t="s" s="2">
        <v>13</v>
      </c>
      <c r="B9181" t="s" s="2">
        <f>HYPERLINK("http://ts.21cn.com/tousu/show/id/1360453","网校销售人员刻意隐瞒考试主办方混淆概念虚假宣传课程，购买课程后尚未使用且不予退款")</f>
      </c>
      <c r="C9181" t="s" s="2">
        <v>15</v>
      </c>
      <c r="D9181" t="s" s="2">
        <v>16</v>
      </c>
      <c r="E9181" t="s" s="2">
        <v>17</v>
      </c>
      <c r="F9181" t="s" s="2">
        <f>HYPERLINK("http://ts.21cn.com/tousu/show/id/1360453","http://ts.21cn.com/tousu/show/id/1360453")</f>
      </c>
      <c r="G9181" t="s" s="2">
        <v>17</v>
      </c>
      <c r="H9181" t="s" s="2">
        <v>19</v>
      </c>
      <c r="I9181" t="s" s="2">
        <v>35401</v>
      </c>
      <c r="J9181" t="s" s="2">
        <v>35402</v>
      </c>
      <c r="K9181" t="s" s="2">
        <v>22</v>
      </c>
      <c r="L9181" t="s" s="2">
        <v>22</v>
      </c>
      <c r="M9181" t="s" s="2">
        <v>22</v>
      </c>
    </row>
    <row r="9182" ht="25.0" customHeight="true">
      <c r="A9182" t="s" s="2">
        <v>13</v>
      </c>
      <c r="B9182" t="s" s="2">
        <f>HYPERLINK("http://ts.21cn.com/tousu/show/id/1360450","黑心钱站")</f>
      </c>
      <c r="C9182" t="s" s="2">
        <v>15</v>
      </c>
      <c r="D9182" t="s" s="2">
        <v>16</v>
      </c>
      <c r="E9182" t="s" s="2">
        <v>17</v>
      </c>
      <c r="F9182" t="s" s="2">
        <f>HYPERLINK("http://ts.21cn.com/tousu/show/id/1360450","http://ts.21cn.com/tousu/show/id/1360450")</f>
      </c>
      <c r="G9182" t="s" s="2">
        <v>17</v>
      </c>
      <c r="H9182" t="s" s="2">
        <v>19</v>
      </c>
      <c r="I9182" t="s" s="2">
        <v>35405</v>
      </c>
      <c r="J9182" t="s" s="2">
        <v>35406</v>
      </c>
      <c r="K9182" t="s" s="2">
        <v>22</v>
      </c>
      <c r="L9182" t="s" s="2">
        <v>22</v>
      </c>
      <c r="M9182" t="s" s="2">
        <v>22</v>
      </c>
    </row>
    <row r="9183" ht="25.0" customHeight="true">
      <c r="A9183" t="s" s="2">
        <v>13</v>
      </c>
      <c r="B9183" t="s" s="2">
        <f>HYPERLINK("http://ts.21cn.com/tousu/show/id/1360442","无故遭北京海科融通信息技术有限公司盗款")</f>
      </c>
      <c r="C9183" t="s" s="2">
        <v>15</v>
      </c>
      <c r="D9183" t="s" s="2">
        <v>16</v>
      </c>
      <c r="E9183" t="s" s="2">
        <v>17</v>
      </c>
      <c r="F9183" t="s" s="2">
        <f>HYPERLINK("http://ts.21cn.com/tousu/show/id/1360442","http://ts.21cn.com/tousu/show/id/1360442")</f>
      </c>
      <c r="G9183" t="s" s="2">
        <v>17</v>
      </c>
      <c r="H9183" t="s" s="2">
        <v>19</v>
      </c>
      <c r="I9183" t="s" s="2">
        <v>35409</v>
      </c>
      <c r="J9183" t="s" s="2">
        <v>35410</v>
      </c>
      <c r="K9183" t="s" s="2">
        <v>22</v>
      </c>
      <c r="L9183" t="s" s="2">
        <v>22</v>
      </c>
      <c r="M9183" t="s" s="2">
        <v>22</v>
      </c>
    </row>
    <row r="9184" ht="25.0" customHeight="true">
      <c r="A9184" t="s" s="2">
        <v>13</v>
      </c>
      <c r="B9184" t="s" s="2">
        <f>HYPERLINK("http://ts.21cn.com/tousu/show/id/1360431","玖富万卡自己还够本金，却还要还2倍的钱")</f>
      </c>
      <c r="C9184" t="s" s="2">
        <v>52</v>
      </c>
      <c r="D9184" t="s" s="2">
        <v>16</v>
      </c>
      <c r="E9184" t="s" s="2">
        <v>17</v>
      </c>
      <c r="F9184" t="s" s="2">
        <f>HYPERLINK("http://ts.21cn.com/tousu/show/id/1360431","http://ts.21cn.com/tousu/show/id/1360431")</f>
      </c>
      <c r="G9184" t="s" s="2">
        <v>17</v>
      </c>
      <c r="H9184" t="s" s="2">
        <v>19</v>
      </c>
      <c r="I9184" t="s" s="2">
        <v>35413</v>
      </c>
      <c r="J9184" t="s" s="2">
        <v>35414</v>
      </c>
      <c r="K9184" t="s" s="2">
        <v>22</v>
      </c>
      <c r="L9184" t="s" s="2">
        <v>22</v>
      </c>
      <c r="M9184" t="s" s="2">
        <v>22</v>
      </c>
    </row>
    <row r="9185" ht="25.0" customHeight="true">
      <c r="A9185" t="s" s="2">
        <v>13</v>
      </c>
      <c r="B9185" t="s" s="2">
        <f>HYPERLINK("http://ts.21cn.com/tousu/show/id/1360429","51人品贷违规撮合银行资金参与P2P网络借贷")</f>
      </c>
      <c r="C9185" t="s" s="2">
        <v>52</v>
      </c>
      <c r="D9185" t="s" s="2">
        <v>16</v>
      </c>
      <c r="E9185" t="s" s="2">
        <v>17</v>
      </c>
      <c r="F9185" t="s" s="2">
        <f>HYPERLINK("http://ts.21cn.com/tousu/show/id/1360429","http://ts.21cn.com/tousu/show/id/1360429")</f>
      </c>
      <c r="G9185" t="s" s="2">
        <v>17</v>
      </c>
      <c r="H9185" t="s" s="2">
        <v>19</v>
      </c>
      <c r="I9185" t="s" s="2">
        <v>35417</v>
      </c>
      <c r="J9185" t="s" s="2">
        <v>35418</v>
      </c>
      <c r="K9185" t="s" s="2">
        <v>22</v>
      </c>
      <c r="L9185" t="s" s="2">
        <v>22</v>
      </c>
      <c r="M9185" t="s" s="2">
        <v>22</v>
      </c>
    </row>
    <row r="9186" ht="25.0" customHeight="true">
      <c r="A9186" t="s" s="2">
        <v>13</v>
      </c>
      <c r="B9186" t="s" s="2">
        <f>HYPERLINK("http://ts.21cn.com/tousu/show/id/1360420","云充吧退费问题")</f>
      </c>
      <c r="C9186" t="s" s="2">
        <v>15</v>
      </c>
      <c r="D9186" t="s" s="2">
        <v>16</v>
      </c>
      <c r="E9186" t="s" s="2">
        <v>17</v>
      </c>
      <c r="F9186" t="s" s="2">
        <f>HYPERLINK("http://ts.21cn.com/tousu/show/id/1360420","http://ts.21cn.com/tousu/show/id/1360420")</f>
      </c>
      <c r="G9186" t="s" s="2">
        <v>17</v>
      </c>
      <c r="H9186" t="s" s="2">
        <v>19</v>
      </c>
      <c r="I9186" t="s" s="2">
        <v>35421</v>
      </c>
      <c r="J9186" t="s" s="2">
        <v>35422</v>
      </c>
      <c r="K9186" t="s" s="2">
        <v>22</v>
      </c>
      <c r="L9186" t="s" s="2">
        <v>22</v>
      </c>
      <c r="M9186" t="s" s="2">
        <v>22</v>
      </c>
    </row>
    <row r="9187" ht="25.0" customHeight="true">
      <c r="A9187" t="s" s="2">
        <v>13</v>
      </c>
      <c r="B9187" t="s" s="2">
        <f>HYPERLINK("http://ts.21cn.com/tousu/show/id/1360418","立借高利贷，套路贷")</f>
      </c>
      <c r="C9187" t="s" s="2">
        <v>15</v>
      </c>
      <c r="D9187" t="s" s="2">
        <v>16</v>
      </c>
      <c r="E9187" t="s" s="2">
        <v>17</v>
      </c>
      <c r="F9187" t="s" s="2">
        <f>HYPERLINK("http://ts.21cn.com/tousu/show/id/1360418","http://ts.21cn.com/tousu/show/id/1360418")</f>
      </c>
      <c r="G9187" t="s" s="2">
        <v>17</v>
      </c>
      <c r="H9187" t="s" s="2">
        <v>19</v>
      </c>
      <c r="I9187" t="s" s="2">
        <v>35425</v>
      </c>
      <c r="J9187" t="s" s="2">
        <v>35426</v>
      </c>
      <c r="K9187" t="s" s="2">
        <v>22</v>
      </c>
      <c r="L9187" t="s" s="2">
        <v>22</v>
      </c>
      <c r="M9187" t="s" s="2">
        <v>22</v>
      </c>
    </row>
    <row r="9188" ht="25.0" customHeight="true">
      <c r="A9188" t="s" s="2">
        <v>13</v>
      </c>
      <c r="B9188" t="s" s="2">
        <f>HYPERLINK("http://ts.21cn.com/tousu/show/id/1360407","无法与拍拍贷协商提前还款")</f>
      </c>
      <c r="C9188" t="s" s="2">
        <v>15</v>
      </c>
      <c r="D9188" t="s" s="2">
        <v>16</v>
      </c>
      <c r="E9188" t="s" s="2">
        <v>17</v>
      </c>
      <c r="F9188" t="s" s="2">
        <f>HYPERLINK("http://ts.21cn.com/tousu/show/id/1360407","http://ts.21cn.com/tousu/show/id/1360407")</f>
      </c>
      <c r="G9188" t="s" s="2">
        <v>17</v>
      </c>
      <c r="H9188" t="s" s="2">
        <v>19</v>
      </c>
      <c r="I9188" t="s" s="2">
        <v>35429</v>
      </c>
      <c r="J9188" t="s" s="2">
        <v>35430</v>
      </c>
      <c r="K9188" t="s" s="2">
        <v>22</v>
      </c>
      <c r="L9188" t="s" s="2">
        <v>22</v>
      </c>
      <c r="M9188" t="s" s="2">
        <v>22</v>
      </c>
    </row>
    <row r="9189" ht="25.0" customHeight="true">
      <c r="A9189" t="s" s="2">
        <v>13</v>
      </c>
      <c r="B9189" t="s" s="2">
        <f>HYPERLINK("http://ts.21cn.com/tousu/show/id/1360398","钱站高利贷收取非法高利息以及所谓的高额逾期费")</f>
      </c>
      <c r="C9189" t="s" s="2">
        <v>15</v>
      </c>
      <c r="D9189" t="s" s="2">
        <v>16</v>
      </c>
      <c r="E9189" t="s" s="2">
        <v>17</v>
      </c>
      <c r="F9189" t="s" s="2">
        <f>HYPERLINK("http://ts.21cn.com/tousu/show/id/1360398","http://ts.21cn.com/tousu/show/id/1360398")</f>
      </c>
      <c r="G9189" t="s" s="2">
        <v>17</v>
      </c>
      <c r="H9189" t="s" s="2">
        <v>19</v>
      </c>
      <c r="I9189" t="s" s="2">
        <v>35433</v>
      </c>
      <c r="J9189" t="s" s="2">
        <v>35434</v>
      </c>
      <c r="K9189" t="s" s="2">
        <v>22</v>
      </c>
      <c r="L9189" t="s" s="2">
        <v>22</v>
      </c>
      <c r="M9189" t="s" s="2">
        <v>22</v>
      </c>
    </row>
    <row r="9190" ht="25.0" customHeight="true">
      <c r="A9190" t="s" s="2">
        <v>13</v>
      </c>
      <c r="B9190" t="s" s="2">
        <f>HYPERLINK("http://ts.21cn.com/tousu/show/id/1360395","广州今潮创意潮汕餐厅商品未煮熟，负责人承认存在问题但拒绝退款，表示随便投诉")</f>
      </c>
      <c r="C9190" t="s" s="2">
        <v>15</v>
      </c>
      <c r="D9190" t="s" s="2">
        <v>16</v>
      </c>
      <c r="E9190" t="s" s="2">
        <v>17</v>
      </c>
      <c r="F9190" t="s" s="2">
        <f>HYPERLINK("http://ts.21cn.com/tousu/show/id/1360395","http://ts.21cn.com/tousu/show/id/1360395")</f>
      </c>
      <c r="G9190" t="s" s="2">
        <v>17</v>
      </c>
      <c r="H9190" t="s" s="2">
        <v>19</v>
      </c>
      <c r="I9190" t="s" s="2">
        <v>35437</v>
      </c>
      <c r="J9190" t="s" s="2">
        <v>35438</v>
      </c>
      <c r="K9190" t="s" s="2">
        <v>22</v>
      </c>
      <c r="L9190" t="s" s="2">
        <v>22</v>
      </c>
      <c r="M9190" t="s" s="2">
        <v>22</v>
      </c>
    </row>
    <row r="9191" ht="25.0" customHeight="true">
      <c r="A9191" t="s" s="2">
        <v>13</v>
      </c>
      <c r="B9191" t="s" s="2">
        <f>HYPERLINK("http://ts.21cn.com/tousu/show/id/1360384","哪吒聚宝暴力催收")</f>
      </c>
      <c r="C9191" t="s" s="2">
        <v>15</v>
      </c>
      <c r="D9191" t="s" s="2">
        <v>16</v>
      </c>
      <c r="E9191" t="s" s="2">
        <v>17</v>
      </c>
      <c r="F9191" t="s" s="2">
        <f>HYPERLINK("http://ts.21cn.com/tousu/show/id/1360384","http://ts.21cn.com/tousu/show/id/1360384")</f>
      </c>
      <c r="G9191" t="s" s="2">
        <v>17</v>
      </c>
      <c r="H9191" t="s" s="2">
        <v>19</v>
      </c>
      <c r="I9191" t="s" s="2">
        <v>35441</v>
      </c>
      <c r="J9191" t="s" s="2">
        <v>35442</v>
      </c>
      <c r="K9191" t="s" s="2">
        <v>22</v>
      </c>
      <c r="L9191" t="s" s="2">
        <v>22</v>
      </c>
      <c r="M9191" t="s" s="2">
        <v>22</v>
      </c>
    </row>
    <row r="9192" ht="25.0" customHeight="true">
      <c r="A9192" t="s" s="2">
        <v>13</v>
      </c>
      <c r="B9192" t="s" s="2">
        <f>HYPERLINK("http://ts.21cn.com/tousu/show/id/1360153","投诉南宁我主良缘办理巨额费用会员.要求全额退款被拒.投诉全额退款")</f>
      </c>
      <c r="C9192" t="s" s="2">
        <v>15</v>
      </c>
      <c r="D9192" t="s" s="2">
        <v>16</v>
      </c>
      <c r="E9192" t="s" s="2">
        <v>17</v>
      </c>
      <c r="F9192" t="s" s="2">
        <f>HYPERLINK("http://ts.21cn.com/tousu/show/id/1360153","http://ts.21cn.com/tousu/show/id/1360153")</f>
      </c>
      <c r="G9192" t="s" s="2">
        <v>17</v>
      </c>
      <c r="H9192" t="s" s="2">
        <v>19</v>
      </c>
      <c r="I9192" t="s" s="2">
        <v>35445</v>
      </c>
      <c r="J9192" t="s" s="2">
        <v>35446</v>
      </c>
      <c r="K9192" t="s" s="2">
        <v>22</v>
      </c>
      <c r="L9192" t="s" s="2">
        <v>22</v>
      </c>
      <c r="M9192" t="s" s="2">
        <v>22</v>
      </c>
    </row>
    <row r="9193" ht="25.0" customHeight="true">
      <c r="A9193" t="s" s="2">
        <v>13</v>
      </c>
      <c r="B9193" t="s" s="2">
        <f>HYPERLINK("http://ts.21cn.com/tousu/show/id/1360365","万和京东自营旗舰店电热水器的赠品未按规定赠送")</f>
      </c>
      <c r="C9193" t="s" s="2">
        <v>15</v>
      </c>
      <c r="D9193" t="s" s="2">
        <v>16</v>
      </c>
      <c r="E9193" t="s" s="2">
        <v>17</v>
      </c>
      <c r="F9193" t="s" s="2">
        <f>HYPERLINK("http://ts.21cn.com/tousu/show/id/1360365","http://ts.21cn.com/tousu/show/id/1360365")</f>
      </c>
      <c r="G9193" t="s" s="2">
        <v>17</v>
      </c>
      <c r="H9193" t="s" s="2">
        <v>19</v>
      </c>
      <c r="I9193" t="s" s="2">
        <v>35449</v>
      </c>
      <c r="J9193" t="s" s="2">
        <v>35450</v>
      </c>
      <c r="K9193" t="s" s="2">
        <v>22</v>
      </c>
      <c r="L9193" t="s" s="2">
        <v>22</v>
      </c>
      <c r="M9193" t="s" s="2">
        <v>22</v>
      </c>
    </row>
    <row r="9194" ht="25.0" customHeight="true">
      <c r="A9194" t="s" s="2">
        <v>13</v>
      </c>
      <c r="B9194" t="s" s="2">
        <f>HYPERLINK("http://ts.21cn.com/tousu/show/id/1360377","京东为第三方提供违法充值渠道")</f>
      </c>
      <c r="C9194" t="s" s="2">
        <v>15</v>
      </c>
      <c r="D9194" t="s" s="2">
        <v>16</v>
      </c>
      <c r="E9194" t="s" s="2">
        <v>17</v>
      </c>
      <c r="F9194" t="s" s="2">
        <f>HYPERLINK("http://ts.21cn.com/tousu/show/id/1360377","http://ts.21cn.com/tousu/show/id/1360377")</f>
      </c>
      <c r="G9194" t="s" s="2">
        <v>17</v>
      </c>
      <c r="H9194" t="s" s="2">
        <v>19</v>
      </c>
      <c r="I9194" t="s" s="2">
        <v>35453</v>
      </c>
      <c r="J9194" t="s" s="2">
        <v>35454</v>
      </c>
      <c r="K9194" t="s" s="2">
        <v>22</v>
      </c>
      <c r="L9194" t="s" s="2">
        <v>22</v>
      </c>
      <c r="M9194" t="s" s="2">
        <v>22</v>
      </c>
    </row>
    <row r="9195" ht="25.0" customHeight="true">
      <c r="A9195" t="s" s="2">
        <v>13</v>
      </c>
      <c r="B9195" t="s" s="2">
        <f>HYPERLINK("http://ts.21cn.com/tousu/show/id/1360373","翼勋金融借贷套路贷")</f>
      </c>
      <c r="C9195" t="s" s="2">
        <v>15</v>
      </c>
      <c r="D9195" t="s" s="2">
        <v>16</v>
      </c>
      <c r="E9195" t="s" s="2">
        <v>17</v>
      </c>
      <c r="F9195" t="s" s="2">
        <f>HYPERLINK("http://ts.21cn.com/tousu/show/id/1360373","http://ts.21cn.com/tousu/show/id/1360373")</f>
      </c>
      <c r="G9195" t="s" s="2">
        <v>17</v>
      </c>
      <c r="H9195" t="s" s="2">
        <v>19</v>
      </c>
      <c r="I9195" t="s" s="2">
        <v>35457</v>
      </c>
      <c r="J9195" t="s" s="2">
        <v>35458</v>
      </c>
      <c r="K9195" t="s" s="2">
        <v>22</v>
      </c>
      <c r="L9195" t="s" s="2">
        <v>22</v>
      </c>
      <c r="M9195" t="s" s="2">
        <v>22</v>
      </c>
    </row>
    <row r="9196" ht="25.0" customHeight="true">
      <c r="A9196" t="s" s="2">
        <v>13</v>
      </c>
      <c r="B9196" t="s" s="2">
        <f>HYPERLINK("http://ts.21cn.com/tousu/show/id/1360362","贷上钱游戏豆")</f>
      </c>
      <c r="C9196" t="s" s="2">
        <v>52</v>
      </c>
      <c r="D9196" t="s" s="2">
        <v>16</v>
      </c>
      <c r="E9196" t="s" s="2">
        <v>17</v>
      </c>
      <c r="F9196" t="s" s="2">
        <f>HYPERLINK("http://ts.21cn.com/tousu/show/id/1360362","http://ts.21cn.com/tousu/show/id/1360362")</f>
      </c>
      <c r="G9196" t="s" s="2">
        <v>17</v>
      </c>
      <c r="H9196" t="s" s="2">
        <v>19</v>
      </c>
      <c r="I9196" t="s" s="2">
        <v>35461</v>
      </c>
      <c r="J9196" t="s" s="2">
        <v>35462</v>
      </c>
      <c r="K9196" t="s" s="2">
        <v>22</v>
      </c>
      <c r="L9196" t="s" s="2">
        <v>22</v>
      </c>
      <c r="M9196" t="s" s="2">
        <v>22</v>
      </c>
    </row>
    <row r="9197" ht="25.0" customHeight="true">
      <c r="A9197" t="s" s="2">
        <v>13</v>
      </c>
      <c r="B9197" t="s" s="2">
        <f>HYPERLINK("http://ts.21cn.com/tousu/show/id/1360354","广发信用卡协商还款")</f>
      </c>
      <c r="C9197" t="s" s="2">
        <v>15</v>
      </c>
      <c r="D9197" t="s" s="2">
        <v>16</v>
      </c>
      <c r="E9197" t="s" s="2">
        <v>17</v>
      </c>
      <c r="F9197" t="s" s="2">
        <f>HYPERLINK("http://ts.21cn.com/tousu/show/id/1360354","http://ts.21cn.com/tousu/show/id/1360354")</f>
      </c>
      <c r="G9197" t="s" s="2">
        <v>17</v>
      </c>
      <c r="H9197" t="s" s="2">
        <v>19</v>
      </c>
      <c r="I9197" t="s" s="2">
        <v>35465</v>
      </c>
      <c r="J9197" t="s" s="2">
        <v>35466</v>
      </c>
      <c r="K9197" t="s" s="2">
        <v>22</v>
      </c>
      <c r="L9197" t="s" s="2">
        <v>22</v>
      </c>
      <c r="M9197" t="s" s="2">
        <v>22</v>
      </c>
    </row>
    <row r="9198" ht="25.0" customHeight="true">
      <c r="A9198" t="s" s="2">
        <v>13</v>
      </c>
      <c r="B9198" t="s" s="2">
        <f>HYPERLINK("http://ts.21cn.com/tousu/show/id/1360351","聚富分期私自扣款299元并不给予退款")</f>
      </c>
      <c r="C9198" t="s" s="2">
        <v>15</v>
      </c>
      <c r="D9198" t="s" s="2">
        <v>16</v>
      </c>
      <c r="E9198" t="s" s="2">
        <v>17</v>
      </c>
      <c r="F9198" t="s" s="2">
        <f>HYPERLINK("http://ts.21cn.com/tousu/show/id/1360351","http://ts.21cn.com/tousu/show/id/1360351")</f>
      </c>
      <c r="G9198" t="s" s="2">
        <v>17</v>
      </c>
      <c r="H9198" t="s" s="2">
        <v>19</v>
      </c>
      <c r="I9198" t="s" s="2">
        <v>35469</v>
      </c>
      <c r="J9198" t="s" s="2">
        <v>35470</v>
      </c>
      <c r="K9198" t="s" s="2">
        <v>22</v>
      </c>
      <c r="L9198" t="s" s="2">
        <v>22</v>
      </c>
      <c r="M9198" t="s" s="2">
        <v>22</v>
      </c>
    </row>
    <row r="9199" ht="25.0" customHeight="true">
      <c r="A9199" t="s" s="2">
        <v>13</v>
      </c>
      <c r="B9199" t="s" s="2">
        <f>HYPERLINK("http://ts.21cn.com/tousu/show/id/1360343","招联金融恶意针对，还款未销账")</f>
      </c>
      <c r="C9199" t="s" s="2">
        <v>15</v>
      </c>
      <c r="D9199" t="s" s="2">
        <v>16</v>
      </c>
      <c r="E9199" t="s" s="2">
        <v>17</v>
      </c>
      <c r="F9199" t="s" s="2">
        <f>HYPERLINK("http://ts.21cn.com/tousu/show/id/1360343","http://ts.21cn.com/tousu/show/id/1360343")</f>
      </c>
      <c r="G9199" t="s" s="2">
        <v>17</v>
      </c>
      <c r="H9199" t="s" s="2">
        <v>19</v>
      </c>
      <c r="I9199" t="s" s="2">
        <v>35473</v>
      </c>
      <c r="J9199" t="s" s="2">
        <v>35474</v>
      </c>
      <c r="K9199" t="s" s="2">
        <v>22</v>
      </c>
      <c r="L9199" t="s" s="2">
        <v>22</v>
      </c>
      <c r="M9199" t="s" s="2">
        <v>22</v>
      </c>
    </row>
    <row r="9200" ht="25.0" customHeight="true">
      <c r="A9200" t="s" s="2">
        <v>13</v>
      </c>
      <c r="B9200" t="s" s="2">
        <f>HYPERLINK("http://ts.21cn.com/tousu/show/id/1360340","高利息砍头息，泄露客户信息")</f>
      </c>
      <c r="C9200" t="s" s="2">
        <v>15</v>
      </c>
      <c r="D9200" t="s" s="2">
        <v>16</v>
      </c>
      <c r="E9200" t="s" s="2">
        <v>17</v>
      </c>
      <c r="F9200" t="s" s="2">
        <f>HYPERLINK("http://ts.21cn.com/tousu/show/id/1360340","http://ts.21cn.com/tousu/show/id/1360340")</f>
      </c>
      <c r="G9200" t="s" s="2">
        <v>17</v>
      </c>
      <c r="H9200" t="s" s="2">
        <v>19</v>
      </c>
      <c r="I9200" t="s" s="2">
        <v>35477</v>
      </c>
      <c r="J9200" t="s" s="2">
        <v>35478</v>
      </c>
      <c r="K9200" t="s" s="2">
        <v>22</v>
      </c>
      <c r="L9200" t="s" s="2">
        <v>22</v>
      </c>
      <c r="M9200" t="s" s="2">
        <v>22</v>
      </c>
    </row>
    <row r="9201" ht="25.0" customHeight="true">
      <c r="A9201" t="s" s="2">
        <v>13</v>
      </c>
      <c r="B9201" t="s" s="2">
        <f>HYPERLINK("http://ts.21cn.com/tousu/show/id/1360321","捷信贷款放款失败，取消不了合同")</f>
      </c>
      <c r="C9201" t="s" s="2">
        <v>52</v>
      </c>
      <c r="D9201" t="s" s="2">
        <v>16</v>
      </c>
      <c r="E9201" t="s" s="2">
        <v>17</v>
      </c>
      <c r="F9201" t="s" s="2">
        <f>HYPERLINK("http://ts.21cn.com/tousu/show/id/1360321","http://ts.21cn.com/tousu/show/id/1360321")</f>
      </c>
      <c r="G9201" t="s" s="2">
        <v>17</v>
      </c>
      <c r="H9201" t="s" s="2">
        <v>19</v>
      </c>
      <c r="I9201" t="s" s="2">
        <v>35481</v>
      </c>
      <c r="J9201" t="s" s="2">
        <v>35482</v>
      </c>
      <c r="K9201" t="s" s="2">
        <v>22</v>
      </c>
      <c r="L9201" t="s" s="2">
        <v>22</v>
      </c>
      <c r="M9201" t="s" s="2">
        <v>22</v>
      </c>
    </row>
    <row r="9202" ht="25.0" customHeight="true">
      <c r="A9202" t="s" s="2">
        <v>13</v>
      </c>
      <c r="B9202" t="s" s="2">
        <f>HYPERLINK("http://ts.21cn.com/tousu/show/id/1360310","捷信催收")</f>
      </c>
      <c r="C9202" t="s" s="2">
        <v>15</v>
      </c>
      <c r="D9202" t="s" s="2">
        <v>16</v>
      </c>
      <c r="E9202" t="s" s="2">
        <v>17</v>
      </c>
      <c r="F9202" t="s" s="2">
        <f>HYPERLINK("http://ts.21cn.com/tousu/show/id/1360310","http://ts.21cn.com/tousu/show/id/1360310")</f>
      </c>
      <c r="G9202" t="s" s="2">
        <v>17</v>
      </c>
      <c r="H9202" t="s" s="2">
        <v>19</v>
      </c>
      <c r="I9202" t="s" s="2">
        <v>35485</v>
      </c>
      <c r="J9202" t="s" s="2">
        <v>35486</v>
      </c>
      <c r="K9202" t="s" s="2">
        <v>22</v>
      </c>
      <c r="L9202" t="s" s="2">
        <v>22</v>
      </c>
      <c r="M9202" t="s" s="2">
        <v>22</v>
      </c>
    </row>
    <row r="9203" ht="25.0" customHeight="true">
      <c r="A9203" t="s" s="2">
        <v>13</v>
      </c>
      <c r="B9203" t="s" s="2">
        <f>HYPERLINK("http://ts.21cn.com/tousu/show/id/1360308","钱站不取消借款")</f>
      </c>
      <c r="C9203" t="s" s="2">
        <v>15</v>
      </c>
      <c r="D9203" t="s" s="2">
        <v>16</v>
      </c>
      <c r="E9203" t="s" s="2">
        <v>17</v>
      </c>
      <c r="F9203" t="s" s="2">
        <f>HYPERLINK("http://ts.21cn.com/tousu/show/id/1360308","http://ts.21cn.com/tousu/show/id/1360308")</f>
      </c>
      <c r="G9203" t="s" s="2">
        <v>17</v>
      </c>
      <c r="H9203" t="s" s="2">
        <v>19</v>
      </c>
      <c r="I9203" t="s" s="2">
        <v>35489</v>
      </c>
      <c r="J9203" t="s" s="2">
        <v>35490</v>
      </c>
      <c r="K9203" t="s" s="2">
        <v>22</v>
      </c>
      <c r="L9203" t="s" s="2">
        <v>22</v>
      </c>
      <c r="M9203" t="s" s="2">
        <v>22</v>
      </c>
    </row>
    <row r="9204" ht="25.0" customHeight="true">
      <c r="A9204" t="s" s="2">
        <v>13</v>
      </c>
      <c r="B9204" t="s" s="2">
        <f>HYPERLINK("http://ts.21cn.com/tousu/show/id/1360299","猫眼不让我参加优惠买电影票")</f>
      </c>
      <c r="C9204" t="s" s="2">
        <v>52</v>
      </c>
      <c r="D9204" t="s" s="2">
        <v>16</v>
      </c>
      <c r="E9204" t="s" s="2">
        <v>17</v>
      </c>
      <c r="F9204" t="s" s="2">
        <f>HYPERLINK("http://ts.21cn.com/tousu/show/id/1360299","http://ts.21cn.com/tousu/show/id/1360299")</f>
      </c>
      <c r="G9204" t="s" s="2">
        <v>17</v>
      </c>
      <c r="H9204" t="s" s="2">
        <v>19</v>
      </c>
      <c r="I9204" t="s" s="2">
        <v>35493</v>
      </c>
      <c r="J9204" t="s" s="2">
        <v>35494</v>
      </c>
      <c r="K9204" t="s" s="2">
        <v>22</v>
      </c>
      <c r="L9204" t="s" s="2">
        <v>22</v>
      </c>
      <c r="M9204" t="s" s="2">
        <v>22</v>
      </c>
    </row>
    <row r="9205" ht="25.0" customHeight="true">
      <c r="A9205" t="s" s="2">
        <v>13</v>
      </c>
      <c r="B9205" t="s" s="2">
        <f>HYPERLINK("http://ts.21cn.com/tousu/show/id/1360296","饰小屋商家扣款问题")</f>
      </c>
      <c r="C9205" t="s" s="2">
        <v>15</v>
      </c>
      <c r="D9205" t="s" s="2">
        <v>16</v>
      </c>
      <c r="E9205" t="s" s="2">
        <v>17</v>
      </c>
      <c r="F9205" t="s" s="2">
        <f>HYPERLINK("http://ts.21cn.com/tousu/show/id/1360296","http://ts.21cn.com/tousu/show/id/1360296")</f>
      </c>
      <c r="G9205" t="s" s="2">
        <v>17</v>
      </c>
      <c r="H9205" t="s" s="2">
        <v>19</v>
      </c>
      <c r="I9205" t="s" s="2">
        <v>35497</v>
      </c>
      <c r="J9205" t="s" s="2">
        <v>35498</v>
      </c>
      <c r="K9205" t="s" s="2">
        <v>22</v>
      </c>
      <c r="L9205" t="s" s="2">
        <v>22</v>
      </c>
      <c r="M9205" t="s" s="2">
        <v>22</v>
      </c>
    </row>
    <row r="9206" ht="25.0" customHeight="true">
      <c r="A9206" t="s" s="2">
        <v>13</v>
      </c>
      <c r="B9206" t="s" s="2">
        <f>HYPERLINK("http://ts.21cn.com/tousu/show/id/1360291","德州源头商务信息咨询有限公司非法为国外博彩网站提供充值平台")</f>
      </c>
      <c r="C9206" t="s" s="2">
        <v>15</v>
      </c>
      <c r="D9206" t="s" s="2">
        <v>16</v>
      </c>
      <c r="E9206" t="s" s="2">
        <v>17</v>
      </c>
      <c r="F9206" t="s" s="2">
        <f>HYPERLINK("http://ts.21cn.com/tousu/show/id/1360291","http://ts.21cn.com/tousu/show/id/1360291")</f>
      </c>
      <c r="G9206" t="s" s="2">
        <v>17</v>
      </c>
      <c r="H9206" t="s" s="2">
        <v>19</v>
      </c>
      <c r="I9206" t="s" s="2">
        <v>35501</v>
      </c>
      <c r="J9206" t="s" s="2">
        <v>35502</v>
      </c>
      <c r="K9206" t="s" s="2">
        <v>22</v>
      </c>
      <c r="L9206" t="s" s="2">
        <v>22</v>
      </c>
      <c r="M9206" t="s" s="2">
        <v>22</v>
      </c>
    </row>
    <row r="9207" ht="25.0" customHeight="true">
      <c r="A9207" t="s" s="2">
        <v>13</v>
      </c>
      <c r="B9207" t="s" s="2">
        <f>HYPERLINK("http://ts.21cn.com/tousu/show/id/1360288","还款额已经超过本金，现在威胁我爆我通讯录")</f>
      </c>
      <c r="C9207" t="s" s="2">
        <v>15</v>
      </c>
      <c r="D9207" t="s" s="2">
        <v>16</v>
      </c>
      <c r="E9207" t="s" s="2">
        <v>17</v>
      </c>
      <c r="F9207" t="s" s="2">
        <f>HYPERLINK("http://ts.21cn.com/tousu/show/id/1360288","http://ts.21cn.com/tousu/show/id/1360288")</f>
      </c>
      <c r="G9207" t="s" s="2">
        <v>17</v>
      </c>
      <c r="H9207" t="s" s="2">
        <v>19</v>
      </c>
      <c r="I9207" t="s" s="2">
        <v>35505</v>
      </c>
      <c r="J9207" t="s" s="2">
        <v>35506</v>
      </c>
      <c r="K9207" t="s" s="2">
        <v>22</v>
      </c>
      <c r="L9207" t="s" s="2">
        <v>22</v>
      </c>
      <c r="M9207" t="s" s="2">
        <v>22</v>
      </c>
    </row>
    <row r="9208" ht="25.0" customHeight="true">
      <c r="A9208" t="s" s="2">
        <v>13</v>
      </c>
      <c r="B9208" t="s" s="2">
        <f>HYPERLINK("http://ts.21cn.com/tousu/show/id/1360285","投诉银联提供网络赌博通道")</f>
      </c>
      <c r="C9208" t="s" s="2">
        <v>15</v>
      </c>
      <c r="D9208" t="s" s="2">
        <v>16</v>
      </c>
      <c r="E9208" t="s" s="2">
        <v>17</v>
      </c>
      <c r="F9208" t="s" s="2">
        <f>HYPERLINK("http://ts.21cn.com/tousu/show/id/1360285","http://ts.21cn.com/tousu/show/id/1360285")</f>
      </c>
      <c r="G9208" t="s" s="2">
        <v>17</v>
      </c>
      <c r="H9208" t="s" s="2">
        <v>19</v>
      </c>
      <c r="I9208" t="s" s="2">
        <v>35509</v>
      </c>
      <c r="J9208" t="s" s="2">
        <v>35510</v>
      </c>
      <c r="K9208" t="s" s="2">
        <v>22</v>
      </c>
      <c r="L9208" t="s" s="2">
        <v>22</v>
      </c>
      <c r="M9208" t="s" s="2">
        <v>22</v>
      </c>
    </row>
    <row r="9209" ht="25.0" customHeight="true">
      <c r="A9209" t="s" s="2">
        <v>13</v>
      </c>
      <c r="B9209" t="s" s="2">
        <f>HYPERLINK("http://ts.21cn.com/tousu/show/id/1360277","关于平安银行车贷当日到期5点前与5点后逾期问题")</f>
      </c>
      <c r="C9209" t="s" s="2">
        <v>15</v>
      </c>
      <c r="D9209" t="s" s="2">
        <v>16</v>
      </c>
      <c r="E9209" t="s" s="2">
        <v>17</v>
      </c>
      <c r="F9209" t="s" s="2">
        <f>HYPERLINK("http://ts.21cn.com/tousu/show/id/1360277","http://ts.21cn.com/tousu/show/id/1360277")</f>
      </c>
      <c r="G9209" t="s" s="2">
        <v>17</v>
      </c>
      <c r="H9209" t="s" s="2">
        <v>19</v>
      </c>
      <c r="I9209" t="s" s="2">
        <v>35513</v>
      </c>
      <c r="J9209" t="s" s="2">
        <v>35514</v>
      </c>
      <c r="K9209" t="s" s="2">
        <v>22</v>
      </c>
      <c r="L9209" t="s" s="2">
        <v>22</v>
      </c>
      <c r="M9209" t="s" s="2">
        <v>22</v>
      </c>
    </row>
    <row r="9210" ht="25.0" customHeight="true">
      <c r="A9210" t="s" s="2">
        <v>13</v>
      </c>
      <c r="B9210" t="s" s="2">
        <f>HYPERLINK("http://ts.21cn.com/tousu/show/id/1360274","恒易贷提前还款不减免利息")</f>
      </c>
      <c r="C9210" t="s" s="2">
        <v>52</v>
      </c>
      <c r="D9210" t="s" s="2">
        <v>16</v>
      </c>
      <c r="E9210" t="s" s="2">
        <v>17</v>
      </c>
      <c r="F9210" t="s" s="2">
        <f>HYPERLINK("http://ts.21cn.com/tousu/show/id/1360274","http://ts.21cn.com/tousu/show/id/1360274")</f>
      </c>
      <c r="G9210" t="s" s="2">
        <v>17</v>
      </c>
      <c r="H9210" t="s" s="2">
        <v>19</v>
      </c>
      <c r="I9210" t="s" s="2">
        <v>35517</v>
      </c>
      <c r="J9210" t="s" s="2">
        <v>35518</v>
      </c>
      <c r="K9210" t="s" s="2">
        <v>22</v>
      </c>
      <c r="L9210" t="s" s="2">
        <v>22</v>
      </c>
      <c r="M9210" t="s" s="2">
        <v>22</v>
      </c>
    </row>
    <row r="9211" ht="25.0" customHeight="true">
      <c r="A9211" t="s" s="2">
        <v>13</v>
      </c>
      <c r="B9211" t="s" s="2">
        <f>HYPERLINK("http://ts.21cn.com/tousu/show/id/1360266","我来贷变相收取高额催收费")</f>
      </c>
      <c r="C9211" t="s" s="2">
        <v>15</v>
      </c>
      <c r="D9211" t="s" s="2">
        <v>16</v>
      </c>
      <c r="E9211" t="s" s="2">
        <v>17</v>
      </c>
      <c r="F9211" t="s" s="2">
        <f>HYPERLINK("http://ts.21cn.com/tousu/show/id/1360266","http://ts.21cn.com/tousu/show/id/1360266")</f>
      </c>
      <c r="G9211" t="s" s="2">
        <v>17</v>
      </c>
      <c r="H9211" t="s" s="2">
        <v>19</v>
      </c>
      <c r="I9211" t="s" s="2">
        <v>35520</v>
      </c>
      <c r="J9211" t="s" s="2">
        <v>35521</v>
      </c>
      <c r="K9211" t="s" s="2">
        <v>22</v>
      </c>
      <c r="L9211" t="s" s="2">
        <v>22</v>
      </c>
      <c r="M9211" t="s" s="2">
        <v>22</v>
      </c>
    </row>
    <row r="9212" ht="25.0" customHeight="true">
      <c r="A9212" t="s" s="2">
        <v>13</v>
      </c>
      <c r="B9212" t="s" s="2">
        <f>HYPERLINK("http://ts.21cn.com/tousu/show/id/1360263","贷上钱逾期一天暴力催收")</f>
      </c>
      <c r="C9212" t="s" s="2">
        <v>15</v>
      </c>
      <c r="D9212" t="s" s="2">
        <v>16</v>
      </c>
      <c r="E9212" t="s" s="2">
        <v>17</v>
      </c>
      <c r="F9212" t="s" s="2">
        <f>HYPERLINK("http://ts.21cn.com/tousu/show/id/1360263","http://ts.21cn.com/tousu/show/id/1360263")</f>
      </c>
      <c r="G9212" t="s" s="2">
        <v>17</v>
      </c>
      <c r="H9212" t="s" s="2">
        <v>19</v>
      </c>
      <c r="I9212" t="s" s="2">
        <v>35524</v>
      </c>
      <c r="J9212" t="s" s="2">
        <v>35525</v>
      </c>
      <c r="K9212" t="s" s="2">
        <v>22</v>
      </c>
      <c r="L9212" t="s" s="2">
        <v>22</v>
      </c>
      <c r="M9212" t="s" s="2">
        <v>22</v>
      </c>
    </row>
    <row r="9213" ht="25.0" customHeight="true">
      <c r="A9213" t="s" s="2">
        <v>13</v>
      </c>
      <c r="B9213" t="s" s="2">
        <f>HYPERLINK("http://ts.21cn.com/tousu/show/id/1360255","你我贷高利贷请降低利息")</f>
      </c>
      <c r="C9213" t="s" s="2">
        <v>15</v>
      </c>
      <c r="D9213" t="s" s="2">
        <v>16</v>
      </c>
      <c r="E9213" t="s" s="2">
        <v>17</v>
      </c>
      <c r="F9213" t="s" s="2">
        <f>HYPERLINK("http://ts.21cn.com/tousu/show/id/1360255","http://ts.21cn.com/tousu/show/id/1360255")</f>
      </c>
      <c r="G9213" t="s" s="2">
        <v>17</v>
      </c>
      <c r="H9213" t="s" s="2">
        <v>19</v>
      </c>
      <c r="I9213" t="s" s="2">
        <v>35528</v>
      </c>
      <c r="J9213" t="s" s="2">
        <v>35529</v>
      </c>
      <c r="K9213" t="s" s="2">
        <v>22</v>
      </c>
      <c r="L9213" t="s" s="2">
        <v>22</v>
      </c>
      <c r="M9213" t="s" s="2">
        <v>22</v>
      </c>
    </row>
    <row r="9214" ht="25.0" customHeight="true">
      <c r="A9214" t="s" s="2">
        <v>13</v>
      </c>
      <c r="B9214" t="s" s="2">
        <f>HYPERLINK("http://ts.21cn.com/tousu/show/id/1360252","连连支付为高利贷收取砍头息")</f>
      </c>
      <c r="C9214" t="s" s="2">
        <v>15</v>
      </c>
      <c r="D9214" t="s" s="2">
        <v>16</v>
      </c>
      <c r="E9214" t="s" s="2">
        <v>17</v>
      </c>
      <c r="F9214" t="s" s="2">
        <f>HYPERLINK("http://ts.21cn.com/tousu/show/id/1360252","http://ts.21cn.com/tousu/show/id/1360252")</f>
      </c>
      <c r="G9214" t="s" s="2">
        <v>17</v>
      </c>
      <c r="H9214" t="s" s="2">
        <v>19</v>
      </c>
      <c r="I9214" t="s" s="2">
        <v>35532</v>
      </c>
      <c r="J9214" t="s" s="2">
        <v>35533</v>
      </c>
      <c r="K9214" t="s" s="2">
        <v>22</v>
      </c>
      <c r="L9214" t="s" s="2">
        <v>22</v>
      </c>
      <c r="M9214" t="s" s="2">
        <v>22</v>
      </c>
    </row>
    <row r="9215" ht="25.0" customHeight="true">
      <c r="A9215" t="s" s="2">
        <v>13</v>
      </c>
      <c r="B9215" t="s" s="2">
        <f>HYPERLINK("http://ts.21cn.com/tousu/show/id/1360245","海尔金融够花关闭我的还款通道")</f>
      </c>
      <c r="C9215" t="s" s="2">
        <v>52</v>
      </c>
      <c r="D9215" t="s" s="2">
        <v>16</v>
      </c>
      <c r="E9215" t="s" s="2">
        <v>17</v>
      </c>
      <c r="F9215" t="s" s="2">
        <f>HYPERLINK("http://ts.21cn.com/tousu/show/id/1360245","http://ts.21cn.com/tousu/show/id/1360245")</f>
      </c>
      <c r="G9215" t="s" s="2">
        <v>17</v>
      </c>
      <c r="H9215" t="s" s="2">
        <v>19</v>
      </c>
      <c r="I9215" t="s" s="2">
        <v>35536</v>
      </c>
      <c r="J9215" t="s" s="2">
        <v>35537</v>
      </c>
      <c r="K9215" t="s" s="2">
        <v>22</v>
      </c>
      <c r="L9215" t="s" s="2">
        <v>22</v>
      </c>
      <c r="M9215" t="s" s="2">
        <v>22</v>
      </c>
    </row>
    <row r="9216" ht="25.0" customHeight="true">
      <c r="A9216" t="s" s="2">
        <v>13</v>
      </c>
      <c r="B9216" t="s" s="2">
        <f>HYPERLINK("http://ts.21cn.com/tousu/show/id/1360244","捷信高利贷")</f>
      </c>
      <c r="C9216" t="s" s="2">
        <v>15</v>
      </c>
      <c r="D9216" t="s" s="2">
        <v>16</v>
      </c>
      <c r="E9216" t="s" s="2">
        <v>17</v>
      </c>
      <c r="F9216" t="s" s="2">
        <f>HYPERLINK("http://ts.21cn.com/tousu/show/id/1360244","http://ts.21cn.com/tousu/show/id/1360244")</f>
      </c>
      <c r="G9216" t="s" s="2">
        <v>17</v>
      </c>
      <c r="H9216" t="s" s="2">
        <v>19</v>
      </c>
      <c r="I9216" t="s" s="2">
        <v>35539</v>
      </c>
      <c r="J9216" t="s" s="2">
        <v>35540</v>
      </c>
      <c r="K9216" t="s" s="2">
        <v>22</v>
      </c>
      <c r="L9216" t="s" s="2">
        <v>22</v>
      </c>
      <c r="M9216" t="s" s="2">
        <v>22</v>
      </c>
    </row>
    <row r="9217" ht="25.0" customHeight="true">
      <c r="A9217" t="s" s="2">
        <v>13</v>
      </c>
      <c r="B9217" t="s" s="2">
        <f>HYPERLINK("http://ts.21cn.com/tousu/show/id/1360241","咸鱼事后处理不当")</f>
      </c>
      <c r="C9217" t="s" s="2">
        <v>15</v>
      </c>
      <c r="D9217" t="s" s="2">
        <v>16</v>
      </c>
      <c r="E9217" t="s" s="2">
        <v>17</v>
      </c>
      <c r="F9217" t="s" s="2">
        <f>HYPERLINK("http://ts.21cn.com/tousu/show/id/1360241","http://ts.21cn.com/tousu/show/id/1360241")</f>
      </c>
      <c r="G9217" t="s" s="2">
        <v>17</v>
      </c>
      <c r="H9217" t="s" s="2">
        <v>19</v>
      </c>
      <c r="I9217" t="s" s="2">
        <v>35543</v>
      </c>
      <c r="J9217" t="s" s="2">
        <v>35544</v>
      </c>
      <c r="K9217" t="s" s="2">
        <v>22</v>
      </c>
      <c r="L9217" t="s" s="2">
        <v>22</v>
      </c>
      <c r="M9217" t="s" s="2">
        <v>22</v>
      </c>
    </row>
    <row r="9218" ht="25.0" customHeight="true">
      <c r="A9218" t="s" s="2">
        <v>13</v>
      </c>
      <c r="B9218" t="s" s="2">
        <f>HYPERLINK("http://ts.21cn.com/tousu/show/id/1360233","恒易贷高利贷威胁")</f>
      </c>
      <c r="C9218" t="s" s="2">
        <v>15</v>
      </c>
      <c r="D9218" t="s" s="2">
        <v>16</v>
      </c>
      <c r="E9218" t="s" s="2">
        <v>17</v>
      </c>
      <c r="F9218" t="s" s="2">
        <f>HYPERLINK("http://ts.21cn.com/tousu/show/id/1360233","http://ts.21cn.com/tousu/show/id/1360233")</f>
      </c>
      <c r="G9218" t="s" s="2">
        <v>17</v>
      </c>
      <c r="H9218" t="s" s="2">
        <v>19</v>
      </c>
      <c r="I9218" t="s" s="2">
        <v>35547</v>
      </c>
      <c r="J9218" t="s" s="2">
        <v>35548</v>
      </c>
      <c r="K9218" t="s" s="2">
        <v>22</v>
      </c>
      <c r="L9218" t="s" s="2">
        <v>22</v>
      </c>
      <c r="M9218" t="s" s="2">
        <v>22</v>
      </c>
    </row>
    <row r="9219" ht="25.0" customHeight="true">
      <c r="A9219" t="s" s="2">
        <v>13</v>
      </c>
      <c r="B9219" t="s" s="2">
        <f>HYPERLINK("http://ts.21cn.com/tousu/show/id/1360230","平安银行信用卡")</f>
      </c>
      <c r="C9219" t="s" s="2">
        <v>15</v>
      </c>
      <c r="D9219" t="s" s="2">
        <v>16</v>
      </c>
      <c r="E9219" t="s" s="2">
        <v>17</v>
      </c>
      <c r="F9219" t="s" s="2">
        <f>HYPERLINK("http://ts.21cn.com/tousu/show/id/1360230","http://ts.21cn.com/tousu/show/id/1360230")</f>
      </c>
      <c r="G9219" t="s" s="2">
        <v>17</v>
      </c>
      <c r="H9219" t="s" s="2">
        <v>19</v>
      </c>
      <c r="I9219" t="s" s="2">
        <v>35551</v>
      </c>
      <c r="J9219" t="s" s="2">
        <v>35552</v>
      </c>
      <c r="K9219" t="s" s="2">
        <v>22</v>
      </c>
      <c r="L9219" t="s" s="2">
        <v>22</v>
      </c>
      <c r="M9219" t="s" s="2">
        <v>22</v>
      </c>
    </row>
    <row r="9220" ht="25.0" customHeight="true">
      <c r="A9220" t="s" s="2">
        <v>13</v>
      </c>
      <c r="B9220" t="s" s="2">
        <f>HYPERLINK("http://ts.21cn.com/tousu/show/id/1360222","期待合伙人，隐藏收费，高利贷，工作人员胡搅蛮缠")</f>
      </c>
      <c r="C9220" t="s" s="2">
        <v>15</v>
      </c>
      <c r="D9220" t="s" s="2">
        <v>16</v>
      </c>
      <c r="E9220" t="s" s="2">
        <v>17</v>
      </c>
      <c r="F9220" t="s" s="2">
        <f>HYPERLINK("http://ts.21cn.com/tousu/show/id/1360222","http://ts.21cn.com/tousu/show/id/1360222")</f>
      </c>
      <c r="G9220" t="s" s="2">
        <v>17</v>
      </c>
      <c r="H9220" t="s" s="2">
        <v>19</v>
      </c>
      <c r="I9220" t="s" s="2">
        <v>35555</v>
      </c>
      <c r="J9220" t="s" s="2">
        <v>35556</v>
      </c>
      <c r="K9220" t="s" s="2">
        <v>22</v>
      </c>
      <c r="L9220" t="s" s="2">
        <v>22</v>
      </c>
      <c r="M9220" t="s" s="2">
        <v>22</v>
      </c>
    </row>
    <row r="9221" ht="25.0" customHeight="true">
      <c r="A9221" t="s" s="2">
        <v>13</v>
      </c>
      <c r="B9221" t="s" s="2">
        <f>HYPERLINK("http://ts.21cn.com/tousu/show/id/1360211","投诉安亿花app，退回欺诈的198元钱。")</f>
      </c>
      <c r="C9221" t="s" s="2">
        <v>52</v>
      </c>
      <c r="D9221" t="s" s="2">
        <v>16</v>
      </c>
      <c r="E9221" t="s" s="2">
        <v>17</v>
      </c>
      <c r="F9221" t="s" s="2">
        <f>HYPERLINK("http://ts.21cn.com/tousu/show/id/1360211","http://ts.21cn.com/tousu/show/id/1360211")</f>
      </c>
      <c r="G9221" t="s" s="2">
        <v>17</v>
      </c>
      <c r="H9221" t="s" s="2">
        <v>19</v>
      </c>
      <c r="I9221" t="s" s="2">
        <v>35558</v>
      </c>
      <c r="J9221" t="s" s="2">
        <v>35559</v>
      </c>
      <c r="K9221" t="s" s="2">
        <v>22</v>
      </c>
      <c r="L9221" t="s" s="2">
        <v>22</v>
      </c>
      <c r="M9221" t="s" s="2">
        <v>22</v>
      </c>
    </row>
    <row r="9222" ht="25.0" customHeight="true">
      <c r="A9222" t="s" s="2">
        <v>13</v>
      </c>
      <c r="B9222" t="s" s="2">
        <f>HYPERLINK("http://ts.21cn.com/tousu/show/id/1360209","催收人员多次进行恐吓威胁骚扰")</f>
      </c>
      <c r="C9222" t="s" s="2">
        <v>15</v>
      </c>
      <c r="D9222" t="s" s="2">
        <v>16</v>
      </c>
      <c r="E9222" t="s" s="2">
        <v>17</v>
      </c>
      <c r="F9222" t="s" s="2">
        <f>HYPERLINK("http://ts.21cn.com/tousu/show/id/1360209","http://ts.21cn.com/tousu/show/id/1360209")</f>
      </c>
      <c r="G9222" t="s" s="2">
        <v>17</v>
      </c>
      <c r="H9222" t="s" s="2">
        <v>19</v>
      </c>
      <c r="I9222" t="s" s="2">
        <v>35562</v>
      </c>
      <c r="J9222" t="s" s="2">
        <v>35563</v>
      </c>
      <c r="K9222" t="s" s="2">
        <v>22</v>
      </c>
      <c r="L9222" t="s" s="2">
        <v>22</v>
      </c>
      <c r="M9222" t="s" s="2">
        <v>22</v>
      </c>
    </row>
    <row r="9223" ht="25.0" customHeight="true">
      <c r="A9223" t="s" s="2">
        <v>13</v>
      </c>
      <c r="B9223" t="s" s="2">
        <f>HYPERLINK("http://ts.21cn.com/tousu/show/id/1360178","钱站工作人员天天骚扰电话我司")</f>
      </c>
      <c r="C9223" t="s" s="2">
        <v>15</v>
      </c>
      <c r="D9223" t="s" s="2">
        <v>16</v>
      </c>
      <c r="E9223" t="s" s="2">
        <v>17</v>
      </c>
      <c r="F9223" t="s" s="2">
        <f>HYPERLINK("http://ts.21cn.com/tousu/show/id/1360178","http://ts.21cn.com/tousu/show/id/1360178")</f>
      </c>
      <c r="G9223" t="s" s="2">
        <v>17</v>
      </c>
      <c r="H9223" t="s" s="2">
        <v>19</v>
      </c>
      <c r="I9223" t="s" s="2">
        <v>35566</v>
      </c>
      <c r="J9223" t="s" s="2">
        <v>35567</v>
      </c>
      <c r="K9223" t="s" s="2">
        <v>22</v>
      </c>
      <c r="L9223" t="s" s="2">
        <v>22</v>
      </c>
      <c r="M9223" t="s" s="2">
        <v>22</v>
      </c>
    </row>
    <row r="9224" ht="25.0" customHeight="true">
      <c r="A9224" t="s" s="2">
        <v>13</v>
      </c>
      <c r="B9224" t="s" s="2">
        <f>HYPERLINK("http://ts.21cn.com/tousu/show/id/1360189","缺钱么暴力催收（山东省滕州市昊洋大厦催收团队）")</f>
      </c>
      <c r="C9224" t="s" s="2">
        <v>15</v>
      </c>
      <c r="D9224" t="s" s="2">
        <v>16</v>
      </c>
      <c r="E9224" t="s" s="2">
        <v>17</v>
      </c>
      <c r="F9224" t="s" s="2">
        <f>HYPERLINK("http://ts.21cn.com/tousu/show/id/1360189","http://ts.21cn.com/tousu/show/id/1360189")</f>
      </c>
      <c r="G9224" t="s" s="2">
        <v>17</v>
      </c>
      <c r="H9224" t="s" s="2">
        <v>19</v>
      </c>
      <c r="I9224" t="s" s="2">
        <v>35570</v>
      </c>
      <c r="J9224" t="s" s="2">
        <v>35571</v>
      </c>
      <c r="K9224" t="s" s="2">
        <v>22</v>
      </c>
      <c r="L9224" t="s" s="2">
        <v>22</v>
      </c>
      <c r="M9224" t="s" s="2">
        <v>22</v>
      </c>
    </row>
    <row r="9225" ht="25.0" customHeight="true">
      <c r="A9225" t="s" s="2">
        <v>13</v>
      </c>
      <c r="B9225" t="s" s="2">
        <f>HYPERLINK("http://ts.21cn.com/tousu/show/id/1360200","盗刷私自扣款要求退款")</f>
      </c>
      <c r="C9225" t="s" s="2">
        <v>15</v>
      </c>
      <c r="D9225" t="s" s="2">
        <v>16</v>
      </c>
      <c r="E9225" t="s" s="2">
        <v>17</v>
      </c>
      <c r="F9225" t="s" s="2">
        <f>HYPERLINK("http://ts.21cn.com/tousu/show/id/1360200","http://ts.21cn.com/tousu/show/id/1360200")</f>
      </c>
      <c r="G9225" t="s" s="2">
        <v>17</v>
      </c>
      <c r="H9225" t="s" s="2">
        <v>19</v>
      </c>
      <c r="I9225" t="s" s="2">
        <v>35573</v>
      </c>
      <c r="J9225" t="s" s="2">
        <v>35574</v>
      </c>
      <c r="K9225" t="s" s="2">
        <v>22</v>
      </c>
      <c r="L9225" t="s" s="2">
        <v>22</v>
      </c>
      <c r="M9225" t="s" s="2">
        <v>22</v>
      </c>
    </row>
    <row r="9226" ht="25.0" customHeight="true">
      <c r="A9226" t="s" s="2">
        <v>13</v>
      </c>
      <c r="B9226" t="s" s="2">
        <f>HYPERLINK("http://ts.21cn.com/tousu/show/id/1360186","卖家虚假发货拒绝负责退货运费")</f>
      </c>
      <c r="C9226" t="s" s="2">
        <v>15</v>
      </c>
      <c r="D9226" t="s" s="2">
        <v>16</v>
      </c>
      <c r="E9226" t="s" s="2">
        <v>17</v>
      </c>
      <c r="F9226" t="s" s="2">
        <f>HYPERLINK("http://ts.21cn.com/tousu/show/id/1360186","http://ts.21cn.com/tousu/show/id/1360186")</f>
      </c>
      <c r="G9226" t="s" s="2">
        <v>17</v>
      </c>
      <c r="H9226" t="s" s="2">
        <v>19</v>
      </c>
      <c r="I9226" t="s" s="2">
        <v>35577</v>
      </c>
      <c r="J9226" t="s" s="2">
        <v>35578</v>
      </c>
      <c r="K9226" t="s" s="2">
        <v>22</v>
      </c>
      <c r="L9226" t="s" s="2">
        <v>22</v>
      </c>
      <c r="M9226" t="s" s="2">
        <v>22</v>
      </c>
    </row>
    <row r="9227" ht="25.0" customHeight="true">
      <c r="A9227" t="s" s="2">
        <v>13</v>
      </c>
      <c r="B9227" t="s" s="2">
        <f>HYPERLINK("http://ts.21cn.com/tousu/show/id/1360177","北京爱农驿站为网赌平台提供支付渠道，请求为我退款挽回经济损失")</f>
      </c>
      <c r="C9227" t="s" s="2">
        <v>15</v>
      </c>
      <c r="D9227" t="s" s="2">
        <v>16</v>
      </c>
      <c r="E9227" t="s" s="2">
        <v>17</v>
      </c>
      <c r="F9227" t="s" s="2">
        <f>HYPERLINK("http://ts.21cn.com/tousu/show/id/1360177","http://ts.21cn.com/tousu/show/id/1360177")</f>
      </c>
      <c r="G9227" t="s" s="2">
        <v>17</v>
      </c>
      <c r="H9227" t="s" s="2">
        <v>19</v>
      </c>
      <c r="I9227" t="s" s="2">
        <v>35581</v>
      </c>
      <c r="J9227" t="s" s="2">
        <v>6077</v>
      </c>
      <c r="K9227" t="s" s="2">
        <v>22</v>
      </c>
      <c r="L9227" t="s" s="2">
        <v>22</v>
      </c>
      <c r="M9227" t="s" s="2">
        <v>22</v>
      </c>
    </row>
    <row r="9228" ht="25.0" customHeight="true">
      <c r="A9228" t="s" s="2">
        <v>13</v>
      </c>
      <c r="B9228" t="s" s="2">
        <f>HYPERLINK("http://ts.21cn.com/tousu/show/id/1360175","薪意贷砍头息高利贷")</f>
      </c>
      <c r="C9228" t="s" s="2">
        <v>15</v>
      </c>
      <c r="D9228" t="s" s="2">
        <v>16</v>
      </c>
      <c r="E9228" t="s" s="2">
        <v>17</v>
      </c>
      <c r="F9228" t="s" s="2">
        <f>HYPERLINK("http://ts.21cn.com/tousu/show/id/1360175","http://ts.21cn.com/tousu/show/id/1360175")</f>
      </c>
      <c r="G9228" t="s" s="2">
        <v>17</v>
      </c>
      <c r="H9228" t="s" s="2">
        <v>19</v>
      </c>
      <c r="I9228" t="s" s="2">
        <v>35584</v>
      </c>
      <c r="J9228" t="s" s="2">
        <v>35585</v>
      </c>
      <c r="K9228" t="s" s="2">
        <v>22</v>
      </c>
      <c r="L9228" t="s" s="2">
        <v>22</v>
      </c>
      <c r="M9228" t="s" s="2">
        <v>22</v>
      </c>
    </row>
    <row r="9229" ht="25.0" customHeight="true">
      <c r="A9229" t="s" s="2">
        <v>13</v>
      </c>
      <c r="B9229" t="s" s="2">
        <f>HYPERLINK("http://ts.21cn.com/tousu/show/id/1360164","要求翼支付随意借减掉罚息和高利息")</f>
      </c>
      <c r="C9229" t="s" s="2">
        <v>15</v>
      </c>
      <c r="D9229" t="s" s="2">
        <v>16</v>
      </c>
      <c r="E9229" t="s" s="2">
        <v>17</v>
      </c>
      <c r="F9229" t="s" s="2">
        <f>HYPERLINK("http://ts.21cn.com/tousu/show/id/1360164","http://ts.21cn.com/tousu/show/id/1360164")</f>
      </c>
      <c r="G9229" t="s" s="2">
        <v>17</v>
      </c>
      <c r="H9229" t="s" s="2">
        <v>19</v>
      </c>
      <c r="I9229" t="s" s="2">
        <v>35588</v>
      </c>
      <c r="J9229" t="s" s="2">
        <v>35589</v>
      </c>
      <c r="K9229" t="s" s="2">
        <v>22</v>
      </c>
      <c r="L9229" t="s" s="2">
        <v>22</v>
      </c>
      <c r="M9229" t="s" s="2">
        <v>22</v>
      </c>
    </row>
    <row r="9230" ht="25.0" customHeight="true">
      <c r="A9230" t="s" s="2">
        <v>13</v>
      </c>
      <c r="B9230" t="s" s="2">
        <f>HYPERLINK("http://ts.21cn.com/tousu/show/id/1360156","及贷催收人员恶意催收，盗取我个人用户信息！！")</f>
      </c>
      <c r="C9230" t="s" s="2">
        <v>15</v>
      </c>
      <c r="D9230" t="s" s="2">
        <v>16</v>
      </c>
      <c r="E9230" t="s" s="2">
        <v>17</v>
      </c>
      <c r="F9230" t="s" s="2">
        <f>HYPERLINK("http://ts.21cn.com/tousu/show/id/1360156","http://ts.21cn.com/tousu/show/id/1360156")</f>
      </c>
      <c r="G9230" t="s" s="2">
        <v>17</v>
      </c>
      <c r="H9230" t="s" s="2">
        <v>19</v>
      </c>
      <c r="I9230" t="s" s="2">
        <v>35592</v>
      </c>
      <c r="J9230" t="s" s="2">
        <v>35593</v>
      </c>
      <c r="K9230" t="s" s="2">
        <v>22</v>
      </c>
      <c r="L9230" t="s" s="2">
        <v>22</v>
      </c>
      <c r="M9230" t="s" s="2">
        <v>22</v>
      </c>
    </row>
    <row r="9231" ht="25.0" customHeight="true">
      <c r="A9231" t="s" s="2">
        <v>13</v>
      </c>
      <c r="B9231" t="s" s="2">
        <f>HYPERLINK("http://ts.21cn.com/tousu/show/id/1360151","暴力催收骚扰亲属朋友")</f>
      </c>
      <c r="C9231" t="s" s="2">
        <v>15</v>
      </c>
      <c r="D9231" t="s" s="2">
        <v>16</v>
      </c>
      <c r="E9231" t="s" s="2">
        <v>17</v>
      </c>
      <c r="F9231" t="s" s="2">
        <f>HYPERLINK("http://ts.21cn.com/tousu/show/id/1360151","http://ts.21cn.com/tousu/show/id/1360151")</f>
      </c>
      <c r="G9231" t="s" s="2">
        <v>17</v>
      </c>
      <c r="H9231" t="s" s="2">
        <v>19</v>
      </c>
      <c r="I9231" t="s" s="2">
        <v>35596</v>
      </c>
      <c r="J9231" t="s" s="2">
        <v>35597</v>
      </c>
      <c r="K9231" t="s" s="2">
        <v>22</v>
      </c>
      <c r="L9231" t="s" s="2">
        <v>22</v>
      </c>
      <c r="M9231" t="s" s="2">
        <v>22</v>
      </c>
    </row>
    <row r="9232" ht="25.0" customHeight="true">
      <c r="A9232" t="s" s="2">
        <v>13</v>
      </c>
      <c r="B9232" t="s" s="2">
        <f>HYPERLINK("http://ts.21cn.com/tousu/show/id/1360148","要求小明出行押金退回")</f>
      </c>
      <c r="C9232" t="s" s="2">
        <v>52</v>
      </c>
      <c r="D9232" t="s" s="2">
        <v>16</v>
      </c>
      <c r="E9232" t="s" s="2">
        <v>17</v>
      </c>
      <c r="F9232" t="s" s="2">
        <f>HYPERLINK("http://ts.21cn.com/tousu/show/id/1360148","http://ts.21cn.com/tousu/show/id/1360148")</f>
      </c>
      <c r="G9232" t="s" s="2">
        <v>17</v>
      </c>
      <c r="H9232" t="s" s="2">
        <v>19</v>
      </c>
      <c r="I9232" t="s" s="2">
        <v>35600</v>
      </c>
      <c r="J9232" t="s" s="2">
        <v>35601</v>
      </c>
      <c r="K9232" t="s" s="2">
        <v>22</v>
      </c>
      <c r="L9232" t="s" s="2">
        <v>22</v>
      </c>
      <c r="M9232" t="s" s="2">
        <v>22</v>
      </c>
    </row>
    <row r="9233" ht="25.0" customHeight="true">
      <c r="A9233" t="s" s="2">
        <v>13</v>
      </c>
      <c r="B9233" t="s" s="2">
        <f>HYPERLINK("http://ts.21cn.com/tousu/show/id/1360145","民航通虚假宣传，要求退还费用")</f>
      </c>
      <c r="C9233" t="s" s="2">
        <v>15</v>
      </c>
      <c r="D9233" t="s" s="2">
        <v>16</v>
      </c>
      <c r="E9233" t="s" s="2">
        <v>17</v>
      </c>
      <c r="F9233" t="s" s="2">
        <f>HYPERLINK("http://ts.21cn.com/tousu/show/id/1360145","http://ts.21cn.com/tousu/show/id/1360145")</f>
      </c>
      <c r="G9233" t="s" s="2">
        <v>17</v>
      </c>
      <c r="H9233" t="s" s="2">
        <v>19</v>
      </c>
      <c r="I9233" t="s" s="2">
        <v>35604</v>
      </c>
      <c r="J9233" t="s" s="2">
        <v>35605</v>
      </c>
      <c r="K9233" t="s" s="2">
        <v>22</v>
      </c>
      <c r="L9233" t="s" s="2">
        <v>22</v>
      </c>
      <c r="M9233" t="s" s="2">
        <v>22</v>
      </c>
    </row>
    <row r="9234" ht="25.0" customHeight="true">
      <c r="A9234" t="s" s="2">
        <v>13</v>
      </c>
      <c r="B9234" t="s" s="2">
        <f>HYPERLINK("http://ts.21cn.com/tousu/show/id/1360142","两次同意还款后减免迟纳金而两次失信")</f>
      </c>
      <c r="C9234" t="s" s="2">
        <v>15</v>
      </c>
      <c r="D9234" t="s" s="2">
        <v>16</v>
      </c>
      <c r="E9234" t="s" s="2">
        <v>17</v>
      </c>
      <c r="F9234" t="s" s="2">
        <f>HYPERLINK("http://ts.21cn.com/tousu/show/id/1360142","http://ts.21cn.com/tousu/show/id/1360142")</f>
      </c>
      <c r="G9234" t="s" s="2">
        <v>17</v>
      </c>
      <c r="H9234" t="s" s="2">
        <v>19</v>
      </c>
      <c r="I9234" t="s" s="2">
        <v>35608</v>
      </c>
      <c r="J9234" t="s" s="2">
        <v>35609</v>
      </c>
      <c r="K9234" t="s" s="2">
        <v>22</v>
      </c>
      <c r="L9234" t="s" s="2">
        <v>22</v>
      </c>
      <c r="M9234" t="s" s="2">
        <v>22</v>
      </c>
    </row>
    <row r="9235" ht="25.0" customHeight="true">
      <c r="A9235" t="s" s="2">
        <v>13</v>
      </c>
      <c r="B9235" t="s" s="2">
        <f>HYPERLINK("http://ts.21cn.com/tousu/show/id/1360140","投诉今日头条公司鲁班电商拖延退款")</f>
      </c>
      <c r="C9235" t="s" s="2">
        <v>15</v>
      </c>
      <c r="D9235" t="s" s="2">
        <v>16</v>
      </c>
      <c r="E9235" t="s" s="2">
        <v>17</v>
      </c>
      <c r="F9235" t="s" s="2">
        <f>HYPERLINK("http://ts.21cn.com/tousu/show/id/1360140","http://ts.21cn.com/tousu/show/id/1360140")</f>
      </c>
      <c r="G9235" t="s" s="2">
        <v>17</v>
      </c>
      <c r="H9235" t="s" s="2">
        <v>19</v>
      </c>
      <c r="I9235" t="s" s="2">
        <v>35612</v>
      </c>
      <c r="J9235" t="s" s="2">
        <v>35613</v>
      </c>
      <c r="K9235" t="s" s="2">
        <v>22</v>
      </c>
      <c r="L9235" t="s" s="2">
        <v>22</v>
      </c>
      <c r="M9235" t="s" s="2">
        <v>22</v>
      </c>
    </row>
    <row r="9236" ht="25.0" customHeight="true">
      <c r="A9236" t="s" s="2">
        <v>13</v>
      </c>
      <c r="B9236" t="s" s="2">
        <f>HYPERLINK("http://ts.21cn.com/tousu/show/id/1360134","平台的对所售商品的安全措施不足，对商品、商家审查不严格，导致消费受到损害")</f>
      </c>
      <c r="C9236" t="s" s="2">
        <v>15</v>
      </c>
      <c r="D9236" t="s" s="2">
        <v>16</v>
      </c>
      <c r="E9236" t="s" s="2">
        <v>17</v>
      </c>
      <c r="F9236" t="s" s="2">
        <f>HYPERLINK("http://ts.21cn.com/tousu/show/id/1360134","http://ts.21cn.com/tousu/show/id/1360134")</f>
      </c>
      <c r="G9236" t="s" s="2">
        <v>17</v>
      </c>
      <c r="H9236" t="s" s="2">
        <v>19</v>
      </c>
      <c r="I9236" t="s" s="2">
        <v>35616</v>
      </c>
      <c r="J9236" t="s" s="2">
        <v>35617</v>
      </c>
      <c r="K9236" t="s" s="2">
        <v>22</v>
      </c>
      <c r="L9236" t="s" s="2">
        <v>22</v>
      </c>
      <c r="M9236" t="s" s="2">
        <v>22</v>
      </c>
    </row>
    <row r="9237" ht="25.0" customHeight="true">
      <c r="A9237" t="s" s="2">
        <v>13</v>
      </c>
      <c r="B9237" t="s" s="2">
        <f>HYPERLINK("http://ts.21cn.com/tousu/show/id/1360131","薪意袋砍头息")</f>
      </c>
      <c r="C9237" t="s" s="2">
        <v>15</v>
      </c>
      <c r="D9237" t="s" s="2">
        <v>16</v>
      </c>
      <c r="E9237" t="s" s="2">
        <v>17</v>
      </c>
      <c r="F9237" t="s" s="2">
        <f>HYPERLINK("http://ts.21cn.com/tousu/show/id/1360131","http://ts.21cn.com/tousu/show/id/1360131")</f>
      </c>
      <c r="G9237" t="s" s="2">
        <v>17</v>
      </c>
      <c r="H9237" t="s" s="2">
        <v>19</v>
      </c>
      <c r="I9237" t="s" s="2">
        <v>35620</v>
      </c>
      <c r="J9237" t="s" s="2">
        <v>35621</v>
      </c>
      <c r="K9237" t="s" s="2">
        <v>22</v>
      </c>
      <c r="L9237" t="s" s="2">
        <v>22</v>
      </c>
      <c r="M9237" t="s" s="2">
        <v>22</v>
      </c>
    </row>
    <row r="9238" ht="25.0" customHeight="true">
      <c r="A9238" t="s" s="2">
        <v>13</v>
      </c>
      <c r="B9238" t="s" s="2">
        <f>HYPERLINK("http://ts.21cn.com/tousu/show/id/1360126","宜信贷款公司打骚扰电话")</f>
      </c>
      <c r="C9238" t="s" s="2">
        <v>15</v>
      </c>
      <c r="D9238" t="s" s="2">
        <v>16</v>
      </c>
      <c r="E9238" t="s" s="2">
        <v>17</v>
      </c>
      <c r="F9238" t="s" s="2">
        <f>HYPERLINK("http://ts.21cn.com/tousu/show/id/1360126","http://ts.21cn.com/tousu/show/id/1360126")</f>
      </c>
      <c r="G9238" t="s" s="2">
        <v>17</v>
      </c>
      <c r="H9238" t="s" s="2">
        <v>19</v>
      </c>
      <c r="I9238" t="s" s="2">
        <v>35624</v>
      </c>
      <c r="J9238" t="s" s="2">
        <v>35625</v>
      </c>
      <c r="K9238" t="s" s="2">
        <v>22</v>
      </c>
      <c r="L9238" t="s" s="2">
        <v>22</v>
      </c>
      <c r="M9238" t="s" s="2">
        <v>22</v>
      </c>
    </row>
    <row r="9239" ht="25.0" customHeight="true">
      <c r="A9239" t="s" s="2">
        <v>13</v>
      </c>
      <c r="B9239" t="s" s="2">
        <f>HYPERLINK("http://ts.21cn.com/tousu/show/id/1360120","微贷网多米贷冒充京东金融对借款人和联系人进行骚扰催收")</f>
      </c>
      <c r="C9239" t="s" s="2">
        <v>15</v>
      </c>
      <c r="D9239" t="s" s="2">
        <v>16</v>
      </c>
      <c r="E9239" t="s" s="2">
        <v>17</v>
      </c>
      <c r="F9239" t="s" s="2">
        <f>HYPERLINK("http://ts.21cn.com/tousu/show/id/1360120","http://ts.21cn.com/tousu/show/id/1360120")</f>
      </c>
      <c r="G9239" t="s" s="2">
        <v>17</v>
      </c>
      <c r="H9239" t="s" s="2">
        <v>19</v>
      </c>
      <c r="I9239" t="s" s="2">
        <v>35628</v>
      </c>
      <c r="J9239" t="s" s="2">
        <v>35629</v>
      </c>
      <c r="K9239" t="s" s="2">
        <v>22</v>
      </c>
      <c r="L9239" t="s" s="2">
        <v>22</v>
      </c>
      <c r="M9239" t="s" s="2">
        <v>22</v>
      </c>
    </row>
    <row r="9240" ht="25.0" customHeight="true">
      <c r="A9240" t="s" s="2">
        <v>13</v>
      </c>
      <c r="B9240" t="s" s="2">
        <f>HYPERLINK("http://ts.21cn.com/tousu/show/id/1360123","兴业银行信用卡逾期一个账单")</f>
      </c>
      <c r="C9240" t="s" s="2">
        <v>15</v>
      </c>
      <c r="D9240" t="s" s="2">
        <v>16</v>
      </c>
      <c r="E9240" t="s" s="2">
        <v>17</v>
      </c>
      <c r="F9240" t="s" s="2">
        <f>HYPERLINK("http://ts.21cn.com/tousu/show/id/1360123","http://ts.21cn.com/tousu/show/id/1360123")</f>
      </c>
      <c r="G9240" t="s" s="2">
        <v>17</v>
      </c>
      <c r="H9240" t="s" s="2">
        <v>19</v>
      </c>
      <c r="I9240" t="s" s="2">
        <v>35632</v>
      </c>
      <c r="J9240" t="s" s="2">
        <v>35633</v>
      </c>
      <c r="K9240" t="s" s="2">
        <v>22</v>
      </c>
      <c r="L9240" t="s" s="2">
        <v>22</v>
      </c>
      <c r="M9240" t="s" s="2">
        <v>22</v>
      </c>
    </row>
    <row r="9241" ht="25.0" customHeight="true">
      <c r="A9241" t="s" s="2">
        <v>13</v>
      </c>
      <c r="B9241" t="s" s="2">
        <f>HYPERLINK("http://ts.21cn.com/tousu/show/id/1360115","闪银闪贷频繁打电话催收影响我正常生活")</f>
      </c>
      <c r="C9241" t="s" s="2">
        <v>15</v>
      </c>
      <c r="D9241" t="s" s="2">
        <v>16</v>
      </c>
      <c r="E9241" t="s" s="2">
        <v>17</v>
      </c>
      <c r="F9241" t="s" s="2">
        <f>HYPERLINK("http://ts.21cn.com/tousu/show/id/1360115","http://ts.21cn.com/tousu/show/id/1360115")</f>
      </c>
      <c r="G9241" t="s" s="2">
        <v>17</v>
      </c>
      <c r="H9241" t="s" s="2">
        <v>19</v>
      </c>
      <c r="I9241" t="s" s="2">
        <v>35636</v>
      </c>
      <c r="J9241" t="s" s="2">
        <v>35637</v>
      </c>
      <c r="K9241" t="s" s="2">
        <v>22</v>
      </c>
      <c r="L9241" t="s" s="2">
        <v>22</v>
      </c>
      <c r="M9241" t="s" s="2">
        <v>22</v>
      </c>
    </row>
    <row r="9242" ht="25.0" customHeight="true">
      <c r="A9242" t="s" s="2">
        <v>13</v>
      </c>
      <c r="B9242" t="s" s="2">
        <f>HYPERLINK("http://ts.21cn.com/tousu/show/id/1360112","诱导消费")</f>
      </c>
      <c r="C9242" t="s" s="2">
        <v>15</v>
      </c>
      <c r="D9242" t="s" s="2">
        <v>16</v>
      </c>
      <c r="E9242" t="s" s="2">
        <v>17</v>
      </c>
      <c r="F9242" t="s" s="2">
        <f>HYPERLINK("http://ts.21cn.com/tousu/show/id/1360112","http://ts.21cn.com/tousu/show/id/1360112")</f>
      </c>
      <c r="G9242" t="s" s="2">
        <v>17</v>
      </c>
      <c r="H9242" t="s" s="2">
        <v>19</v>
      </c>
      <c r="I9242" t="s" s="2">
        <v>35640</v>
      </c>
      <c r="J9242" t="s" s="2">
        <v>35641</v>
      </c>
      <c r="K9242" t="s" s="2">
        <v>22</v>
      </c>
      <c r="L9242" t="s" s="2">
        <v>22</v>
      </c>
      <c r="M9242" t="s" s="2">
        <v>22</v>
      </c>
    </row>
    <row r="9243" ht="25.0" customHeight="true">
      <c r="A9243" t="s" s="2">
        <v>13</v>
      </c>
      <c r="B9243" t="s" s="2">
        <f>HYPERLINK("http://ts.21cn.com/tousu/show/id/1360108","砍头息，提前还款还收其他费用")</f>
      </c>
      <c r="C9243" t="s" s="2">
        <v>52</v>
      </c>
      <c r="D9243" t="s" s="2">
        <v>16</v>
      </c>
      <c r="E9243" t="s" s="2">
        <v>17</v>
      </c>
      <c r="F9243" t="s" s="2">
        <f>HYPERLINK("http://ts.21cn.com/tousu/show/id/1360108","http://ts.21cn.com/tousu/show/id/1360108")</f>
      </c>
      <c r="G9243" t="s" s="2">
        <v>17</v>
      </c>
      <c r="H9243" t="s" s="2">
        <v>19</v>
      </c>
      <c r="I9243" t="s" s="2">
        <v>35644</v>
      </c>
      <c r="J9243" t="s" s="2">
        <v>35645</v>
      </c>
      <c r="K9243" t="s" s="2">
        <v>22</v>
      </c>
      <c r="L9243" t="s" s="2">
        <v>22</v>
      </c>
      <c r="M9243" t="s" s="2">
        <v>22</v>
      </c>
    </row>
    <row r="9244" ht="25.0" customHeight="true">
      <c r="A9244" t="s" s="2">
        <v>13</v>
      </c>
      <c r="B9244" t="s" s="2">
        <f>HYPERLINK("http://ts.21cn.com/tousu/show/id/1360101","京东白条骚扰亲朋好友")</f>
      </c>
      <c r="C9244" t="s" s="2">
        <v>15</v>
      </c>
      <c r="D9244" t="s" s="2">
        <v>16</v>
      </c>
      <c r="E9244" t="s" s="2">
        <v>17</v>
      </c>
      <c r="F9244" t="s" s="2">
        <f>HYPERLINK("http://ts.21cn.com/tousu/show/id/1360101","http://ts.21cn.com/tousu/show/id/1360101")</f>
      </c>
      <c r="G9244" t="s" s="2">
        <v>17</v>
      </c>
      <c r="H9244" t="s" s="2">
        <v>19</v>
      </c>
      <c r="I9244" t="s" s="2">
        <v>35648</v>
      </c>
      <c r="J9244" t="s" s="2">
        <v>35649</v>
      </c>
      <c r="K9244" t="s" s="2">
        <v>22</v>
      </c>
      <c r="L9244" t="s" s="2">
        <v>22</v>
      </c>
      <c r="M9244" t="s" s="2">
        <v>22</v>
      </c>
    </row>
    <row r="9245" ht="25.0" customHeight="true">
      <c r="A9245" t="s" s="2">
        <v>13</v>
      </c>
      <c r="B9245" t="s" s="2">
        <f>HYPERLINK("http://ts.21cn.com/tousu/show/id/1360098","闪闪花花不买商品不下款，变相砍头息，")</f>
      </c>
      <c r="C9245" t="s" s="2">
        <v>15</v>
      </c>
      <c r="D9245" t="s" s="2">
        <v>16</v>
      </c>
      <c r="E9245" t="s" s="2">
        <v>17</v>
      </c>
      <c r="F9245" t="s" s="2">
        <f>HYPERLINK("http://ts.21cn.com/tousu/show/id/1360098","http://ts.21cn.com/tousu/show/id/1360098")</f>
      </c>
      <c r="G9245" t="s" s="2">
        <v>17</v>
      </c>
      <c r="H9245" t="s" s="2">
        <v>19</v>
      </c>
      <c r="I9245" t="s" s="2">
        <v>35652</v>
      </c>
      <c r="J9245" t="s" s="2">
        <v>35653</v>
      </c>
      <c r="K9245" t="s" s="2">
        <v>22</v>
      </c>
      <c r="L9245" t="s" s="2">
        <v>22</v>
      </c>
      <c r="M9245" t="s" s="2">
        <v>22</v>
      </c>
    </row>
    <row r="9246" ht="25.0" customHeight="true">
      <c r="A9246" t="s" s="2">
        <v>13</v>
      </c>
      <c r="B9246" t="s" s="2">
        <f>HYPERLINK("http://ts.21cn.com/tousu/show/id/1360092","快捷通-成都安睿旺蜀网络科技有限公司在我不知情的情况下口我建设银行卡的钱，恶意扣费，要求退回")</f>
      </c>
      <c r="C9246" t="s" s="2">
        <v>15</v>
      </c>
      <c r="D9246" t="s" s="2">
        <v>16</v>
      </c>
      <c r="E9246" t="s" s="2">
        <v>17</v>
      </c>
      <c r="F9246" t="s" s="2">
        <f>HYPERLINK("http://ts.21cn.com/tousu/show/id/1360092","http://ts.21cn.com/tousu/show/id/1360092")</f>
      </c>
      <c r="G9246" t="s" s="2">
        <v>17</v>
      </c>
      <c r="H9246" t="s" s="2">
        <v>19</v>
      </c>
      <c r="I9246" t="s" s="2">
        <v>35656</v>
      </c>
      <c r="J9246" t="s" s="2">
        <v>35657</v>
      </c>
      <c r="K9246" t="s" s="2">
        <v>22</v>
      </c>
      <c r="L9246" t="s" s="2">
        <v>22</v>
      </c>
      <c r="M9246" t="s" s="2">
        <v>22</v>
      </c>
    </row>
    <row r="9247" ht="25.0" customHeight="true">
      <c r="A9247" t="s" s="2">
        <v>13</v>
      </c>
      <c r="B9247" t="s" s="2">
        <f>HYPERLINK("http://ts.21cn.com/tousu/show/id/1360087","小象优品不打电话直接爆我通讯录")</f>
      </c>
      <c r="C9247" t="s" s="2">
        <v>15</v>
      </c>
      <c r="D9247" t="s" s="2">
        <v>16</v>
      </c>
      <c r="E9247" t="s" s="2">
        <v>17</v>
      </c>
      <c r="F9247" t="s" s="2">
        <f>HYPERLINK("http://ts.21cn.com/tousu/show/id/1360087","http://ts.21cn.com/tousu/show/id/1360087")</f>
      </c>
      <c r="G9247" t="s" s="2">
        <v>17</v>
      </c>
      <c r="H9247" t="s" s="2">
        <v>19</v>
      </c>
      <c r="I9247" t="s" s="2">
        <v>35660</v>
      </c>
      <c r="J9247" t="s" s="2">
        <v>35661</v>
      </c>
      <c r="K9247" t="s" s="2">
        <v>22</v>
      </c>
      <c r="L9247" t="s" s="2">
        <v>22</v>
      </c>
      <c r="M9247" t="s" s="2">
        <v>22</v>
      </c>
    </row>
    <row r="9248" ht="25.0" customHeight="true">
      <c r="A9248" t="s" s="2">
        <v>13</v>
      </c>
      <c r="B9248" t="s" s="2">
        <f>HYPERLINK("http://ts.21cn.com/tousu/show/id/1360085","玖富利息太高")</f>
      </c>
      <c r="C9248" t="s" s="2">
        <v>15</v>
      </c>
      <c r="D9248" t="s" s="2">
        <v>16</v>
      </c>
      <c r="E9248" t="s" s="2">
        <v>17</v>
      </c>
      <c r="F9248" t="s" s="2">
        <f>HYPERLINK("http://ts.21cn.com/tousu/show/id/1360085","http://ts.21cn.com/tousu/show/id/1360085")</f>
      </c>
      <c r="G9248" t="s" s="2">
        <v>17</v>
      </c>
      <c r="H9248" t="s" s="2">
        <v>19</v>
      </c>
      <c r="I9248" t="s" s="2">
        <v>35664</v>
      </c>
      <c r="J9248" t="s" s="2">
        <v>35665</v>
      </c>
      <c r="K9248" t="s" s="2">
        <v>22</v>
      </c>
      <c r="L9248" t="s" s="2">
        <v>22</v>
      </c>
      <c r="M9248" t="s" s="2">
        <v>22</v>
      </c>
    </row>
    <row r="9249" ht="25.0" customHeight="true">
      <c r="A9249" t="s" s="2">
        <v>13</v>
      </c>
      <c r="B9249" t="s" s="2">
        <f>HYPERLINK("http://ts.21cn.com/tousu/show/id/1360081","要求360借条减掉罚息和高利息")</f>
      </c>
      <c r="C9249" t="s" s="2">
        <v>15</v>
      </c>
      <c r="D9249" t="s" s="2">
        <v>16</v>
      </c>
      <c r="E9249" t="s" s="2">
        <v>17</v>
      </c>
      <c r="F9249" t="s" s="2">
        <f>HYPERLINK("http://ts.21cn.com/tousu/show/id/1360081","http://ts.21cn.com/tousu/show/id/1360081")</f>
      </c>
      <c r="G9249" t="s" s="2">
        <v>17</v>
      </c>
      <c r="H9249" t="s" s="2">
        <v>19</v>
      </c>
      <c r="I9249" t="s" s="2">
        <v>35668</v>
      </c>
      <c r="J9249" t="s" s="2">
        <v>35669</v>
      </c>
      <c r="K9249" t="s" s="2">
        <v>22</v>
      </c>
      <c r="L9249" t="s" s="2">
        <v>22</v>
      </c>
      <c r="M9249" t="s" s="2">
        <v>22</v>
      </c>
    </row>
    <row r="9250" ht="25.0" customHeight="true">
      <c r="A9250" t="s" s="2">
        <v>13</v>
      </c>
      <c r="B9250" t="s" s="2">
        <f>HYPERLINK("http://ts.21cn.com/tousu/show/id/1360079","哈喽出行私自扣分收取附加费")</f>
      </c>
      <c r="C9250" t="s" s="2">
        <v>15</v>
      </c>
      <c r="D9250" t="s" s="2">
        <v>16</v>
      </c>
      <c r="E9250" t="s" s="2">
        <v>17</v>
      </c>
      <c r="F9250" t="s" s="2">
        <f>HYPERLINK("http://ts.21cn.com/tousu/show/id/1360079","http://ts.21cn.com/tousu/show/id/1360079")</f>
      </c>
      <c r="G9250" t="s" s="2">
        <v>17</v>
      </c>
      <c r="H9250" t="s" s="2">
        <v>19</v>
      </c>
      <c r="I9250" t="s" s="2">
        <v>35672</v>
      </c>
      <c r="J9250" t="s" s="2">
        <v>35673</v>
      </c>
      <c r="K9250" t="s" s="2">
        <v>22</v>
      </c>
      <c r="L9250" t="s" s="2">
        <v>22</v>
      </c>
      <c r="M9250" t="s" s="2">
        <v>22</v>
      </c>
    </row>
    <row r="9251" ht="25.0" customHeight="true">
      <c r="A9251" t="s" s="2">
        <v>13</v>
      </c>
      <c r="B9251" t="s" s="2">
        <f>HYPERLINK("http://ts.21cn.com/tousu/show/id/1360063","民航联盟一卡通误导消费者")</f>
      </c>
      <c r="C9251" t="s" s="2">
        <v>15</v>
      </c>
      <c r="D9251" t="s" s="2">
        <v>16</v>
      </c>
      <c r="E9251" t="s" s="2">
        <v>17</v>
      </c>
      <c r="F9251" t="s" s="2">
        <f>HYPERLINK("http://ts.21cn.com/tousu/show/id/1360063","http://ts.21cn.com/tousu/show/id/1360063")</f>
      </c>
      <c r="G9251" t="s" s="2">
        <v>17</v>
      </c>
      <c r="H9251" t="s" s="2">
        <v>19</v>
      </c>
      <c r="I9251" t="s" s="2">
        <v>35676</v>
      </c>
      <c r="J9251" t="s" s="2">
        <v>35677</v>
      </c>
      <c r="K9251" t="s" s="2">
        <v>22</v>
      </c>
      <c r="L9251" t="s" s="2">
        <v>22</v>
      </c>
      <c r="M9251" t="s" s="2">
        <v>22</v>
      </c>
    </row>
    <row r="9252" ht="25.0" customHeight="true">
      <c r="A9252" t="s" s="2">
        <v>13</v>
      </c>
      <c r="B9252" t="s" s="2">
        <f>HYPERLINK("http://ts.21cn.com/tousu/show/id/1360006","催收手段，极其恶劣，造成本人，身败名裂，活不下去，")</f>
      </c>
      <c r="C9252" t="s" s="2">
        <v>15</v>
      </c>
      <c r="D9252" t="s" s="2">
        <v>16</v>
      </c>
      <c r="E9252" t="s" s="2">
        <v>17</v>
      </c>
      <c r="F9252" t="s" s="2">
        <f>HYPERLINK("http://ts.21cn.com/tousu/show/id/1360006","http://ts.21cn.com/tousu/show/id/1360006")</f>
      </c>
      <c r="G9252" t="s" s="2">
        <v>17</v>
      </c>
      <c r="H9252" t="s" s="2">
        <v>19</v>
      </c>
      <c r="I9252" t="s" s="2">
        <v>35680</v>
      </c>
      <c r="J9252" t="s" s="2">
        <v>35681</v>
      </c>
      <c r="K9252" t="s" s="2">
        <v>22</v>
      </c>
      <c r="L9252" t="s" s="2">
        <v>22</v>
      </c>
      <c r="M9252" t="s" s="2">
        <v>22</v>
      </c>
    </row>
    <row r="9253" ht="25.0" customHeight="true">
      <c r="A9253" t="s" s="2">
        <v>13</v>
      </c>
      <c r="B9253" t="s" s="2">
        <f>HYPERLINK("http://ts.21cn.com/tousu/show/id/1360076","拍拍贷私自调取本人名下其他联系方式")</f>
      </c>
      <c r="C9253" t="s" s="2">
        <v>15</v>
      </c>
      <c r="D9253" t="s" s="2">
        <v>16</v>
      </c>
      <c r="E9253" t="s" s="2">
        <v>17</v>
      </c>
      <c r="F9253" t="s" s="2">
        <f>HYPERLINK("http://ts.21cn.com/tousu/show/id/1360076","http://ts.21cn.com/tousu/show/id/1360076")</f>
      </c>
      <c r="G9253" t="s" s="2">
        <v>17</v>
      </c>
      <c r="H9253" t="s" s="2">
        <v>19</v>
      </c>
      <c r="I9253" t="s" s="2">
        <v>35684</v>
      </c>
      <c r="J9253" t="s" s="2">
        <v>35685</v>
      </c>
      <c r="K9253" t="s" s="2">
        <v>22</v>
      </c>
      <c r="L9253" t="s" s="2">
        <v>22</v>
      </c>
      <c r="M9253" t="s" s="2">
        <v>22</v>
      </c>
    </row>
    <row r="9254" ht="25.0" customHeight="true">
      <c r="A9254" t="s" s="2">
        <v>13</v>
      </c>
      <c r="B9254" t="s" s="2">
        <f>HYPERLINK("http://ts.21cn.com/tousu/show/id/1360074","我来数科电话威胁，恶意骚扰，高额逾期费")</f>
      </c>
      <c r="C9254" t="s" s="2">
        <v>15</v>
      </c>
      <c r="D9254" t="s" s="2">
        <v>16</v>
      </c>
      <c r="E9254" t="s" s="2">
        <v>17</v>
      </c>
      <c r="F9254" t="s" s="2">
        <f>HYPERLINK("http://ts.21cn.com/tousu/show/id/1360074","http://ts.21cn.com/tousu/show/id/1360074")</f>
      </c>
      <c r="G9254" t="s" s="2">
        <v>17</v>
      </c>
      <c r="H9254" t="s" s="2">
        <v>19</v>
      </c>
      <c r="I9254" t="s" s="2">
        <v>35688</v>
      </c>
      <c r="J9254" t="s" s="2">
        <v>35689</v>
      </c>
      <c r="K9254" t="s" s="2">
        <v>22</v>
      </c>
      <c r="L9254" t="s" s="2">
        <v>22</v>
      </c>
      <c r="M9254" t="s" s="2">
        <v>22</v>
      </c>
    </row>
    <row r="9255" ht="25.0" customHeight="true">
      <c r="A9255" t="s" s="2">
        <v>13</v>
      </c>
      <c r="B9255" t="s" s="2">
        <f>HYPERLINK("http://ts.21cn.com/tousu/show/id/1360070","汇潮支付支付宝非法为714高炮提供放款还款通道")</f>
      </c>
      <c r="C9255" t="s" s="2">
        <v>15</v>
      </c>
      <c r="D9255" t="s" s="2">
        <v>16</v>
      </c>
      <c r="E9255" t="s" s="2">
        <v>17</v>
      </c>
      <c r="F9255" t="s" s="2">
        <f>HYPERLINK("http://ts.21cn.com/tousu/show/id/1360070","http://ts.21cn.com/tousu/show/id/1360070")</f>
      </c>
      <c r="G9255" t="s" s="2">
        <v>17</v>
      </c>
      <c r="H9255" t="s" s="2">
        <v>19</v>
      </c>
      <c r="I9255" t="s" s="2">
        <v>35692</v>
      </c>
      <c r="J9255" t="s" s="2">
        <v>35693</v>
      </c>
      <c r="K9255" t="s" s="2">
        <v>22</v>
      </c>
      <c r="L9255" t="s" s="2">
        <v>22</v>
      </c>
      <c r="M9255" t="s" s="2">
        <v>22</v>
      </c>
    </row>
    <row r="9256" ht="25.0" customHeight="true">
      <c r="A9256" t="s" s="2">
        <v>13</v>
      </c>
      <c r="B9256" t="s" s="2">
        <f>HYPERLINK("http://ts.21cn.com/tousu/show/id/1360068","拍拍贷高利贷")</f>
      </c>
      <c r="C9256" t="s" s="2">
        <v>15</v>
      </c>
      <c r="D9256" t="s" s="2">
        <v>16</v>
      </c>
      <c r="E9256" t="s" s="2">
        <v>17</v>
      </c>
      <c r="F9256" t="s" s="2">
        <f>HYPERLINK("http://ts.21cn.com/tousu/show/id/1360068","http://ts.21cn.com/tousu/show/id/1360068")</f>
      </c>
      <c r="G9256" t="s" s="2">
        <v>17</v>
      </c>
      <c r="H9256" t="s" s="2">
        <v>19</v>
      </c>
      <c r="I9256" t="s" s="2">
        <v>35695</v>
      </c>
      <c r="J9256" t="s" s="2">
        <v>35696</v>
      </c>
      <c r="K9256" t="s" s="2">
        <v>22</v>
      </c>
      <c r="L9256" t="s" s="2">
        <v>22</v>
      </c>
      <c r="M9256" t="s" s="2">
        <v>22</v>
      </c>
    </row>
    <row r="9257" ht="25.0" customHeight="true">
      <c r="A9257" t="s" s="2">
        <v>13</v>
      </c>
      <c r="B9257" t="s" s="2">
        <f>HYPERLINK("http://ts.21cn.com/tousu/show/id/1360065","新网银行")</f>
      </c>
      <c r="C9257" t="s" s="2">
        <v>15</v>
      </c>
      <c r="D9257" t="s" s="2">
        <v>16</v>
      </c>
      <c r="E9257" t="s" s="2">
        <v>17</v>
      </c>
      <c r="F9257" t="s" s="2">
        <f>HYPERLINK("http://ts.21cn.com/tousu/show/id/1360065","http://ts.21cn.com/tousu/show/id/1360065")</f>
      </c>
      <c r="G9257" t="s" s="2">
        <v>17</v>
      </c>
      <c r="H9257" t="s" s="2">
        <v>19</v>
      </c>
      <c r="I9257" t="s" s="2">
        <v>35699</v>
      </c>
      <c r="J9257" t="s" s="2">
        <v>35700</v>
      </c>
      <c r="K9257" t="s" s="2">
        <v>22</v>
      </c>
      <c r="L9257" t="s" s="2">
        <v>22</v>
      </c>
      <c r="M9257" t="s" s="2">
        <v>22</v>
      </c>
    </row>
    <row r="9258" ht="25.0" customHeight="true">
      <c r="A9258" t="s" s="2">
        <v>13</v>
      </c>
      <c r="B9258" t="s" s="2">
        <f>HYPERLINK("http://ts.21cn.com/tousu/show/id/1360064","好分期恶意催收辱骂家人")</f>
      </c>
      <c r="C9258" t="s" s="2">
        <v>15</v>
      </c>
      <c r="D9258" t="s" s="2">
        <v>16</v>
      </c>
      <c r="E9258" t="s" s="2">
        <v>17</v>
      </c>
      <c r="F9258" t="s" s="2">
        <f>HYPERLINK("http://ts.21cn.com/tousu/show/id/1360064","http://ts.21cn.com/tousu/show/id/1360064")</f>
      </c>
      <c r="G9258" t="s" s="2">
        <v>17</v>
      </c>
      <c r="H9258" t="s" s="2">
        <v>19</v>
      </c>
      <c r="I9258" t="s" s="2">
        <v>35703</v>
      </c>
      <c r="J9258" t="s" s="2">
        <v>35704</v>
      </c>
      <c r="K9258" t="s" s="2">
        <v>22</v>
      </c>
      <c r="L9258" t="s" s="2">
        <v>22</v>
      </c>
      <c r="M9258" t="s" s="2">
        <v>22</v>
      </c>
    </row>
    <row r="9259" ht="25.0" customHeight="true">
      <c r="A9259" t="s" s="2">
        <v>13</v>
      </c>
      <c r="B9259" t="s" s="2">
        <f>HYPERLINK("http://ts.21cn.com/tousu/show/id/1360057","美团小美果园活动不公平")</f>
      </c>
      <c r="C9259" t="s" s="2">
        <v>15</v>
      </c>
      <c r="D9259" t="s" s="2">
        <v>16</v>
      </c>
      <c r="E9259" t="s" s="2">
        <v>17</v>
      </c>
      <c r="F9259" t="s" s="2">
        <f>HYPERLINK("http://ts.21cn.com/tousu/show/id/1360057","http://ts.21cn.com/tousu/show/id/1360057")</f>
      </c>
      <c r="G9259" t="s" s="2">
        <v>17</v>
      </c>
      <c r="H9259" t="s" s="2">
        <v>19</v>
      </c>
      <c r="I9259" t="s" s="2">
        <v>35707</v>
      </c>
      <c r="J9259" t="s" s="2">
        <v>35708</v>
      </c>
      <c r="K9259" t="s" s="2">
        <v>22</v>
      </c>
      <c r="L9259" t="s" s="2">
        <v>22</v>
      </c>
      <c r="M9259" t="s" s="2">
        <v>22</v>
      </c>
    </row>
    <row r="9260" ht="25.0" customHeight="true">
      <c r="A9260" t="s" s="2">
        <v>13</v>
      </c>
      <c r="B9260" t="s" s="2">
        <f>HYPERLINK("http://ts.21cn.com/tousu/show/id/1360054","拇指下款,聚富分期,海南圣云可网络科技有限公司")</f>
      </c>
      <c r="C9260" t="s" s="2">
        <v>15</v>
      </c>
      <c r="D9260" t="s" s="2">
        <v>16</v>
      </c>
      <c r="E9260" t="s" s="2">
        <v>17</v>
      </c>
      <c r="F9260" t="s" s="2">
        <f>HYPERLINK("http://ts.21cn.com/tousu/show/id/1360054","http://ts.21cn.com/tousu/show/id/1360054")</f>
      </c>
      <c r="G9260" t="s" s="2">
        <v>17</v>
      </c>
      <c r="H9260" t="s" s="2">
        <v>19</v>
      </c>
      <c r="I9260" t="s" s="2">
        <v>35711</v>
      </c>
      <c r="J9260" t="s" s="2">
        <v>35712</v>
      </c>
      <c r="K9260" t="s" s="2">
        <v>22</v>
      </c>
      <c r="L9260" t="s" s="2">
        <v>22</v>
      </c>
      <c r="M9260" t="s" s="2">
        <v>22</v>
      </c>
    </row>
    <row r="9261" ht="25.0" customHeight="true">
      <c r="A9261" t="s" s="2">
        <v>13</v>
      </c>
      <c r="B9261" t="s" s="2">
        <f>HYPERLINK("http://ts.21cn.com/tousu/show/id/1360052","小赢卡贷阴阳合同砍头息捆绑购买保险暴力催收")</f>
      </c>
      <c r="C9261" t="s" s="2">
        <v>15</v>
      </c>
      <c r="D9261" t="s" s="2">
        <v>16</v>
      </c>
      <c r="E9261" t="s" s="2">
        <v>17</v>
      </c>
      <c r="F9261" t="s" s="2">
        <f>HYPERLINK("http://ts.21cn.com/tousu/show/id/1360052","http://ts.21cn.com/tousu/show/id/1360052")</f>
      </c>
      <c r="G9261" t="s" s="2">
        <v>17</v>
      </c>
      <c r="H9261" t="s" s="2">
        <v>19</v>
      </c>
      <c r="I9261" t="s" s="2">
        <v>35715</v>
      </c>
      <c r="J9261" t="s" s="2">
        <v>35716</v>
      </c>
      <c r="K9261" t="s" s="2">
        <v>22</v>
      </c>
      <c r="L9261" t="s" s="2">
        <v>22</v>
      </c>
      <c r="M9261" t="s" s="2">
        <v>22</v>
      </c>
    </row>
    <row r="9262" ht="25.0" customHeight="true">
      <c r="A9262" t="s" s="2">
        <v>13</v>
      </c>
      <c r="B9262" t="s" s="2">
        <f>HYPERLINK("http://ts.21cn.com/tousu/show/id/1360049","广发银行信用卡逾期拒绝协商还款，委托第三方催收")</f>
      </c>
      <c r="C9262" t="s" s="2">
        <v>15</v>
      </c>
      <c r="D9262" t="s" s="2">
        <v>16</v>
      </c>
      <c r="E9262" t="s" s="2">
        <v>17</v>
      </c>
      <c r="F9262" t="s" s="2">
        <f>HYPERLINK("http://ts.21cn.com/tousu/show/id/1360049","http://ts.21cn.com/tousu/show/id/1360049")</f>
      </c>
      <c r="G9262" t="s" s="2">
        <v>17</v>
      </c>
      <c r="H9262" t="s" s="2">
        <v>19</v>
      </c>
      <c r="I9262" t="s" s="2">
        <v>35719</v>
      </c>
      <c r="J9262" t="s" s="2">
        <v>35720</v>
      </c>
      <c r="K9262" t="s" s="2">
        <v>22</v>
      </c>
      <c r="L9262" t="s" s="2">
        <v>22</v>
      </c>
      <c r="M9262" t="s" s="2">
        <v>22</v>
      </c>
    </row>
    <row r="9263" ht="25.0" customHeight="true">
      <c r="A9263" t="s" s="2">
        <v>13</v>
      </c>
      <c r="B9263" t="s" s="2">
        <f>HYPERLINK("http://ts.21cn.com/tousu/show/id/1360046","快闪卡贷套路贷")</f>
      </c>
      <c r="C9263" t="s" s="2">
        <v>15</v>
      </c>
      <c r="D9263" t="s" s="2">
        <v>16</v>
      </c>
      <c r="E9263" t="s" s="2">
        <v>17</v>
      </c>
      <c r="F9263" t="s" s="2">
        <f>HYPERLINK("http://ts.21cn.com/tousu/show/id/1360046","http://ts.21cn.com/tousu/show/id/1360046")</f>
      </c>
      <c r="G9263" t="s" s="2">
        <v>17</v>
      </c>
      <c r="H9263" t="s" s="2">
        <v>19</v>
      </c>
      <c r="I9263" t="s" s="2">
        <v>35723</v>
      </c>
      <c r="J9263" t="s" s="2">
        <v>35724</v>
      </c>
      <c r="K9263" t="s" s="2">
        <v>22</v>
      </c>
      <c r="L9263" t="s" s="2">
        <v>22</v>
      </c>
      <c r="M9263" t="s" s="2">
        <v>22</v>
      </c>
    </row>
    <row r="9264" ht="25.0" customHeight="true">
      <c r="A9264" t="s" s="2">
        <v>13</v>
      </c>
      <c r="B9264" t="s" s="2">
        <f>HYPERLINK("http://ts.21cn.com/tousu/show/id/1360043","高利息")</f>
      </c>
      <c r="C9264" t="s" s="2">
        <v>15</v>
      </c>
      <c r="D9264" t="s" s="2">
        <v>16</v>
      </c>
      <c r="E9264" t="s" s="2">
        <v>17</v>
      </c>
      <c r="F9264" t="s" s="2">
        <f>HYPERLINK("http://ts.21cn.com/tousu/show/id/1360043","http://ts.21cn.com/tousu/show/id/1360043")</f>
      </c>
      <c r="G9264" t="s" s="2">
        <v>17</v>
      </c>
      <c r="H9264" t="s" s="2">
        <v>19</v>
      </c>
      <c r="I9264" t="s" s="2">
        <v>35726</v>
      </c>
      <c r="J9264" t="s" s="2">
        <v>35727</v>
      </c>
      <c r="K9264" t="s" s="2">
        <v>22</v>
      </c>
      <c r="L9264" t="s" s="2">
        <v>22</v>
      </c>
      <c r="M9264" t="s" s="2">
        <v>22</v>
      </c>
    </row>
    <row r="9265" ht="25.0" customHeight="true">
      <c r="A9265" t="s" s="2">
        <v>13</v>
      </c>
      <c r="B9265" t="s" s="2">
        <f>HYPERLINK("http://ts.21cn.com/tousu/show/id/1360041","高铁管家白金会员无效，没有成功使用任何一项会员权益，没有退款通道")</f>
      </c>
      <c r="C9265" t="s" s="2">
        <v>15</v>
      </c>
      <c r="D9265" t="s" s="2">
        <v>16</v>
      </c>
      <c r="E9265" t="s" s="2">
        <v>17</v>
      </c>
      <c r="F9265" t="s" s="2">
        <f>HYPERLINK("http://ts.21cn.com/tousu/show/id/1360041","http://ts.21cn.com/tousu/show/id/1360041")</f>
      </c>
      <c r="G9265" t="s" s="2">
        <v>17</v>
      </c>
      <c r="H9265" t="s" s="2">
        <v>19</v>
      </c>
      <c r="I9265" t="s" s="2">
        <v>35730</v>
      </c>
      <c r="J9265" t="s" s="2">
        <v>35731</v>
      </c>
      <c r="K9265" t="s" s="2">
        <v>22</v>
      </c>
      <c r="L9265" t="s" s="2">
        <v>22</v>
      </c>
      <c r="M9265" t="s" s="2">
        <v>22</v>
      </c>
    </row>
    <row r="9266" ht="25.0" customHeight="true">
      <c r="A9266" t="s" s="2">
        <v>13</v>
      </c>
      <c r="B9266" t="s" s="2">
        <f>HYPERLINK("http://ts.21cn.com/tousu/show/id/1360005","兰州机场出行唯选虚假宣传误导")</f>
      </c>
      <c r="C9266" t="s" s="2">
        <v>15</v>
      </c>
      <c r="D9266" t="s" s="2">
        <v>16</v>
      </c>
      <c r="E9266" t="s" s="2">
        <v>17</v>
      </c>
      <c r="F9266" t="s" s="2">
        <f>HYPERLINK("http://ts.21cn.com/tousu/show/id/1360005","http://ts.21cn.com/tousu/show/id/1360005")</f>
      </c>
      <c r="G9266" t="s" s="2">
        <v>17</v>
      </c>
      <c r="H9266" t="s" s="2">
        <v>19</v>
      </c>
      <c r="I9266" t="s" s="2">
        <v>35734</v>
      </c>
      <c r="J9266" t="s" s="2">
        <v>35735</v>
      </c>
      <c r="K9266" t="s" s="2">
        <v>22</v>
      </c>
      <c r="L9266" t="s" s="2">
        <v>22</v>
      </c>
      <c r="M9266" t="s" s="2">
        <v>22</v>
      </c>
    </row>
    <row r="9267" ht="25.0" customHeight="true">
      <c r="A9267" t="s" s="2">
        <v>13</v>
      </c>
      <c r="B9267" t="s" s="2">
        <f>HYPERLINK("http://ts.21cn.com/tousu/show/id/1360038","小赢卡贷退保险费降低息费免骚扰！！")</f>
      </c>
      <c r="C9267" t="s" s="2">
        <v>15</v>
      </c>
      <c r="D9267" t="s" s="2">
        <v>16</v>
      </c>
      <c r="E9267" t="s" s="2">
        <v>17</v>
      </c>
      <c r="F9267" t="s" s="2">
        <f>HYPERLINK("http://ts.21cn.com/tousu/show/id/1360038","http://ts.21cn.com/tousu/show/id/1360038")</f>
      </c>
      <c r="G9267" t="s" s="2">
        <v>17</v>
      </c>
      <c r="H9267" t="s" s="2">
        <v>19</v>
      </c>
      <c r="I9267" t="s" s="2">
        <v>35738</v>
      </c>
      <c r="J9267" t="s" s="2">
        <v>35739</v>
      </c>
      <c r="K9267" t="s" s="2">
        <v>22</v>
      </c>
      <c r="L9267" t="s" s="2">
        <v>22</v>
      </c>
      <c r="M9267" t="s" s="2">
        <v>22</v>
      </c>
    </row>
    <row r="9268" ht="25.0" customHeight="true">
      <c r="A9268" t="s" s="2">
        <v>13</v>
      </c>
      <c r="B9268" t="s" s="2">
        <f>HYPERLINK("http://ts.21cn.com/tousu/show/id/1360032","立借高利贷借一万还13900")</f>
      </c>
      <c r="C9268" t="s" s="2">
        <v>15</v>
      </c>
      <c r="D9268" t="s" s="2">
        <v>16</v>
      </c>
      <c r="E9268" t="s" s="2">
        <v>17</v>
      </c>
      <c r="F9268" t="s" s="2">
        <f>HYPERLINK("http://ts.21cn.com/tousu/show/id/1360032","http://ts.21cn.com/tousu/show/id/1360032")</f>
      </c>
      <c r="G9268" t="s" s="2">
        <v>17</v>
      </c>
      <c r="H9268" t="s" s="2">
        <v>19</v>
      </c>
      <c r="I9268" t="s" s="2">
        <v>35742</v>
      </c>
      <c r="J9268" t="s" s="2">
        <v>35743</v>
      </c>
      <c r="K9268" t="s" s="2">
        <v>22</v>
      </c>
      <c r="L9268" t="s" s="2">
        <v>22</v>
      </c>
      <c r="M9268" t="s" s="2">
        <v>22</v>
      </c>
    </row>
    <row r="9269" ht="25.0" customHeight="true">
      <c r="A9269" t="s" s="2">
        <v>13</v>
      </c>
      <c r="B9269" t="s" s="2">
        <f>HYPERLINK("http://ts.21cn.com/tousu/show/id/1360030","唯品会投诉专题")</f>
      </c>
      <c r="C9269" t="s" s="2">
        <v>52</v>
      </c>
      <c r="D9269" t="s" s="2">
        <v>16</v>
      </c>
      <c r="E9269" t="s" s="2">
        <v>17</v>
      </c>
      <c r="F9269" t="s" s="2">
        <f>HYPERLINK("http://ts.21cn.com/tousu/show/id/1360030","http://ts.21cn.com/tousu/show/id/1360030")</f>
      </c>
      <c r="G9269" t="s" s="2">
        <v>17</v>
      </c>
      <c r="H9269" t="s" s="2">
        <v>19</v>
      </c>
      <c r="I9269" t="s" s="2">
        <v>35745</v>
      </c>
      <c r="J9269" t="s" s="2">
        <v>35746</v>
      </c>
      <c r="K9269" t="s" s="2">
        <v>22</v>
      </c>
      <c r="L9269" t="s" s="2">
        <v>22</v>
      </c>
      <c r="M9269" t="s" s="2">
        <v>22</v>
      </c>
    </row>
    <row r="9270" ht="25.0" customHeight="true">
      <c r="A9270" t="s" s="2">
        <v>13</v>
      </c>
      <c r="B9270" t="s" s="2">
        <f>HYPERLINK("http://ts.21cn.com/tousu/show/id/1360027","京东买商品质量有问题以超过七天为由不给退货")</f>
      </c>
      <c r="C9270" t="s" s="2">
        <v>15</v>
      </c>
      <c r="D9270" t="s" s="2">
        <v>16</v>
      </c>
      <c r="E9270" t="s" s="2">
        <v>17</v>
      </c>
      <c r="F9270" t="s" s="2">
        <f>HYPERLINK("http://ts.21cn.com/tousu/show/id/1360027","http://ts.21cn.com/tousu/show/id/1360027")</f>
      </c>
      <c r="G9270" t="s" s="2">
        <v>17</v>
      </c>
      <c r="H9270" t="s" s="2">
        <v>19</v>
      </c>
      <c r="I9270" t="s" s="2">
        <v>35749</v>
      </c>
      <c r="J9270" t="s" s="2">
        <v>35750</v>
      </c>
      <c r="K9270" t="s" s="2">
        <v>22</v>
      </c>
      <c r="L9270" t="s" s="2">
        <v>22</v>
      </c>
      <c r="M9270" t="s" s="2">
        <v>22</v>
      </c>
    </row>
    <row r="9271" ht="25.0" customHeight="true">
      <c r="A9271" t="s" s="2">
        <v>13</v>
      </c>
      <c r="B9271" t="s" s="2">
        <f>HYPERLINK("http://ts.21cn.com/tousu/show/id/1360024","新橙优品乱扣费高利贷")</f>
      </c>
      <c r="C9271" t="s" s="2">
        <v>15</v>
      </c>
      <c r="D9271" t="s" s="2">
        <v>16</v>
      </c>
      <c r="E9271" t="s" s="2">
        <v>17</v>
      </c>
      <c r="F9271" t="s" s="2">
        <f>HYPERLINK("http://ts.21cn.com/tousu/show/id/1360024","http://ts.21cn.com/tousu/show/id/1360024")</f>
      </c>
      <c r="G9271" t="s" s="2">
        <v>17</v>
      </c>
      <c r="H9271" t="s" s="2">
        <v>19</v>
      </c>
      <c r="I9271" t="s" s="2">
        <v>35753</v>
      </c>
      <c r="J9271" t="s" s="2">
        <v>35754</v>
      </c>
      <c r="K9271" t="s" s="2">
        <v>22</v>
      </c>
      <c r="L9271" t="s" s="2">
        <v>22</v>
      </c>
      <c r="M9271" t="s" s="2">
        <v>22</v>
      </c>
    </row>
    <row r="9272" ht="25.0" customHeight="true">
      <c r="A9272" t="s" s="2">
        <v>13</v>
      </c>
      <c r="B9272" t="s" s="2">
        <f>HYPERLINK("http://ts.21cn.com/tousu/show/id/1359969","尚德机构不退学费")</f>
      </c>
      <c r="C9272" t="s" s="2">
        <v>15</v>
      </c>
      <c r="D9272" t="s" s="2">
        <v>16</v>
      </c>
      <c r="E9272" t="s" s="2">
        <v>17</v>
      </c>
      <c r="F9272" t="s" s="2">
        <f>HYPERLINK("http://ts.21cn.com/tousu/show/id/1359969","http://ts.21cn.com/tousu/show/id/1359969")</f>
      </c>
      <c r="G9272" t="s" s="2">
        <v>17</v>
      </c>
      <c r="H9272" t="s" s="2">
        <v>19</v>
      </c>
      <c r="I9272" t="s" s="2">
        <v>35757</v>
      </c>
      <c r="J9272" t="s" s="2">
        <v>35758</v>
      </c>
      <c r="K9272" t="s" s="2">
        <v>22</v>
      </c>
      <c r="L9272" t="s" s="2">
        <v>22</v>
      </c>
      <c r="M9272" t="s" s="2">
        <v>22</v>
      </c>
    </row>
    <row r="9273" ht="25.0" customHeight="true">
      <c r="A9273" t="s" s="2">
        <v>13</v>
      </c>
      <c r="B9273" t="s" s="2">
        <f>HYPERLINK("http://ts.21cn.com/tousu/show/id/1360021","好分期逾期一天手续费高达51.75元")</f>
      </c>
      <c r="C9273" t="s" s="2">
        <v>52</v>
      </c>
      <c r="D9273" t="s" s="2">
        <v>16</v>
      </c>
      <c r="E9273" t="s" s="2">
        <v>17</v>
      </c>
      <c r="F9273" t="s" s="2">
        <f>HYPERLINK("http://ts.21cn.com/tousu/show/id/1360021","http://ts.21cn.com/tousu/show/id/1360021")</f>
      </c>
      <c r="G9273" t="s" s="2">
        <v>17</v>
      </c>
      <c r="H9273" t="s" s="2">
        <v>19</v>
      </c>
      <c r="I9273" t="s" s="2">
        <v>35761</v>
      </c>
      <c r="J9273" t="s" s="2">
        <v>35762</v>
      </c>
      <c r="K9273" t="s" s="2">
        <v>22</v>
      </c>
      <c r="L9273" t="s" s="2">
        <v>22</v>
      </c>
      <c r="M9273" t="s" s="2">
        <v>22</v>
      </c>
    </row>
    <row r="9274" ht="25.0" customHeight="true">
      <c r="A9274" t="s" s="2">
        <v>13</v>
      </c>
      <c r="B9274" t="s" s="2">
        <f>HYPERLINK("http://ts.21cn.com/tousu/show/id/1360016","去哪借老李救急套路贷")</f>
      </c>
      <c r="C9274" t="s" s="2">
        <v>15</v>
      </c>
      <c r="D9274" t="s" s="2">
        <v>16</v>
      </c>
      <c r="E9274" t="s" s="2">
        <v>17</v>
      </c>
      <c r="F9274" t="s" s="2">
        <f>HYPERLINK("http://ts.21cn.com/tousu/show/id/1360016","http://ts.21cn.com/tousu/show/id/1360016")</f>
      </c>
      <c r="G9274" t="s" s="2">
        <v>17</v>
      </c>
      <c r="H9274" t="s" s="2">
        <v>19</v>
      </c>
      <c r="I9274" t="s" s="2">
        <v>35765</v>
      </c>
      <c r="J9274" t="s" s="2">
        <v>35766</v>
      </c>
      <c r="K9274" t="s" s="2">
        <v>22</v>
      </c>
      <c r="L9274" t="s" s="2">
        <v>22</v>
      </c>
      <c r="M9274" t="s" s="2">
        <v>22</v>
      </c>
    </row>
    <row r="9275" ht="25.0" customHeight="true">
      <c r="A9275" t="s" s="2">
        <v>13</v>
      </c>
      <c r="B9275" t="s" s="2">
        <f>HYPERLINK("http://ts.21cn.com/tousu/show/id/1360013","申请与洋钱罐协商还款")</f>
      </c>
      <c r="C9275" t="s" s="2">
        <v>52</v>
      </c>
      <c r="D9275" t="s" s="2">
        <v>16</v>
      </c>
      <c r="E9275" t="s" s="2">
        <v>17</v>
      </c>
      <c r="F9275" t="s" s="2">
        <f>HYPERLINK("http://ts.21cn.com/tousu/show/id/1360013","http://ts.21cn.com/tousu/show/id/1360013")</f>
      </c>
      <c r="G9275" t="s" s="2">
        <v>17</v>
      </c>
      <c r="H9275" t="s" s="2">
        <v>19</v>
      </c>
      <c r="I9275" t="s" s="2">
        <v>35768</v>
      </c>
      <c r="J9275" t="s" s="2">
        <v>35769</v>
      </c>
      <c r="K9275" t="s" s="2">
        <v>22</v>
      </c>
      <c r="L9275" t="s" s="2">
        <v>22</v>
      </c>
      <c r="M9275" t="s" s="2">
        <v>22</v>
      </c>
    </row>
    <row r="9276" ht="25.0" customHeight="true">
      <c r="A9276" t="s" s="2">
        <v>13</v>
      </c>
      <c r="B9276" t="s" s="2">
        <f>HYPERLINK("http://ts.21cn.com/tousu/show/id/1359953","买车变租车")</f>
      </c>
      <c r="C9276" t="s" s="2">
        <v>15</v>
      </c>
      <c r="D9276" t="s" s="2">
        <v>16</v>
      </c>
      <c r="E9276" t="s" s="2">
        <v>17</v>
      </c>
      <c r="F9276" t="s" s="2">
        <f>HYPERLINK("http://ts.21cn.com/tousu/show/id/1359953","http://ts.21cn.com/tousu/show/id/1359953")</f>
      </c>
      <c r="G9276" t="s" s="2">
        <v>17</v>
      </c>
      <c r="H9276" t="s" s="2">
        <v>19</v>
      </c>
      <c r="I9276" t="s" s="2">
        <v>35772</v>
      </c>
      <c r="J9276" t="s" s="2">
        <v>35773</v>
      </c>
      <c r="K9276" t="s" s="2">
        <v>22</v>
      </c>
      <c r="L9276" t="s" s="2">
        <v>22</v>
      </c>
      <c r="M9276" t="s" s="2">
        <v>22</v>
      </c>
    </row>
    <row r="9277" ht="25.0" customHeight="true">
      <c r="A9277" t="s" s="2">
        <v>13</v>
      </c>
      <c r="B9277" t="s" s="2">
        <f>HYPERLINK("http://ts.21cn.com/tousu/show/id/1360009","纳什空间合同到期不退还押金")</f>
      </c>
      <c r="C9277" t="s" s="2">
        <v>15</v>
      </c>
      <c r="D9277" t="s" s="2">
        <v>16</v>
      </c>
      <c r="E9277" t="s" s="2">
        <v>17</v>
      </c>
      <c r="F9277" t="s" s="2">
        <f>HYPERLINK("http://ts.21cn.com/tousu/show/id/1360009","http://ts.21cn.com/tousu/show/id/1360009")</f>
      </c>
      <c r="G9277" t="s" s="2">
        <v>17</v>
      </c>
      <c r="H9277" t="s" s="2">
        <v>19</v>
      </c>
      <c r="I9277" t="s" s="2">
        <v>35776</v>
      </c>
      <c r="J9277" t="s" s="2">
        <v>35777</v>
      </c>
      <c r="K9277" t="s" s="2">
        <v>22</v>
      </c>
      <c r="L9277" t="s" s="2">
        <v>22</v>
      </c>
      <c r="M9277" t="s" s="2">
        <v>22</v>
      </c>
    </row>
    <row r="9278" ht="25.0" customHeight="true">
      <c r="A9278" t="s" s="2">
        <v>13</v>
      </c>
      <c r="B9278" t="s" s="2">
        <f>HYPERLINK("http://ts.21cn.com/tousu/show/id/1360002","要求ETC助手马上帮我注销设备，清除数据")</f>
      </c>
      <c r="C9278" t="s" s="2">
        <v>15</v>
      </c>
      <c r="D9278" t="s" s="2">
        <v>16</v>
      </c>
      <c r="E9278" t="s" s="2">
        <v>17</v>
      </c>
      <c r="F9278" t="s" s="2">
        <f>HYPERLINK("http://ts.21cn.com/tousu/show/id/1360002","http://ts.21cn.com/tousu/show/id/1360002")</f>
      </c>
      <c r="G9278" t="s" s="2">
        <v>17</v>
      </c>
      <c r="H9278" t="s" s="2">
        <v>19</v>
      </c>
      <c r="I9278" t="s" s="2">
        <v>35780</v>
      </c>
      <c r="J9278" t="s" s="2">
        <v>35781</v>
      </c>
      <c r="K9278" t="s" s="2">
        <v>22</v>
      </c>
      <c r="L9278" t="s" s="2">
        <v>22</v>
      </c>
      <c r="M9278" t="s" s="2">
        <v>22</v>
      </c>
    </row>
    <row r="9279" ht="25.0" customHeight="true">
      <c r="A9279" t="s" s="2">
        <v>13</v>
      </c>
      <c r="B9279" t="s" s="2">
        <f>HYPERLINK("http://ts.21cn.com/tousu/show/id/1359997","交易问题")</f>
      </c>
      <c r="C9279" t="s" s="2">
        <v>15</v>
      </c>
      <c r="D9279" t="s" s="2">
        <v>16</v>
      </c>
      <c r="E9279" t="s" s="2">
        <v>17</v>
      </c>
      <c r="F9279" t="s" s="2">
        <f>HYPERLINK("http://ts.21cn.com/tousu/show/id/1359997","http://ts.21cn.com/tousu/show/id/1359997")</f>
      </c>
      <c r="G9279" t="s" s="2">
        <v>17</v>
      </c>
      <c r="H9279" t="s" s="2">
        <v>19</v>
      </c>
      <c r="I9279" t="s" s="2">
        <v>35784</v>
      </c>
      <c r="J9279" t="s" s="2">
        <v>35785</v>
      </c>
      <c r="K9279" t="s" s="2">
        <v>22</v>
      </c>
      <c r="L9279" t="s" s="2">
        <v>22</v>
      </c>
      <c r="M9279" t="s" s="2">
        <v>22</v>
      </c>
    </row>
    <row r="9280" ht="25.0" customHeight="true">
      <c r="A9280" t="s" s="2">
        <v>13</v>
      </c>
      <c r="B9280" t="s" s="2">
        <f>HYPERLINK("http://ts.21cn.com/tousu/show/id/1359993","西伯利存在高额砍头息")</f>
      </c>
      <c r="C9280" t="s" s="2">
        <v>15</v>
      </c>
      <c r="D9280" t="s" s="2">
        <v>16</v>
      </c>
      <c r="E9280" t="s" s="2">
        <v>17</v>
      </c>
      <c r="F9280" t="s" s="2">
        <f>HYPERLINK("http://ts.21cn.com/tousu/show/id/1359993","http://ts.21cn.com/tousu/show/id/1359993")</f>
      </c>
      <c r="G9280" t="s" s="2">
        <v>17</v>
      </c>
      <c r="H9280" t="s" s="2">
        <v>19</v>
      </c>
      <c r="I9280" t="s" s="2">
        <v>35788</v>
      </c>
      <c r="J9280" t="s" s="2">
        <v>35789</v>
      </c>
      <c r="K9280" t="s" s="2">
        <v>22</v>
      </c>
      <c r="L9280" t="s" s="2">
        <v>22</v>
      </c>
      <c r="M9280" t="s" s="2">
        <v>22</v>
      </c>
    </row>
    <row r="9281" ht="25.0" customHeight="true">
      <c r="A9281" t="s" s="2">
        <v>13</v>
      </c>
      <c r="B9281" t="s" s="2">
        <f>HYPERLINK("http://ts.21cn.com/tousu/show/id/1359990","闪银超高服务费")</f>
      </c>
      <c r="C9281" t="s" s="2">
        <v>15</v>
      </c>
      <c r="D9281" t="s" s="2">
        <v>16</v>
      </c>
      <c r="E9281" t="s" s="2">
        <v>17</v>
      </c>
      <c r="F9281" t="s" s="2">
        <f>HYPERLINK("http://ts.21cn.com/tousu/show/id/1359990","http://ts.21cn.com/tousu/show/id/1359990")</f>
      </c>
      <c r="G9281" t="s" s="2">
        <v>17</v>
      </c>
      <c r="H9281" t="s" s="2">
        <v>19</v>
      </c>
      <c r="I9281" t="s" s="2">
        <v>35792</v>
      </c>
      <c r="J9281" t="s" s="2">
        <v>35793</v>
      </c>
      <c r="K9281" t="s" s="2">
        <v>22</v>
      </c>
      <c r="L9281" t="s" s="2">
        <v>22</v>
      </c>
      <c r="M9281" t="s" s="2">
        <v>22</v>
      </c>
    </row>
    <row r="9282" ht="25.0" customHeight="true">
      <c r="A9282" t="s" s="2">
        <v>13</v>
      </c>
      <c r="B9282" t="s" s="2">
        <f>HYPERLINK("http://ts.21cn.com/tousu/show/id/1359986","聚福钱包未经许可私自扣款")</f>
      </c>
      <c r="C9282" t="s" s="2">
        <v>15</v>
      </c>
      <c r="D9282" t="s" s="2">
        <v>16</v>
      </c>
      <c r="E9282" t="s" s="2">
        <v>17</v>
      </c>
      <c r="F9282" t="s" s="2">
        <f>HYPERLINK("http://ts.21cn.com/tousu/show/id/1359986","http://ts.21cn.com/tousu/show/id/1359986")</f>
      </c>
      <c r="G9282" t="s" s="2">
        <v>17</v>
      </c>
      <c r="H9282" t="s" s="2">
        <v>19</v>
      </c>
      <c r="I9282" t="s" s="2">
        <v>35795</v>
      </c>
      <c r="J9282" t="s" s="2">
        <v>35796</v>
      </c>
      <c r="K9282" t="s" s="2">
        <v>22</v>
      </c>
      <c r="L9282" t="s" s="2">
        <v>22</v>
      </c>
      <c r="M9282" t="s" s="2">
        <v>22</v>
      </c>
    </row>
    <row r="9283" ht="25.0" customHeight="true">
      <c r="A9283" t="s" s="2">
        <v>13</v>
      </c>
      <c r="B9283" t="s" s="2">
        <f>HYPERLINK("http://ts.21cn.com/tousu/show/id/1359982","平安银行新一贷还我钱")</f>
      </c>
      <c r="C9283" t="s" s="2">
        <v>15</v>
      </c>
      <c r="D9283" t="s" s="2">
        <v>16</v>
      </c>
      <c r="E9283" t="s" s="2">
        <v>17</v>
      </c>
      <c r="F9283" t="s" s="2">
        <f>HYPERLINK("http://ts.21cn.com/tousu/show/id/1359982","http://ts.21cn.com/tousu/show/id/1359982")</f>
      </c>
      <c r="G9283" t="s" s="2">
        <v>17</v>
      </c>
      <c r="H9283" t="s" s="2">
        <v>19</v>
      </c>
      <c r="I9283" t="s" s="2">
        <v>35799</v>
      </c>
      <c r="J9283" t="s" s="2">
        <v>35800</v>
      </c>
      <c r="K9283" t="s" s="2">
        <v>22</v>
      </c>
      <c r="L9283" t="s" s="2">
        <v>22</v>
      </c>
      <c r="M9283" t="s" s="2">
        <v>22</v>
      </c>
    </row>
    <row r="9284" ht="25.0" customHeight="true">
      <c r="A9284" t="s" s="2">
        <v>13</v>
      </c>
      <c r="B9284" t="s" s="2">
        <f>HYPERLINK("http://ts.21cn.com/tousu/show/id/1359977","催收态度恶劣")</f>
      </c>
      <c r="C9284" t="s" s="2">
        <v>15</v>
      </c>
      <c r="D9284" t="s" s="2">
        <v>16</v>
      </c>
      <c r="E9284" t="s" s="2">
        <v>17</v>
      </c>
      <c r="F9284" t="s" s="2">
        <f>HYPERLINK("http://ts.21cn.com/tousu/show/id/1359977","http://ts.21cn.com/tousu/show/id/1359977")</f>
      </c>
      <c r="G9284" t="s" s="2">
        <v>17</v>
      </c>
      <c r="H9284" t="s" s="2">
        <v>19</v>
      </c>
      <c r="I9284" t="s" s="2">
        <v>35802</v>
      </c>
      <c r="J9284" t="s" s="2">
        <v>35803</v>
      </c>
      <c r="K9284" t="s" s="2">
        <v>22</v>
      </c>
      <c r="L9284" t="s" s="2">
        <v>22</v>
      </c>
      <c r="M9284" t="s" s="2">
        <v>22</v>
      </c>
    </row>
    <row r="9285" ht="25.0" customHeight="true">
      <c r="A9285" t="s" s="2">
        <v>13</v>
      </c>
      <c r="B9285" t="s" s="2">
        <f>HYPERLINK("http://ts.21cn.com/tousu/show/id/1359971","钱置宝催收恐吓")</f>
      </c>
      <c r="C9285" t="s" s="2">
        <v>15</v>
      </c>
      <c r="D9285" t="s" s="2">
        <v>16</v>
      </c>
      <c r="E9285" t="s" s="2">
        <v>17</v>
      </c>
      <c r="F9285" t="s" s="2">
        <f>HYPERLINK("http://ts.21cn.com/tousu/show/id/1359971","http://ts.21cn.com/tousu/show/id/1359971")</f>
      </c>
      <c r="G9285" t="s" s="2">
        <v>17</v>
      </c>
      <c r="H9285" t="s" s="2">
        <v>19</v>
      </c>
      <c r="I9285" t="s" s="2">
        <v>35806</v>
      </c>
      <c r="J9285" t="s" s="2">
        <v>35807</v>
      </c>
      <c r="K9285" t="s" s="2">
        <v>22</v>
      </c>
      <c r="L9285" t="s" s="2">
        <v>22</v>
      </c>
      <c r="M9285" t="s" s="2">
        <v>22</v>
      </c>
    </row>
    <row r="9286" ht="25.0" customHeight="true">
      <c r="A9286" t="s" s="2">
        <v>13</v>
      </c>
      <c r="B9286" t="s" s="2">
        <f>HYPERLINK("http://ts.21cn.com/tousu/show/id/1359966","360违规爆通讯录")</f>
      </c>
      <c r="C9286" t="s" s="2">
        <v>15</v>
      </c>
      <c r="D9286" t="s" s="2">
        <v>16</v>
      </c>
      <c r="E9286" t="s" s="2">
        <v>17</v>
      </c>
      <c r="F9286" t="s" s="2">
        <f>HYPERLINK("http://ts.21cn.com/tousu/show/id/1359966","http://ts.21cn.com/tousu/show/id/1359966")</f>
      </c>
      <c r="G9286" t="s" s="2">
        <v>17</v>
      </c>
      <c r="H9286" t="s" s="2">
        <v>19</v>
      </c>
      <c r="I9286" t="s" s="2">
        <v>35810</v>
      </c>
      <c r="J9286" t="s" s="2">
        <v>35811</v>
      </c>
      <c r="K9286" t="s" s="2">
        <v>22</v>
      </c>
      <c r="L9286" t="s" s="2">
        <v>22</v>
      </c>
      <c r="M9286" t="s" s="2">
        <v>22</v>
      </c>
    </row>
    <row r="9287" ht="25.0" customHeight="true">
      <c r="A9287" t="s" s="2">
        <v>13</v>
      </c>
      <c r="B9287" t="s" s="2">
        <f>HYPERLINK("http://ts.21cn.com/tousu/show/id/1359964","抖音服务退款赔偿")</f>
      </c>
      <c r="C9287" t="s" s="2">
        <v>15</v>
      </c>
      <c r="D9287" t="s" s="2">
        <v>16</v>
      </c>
      <c r="E9287" t="s" s="2">
        <v>17</v>
      </c>
      <c r="F9287" t="s" s="2">
        <f>HYPERLINK("http://ts.21cn.com/tousu/show/id/1359964","http://ts.21cn.com/tousu/show/id/1359964")</f>
      </c>
      <c r="G9287" t="s" s="2">
        <v>17</v>
      </c>
      <c r="H9287" t="s" s="2">
        <v>19</v>
      </c>
      <c r="I9287" t="s" s="2">
        <v>35814</v>
      </c>
      <c r="J9287" t="s" s="2">
        <v>35815</v>
      </c>
      <c r="K9287" t="s" s="2">
        <v>22</v>
      </c>
      <c r="L9287" t="s" s="2">
        <v>22</v>
      </c>
      <c r="M9287" t="s" s="2">
        <v>22</v>
      </c>
    </row>
    <row r="9288" ht="25.0" customHeight="true">
      <c r="A9288" t="s" s="2">
        <v>13</v>
      </c>
      <c r="B9288" t="s" s="2">
        <f>HYPERLINK("http://ts.21cn.com/tousu/show/id/1359960","鱼米分期无法还款")</f>
      </c>
      <c r="C9288" t="s" s="2">
        <v>52</v>
      </c>
      <c r="D9288" t="s" s="2">
        <v>16</v>
      </c>
      <c r="E9288" t="s" s="2">
        <v>17</v>
      </c>
      <c r="F9288" t="s" s="2">
        <f>HYPERLINK("http://ts.21cn.com/tousu/show/id/1359960","http://ts.21cn.com/tousu/show/id/1359960")</f>
      </c>
      <c r="G9288" t="s" s="2">
        <v>17</v>
      </c>
      <c r="H9288" t="s" s="2">
        <v>19</v>
      </c>
      <c r="I9288" t="s" s="2">
        <v>35818</v>
      </c>
      <c r="J9288" t="s" s="2">
        <v>35819</v>
      </c>
      <c r="K9288" t="s" s="2">
        <v>22</v>
      </c>
      <c r="L9288" t="s" s="2">
        <v>22</v>
      </c>
      <c r="M9288" t="s" s="2">
        <v>22</v>
      </c>
    </row>
    <row r="9289" ht="25.0" customHeight="true">
      <c r="A9289" t="s" s="2">
        <v>13</v>
      </c>
      <c r="B9289" t="s" s="2">
        <f>HYPERLINK("http://ts.21cn.com/tousu/show/id/1359958","车速拍平台不退保证金")</f>
      </c>
      <c r="C9289" t="s" s="2">
        <v>15</v>
      </c>
      <c r="D9289" t="s" s="2">
        <v>16</v>
      </c>
      <c r="E9289" t="s" s="2">
        <v>17</v>
      </c>
      <c r="F9289" t="s" s="2">
        <f>HYPERLINK("http://ts.21cn.com/tousu/show/id/1359958","http://ts.21cn.com/tousu/show/id/1359958")</f>
      </c>
      <c r="G9289" t="s" s="2">
        <v>17</v>
      </c>
      <c r="H9289" t="s" s="2">
        <v>19</v>
      </c>
      <c r="I9289" t="s" s="2">
        <v>35822</v>
      </c>
      <c r="J9289" t="s" s="2">
        <v>35823</v>
      </c>
      <c r="K9289" t="s" s="2">
        <v>22</v>
      </c>
      <c r="L9289" t="s" s="2">
        <v>22</v>
      </c>
      <c r="M9289" t="s" s="2">
        <v>22</v>
      </c>
    </row>
    <row r="9290" ht="25.0" customHeight="true">
      <c r="A9290" t="s" s="2">
        <v>13</v>
      </c>
      <c r="B9290" t="s" s="2">
        <f>HYPERLINK("http://ts.21cn.com/tousu/show/id/1359955","关于有间钱庄贷款APP无法还款事宜")</f>
      </c>
      <c r="C9290" t="s" s="2">
        <v>15</v>
      </c>
      <c r="D9290" t="s" s="2">
        <v>16</v>
      </c>
      <c r="E9290" t="s" s="2">
        <v>17</v>
      </c>
      <c r="F9290" t="s" s="2">
        <f>HYPERLINK("http://ts.21cn.com/tousu/show/id/1359955","http://ts.21cn.com/tousu/show/id/1359955")</f>
      </c>
      <c r="G9290" t="s" s="2">
        <v>17</v>
      </c>
      <c r="H9290" t="s" s="2">
        <v>19</v>
      </c>
      <c r="I9290" t="s" s="2">
        <v>35826</v>
      </c>
      <c r="J9290" t="s" s="2">
        <v>35827</v>
      </c>
      <c r="K9290" t="s" s="2">
        <v>22</v>
      </c>
      <c r="L9290" t="s" s="2">
        <v>22</v>
      </c>
      <c r="M9290" t="s" s="2">
        <v>22</v>
      </c>
    </row>
    <row r="9291" ht="25.0" customHeight="true">
      <c r="A9291" t="s" s="2">
        <v>13</v>
      </c>
      <c r="B9291" t="s" s="2">
        <f>HYPERLINK("http://ts.21cn.com/tousu/show/id/1359947","投诉京东卖违规产品")</f>
      </c>
      <c r="C9291" t="s" s="2">
        <v>15</v>
      </c>
      <c r="D9291" t="s" s="2">
        <v>16</v>
      </c>
      <c r="E9291" t="s" s="2">
        <v>17</v>
      </c>
      <c r="F9291" t="s" s="2">
        <f>HYPERLINK("http://ts.21cn.com/tousu/show/id/1359947","http://ts.21cn.com/tousu/show/id/1359947")</f>
      </c>
      <c r="G9291" t="s" s="2">
        <v>17</v>
      </c>
      <c r="H9291" t="s" s="2">
        <v>19</v>
      </c>
      <c r="I9291" t="s" s="2">
        <v>35830</v>
      </c>
      <c r="J9291" t="s" s="2">
        <v>35831</v>
      </c>
      <c r="K9291" t="s" s="2">
        <v>22</v>
      </c>
      <c r="L9291" t="s" s="2">
        <v>22</v>
      </c>
      <c r="M9291" t="s" s="2">
        <v>22</v>
      </c>
    </row>
    <row r="9292" ht="25.0" customHeight="true">
      <c r="A9292" t="s" s="2">
        <v>13</v>
      </c>
      <c r="B9292" t="s" s="2">
        <f>HYPERLINK("http://ts.21cn.com/tousu/show/id/1359944","功夫贷收取高利贷，砍头息")</f>
      </c>
      <c r="C9292" t="s" s="2">
        <v>15</v>
      </c>
      <c r="D9292" t="s" s="2">
        <v>16</v>
      </c>
      <c r="E9292" t="s" s="2">
        <v>17</v>
      </c>
      <c r="F9292" t="s" s="2">
        <f>HYPERLINK("http://ts.21cn.com/tousu/show/id/1359944","http://ts.21cn.com/tousu/show/id/1359944")</f>
      </c>
      <c r="G9292" t="s" s="2">
        <v>17</v>
      </c>
      <c r="H9292" t="s" s="2">
        <v>19</v>
      </c>
      <c r="I9292" t="s" s="2">
        <v>35834</v>
      </c>
      <c r="J9292" t="s" s="2">
        <v>35835</v>
      </c>
      <c r="K9292" t="s" s="2">
        <v>22</v>
      </c>
      <c r="L9292" t="s" s="2">
        <v>22</v>
      </c>
      <c r="M9292" t="s" s="2">
        <v>22</v>
      </c>
    </row>
    <row r="9293" ht="25.0" customHeight="true">
      <c r="A9293" t="s" s="2">
        <v>13</v>
      </c>
      <c r="B9293" t="s" s="2">
        <f>HYPERLINK("http://ts.21cn.com/tousu/show/id/1359942","已还款还提示逾期")</f>
      </c>
      <c r="C9293" t="s" s="2">
        <v>52</v>
      </c>
      <c r="D9293" t="s" s="2">
        <v>16</v>
      </c>
      <c r="E9293" t="s" s="2">
        <v>17</v>
      </c>
      <c r="F9293" t="s" s="2">
        <f>HYPERLINK("http://ts.21cn.com/tousu/show/id/1359942","http://ts.21cn.com/tousu/show/id/1359942")</f>
      </c>
      <c r="G9293" t="s" s="2">
        <v>17</v>
      </c>
      <c r="H9293" t="s" s="2">
        <v>19</v>
      </c>
      <c r="I9293" t="s" s="2">
        <v>35838</v>
      </c>
      <c r="J9293" t="s" s="2">
        <v>35839</v>
      </c>
      <c r="K9293" t="s" s="2">
        <v>22</v>
      </c>
      <c r="L9293" t="s" s="2">
        <v>22</v>
      </c>
      <c r="M9293" t="s" s="2">
        <v>22</v>
      </c>
    </row>
    <row r="9294" ht="25.0" customHeight="true">
      <c r="A9294" t="s" s="2">
        <v>13</v>
      </c>
      <c r="B9294" t="s" s="2">
        <f>HYPERLINK("http://ts.21cn.com/tousu/show/id/1359939","钱站高利贷")</f>
      </c>
      <c r="C9294" t="s" s="2">
        <v>15</v>
      </c>
      <c r="D9294" t="s" s="2">
        <v>16</v>
      </c>
      <c r="E9294" t="s" s="2">
        <v>17</v>
      </c>
      <c r="F9294" t="s" s="2">
        <f>HYPERLINK("http://ts.21cn.com/tousu/show/id/1359939","http://ts.21cn.com/tousu/show/id/1359939")</f>
      </c>
      <c r="G9294" t="s" s="2">
        <v>17</v>
      </c>
      <c r="H9294" t="s" s="2">
        <v>19</v>
      </c>
      <c r="I9294" t="s" s="2">
        <v>35841</v>
      </c>
      <c r="J9294" t="s" s="2">
        <v>35842</v>
      </c>
      <c r="K9294" t="s" s="2">
        <v>22</v>
      </c>
      <c r="L9294" t="s" s="2">
        <v>22</v>
      </c>
      <c r="M9294" t="s" s="2">
        <v>22</v>
      </c>
    </row>
    <row r="9295" ht="25.0" customHeight="true">
      <c r="A9295" t="s" s="2">
        <v>13</v>
      </c>
      <c r="B9295" t="s" s="2">
        <f>HYPERLINK("http://ts.21cn.com/tousu/show/id/1359936","花财app未到还款日扣款")</f>
      </c>
      <c r="C9295" t="s" s="2">
        <v>15</v>
      </c>
      <c r="D9295" t="s" s="2">
        <v>16</v>
      </c>
      <c r="E9295" t="s" s="2">
        <v>17</v>
      </c>
      <c r="F9295" t="s" s="2">
        <f>HYPERLINK("http://ts.21cn.com/tousu/show/id/1359936","http://ts.21cn.com/tousu/show/id/1359936")</f>
      </c>
      <c r="G9295" t="s" s="2">
        <v>17</v>
      </c>
      <c r="H9295" t="s" s="2">
        <v>19</v>
      </c>
      <c r="I9295" t="s" s="2">
        <v>35845</v>
      </c>
      <c r="J9295" t="s" s="2">
        <v>35846</v>
      </c>
      <c r="K9295" t="s" s="2">
        <v>22</v>
      </c>
      <c r="L9295" t="s" s="2">
        <v>22</v>
      </c>
      <c r="M9295" t="s" s="2">
        <v>22</v>
      </c>
    </row>
    <row r="9296" ht="25.0" customHeight="true">
      <c r="A9296" t="s" s="2">
        <v>13</v>
      </c>
      <c r="B9296" t="s" s="2">
        <f>HYPERLINK("http://ts.21cn.com/tousu/show/id/1359933","逾期已还继续催收")</f>
      </c>
      <c r="C9296" t="s" s="2">
        <v>52</v>
      </c>
      <c r="D9296" t="s" s="2">
        <v>16</v>
      </c>
      <c r="E9296" t="s" s="2">
        <v>17</v>
      </c>
      <c r="F9296" t="s" s="2">
        <f>HYPERLINK("http://ts.21cn.com/tousu/show/id/1359933","http://ts.21cn.com/tousu/show/id/1359933")</f>
      </c>
      <c r="G9296" t="s" s="2">
        <v>17</v>
      </c>
      <c r="H9296" t="s" s="2">
        <v>19</v>
      </c>
      <c r="I9296" t="s" s="2">
        <v>35849</v>
      </c>
      <c r="J9296" t="s" s="2">
        <v>35850</v>
      </c>
      <c r="K9296" t="s" s="2">
        <v>22</v>
      </c>
      <c r="L9296" t="s" s="2">
        <v>22</v>
      </c>
      <c r="M9296" t="s" s="2">
        <v>22</v>
      </c>
    </row>
    <row r="9297" ht="25.0" customHeight="true">
      <c r="A9297" t="s" s="2">
        <v>13</v>
      </c>
      <c r="B9297" t="s" s="2">
        <f>HYPERLINK("http://ts.21cn.com/tousu/show/id/1359804","人保贷款暴力催收")</f>
      </c>
      <c r="C9297" t="s" s="2">
        <v>15</v>
      </c>
      <c r="D9297" t="s" s="2">
        <v>16</v>
      </c>
      <c r="E9297" t="s" s="2">
        <v>17</v>
      </c>
      <c r="F9297" t="s" s="2">
        <f>HYPERLINK("http://ts.21cn.com/tousu/show/id/1359804","http://ts.21cn.com/tousu/show/id/1359804")</f>
      </c>
      <c r="G9297" t="s" s="2">
        <v>17</v>
      </c>
      <c r="H9297" t="s" s="2">
        <v>19</v>
      </c>
      <c r="I9297" t="s" s="2">
        <v>35853</v>
      </c>
      <c r="J9297" t="s" s="2">
        <v>35854</v>
      </c>
      <c r="K9297" t="s" s="2">
        <v>22</v>
      </c>
      <c r="L9297" t="s" s="2">
        <v>22</v>
      </c>
      <c r="M9297" t="s" s="2">
        <v>22</v>
      </c>
    </row>
    <row r="9298" ht="25.0" customHeight="true">
      <c r="A9298" t="s" s="2">
        <v>13</v>
      </c>
      <c r="B9298" t="s" s="2">
        <f>HYPERLINK("http://ts.21cn.com/tousu/show/id/1359931","浦发银行暴力催收")</f>
      </c>
      <c r="C9298" t="s" s="2">
        <v>15</v>
      </c>
      <c r="D9298" t="s" s="2">
        <v>16</v>
      </c>
      <c r="E9298" t="s" s="2">
        <v>17</v>
      </c>
      <c r="F9298" t="s" s="2">
        <f>HYPERLINK("http://ts.21cn.com/tousu/show/id/1359931","http://ts.21cn.com/tousu/show/id/1359931")</f>
      </c>
      <c r="G9298" t="s" s="2">
        <v>17</v>
      </c>
      <c r="H9298" t="s" s="2">
        <v>19</v>
      </c>
      <c r="I9298" t="s" s="2">
        <v>35856</v>
      </c>
      <c r="J9298" t="s" s="2">
        <v>35857</v>
      </c>
      <c r="K9298" t="s" s="2">
        <v>22</v>
      </c>
      <c r="L9298" t="s" s="2">
        <v>22</v>
      </c>
      <c r="M9298" t="s" s="2">
        <v>22</v>
      </c>
    </row>
    <row r="9299" ht="25.0" customHeight="true">
      <c r="A9299" t="s" s="2">
        <v>13</v>
      </c>
      <c r="B9299" t="s" s="2">
        <f>HYPERLINK("http://ts.21cn.com/tousu/show/id/1359928","欠钱不还")</f>
      </c>
      <c r="C9299" t="s" s="2">
        <v>15</v>
      </c>
      <c r="D9299" t="s" s="2">
        <v>16</v>
      </c>
      <c r="E9299" t="s" s="2">
        <v>17</v>
      </c>
      <c r="F9299" t="s" s="2">
        <f>HYPERLINK("http://ts.21cn.com/tousu/show/id/1359928","http://ts.21cn.com/tousu/show/id/1359928")</f>
      </c>
      <c r="G9299" t="s" s="2">
        <v>17</v>
      </c>
      <c r="H9299" t="s" s="2">
        <v>19</v>
      </c>
      <c r="I9299" t="s" s="2">
        <v>35860</v>
      </c>
      <c r="J9299" t="s" s="2">
        <v>35861</v>
      </c>
      <c r="K9299" t="s" s="2">
        <v>22</v>
      </c>
      <c r="L9299" t="s" s="2">
        <v>22</v>
      </c>
      <c r="M9299" t="s" s="2">
        <v>22</v>
      </c>
    </row>
    <row r="9300" ht="25.0" customHeight="true">
      <c r="A9300" t="s" s="2">
        <v>13</v>
      </c>
      <c r="B9300" t="s" s="2">
        <f>HYPERLINK("http://ts.21cn.com/tousu/show/id/1359925","闪银瞬瞬暴力催收")</f>
      </c>
      <c r="C9300" t="s" s="2">
        <v>15</v>
      </c>
      <c r="D9300" t="s" s="2">
        <v>16</v>
      </c>
      <c r="E9300" t="s" s="2">
        <v>17</v>
      </c>
      <c r="F9300" t="s" s="2">
        <f>HYPERLINK("http://ts.21cn.com/tousu/show/id/1359925","http://ts.21cn.com/tousu/show/id/1359925")</f>
      </c>
      <c r="G9300" t="s" s="2">
        <v>17</v>
      </c>
      <c r="H9300" t="s" s="2">
        <v>19</v>
      </c>
      <c r="I9300" t="s" s="2">
        <v>35863</v>
      </c>
      <c r="J9300" t="s" s="2">
        <v>35864</v>
      </c>
      <c r="K9300" t="s" s="2">
        <v>22</v>
      </c>
      <c r="L9300" t="s" s="2">
        <v>22</v>
      </c>
      <c r="M9300" t="s" s="2">
        <v>22</v>
      </c>
    </row>
    <row r="9301" ht="25.0" customHeight="true">
      <c r="A9301" t="s" s="2">
        <v>13</v>
      </c>
      <c r="B9301" t="s" s="2">
        <f>HYPERLINK("http://ts.21cn.com/tousu/show/id/1359920","嘀嗒出行不开发票")</f>
      </c>
      <c r="C9301" t="s" s="2">
        <v>15</v>
      </c>
      <c r="D9301" t="s" s="2">
        <v>16</v>
      </c>
      <c r="E9301" t="s" s="2">
        <v>17</v>
      </c>
      <c r="F9301" t="s" s="2">
        <f>HYPERLINK("http://ts.21cn.com/tousu/show/id/1359920","http://ts.21cn.com/tousu/show/id/1359920")</f>
      </c>
      <c r="G9301" t="s" s="2">
        <v>17</v>
      </c>
      <c r="H9301" t="s" s="2">
        <v>19</v>
      </c>
      <c r="I9301" t="s" s="2">
        <v>35867</v>
      </c>
      <c r="J9301" t="s" s="2">
        <v>35868</v>
      </c>
      <c r="K9301" t="s" s="2">
        <v>22</v>
      </c>
      <c r="L9301" t="s" s="2">
        <v>22</v>
      </c>
      <c r="M9301" t="s" s="2">
        <v>22</v>
      </c>
    </row>
    <row r="9302" ht="25.0" customHeight="true">
      <c r="A9302" t="s" s="2">
        <v>13</v>
      </c>
      <c r="B9302" t="s" s="2">
        <f>HYPERLINK("http://ts.21cn.com/tousu/show/id/1359917","减免费用，协商")</f>
      </c>
      <c r="C9302" t="s" s="2">
        <v>15</v>
      </c>
      <c r="D9302" t="s" s="2">
        <v>16</v>
      </c>
      <c r="E9302" t="s" s="2">
        <v>17</v>
      </c>
      <c r="F9302" t="s" s="2">
        <f>HYPERLINK("http://ts.21cn.com/tousu/show/id/1359917","http://ts.21cn.com/tousu/show/id/1359917")</f>
      </c>
      <c r="G9302" t="s" s="2">
        <v>17</v>
      </c>
      <c r="H9302" t="s" s="2">
        <v>19</v>
      </c>
      <c r="I9302" t="s" s="2">
        <v>35871</v>
      </c>
      <c r="J9302" t="s" s="2">
        <v>35872</v>
      </c>
      <c r="K9302" t="s" s="2">
        <v>22</v>
      </c>
      <c r="L9302" t="s" s="2">
        <v>22</v>
      </c>
      <c r="M9302" t="s" s="2">
        <v>22</v>
      </c>
    </row>
    <row r="9303" ht="25.0" customHeight="true">
      <c r="A9303" t="s" s="2">
        <v>13</v>
      </c>
      <c r="B9303" t="s" s="2">
        <f>HYPERLINK("http://ts.21cn.com/tousu/show/id/1359914","误点借款，想要退款，不给退")</f>
      </c>
      <c r="C9303" t="s" s="2">
        <v>15</v>
      </c>
      <c r="D9303" t="s" s="2">
        <v>16</v>
      </c>
      <c r="E9303" t="s" s="2">
        <v>17</v>
      </c>
      <c r="F9303" t="s" s="2">
        <f>HYPERLINK("http://ts.21cn.com/tousu/show/id/1359914","http://ts.21cn.com/tousu/show/id/1359914")</f>
      </c>
      <c r="G9303" t="s" s="2">
        <v>17</v>
      </c>
      <c r="H9303" t="s" s="2">
        <v>19</v>
      </c>
      <c r="I9303" t="s" s="2">
        <v>35875</v>
      </c>
      <c r="J9303" t="s" s="2">
        <v>35876</v>
      </c>
      <c r="K9303" t="s" s="2">
        <v>22</v>
      </c>
      <c r="L9303" t="s" s="2">
        <v>22</v>
      </c>
      <c r="M9303" t="s" s="2">
        <v>22</v>
      </c>
    </row>
    <row r="9304" ht="25.0" customHeight="true">
      <c r="A9304" t="s" s="2">
        <v>13</v>
      </c>
      <c r="B9304" t="s" s="2">
        <f>HYPERLINK("http://ts.21cn.com/tousu/show/id/1359894","信用管家APP神马借高额砍头息无理逾期费用")</f>
      </c>
      <c r="C9304" t="s" s="2">
        <v>15</v>
      </c>
      <c r="D9304" t="s" s="2">
        <v>16</v>
      </c>
      <c r="E9304" t="s" s="2">
        <v>17</v>
      </c>
      <c r="F9304" t="s" s="2">
        <f>HYPERLINK("http://ts.21cn.com/tousu/show/id/1359894","http://ts.21cn.com/tousu/show/id/1359894")</f>
      </c>
      <c r="G9304" t="s" s="2">
        <v>17</v>
      </c>
      <c r="H9304" t="s" s="2">
        <v>19</v>
      </c>
      <c r="I9304" t="s" s="2">
        <v>35879</v>
      </c>
      <c r="J9304" t="s" s="2">
        <v>35880</v>
      </c>
      <c r="K9304" t="s" s="2">
        <v>22</v>
      </c>
      <c r="L9304" t="s" s="2">
        <v>22</v>
      </c>
      <c r="M9304" t="s" s="2">
        <v>22</v>
      </c>
    </row>
    <row r="9305" ht="25.0" customHeight="true">
      <c r="A9305" t="s" s="2">
        <v>13</v>
      </c>
      <c r="B9305" t="s" s="2">
        <f>HYPERLINK("http://ts.21cn.com/tousu/show/id/1359911","霸王条款")</f>
      </c>
      <c r="C9305" t="s" s="2">
        <v>15</v>
      </c>
      <c r="D9305" t="s" s="2">
        <v>16</v>
      </c>
      <c r="E9305" t="s" s="2">
        <v>17</v>
      </c>
      <c r="F9305" t="s" s="2">
        <f>HYPERLINK("http://ts.21cn.com/tousu/show/id/1359911","http://ts.21cn.com/tousu/show/id/1359911")</f>
      </c>
      <c r="G9305" t="s" s="2">
        <v>17</v>
      </c>
      <c r="H9305" t="s" s="2">
        <v>19</v>
      </c>
      <c r="I9305" t="s" s="2">
        <v>35883</v>
      </c>
      <c r="J9305" t="s" s="2">
        <v>35884</v>
      </c>
      <c r="K9305" t="s" s="2">
        <v>22</v>
      </c>
      <c r="L9305" t="s" s="2">
        <v>22</v>
      </c>
      <c r="M9305" t="s" s="2">
        <v>22</v>
      </c>
    </row>
    <row r="9306" ht="25.0" customHeight="true">
      <c r="A9306" t="s" s="2">
        <v>13</v>
      </c>
      <c r="B9306" t="s" s="2">
        <f>HYPERLINK("http://ts.21cn.com/tousu/show/id/1359906","小黑鲨打电话给我以前上班的公司")</f>
      </c>
      <c r="C9306" t="s" s="2">
        <v>15</v>
      </c>
      <c r="D9306" t="s" s="2">
        <v>16</v>
      </c>
      <c r="E9306" t="s" s="2">
        <v>17</v>
      </c>
      <c r="F9306" t="s" s="2">
        <f>HYPERLINK("http://ts.21cn.com/tousu/show/id/1359906","http://ts.21cn.com/tousu/show/id/1359906")</f>
      </c>
      <c r="G9306" t="s" s="2">
        <v>17</v>
      </c>
      <c r="H9306" t="s" s="2">
        <v>19</v>
      </c>
      <c r="I9306" t="s" s="2">
        <v>35887</v>
      </c>
      <c r="J9306" t="s" s="2">
        <v>35888</v>
      </c>
      <c r="K9306" t="s" s="2">
        <v>22</v>
      </c>
      <c r="L9306" t="s" s="2">
        <v>22</v>
      </c>
      <c r="M9306" t="s" s="2">
        <v>22</v>
      </c>
    </row>
    <row r="9307" ht="25.0" customHeight="true">
      <c r="A9307" t="s" s="2">
        <v>13</v>
      </c>
      <c r="B9307" t="s" s="2">
        <f>HYPERLINK("http://ts.21cn.com/tousu/show/id/1359903","闪银闪豆高利贷砍头息")</f>
      </c>
      <c r="C9307" t="s" s="2">
        <v>15</v>
      </c>
      <c r="D9307" t="s" s="2">
        <v>16</v>
      </c>
      <c r="E9307" t="s" s="2">
        <v>17</v>
      </c>
      <c r="F9307" t="s" s="2">
        <f>HYPERLINK("http://ts.21cn.com/tousu/show/id/1359903","http://ts.21cn.com/tousu/show/id/1359903")</f>
      </c>
      <c r="G9307" t="s" s="2">
        <v>17</v>
      </c>
      <c r="H9307" t="s" s="2">
        <v>19</v>
      </c>
      <c r="I9307" t="s" s="2">
        <v>35891</v>
      </c>
      <c r="J9307" t="s" s="2">
        <v>35892</v>
      </c>
      <c r="K9307" t="s" s="2">
        <v>22</v>
      </c>
      <c r="L9307" t="s" s="2">
        <v>22</v>
      </c>
      <c r="M9307" t="s" s="2">
        <v>22</v>
      </c>
    </row>
    <row r="9308" ht="25.0" customHeight="true">
      <c r="A9308" t="s" s="2">
        <v>13</v>
      </c>
      <c r="B9308" t="s" s="2">
        <f>HYPERLINK("http://ts.21cn.com/tousu/show/id/1359898","威胁朋友家人")</f>
      </c>
      <c r="C9308" t="s" s="2">
        <v>15</v>
      </c>
      <c r="D9308" t="s" s="2">
        <v>16</v>
      </c>
      <c r="E9308" t="s" s="2">
        <v>17</v>
      </c>
      <c r="F9308" t="s" s="2">
        <f>HYPERLINK("http://ts.21cn.com/tousu/show/id/1359898","http://ts.21cn.com/tousu/show/id/1359898")</f>
      </c>
      <c r="G9308" t="s" s="2">
        <v>17</v>
      </c>
      <c r="H9308" t="s" s="2">
        <v>19</v>
      </c>
      <c r="I9308" t="s" s="2">
        <v>35895</v>
      </c>
      <c r="J9308" t="s" s="2">
        <v>35896</v>
      </c>
      <c r="K9308" t="s" s="2">
        <v>22</v>
      </c>
      <c r="L9308" t="s" s="2">
        <v>22</v>
      </c>
      <c r="M9308" t="s" s="2">
        <v>22</v>
      </c>
    </row>
    <row r="9309" ht="25.0" customHeight="true">
      <c r="A9309" t="s" s="2">
        <v>13</v>
      </c>
      <c r="B9309" t="s" s="2">
        <f>HYPERLINK("http://ts.21cn.com/tousu/show/id/1359891","支付宝结清证明")</f>
      </c>
      <c r="C9309" t="s" s="2">
        <v>15</v>
      </c>
      <c r="D9309" t="s" s="2">
        <v>16</v>
      </c>
      <c r="E9309" t="s" s="2">
        <v>17</v>
      </c>
      <c r="F9309" t="s" s="2">
        <f>HYPERLINK("http://ts.21cn.com/tousu/show/id/1359891","http://ts.21cn.com/tousu/show/id/1359891")</f>
      </c>
      <c r="G9309" t="s" s="2">
        <v>17</v>
      </c>
      <c r="H9309" t="s" s="2">
        <v>19</v>
      </c>
      <c r="I9309" t="s" s="2">
        <v>35899</v>
      </c>
      <c r="J9309" t="s" s="2">
        <v>35900</v>
      </c>
      <c r="K9309" t="s" s="2">
        <v>22</v>
      </c>
      <c r="L9309" t="s" s="2">
        <v>22</v>
      </c>
      <c r="M9309" t="s" s="2">
        <v>22</v>
      </c>
    </row>
    <row r="9310" ht="25.0" customHeight="true">
      <c r="A9310" t="s" s="2">
        <v>13</v>
      </c>
      <c r="B9310" t="s" s="2">
        <f>HYPERLINK("http://ts.21cn.com/tousu/show/id/1359889","宜人贷频繁骚扰电话")</f>
      </c>
      <c r="C9310" t="s" s="2">
        <v>15</v>
      </c>
      <c r="D9310" t="s" s="2">
        <v>16</v>
      </c>
      <c r="E9310" t="s" s="2">
        <v>17</v>
      </c>
      <c r="F9310" t="s" s="2">
        <f>HYPERLINK("http://ts.21cn.com/tousu/show/id/1359889","http://ts.21cn.com/tousu/show/id/1359889")</f>
      </c>
      <c r="G9310" t="s" s="2">
        <v>17</v>
      </c>
      <c r="H9310" t="s" s="2">
        <v>19</v>
      </c>
      <c r="I9310" t="s" s="2">
        <v>35903</v>
      </c>
      <c r="J9310" t="s" s="2">
        <v>35904</v>
      </c>
      <c r="K9310" t="s" s="2">
        <v>22</v>
      </c>
      <c r="L9310" t="s" s="2">
        <v>22</v>
      </c>
      <c r="M9310" t="s" s="2">
        <v>22</v>
      </c>
    </row>
    <row r="9311" ht="25.0" customHeight="true">
      <c r="A9311" t="s" s="2">
        <v>13</v>
      </c>
      <c r="B9311" t="s" s="2">
        <f>HYPERLINK("http://ts.21cn.com/tousu/show/id/1359887","态度恶劣，暴力催收，威胁恐吓")</f>
      </c>
      <c r="C9311" t="s" s="2">
        <v>15</v>
      </c>
      <c r="D9311" t="s" s="2">
        <v>16</v>
      </c>
      <c r="E9311" t="s" s="2">
        <v>17</v>
      </c>
      <c r="F9311" t="s" s="2">
        <f>HYPERLINK("http://ts.21cn.com/tousu/show/id/1359887","http://ts.21cn.com/tousu/show/id/1359887")</f>
      </c>
      <c r="G9311" t="s" s="2">
        <v>17</v>
      </c>
      <c r="H9311" t="s" s="2">
        <v>19</v>
      </c>
      <c r="I9311" t="s" s="2">
        <v>35907</v>
      </c>
      <c r="J9311" t="s" s="2">
        <v>35908</v>
      </c>
      <c r="K9311" t="s" s="2">
        <v>22</v>
      </c>
      <c r="L9311" t="s" s="2">
        <v>22</v>
      </c>
      <c r="M9311" t="s" s="2">
        <v>22</v>
      </c>
    </row>
    <row r="9312" ht="25.0" customHeight="true">
      <c r="A9312" t="s" s="2">
        <v>13</v>
      </c>
      <c r="B9312" t="s" s="2">
        <f>HYPERLINK("http://ts.21cn.com/tousu/show/id/1359880","宜信普惠高额砍头息")</f>
      </c>
      <c r="C9312" t="s" s="2">
        <v>52</v>
      </c>
      <c r="D9312" t="s" s="2">
        <v>16</v>
      </c>
      <c r="E9312" t="s" s="2">
        <v>17</v>
      </c>
      <c r="F9312" t="s" s="2">
        <f>HYPERLINK("http://ts.21cn.com/tousu/show/id/1359880","http://ts.21cn.com/tousu/show/id/1359880")</f>
      </c>
      <c r="G9312" t="s" s="2">
        <v>17</v>
      </c>
      <c r="H9312" t="s" s="2">
        <v>19</v>
      </c>
      <c r="I9312" t="s" s="2">
        <v>35911</v>
      </c>
      <c r="J9312" t="s" s="2">
        <v>35912</v>
      </c>
      <c r="K9312" t="s" s="2">
        <v>22</v>
      </c>
      <c r="L9312" t="s" s="2">
        <v>22</v>
      </c>
      <c r="M9312" t="s" s="2">
        <v>22</v>
      </c>
    </row>
    <row r="9313" ht="25.0" customHeight="true">
      <c r="A9313" t="s" s="2">
        <v>13</v>
      </c>
      <c r="B9313" t="s" s="2">
        <f>HYPERLINK("http://ts.21cn.com/tousu/show/id/1359883","闪银哼哼逾期不给开延期，威胁爆通讯录")</f>
      </c>
      <c r="C9313" t="s" s="2">
        <v>15</v>
      </c>
      <c r="D9313" t="s" s="2">
        <v>16</v>
      </c>
      <c r="E9313" t="s" s="2">
        <v>17</v>
      </c>
      <c r="F9313" t="s" s="2">
        <f>HYPERLINK("http://ts.21cn.com/tousu/show/id/1359883","http://ts.21cn.com/tousu/show/id/1359883")</f>
      </c>
      <c r="G9313" t="s" s="2">
        <v>17</v>
      </c>
      <c r="H9313" t="s" s="2">
        <v>19</v>
      </c>
      <c r="I9313" t="s" s="2">
        <v>35915</v>
      </c>
      <c r="J9313" t="s" s="2">
        <v>35916</v>
      </c>
      <c r="K9313" t="s" s="2">
        <v>22</v>
      </c>
      <c r="L9313" t="s" s="2">
        <v>22</v>
      </c>
      <c r="M9313" t="s" s="2">
        <v>22</v>
      </c>
    </row>
    <row r="9314" ht="25.0" customHeight="true">
      <c r="A9314" t="s" s="2">
        <v>13</v>
      </c>
      <c r="B9314" t="s" s="2">
        <f>HYPERLINK("http://ts.21cn.com/tousu/show/id/1359878","投诉立刻出行不退押金")</f>
      </c>
      <c r="C9314" t="s" s="2">
        <v>15</v>
      </c>
      <c r="D9314" t="s" s="2">
        <v>16</v>
      </c>
      <c r="E9314" t="s" s="2">
        <v>17</v>
      </c>
      <c r="F9314" t="s" s="2">
        <f>HYPERLINK("http://ts.21cn.com/tousu/show/id/1359878","http://ts.21cn.com/tousu/show/id/1359878")</f>
      </c>
      <c r="G9314" t="s" s="2">
        <v>17</v>
      </c>
      <c r="H9314" t="s" s="2">
        <v>19</v>
      </c>
      <c r="I9314" t="s" s="2">
        <v>35919</v>
      </c>
      <c r="J9314" t="s" s="2">
        <v>35920</v>
      </c>
      <c r="K9314" t="s" s="2">
        <v>22</v>
      </c>
      <c r="L9314" t="s" s="2">
        <v>22</v>
      </c>
      <c r="M9314" t="s" s="2">
        <v>22</v>
      </c>
    </row>
    <row r="9315" ht="25.0" customHeight="true">
      <c r="A9315" t="s" s="2">
        <v>13</v>
      </c>
      <c r="B9315" t="s" s="2">
        <f>HYPERLINK("http://ts.21cn.com/tousu/show/id/1359876","请求协商")</f>
      </c>
      <c r="C9315" t="s" s="2">
        <v>52</v>
      </c>
      <c r="D9315" t="s" s="2">
        <v>16</v>
      </c>
      <c r="E9315" t="s" s="2">
        <v>17</v>
      </c>
      <c r="F9315" t="s" s="2">
        <f>HYPERLINK("http://ts.21cn.com/tousu/show/id/1359876","http://ts.21cn.com/tousu/show/id/1359876")</f>
      </c>
      <c r="G9315" t="s" s="2">
        <v>17</v>
      </c>
      <c r="H9315" t="s" s="2">
        <v>19</v>
      </c>
      <c r="I9315" t="s" s="2">
        <v>35922</v>
      </c>
      <c r="J9315" t="s" s="2">
        <v>35923</v>
      </c>
      <c r="K9315" t="s" s="2">
        <v>22</v>
      </c>
      <c r="L9315" t="s" s="2">
        <v>22</v>
      </c>
      <c r="M9315" t="s" s="2">
        <v>22</v>
      </c>
    </row>
    <row r="9316" ht="25.0" customHeight="true">
      <c r="A9316" t="s" s="2">
        <v>13</v>
      </c>
      <c r="B9316" t="s" s="2">
        <f>HYPERLINK("http://ts.21cn.com/tousu/show/id/1359872","骚乱通讯录恶意中伤群发起诉短信")</f>
      </c>
      <c r="C9316" t="s" s="2">
        <v>15</v>
      </c>
      <c r="D9316" t="s" s="2">
        <v>16</v>
      </c>
      <c r="E9316" t="s" s="2">
        <v>17</v>
      </c>
      <c r="F9316" t="s" s="2">
        <f>HYPERLINK("http://ts.21cn.com/tousu/show/id/1359872","http://ts.21cn.com/tousu/show/id/1359872")</f>
      </c>
      <c r="G9316" t="s" s="2">
        <v>17</v>
      </c>
      <c r="H9316" t="s" s="2">
        <v>19</v>
      </c>
      <c r="I9316" t="s" s="2">
        <v>35926</v>
      </c>
      <c r="J9316" t="s" s="2">
        <v>35927</v>
      </c>
      <c r="K9316" t="s" s="2">
        <v>22</v>
      </c>
      <c r="L9316" t="s" s="2">
        <v>22</v>
      </c>
      <c r="M9316" t="s" s="2">
        <v>22</v>
      </c>
    </row>
    <row r="9317" ht="25.0" customHeight="true">
      <c r="A9317" t="s" s="2">
        <v>13</v>
      </c>
      <c r="B9317" t="s" s="2">
        <f>HYPERLINK("http://ts.21cn.com/tousu/show/id/1359867","返现宝高利贷，要求本金销账")</f>
      </c>
      <c r="C9317" t="s" s="2">
        <v>15</v>
      </c>
      <c r="D9317" t="s" s="2">
        <v>16</v>
      </c>
      <c r="E9317" t="s" s="2">
        <v>17</v>
      </c>
      <c r="F9317" t="s" s="2">
        <f>HYPERLINK("http://ts.21cn.com/tousu/show/id/1359867","http://ts.21cn.com/tousu/show/id/1359867")</f>
      </c>
      <c r="G9317" t="s" s="2">
        <v>17</v>
      </c>
      <c r="H9317" t="s" s="2">
        <v>19</v>
      </c>
      <c r="I9317" t="s" s="2">
        <v>35930</v>
      </c>
      <c r="J9317" t="s" s="2">
        <v>35931</v>
      </c>
      <c r="K9317" t="s" s="2">
        <v>22</v>
      </c>
      <c r="L9317" t="s" s="2">
        <v>22</v>
      </c>
      <c r="M9317" t="s" s="2">
        <v>22</v>
      </c>
    </row>
    <row r="9318" ht="25.0" customHeight="true">
      <c r="A9318" t="s" s="2">
        <v>13</v>
      </c>
      <c r="B9318" t="s" s="2">
        <f>HYPERLINK("http://ts.21cn.com/tousu/show/id/1359865","招商银行第三方催收严重骚扰")</f>
      </c>
      <c r="C9318" t="s" s="2">
        <v>15</v>
      </c>
      <c r="D9318" t="s" s="2">
        <v>16</v>
      </c>
      <c r="E9318" t="s" s="2">
        <v>17</v>
      </c>
      <c r="F9318" t="s" s="2">
        <f>HYPERLINK("http://ts.21cn.com/tousu/show/id/1359865","http://ts.21cn.com/tousu/show/id/1359865")</f>
      </c>
      <c r="G9318" t="s" s="2">
        <v>17</v>
      </c>
      <c r="H9318" t="s" s="2">
        <v>19</v>
      </c>
      <c r="I9318" t="s" s="2">
        <v>35934</v>
      </c>
      <c r="J9318" t="s" s="2">
        <v>35935</v>
      </c>
      <c r="K9318" t="s" s="2">
        <v>22</v>
      </c>
      <c r="L9318" t="s" s="2">
        <v>22</v>
      </c>
      <c r="M9318" t="s" s="2">
        <v>22</v>
      </c>
    </row>
    <row r="9319" ht="25.0" customHeight="true">
      <c r="A9319" t="s" s="2">
        <v>13</v>
      </c>
      <c r="B9319" t="s" s="2">
        <f>HYPERLINK("http://ts.21cn.com/tousu/show/id/1359859","时光分期暴力催收")</f>
      </c>
      <c r="C9319" t="s" s="2">
        <v>15</v>
      </c>
      <c r="D9319" t="s" s="2">
        <v>16</v>
      </c>
      <c r="E9319" t="s" s="2">
        <v>17</v>
      </c>
      <c r="F9319" t="s" s="2">
        <f>HYPERLINK("http://ts.21cn.com/tousu/show/id/1359859","http://ts.21cn.com/tousu/show/id/1359859")</f>
      </c>
      <c r="G9319" t="s" s="2">
        <v>17</v>
      </c>
      <c r="H9319" t="s" s="2">
        <v>19</v>
      </c>
      <c r="I9319" t="s" s="2">
        <v>35938</v>
      </c>
      <c r="J9319" t="s" s="2">
        <v>35939</v>
      </c>
      <c r="K9319" t="s" s="2">
        <v>22</v>
      </c>
      <c r="L9319" t="s" s="2">
        <v>22</v>
      </c>
      <c r="M9319" t="s" s="2">
        <v>22</v>
      </c>
    </row>
    <row r="9320" ht="25.0" customHeight="true">
      <c r="A9320" t="s" s="2">
        <v>13</v>
      </c>
      <c r="B9320" t="s" s="2">
        <f>HYPERLINK("http://ts.21cn.com/tousu/show/id/1359854","京东上买的螃蟹严重缺斤少两，实物与标注不符，欺诈消费者")</f>
      </c>
      <c r="C9320" t="s" s="2">
        <v>15</v>
      </c>
      <c r="D9320" t="s" s="2">
        <v>16</v>
      </c>
      <c r="E9320" t="s" s="2">
        <v>17</v>
      </c>
      <c r="F9320" t="s" s="2">
        <f>HYPERLINK("http://ts.21cn.com/tousu/show/id/1359854","http://ts.21cn.com/tousu/show/id/1359854")</f>
      </c>
      <c r="G9320" t="s" s="2">
        <v>17</v>
      </c>
      <c r="H9320" t="s" s="2">
        <v>19</v>
      </c>
      <c r="I9320" t="s" s="2">
        <v>35942</v>
      </c>
      <c r="J9320" t="s" s="2">
        <v>35943</v>
      </c>
      <c r="K9320" t="s" s="2">
        <v>22</v>
      </c>
      <c r="L9320" t="s" s="2">
        <v>22</v>
      </c>
      <c r="M9320" t="s" s="2">
        <v>22</v>
      </c>
    </row>
    <row r="9321" ht="25.0" customHeight="true">
      <c r="A9321" t="s" s="2">
        <v>13</v>
      </c>
      <c r="B9321" t="s" s="2">
        <f>HYPERLINK("http://ts.21cn.com/tousu/show/id/1359850","买了会员卡下款失败")</f>
      </c>
      <c r="C9321" t="s" s="2">
        <v>15</v>
      </c>
      <c r="D9321" t="s" s="2">
        <v>16</v>
      </c>
      <c r="E9321" t="s" s="2">
        <v>17</v>
      </c>
      <c r="F9321" t="s" s="2">
        <f>HYPERLINK("http://ts.21cn.com/tousu/show/id/1359850","http://ts.21cn.com/tousu/show/id/1359850")</f>
      </c>
      <c r="G9321" t="s" s="2">
        <v>17</v>
      </c>
      <c r="H9321" t="s" s="2">
        <v>19</v>
      </c>
      <c r="I9321" t="s" s="2">
        <v>35946</v>
      </c>
      <c r="J9321" t="s" s="2">
        <v>35947</v>
      </c>
      <c r="K9321" t="s" s="2">
        <v>22</v>
      </c>
      <c r="L9321" t="s" s="2">
        <v>22</v>
      </c>
      <c r="M9321" t="s" s="2">
        <v>22</v>
      </c>
    </row>
    <row r="9322" ht="25.0" customHeight="true">
      <c r="A9322" t="s" s="2">
        <v>13</v>
      </c>
      <c r="B9322" t="s" s="2">
        <f>HYPERLINK("http://ts.21cn.com/tousu/show/id/1359848","信用钱包利息超标")</f>
      </c>
      <c r="C9322" t="s" s="2">
        <v>15</v>
      </c>
      <c r="D9322" t="s" s="2">
        <v>16</v>
      </c>
      <c r="E9322" t="s" s="2">
        <v>17</v>
      </c>
      <c r="F9322" t="s" s="2">
        <f>HYPERLINK("http://ts.21cn.com/tousu/show/id/1359848","http://ts.21cn.com/tousu/show/id/1359848")</f>
      </c>
      <c r="G9322" t="s" s="2">
        <v>17</v>
      </c>
      <c r="H9322" t="s" s="2">
        <v>19</v>
      </c>
      <c r="I9322" t="s" s="2">
        <v>35950</v>
      </c>
      <c r="J9322" t="s" s="2">
        <v>35951</v>
      </c>
      <c r="K9322" t="s" s="2">
        <v>22</v>
      </c>
      <c r="L9322" t="s" s="2">
        <v>22</v>
      </c>
      <c r="M9322" t="s" s="2">
        <v>22</v>
      </c>
    </row>
    <row r="9323" ht="25.0" customHeight="true">
      <c r="A9323" t="s" s="2">
        <v>13</v>
      </c>
      <c r="B9323" t="s" s="2">
        <f>HYPERLINK("http://ts.21cn.com/tousu/show/id/1359845","拍拍贷爆通讯录")</f>
      </c>
      <c r="C9323" t="s" s="2">
        <v>15</v>
      </c>
      <c r="D9323" t="s" s="2">
        <v>16</v>
      </c>
      <c r="E9323" t="s" s="2">
        <v>17</v>
      </c>
      <c r="F9323" t="s" s="2">
        <f>HYPERLINK("http://ts.21cn.com/tousu/show/id/1359845","http://ts.21cn.com/tousu/show/id/1359845")</f>
      </c>
      <c r="G9323" t="s" s="2">
        <v>17</v>
      </c>
      <c r="H9323" t="s" s="2">
        <v>19</v>
      </c>
      <c r="I9323" t="s" s="2">
        <v>35953</v>
      </c>
      <c r="J9323" t="s" s="2">
        <v>35954</v>
      </c>
      <c r="K9323" t="s" s="2">
        <v>22</v>
      </c>
      <c r="L9323" t="s" s="2">
        <v>22</v>
      </c>
      <c r="M9323" t="s" s="2">
        <v>22</v>
      </c>
    </row>
    <row r="9324" ht="25.0" customHeight="true">
      <c r="A9324" t="s" s="2">
        <v>13</v>
      </c>
      <c r="B9324" t="s" s="2">
        <f>HYPERLINK("http://ts.21cn.com/tousu/show/id/1359843","玖富万卡服务费")</f>
      </c>
      <c r="C9324" t="s" s="2">
        <v>15</v>
      </c>
      <c r="D9324" t="s" s="2">
        <v>16</v>
      </c>
      <c r="E9324" t="s" s="2">
        <v>17</v>
      </c>
      <c r="F9324" t="s" s="2">
        <f>HYPERLINK("http://ts.21cn.com/tousu/show/id/1359843","http://ts.21cn.com/tousu/show/id/1359843")</f>
      </c>
      <c r="G9324" t="s" s="2">
        <v>17</v>
      </c>
      <c r="H9324" t="s" s="2">
        <v>19</v>
      </c>
      <c r="I9324" t="s" s="2">
        <v>35957</v>
      </c>
      <c r="J9324" t="s" s="2">
        <v>35958</v>
      </c>
      <c r="K9324" t="s" s="2">
        <v>22</v>
      </c>
      <c r="L9324" t="s" s="2">
        <v>22</v>
      </c>
      <c r="M9324" t="s" s="2">
        <v>22</v>
      </c>
    </row>
    <row r="9325" ht="25.0" customHeight="true">
      <c r="A9325" t="s" s="2">
        <v>13</v>
      </c>
      <c r="B9325" t="s" s="2">
        <f>HYPERLINK("http://ts.21cn.com/tousu/show/id/1359841","钱易满高额砍头息")</f>
      </c>
      <c r="C9325" t="s" s="2">
        <v>15</v>
      </c>
      <c r="D9325" t="s" s="2">
        <v>16</v>
      </c>
      <c r="E9325" t="s" s="2">
        <v>17</v>
      </c>
      <c r="F9325" t="s" s="2">
        <f>HYPERLINK("http://ts.21cn.com/tousu/show/id/1359841","http://ts.21cn.com/tousu/show/id/1359841")</f>
      </c>
      <c r="G9325" t="s" s="2">
        <v>17</v>
      </c>
      <c r="H9325" t="s" s="2">
        <v>19</v>
      </c>
      <c r="I9325" t="s" s="2">
        <v>35961</v>
      </c>
      <c r="J9325" t="s" s="2">
        <v>35962</v>
      </c>
      <c r="K9325" t="s" s="2">
        <v>22</v>
      </c>
      <c r="L9325" t="s" s="2">
        <v>22</v>
      </c>
      <c r="M9325" t="s" s="2">
        <v>22</v>
      </c>
    </row>
    <row r="9326" ht="25.0" customHeight="true">
      <c r="A9326" t="s" s="2">
        <v>13</v>
      </c>
      <c r="B9326" t="s" s="2">
        <f>HYPERLINK("http://ts.21cn.com/tousu/show/id/1359837","支付宝客服不作为")</f>
      </c>
      <c r="C9326" t="s" s="2">
        <v>15</v>
      </c>
      <c r="D9326" t="s" s="2">
        <v>16</v>
      </c>
      <c r="E9326" t="s" s="2">
        <v>17</v>
      </c>
      <c r="F9326" t="s" s="2">
        <f>HYPERLINK("http://ts.21cn.com/tousu/show/id/1359837","http://ts.21cn.com/tousu/show/id/1359837")</f>
      </c>
      <c r="G9326" t="s" s="2">
        <v>17</v>
      </c>
      <c r="H9326" t="s" s="2">
        <v>19</v>
      </c>
      <c r="I9326" t="s" s="2">
        <v>35965</v>
      </c>
      <c r="J9326" t="s" s="2">
        <v>35966</v>
      </c>
      <c r="K9326" t="s" s="2">
        <v>22</v>
      </c>
      <c r="L9326" t="s" s="2">
        <v>22</v>
      </c>
      <c r="M9326" t="s" s="2">
        <v>22</v>
      </c>
    </row>
    <row r="9327" ht="25.0" customHeight="true">
      <c r="A9327" t="s" s="2">
        <v>13</v>
      </c>
      <c r="B9327" t="s" s="2">
        <f>HYPERLINK("http://ts.21cn.com/tousu/show/id/1359834","钱置宝高利率砍头息")</f>
      </c>
      <c r="C9327" t="s" s="2">
        <v>52</v>
      </c>
      <c r="D9327" t="s" s="2">
        <v>16</v>
      </c>
      <c r="E9327" t="s" s="2">
        <v>17</v>
      </c>
      <c r="F9327" t="s" s="2">
        <f>HYPERLINK("http://ts.21cn.com/tousu/show/id/1359834","http://ts.21cn.com/tousu/show/id/1359834")</f>
      </c>
      <c r="G9327" t="s" s="2">
        <v>17</v>
      </c>
      <c r="H9327" t="s" s="2">
        <v>19</v>
      </c>
      <c r="I9327" t="s" s="2">
        <v>35969</v>
      </c>
      <c r="J9327" t="s" s="2">
        <v>35970</v>
      </c>
      <c r="K9327" t="s" s="2">
        <v>22</v>
      </c>
      <c r="L9327" t="s" s="2">
        <v>22</v>
      </c>
      <c r="M9327" t="s" s="2">
        <v>22</v>
      </c>
    </row>
    <row r="9328" ht="25.0" customHeight="true">
      <c r="A9328" t="s" s="2">
        <v>13</v>
      </c>
      <c r="B9328" t="s" s="2">
        <f>HYPERLINK("http://ts.21cn.com/tousu/show/id/1359832","暴力催收恐吓")</f>
      </c>
      <c r="C9328" t="s" s="2">
        <v>15</v>
      </c>
      <c r="D9328" t="s" s="2">
        <v>16</v>
      </c>
      <c r="E9328" t="s" s="2">
        <v>17</v>
      </c>
      <c r="F9328" t="s" s="2">
        <f>HYPERLINK("http://ts.21cn.com/tousu/show/id/1359832","http://ts.21cn.com/tousu/show/id/1359832")</f>
      </c>
      <c r="G9328" t="s" s="2">
        <v>17</v>
      </c>
      <c r="H9328" t="s" s="2">
        <v>19</v>
      </c>
      <c r="I9328" t="s" s="2">
        <v>35973</v>
      </c>
      <c r="J9328" t="s" s="2">
        <v>35974</v>
      </c>
      <c r="K9328" t="s" s="2">
        <v>22</v>
      </c>
      <c r="L9328" t="s" s="2">
        <v>22</v>
      </c>
      <c r="M9328" t="s" s="2">
        <v>22</v>
      </c>
    </row>
    <row r="9329" ht="25.0" customHeight="true">
      <c r="A9329" t="s" s="2">
        <v>13</v>
      </c>
      <c r="B9329" t="s" s="2">
        <f>HYPERLINK("http://ts.21cn.com/tousu/show/id/1359829","淘钱钱高利贷")</f>
      </c>
      <c r="C9329" t="s" s="2">
        <v>15</v>
      </c>
      <c r="D9329" t="s" s="2">
        <v>16</v>
      </c>
      <c r="E9329" t="s" s="2">
        <v>17</v>
      </c>
      <c r="F9329" t="s" s="2">
        <f>HYPERLINK("http://ts.21cn.com/tousu/show/id/1359829","http://ts.21cn.com/tousu/show/id/1359829")</f>
      </c>
      <c r="G9329" t="s" s="2">
        <v>17</v>
      </c>
      <c r="H9329" t="s" s="2">
        <v>19</v>
      </c>
      <c r="I9329" t="s" s="2">
        <v>35977</v>
      </c>
      <c r="J9329" t="s" s="2">
        <v>35978</v>
      </c>
      <c r="K9329" t="s" s="2">
        <v>22</v>
      </c>
      <c r="L9329" t="s" s="2">
        <v>22</v>
      </c>
      <c r="M9329" t="s" s="2">
        <v>22</v>
      </c>
    </row>
    <row r="9330" ht="25.0" customHeight="true">
      <c r="A9330" t="s" s="2">
        <v>13</v>
      </c>
      <c r="B9330" t="s" s="2">
        <f>HYPERLINK("http://ts.21cn.com/tousu/show/id/1358909","看到抖音广告说加老师微信可以祛斑，花费11146元，说能祛斑，结果购买产品使用后无效果斑还变多了")</f>
      </c>
      <c r="C9330" t="s" s="2">
        <v>52</v>
      </c>
      <c r="D9330" t="s" s="2">
        <v>16</v>
      </c>
      <c r="E9330" t="s" s="2">
        <v>17</v>
      </c>
      <c r="F9330" t="s" s="2">
        <f>HYPERLINK("http://ts.21cn.com/tousu/show/id/1358909","http://ts.21cn.com/tousu/show/id/1358909")</f>
      </c>
      <c r="G9330" t="s" s="2">
        <v>17</v>
      </c>
      <c r="H9330" t="s" s="2">
        <v>19</v>
      </c>
      <c r="I9330" t="s" s="2">
        <v>35981</v>
      </c>
      <c r="J9330" t="s" s="2">
        <v>35982</v>
      </c>
      <c r="K9330" t="s" s="2">
        <v>22</v>
      </c>
      <c r="L9330" t="s" s="2">
        <v>22</v>
      </c>
      <c r="M9330" t="s" s="2">
        <v>22</v>
      </c>
    </row>
    <row r="9331" ht="25.0" customHeight="true">
      <c r="A9331" t="s" s="2">
        <v>13</v>
      </c>
      <c r="B9331" t="s" s="2">
        <f>HYPERLINK("http://ts.21cn.com/tousu/show/id/1359826","华夏银行信用卡中心暴击催收")</f>
      </c>
      <c r="C9331" t="s" s="2">
        <v>15</v>
      </c>
      <c r="D9331" t="s" s="2">
        <v>16</v>
      </c>
      <c r="E9331" t="s" s="2">
        <v>17</v>
      </c>
      <c r="F9331" t="s" s="2">
        <f>HYPERLINK("http://ts.21cn.com/tousu/show/id/1359826","http://ts.21cn.com/tousu/show/id/1359826")</f>
      </c>
      <c r="G9331" t="s" s="2">
        <v>17</v>
      </c>
      <c r="H9331" t="s" s="2">
        <v>19</v>
      </c>
      <c r="I9331" t="s" s="2">
        <v>35985</v>
      </c>
      <c r="J9331" t="s" s="2">
        <v>35986</v>
      </c>
      <c r="K9331" t="s" s="2">
        <v>22</v>
      </c>
      <c r="L9331" t="s" s="2">
        <v>22</v>
      </c>
      <c r="M9331" t="s" s="2">
        <v>22</v>
      </c>
    </row>
    <row r="9332" ht="25.0" customHeight="true">
      <c r="A9332" t="s" s="2">
        <v>13</v>
      </c>
      <c r="B9332" t="s" s="2">
        <f>HYPERLINK("http://ts.21cn.com/tousu/show/id/1359823","国美易卡暴力催收，频繁骚扰我通讯录联系人，以及各种威胁")</f>
      </c>
      <c r="C9332" t="s" s="2">
        <v>15</v>
      </c>
      <c r="D9332" t="s" s="2">
        <v>16</v>
      </c>
      <c r="E9332" t="s" s="2">
        <v>17</v>
      </c>
      <c r="F9332" t="s" s="2">
        <f>HYPERLINK("http://ts.21cn.com/tousu/show/id/1359823","http://ts.21cn.com/tousu/show/id/1359823")</f>
      </c>
      <c r="G9332" t="s" s="2">
        <v>17</v>
      </c>
      <c r="H9332" t="s" s="2">
        <v>19</v>
      </c>
      <c r="I9332" t="s" s="2">
        <v>35989</v>
      </c>
      <c r="J9332" t="s" s="2">
        <v>35990</v>
      </c>
      <c r="K9332" t="s" s="2">
        <v>22</v>
      </c>
      <c r="L9332" t="s" s="2">
        <v>22</v>
      </c>
      <c r="M9332" t="s" s="2">
        <v>22</v>
      </c>
    </row>
    <row r="9333" ht="25.0" customHeight="true">
      <c r="A9333" t="s" s="2">
        <v>13</v>
      </c>
      <c r="B9333" t="s" s="2">
        <f>HYPERLINK("http://ts.21cn.com/tousu/show/id/1359815","南京玉恒商业管理有限公司疑似跑路")</f>
      </c>
      <c r="C9333" t="s" s="2">
        <v>15</v>
      </c>
      <c r="D9333" t="s" s="2">
        <v>16</v>
      </c>
      <c r="E9333" t="s" s="2">
        <v>17</v>
      </c>
      <c r="F9333" t="s" s="2">
        <f>HYPERLINK("http://ts.21cn.com/tousu/show/id/1359815","http://ts.21cn.com/tousu/show/id/1359815")</f>
      </c>
      <c r="G9333" t="s" s="2">
        <v>17</v>
      </c>
      <c r="H9333" t="s" s="2">
        <v>19</v>
      </c>
      <c r="I9333" t="s" s="2">
        <v>35992</v>
      </c>
      <c r="J9333" t="s" s="2">
        <v>35993</v>
      </c>
      <c r="K9333" t="s" s="2">
        <v>22</v>
      </c>
      <c r="L9333" t="s" s="2">
        <v>22</v>
      </c>
      <c r="M9333" t="s" s="2">
        <v>22</v>
      </c>
    </row>
    <row r="9334" ht="25.0" customHeight="true">
      <c r="A9334" t="s" s="2">
        <v>13</v>
      </c>
      <c r="B9334" t="s" s="2">
        <f>HYPERLINK("http://ts.21cn.com/tousu/show/id/1359814","敏付科技为赌博网站提供支付通道")</f>
      </c>
      <c r="C9334" t="s" s="2">
        <v>15</v>
      </c>
      <c r="D9334" t="s" s="2">
        <v>16</v>
      </c>
      <c r="E9334" t="s" s="2">
        <v>17</v>
      </c>
      <c r="F9334" t="s" s="2">
        <f>HYPERLINK("http://ts.21cn.com/tousu/show/id/1359814","http://ts.21cn.com/tousu/show/id/1359814")</f>
      </c>
      <c r="G9334" t="s" s="2">
        <v>17</v>
      </c>
      <c r="H9334" t="s" s="2">
        <v>19</v>
      </c>
      <c r="I9334" t="s" s="2">
        <v>35996</v>
      </c>
      <c r="J9334" t="s" s="2">
        <v>35997</v>
      </c>
      <c r="K9334" t="s" s="2">
        <v>22</v>
      </c>
      <c r="L9334" t="s" s="2">
        <v>22</v>
      </c>
      <c r="M9334" t="s" s="2">
        <v>22</v>
      </c>
    </row>
    <row r="9335" ht="25.0" customHeight="true">
      <c r="A9335" t="s" s="2">
        <v>13</v>
      </c>
      <c r="B9335" t="s" s="2">
        <f>HYPERLINK("http://ts.21cn.com/tousu/show/id/1359812","钱橙无忧随意扣费")</f>
      </c>
      <c r="C9335" t="s" s="2">
        <v>15</v>
      </c>
      <c r="D9335" t="s" s="2">
        <v>16</v>
      </c>
      <c r="E9335" t="s" s="2">
        <v>17</v>
      </c>
      <c r="F9335" t="s" s="2">
        <f>HYPERLINK("http://ts.21cn.com/tousu/show/id/1359812","http://ts.21cn.com/tousu/show/id/1359812")</f>
      </c>
      <c r="G9335" t="s" s="2">
        <v>17</v>
      </c>
      <c r="H9335" t="s" s="2">
        <v>19</v>
      </c>
      <c r="I9335" t="s" s="2">
        <v>35999</v>
      </c>
      <c r="J9335" t="s" s="2">
        <v>36000</v>
      </c>
      <c r="K9335" t="s" s="2">
        <v>22</v>
      </c>
      <c r="L9335" t="s" s="2">
        <v>22</v>
      </c>
      <c r="M9335" t="s" s="2">
        <v>22</v>
      </c>
    </row>
    <row r="9336" ht="25.0" customHeight="true">
      <c r="A9336" t="s" s="2">
        <v>13</v>
      </c>
      <c r="B9336" t="s" s="2">
        <f>HYPERLINK("http://ts.21cn.com/tousu/show/id/1359807","交通银行，催收骚扰")</f>
      </c>
      <c r="C9336" t="s" s="2">
        <v>15</v>
      </c>
      <c r="D9336" t="s" s="2">
        <v>16</v>
      </c>
      <c r="E9336" t="s" s="2">
        <v>17</v>
      </c>
      <c r="F9336" t="s" s="2">
        <f>HYPERLINK("http://ts.21cn.com/tousu/show/id/1359807","http://ts.21cn.com/tousu/show/id/1359807")</f>
      </c>
      <c r="G9336" t="s" s="2">
        <v>17</v>
      </c>
      <c r="H9336" t="s" s="2">
        <v>19</v>
      </c>
      <c r="I9336" t="s" s="2">
        <v>36003</v>
      </c>
      <c r="J9336" t="s" s="2">
        <v>36004</v>
      </c>
      <c r="K9336" t="s" s="2">
        <v>22</v>
      </c>
      <c r="L9336" t="s" s="2">
        <v>22</v>
      </c>
      <c r="M9336" t="s" s="2">
        <v>22</v>
      </c>
    </row>
    <row r="9337" ht="25.0" customHeight="true">
      <c r="A9337" t="s" s="2">
        <v>13</v>
      </c>
      <c r="B9337" t="s" s="2">
        <f>HYPERLINK("http://ts.21cn.com/tousu/show/id/1359801","拼多多平台恶意扣押商家资金")</f>
      </c>
      <c r="C9337" t="s" s="2">
        <v>15</v>
      </c>
      <c r="D9337" t="s" s="2">
        <v>16</v>
      </c>
      <c r="E9337" t="s" s="2">
        <v>17</v>
      </c>
      <c r="F9337" t="s" s="2">
        <f>HYPERLINK("http://ts.21cn.com/tousu/show/id/1359801","http://ts.21cn.com/tousu/show/id/1359801")</f>
      </c>
      <c r="G9337" t="s" s="2">
        <v>17</v>
      </c>
      <c r="H9337" t="s" s="2">
        <v>19</v>
      </c>
      <c r="I9337" t="s" s="2">
        <v>36007</v>
      </c>
      <c r="J9337" t="s" s="2">
        <v>36008</v>
      </c>
      <c r="K9337" t="s" s="2">
        <v>22</v>
      </c>
      <c r="L9337" t="s" s="2">
        <v>22</v>
      </c>
      <c r="M9337" t="s" s="2">
        <v>22</v>
      </c>
    </row>
    <row r="9338" ht="25.0" customHeight="true">
      <c r="A9338" t="s" s="2">
        <v>13</v>
      </c>
      <c r="B9338" t="s" s="2">
        <f>HYPERLINK("http://ts.21cn.com/tousu/show/id/1359799","要求联动云及时退押金，急需用钱")</f>
      </c>
      <c r="C9338" t="s" s="2">
        <v>52</v>
      </c>
      <c r="D9338" t="s" s="2">
        <v>16</v>
      </c>
      <c r="E9338" t="s" s="2">
        <v>17</v>
      </c>
      <c r="F9338" t="s" s="2">
        <f>HYPERLINK("http://ts.21cn.com/tousu/show/id/1359799","http://ts.21cn.com/tousu/show/id/1359799")</f>
      </c>
      <c r="G9338" t="s" s="2">
        <v>17</v>
      </c>
      <c r="H9338" t="s" s="2">
        <v>19</v>
      </c>
      <c r="I9338" t="s" s="2">
        <v>36011</v>
      </c>
      <c r="J9338" t="s" s="2">
        <v>36012</v>
      </c>
      <c r="K9338" t="s" s="2">
        <v>22</v>
      </c>
      <c r="L9338" t="s" s="2">
        <v>22</v>
      </c>
      <c r="M9338" t="s" s="2">
        <v>22</v>
      </c>
    </row>
    <row r="9339" ht="25.0" customHeight="true">
      <c r="A9339" t="s" s="2">
        <v>13</v>
      </c>
      <c r="B9339" t="s" s="2">
        <f>HYPERLINK("http://ts.21cn.com/tousu/show/id/1359795","喜鹊快贷阴阳合同，超高利贷，欺诈")</f>
      </c>
      <c r="C9339" t="s" s="2">
        <v>15</v>
      </c>
      <c r="D9339" t="s" s="2">
        <v>16</v>
      </c>
      <c r="E9339" t="s" s="2">
        <v>17</v>
      </c>
      <c r="F9339" t="s" s="2">
        <f>HYPERLINK("http://ts.21cn.com/tousu/show/id/1359795","http://ts.21cn.com/tousu/show/id/1359795")</f>
      </c>
      <c r="G9339" t="s" s="2">
        <v>17</v>
      </c>
      <c r="H9339" t="s" s="2">
        <v>19</v>
      </c>
      <c r="I9339" t="s" s="2">
        <v>36015</v>
      </c>
      <c r="J9339" t="s" s="2">
        <v>36016</v>
      </c>
      <c r="K9339" t="s" s="2">
        <v>22</v>
      </c>
      <c r="L9339" t="s" s="2">
        <v>22</v>
      </c>
      <c r="M9339" t="s" s="2">
        <v>22</v>
      </c>
    </row>
    <row r="9340" ht="25.0" customHeight="true">
      <c r="A9340" t="s" s="2">
        <v>13</v>
      </c>
      <c r="B9340" t="s" s="2">
        <f>HYPERLINK("http://ts.21cn.com/tousu/show/id/1359792","黑网贷平台")</f>
      </c>
      <c r="C9340" t="s" s="2">
        <v>52</v>
      </c>
      <c r="D9340" t="s" s="2">
        <v>16</v>
      </c>
      <c r="E9340" t="s" s="2">
        <v>17</v>
      </c>
      <c r="F9340" t="s" s="2">
        <f>HYPERLINK("http://ts.21cn.com/tousu/show/id/1359792","http://ts.21cn.com/tousu/show/id/1359792")</f>
      </c>
      <c r="G9340" t="s" s="2">
        <v>17</v>
      </c>
      <c r="H9340" t="s" s="2">
        <v>19</v>
      </c>
      <c r="I9340" t="s" s="2">
        <v>36019</v>
      </c>
      <c r="J9340" t="s" s="2">
        <v>36020</v>
      </c>
      <c r="K9340" t="s" s="2">
        <v>22</v>
      </c>
      <c r="L9340" t="s" s="2">
        <v>22</v>
      </c>
      <c r="M9340" t="s" s="2">
        <v>22</v>
      </c>
    </row>
    <row r="9341" ht="25.0" customHeight="true">
      <c r="A9341" t="s" s="2">
        <v>13</v>
      </c>
      <c r="B9341" t="s" s="2">
        <f>HYPERLINK("http://ts.21cn.com/tousu/show/id/1359781","已经和客服沟通还款还找第三方侮辱骚扰")</f>
      </c>
      <c r="C9341" t="s" s="2">
        <v>15</v>
      </c>
      <c r="D9341" t="s" s="2">
        <v>16</v>
      </c>
      <c r="E9341" t="s" s="2">
        <v>17</v>
      </c>
      <c r="F9341" t="s" s="2">
        <f>HYPERLINK("http://ts.21cn.com/tousu/show/id/1359781","http://ts.21cn.com/tousu/show/id/1359781")</f>
      </c>
      <c r="G9341" t="s" s="2">
        <v>17</v>
      </c>
      <c r="H9341" t="s" s="2">
        <v>19</v>
      </c>
      <c r="I9341" t="s" s="2">
        <v>36023</v>
      </c>
      <c r="J9341" t="s" s="2">
        <v>36024</v>
      </c>
      <c r="K9341" t="s" s="2">
        <v>22</v>
      </c>
      <c r="L9341" t="s" s="2">
        <v>22</v>
      </c>
      <c r="M9341" t="s" s="2">
        <v>22</v>
      </c>
    </row>
    <row r="9342" ht="25.0" customHeight="true">
      <c r="A9342" t="s" s="2">
        <v>13</v>
      </c>
      <c r="B9342" t="s" s="2">
        <f>HYPERLINK("http://ts.21cn.com/tousu/show/id/1359777","软件自动扣费")</f>
      </c>
      <c r="C9342" t="s" s="2">
        <v>15</v>
      </c>
      <c r="D9342" t="s" s="2">
        <v>16</v>
      </c>
      <c r="E9342" t="s" s="2">
        <v>17</v>
      </c>
      <c r="F9342" t="s" s="2">
        <f>HYPERLINK("http://ts.21cn.com/tousu/show/id/1359777","http://ts.21cn.com/tousu/show/id/1359777")</f>
      </c>
      <c r="G9342" t="s" s="2">
        <v>17</v>
      </c>
      <c r="H9342" t="s" s="2">
        <v>19</v>
      </c>
      <c r="I9342" t="s" s="2">
        <v>36027</v>
      </c>
      <c r="J9342" t="s" s="2">
        <v>36028</v>
      </c>
      <c r="K9342" t="s" s="2">
        <v>22</v>
      </c>
      <c r="L9342" t="s" s="2">
        <v>22</v>
      </c>
      <c r="M9342" t="s" s="2">
        <v>22</v>
      </c>
    </row>
    <row r="9343" ht="25.0" customHeight="true">
      <c r="A9343" t="s" s="2">
        <v>13</v>
      </c>
      <c r="B9343" t="s" s="2">
        <f>HYPERLINK("http://ts.21cn.com/tousu/show/id/1359773","宝付支付提供通道莫名其妙扣款")</f>
      </c>
      <c r="C9343" t="s" s="2">
        <v>15</v>
      </c>
      <c r="D9343" t="s" s="2">
        <v>16</v>
      </c>
      <c r="E9343" t="s" s="2">
        <v>17</v>
      </c>
      <c r="F9343" t="s" s="2">
        <f>HYPERLINK("http://ts.21cn.com/tousu/show/id/1359773","http://ts.21cn.com/tousu/show/id/1359773")</f>
      </c>
      <c r="G9343" t="s" s="2">
        <v>17</v>
      </c>
      <c r="H9343" t="s" s="2">
        <v>19</v>
      </c>
      <c r="I9343" t="s" s="2">
        <v>36031</v>
      </c>
      <c r="J9343" t="s" s="2">
        <v>36032</v>
      </c>
      <c r="K9343" t="s" s="2">
        <v>22</v>
      </c>
      <c r="L9343" t="s" s="2">
        <v>22</v>
      </c>
      <c r="M9343" t="s" s="2">
        <v>22</v>
      </c>
    </row>
    <row r="9344" ht="25.0" customHeight="true">
      <c r="A9344" t="s" s="2">
        <v>13</v>
      </c>
      <c r="B9344" t="s" s="2">
        <f>HYPERLINK("http://ts.21cn.com/tousu/show/id/1359770","现金巴士以会员费名义砍头息，逾期收取高额费用并暴力催收")</f>
      </c>
      <c r="C9344" t="s" s="2">
        <v>15</v>
      </c>
      <c r="D9344" t="s" s="2">
        <v>16</v>
      </c>
      <c r="E9344" t="s" s="2">
        <v>17</v>
      </c>
      <c r="F9344" t="s" s="2">
        <f>HYPERLINK("http://ts.21cn.com/tousu/show/id/1359770","http://ts.21cn.com/tousu/show/id/1359770")</f>
      </c>
      <c r="G9344" t="s" s="2">
        <v>17</v>
      </c>
      <c r="H9344" t="s" s="2">
        <v>19</v>
      </c>
      <c r="I9344" t="s" s="2">
        <v>36035</v>
      </c>
      <c r="J9344" t="s" s="2">
        <v>36036</v>
      </c>
      <c r="K9344" t="s" s="2">
        <v>22</v>
      </c>
      <c r="L9344" t="s" s="2">
        <v>22</v>
      </c>
      <c r="M9344" t="s" s="2">
        <v>22</v>
      </c>
    </row>
    <row r="9345" ht="25.0" customHeight="true">
      <c r="A9345" t="s" s="2">
        <v>13</v>
      </c>
      <c r="B9345" t="s" s="2">
        <f>HYPERLINK("http://ts.21cn.com/tousu/show/id/1359768","美团生活费严重暴力催收骚扰威胁")</f>
      </c>
      <c r="C9345" t="s" s="2">
        <v>15</v>
      </c>
      <c r="D9345" t="s" s="2">
        <v>16</v>
      </c>
      <c r="E9345" t="s" s="2">
        <v>17</v>
      </c>
      <c r="F9345" t="s" s="2">
        <f>HYPERLINK("http://ts.21cn.com/tousu/show/id/1359768","http://ts.21cn.com/tousu/show/id/1359768")</f>
      </c>
      <c r="G9345" t="s" s="2">
        <v>17</v>
      </c>
      <c r="H9345" t="s" s="2">
        <v>19</v>
      </c>
      <c r="I9345" t="s" s="2">
        <v>36039</v>
      </c>
      <c r="J9345" t="s" s="2">
        <v>36040</v>
      </c>
      <c r="K9345" t="s" s="2">
        <v>22</v>
      </c>
      <c r="L9345" t="s" s="2">
        <v>22</v>
      </c>
      <c r="M9345" t="s" s="2">
        <v>22</v>
      </c>
    </row>
    <row r="9346" ht="25.0" customHeight="true">
      <c r="A9346" t="s" s="2">
        <v>13</v>
      </c>
      <c r="B9346" t="s" s="2">
        <f>HYPERLINK("http://ts.21cn.com/tousu/show/id/1359766","捷信贷款乱收费")</f>
      </c>
      <c r="C9346" t="s" s="2">
        <v>15</v>
      </c>
      <c r="D9346" t="s" s="2">
        <v>16</v>
      </c>
      <c r="E9346" t="s" s="2">
        <v>17</v>
      </c>
      <c r="F9346" t="s" s="2">
        <f>HYPERLINK("http://ts.21cn.com/tousu/show/id/1359766","http://ts.21cn.com/tousu/show/id/1359766")</f>
      </c>
      <c r="G9346" t="s" s="2">
        <v>17</v>
      </c>
      <c r="H9346" t="s" s="2">
        <v>19</v>
      </c>
      <c r="I9346" t="s" s="2">
        <v>36043</v>
      </c>
      <c r="J9346" t="s" s="2">
        <v>36044</v>
      </c>
      <c r="K9346" t="s" s="2">
        <v>22</v>
      </c>
      <c r="L9346" t="s" s="2">
        <v>22</v>
      </c>
      <c r="M9346" t="s" s="2">
        <v>22</v>
      </c>
    </row>
    <row r="9347" ht="25.0" customHeight="true">
      <c r="A9347" t="s" s="2">
        <v>13</v>
      </c>
      <c r="B9347" t="s" s="2">
        <f>HYPERLINK("http://ts.21cn.com/tousu/show/id/1359762","小当家")</f>
      </c>
      <c r="C9347" t="s" s="2">
        <v>52</v>
      </c>
      <c r="D9347" t="s" s="2">
        <v>16</v>
      </c>
      <c r="E9347" t="s" s="2">
        <v>17</v>
      </c>
      <c r="F9347" t="s" s="2">
        <f>HYPERLINK("http://ts.21cn.com/tousu/show/id/1359762","http://ts.21cn.com/tousu/show/id/1359762")</f>
      </c>
      <c r="G9347" t="s" s="2">
        <v>17</v>
      </c>
      <c r="H9347" t="s" s="2">
        <v>19</v>
      </c>
      <c r="I9347" t="s" s="2">
        <v>36047</v>
      </c>
      <c r="J9347" t="s" s="2">
        <v>36048</v>
      </c>
      <c r="K9347" t="s" s="2">
        <v>22</v>
      </c>
      <c r="L9347" t="s" s="2">
        <v>22</v>
      </c>
      <c r="M9347" t="s" s="2">
        <v>22</v>
      </c>
    </row>
    <row r="9348" ht="25.0" customHeight="true">
      <c r="A9348" t="s" s="2">
        <v>13</v>
      </c>
      <c r="B9348" t="s" s="2">
        <f>HYPERLINK("http://ts.21cn.com/tousu/show/id/1359757","不停暴力骚扰、催收")</f>
      </c>
      <c r="C9348" t="s" s="2">
        <v>15</v>
      </c>
      <c r="D9348" t="s" s="2">
        <v>16</v>
      </c>
      <c r="E9348" t="s" s="2">
        <v>17</v>
      </c>
      <c r="F9348" t="s" s="2">
        <f>HYPERLINK("http://ts.21cn.com/tousu/show/id/1359757","http://ts.21cn.com/tousu/show/id/1359757")</f>
      </c>
      <c r="G9348" t="s" s="2">
        <v>17</v>
      </c>
      <c r="H9348" t="s" s="2">
        <v>19</v>
      </c>
      <c r="I9348" t="s" s="2">
        <v>36051</v>
      </c>
      <c r="J9348" t="s" s="2">
        <v>36052</v>
      </c>
      <c r="K9348" t="s" s="2">
        <v>22</v>
      </c>
      <c r="L9348" t="s" s="2">
        <v>22</v>
      </c>
      <c r="M9348" t="s" s="2">
        <v>22</v>
      </c>
    </row>
    <row r="9349" ht="25.0" customHeight="true">
      <c r="A9349" t="s" s="2">
        <v>13</v>
      </c>
      <c r="B9349" t="s" s="2">
        <f>HYPERLINK("http://ts.21cn.com/tousu/show/id/1359749","为聊呗赌博平台提供支付接口")</f>
      </c>
      <c r="C9349" t="s" s="2">
        <v>15</v>
      </c>
      <c r="D9349" t="s" s="2">
        <v>16</v>
      </c>
      <c r="E9349" t="s" s="2">
        <v>17</v>
      </c>
      <c r="F9349" t="s" s="2">
        <f>HYPERLINK("http://ts.21cn.com/tousu/show/id/1359749","http://ts.21cn.com/tousu/show/id/1359749")</f>
      </c>
      <c r="G9349" t="s" s="2">
        <v>17</v>
      </c>
      <c r="H9349" t="s" s="2">
        <v>19</v>
      </c>
      <c r="I9349" t="s" s="2">
        <v>36055</v>
      </c>
      <c r="J9349" t="s" s="2">
        <v>36056</v>
      </c>
      <c r="K9349" t="s" s="2">
        <v>22</v>
      </c>
      <c r="L9349" t="s" s="2">
        <v>22</v>
      </c>
      <c r="M9349" t="s" s="2">
        <v>22</v>
      </c>
    </row>
    <row r="9350" ht="25.0" customHeight="true">
      <c r="A9350" t="s" s="2">
        <v>13</v>
      </c>
      <c r="B9350" t="s" s="2">
        <f>HYPERLINK("http://ts.21cn.com/tousu/show/id/1359746","世联金融打我亲戚朋友的电话让我还钱")</f>
      </c>
      <c r="C9350" t="s" s="2">
        <v>15</v>
      </c>
      <c r="D9350" t="s" s="2">
        <v>16</v>
      </c>
      <c r="E9350" t="s" s="2">
        <v>17</v>
      </c>
      <c r="F9350" t="s" s="2">
        <f>HYPERLINK("http://ts.21cn.com/tousu/show/id/1359746","http://ts.21cn.com/tousu/show/id/1359746")</f>
      </c>
      <c r="G9350" t="s" s="2">
        <v>17</v>
      </c>
      <c r="H9350" t="s" s="2">
        <v>19</v>
      </c>
      <c r="I9350" t="s" s="2">
        <v>36059</v>
      </c>
      <c r="J9350" t="s" s="2">
        <v>36060</v>
      </c>
      <c r="K9350" t="s" s="2">
        <v>22</v>
      </c>
      <c r="L9350" t="s" s="2">
        <v>22</v>
      </c>
      <c r="M9350" t="s" s="2">
        <v>22</v>
      </c>
    </row>
    <row r="9351" ht="25.0" customHeight="true">
      <c r="A9351" t="s" s="2">
        <v>13</v>
      </c>
      <c r="B9351" t="s" s="2">
        <f>HYPERLINK("http://ts.21cn.com/tousu/show/id/1359744","钱橙无忧无缘无故扣款")</f>
      </c>
      <c r="C9351" t="s" s="2">
        <v>15</v>
      </c>
      <c r="D9351" t="s" s="2">
        <v>16</v>
      </c>
      <c r="E9351" t="s" s="2">
        <v>17</v>
      </c>
      <c r="F9351" t="s" s="2">
        <f>HYPERLINK("http://ts.21cn.com/tousu/show/id/1359744","http://ts.21cn.com/tousu/show/id/1359744")</f>
      </c>
      <c r="G9351" t="s" s="2">
        <v>17</v>
      </c>
      <c r="H9351" t="s" s="2">
        <v>19</v>
      </c>
      <c r="I9351" t="s" s="2">
        <v>36063</v>
      </c>
      <c r="J9351" t="s" s="2">
        <v>36064</v>
      </c>
      <c r="K9351" t="s" s="2">
        <v>22</v>
      </c>
      <c r="L9351" t="s" s="2">
        <v>22</v>
      </c>
      <c r="M9351" t="s" s="2">
        <v>22</v>
      </c>
    </row>
    <row r="9352" ht="25.0" customHeight="true">
      <c r="A9352" t="s" s="2">
        <v>13</v>
      </c>
      <c r="B9352" t="s" s="2">
        <f>HYPERLINK("http://ts.21cn.com/tousu/show/id/1359751","小赢卡贷投诉")</f>
      </c>
      <c r="C9352" t="s" s="2">
        <v>15</v>
      </c>
      <c r="D9352" t="s" s="2">
        <v>16</v>
      </c>
      <c r="E9352" t="s" s="2">
        <v>17</v>
      </c>
      <c r="F9352" t="s" s="2">
        <f>HYPERLINK("http://ts.21cn.com/tousu/show/id/1359751","http://ts.21cn.com/tousu/show/id/1359751")</f>
      </c>
      <c r="G9352" t="s" s="2">
        <v>17</v>
      </c>
      <c r="H9352" t="s" s="2">
        <v>19</v>
      </c>
      <c r="I9352" t="s" s="2">
        <v>36067</v>
      </c>
      <c r="J9352" t="s" s="2">
        <v>36068</v>
      </c>
      <c r="K9352" t="s" s="2">
        <v>22</v>
      </c>
      <c r="L9352" t="s" s="2">
        <v>22</v>
      </c>
      <c r="M9352" t="s" s="2">
        <v>22</v>
      </c>
    </row>
    <row r="9353" ht="25.0" customHeight="true">
      <c r="A9353" t="s" s="2">
        <v>13</v>
      </c>
      <c r="B9353" t="s" s="2">
        <f>HYPERLINK("http://ts.21cn.com/tousu/show/id/1359755","暴力催收态度极其恶劣高利贷威胁恐吓")</f>
      </c>
      <c r="C9353" t="s" s="2">
        <v>15</v>
      </c>
      <c r="D9353" t="s" s="2">
        <v>16</v>
      </c>
      <c r="E9353" t="s" s="2">
        <v>17</v>
      </c>
      <c r="F9353" t="s" s="2">
        <f>HYPERLINK("http://ts.21cn.com/tousu/show/id/1359755","http://ts.21cn.com/tousu/show/id/1359755")</f>
      </c>
      <c r="G9353" t="s" s="2">
        <v>17</v>
      </c>
      <c r="H9353" t="s" s="2">
        <v>19</v>
      </c>
      <c r="I9353" t="s" s="2">
        <v>36067</v>
      </c>
      <c r="J9353" t="s" s="2">
        <v>36071</v>
      </c>
      <c r="K9353" t="s" s="2">
        <v>22</v>
      </c>
      <c r="L9353" t="s" s="2">
        <v>22</v>
      </c>
      <c r="M9353" t="s" s="2">
        <v>22</v>
      </c>
    </row>
    <row r="9354" ht="25.0" customHeight="true">
      <c r="A9354" t="s" s="2">
        <v>13</v>
      </c>
      <c r="B9354" t="s" s="2">
        <f>HYPERLINK("http://ts.21cn.com/tousu/show/id/1359740","支付宝客服恶意终止聊天")</f>
      </c>
      <c r="C9354" t="s" s="2">
        <v>15</v>
      </c>
      <c r="D9354" t="s" s="2">
        <v>16</v>
      </c>
      <c r="E9354" t="s" s="2">
        <v>17</v>
      </c>
      <c r="F9354" t="s" s="2">
        <f>HYPERLINK("http://ts.21cn.com/tousu/show/id/1359740","http://ts.21cn.com/tousu/show/id/1359740")</f>
      </c>
      <c r="G9354" t="s" s="2">
        <v>17</v>
      </c>
      <c r="H9354" t="s" s="2">
        <v>19</v>
      </c>
      <c r="I9354" t="s" s="2">
        <v>36074</v>
      </c>
      <c r="J9354" t="s" s="2">
        <v>36075</v>
      </c>
      <c r="K9354" t="s" s="2">
        <v>22</v>
      </c>
      <c r="L9354" t="s" s="2">
        <v>22</v>
      </c>
      <c r="M9354" t="s" s="2">
        <v>22</v>
      </c>
    </row>
    <row r="9355" ht="25.0" customHeight="true">
      <c r="A9355" t="s" s="2">
        <v>13</v>
      </c>
      <c r="B9355" t="s" s="2">
        <f>HYPERLINK("http://ts.21cn.com/tousu/show/id/1359735","造艺科技违规扣款，客服拒不退款")</f>
      </c>
      <c r="C9355" t="s" s="2">
        <v>15</v>
      </c>
      <c r="D9355" t="s" s="2">
        <v>16</v>
      </c>
      <c r="E9355" t="s" s="2">
        <v>17</v>
      </c>
      <c r="F9355" t="s" s="2">
        <f>HYPERLINK("http://ts.21cn.com/tousu/show/id/1359735","http://ts.21cn.com/tousu/show/id/1359735")</f>
      </c>
      <c r="G9355" t="s" s="2">
        <v>17</v>
      </c>
      <c r="H9355" t="s" s="2">
        <v>19</v>
      </c>
      <c r="I9355" t="s" s="2">
        <v>36078</v>
      </c>
      <c r="J9355" t="s" s="2">
        <v>36079</v>
      </c>
      <c r="K9355" t="s" s="2">
        <v>22</v>
      </c>
      <c r="L9355" t="s" s="2">
        <v>22</v>
      </c>
      <c r="M9355" t="s" s="2">
        <v>22</v>
      </c>
    </row>
    <row r="9356" ht="25.0" customHeight="true">
      <c r="A9356" t="s" s="2">
        <v>13</v>
      </c>
      <c r="B9356" t="s" s="2">
        <f>HYPERLINK("http://ts.21cn.com/tousu/show/id/1359733","滴滴公司乱扣钱")</f>
      </c>
      <c r="C9356" t="s" s="2">
        <v>15</v>
      </c>
      <c r="D9356" t="s" s="2">
        <v>16</v>
      </c>
      <c r="E9356" t="s" s="2">
        <v>17</v>
      </c>
      <c r="F9356" t="s" s="2">
        <f>HYPERLINK("http://ts.21cn.com/tousu/show/id/1359733","http://ts.21cn.com/tousu/show/id/1359733")</f>
      </c>
      <c r="G9356" t="s" s="2">
        <v>17</v>
      </c>
      <c r="H9356" t="s" s="2">
        <v>19</v>
      </c>
      <c r="I9356" t="s" s="2">
        <v>36082</v>
      </c>
      <c r="J9356" t="s" s="2">
        <v>36083</v>
      </c>
      <c r="K9356" t="s" s="2">
        <v>22</v>
      </c>
      <c r="L9356" t="s" s="2">
        <v>22</v>
      </c>
      <c r="M9356" t="s" s="2">
        <v>22</v>
      </c>
    </row>
    <row r="9357" ht="25.0" customHeight="true">
      <c r="A9357" t="s" s="2">
        <v>13</v>
      </c>
      <c r="B9357" t="s" s="2">
        <f>HYPERLINK("http://ts.21cn.com/tousu/show/id/1359724","骚扰我家人")</f>
      </c>
      <c r="C9357" t="s" s="2">
        <v>52</v>
      </c>
      <c r="D9357" t="s" s="2">
        <v>16</v>
      </c>
      <c r="E9357" t="s" s="2">
        <v>17</v>
      </c>
      <c r="F9357" t="s" s="2">
        <f>HYPERLINK("http://ts.21cn.com/tousu/show/id/1359724","http://ts.21cn.com/tousu/show/id/1359724")</f>
      </c>
      <c r="G9357" t="s" s="2">
        <v>17</v>
      </c>
      <c r="H9357" t="s" s="2">
        <v>19</v>
      </c>
      <c r="I9357" t="s" s="2">
        <v>36086</v>
      </c>
      <c r="J9357" t="s" s="2">
        <v>36087</v>
      </c>
      <c r="K9357" t="s" s="2">
        <v>22</v>
      </c>
      <c r="L9357" t="s" s="2">
        <v>22</v>
      </c>
      <c r="M9357" t="s" s="2">
        <v>22</v>
      </c>
    </row>
    <row r="9358" ht="25.0" customHeight="true">
      <c r="A9358" t="s" s="2">
        <v>13</v>
      </c>
      <c r="B9358" t="s" s="2">
        <f>HYPERLINK("http://ts.21cn.com/tousu/show/id/1359727","新橙优品砍头息，收取保证金")</f>
      </c>
      <c r="C9358" t="s" s="2">
        <v>15</v>
      </c>
      <c r="D9358" t="s" s="2">
        <v>16</v>
      </c>
      <c r="E9358" t="s" s="2">
        <v>17</v>
      </c>
      <c r="F9358" t="s" s="2">
        <f>HYPERLINK("http://ts.21cn.com/tousu/show/id/1359727","http://ts.21cn.com/tousu/show/id/1359727")</f>
      </c>
      <c r="G9358" t="s" s="2">
        <v>17</v>
      </c>
      <c r="H9358" t="s" s="2">
        <v>19</v>
      </c>
      <c r="I9358" t="s" s="2">
        <v>36090</v>
      </c>
      <c r="J9358" t="s" s="2">
        <v>36091</v>
      </c>
      <c r="K9358" t="s" s="2">
        <v>22</v>
      </c>
      <c r="L9358" t="s" s="2">
        <v>22</v>
      </c>
      <c r="M9358" t="s" s="2">
        <v>22</v>
      </c>
    </row>
    <row r="9359" ht="25.0" customHeight="true">
      <c r="A9359" t="s" s="2">
        <v>13</v>
      </c>
      <c r="B9359" t="s" s="2">
        <f>HYPERLINK("http://ts.21cn.com/tousu/show/id/1359722","我享花贷款平台收取高额利息")</f>
      </c>
      <c r="C9359" t="s" s="2">
        <v>15</v>
      </c>
      <c r="D9359" t="s" s="2">
        <v>16</v>
      </c>
      <c r="E9359" t="s" s="2">
        <v>17</v>
      </c>
      <c r="F9359" t="s" s="2">
        <f>HYPERLINK("http://ts.21cn.com/tousu/show/id/1359722","http://ts.21cn.com/tousu/show/id/1359722")</f>
      </c>
      <c r="G9359" t="s" s="2">
        <v>17</v>
      </c>
      <c r="H9359" t="s" s="2">
        <v>19</v>
      </c>
      <c r="I9359" t="s" s="2">
        <v>36094</v>
      </c>
      <c r="J9359" t="s" s="2">
        <v>36095</v>
      </c>
      <c r="K9359" t="s" s="2">
        <v>22</v>
      </c>
      <c r="L9359" t="s" s="2">
        <v>22</v>
      </c>
      <c r="M9359" t="s" s="2">
        <v>22</v>
      </c>
    </row>
    <row r="9360" ht="25.0" customHeight="true">
      <c r="A9360" t="s" s="2">
        <v>13</v>
      </c>
      <c r="B9360" t="s" s="2">
        <f>HYPERLINK("http://ts.21cn.com/tousu/show/id/1359719","投诉支付宝花呗")</f>
      </c>
      <c r="C9360" t="s" s="2">
        <v>15</v>
      </c>
      <c r="D9360" t="s" s="2">
        <v>16</v>
      </c>
      <c r="E9360" t="s" s="2">
        <v>17</v>
      </c>
      <c r="F9360" t="s" s="2">
        <f>HYPERLINK("http://ts.21cn.com/tousu/show/id/1359719","http://ts.21cn.com/tousu/show/id/1359719")</f>
      </c>
      <c r="G9360" t="s" s="2">
        <v>17</v>
      </c>
      <c r="H9360" t="s" s="2">
        <v>19</v>
      </c>
      <c r="I9360" t="s" s="2">
        <v>36098</v>
      </c>
      <c r="J9360" t="s" s="2">
        <v>36099</v>
      </c>
      <c r="K9360" t="s" s="2">
        <v>22</v>
      </c>
      <c r="L9360" t="s" s="2">
        <v>22</v>
      </c>
      <c r="M9360" t="s" s="2">
        <v>22</v>
      </c>
    </row>
    <row r="9361" ht="25.0" customHeight="true">
      <c r="A9361" t="s" s="2">
        <v>13</v>
      </c>
      <c r="B9361" t="s" s="2">
        <f>HYPERLINK("http://ts.21cn.com/tousu/show/id/1359713","交通银行电话暴力催收")</f>
      </c>
      <c r="C9361" t="s" s="2">
        <v>15</v>
      </c>
      <c r="D9361" t="s" s="2">
        <v>16</v>
      </c>
      <c r="E9361" t="s" s="2">
        <v>17</v>
      </c>
      <c r="F9361" t="s" s="2">
        <f>HYPERLINK("http://ts.21cn.com/tousu/show/id/1359713","http://ts.21cn.com/tousu/show/id/1359713")</f>
      </c>
      <c r="G9361" t="s" s="2">
        <v>17</v>
      </c>
      <c r="H9361" t="s" s="2">
        <v>19</v>
      </c>
      <c r="I9361" t="s" s="2">
        <v>36102</v>
      </c>
      <c r="J9361" t="s" s="2">
        <v>36103</v>
      </c>
      <c r="K9361" t="s" s="2">
        <v>22</v>
      </c>
      <c r="L9361" t="s" s="2">
        <v>22</v>
      </c>
      <c r="M9361" t="s" s="2">
        <v>22</v>
      </c>
    </row>
    <row r="9362" ht="25.0" customHeight="true">
      <c r="A9362" t="s" s="2">
        <v>13</v>
      </c>
      <c r="B9362" t="s" s="2">
        <f>HYPERLINK("http://ts.21cn.com/tousu/show/id/1359711","畅捷支付无故不退还pos机押金")</f>
      </c>
      <c r="C9362" t="s" s="2">
        <v>15</v>
      </c>
      <c r="D9362" t="s" s="2">
        <v>16</v>
      </c>
      <c r="E9362" t="s" s="2">
        <v>17</v>
      </c>
      <c r="F9362" t="s" s="2">
        <f>HYPERLINK("http://ts.21cn.com/tousu/show/id/1359711","http://ts.21cn.com/tousu/show/id/1359711")</f>
      </c>
      <c r="G9362" t="s" s="2">
        <v>17</v>
      </c>
      <c r="H9362" t="s" s="2">
        <v>19</v>
      </c>
      <c r="I9362" t="s" s="2">
        <v>36106</v>
      </c>
      <c r="J9362" t="s" s="2">
        <v>36107</v>
      </c>
      <c r="K9362" t="s" s="2">
        <v>22</v>
      </c>
      <c r="L9362" t="s" s="2">
        <v>22</v>
      </c>
      <c r="M9362" t="s" s="2">
        <v>22</v>
      </c>
    </row>
    <row r="9363" ht="25.0" customHeight="true">
      <c r="A9363" t="s" s="2">
        <v>13</v>
      </c>
      <c r="B9363" t="s" s="2">
        <f>HYPERLINK("http://ts.21cn.com/tousu/show/id/1359708","拒绝一次性结清")</f>
      </c>
      <c r="C9363" t="s" s="2">
        <v>15</v>
      </c>
      <c r="D9363" t="s" s="2">
        <v>16</v>
      </c>
      <c r="E9363" t="s" s="2">
        <v>17</v>
      </c>
      <c r="F9363" t="s" s="2">
        <f>HYPERLINK("http://ts.21cn.com/tousu/show/id/1359708","http://ts.21cn.com/tousu/show/id/1359708")</f>
      </c>
      <c r="G9363" t="s" s="2">
        <v>17</v>
      </c>
      <c r="H9363" t="s" s="2">
        <v>19</v>
      </c>
      <c r="I9363" t="s" s="2">
        <v>36110</v>
      </c>
      <c r="J9363" t="s" s="2">
        <v>36111</v>
      </c>
      <c r="K9363" t="s" s="2">
        <v>22</v>
      </c>
      <c r="L9363" t="s" s="2">
        <v>22</v>
      </c>
      <c r="M9363" t="s" s="2">
        <v>22</v>
      </c>
    </row>
    <row r="9364" ht="25.0" customHeight="true">
      <c r="A9364" t="s" s="2">
        <v>13</v>
      </c>
      <c r="B9364" t="s" s="2">
        <f>HYPERLINK("http://ts.21cn.com/tousu/show/id/1359705","爆通讯录，高利息，被辞，恐吓上门")</f>
      </c>
      <c r="C9364" t="s" s="2">
        <v>15</v>
      </c>
      <c r="D9364" t="s" s="2">
        <v>16</v>
      </c>
      <c r="E9364" t="s" s="2">
        <v>17</v>
      </c>
      <c r="F9364" t="s" s="2">
        <f>HYPERLINK("http://ts.21cn.com/tousu/show/id/1359705","http://ts.21cn.com/tousu/show/id/1359705")</f>
      </c>
      <c r="G9364" t="s" s="2">
        <v>17</v>
      </c>
      <c r="H9364" t="s" s="2">
        <v>19</v>
      </c>
      <c r="I9364" t="s" s="2">
        <v>36114</v>
      </c>
      <c r="J9364" t="s" s="2">
        <v>36115</v>
      </c>
      <c r="K9364" t="s" s="2">
        <v>22</v>
      </c>
      <c r="L9364" t="s" s="2">
        <v>22</v>
      </c>
      <c r="M9364" t="s" s="2">
        <v>22</v>
      </c>
    </row>
    <row r="9365" ht="25.0" customHeight="true">
      <c r="A9365" t="s" s="2">
        <v>13</v>
      </c>
      <c r="B9365" t="s" s="2">
        <f>HYPERLINK("http://ts.21cn.com/tousu/show/id/1359702","京东白条威胁，恐吓")</f>
      </c>
      <c r="C9365" t="s" s="2">
        <v>15</v>
      </c>
      <c r="D9365" t="s" s="2">
        <v>16</v>
      </c>
      <c r="E9365" t="s" s="2">
        <v>17</v>
      </c>
      <c r="F9365" t="s" s="2">
        <f>HYPERLINK("http://ts.21cn.com/tousu/show/id/1359702","http://ts.21cn.com/tousu/show/id/1359702")</f>
      </c>
      <c r="G9365" t="s" s="2">
        <v>17</v>
      </c>
      <c r="H9365" t="s" s="2">
        <v>19</v>
      </c>
      <c r="I9365" t="s" s="2">
        <v>36118</v>
      </c>
      <c r="J9365" t="s" s="2">
        <v>36119</v>
      </c>
      <c r="K9365" t="s" s="2">
        <v>22</v>
      </c>
      <c r="L9365" t="s" s="2">
        <v>22</v>
      </c>
      <c r="M9365" t="s" s="2">
        <v>22</v>
      </c>
    </row>
    <row r="9366" ht="25.0" customHeight="true">
      <c r="A9366" t="s" s="2">
        <v>13</v>
      </c>
      <c r="B9366" t="s" s="2">
        <f>HYPERLINK("http://ts.21cn.com/tousu/show/id/1359700","聚富分期 强制扣款299元")</f>
      </c>
      <c r="C9366" t="s" s="2">
        <v>15</v>
      </c>
      <c r="D9366" t="s" s="2">
        <v>16</v>
      </c>
      <c r="E9366" t="s" s="2">
        <v>17</v>
      </c>
      <c r="F9366" t="s" s="2">
        <f>HYPERLINK("http://ts.21cn.com/tousu/show/id/1359700","http://ts.21cn.com/tousu/show/id/1359700")</f>
      </c>
      <c r="G9366" t="s" s="2">
        <v>17</v>
      </c>
      <c r="H9366" t="s" s="2">
        <v>19</v>
      </c>
      <c r="I9366" t="s" s="2">
        <v>36122</v>
      </c>
      <c r="J9366" t="s" s="2">
        <v>36123</v>
      </c>
      <c r="K9366" t="s" s="2">
        <v>22</v>
      </c>
      <c r="L9366" t="s" s="2">
        <v>22</v>
      </c>
      <c r="M9366" t="s" s="2">
        <v>22</v>
      </c>
    </row>
    <row r="9367" ht="25.0" customHeight="true">
      <c r="A9367" t="s" s="2">
        <v>13</v>
      </c>
      <c r="B9367" t="s" s="2">
        <f>HYPERLINK("http://ts.21cn.com/tousu/show/id/1359696","我来贷变相收取高额预期费用，逾期一天多还款300元。")</f>
      </c>
      <c r="C9367" t="s" s="2">
        <v>15</v>
      </c>
      <c r="D9367" t="s" s="2">
        <v>16</v>
      </c>
      <c r="E9367" t="s" s="2">
        <v>17</v>
      </c>
      <c r="F9367" t="s" s="2">
        <f>HYPERLINK("http://ts.21cn.com/tousu/show/id/1359696","http://ts.21cn.com/tousu/show/id/1359696")</f>
      </c>
      <c r="G9367" t="s" s="2">
        <v>17</v>
      </c>
      <c r="H9367" t="s" s="2">
        <v>19</v>
      </c>
      <c r="I9367" t="s" s="2">
        <v>36126</v>
      </c>
      <c r="J9367" t="s" s="2">
        <v>36127</v>
      </c>
      <c r="K9367" t="s" s="2">
        <v>22</v>
      </c>
      <c r="L9367" t="s" s="2">
        <v>22</v>
      </c>
      <c r="M9367" t="s" s="2">
        <v>22</v>
      </c>
    </row>
    <row r="9368" ht="25.0" customHeight="true">
      <c r="A9368" t="s" s="2">
        <v>13</v>
      </c>
      <c r="B9368" t="s" s="2">
        <f>HYPERLINK("http://ts.21cn.com/tousu/show/id/1359693","闪银恶意骚然通讯录")</f>
      </c>
      <c r="C9368" t="s" s="2">
        <v>15</v>
      </c>
      <c r="D9368" t="s" s="2">
        <v>16</v>
      </c>
      <c r="E9368" t="s" s="2">
        <v>17</v>
      </c>
      <c r="F9368" t="s" s="2">
        <f>HYPERLINK("http://ts.21cn.com/tousu/show/id/1359693","http://ts.21cn.com/tousu/show/id/1359693")</f>
      </c>
      <c r="G9368" t="s" s="2">
        <v>17</v>
      </c>
      <c r="H9368" t="s" s="2">
        <v>19</v>
      </c>
      <c r="I9368" t="s" s="2">
        <v>36130</v>
      </c>
      <c r="J9368" t="s" s="2">
        <v>36131</v>
      </c>
      <c r="K9368" t="s" s="2">
        <v>22</v>
      </c>
      <c r="L9368" t="s" s="2">
        <v>22</v>
      </c>
      <c r="M9368" t="s" s="2">
        <v>22</v>
      </c>
    </row>
    <row r="9369" ht="25.0" customHeight="true">
      <c r="A9369" t="s" s="2">
        <v>13</v>
      </c>
      <c r="B9369" t="s" s="2">
        <f>HYPERLINK("http://ts.21cn.com/tousu/show/id/1359691","投诉哈罗单车乱收调度费")</f>
      </c>
      <c r="C9369" t="s" s="2">
        <v>15</v>
      </c>
      <c r="D9369" t="s" s="2">
        <v>16</v>
      </c>
      <c r="E9369" t="s" s="2">
        <v>17</v>
      </c>
      <c r="F9369" t="s" s="2">
        <f>HYPERLINK("http://ts.21cn.com/tousu/show/id/1359691","http://ts.21cn.com/tousu/show/id/1359691")</f>
      </c>
      <c r="G9369" t="s" s="2">
        <v>17</v>
      </c>
      <c r="H9369" t="s" s="2">
        <v>19</v>
      </c>
      <c r="I9369" t="s" s="2">
        <v>36134</v>
      </c>
      <c r="J9369" t="s" s="2">
        <v>36135</v>
      </c>
      <c r="K9369" t="s" s="2">
        <v>22</v>
      </c>
      <c r="L9369" t="s" s="2">
        <v>22</v>
      </c>
      <c r="M9369" t="s" s="2">
        <v>22</v>
      </c>
    </row>
    <row r="9370" ht="25.0" customHeight="true">
      <c r="A9370" t="s" s="2">
        <v>13</v>
      </c>
      <c r="B9370" t="s" s="2">
        <f>HYPERLINK("http://ts.21cn.com/tousu/show/id/1359690","黑网贷阴阳合同乱收费，暴力催收")</f>
      </c>
      <c r="C9370" t="s" s="2">
        <v>15</v>
      </c>
      <c r="D9370" t="s" s="2">
        <v>16</v>
      </c>
      <c r="E9370" t="s" s="2">
        <v>17</v>
      </c>
      <c r="F9370" t="s" s="2">
        <f>HYPERLINK("http://ts.21cn.com/tousu/show/id/1359690","http://ts.21cn.com/tousu/show/id/1359690")</f>
      </c>
      <c r="G9370" t="s" s="2">
        <v>17</v>
      </c>
      <c r="H9370" t="s" s="2">
        <v>19</v>
      </c>
      <c r="I9370" t="s" s="2">
        <v>36138</v>
      </c>
      <c r="J9370" t="s" s="2">
        <v>36139</v>
      </c>
      <c r="K9370" t="s" s="2">
        <v>22</v>
      </c>
      <c r="L9370" t="s" s="2">
        <v>22</v>
      </c>
      <c r="M9370" t="s" s="2">
        <v>22</v>
      </c>
    </row>
    <row r="9371" ht="25.0" customHeight="true">
      <c r="A9371" t="s" s="2">
        <v>13</v>
      </c>
      <c r="B9371" t="s" s="2">
        <f>HYPERLINK("http://ts.21cn.com/tousu/show/id/1359689","高炮暴力催收")</f>
      </c>
      <c r="C9371" t="s" s="2">
        <v>15</v>
      </c>
      <c r="D9371" t="s" s="2">
        <v>16</v>
      </c>
      <c r="E9371" t="s" s="2">
        <v>17</v>
      </c>
      <c r="F9371" t="s" s="2">
        <f>HYPERLINK("http://ts.21cn.com/tousu/show/id/1359689","http://ts.21cn.com/tousu/show/id/1359689")</f>
      </c>
      <c r="G9371" t="s" s="2">
        <v>17</v>
      </c>
      <c r="H9371" t="s" s="2">
        <v>19</v>
      </c>
      <c r="I9371" t="s" s="2">
        <v>36142</v>
      </c>
      <c r="J9371" t="s" s="2">
        <v>36143</v>
      </c>
      <c r="K9371" t="s" s="2">
        <v>22</v>
      </c>
      <c r="L9371" t="s" s="2">
        <v>22</v>
      </c>
      <c r="M9371" t="s" s="2">
        <v>22</v>
      </c>
    </row>
    <row r="9372" ht="25.0" customHeight="true">
      <c r="A9372" t="s" s="2">
        <v>13</v>
      </c>
      <c r="B9372" t="s" s="2">
        <f>HYPERLINK("http://ts.21cn.com/tousu/show/id/1359682","展鸿科技旗下想有钱3天套路贷")</f>
      </c>
      <c r="C9372" t="s" s="2">
        <v>15</v>
      </c>
      <c r="D9372" t="s" s="2">
        <v>16</v>
      </c>
      <c r="E9372" t="s" s="2">
        <v>17</v>
      </c>
      <c r="F9372" t="s" s="2">
        <f>HYPERLINK("http://ts.21cn.com/tousu/show/id/1359682","http://ts.21cn.com/tousu/show/id/1359682")</f>
      </c>
      <c r="G9372" t="s" s="2">
        <v>17</v>
      </c>
      <c r="H9372" t="s" s="2">
        <v>19</v>
      </c>
      <c r="I9372" t="s" s="2">
        <v>36146</v>
      </c>
      <c r="J9372" t="s" s="2">
        <v>36147</v>
      </c>
      <c r="K9372" t="s" s="2">
        <v>22</v>
      </c>
      <c r="L9372" t="s" s="2">
        <v>22</v>
      </c>
      <c r="M9372" t="s" s="2">
        <v>22</v>
      </c>
    </row>
    <row r="9373" ht="25.0" customHeight="true">
      <c r="A9373" t="s" s="2">
        <v>13</v>
      </c>
      <c r="B9373" t="s" s="2">
        <f>HYPERLINK("http://ts.21cn.com/tousu/show/id/1359678","兴业银行信用卡")</f>
      </c>
      <c r="C9373" t="s" s="2">
        <v>15</v>
      </c>
      <c r="D9373" t="s" s="2">
        <v>16</v>
      </c>
      <c r="E9373" t="s" s="2">
        <v>17</v>
      </c>
      <c r="F9373" t="s" s="2">
        <f>HYPERLINK("http://ts.21cn.com/tousu/show/id/1359678","http://ts.21cn.com/tousu/show/id/1359678")</f>
      </c>
      <c r="G9373" t="s" s="2">
        <v>17</v>
      </c>
      <c r="H9373" t="s" s="2">
        <v>19</v>
      </c>
      <c r="I9373" t="s" s="2">
        <v>36150</v>
      </c>
      <c r="J9373" t="s" s="2">
        <v>36151</v>
      </c>
      <c r="K9373" t="s" s="2">
        <v>22</v>
      </c>
      <c r="L9373" t="s" s="2">
        <v>22</v>
      </c>
      <c r="M9373" t="s" s="2">
        <v>22</v>
      </c>
    </row>
    <row r="9374" ht="25.0" customHeight="true">
      <c r="A9374" t="s" s="2">
        <v>13</v>
      </c>
      <c r="B9374" t="s" s="2">
        <f>HYPERLINK("http://ts.21cn.com/tousu/show/id/1359674","收取高额服务费，各种费用")</f>
      </c>
      <c r="C9374" t="s" s="2">
        <v>15</v>
      </c>
      <c r="D9374" t="s" s="2">
        <v>16</v>
      </c>
      <c r="E9374" t="s" s="2">
        <v>17</v>
      </c>
      <c r="F9374" t="s" s="2">
        <f>HYPERLINK("http://ts.21cn.com/tousu/show/id/1359674","http://ts.21cn.com/tousu/show/id/1359674")</f>
      </c>
      <c r="G9374" t="s" s="2">
        <v>17</v>
      </c>
      <c r="H9374" t="s" s="2">
        <v>19</v>
      </c>
      <c r="I9374" t="s" s="2">
        <v>36154</v>
      </c>
      <c r="J9374" t="s" s="2">
        <v>36155</v>
      </c>
      <c r="K9374" t="s" s="2">
        <v>22</v>
      </c>
      <c r="L9374" t="s" s="2">
        <v>22</v>
      </c>
      <c r="M9374" t="s" s="2">
        <v>22</v>
      </c>
    </row>
    <row r="9375" ht="25.0" customHeight="true">
      <c r="A9375" t="s" s="2">
        <v>13</v>
      </c>
      <c r="B9375" t="s" s="2">
        <f>HYPERLINK("http://ts.21cn.com/tousu/show/id/1359669","给你花平台的月光侠分期存在严重的砍头利息")</f>
      </c>
      <c r="C9375" t="s" s="2">
        <v>15</v>
      </c>
      <c r="D9375" t="s" s="2">
        <v>16</v>
      </c>
      <c r="E9375" t="s" s="2">
        <v>17</v>
      </c>
      <c r="F9375" t="s" s="2">
        <f>HYPERLINK("http://ts.21cn.com/tousu/show/id/1359669","http://ts.21cn.com/tousu/show/id/1359669")</f>
      </c>
      <c r="G9375" t="s" s="2">
        <v>17</v>
      </c>
      <c r="H9375" t="s" s="2">
        <v>19</v>
      </c>
      <c r="I9375" t="s" s="2">
        <v>36158</v>
      </c>
      <c r="J9375" t="s" s="2">
        <v>36159</v>
      </c>
      <c r="K9375" t="s" s="2">
        <v>22</v>
      </c>
      <c r="L9375" t="s" s="2">
        <v>22</v>
      </c>
      <c r="M9375" t="s" s="2">
        <v>22</v>
      </c>
    </row>
    <row r="9376" ht="25.0" customHeight="true">
      <c r="A9376" t="s" s="2">
        <v>13</v>
      </c>
      <c r="B9376" t="s" s="2">
        <f>HYPERLINK("http://ts.21cn.com/tousu/show/id/1359663","你我贷电话骚扰改威胁")</f>
      </c>
      <c r="C9376" t="s" s="2">
        <v>15</v>
      </c>
      <c r="D9376" t="s" s="2">
        <v>16</v>
      </c>
      <c r="E9376" t="s" s="2">
        <v>17</v>
      </c>
      <c r="F9376" t="s" s="2">
        <f>HYPERLINK("http://ts.21cn.com/tousu/show/id/1359663","http://ts.21cn.com/tousu/show/id/1359663")</f>
      </c>
      <c r="G9376" t="s" s="2">
        <v>17</v>
      </c>
      <c r="H9376" t="s" s="2">
        <v>19</v>
      </c>
      <c r="I9376" t="s" s="2">
        <v>36162</v>
      </c>
      <c r="J9376" t="s" s="2">
        <v>36163</v>
      </c>
      <c r="K9376" t="s" s="2">
        <v>22</v>
      </c>
      <c r="L9376" t="s" s="2">
        <v>22</v>
      </c>
      <c r="M9376" t="s" s="2">
        <v>22</v>
      </c>
    </row>
    <row r="9377" ht="25.0" customHeight="true">
      <c r="A9377" t="s" s="2">
        <v>13</v>
      </c>
      <c r="B9377" t="s" s="2">
        <f>HYPERLINK("http://ts.21cn.com/tousu/show/id/1359660","时光分手高利贷")</f>
      </c>
      <c r="C9377" t="s" s="2">
        <v>15</v>
      </c>
      <c r="D9377" t="s" s="2">
        <v>16</v>
      </c>
      <c r="E9377" t="s" s="2">
        <v>17</v>
      </c>
      <c r="F9377" t="s" s="2">
        <f>HYPERLINK("http://ts.21cn.com/tousu/show/id/1359660","http://ts.21cn.com/tousu/show/id/1359660")</f>
      </c>
      <c r="G9377" t="s" s="2">
        <v>17</v>
      </c>
      <c r="H9377" t="s" s="2">
        <v>19</v>
      </c>
      <c r="I9377" t="s" s="2">
        <v>36166</v>
      </c>
      <c r="J9377" t="s" s="2">
        <v>36167</v>
      </c>
      <c r="K9377" t="s" s="2">
        <v>22</v>
      </c>
      <c r="L9377" t="s" s="2">
        <v>22</v>
      </c>
      <c r="M9377" t="s" s="2">
        <v>22</v>
      </c>
    </row>
    <row r="9378" ht="25.0" customHeight="true">
      <c r="A9378" t="s" s="2">
        <v>13</v>
      </c>
      <c r="B9378" t="s" s="2">
        <f>HYPERLINK("http://ts.21cn.com/tousu/show/id/1359658","规定时间按时转账还款，依然四处骚扰")</f>
      </c>
      <c r="C9378" t="s" s="2">
        <v>15</v>
      </c>
      <c r="D9378" t="s" s="2">
        <v>16</v>
      </c>
      <c r="E9378" t="s" s="2">
        <v>17</v>
      </c>
      <c r="F9378" t="s" s="2">
        <f>HYPERLINK("http://ts.21cn.com/tousu/show/id/1359658","http://ts.21cn.com/tousu/show/id/1359658")</f>
      </c>
      <c r="G9378" t="s" s="2">
        <v>17</v>
      </c>
      <c r="H9378" t="s" s="2">
        <v>19</v>
      </c>
      <c r="I9378" t="s" s="2">
        <v>36170</v>
      </c>
      <c r="J9378" t="s" s="2">
        <v>36171</v>
      </c>
      <c r="K9378" t="s" s="2">
        <v>22</v>
      </c>
      <c r="L9378" t="s" s="2">
        <v>22</v>
      </c>
      <c r="M9378" t="s" s="2">
        <v>22</v>
      </c>
    </row>
    <row r="9379" ht="25.0" customHeight="true">
      <c r="A9379" t="s" s="2">
        <v>13</v>
      </c>
      <c r="B9379" t="s" s="2">
        <f>HYPERLINK("http://ts.21cn.com/tousu/show/id/1359656","你我贷暴力催收，言语恶劣")</f>
      </c>
      <c r="C9379" t="s" s="2">
        <v>15</v>
      </c>
      <c r="D9379" t="s" s="2">
        <v>16</v>
      </c>
      <c r="E9379" t="s" s="2">
        <v>17</v>
      </c>
      <c r="F9379" t="s" s="2">
        <f>HYPERLINK("http://ts.21cn.com/tousu/show/id/1359656","http://ts.21cn.com/tousu/show/id/1359656")</f>
      </c>
      <c r="G9379" t="s" s="2">
        <v>17</v>
      </c>
      <c r="H9379" t="s" s="2">
        <v>19</v>
      </c>
      <c r="I9379" t="s" s="2">
        <v>36174</v>
      </c>
      <c r="J9379" t="s" s="2">
        <v>36175</v>
      </c>
      <c r="K9379" t="s" s="2">
        <v>22</v>
      </c>
      <c r="L9379" t="s" s="2">
        <v>22</v>
      </c>
      <c r="M9379" t="s" s="2">
        <v>22</v>
      </c>
    </row>
    <row r="9380" ht="25.0" customHeight="true">
      <c r="A9380" t="s" s="2">
        <v>13</v>
      </c>
      <c r="B9380" t="s" s="2">
        <f>HYPERLINK("http://ts.21cn.com/tousu/show/id/1359652","平安普惠就是黑社会，比高利贷还黑")</f>
      </c>
      <c r="C9380" t="s" s="2">
        <v>15</v>
      </c>
      <c r="D9380" t="s" s="2">
        <v>16</v>
      </c>
      <c r="E9380" t="s" s="2">
        <v>17</v>
      </c>
      <c r="F9380" t="s" s="2">
        <f>HYPERLINK("http://ts.21cn.com/tousu/show/id/1359652","http://ts.21cn.com/tousu/show/id/1359652")</f>
      </c>
      <c r="G9380" t="s" s="2">
        <v>17</v>
      </c>
      <c r="H9380" t="s" s="2">
        <v>19</v>
      </c>
      <c r="I9380" t="s" s="2">
        <v>36178</v>
      </c>
      <c r="J9380" t="s" s="2">
        <v>36179</v>
      </c>
      <c r="K9380" t="s" s="2">
        <v>22</v>
      </c>
      <c r="L9380" t="s" s="2">
        <v>22</v>
      </c>
      <c r="M9380" t="s" s="2">
        <v>22</v>
      </c>
    </row>
    <row r="9381" ht="25.0" customHeight="true">
      <c r="A9381" t="s" s="2">
        <v>13</v>
      </c>
      <c r="B9381" t="s" s="2">
        <f>HYPERLINK("http://ts.21cn.com/tousu/show/id/1359647","恒易贷高利贷，还款日还不了款，强制逾期，逾期一天收取100块钱的逾期费。")</f>
      </c>
      <c r="C9381" t="s" s="2">
        <v>15</v>
      </c>
      <c r="D9381" t="s" s="2">
        <v>16</v>
      </c>
      <c r="E9381" t="s" s="2">
        <v>17</v>
      </c>
      <c r="F9381" t="s" s="2">
        <f>HYPERLINK("http://ts.21cn.com/tousu/show/id/1359647","http://ts.21cn.com/tousu/show/id/1359647")</f>
      </c>
      <c r="G9381" t="s" s="2">
        <v>17</v>
      </c>
      <c r="H9381" t="s" s="2">
        <v>19</v>
      </c>
      <c r="I9381" t="s" s="2">
        <v>36182</v>
      </c>
      <c r="J9381" t="s" s="2">
        <v>36183</v>
      </c>
      <c r="K9381" t="s" s="2">
        <v>22</v>
      </c>
      <c r="L9381" t="s" s="2">
        <v>22</v>
      </c>
      <c r="M9381" t="s" s="2">
        <v>22</v>
      </c>
    </row>
    <row r="9382" ht="25.0" customHeight="true">
      <c r="A9382" t="s" s="2">
        <v>13</v>
      </c>
      <c r="B9382" t="s" s="2">
        <f>HYPERLINK("http://ts.21cn.com/tousu/show/id/1359645","联系更多的联系人")</f>
      </c>
      <c r="C9382" t="s" s="2">
        <v>15</v>
      </c>
      <c r="D9382" t="s" s="2">
        <v>16</v>
      </c>
      <c r="E9382" t="s" s="2">
        <v>17</v>
      </c>
      <c r="F9382" t="s" s="2">
        <f>HYPERLINK("http://ts.21cn.com/tousu/show/id/1359645","http://ts.21cn.com/tousu/show/id/1359645")</f>
      </c>
      <c r="G9382" t="s" s="2">
        <v>17</v>
      </c>
      <c r="H9382" t="s" s="2">
        <v>19</v>
      </c>
      <c r="I9382" t="s" s="2">
        <v>36186</v>
      </c>
      <c r="J9382" t="s" s="2">
        <v>36187</v>
      </c>
      <c r="K9382" t="s" s="2">
        <v>22</v>
      </c>
      <c r="L9382" t="s" s="2">
        <v>22</v>
      </c>
      <c r="M9382" t="s" s="2">
        <v>22</v>
      </c>
    </row>
    <row r="9383" ht="25.0" customHeight="true">
      <c r="A9383" t="s" s="2">
        <v>13</v>
      </c>
      <c r="B9383" t="s" s="2">
        <f>HYPERLINK("http://ts.21cn.com/tousu/show/id/1359641","新浪卡贷已经扣钱了，还是显示逾期要去还款")</f>
      </c>
      <c r="C9383" t="s" s="2">
        <v>15</v>
      </c>
      <c r="D9383" t="s" s="2">
        <v>16</v>
      </c>
      <c r="E9383" t="s" s="2">
        <v>17</v>
      </c>
      <c r="F9383" t="s" s="2">
        <f>HYPERLINK("http://ts.21cn.com/tousu/show/id/1359641","http://ts.21cn.com/tousu/show/id/1359641")</f>
      </c>
      <c r="G9383" t="s" s="2">
        <v>17</v>
      </c>
      <c r="H9383" t="s" s="2">
        <v>19</v>
      </c>
      <c r="I9383" t="s" s="2">
        <v>36190</v>
      </c>
      <c r="J9383" t="s" s="2">
        <v>36191</v>
      </c>
      <c r="K9383" t="s" s="2">
        <v>22</v>
      </c>
      <c r="L9383" t="s" s="2">
        <v>22</v>
      </c>
      <c r="M9383" t="s" s="2">
        <v>22</v>
      </c>
    </row>
    <row r="9384" ht="25.0" customHeight="true">
      <c r="A9384" t="s" s="2">
        <v>13</v>
      </c>
      <c r="B9384" t="s" s="2">
        <f>HYPERLINK("http://ts.21cn.com/tousu/show/id/1359639","来这分期砍头息、高利贷")</f>
      </c>
      <c r="C9384" t="s" s="2">
        <v>15</v>
      </c>
      <c r="D9384" t="s" s="2">
        <v>16</v>
      </c>
      <c r="E9384" t="s" s="2">
        <v>17</v>
      </c>
      <c r="F9384" t="s" s="2">
        <f>HYPERLINK("http://ts.21cn.com/tousu/show/id/1359639","http://ts.21cn.com/tousu/show/id/1359639")</f>
      </c>
      <c r="G9384" t="s" s="2">
        <v>17</v>
      </c>
      <c r="H9384" t="s" s="2">
        <v>19</v>
      </c>
      <c r="I9384" t="s" s="2">
        <v>36194</v>
      </c>
      <c r="J9384" t="s" s="2">
        <v>36195</v>
      </c>
      <c r="K9384" t="s" s="2">
        <v>22</v>
      </c>
      <c r="L9384" t="s" s="2">
        <v>22</v>
      </c>
      <c r="M9384" t="s" s="2">
        <v>22</v>
      </c>
    </row>
    <row r="9385" ht="25.0" customHeight="true">
      <c r="A9385" t="s" s="2">
        <v>13</v>
      </c>
      <c r="B9385" t="s" s="2">
        <f>HYPERLINK("http://ts.21cn.com/tousu/show/id/1359636","及贷以及大地保险扣取未知保险费用")</f>
      </c>
      <c r="C9385" t="s" s="2">
        <v>15</v>
      </c>
      <c r="D9385" t="s" s="2">
        <v>16</v>
      </c>
      <c r="E9385" t="s" s="2">
        <v>17</v>
      </c>
      <c r="F9385" t="s" s="2">
        <f>HYPERLINK("http://ts.21cn.com/tousu/show/id/1359636","http://ts.21cn.com/tousu/show/id/1359636")</f>
      </c>
      <c r="G9385" t="s" s="2">
        <v>17</v>
      </c>
      <c r="H9385" t="s" s="2">
        <v>19</v>
      </c>
      <c r="I9385" t="s" s="2">
        <v>36198</v>
      </c>
      <c r="J9385" t="s" s="2">
        <v>36199</v>
      </c>
      <c r="K9385" t="s" s="2">
        <v>22</v>
      </c>
      <c r="L9385" t="s" s="2">
        <v>22</v>
      </c>
      <c r="M9385" t="s" s="2">
        <v>22</v>
      </c>
    </row>
    <row r="9386" ht="25.0" customHeight="true">
      <c r="A9386" t="s" s="2">
        <v>13</v>
      </c>
      <c r="B9386" t="s" s="2">
        <f>HYPERLINK("http://ts.21cn.com/tousu/show/id/1359634","利息高")</f>
      </c>
      <c r="C9386" t="s" s="2">
        <v>52</v>
      </c>
      <c r="D9386" t="s" s="2">
        <v>16</v>
      </c>
      <c r="E9386" t="s" s="2">
        <v>17</v>
      </c>
      <c r="F9386" t="s" s="2">
        <f>HYPERLINK("http://ts.21cn.com/tousu/show/id/1359634","http://ts.21cn.com/tousu/show/id/1359634")</f>
      </c>
      <c r="G9386" t="s" s="2">
        <v>17</v>
      </c>
      <c r="H9386" t="s" s="2">
        <v>19</v>
      </c>
      <c r="I9386" t="s" s="2">
        <v>36201</v>
      </c>
      <c r="J9386" t="s" s="2">
        <v>36202</v>
      </c>
      <c r="K9386" t="s" s="2">
        <v>22</v>
      </c>
      <c r="L9386" t="s" s="2">
        <v>22</v>
      </c>
      <c r="M9386" t="s" s="2">
        <v>22</v>
      </c>
    </row>
    <row r="9387" ht="25.0" customHeight="true">
      <c r="A9387" t="s" s="2">
        <v>13</v>
      </c>
      <c r="B9387" t="s" s="2">
        <f>HYPERLINK("http://ts.21cn.com/tousu/show/id/1359628","哪吒聚宝高利贷三天砍头800")</f>
      </c>
      <c r="C9387" t="s" s="2">
        <v>15</v>
      </c>
      <c r="D9387" t="s" s="2">
        <v>16</v>
      </c>
      <c r="E9387" t="s" s="2">
        <v>17</v>
      </c>
      <c r="F9387" t="s" s="2">
        <f>HYPERLINK("http://ts.21cn.com/tousu/show/id/1359628","http://ts.21cn.com/tousu/show/id/1359628")</f>
      </c>
      <c r="G9387" t="s" s="2">
        <v>17</v>
      </c>
      <c r="H9387" t="s" s="2">
        <v>19</v>
      </c>
      <c r="I9387" t="s" s="2">
        <v>36205</v>
      </c>
      <c r="J9387" t="s" s="2">
        <v>36206</v>
      </c>
      <c r="K9387" t="s" s="2">
        <v>22</v>
      </c>
      <c r="L9387" t="s" s="2">
        <v>22</v>
      </c>
      <c r="M9387" t="s" s="2">
        <v>22</v>
      </c>
    </row>
    <row r="9388" ht="25.0" customHeight="true">
      <c r="A9388" t="s" s="2">
        <v>13</v>
      </c>
      <c r="B9388" t="s" s="2">
        <f>HYPERLINK("http://ts.21cn.com/tousu/show/id/1359625","催收恶意骚扰恐吓")</f>
      </c>
      <c r="C9388" t="s" s="2">
        <v>15</v>
      </c>
      <c r="D9388" t="s" s="2">
        <v>16</v>
      </c>
      <c r="E9388" t="s" s="2">
        <v>17</v>
      </c>
      <c r="F9388" t="s" s="2">
        <f>HYPERLINK("http://ts.21cn.com/tousu/show/id/1359625","http://ts.21cn.com/tousu/show/id/1359625")</f>
      </c>
      <c r="G9388" t="s" s="2">
        <v>17</v>
      </c>
      <c r="H9388" t="s" s="2">
        <v>19</v>
      </c>
      <c r="I9388" t="s" s="2">
        <v>36209</v>
      </c>
      <c r="J9388" t="s" s="2">
        <v>36210</v>
      </c>
      <c r="K9388" t="s" s="2">
        <v>22</v>
      </c>
      <c r="L9388" t="s" s="2">
        <v>22</v>
      </c>
      <c r="M9388" t="s" s="2">
        <v>22</v>
      </c>
    </row>
    <row r="9389" ht="25.0" customHeight="true">
      <c r="A9389" t="s" s="2">
        <v>13</v>
      </c>
      <c r="B9389" t="s" s="2">
        <f>HYPERLINK("http://ts.21cn.com/tousu/show/id/1359623","我来贷恶意催收")</f>
      </c>
      <c r="C9389" t="s" s="2">
        <v>15</v>
      </c>
      <c r="D9389" t="s" s="2">
        <v>16</v>
      </c>
      <c r="E9389" t="s" s="2">
        <v>17</v>
      </c>
      <c r="F9389" t="s" s="2">
        <f>HYPERLINK("http://ts.21cn.com/tousu/show/id/1359623","http://ts.21cn.com/tousu/show/id/1359623")</f>
      </c>
      <c r="G9389" t="s" s="2">
        <v>17</v>
      </c>
      <c r="H9389" t="s" s="2">
        <v>19</v>
      </c>
      <c r="I9389" t="s" s="2">
        <v>36213</v>
      </c>
      <c r="J9389" t="s" s="2">
        <v>36214</v>
      </c>
      <c r="K9389" t="s" s="2">
        <v>22</v>
      </c>
      <c r="L9389" t="s" s="2">
        <v>22</v>
      </c>
      <c r="M9389" t="s" s="2">
        <v>22</v>
      </c>
    </row>
    <row r="9390" ht="25.0" customHeight="true">
      <c r="A9390" t="s" s="2">
        <v>13</v>
      </c>
      <c r="B9390" t="s" s="2">
        <f>HYPERLINK("http://ts.21cn.com/tousu/show/id/1359614","快递丢失，不进行赔偿，踢皮球！推这推那无作为！")</f>
      </c>
      <c r="C9390" t="s" s="2">
        <v>15</v>
      </c>
      <c r="D9390" t="s" s="2">
        <v>16</v>
      </c>
      <c r="E9390" t="s" s="2">
        <v>17</v>
      </c>
      <c r="F9390" t="s" s="2">
        <f>HYPERLINK("http://ts.21cn.com/tousu/show/id/1359614","http://ts.21cn.com/tousu/show/id/1359614")</f>
      </c>
      <c r="G9390" t="s" s="2">
        <v>17</v>
      </c>
      <c r="H9390" t="s" s="2">
        <v>19</v>
      </c>
      <c r="I9390" t="s" s="2">
        <v>36217</v>
      </c>
      <c r="J9390" t="s" s="2">
        <v>36218</v>
      </c>
      <c r="K9390" t="s" s="2">
        <v>22</v>
      </c>
      <c r="L9390" t="s" s="2">
        <v>22</v>
      </c>
      <c r="M9390" t="s" s="2">
        <v>22</v>
      </c>
    </row>
    <row r="9391" ht="25.0" customHeight="true">
      <c r="A9391" t="s" s="2">
        <v>13</v>
      </c>
      <c r="B9391" t="s" s="2">
        <f>HYPERLINK("http://ts.21cn.com/tousu/show/id/1359612","钱站诱导用户，高利贷，砍头息")</f>
      </c>
      <c r="C9391" t="s" s="2">
        <v>15</v>
      </c>
      <c r="D9391" t="s" s="2">
        <v>16</v>
      </c>
      <c r="E9391" t="s" s="2">
        <v>17</v>
      </c>
      <c r="F9391" t="s" s="2">
        <f>HYPERLINK("http://ts.21cn.com/tousu/show/id/1359612","http://ts.21cn.com/tousu/show/id/1359612")</f>
      </c>
      <c r="G9391" t="s" s="2">
        <v>17</v>
      </c>
      <c r="H9391" t="s" s="2">
        <v>19</v>
      </c>
      <c r="I9391" t="s" s="2">
        <v>36221</v>
      </c>
      <c r="J9391" t="s" s="2">
        <v>36222</v>
      </c>
      <c r="K9391" t="s" s="2">
        <v>22</v>
      </c>
      <c r="L9391" t="s" s="2">
        <v>22</v>
      </c>
      <c r="M9391" t="s" s="2">
        <v>22</v>
      </c>
    </row>
    <row r="9392" ht="25.0" customHeight="true">
      <c r="A9392" t="s" s="2">
        <v>13</v>
      </c>
      <c r="B9392" t="s" s="2">
        <f>HYPERLINK("http://ts.21cn.com/tousu/show/id/1359609","电话骚扰")</f>
      </c>
      <c r="C9392" t="s" s="2">
        <v>15</v>
      </c>
      <c r="D9392" t="s" s="2">
        <v>16</v>
      </c>
      <c r="E9392" t="s" s="2">
        <v>17</v>
      </c>
      <c r="F9392" t="s" s="2">
        <f>HYPERLINK("http://ts.21cn.com/tousu/show/id/1359609","http://ts.21cn.com/tousu/show/id/1359609")</f>
      </c>
      <c r="G9392" t="s" s="2">
        <v>17</v>
      </c>
      <c r="H9392" t="s" s="2">
        <v>19</v>
      </c>
      <c r="I9392" t="s" s="2">
        <v>36224</v>
      </c>
      <c r="J9392" t="s" s="2">
        <v>36225</v>
      </c>
      <c r="K9392" t="s" s="2">
        <v>22</v>
      </c>
      <c r="L9392" t="s" s="2">
        <v>22</v>
      </c>
      <c r="M9392" t="s" s="2">
        <v>22</v>
      </c>
    </row>
    <row r="9393" ht="25.0" customHeight="true">
      <c r="A9393" t="s" s="2">
        <v>13</v>
      </c>
      <c r="B9393" t="s" s="2">
        <f>HYPERLINK("http://ts.21cn.com/tousu/show/id/1359606","暴力催收张贴借款人信息")</f>
      </c>
      <c r="C9393" t="s" s="2">
        <v>15</v>
      </c>
      <c r="D9393" t="s" s="2">
        <v>16</v>
      </c>
      <c r="E9393" t="s" s="2">
        <v>17</v>
      </c>
      <c r="F9393" t="s" s="2">
        <f>HYPERLINK("http://ts.21cn.com/tousu/show/id/1359606","http://ts.21cn.com/tousu/show/id/1359606")</f>
      </c>
      <c r="G9393" t="s" s="2">
        <v>17</v>
      </c>
      <c r="H9393" t="s" s="2">
        <v>19</v>
      </c>
      <c r="I9393" t="s" s="2">
        <v>36228</v>
      </c>
      <c r="J9393" t="s" s="2">
        <v>36229</v>
      </c>
      <c r="K9393" t="s" s="2">
        <v>22</v>
      </c>
      <c r="L9393" t="s" s="2">
        <v>22</v>
      </c>
      <c r="M9393" t="s" s="2">
        <v>22</v>
      </c>
    </row>
    <row r="9394" ht="25.0" customHeight="true">
      <c r="A9394" t="s" s="2">
        <v>13</v>
      </c>
      <c r="B9394" t="s" s="2">
        <f>HYPERLINK("http://ts.21cn.com/tousu/show/id/1359601","钱站阴阳合同并恶意侵犯隐私")</f>
      </c>
      <c r="C9394" t="s" s="2">
        <v>15</v>
      </c>
      <c r="D9394" t="s" s="2">
        <v>16</v>
      </c>
      <c r="E9394" t="s" s="2">
        <v>17</v>
      </c>
      <c r="F9394" t="s" s="2">
        <f>HYPERLINK("http://ts.21cn.com/tousu/show/id/1359601","http://ts.21cn.com/tousu/show/id/1359601")</f>
      </c>
      <c r="G9394" t="s" s="2">
        <v>17</v>
      </c>
      <c r="H9394" t="s" s="2">
        <v>19</v>
      </c>
      <c r="I9394" t="s" s="2">
        <v>36232</v>
      </c>
      <c r="J9394" t="s" s="2">
        <v>36233</v>
      </c>
      <c r="K9394" t="s" s="2">
        <v>22</v>
      </c>
      <c r="L9394" t="s" s="2">
        <v>22</v>
      </c>
      <c r="M9394" t="s" s="2">
        <v>22</v>
      </c>
    </row>
    <row r="9395" ht="25.0" customHeight="true">
      <c r="A9395" t="s" s="2">
        <v>13</v>
      </c>
      <c r="B9395" t="s" s="2">
        <f>HYPERLINK("http://ts.21cn.com/tousu/show/id/1359597","钱站高利贷，客服不予处理")</f>
      </c>
      <c r="C9395" t="s" s="2">
        <v>15</v>
      </c>
      <c r="D9395" t="s" s="2">
        <v>16</v>
      </c>
      <c r="E9395" t="s" s="2">
        <v>17</v>
      </c>
      <c r="F9395" t="s" s="2">
        <f>HYPERLINK("http://ts.21cn.com/tousu/show/id/1359597","http://ts.21cn.com/tousu/show/id/1359597")</f>
      </c>
      <c r="G9395" t="s" s="2">
        <v>17</v>
      </c>
      <c r="H9395" t="s" s="2">
        <v>19</v>
      </c>
      <c r="I9395" t="s" s="2">
        <v>36236</v>
      </c>
      <c r="J9395" t="s" s="2">
        <v>36237</v>
      </c>
      <c r="K9395" t="s" s="2">
        <v>22</v>
      </c>
      <c r="L9395" t="s" s="2">
        <v>22</v>
      </c>
      <c r="M9395" t="s" s="2">
        <v>22</v>
      </c>
    </row>
    <row r="9396" ht="25.0" customHeight="true">
      <c r="A9396" t="s" s="2">
        <v>13</v>
      </c>
      <c r="B9396" t="s" s="2">
        <f>HYPERLINK("http://ts.21cn.com/tousu/show/id/1359594","360借条威胁爆通讯录")</f>
      </c>
      <c r="C9396" t="s" s="2">
        <v>15</v>
      </c>
      <c r="D9396" t="s" s="2">
        <v>16</v>
      </c>
      <c r="E9396" t="s" s="2">
        <v>17</v>
      </c>
      <c r="F9396" t="s" s="2">
        <f>HYPERLINK("http://ts.21cn.com/tousu/show/id/1359594","http://ts.21cn.com/tousu/show/id/1359594")</f>
      </c>
      <c r="G9396" t="s" s="2">
        <v>17</v>
      </c>
      <c r="H9396" t="s" s="2">
        <v>19</v>
      </c>
      <c r="I9396" t="s" s="2">
        <v>36240</v>
      </c>
      <c r="J9396" t="s" s="2">
        <v>36241</v>
      </c>
      <c r="K9396" t="s" s="2">
        <v>22</v>
      </c>
      <c r="L9396" t="s" s="2">
        <v>22</v>
      </c>
      <c r="M9396" t="s" s="2">
        <v>22</v>
      </c>
    </row>
    <row r="9397" ht="25.0" customHeight="true">
      <c r="A9397" t="s" s="2">
        <v>13</v>
      </c>
      <c r="B9397" t="s" s="2">
        <f>HYPERLINK("http://ts.21cn.com/tousu/show/id/1359591","软暴力催收")</f>
      </c>
      <c r="C9397" t="s" s="2">
        <v>15</v>
      </c>
      <c r="D9397" t="s" s="2">
        <v>16</v>
      </c>
      <c r="E9397" t="s" s="2">
        <v>17</v>
      </c>
      <c r="F9397" t="s" s="2">
        <f>HYPERLINK("http://ts.21cn.com/tousu/show/id/1359591","http://ts.21cn.com/tousu/show/id/1359591")</f>
      </c>
      <c r="G9397" t="s" s="2">
        <v>17</v>
      </c>
      <c r="H9397" t="s" s="2">
        <v>19</v>
      </c>
      <c r="I9397" t="s" s="2">
        <v>36243</v>
      </c>
      <c r="J9397" t="s" s="2">
        <v>36244</v>
      </c>
      <c r="K9397" t="s" s="2">
        <v>22</v>
      </c>
      <c r="L9397" t="s" s="2">
        <v>22</v>
      </c>
      <c r="M9397" t="s" s="2">
        <v>22</v>
      </c>
    </row>
    <row r="9398" ht="25.0" customHeight="true">
      <c r="A9398" t="s" s="2">
        <v>13</v>
      </c>
      <c r="B9398" t="s" s="2">
        <f>HYPERLINK("http://ts.21cn.com/tousu/show/id/1359586","读秒催收威胁")</f>
      </c>
      <c r="C9398" t="s" s="2">
        <v>15</v>
      </c>
      <c r="D9398" t="s" s="2">
        <v>16</v>
      </c>
      <c r="E9398" t="s" s="2">
        <v>17</v>
      </c>
      <c r="F9398" t="s" s="2">
        <f>HYPERLINK("http://ts.21cn.com/tousu/show/id/1359586","http://ts.21cn.com/tousu/show/id/1359586")</f>
      </c>
      <c r="G9398" t="s" s="2">
        <v>17</v>
      </c>
      <c r="H9398" t="s" s="2">
        <v>19</v>
      </c>
      <c r="I9398" t="s" s="2">
        <v>36247</v>
      </c>
      <c r="J9398" t="s" s="2">
        <v>36248</v>
      </c>
      <c r="K9398" t="s" s="2">
        <v>22</v>
      </c>
      <c r="L9398" t="s" s="2">
        <v>22</v>
      </c>
      <c r="M9398" t="s" s="2">
        <v>22</v>
      </c>
    </row>
    <row r="9399" ht="25.0" customHeight="true">
      <c r="A9399" t="s" s="2">
        <v>13</v>
      </c>
      <c r="B9399" t="s" s="2">
        <f>HYPERLINK("http://ts.21cn.com/tousu/show/id/1359583","火影帮714高利贷")</f>
      </c>
      <c r="C9399" t="s" s="2">
        <v>52</v>
      </c>
      <c r="D9399" t="s" s="2">
        <v>16</v>
      </c>
      <c r="E9399" t="s" s="2">
        <v>17</v>
      </c>
      <c r="F9399" t="s" s="2">
        <f>HYPERLINK("http://ts.21cn.com/tousu/show/id/1359583","http://ts.21cn.com/tousu/show/id/1359583")</f>
      </c>
      <c r="G9399" t="s" s="2">
        <v>17</v>
      </c>
      <c r="H9399" t="s" s="2">
        <v>19</v>
      </c>
      <c r="I9399" t="s" s="2">
        <v>36251</v>
      </c>
      <c r="J9399" t="s" s="2">
        <v>36252</v>
      </c>
      <c r="K9399" t="s" s="2">
        <v>22</v>
      </c>
      <c r="L9399" t="s" s="2">
        <v>22</v>
      </c>
      <c r="M9399" t="s" s="2">
        <v>22</v>
      </c>
    </row>
    <row r="9400" ht="25.0" customHeight="true">
      <c r="A9400" t="s" s="2">
        <v>13</v>
      </c>
      <c r="B9400" t="s" s="2">
        <f>HYPERLINK("http://ts.21cn.com/tousu/show/id/1359580","在绿森商城购买手机不发货")</f>
      </c>
      <c r="C9400" t="s" s="2">
        <v>15</v>
      </c>
      <c r="D9400" t="s" s="2">
        <v>16</v>
      </c>
      <c r="E9400" t="s" s="2">
        <v>17</v>
      </c>
      <c r="F9400" t="s" s="2">
        <f>HYPERLINK("http://ts.21cn.com/tousu/show/id/1359580","http://ts.21cn.com/tousu/show/id/1359580")</f>
      </c>
      <c r="G9400" t="s" s="2">
        <v>17</v>
      </c>
      <c r="H9400" t="s" s="2">
        <v>19</v>
      </c>
      <c r="I9400" t="s" s="2">
        <v>36255</v>
      </c>
      <c r="J9400" t="s" s="2">
        <v>36256</v>
      </c>
      <c r="K9400" t="s" s="2">
        <v>22</v>
      </c>
      <c r="L9400" t="s" s="2">
        <v>22</v>
      </c>
      <c r="M9400" t="s" s="2">
        <v>22</v>
      </c>
    </row>
    <row r="9401" ht="25.0" customHeight="true">
      <c r="A9401" t="s" s="2">
        <v>13</v>
      </c>
      <c r="B9401" t="s" s="2">
        <f>HYPERLINK("http://ts.21cn.com/tousu/show/id/1359579","京东第三方卖家有货一直不发货")</f>
      </c>
      <c r="C9401" t="s" s="2">
        <v>15</v>
      </c>
      <c r="D9401" t="s" s="2">
        <v>16</v>
      </c>
      <c r="E9401" t="s" s="2">
        <v>17</v>
      </c>
      <c r="F9401" t="s" s="2">
        <f>HYPERLINK("http://ts.21cn.com/tousu/show/id/1359579","http://ts.21cn.com/tousu/show/id/1359579")</f>
      </c>
      <c r="G9401" t="s" s="2">
        <v>17</v>
      </c>
      <c r="H9401" t="s" s="2">
        <v>19</v>
      </c>
      <c r="I9401" t="s" s="2">
        <v>36259</v>
      </c>
      <c r="J9401" t="s" s="2">
        <v>36260</v>
      </c>
      <c r="K9401" t="s" s="2">
        <v>22</v>
      </c>
      <c r="L9401" t="s" s="2">
        <v>22</v>
      </c>
      <c r="M9401" t="s" s="2">
        <v>22</v>
      </c>
    </row>
    <row r="9402" ht="25.0" customHeight="true">
      <c r="A9402" t="s" s="2">
        <v>13</v>
      </c>
      <c r="B9402" t="s" s="2">
        <f>HYPERLINK("http://ts.21cn.com/tousu/show/id/1359568","站长源码")</f>
      </c>
      <c r="C9402" t="s" s="2">
        <v>15</v>
      </c>
      <c r="D9402" t="s" s="2">
        <v>16</v>
      </c>
      <c r="E9402" t="s" s="2">
        <v>17</v>
      </c>
      <c r="F9402" t="s" s="2">
        <f>HYPERLINK("http://ts.21cn.com/tousu/show/id/1359568","http://ts.21cn.com/tousu/show/id/1359568")</f>
      </c>
      <c r="G9402" t="s" s="2">
        <v>17</v>
      </c>
      <c r="H9402" t="s" s="2">
        <v>19</v>
      </c>
      <c r="I9402" t="s" s="2">
        <v>36263</v>
      </c>
      <c r="J9402" t="s" s="2">
        <v>36264</v>
      </c>
      <c r="K9402" t="s" s="2">
        <v>22</v>
      </c>
      <c r="L9402" t="s" s="2">
        <v>22</v>
      </c>
      <c r="M9402" t="s" s="2">
        <v>22</v>
      </c>
    </row>
    <row r="9403" ht="25.0" customHeight="true">
      <c r="A9403" t="s" s="2">
        <v>13</v>
      </c>
      <c r="B9403" t="s" s="2">
        <f>HYPERLINK("http://ts.21cn.com/tousu/show/id/1359575","北京有缘网莫名其妙的扣了我198")</f>
      </c>
      <c r="C9403" t="s" s="2">
        <v>15</v>
      </c>
      <c r="D9403" t="s" s="2">
        <v>16</v>
      </c>
      <c r="E9403" t="s" s="2">
        <v>17</v>
      </c>
      <c r="F9403" t="s" s="2">
        <f>HYPERLINK("http://ts.21cn.com/tousu/show/id/1359575","http://ts.21cn.com/tousu/show/id/1359575")</f>
      </c>
      <c r="G9403" t="s" s="2">
        <v>17</v>
      </c>
      <c r="H9403" t="s" s="2">
        <v>19</v>
      </c>
      <c r="I9403" t="s" s="2">
        <v>36267</v>
      </c>
      <c r="J9403" t="s" s="2">
        <v>36268</v>
      </c>
      <c r="K9403" t="s" s="2">
        <v>22</v>
      </c>
      <c r="L9403" t="s" s="2">
        <v>22</v>
      </c>
      <c r="M9403" t="s" s="2">
        <v>22</v>
      </c>
    </row>
    <row r="9404" ht="25.0" customHeight="true">
      <c r="A9404" t="s" s="2">
        <v>13</v>
      </c>
      <c r="B9404" t="s" s="2">
        <f>HYPERLINK("http://ts.21cn.com/tousu/show/id/1359572","360借条在我不知情自动贷款并骚扰我")</f>
      </c>
      <c r="C9404" t="s" s="2">
        <v>15</v>
      </c>
      <c r="D9404" t="s" s="2">
        <v>16</v>
      </c>
      <c r="E9404" t="s" s="2">
        <v>17</v>
      </c>
      <c r="F9404" t="s" s="2">
        <f>HYPERLINK("http://ts.21cn.com/tousu/show/id/1359572","http://ts.21cn.com/tousu/show/id/1359572")</f>
      </c>
      <c r="G9404" t="s" s="2">
        <v>17</v>
      </c>
      <c r="H9404" t="s" s="2">
        <v>19</v>
      </c>
      <c r="I9404" t="s" s="2">
        <v>36271</v>
      </c>
      <c r="J9404" t="s" s="2">
        <v>36272</v>
      </c>
      <c r="K9404" t="s" s="2">
        <v>22</v>
      </c>
      <c r="L9404" t="s" s="2">
        <v>22</v>
      </c>
      <c r="M9404" t="s" s="2">
        <v>22</v>
      </c>
    </row>
    <row r="9405" ht="25.0" customHeight="true">
      <c r="A9405" t="s" s="2">
        <v>13</v>
      </c>
      <c r="B9405" t="s" s="2">
        <f>HYPERLINK("http://ts.21cn.com/tousu/show/id/1359564","好易借违规收取砍头息")</f>
      </c>
      <c r="C9405" t="s" s="2">
        <v>15</v>
      </c>
      <c r="D9405" t="s" s="2">
        <v>16</v>
      </c>
      <c r="E9405" t="s" s="2">
        <v>17</v>
      </c>
      <c r="F9405" t="s" s="2">
        <f>HYPERLINK("http://ts.21cn.com/tousu/show/id/1359564","http://ts.21cn.com/tousu/show/id/1359564")</f>
      </c>
      <c r="G9405" t="s" s="2">
        <v>17</v>
      </c>
      <c r="H9405" t="s" s="2">
        <v>19</v>
      </c>
      <c r="I9405" t="s" s="2">
        <v>36275</v>
      </c>
      <c r="J9405" t="s" s="2">
        <v>36276</v>
      </c>
      <c r="K9405" t="s" s="2">
        <v>22</v>
      </c>
      <c r="L9405" t="s" s="2">
        <v>22</v>
      </c>
      <c r="M9405" t="s" s="2">
        <v>22</v>
      </c>
    </row>
    <row r="9406" ht="25.0" customHeight="true">
      <c r="A9406" t="s" s="2">
        <v>13</v>
      </c>
      <c r="B9406" t="s" s="2">
        <f>HYPERLINK("http://ts.21cn.com/tousu/show/id/1359561","御剑飞行高利贷")</f>
      </c>
      <c r="C9406" t="s" s="2">
        <v>15</v>
      </c>
      <c r="D9406" t="s" s="2">
        <v>16</v>
      </c>
      <c r="E9406" t="s" s="2">
        <v>17</v>
      </c>
      <c r="F9406" t="s" s="2">
        <f>HYPERLINK("http://ts.21cn.com/tousu/show/id/1359561","http://ts.21cn.com/tousu/show/id/1359561")</f>
      </c>
      <c r="G9406" t="s" s="2">
        <v>17</v>
      </c>
      <c r="H9406" t="s" s="2">
        <v>19</v>
      </c>
      <c r="I9406" t="s" s="2">
        <v>36279</v>
      </c>
      <c r="J9406" t="s" s="2">
        <v>36280</v>
      </c>
      <c r="K9406" t="s" s="2">
        <v>22</v>
      </c>
      <c r="L9406" t="s" s="2">
        <v>22</v>
      </c>
      <c r="M9406" t="s" s="2">
        <v>22</v>
      </c>
    </row>
    <row r="9407" ht="25.0" customHeight="true">
      <c r="A9407" t="s" s="2">
        <v>13</v>
      </c>
      <c r="B9407" t="s" s="2">
        <f>HYPERLINK("http://ts.21cn.com/tousu/show/id/1359559","支付宝账户被限制提现消费还款")</f>
      </c>
      <c r="C9407" t="s" s="2">
        <v>52</v>
      </c>
      <c r="D9407" t="s" s="2">
        <v>16</v>
      </c>
      <c r="E9407" t="s" s="2">
        <v>17</v>
      </c>
      <c r="F9407" t="s" s="2">
        <f>HYPERLINK("http://ts.21cn.com/tousu/show/id/1359559","http://ts.21cn.com/tousu/show/id/1359559")</f>
      </c>
      <c r="G9407" t="s" s="2">
        <v>17</v>
      </c>
      <c r="H9407" t="s" s="2">
        <v>19</v>
      </c>
      <c r="I9407" t="s" s="2">
        <v>36283</v>
      </c>
      <c r="J9407" t="s" s="2">
        <v>36284</v>
      </c>
      <c r="K9407" t="s" s="2">
        <v>22</v>
      </c>
      <c r="L9407" t="s" s="2">
        <v>22</v>
      </c>
      <c r="M9407" t="s" s="2">
        <v>22</v>
      </c>
    </row>
    <row r="9408" ht="25.0" customHeight="true">
      <c r="A9408" t="s" s="2">
        <v>13</v>
      </c>
      <c r="B9408" t="s" s="2">
        <f>HYPERLINK("http://ts.21cn.com/tousu/show/id/1359553","威胁")</f>
      </c>
      <c r="C9408" t="s" s="2">
        <v>15</v>
      </c>
      <c r="D9408" t="s" s="2">
        <v>16</v>
      </c>
      <c r="E9408" t="s" s="2">
        <v>17</v>
      </c>
      <c r="F9408" t="s" s="2">
        <f>HYPERLINK("http://ts.21cn.com/tousu/show/id/1359553","http://ts.21cn.com/tousu/show/id/1359553")</f>
      </c>
      <c r="G9408" t="s" s="2">
        <v>17</v>
      </c>
      <c r="H9408" t="s" s="2">
        <v>19</v>
      </c>
      <c r="I9408" t="s" s="2">
        <v>36286</v>
      </c>
      <c r="J9408" t="s" s="2">
        <v>36287</v>
      </c>
      <c r="K9408" t="s" s="2">
        <v>22</v>
      </c>
      <c r="L9408" t="s" s="2">
        <v>22</v>
      </c>
      <c r="M9408" t="s" s="2">
        <v>22</v>
      </c>
    </row>
    <row r="9409" ht="25.0" customHeight="true">
      <c r="A9409" t="s" s="2">
        <v>13</v>
      </c>
      <c r="B9409" t="s" s="2">
        <f>HYPERLINK("http://ts.21cn.com/tousu/show/id/1359550","月光侠高额利息，高利贷")</f>
      </c>
      <c r="C9409" t="s" s="2">
        <v>15</v>
      </c>
      <c r="D9409" t="s" s="2">
        <v>16</v>
      </c>
      <c r="E9409" t="s" s="2">
        <v>17</v>
      </c>
      <c r="F9409" t="s" s="2">
        <f>HYPERLINK("http://ts.21cn.com/tousu/show/id/1359550","http://ts.21cn.com/tousu/show/id/1359550")</f>
      </c>
      <c r="G9409" t="s" s="2">
        <v>17</v>
      </c>
      <c r="H9409" t="s" s="2">
        <v>19</v>
      </c>
      <c r="I9409" t="s" s="2">
        <v>36290</v>
      </c>
      <c r="J9409" t="s" s="2">
        <v>36291</v>
      </c>
      <c r="K9409" t="s" s="2">
        <v>22</v>
      </c>
      <c r="L9409" t="s" s="2">
        <v>22</v>
      </c>
      <c r="M9409" t="s" s="2">
        <v>22</v>
      </c>
    </row>
    <row r="9410" ht="25.0" customHeight="true">
      <c r="A9410" t="s" s="2">
        <v>13</v>
      </c>
      <c r="B9410" t="s" s="2">
        <f>HYPERLINK("http://ts.21cn.com/tousu/show/id/1359548","解决微信支付功能")</f>
      </c>
      <c r="C9410" t="s" s="2">
        <v>52</v>
      </c>
      <c r="D9410" t="s" s="2">
        <v>16</v>
      </c>
      <c r="E9410" t="s" s="2">
        <v>17</v>
      </c>
      <c r="F9410" t="s" s="2">
        <f>HYPERLINK("http://ts.21cn.com/tousu/show/id/1359548","http://ts.21cn.com/tousu/show/id/1359548")</f>
      </c>
      <c r="G9410" t="s" s="2">
        <v>17</v>
      </c>
      <c r="H9410" t="s" s="2">
        <v>19</v>
      </c>
      <c r="I9410" t="s" s="2">
        <v>36294</v>
      </c>
      <c r="J9410" t="s" s="2">
        <v>36295</v>
      </c>
      <c r="K9410" t="s" s="2">
        <v>22</v>
      </c>
      <c r="L9410" t="s" s="2">
        <v>22</v>
      </c>
      <c r="M9410" t="s" s="2">
        <v>22</v>
      </c>
    </row>
    <row r="9411" ht="25.0" customHeight="true">
      <c r="A9411" t="s" s="2">
        <v>13</v>
      </c>
      <c r="B9411" t="s" s="2">
        <f>HYPERLINK("http://ts.21cn.com/tousu/show/id/1359542","你我贷无故加息")</f>
      </c>
      <c r="C9411" t="s" s="2">
        <v>15</v>
      </c>
      <c r="D9411" t="s" s="2">
        <v>16</v>
      </c>
      <c r="E9411" t="s" s="2">
        <v>17</v>
      </c>
      <c r="F9411" t="s" s="2">
        <f>HYPERLINK("http://ts.21cn.com/tousu/show/id/1359542","http://ts.21cn.com/tousu/show/id/1359542")</f>
      </c>
      <c r="G9411" t="s" s="2">
        <v>17</v>
      </c>
      <c r="H9411" t="s" s="2">
        <v>19</v>
      </c>
      <c r="I9411" t="s" s="2">
        <v>36298</v>
      </c>
      <c r="J9411" t="s" s="2">
        <v>36299</v>
      </c>
      <c r="K9411" t="s" s="2">
        <v>22</v>
      </c>
      <c r="L9411" t="s" s="2">
        <v>22</v>
      </c>
      <c r="M9411" t="s" s="2">
        <v>22</v>
      </c>
    </row>
    <row r="9412" ht="25.0" customHeight="true">
      <c r="A9412" t="s" s="2">
        <v>13</v>
      </c>
      <c r="B9412" t="s" s="2">
        <f>HYPERLINK("http://ts.21cn.com/tousu/show/id/1359546","中国银联云闪付为不法分子提供方便")</f>
      </c>
      <c r="C9412" t="s" s="2">
        <v>15</v>
      </c>
      <c r="D9412" t="s" s="2">
        <v>16</v>
      </c>
      <c r="E9412" t="s" s="2">
        <v>17</v>
      </c>
      <c r="F9412" t="s" s="2">
        <f>HYPERLINK("http://ts.21cn.com/tousu/show/id/1359546","http://ts.21cn.com/tousu/show/id/1359546")</f>
      </c>
      <c r="G9412" t="s" s="2">
        <v>17</v>
      </c>
      <c r="H9412" t="s" s="2">
        <v>19</v>
      </c>
      <c r="I9412" t="s" s="2">
        <v>36302</v>
      </c>
      <c r="J9412" t="s" s="2">
        <v>36303</v>
      </c>
      <c r="K9412" t="s" s="2">
        <v>22</v>
      </c>
      <c r="L9412" t="s" s="2">
        <v>22</v>
      </c>
      <c r="M9412" t="s" s="2">
        <v>22</v>
      </c>
    </row>
    <row r="9413" ht="25.0" customHeight="true">
      <c r="A9413" t="s" s="2">
        <v>13</v>
      </c>
      <c r="B9413" t="s" s="2">
        <f>HYPERLINK("http://ts.21cn.com/tousu/show/id/1359515","暴力催收高额利息")</f>
      </c>
      <c r="C9413" t="s" s="2">
        <v>15</v>
      </c>
      <c r="D9413" t="s" s="2">
        <v>16</v>
      </c>
      <c r="E9413" t="s" s="2">
        <v>17</v>
      </c>
      <c r="F9413" t="s" s="2">
        <f>HYPERLINK("http://ts.21cn.com/tousu/show/id/1359515","http://ts.21cn.com/tousu/show/id/1359515")</f>
      </c>
      <c r="G9413" t="s" s="2">
        <v>17</v>
      </c>
      <c r="H9413" t="s" s="2">
        <v>19</v>
      </c>
      <c r="I9413" t="s" s="2">
        <v>36306</v>
      </c>
      <c r="J9413" t="s" s="2">
        <v>36307</v>
      </c>
      <c r="K9413" t="s" s="2">
        <v>22</v>
      </c>
      <c r="L9413" t="s" s="2">
        <v>22</v>
      </c>
      <c r="M9413" t="s" s="2">
        <v>22</v>
      </c>
    </row>
    <row r="9414" ht="25.0" customHeight="true">
      <c r="A9414" t="s" s="2">
        <v>13</v>
      </c>
      <c r="B9414" t="s" s="2">
        <f>HYPERLINK("http://ts.21cn.com/tousu/show/id/1359535","高利贷套路贷年化60%")</f>
      </c>
      <c r="C9414" t="s" s="2">
        <v>15</v>
      </c>
      <c r="D9414" t="s" s="2">
        <v>16</v>
      </c>
      <c r="E9414" t="s" s="2">
        <v>17</v>
      </c>
      <c r="F9414" t="s" s="2">
        <f>HYPERLINK("http://ts.21cn.com/tousu/show/id/1359535","http://ts.21cn.com/tousu/show/id/1359535")</f>
      </c>
      <c r="G9414" t="s" s="2">
        <v>17</v>
      </c>
      <c r="H9414" t="s" s="2">
        <v>19</v>
      </c>
      <c r="I9414" t="s" s="2">
        <v>36310</v>
      </c>
      <c r="J9414" t="s" s="2">
        <v>36311</v>
      </c>
      <c r="K9414" t="s" s="2">
        <v>22</v>
      </c>
      <c r="L9414" t="s" s="2">
        <v>22</v>
      </c>
      <c r="M9414" t="s" s="2">
        <v>22</v>
      </c>
    </row>
    <row r="9415" ht="25.0" customHeight="true">
      <c r="A9415" t="s" s="2">
        <v>13</v>
      </c>
      <c r="B9415" t="s" s="2">
        <f>HYPERLINK("http://ts.21cn.com/tousu/show/id/1359531","爱又米网贷多米贷收取不合理担保费变相收费利息")</f>
      </c>
      <c r="C9415" t="s" s="2">
        <v>15</v>
      </c>
      <c r="D9415" t="s" s="2">
        <v>16</v>
      </c>
      <c r="E9415" t="s" s="2">
        <v>17</v>
      </c>
      <c r="F9415" t="s" s="2">
        <f>HYPERLINK("http://ts.21cn.com/tousu/show/id/1359531","http://ts.21cn.com/tousu/show/id/1359531")</f>
      </c>
      <c r="G9415" t="s" s="2">
        <v>17</v>
      </c>
      <c r="H9415" t="s" s="2">
        <v>19</v>
      </c>
      <c r="I9415" t="s" s="2">
        <v>36314</v>
      </c>
      <c r="J9415" t="s" s="2">
        <v>36315</v>
      </c>
      <c r="K9415" t="s" s="2">
        <v>22</v>
      </c>
      <c r="L9415" t="s" s="2">
        <v>22</v>
      </c>
      <c r="M9415" t="s" s="2">
        <v>22</v>
      </c>
    </row>
    <row r="9416" ht="25.0" customHeight="true">
      <c r="A9416" t="s" s="2">
        <v>13</v>
      </c>
      <c r="B9416" t="s" s="2">
        <f>HYPERLINK("http://ts.21cn.com/tousu/show/id/1359529","鱼米分期砍头息套路贷")</f>
      </c>
      <c r="C9416" t="s" s="2">
        <v>15</v>
      </c>
      <c r="D9416" t="s" s="2">
        <v>16</v>
      </c>
      <c r="E9416" t="s" s="2">
        <v>17</v>
      </c>
      <c r="F9416" t="s" s="2">
        <f>HYPERLINK("http://ts.21cn.com/tousu/show/id/1359529","http://ts.21cn.com/tousu/show/id/1359529")</f>
      </c>
      <c r="G9416" t="s" s="2">
        <v>17</v>
      </c>
      <c r="H9416" t="s" s="2">
        <v>19</v>
      </c>
      <c r="I9416" t="s" s="2">
        <v>36318</v>
      </c>
      <c r="J9416" t="s" s="2">
        <v>36319</v>
      </c>
      <c r="K9416" t="s" s="2">
        <v>22</v>
      </c>
      <c r="L9416" t="s" s="2">
        <v>22</v>
      </c>
      <c r="M9416" t="s" s="2">
        <v>22</v>
      </c>
    </row>
    <row r="9417" ht="25.0" customHeight="true">
      <c r="A9417" t="s" s="2">
        <v>13</v>
      </c>
      <c r="B9417" t="s" s="2">
        <f>HYPERLINK("http://ts.21cn.com/tousu/show/id/1359526","强制购买霸王白条")</f>
      </c>
      <c r="C9417" t="s" s="2">
        <v>15</v>
      </c>
      <c r="D9417" t="s" s="2">
        <v>16</v>
      </c>
      <c r="E9417" t="s" s="2">
        <v>17</v>
      </c>
      <c r="F9417" t="s" s="2">
        <f>HYPERLINK("http://ts.21cn.com/tousu/show/id/1359526","http://ts.21cn.com/tousu/show/id/1359526")</f>
      </c>
      <c r="G9417" t="s" s="2">
        <v>17</v>
      </c>
      <c r="H9417" t="s" s="2">
        <v>19</v>
      </c>
      <c r="I9417" t="s" s="2">
        <v>36322</v>
      </c>
      <c r="J9417" t="s" s="2">
        <v>36323</v>
      </c>
      <c r="K9417" t="s" s="2">
        <v>22</v>
      </c>
      <c r="L9417" t="s" s="2">
        <v>22</v>
      </c>
      <c r="M9417" t="s" s="2">
        <v>22</v>
      </c>
    </row>
    <row r="9418" ht="25.0" customHeight="true">
      <c r="A9418" t="s" s="2">
        <v>13</v>
      </c>
      <c r="B9418" t="s" s="2">
        <f>HYPERLINK("http://ts.21cn.com/tousu/show/id/1359524","钱站高利贷，阴阳合同")</f>
      </c>
      <c r="C9418" t="s" s="2">
        <v>15</v>
      </c>
      <c r="D9418" t="s" s="2">
        <v>16</v>
      </c>
      <c r="E9418" t="s" s="2">
        <v>17</v>
      </c>
      <c r="F9418" t="s" s="2">
        <f>HYPERLINK("http://ts.21cn.com/tousu/show/id/1359524","http://ts.21cn.com/tousu/show/id/1359524")</f>
      </c>
      <c r="G9418" t="s" s="2">
        <v>17</v>
      </c>
      <c r="H9418" t="s" s="2">
        <v>19</v>
      </c>
      <c r="I9418" t="s" s="2">
        <v>36325</v>
      </c>
      <c r="J9418" t="s" s="2">
        <v>36326</v>
      </c>
      <c r="K9418" t="s" s="2">
        <v>22</v>
      </c>
      <c r="L9418" t="s" s="2">
        <v>22</v>
      </c>
      <c r="M9418" t="s" s="2">
        <v>22</v>
      </c>
    </row>
    <row r="9419" ht="25.0" customHeight="true">
      <c r="A9419" t="s" s="2">
        <v>13</v>
      </c>
      <c r="B9419" t="s" s="2">
        <f>HYPERLINK("http://ts.21cn.com/tousu/show/id/1359520","美团暴力催收")</f>
      </c>
      <c r="C9419" t="s" s="2">
        <v>15</v>
      </c>
      <c r="D9419" t="s" s="2">
        <v>16</v>
      </c>
      <c r="E9419" t="s" s="2">
        <v>17</v>
      </c>
      <c r="F9419" t="s" s="2">
        <f>HYPERLINK("http://ts.21cn.com/tousu/show/id/1359520","http://ts.21cn.com/tousu/show/id/1359520")</f>
      </c>
      <c r="G9419" t="s" s="2">
        <v>17</v>
      </c>
      <c r="H9419" t="s" s="2">
        <v>19</v>
      </c>
      <c r="I9419" t="s" s="2">
        <v>36328</v>
      </c>
      <c r="J9419" t="s" s="2">
        <v>36329</v>
      </c>
      <c r="K9419" t="s" s="2">
        <v>22</v>
      </c>
      <c r="L9419" t="s" s="2">
        <v>22</v>
      </c>
      <c r="M9419" t="s" s="2">
        <v>22</v>
      </c>
    </row>
    <row r="9420" ht="25.0" customHeight="true">
      <c r="A9420" t="s" s="2">
        <v>13</v>
      </c>
      <c r="B9420" t="s" s="2">
        <f>HYPERLINK("http://ts.21cn.com/tousu/show/id/1359518","上海淇毓科技服务公司回档要资金合理吗？")</f>
      </c>
      <c r="C9420" t="s" s="2">
        <v>15</v>
      </c>
      <c r="D9420" t="s" s="2">
        <v>16</v>
      </c>
      <c r="E9420" t="s" s="2">
        <v>17</v>
      </c>
      <c r="F9420" t="s" s="2">
        <f>HYPERLINK("http://ts.21cn.com/tousu/show/id/1359518","http://ts.21cn.com/tousu/show/id/1359518")</f>
      </c>
      <c r="G9420" t="s" s="2">
        <v>17</v>
      </c>
      <c r="H9420" t="s" s="2">
        <v>19</v>
      </c>
      <c r="I9420" t="s" s="2">
        <v>36332</v>
      </c>
      <c r="J9420" t="s" s="2">
        <v>36333</v>
      </c>
      <c r="K9420" t="s" s="2">
        <v>22</v>
      </c>
      <c r="L9420" t="s" s="2">
        <v>22</v>
      </c>
      <c r="M9420" t="s" s="2">
        <v>22</v>
      </c>
    </row>
    <row r="9421" ht="25.0" customHeight="true">
      <c r="A9421" t="s" s="2">
        <v>13</v>
      </c>
      <c r="B9421" t="s" s="2">
        <f>HYPERLINK("http://ts.21cn.com/tousu/show/id/1359507","大庆雨诗铭科技有限公司无故扣款")</f>
      </c>
      <c r="C9421" t="s" s="2">
        <v>52</v>
      </c>
      <c r="D9421" t="s" s="2">
        <v>16</v>
      </c>
      <c r="E9421" t="s" s="2">
        <v>17</v>
      </c>
      <c r="F9421" t="s" s="2">
        <f>HYPERLINK("http://ts.21cn.com/tousu/show/id/1359507","http://ts.21cn.com/tousu/show/id/1359507")</f>
      </c>
      <c r="G9421" t="s" s="2">
        <v>17</v>
      </c>
      <c r="H9421" t="s" s="2">
        <v>19</v>
      </c>
      <c r="I9421" t="s" s="2">
        <v>36336</v>
      </c>
      <c r="J9421" t="s" s="2">
        <v>36337</v>
      </c>
      <c r="K9421" t="s" s="2">
        <v>22</v>
      </c>
      <c r="L9421" t="s" s="2">
        <v>22</v>
      </c>
      <c r="M9421" t="s" s="2">
        <v>22</v>
      </c>
    </row>
    <row r="9422" ht="25.0" customHeight="true">
      <c r="A9422" t="s" s="2">
        <v>13</v>
      </c>
      <c r="B9422" t="s" s="2">
        <f>HYPERLINK("http://ts.21cn.com/tousu/show/id/1359504","暴力催收恐吓骚扰")</f>
      </c>
      <c r="C9422" t="s" s="2">
        <v>15</v>
      </c>
      <c r="D9422" t="s" s="2">
        <v>16</v>
      </c>
      <c r="E9422" t="s" s="2">
        <v>17</v>
      </c>
      <c r="F9422" t="s" s="2">
        <f>HYPERLINK("http://ts.21cn.com/tousu/show/id/1359504","http://ts.21cn.com/tousu/show/id/1359504")</f>
      </c>
      <c r="G9422" t="s" s="2">
        <v>17</v>
      </c>
      <c r="H9422" t="s" s="2">
        <v>19</v>
      </c>
      <c r="I9422" t="s" s="2">
        <v>36340</v>
      </c>
      <c r="J9422" t="s" s="2">
        <v>36341</v>
      </c>
      <c r="K9422" t="s" s="2">
        <v>22</v>
      </c>
      <c r="L9422" t="s" s="2">
        <v>22</v>
      </c>
      <c r="M9422" t="s" s="2">
        <v>22</v>
      </c>
    </row>
    <row r="9423" ht="25.0" customHeight="true">
      <c r="A9423" t="s" s="2">
        <v>13</v>
      </c>
      <c r="B9423" t="s" s="2">
        <f>HYPERLINK("http://ts.21cn.com/tousu/show/id/1359502","及贷砍头息，借款金额与到账金额严重不符。")</f>
      </c>
      <c r="C9423" t="s" s="2">
        <v>15</v>
      </c>
      <c r="D9423" t="s" s="2">
        <v>16</v>
      </c>
      <c r="E9423" t="s" s="2">
        <v>17</v>
      </c>
      <c r="F9423" t="s" s="2">
        <f>HYPERLINK("http://ts.21cn.com/tousu/show/id/1359502","http://ts.21cn.com/tousu/show/id/1359502")</f>
      </c>
      <c r="G9423" t="s" s="2">
        <v>17</v>
      </c>
      <c r="H9423" t="s" s="2">
        <v>19</v>
      </c>
      <c r="I9423" t="s" s="2">
        <v>36344</v>
      </c>
      <c r="J9423" t="s" s="2">
        <v>36345</v>
      </c>
      <c r="K9423" t="s" s="2">
        <v>22</v>
      </c>
      <c r="L9423" t="s" s="2">
        <v>22</v>
      </c>
      <c r="M9423" t="s" s="2">
        <v>22</v>
      </c>
    </row>
    <row r="9424" ht="25.0" customHeight="true">
      <c r="A9424" t="s" s="2">
        <v>13</v>
      </c>
      <c r="B9424" t="s" s="2">
        <f>HYPERLINK("http://ts.21cn.com/tousu/show/id/1359498","投诉现金巴士高利贷砍头利息")</f>
      </c>
      <c r="C9424" t="s" s="2">
        <v>15</v>
      </c>
      <c r="D9424" t="s" s="2">
        <v>16</v>
      </c>
      <c r="E9424" t="s" s="2">
        <v>17</v>
      </c>
      <c r="F9424" t="s" s="2">
        <f>HYPERLINK("http://ts.21cn.com/tousu/show/id/1359498","http://ts.21cn.com/tousu/show/id/1359498")</f>
      </c>
      <c r="G9424" t="s" s="2">
        <v>17</v>
      </c>
      <c r="H9424" t="s" s="2">
        <v>19</v>
      </c>
      <c r="I9424" t="s" s="2">
        <v>36348</v>
      </c>
      <c r="J9424" t="s" s="2">
        <v>36349</v>
      </c>
      <c r="K9424" t="s" s="2">
        <v>22</v>
      </c>
      <c r="L9424" t="s" s="2">
        <v>22</v>
      </c>
      <c r="M9424" t="s" s="2">
        <v>22</v>
      </c>
    </row>
    <row r="9425" ht="25.0" customHeight="true">
      <c r="A9425" t="s" s="2">
        <v>13</v>
      </c>
      <c r="B9425" t="s" s="2">
        <f>HYPERLINK("http://ts.21cn.com/tousu/show/id/1359495","利息高于国家标准，暴力催收，打骚扰电话，")</f>
      </c>
      <c r="C9425" t="s" s="2">
        <v>15</v>
      </c>
      <c r="D9425" t="s" s="2">
        <v>16</v>
      </c>
      <c r="E9425" t="s" s="2">
        <v>17</v>
      </c>
      <c r="F9425" t="s" s="2">
        <f>HYPERLINK("http://ts.21cn.com/tousu/show/id/1359495","http://ts.21cn.com/tousu/show/id/1359495")</f>
      </c>
      <c r="G9425" t="s" s="2">
        <v>17</v>
      </c>
      <c r="H9425" t="s" s="2">
        <v>19</v>
      </c>
      <c r="I9425" t="s" s="2">
        <v>36352</v>
      </c>
      <c r="J9425" t="s" s="2">
        <v>36353</v>
      </c>
      <c r="K9425" t="s" s="2">
        <v>22</v>
      </c>
      <c r="L9425" t="s" s="2">
        <v>22</v>
      </c>
      <c r="M9425" t="s" s="2">
        <v>22</v>
      </c>
    </row>
    <row r="9426" ht="25.0" customHeight="true">
      <c r="A9426" t="s" s="2">
        <v>13</v>
      </c>
      <c r="B9426" t="s" s="2">
        <f>HYPERLINK("http://ts.21cn.com/tousu/show/id/1359490","牛人有品砍头息")</f>
      </c>
      <c r="C9426" t="s" s="2">
        <v>52</v>
      </c>
      <c r="D9426" t="s" s="2">
        <v>16</v>
      </c>
      <c r="E9426" t="s" s="2">
        <v>17</v>
      </c>
      <c r="F9426" t="s" s="2">
        <f>HYPERLINK("http://ts.21cn.com/tousu/show/id/1359490","http://ts.21cn.com/tousu/show/id/1359490")</f>
      </c>
      <c r="G9426" t="s" s="2">
        <v>17</v>
      </c>
      <c r="H9426" t="s" s="2">
        <v>19</v>
      </c>
      <c r="I9426" t="s" s="2">
        <v>36355</v>
      </c>
      <c r="J9426" t="s" s="2">
        <v>36356</v>
      </c>
      <c r="K9426" t="s" s="2">
        <v>22</v>
      </c>
      <c r="L9426" t="s" s="2">
        <v>22</v>
      </c>
      <c r="M9426" t="s" s="2">
        <v>22</v>
      </c>
    </row>
    <row r="9427" ht="25.0" customHeight="true">
      <c r="A9427" t="s" s="2">
        <v>13</v>
      </c>
      <c r="B9427" t="s" s="2">
        <f>HYPERLINK("http://ts.21cn.com/tousu/show/id/1359492","玖富高利贷")</f>
      </c>
      <c r="C9427" t="s" s="2">
        <v>15</v>
      </c>
      <c r="D9427" t="s" s="2">
        <v>16</v>
      </c>
      <c r="E9427" t="s" s="2">
        <v>17</v>
      </c>
      <c r="F9427" t="s" s="2">
        <f>HYPERLINK("http://ts.21cn.com/tousu/show/id/1359492","http://ts.21cn.com/tousu/show/id/1359492")</f>
      </c>
      <c r="G9427" t="s" s="2">
        <v>17</v>
      </c>
      <c r="H9427" t="s" s="2">
        <v>19</v>
      </c>
      <c r="I9427" t="s" s="2">
        <v>36358</v>
      </c>
      <c r="J9427" t="s" s="2">
        <v>36359</v>
      </c>
      <c r="K9427" t="s" s="2">
        <v>22</v>
      </c>
      <c r="L9427" t="s" s="2">
        <v>22</v>
      </c>
      <c r="M9427" t="s" s="2">
        <v>22</v>
      </c>
    </row>
    <row r="9428" ht="25.0" customHeight="true">
      <c r="A9428" t="s" s="2">
        <v>13</v>
      </c>
      <c r="B9428" t="s" s="2">
        <f>HYPERLINK("http://ts.21cn.com/tousu/show/id/1359487","上海瀚银科技提供违法通道")</f>
      </c>
      <c r="C9428" t="s" s="2">
        <v>15</v>
      </c>
      <c r="D9428" t="s" s="2">
        <v>16</v>
      </c>
      <c r="E9428" t="s" s="2">
        <v>17</v>
      </c>
      <c r="F9428" t="s" s="2">
        <f>HYPERLINK("http://ts.21cn.com/tousu/show/id/1359487","http://ts.21cn.com/tousu/show/id/1359487")</f>
      </c>
      <c r="G9428" t="s" s="2">
        <v>17</v>
      </c>
      <c r="H9428" t="s" s="2">
        <v>19</v>
      </c>
      <c r="I9428" t="s" s="2">
        <v>36362</v>
      </c>
      <c r="J9428" t="s" s="2">
        <v>36363</v>
      </c>
      <c r="K9428" t="s" s="2">
        <v>22</v>
      </c>
      <c r="L9428" t="s" s="2">
        <v>22</v>
      </c>
      <c r="M9428" t="s" s="2">
        <v>22</v>
      </c>
    </row>
    <row r="9429" ht="25.0" customHeight="true">
      <c r="A9429" t="s" s="2">
        <v>13</v>
      </c>
      <c r="B9429" t="s" s="2">
        <f>HYPERLINK("http://ts.21cn.com/tousu/show/id/1359484","期待合伙人变向收取高额费用")</f>
      </c>
      <c r="C9429" t="s" s="2">
        <v>15</v>
      </c>
      <c r="D9429" t="s" s="2">
        <v>16</v>
      </c>
      <c r="E9429" t="s" s="2">
        <v>17</v>
      </c>
      <c r="F9429" t="s" s="2">
        <f>HYPERLINK("http://ts.21cn.com/tousu/show/id/1359484","http://ts.21cn.com/tousu/show/id/1359484")</f>
      </c>
      <c r="G9429" t="s" s="2">
        <v>17</v>
      </c>
      <c r="H9429" t="s" s="2">
        <v>19</v>
      </c>
      <c r="I9429" t="s" s="2">
        <v>36366</v>
      </c>
      <c r="J9429" t="s" s="2">
        <v>36367</v>
      </c>
      <c r="K9429" t="s" s="2">
        <v>22</v>
      </c>
      <c r="L9429" t="s" s="2">
        <v>22</v>
      </c>
      <c r="M9429" t="s" s="2">
        <v>22</v>
      </c>
    </row>
    <row r="9430" ht="25.0" customHeight="true">
      <c r="A9430" t="s" s="2">
        <v>13</v>
      </c>
      <c r="B9430" t="s" s="2">
        <f>HYPERLINK("http://ts.21cn.com/tousu/show/id/1359481","新橙优品高利息")</f>
      </c>
      <c r="C9430" t="s" s="2">
        <v>15</v>
      </c>
      <c r="D9430" t="s" s="2">
        <v>16</v>
      </c>
      <c r="E9430" t="s" s="2">
        <v>17</v>
      </c>
      <c r="F9430" t="s" s="2">
        <f>HYPERLINK("http://ts.21cn.com/tousu/show/id/1359481","http://ts.21cn.com/tousu/show/id/1359481")</f>
      </c>
      <c r="G9430" t="s" s="2">
        <v>17</v>
      </c>
      <c r="H9430" t="s" s="2">
        <v>19</v>
      </c>
      <c r="I9430" t="s" s="2">
        <v>36370</v>
      </c>
      <c r="J9430" t="s" s="2">
        <v>36371</v>
      </c>
      <c r="K9430" t="s" s="2">
        <v>22</v>
      </c>
      <c r="L9430" t="s" s="2">
        <v>22</v>
      </c>
      <c r="M9430" t="s" s="2">
        <v>22</v>
      </c>
    </row>
    <row r="9431" ht="25.0" customHeight="true">
      <c r="A9431" t="s" s="2">
        <v>13</v>
      </c>
      <c r="B9431" t="s" s="2">
        <f>HYPERLINK("http://ts.21cn.com/tousu/show/id/1359476","钱站APP虚假合同，高利息，高服务费，高逾期费，电话暴力骚扰")</f>
      </c>
      <c r="C9431" t="s" s="2">
        <v>15</v>
      </c>
      <c r="D9431" t="s" s="2">
        <v>16</v>
      </c>
      <c r="E9431" t="s" s="2">
        <v>17</v>
      </c>
      <c r="F9431" t="s" s="2">
        <f>HYPERLINK("http://ts.21cn.com/tousu/show/id/1359476","http://ts.21cn.com/tousu/show/id/1359476")</f>
      </c>
      <c r="G9431" t="s" s="2">
        <v>17</v>
      </c>
      <c r="H9431" t="s" s="2">
        <v>19</v>
      </c>
      <c r="I9431" t="s" s="2">
        <v>36374</v>
      </c>
      <c r="J9431" t="s" s="2">
        <v>36375</v>
      </c>
      <c r="K9431" t="s" s="2">
        <v>22</v>
      </c>
      <c r="L9431" t="s" s="2">
        <v>22</v>
      </c>
      <c r="M9431" t="s" s="2">
        <v>22</v>
      </c>
    </row>
    <row r="9432" ht="25.0" customHeight="true">
      <c r="A9432" t="s" s="2">
        <v>13</v>
      </c>
      <c r="B9432" t="s" s="2">
        <f>HYPERLINK("http://ts.21cn.com/tousu/show/id/1359473","翼钱包砍头息高利贷")</f>
      </c>
      <c r="C9432" t="s" s="2">
        <v>15</v>
      </c>
      <c r="D9432" t="s" s="2">
        <v>16</v>
      </c>
      <c r="E9432" t="s" s="2">
        <v>17</v>
      </c>
      <c r="F9432" t="s" s="2">
        <f>HYPERLINK("http://ts.21cn.com/tousu/show/id/1359473","http://ts.21cn.com/tousu/show/id/1359473")</f>
      </c>
      <c r="G9432" t="s" s="2">
        <v>17</v>
      </c>
      <c r="H9432" t="s" s="2">
        <v>19</v>
      </c>
      <c r="I9432" t="s" s="2">
        <v>36378</v>
      </c>
      <c r="J9432" t="s" s="2">
        <v>36379</v>
      </c>
      <c r="K9432" t="s" s="2">
        <v>22</v>
      </c>
      <c r="L9432" t="s" s="2">
        <v>22</v>
      </c>
      <c r="M9432" t="s" s="2">
        <v>22</v>
      </c>
    </row>
    <row r="9433" ht="25.0" customHeight="true">
      <c r="A9433" t="s" s="2">
        <v>13</v>
      </c>
      <c r="B9433" t="s" s="2">
        <f>HYPERLINK("http://ts.21cn.com/tousu/show/id/1359470","宝付支付和特约支付联合翼钱包非法从事高利贷")</f>
      </c>
      <c r="C9433" t="s" s="2">
        <v>15</v>
      </c>
      <c r="D9433" t="s" s="2">
        <v>16</v>
      </c>
      <c r="E9433" t="s" s="2">
        <v>17</v>
      </c>
      <c r="F9433" t="s" s="2">
        <f>HYPERLINK("http://ts.21cn.com/tousu/show/id/1359470","http://ts.21cn.com/tousu/show/id/1359470")</f>
      </c>
      <c r="G9433" t="s" s="2">
        <v>17</v>
      </c>
      <c r="H9433" t="s" s="2">
        <v>19</v>
      </c>
      <c r="I9433" t="s" s="2">
        <v>36382</v>
      </c>
      <c r="J9433" t="s" s="2">
        <v>36383</v>
      </c>
      <c r="K9433" t="s" s="2">
        <v>22</v>
      </c>
      <c r="L9433" t="s" s="2">
        <v>22</v>
      </c>
      <c r="M9433" t="s" s="2">
        <v>22</v>
      </c>
    </row>
    <row r="9434" ht="25.0" customHeight="true">
      <c r="A9434" t="s" s="2">
        <v>13</v>
      </c>
      <c r="B9434" t="s" s="2">
        <f>HYPERLINK("http://ts.21cn.com/tousu/show/id/1359465","真情万里行航旅管家")</f>
      </c>
      <c r="C9434" t="s" s="2">
        <v>15</v>
      </c>
      <c r="D9434" t="s" s="2">
        <v>16</v>
      </c>
      <c r="E9434" t="s" s="2">
        <v>17</v>
      </c>
      <c r="F9434" t="s" s="2">
        <f>HYPERLINK("http://ts.21cn.com/tousu/show/id/1359465","http://ts.21cn.com/tousu/show/id/1359465")</f>
      </c>
      <c r="G9434" t="s" s="2">
        <v>17</v>
      </c>
      <c r="H9434" t="s" s="2">
        <v>19</v>
      </c>
      <c r="I9434" t="s" s="2">
        <v>36386</v>
      </c>
      <c r="J9434" t="s" s="2">
        <v>36387</v>
      </c>
      <c r="K9434" t="s" s="2">
        <v>22</v>
      </c>
      <c r="L9434" t="s" s="2">
        <v>22</v>
      </c>
      <c r="M9434" t="s" s="2">
        <v>22</v>
      </c>
    </row>
    <row r="9435" ht="25.0" customHeight="true">
      <c r="A9435" t="s" s="2">
        <v>13</v>
      </c>
      <c r="B9435" t="s" s="2">
        <f>HYPERLINK("http://ts.21cn.com/tousu/show/id/1359458","好易贷714高炮，砍高额头息，恐吓威胁家人和朋友")</f>
      </c>
      <c r="C9435" t="s" s="2">
        <v>15</v>
      </c>
      <c r="D9435" t="s" s="2">
        <v>16</v>
      </c>
      <c r="E9435" t="s" s="2">
        <v>17</v>
      </c>
      <c r="F9435" t="s" s="2">
        <f>HYPERLINK("http://ts.21cn.com/tousu/show/id/1359458","http://ts.21cn.com/tousu/show/id/1359458")</f>
      </c>
      <c r="G9435" t="s" s="2">
        <v>17</v>
      </c>
      <c r="H9435" t="s" s="2">
        <v>19</v>
      </c>
      <c r="I9435" t="s" s="2">
        <v>36390</v>
      </c>
      <c r="J9435" t="s" s="2">
        <v>36391</v>
      </c>
      <c r="K9435" t="s" s="2">
        <v>22</v>
      </c>
      <c r="L9435" t="s" s="2">
        <v>22</v>
      </c>
      <c r="M9435" t="s" s="2">
        <v>22</v>
      </c>
    </row>
    <row r="9436" ht="25.0" customHeight="true">
      <c r="A9436" t="s" s="2">
        <v>13</v>
      </c>
      <c r="B9436" t="s" s="2">
        <f>HYPERLINK("http://ts.21cn.com/tousu/show/id/1359457","恶意扣款")</f>
      </c>
      <c r="C9436" t="s" s="2">
        <v>15</v>
      </c>
      <c r="D9436" t="s" s="2">
        <v>16</v>
      </c>
      <c r="E9436" t="s" s="2">
        <v>17</v>
      </c>
      <c r="F9436" t="s" s="2">
        <f>HYPERLINK("http://ts.21cn.com/tousu/show/id/1359457","http://ts.21cn.com/tousu/show/id/1359457")</f>
      </c>
      <c r="G9436" t="s" s="2">
        <v>17</v>
      </c>
      <c r="H9436" t="s" s="2">
        <v>19</v>
      </c>
      <c r="I9436" t="s" s="2">
        <v>36393</v>
      </c>
      <c r="J9436" t="s" s="2">
        <v>36394</v>
      </c>
      <c r="K9436" t="s" s="2">
        <v>22</v>
      </c>
      <c r="L9436" t="s" s="2">
        <v>22</v>
      </c>
      <c r="M9436" t="s" s="2">
        <v>22</v>
      </c>
    </row>
    <row r="9437" ht="25.0" customHeight="true">
      <c r="A9437" t="s" s="2">
        <v>13</v>
      </c>
      <c r="B9437" t="s" s="2">
        <f>HYPERLINK("http://ts.21cn.com/tousu/show/id/1359456","你我贷高额利息")</f>
      </c>
      <c r="C9437" t="s" s="2">
        <v>15</v>
      </c>
      <c r="D9437" t="s" s="2">
        <v>16</v>
      </c>
      <c r="E9437" t="s" s="2">
        <v>17</v>
      </c>
      <c r="F9437" t="s" s="2">
        <f>HYPERLINK("http://ts.21cn.com/tousu/show/id/1359456","http://ts.21cn.com/tousu/show/id/1359456")</f>
      </c>
      <c r="G9437" t="s" s="2">
        <v>17</v>
      </c>
      <c r="H9437" t="s" s="2">
        <v>19</v>
      </c>
      <c r="I9437" t="s" s="2">
        <v>36397</v>
      </c>
      <c r="J9437" t="s" s="2">
        <v>36398</v>
      </c>
      <c r="K9437" t="s" s="2">
        <v>22</v>
      </c>
      <c r="L9437" t="s" s="2">
        <v>22</v>
      </c>
      <c r="M9437" t="s" s="2">
        <v>22</v>
      </c>
    </row>
    <row r="9438" ht="25.0" customHeight="true">
      <c r="A9438" t="s" s="2">
        <v>13</v>
      </c>
      <c r="B9438" t="s" s="2">
        <f>HYPERLINK("http://ts.21cn.com/tousu/show/id/1359455","不正规网贷平台")</f>
      </c>
      <c r="C9438" t="s" s="2">
        <v>15</v>
      </c>
      <c r="D9438" t="s" s="2">
        <v>16</v>
      </c>
      <c r="E9438" t="s" s="2">
        <v>17</v>
      </c>
      <c r="F9438" t="s" s="2">
        <f>HYPERLINK("http://ts.21cn.com/tousu/show/id/1359455","http://ts.21cn.com/tousu/show/id/1359455")</f>
      </c>
      <c r="G9438" t="s" s="2">
        <v>17</v>
      </c>
      <c r="H9438" t="s" s="2">
        <v>19</v>
      </c>
      <c r="I9438" t="s" s="2">
        <v>36401</v>
      </c>
      <c r="J9438" t="s" s="2">
        <v>36402</v>
      </c>
      <c r="K9438" t="s" s="2">
        <v>22</v>
      </c>
      <c r="L9438" t="s" s="2">
        <v>22</v>
      </c>
      <c r="M9438" t="s" s="2">
        <v>22</v>
      </c>
    </row>
    <row r="9439" ht="25.0" customHeight="true">
      <c r="A9439" t="s" s="2">
        <v>13</v>
      </c>
      <c r="B9439" t="s" s="2">
        <f>HYPERLINK("http://ts.21cn.com/tousu/show/id/1359454","豆豆钱故意让你逾期并收取逾期费用")</f>
      </c>
      <c r="C9439" t="s" s="2">
        <v>52</v>
      </c>
      <c r="D9439" t="s" s="2">
        <v>16</v>
      </c>
      <c r="E9439" t="s" s="2">
        <v>17</v>
      </c>
      <c r="F9439" t="s" s="2">
        <f>HYPERLINK("http://ts.21cn.com/tousu/show/id/1359454","http://ts.21cn.com/tousu/show/id/1359454")</f>
      </c>
      <c r="G9439" t="s" s="2">
        <v>17</v>
      </c>
      <c r="H9439" t="s" s="2">
        <v>19</v>
      </c>
      <c r="I9439" t="s" s="2">
        <v>36405</v>
      </c>
      <c r="J9439" t="s" s="2">
        <v>36406</v>
      </c>
      <c r="K9439" t="s" s="2">
        <v>22</v>
      </c>
      <c r="L9439" t="s" s="2">
        <v>22</v>
      </c>
      <c r="M9439" t="s" s="2">
        <v>22</v>
      </c>
    </row>
    <row r="9440" ht="25.0" customHeight="true">
      <c r="A9440" t="s" s="2">
        <v>13</v>
      </c>
      <c r="B9440" t="s" s="2">
        <f>HYPERLINK("http://ts.21cn.com/tousu/show/id/1359453","恒易贷逾期一天催收费一百元，高额利息，变相高利贷")</f>
      </c>
      <c r="C9440" t="s" s="2">
        <v>15</v>
      </c>
      <c r="D9440" t="s" s="2">
        <v>16</v>
      </c>
      <c r="E9440" t="s" s="2">
        <v>17</v>
      </c>
      <c r="F9440" t="s" s="2">
        <f>HYPERLINK("http://ts.21cn.com/tousu/show/id/1359453","http://ts.21cn.com/tousu/show/id/1359453")</f>
      </c>
      <c r="G9440" t="s" s="2">
        <v>17</v>
      </c>
      <c r="H9440" t="s" s="2">
        <v>19</v>
      </c>
      <c r="I9440" t="s" s="2">
        <v>36409</v>
      </c>
      <c r="J9440" t="s" s="2">
        <v>36410</v>
      </c>
      <c r="K9440" t="s" s="2">
        <v>22</v>
      </c>
      <c r="L9440" t="s" s="2">
        <v>22</v>
      </c>
      <c r="M9440" t="s" s="2">
        <v>22</v>
      </c>
    </row>
    <row r="9441" ht="25.0" customHeight="true">
      <c r="A9441" t="s" s="2">
        <v>13</v>
      </c>
      <c r="B9441" t="s" s="2">
        <f>HYPERLINK("http://ts.21cn.com/tousu/show/id/1359452","套路贷平台还不了款故意导致逾期")</f>
      </c>
      <c r="C9441" t="s" s="2">
        <v>15</v>
      </c>
      <c r="D9441" t="s" s="2">
        <v>16</v>
      </c>
      <c r="E9441" t="s" s="2">
        <v>17</v>
      </c>
      <c r="F9441" t="s" s="2">
        <f>HYPERLINK("http://ts.21cn.com/tousu/show/id/1359452","http://ts.21cn.com/tousu/show/id/1359452")</f>
      </c>
      <c r="G9441" t="s" s="2">
        <v>17</v>
      </c>
      <c r="H9441" t="s" s="2">
        <v>19</v>
      </c>
      <c r="I9441" t="s" s="2">
        <v>36413</v>
      </c>
      <c r="J9441" t="s" s="2">
        <v>36414</v>
      </c>
      <c r="K9441" t="s" s="2">
        <v>22</v>
      </c>
      <c r="L9441" t="s" s="2">
        <v>22</v>
      </c>
      <c r="M9441" t="s" s="2">
        <v>22</v>
      </c>
    </row>
    <row r="9442" ht="25.0" customHeight="true">
      <c r="A9442" t="s" s="2">
        <v>13</v>
      </c>
      <c r="B9442" t="s" s="2">
        <f>HYPERLINK("http://ts.21cn.com/tousu/show/id/1359451","714高炮啊")</f>
      </c>
      <c r="C9442" t="s" s="2">
        <v>15</v>
      </c>
      <c r="D9442" t="s" s="2">
        <v>16</v>
      </c>
      <c r="E9442" t="s" s="2">
        <v>17</v>
      </c>
      <c r="F9442" t="s" s="2">
        <f>HYPERLINK("http://ts.21cn.com/tousu/show/id/1359451","http://ts.21cn.com/tousu/show/id/1359451")</f>
      </c>
      <c r="G9442" t="s" s="2">
        <v>17</v>
      </c>
      <c r="H9442" t="s" s="2">
        <v>19</v>
      </c>
      <c r="I9442" t="s" s="2">
        <v>36417</v>
      </c>
      <c r="J9442" t="s" s="2">
        <v>36418</v>
      </c>
      <c r="K9442" t="s" s="2">
        <v>22</v>
      </c>
      <c r="L9442" t="s" s="2">
        <v>22</v>
      </c>
      <c r="M9442" t="s" s="2">
        <v>22</v>
      </c>
    </row>
    <row r="9443" ht="25.0" customHeight="true">
      <c r="A9443" t="s" s="2">
        <v>13</v>
      </c>
      <c r="B9443" t="s" s="2">
        <f>HYPERLINK("http://ts.21cn.com/tousu/show/id/1359450","宜贷分期高利贷")</f>
      </c>
      <c r="C9443" t="s" s="2">
        <v>15</v>
      </c>
      <c r="D9443" t="s" s="2">
        <v>16</v>
      </c>
      <c r="E9443" t="s" s="2">
        <v>17</v>
      </c>
      <c r="F9443" t="s" s="2">
        <f>HYPERLINK("http://ts.21cn.com/tousu/show/id/1359450","http://ts.21cn.com/tousu/show/id/1359450")</f>
      </c>
      <c r="G9443" t="s" s="2">
        <v>17</v>
      </c>
      <c r="H9443" t="s" s="2">
        <v>19</v>
      </c>
      <c r="I9443" t="s" s="2">
        <v>36421</v>
      </c>
      <c r="J9443" t="s" s="2">
        <v>36422</v>
      </c>
      <c r="K9443" t="s" s="2">
        <v>22</v>
      </c>
      <c r="L9443" t="s" s="2">
        <v>22</v>
      </c>
      <c r="M9443" t="s" s="2">
        <v>22</v>
      </c>
    </row>
    <row r="9444" ht="25.0" customHeight="true">
      <c r="A9444" t="s" s="2">
        <v>13</v>
      </c>
      <c r="B9444" t="s" s="2">
        <f>HYPERLINK("http://ts.21cn.com/tousu/show/id/1353187","维信卡卡贷涉嫌高利率")</f>
      </c>
      <c r="C9444" t="s" s="2">
        <v>15</v>
      </c>
      <c r="D9444" t="s" s="2">
        <v>16</v>
      </c>
      <c r="E9444" t="s" s="2">
        <v>17</v>
      </c>
      <c r="F9444" t="s" s="2">
        <f>HYPERLINK("http://ts.21cn.com/tousu/show/id/1353187","http://ts.21cn.com/tousu/show/id/1353187")</f>
      </c>
      <c r="G9444" t="s" s="2">
        <v>17</v>
      </c>
      <c r="H9444" t="s" s="2">
        <v>19</v>
      </c>
      <c r="I9444" t="s" s="2">
        <v>36425</v>
      </c>
      <c r="J9444" t="s" s="2">
        <v>36426</v>
      </c>
      <c r="K9444" t="s" s="2">
        <v>22</v>
      </c>
      <c r="L9444" t="s" s="2">
        <v>22</v>
      </c>
      <c r="M9444" t="s" s="2">
        <v>22</v>
      </c>
    </row>
    <row r="9445" ht="25.0" customHeight="true">
      <c r="A9445" t="s" s="2">
        <v>13</v>
      </c>
      <c r="B9445" t="s" s="2">
        <f>HYPERLINK("http://ts.21cn.com/tousu/show/id/1359449","现金巴士高利贷")</f>
      </c>
      <c r="C9445" t="s" s="2">
        <v>15</v>
      </c>
      <c r="D9445" t="s" s="2">
        <v>16</v>
      </c>
      <c r="E9445" t="s" s="2">
        <v>17</v>
      </c>
      <c r="F9445" t="s" s="2">
        <f>HYPERLINK("http://ts.21cn.com/tousu/show/id/1359449","http://ts.21cn.com/tousu/show/id/1359449")</f>
      </c>
      <c r="G9445" t="s" s="2">
        <v>17</v>
      </c>
      <c r="H9445" t="s" s="2">
        <v>19</v>
      </c>
      <c r="I9445" t="s" s="2">
        <v>36428</v>
      </c>
      <c r="J9445" t="s" s="2">
        <v>36429</v>
      </c>
      <c r="K9445" t="s" s="2">
        <v>22</v>
      </c>
      <c r="L9445" t="s" s="2">
        <v>22</v>
      </c>
      <c r="M9445" t="s" s="2">
        <v>22</v>
      </c>
    </row>
    <row r="9446" ht="25.0" customHeight="true">
      <c r="A9446" t="s" s="2">
        <v>13</v>
      </c>
      <c r="B9446" t="s" s="2">
        <f>HYPERLINK("http://ts.21cn.com/tousu/show/id/1359447","高额度的服务费暴力催收爆我通讯录威胁我的家人")</f>
      </c>
      <c r="C9446" t="s" s="2">
        <v>15</v>
      </c>
      <c r="D9446" t="s" s="2">
        <v>16</v>
      </c>
      <c r="E9446" t="s" s="2">
        <v>17</v>
      </c>
      <c r="F9446" t="s" s="2">
        <f>HYPERLINK("http://ts.21cn.com/tousu/show/id/1359447","http://ts.21cn.com/tousu/show/id/1359447")</f>
      </c>
      <c r="G9446" t="s" s="2">
        <v>17</v>
      </c>
      <c r="H9446" t="s" s="2">
        <v>19</v>
      </c>
      <c r="I9446" t="s" s="2">
        <v>36432</v>
      </c>
      <c r="J9446" t="s" s="2">
        <v>36433</v>
      </c>
      <c r="K9446" t="s" s="2">
        <v>22</v>
      </c>
      <c r="L9446" t="s" s="2">
        <v>22</v>
      </c>
      <c r="M9446" t="s" s="2">
        <v>22</v>
      </c>
    </row>
    <row r="9447" ht="25.0" customHeight="true">
      <c r="A9447" t="s" s="2">
        <v>13</v>
      </c>
      <c r="B9447" t="s" s="2">
        <f>HYPERLINK("http://ts.21cn.com/tousu/show/id/1359446","南京科芮恩整形中心，易美健")</f>
      </c>
      <c r="C9447" t="s" s="2">
        <v>15</v>
      </c>
      <c r="D9447" t="s" s="2">
        <v>16</v>
      </c>
      <c r="E9447" t="s" s="2">
        <v>17</v>
      </c>
      <c r="F9447" t="s" s="2">
        <f>HYPERLINK("http://ts.21cn.com/tousu/show/id/1359446","http://ts.21cn.com/tousu/show/id/1359446")</f>
      </c>
      <c r="G9447" t="s" s="2">
        <v>17</v>
      </c>
      <c r="H9447" t="s" s="2">
        <v>19</v>
      </c>
      <c r="I9447" t="s" s="2">
        <v>36436</v>
      </c>
      <c r="J9447" t="s" s="2">
        <v>36437</v>
      </c>
      <c r="K9447" t="s" s="2">
        <v>22</v>
      </c>
      <c r="L9447" t="s" s="2">
        <v>22</v>
      </c>
      <c r="M9447" t="s" s="2">
        <v>22</v>
      </c>
    </row>
    <row r="9448" ht="25.0" customHeight="true">
      <c r="A9448" t="s" s="2">
        <v>13</v>
      </c>
      <c r="B9448" t="s" s="2">
        <f>HYPERLINK("http://ts.21cn.com/tousu/show/id/1359444","分期乐贷款超过国家规定的36%")</f>
      </c>
      <c r="C9448" t="s" s="2">
        <v>52</v>
      </c>
      <c r="D9448" t="s" s="2">
        <v>16</v>
      </c>
      <c r="E9448" t="s" s="2">
        <v>17</v>
      </c>
      <c r="F9448" t="s" s="2">
        <f>HYPERLINK("http://ts.21cn.com/tousu/show/id/1359444","http://ts.21cn.com/tousu/show/id/1359444")</f>
      </c>
      <c r="G9448" t="s" s="2">
        <v>17</v>
      </c>
      <c r="H9448" t="s" s="2">
        <v>19</v>
      </c>
      <c r="I9448" t="s" s="2">
        <v>36440</v>
      </c>
      <c r="J9448" t="s" s="2">
        <v>36441</v>
      </c>
      <c r="K9448" t="s" s="2">
        <v>22</v>
      </c>
      <c r="L9448" t="s" s="2">
        <v>22</v>
      </c>
      <c r="M9448" t="s" s="2">
        <v>22</v>
      </c>
    </row>
    <row r="9449" ht="25.0" customHeight="true">
      <c r="A9449" t="s" s="2">
        <v>13</v>
      </c>
      <c r="B9449" t="s" s="2">
        <f>HYPERLINK("http://ts.21cn.com/tousu/show/id/1359443","王者钱包砍头息暴力催收请退钱")</f>
      </c>
      <c r="C9449" t="s" s="2">
        <v>15</v>
      </c>
      <c r="D9449" t="s" s="2">
        <v>16</v>
      </c>
      <c r="E9449" t="s" s="2">
        <v>17</v>
      </c>
      <c r="F9449" t="s" s="2">
        <f>HYPERLINK("http://ts.21cn.com/tousu/show/id/1359443","http://ts.21cn.com/tousu/show/id/1359443")</f>
      </c>
      <c r="G9449" t="s" s="2">
        <v>17</v>
      </c>
      <c r="H9449" t="s" s="2">
        <v>19</v>
      </c>
      <c r="I9449" t="s" s="2">
        <v>36444</v>
      </c>
      <c r="J9449" t="s" s="2">
        <v>36445</v>
      </c>
      <c r="K9449" t="s" s="2">
        <v>22</v>
      </c>
      <c r="L9449" t="s" s="2">
        <v>22</v>
      </c>
      <c r="M9449" t="s" s="2">
        <v>22</v>
      </c>
    </row>
    <row r="9450" ht="25.0" customHeight="true">
      <c r="A9450" t="s" s="2">
        <v>13</v>
      </c>
      <c r="B9450" t="s" s="2">
        <f>HYPERLINK("http://ts.21cn.com/tousu/show/id/1359441","玖富万卡擅自改写合同，变相收取费用，高利贷")</f>
      </c>
      <c r="C9450" t="s" s="2">
        <v>15</v>
      </c>
      <c r="D9450" t="s" s="2">
        <v>16</v>
      </c>
      <c r="E9450" t="s" s="2">
        <v>17</v>
      </c>
      <c r="F9450" t="s" s="2">
        <f>HYPERLINK("http://ts.21cn.com/tousu/show/id/1359441","http://ts.21cn.com/tousu/show/id/1359441")</f>
      </c>
      <c r="G9450" t="s" s="2">
        <v>17</v>
      </c>
      <c r="H9450" t="s" s="2">
        <v>19</v>
      </c>
      <c r="I9450" t="s" s="2">
        <v>36447</v>
      </c>
      <c r="J9450" t="s" s="2">
        <v>36448</v>
      </c>
      <c r="K9450" t="s" s="2">
        <v>22</v>
      </c>
      <c r="L9450" t="s" s="2">
        <v>22</v>
      </c>
      <c r="M9450" t="s" s="2">
        <v>22</v>
      </c>
    </row>
    <row r="9451" ht="25.0" customHeight="true">
      <c r="A9451" t="s" s="2">
        <v>13</v>
      </c>
      <c r="B9451" t="s" s="2">
        <f>HYPERLINK("http://ts.21cn.com/tousu/show/id/1359440","人人花乱扣费")</f>
      </c>
      <c r="C9451" t="s" s="2">
        <v>15</v>
      </c>
      <c r="D9451" t="s" s="2">
        <v>16</v>
      </c>
      <c r="E9451" t="s" s="2">
        <v>17</v>
      </c>
      <c r="F9451" t="s" s="2">
        <f>HYPERLINK("http://ts.21cn.com/tousu/show/id/1359440","http://ts.21cn.com/tousu/show/id/1359440")</f>
      </c>
      <c r="G9451" t="s" s="2">
        <v>17</v>
      </c>
      <c r="H9451" t="s" s="2">
        <v>19</v>
      </c>
      <c r="I9451" t="s" s="2">
        <v>36450</v>
      </c>
      <c r="J9451" t="s" s="2">
        <v>36451</v>
      </c>
      <c r="K9451" t="s" s="2">
        <v>22</v>
      </c>
      <c r="L9451" t="s" s="2">
        <v>22</v>
      </c>
      <c r="M9451" t="s" s="2">
        <v>22</v>
      </c>
    </row>
    <row r="9452" ht="25.0" customHeight="true">
      <c r="A9452" t="s" s="2">
        <v>13</v>
      </c>
      <c r="B9452" t="s" s="2">
        <f>HYPERLINK("http://ts.21cn.com/tousu/show/id/1359439","点点通到期不扣款app登陆不进去客服电话无法接通")</f>
      </c>
      <c r="C9452" t="s" s="2">
        <v>52</v>
      </c>
      <c r="D9452" t="s" s="2">
        <v>16</v>
      </c>
      <c r="E9452" t="s" s="2">
        <v>17</v>
      </c>
      <c r="F9452" t="s" s="2">
        <f>HYPERLINK("http://ts.21cn.com/tousu/show/id/1359439","http://ts.21cn.com/tousu/show/id/1359439")</f>
      </c>
      <c r="G9452" t="s" s="2">
        <v>17</v>
      </c>
      <c r="H9452" t="s" s="2">
        <v>19</v>
      </c>
      <c r="I9452" t="s" s="2">
        <v>36454</v>
      </c>
      <c r="J9452" t="s" s="2">
        <v>36455</v>
      </c>
      <c r="K9452" t="s" s="2">
        <v>22</v>
      </c>
      <c r="L9452" t="s" s="2">
        <v>22</v>
      </c>
      <c r="M9452" t="s" s="2">
        <v>22</v>
      </c>
    </row>
    <row r="9453" ht="25.0" customHeight="true">
      <c r="A9453" t="s" s="2">
        <v>13</v>
      </c>
      <c r="B9453" t="s" s="2">
        <f>HYPERLINK("http://ts.21cn.com/tousu/show/id/1359436","京东金融京小租不发货")</f>
      </c>
      <c r="C9453" t="s" s="2">
        <v>15</v>
      </c>
      <c r="D9453" t="s" s="2">
        <v>16</v>
      </c>
      <c r="E9453" t="s" s="2">
        <v>17</v>
      </c>
      <c r="F9453" t="s" s="2">
        <f>HYPERLINK("http://ts.21cn.com/tousu/show/id/1359436","http://ts.21cn.com/tousu/show/id/1359436")</f>
      </c>
      <c r="G9453" t="s" s="2">
        <v>17</v>
      </c>
      <c r="H9453" t="s" s="2">
        <v>19</v>
      </c>
      <c r="I9453" t="s" s="2">
        <v>36458</v>
      </c>
      <c r="J9453" t="s" s="2">
        <v>36459</v>
      </c>
      <c r="K9453" t="s" s="2">
        <v>22</v>
      </c>
      <c r="L9453" t="s" s="2">
        <v>22</v>
      </c>
      <c r="M9453" t="s" s="2">
        <v>22</v>
      </c>
    </row>
    <row r="9454" ht="25.0" customHeight="true">
      <c r="A9454" t="s" s="2">
        <v>13</v>
      </c>
      <c r="B9454" t="s" s="2">
        <f>HYPERLINK("http://ts.21cn.com/tousu/show/id/1359435","火影帮借款714平台协商还到账本金")</f>
      </c>
      <c r="C9454" t="s" s="2">
        <v>52</v>
      </c>
      <c r="D9454" t="s" s="2">
        <v>16</v>
      </c>
      <c r="E9454" t="s" s="2">
        <v>17</v>
      </c>
      <c r="F9454" t="s" s="2">
        <f>HYPERLINK("http://ts.21cn.com/tousu/show/id/1359435","http://ts.21cn.com/tousu/show/id/1359435")</f>
      </c>
      <c r="G9454" t="s" s="2">
        <v>17</v>
      </c>
      <c r="H9454" t="s" s="2">
        <v>19</v>
      </c>
      <c r="I9454" t="s" s="2">
        <v>36462</v>
      </c>
      <c r="J9454" t="s" s="2">
        <v>36463</v>
      </c>
      <c r="K9454" t="s" s="2">
        <v>22</v>
      </c>
      <c r="L9454" t="s" s="2">
        <v>22</v>
      </c>
      <c r="M9454" t="s" s="2">
        <v>22</v>
      </c>
    </row>
    <row r="9455" ht="25.0" customHeight="true">
      <c r="A9455" t="s" s="2">
        <v>13</v>
      </c>
      <c r="B9455" t="s" s="2">
        <f>HYPERLINK("http://ts.21cn.com/tousu/show/id/1359434","暴力催收")</f>
      </c>
      <c r="C9455" t="s" s="2">
        <v>15</v>
      </c>
      <c r="D9455" t="s" s="2">
        <v>16</v>
      </c>
      <c r="E9455" t="s" s="2">
        <v>17</v>
      </c>
      <c r="F9455" t="s" s="2">
        <f>HYPERLINK("http://ts.21cn.com/tousu/show/id/1359434","http://ts.21cn.com/tousu/show/id/1359434")</f>
      </c>
      <c r="G9455" t="s" s="2">
        <v>17</v>
      </c>
      <c r="H9455" t="s" s="2">
        <v>19</v>
      </c>
      <c r="I9455" t="s" s="2">
        <v>36465</v>
      </c>
      <c r="J9455" t="s" s="2">
        <v>36466</v>
      </c>
      <c r="K9455" t="s" s="2">
        <v>22</v>
      </c>
      <c r="L9455" t="s" s="2">
        <v>22</v>
      </c>
      <c r="M9455" t="s" s="2">
        <v>22</v>
      </c>
    </row>
    <row r="9456" ht="25.0" customHeight="true">
      <c r="A9456" t="s" s="2">
        <v>13</v>
      </c>
      <c r="B9456" t="s" s="2">
        <f>HYPERLINK("http://ts.21cn.com/tousu/show/id/1359433","好分期利息超过36%")</f>
      </c>
      <c r="C9456" t="s" s="2">
        <v>52</v>
      </c>
      <c r="D9456" t="s" s="2">
        <v>16</v>
      </c>
      <c r="E9456" t="s" s="2">
        <v>17</v>
      </c>
      <c r="F9456" t="s" s="2">
        <f>HYPERLINK("http://ts.21cn.com/tousu/show/id/1359433","http://ts.21cn.com/tousu/show/id/1359433")</f>
      </c>
      <c r="G9456" t="s" s="2">
        <v>17</v>
      </c>
      <c r="H9456" t="s" s="2">
        <v>19</v>
      </c>
      <c r="I9456" t="s" s="2">
        <v>36469</v>
      </c>
      <c r="J9456" t="s" s="2">
        <v>36470</v>
      </c>
      <c r="K9456" t="s" s="2">
        <v>22</v>
      </c>
      <c r="L9456" t="s" s="2">
        <v>22</v>
      </c>
      <c r="M9456" t="s" s="2">
        <v>22</v>
      </c>
    </row>
    <row r="9457" ht="25.0" customHeight="true">
      <c r="A9457" t="s" s="2">
        <v>13</v>
      </c>
      <c r="B9457" t="s" s="2">
        <f>HYPERLINK("http://ts.21cn.com/tousu/show/id/1359432","U钱包利息吓死人")</f>
      </c>
      <c r="C9457" t="s" s="2">
        <v>15</v>
      </c>
      <c r="D9457" t="s" s="2">
        <v>16</v>
      </c>
      <c r="E9457" t="s" s="2">
        <v>17</v>
      </c>
      <c r="F9457" t="s" s="2">
        <f>HYPERLINK("http://ts.21cn.com/tousu/show/id/1359432","http://ts.21cn.com/tousu/show/id/1359432")</f>
      </c>
      <c r="G9457" t="s" s="2">
        <v>17</v>
      </c>
      <c r="H9457" t="s" s="2">
        <v>19</v>
      </c>
      <c r="I9457" t="s" s="2">
        <v>36473</v>
      </c>
      <c r="J9457" t="s" s="2">
        <v>36474</v>
      </c>
      <c r="K9457" t="s" s="2">
        <v>22</v>
      </c>
      <c r="L9457" t="s" s="2">
        <v>22</v>
      </c>
      <c r="M9457" t="s" s="2">
        <v>22</v>
      </c>
    </row>
    <row r="9458" ht="25.0" customHeight="true">
      <c r="A9458" t="s" s="2">
        <v>13</v>
      </c>
      <c r="B9458" t="s" s="2">
        <f>HYPERLINK("http://ts.21cn.com/tousu/show/id/1359430","无端被上海造艺网络扣了299元")</f>
      </c>
      <c r="C9458" t="s" s="2">
        <v>15</v>
      </c>
      <c r="D9458" t="s" s="2">
        <v>16</v>
      </c>
      <c r="E9458" t="s" s="2">
        <v>17</v>
      </c>
      <c r="F9458" t="s" s="2">
        <f>HYPERLINK("http://ts.21cn.com/tousu/show/id/1359430","http://ts.21cn.com/tousu/show/id/1359430")</f>
      </c>
      <c r="G9458" t="s" s="2">
        <v>17</v>
      </c>
      <c r="H9458" t="s" s="2">
        <v>19</v>
      </c>
      <c r="I9458" t="s" s="2">
        <v>36477</v>
      </c>
      <c r="J9458" t="s" s="2">
        <v>36478</v>
      </c>
      <c r="K9458" t="s" s="2">
        <v>22</v>
      </c>
      <c r="L9458" t="s" s="2">
        <v>22</v>
      </c>
      <c r="M9458" t="s" s="2">
        <v>22</v>
      </c>
    </row>
    <row r="9459" ht="25.0" customHeight="true">
      <c r="A9459" t="s" s="2">
        <v>13</v>
      </c>
      <c r="B9459" t="s" s="2">
        <f>HYPERLINK("http://ts.21cn.com/tousu/show/id/1359429","滴滴长途订单被冻结")</f>
      </c>
      <c r="C9459" t="s" s="2">
        <v>15</v>
      </c>
      <c r="D9459" t="s" s="2">
        <v>16</v>
      </c>
      <c r="E9459" t="s" s="2">
        <v>17</v>
      </c>
      <c r="F9459" t="s" s="2">
        <f>HYPERLINK("http://ts.21cn.com/tousu/show/id/1359429","http://ts.21cn.com/tousu/show/id/1359429")</f>
      </c>
      <c r="G9459" t="s" s="2">
        <v>17</v>
      </c>
      <c r="H9459" t="s" s="2">
        <v>19</v>
      </c>
      <c r="I9459" t="s" s="2">
        <v>36481</v>
      </c>
      <c r="J9459" t="s" s="2">
        <v>36482</v>
      </c>
      <c r="K9459" t="s" s="2">
        <v>22</v>
      </c>
      <c r="L9459" t="s" s="2">
        <v>22</v>
      </c>
      <c r="M9459" t="s" s="2">
        <v>22</v>
      </c>
    </row>
    <row r="9460" ht="25.0" customHeight="true">
      <c r="A9460" t="s" s="2">
        <v>13</v>
      </c>
      <c r="B9460" t="s" s="2">
        <f>HYPERLINK("http://ts.21cn.com/tousu/show/id/1359419","玖富万卡拖延协商提前结清费用的差额补退")</f>
      </c>
      <c r="C9460" t="s" s="2">
        <v>15</v>
      </c>
      <c r="D9460" t="s" s="2">
        <v>16</v>
      </c>
      <c r="E9460" t="s" s="2">
        <v>17</v>
      </c>
      <c r="F9460" t="s" s="2">
        <f>HYPERLINK("http://ts.21cn.com/tousu/show/id/1359419","http://ts.21cn.com/tousu/show/id/1359419")</f>
      </c>
      <c r="G9460" t="s" s="2">
        <v>17</v>
      </c>
      <c r="H9460" t="s" s="2">
        <v>19</v>
      </c>
      <c r="I9460" t="s" s="2">
        <v>36485</v>
      </c>
      <c r="J9460" t="s" s="2">
        <v>36486</v>
      </c>
      <c r="K9460" t="s" s="2">
        <v>22</v>
      </c>
      <c r="L9460" t="s" s="2">
        <v>22</v>
      </c>
      <c r="M9460" t="s" s="2">
        <v>22</v>
      </c>
    </row>
    <row r="9461" ht="25.0" customHeight="true">
      <c r="A9461" t="s" s="2">
        <v>13</v>
      </c>
      <c r="B9461" t="s" s="2">
        <f>HYPERLINK("http://ts.21cn.com/tousu/show/id/1359428","立借钱置宝高利息，因平台自身原因逾期产生高额罚息")</f>
      </c>
      <c r="C9461" t="s" s="2">
        <v>15</v>
      </c>
      <c r="D9461" t="s" s="2">
        <v>16</v>
      </c>
      <c r="E9461" t="s" s="2">
        <v>17</v>
      </c>
      <c r="F9461" t="s" s="2">
        <f>HYPERLINK("http://ts.21cn.com/tousu/show/id/1359428","http://ts.21cn.com/tousu/show/id/1359428")</f>
      </c>
      <c r="G9461" t="s" s="2">
        <v>17</v>
      </c>
      <c r="H9461" t="s" s="2">
        <v>19</v>
      </c>
      <c r="I9461" t="s" s="2">
        <v>36489</v>
      </c>
      <c r="J9461" t="s" s="2">
        <v>36490</v>
      </c>
      <c r="K9461" t="s" s="2">
        <v>22</v>
      </c>
      <c r="L9461" t="s" s="2">
        <v>22</v>
      </c>
      <c r="M9461" t="s" s="2">
        <v>22</v>
      </c>
    </row>
    <row r="9462" ht="25.0" customHeight="true">
      <c r="A9462" t="s" s="2">
        <v>13</v>
      </c>
      <c r="B9462" t="s" s="2">
        <f>HYPERLINK("http://ts.21cn.com/tousu/show/id/1359427","投诉淘豆分期扣款")</f>
      </c>
      <c r="C9462" t="s" s="2">
        <v>15</v>
      </c>
      <c r="D9462" t="s" s="2">
        <v>16</v>
      </c>
      <c r="E9462" t="s" s="2">
        <v>17</v>
      </c>
      <c r="F9462" t="s" s="2">
        <f>HYPERLINK("http://ts.21cn.com/tousu/show/id/1359427","http://ts.21cn.com/tousu/show/id/1359427")</f>
      </c>
      <c r="G9462" t="s" s="2">
        <v>17</v>
      </c>
      <c r="H9462" t="s" s="2">
        <v>19</v>
      </c>
      <c r="I9462" t="s" s="2">
        <v>36492</v>
      </c>
      <c r="J9462" t="s" s="2">
        <v>36493</v>
      </c>
      <c r="K9462" t="s" s="2">
        <v>22</v>
      </c>
      <c r="L9462" t="s" s="2">
        <v>22</v>
      </c>
      <c r="M9462" t="s" s="2">
        <v>22</v>
      </c>
    </row>
    <row r="9463" ht="25.0" customHeight="true">
      <c r="A9463" t="s" s="2">
        <v>13</v>
      </c>
      <c r="B9463" t="s" s="2">
        <f>HYPERLINK("http://ts.21cn.com/tousu/show/id/1359425","闪银过度违规催收")</f>
      </c>
      <c r="C9463" t="s" s="2">
        <v>15</v>
      </c>
      <c r="D9463" t="s" s="2">
        <v>16</v>
      </c>
      <c r="E9463" t="s" s="2">
        <v>17</v>
      </c>
      <c r="F9463" t="s" s="2">
        <f>HYPERLINK("http://ts.21cn.com/tousu/show/id/1359425","http://ts.21cn.com/tousu/show/id/1359425")</f>
      </c>
      <c r="G9463" t="s" s="2">
        <v>17</v>
      </c>
      <c r="H9463" t="s" s="2">
        <v>19</v>
      </c>
      <c r="I9463" t="s" s="2">
        <v>36496</v>
      </c>
      <c r="J9463" t="s" s="2">
        <v>36497</v>
      </c>
      <c r="K9463" t="s" s="2">
        <v>22</v>
      </c>
      <c r="L9463" t="s" s="2">
        <v>22</v>
      </c>
      <c r="M9463" t="s" s="2">
        <v>22</v>
      </c>
    </row>
    <row r="9464" ht="25.0" customHeight="true">
      <c r="A9464" t="s" s="2">
        <v>13</v>
      </c>
      <c r="B9464" t="s" s="2">
        <f>HYPERLINK("http://ts.21cn.com/tousu/show/id/1359424","贷个款被你坑得不要不要的")</f>
      </c>
      <c r="C9464" t="s" s="2">
        <v>15</v>
      </c>
      <c r="D9464" t="s" s="2">
        <v>16</v>
      </c>
      <c r="E9464" t="s" s="2">
        <v>17</v>
      </c>
      <c r="F9464" t="s" s="2">
        <f>HYPERLINK("http://ts.21cn.com/tousu/show/id/1359424","http://ts.21cn.com/tousu/show/id/1359424")</f>
      </c>
      <c r="G9464" t="s" s="2">
        <v>17</v>
      </c>
      <c r="H9464" t="s" s="2">
        <v>19</v>
      </c>
      <c r="I9464" t="s" s="2">
        <v>36500</v>
      </c>
      <c r="J9464" t="s" s="2">
        <v>36501</v>
      </c>
      <c r="K9464" t="s" s="2">
        <v>22</v>
      </c>
      <c r="L9464" t="s" s="2">
        <v>22</v>
      </c>
      <c r="M9464" t="s" s="2">
        <v>22</v>
      </c>
    </row>
    <row r="9465" ht="25.0" customHeight="true">
      <c r="A9465" t="s" s="2">
        <v>13</v>
      </c>
      <c r="B9465" t="s" s="2">
        <f>HYPERLINK("http://ts.21cn.com/tousu/show/id/1359423","安逸花暴力催收威胁还款")</f>
      </c>
      <c r="C9465" t="s" s="2">
        <v>15</v>
      </c>
      <c r="D9465" t="s" s="2">
        <v>16</v>
      </c>
      <c r="E9465" t="s" s="2">
        <v>17</v>
      </c>
      <c r="F9465" t="s" s="2">
        <f>HYPERLINK("http://ts.21cn.com/tousu/show/id/1359423","http://ts.21cn.com/tousu/show/id/1359423")</f>
      </c>
      <c r="G9465" t="s" s="2">
        <v>17</v>
      </c>
      <c r="H9465" t="s" s="2">
        <v>19</v>
      </c>
      <c r="I9465" t="s" s="2">
        <v>36504</v>
      </c>
      <c r="J9465" t="s" s="2">
        <v>36505</v>
      </c>
      <c r="K9465" t="s" s="2">
        <v>22</v>
      </c>
      <c r="L9465" t="s" s="2">
        <v>22</v>
      </c>
      <c r="M9465" t="s" s="2">
        <v>22</v>
      </c>
    </row>
    <row r="9466" ht="25.0" customHeight="true">
      <c r="A9466" t="s" s="2">
        <v>13</v>
      </c>
      <c r="B9466" t="s" s="2">
        <f>HYPERLINK("http://ts.21cn.com/tousu/show/id/1359421","钱站借款平台在借款未到账的情况下不能取消借款")</f>
      </c>
      <c r="C9466" t="s" s="2">
        <v>15</v>
      </c>
      <c r="D9466" t="s" s="2">
        <v>16</v>
      </c>
      <c r="E9466" t="s" s="2">
        <v>17</v>
      </c>
      <c r="F9466" t="s" s="2">
        <f>HYPERLINK("http://ts.21cn.com/tousu/show/id/1359421","http://ts.21cn.com/tousu/show/id/1359421")</f>
      </c>
      <c r="G9466" t="s" s="2">
        <v>17</v>
      </c>
      <c r="H9466" t="s" s="2">
        <v>19</v>
      </c>
      <c r="I9466" t="s" s="2">
        <v>36508</v>
      </c>
      <c r="J9466" t="s" s="2">
        <v>36509</v>
      </c>
      <c r="K9466" t="s" s="2">
        <v>22</v>
      </c>
      <c r="L9466" t="s" s="2">
        <v>22</v>
      </c>
      <c r="M9466" t="s" s="2">
        <v>22</v>
      </c>
    </row>
    <row r="9467" ht="25.0" customHeight="true">
      <c r="A9467" t="s" s="2">
        <v>13</v>
      </c>
      <c r="B9467" t="s" s="2">
        <f>HYPERLINK("http://ts.21cn.com/tousu/show/id/1359420","榕易分期利率超过央行标准")</f>
      </c>
      <c r="C9467" t="s" s="2">
        <v>15</v>
      </c>
      <c r="D9467" t="s" s="2">
        <v>16</v>
      </c>
      <c r="E9467" t="s" s="2">
        <v>17</v>
      </c>
      <c r="F9467" t="s" s="2">
        <f>HYPERLINK("http://ts.21cn.com/tousu/show/id/1359420","http://ts.21cn.com/tousu/show/id/1359420")</f>
      </c>
      <c r="G9467" t="s" s="2">
        <v>17</v>
      </c>
      <c r="H9467" t="s" s="2">
        <v>19</v>
      </c>
      <c r="I9467" t="s" s="2">
        <v>36512</v>
      </c>
      <c r="J9467" t="s" s="2">
        <v>36513</v>
      </c>
      <c r="K9467" t="s" s="2">
        <v>22</v>
      </c>
      <c r="L9467" t="s" s="2">
        <v>22</v>
      </c>
      <c r="M9467" t="s" s="2">
        <v>22</v>
      </c>
    </row>
    <row r="9468" ht="25.0" customHeight="true">
      <c r="A9468" t="s" s="2">
        <v>13</v>
      </c>
      <c r="B9468" t="s" s="2">
        <f>HYPERLINK("http://ts.21cn.com/tousu/show/id/1359418","失眠的夜晚")</f>
      </c>
      <c r="C9468" t="s" s="2">
        <v>15</v>
      </c>
      <c r="D9468" t="s" s="2">
        <v>16</v>
      </c>
      <c r="E9468" t="s" s="2">
        <v>17</v>
      </c>
      <c r="F9468" t="s" s="2">
        <f>HYPERLINK("http://ts.21cn.com/tousu/show/id/1359418","http://ts.21cn.com/tousu/show/id/1359418")</f>
      </c>
      <c r="G9468" t="s" s="2">
        <v>17</v>
      </c>
      <c r="H9468" t="s" s="2">
        <v>19</v>
      </c>
      <c r="I9468" t="s" s="2">
        <v>36516</v>
      </c>
      <c r="J9468" t="s" s="2">
        <v>36517</v>
      </c>
      <c r="K9468" t="s" s="2">
        <v>22</v>
      </c>
      <c r="L9468" t="s" s="2">
        <v>22</v>
      </c>
      <c r="M9468" t="s" s="2">
        <v>22</v>
      </c>
    </row>
    <row r="9469" ht="25.0" customHeight="true">
      <c r="A9469" t="s" s="2">
        <v>13</v>
      </c>
      <c r="B9469" t="s" s="2">
        <f>HYPERLINK("http://ts.21cn.com/tousu/show/id/1359417","滴滴敷衍事")</f>
      </c>
      <c r="C9469" t="s" s="2">
        <v>15</v>
      </c>
      <c r="D9469" t="s" s="2">
        <v>16</v>
      </c>
      <c r="E9469" t="s" s="2">
        <v>17</v>
      </c>
      <c r="F9469" t="s" s="2">
        <f>HYPERLINK("http://ts.21cn.com/tousu/show/id/1359417","http://ts.21cn.com/tousu/show/id/1359417")</f>
      </c>
      <c r="G9469" t="s" s="2">
        <v>17</v>
      </c>
      <c r="H9469" t="s" s="2">
        <v>19</v>
      </c>
      <c r="I9469" t="s" s="2">
        <v>36520</v>
      </c>
      <c r="J9469" t="s" s="2">
        <v>36521</v>
      </c>
      <c r="K9469" t="s" s="2">
        <v>22</v>
      </c>
      <c r="L9469" t="s" s="2">
        <v>22</v>
      </c>
      <c r="M9469" t="s" s="2">
        <v>22</v>
      </c>
    </row>
    <row r="9470" ht="25.0" customHeight="true">
      <c r="A9470" t="s" s="2">
        <v>13</v>
      </c>
      <c r="B9470" t="s" s="2">
        <f>HYPERLINK("http://ts.21cn.com/tousu/show/id/1359415","闪银天天违规催收")</f>
      </c>
      <c r="C9470" t="s" s="2">
        <v>15</v>
      </c>
      <c r="D9470" t="s" s="2">
        <v>16</v>
      </c>
      <c r="E9470" t="s" s="2">
        <v>17</v>
      </c>
      <c r="F9470" t="s" s="2">
        <f>HYPERLINK("http://ts.21cn.com/tousu/show/id/1359415","http://ts.21cn.com/tousu/show/id/1359415")</f>
      </c>
      <c r="G9470" t="s" s="2">
        <v>17</v>
      </c>
      <c r="H9470" t="s" s="2">
        <v>19</v>
      </c>
      <c r="I9470" t="s" s="2">
        <v>36524</v>
      </c>
      <c r="J9470" t="s" s="2">
        <v>36525</v>
      </c>
      <c r="K9470" t="s" s="2">
        <v>22</v>
      </c>
      <c r="L9470" t="s" s="2">
        <v>22</v>
      </c>
      <c r="M9470" t="s" s="2">
        <v>22</v>
      </c>
    </row>
    <row r="9471" ht="25.0" customHeight="true">
      <c r="A9471" t="s" s="2">
        <v>13</v>
      </c>
      <c r="B9471" t="s" s="2">
        <f>HYPERLINK("http://ts.21cn.com/tousu/show/id/1359414","爆讯录")</f>
      </c>
      <c r="C9471" t="s" s="2">
        <v>15</v>
      </c>
      <c r="D9471" t="s" s="2">
        <v>16</v>
      </c>
      <c r="E9471" t="s" s="2">
        <v>17</v>
      </c>
      <c r="F9471" t="s" s="2">
        <f>HYPERLINK("http://ts.21cn.com/tousu/show/id/1359414","http://ts.21cn.com/tousu/show/id/1359414")</f>
      </c>
      <c r="G9471" t="s" s="2">
        <v>17</v>
      </c>
      <c r="H9471" t="s" s="2">
        <v>19</v>
      </c>
      <c r="I9471" t="s" s="2">
        <v>36528</v>
      </c>
      <c r="J9471" t="s" s="2">
        <v>36529</v>
      </c>
      <c r="K9471" t="s" s="2">
        <v>22</v>
      </c>
      <c r="L9471" t="s" s="2">
        <v>22</v>
      </c>
      <c r="M9471" t="s" s="2">
        <v>22</v>
      </c>
    </row>
    <row r="9472" ht="25.0" customHeight="true">
      <c r="A9472" t="s" s="2">
        <v>13</v>
      </c>
      <c r="B9472" t="s" s="2">
        <f>HYPERLINK("http://ts.21cn.com/tousu/show/id/1359412","宝付网络科技无故扣款126元")</f>
      </c>
      <c r="C9472" t="s" s="2">
        <v>15</v>
      </c>
      <c r="D9472" t="s" s="2">
        <v>16</v>
      </c>
      <c r="E9472" t="s" s="2">
        <v>17</v>
      </c>
      <c r="F9472" t="s" s="2">
        <f>HYPERLINK("http://ts.21cn.com/tousu/show/id/1359412","http://ts.21cn.com/tousu/show/id/1359412")</f>
      </c>
      <c r="G9472" t="s" s="2">
        <v>17</v>
      </c>
      <c r="H9472" t="s" s="2">
        <v>19</v>
      </c>
      <c r="I9472" t="s" s="2">
        <v>36532</v>
      </c>
      <c r="J9472" t="s" s="2">
        <v>36533</v>
      </c>
      <c r="K9472" t="s" s="2">
        <v>22</v>
      </c>
      <c r="L9472" t="s" s="2">
        <v>22</v>
      </c>
      <c r="M9472" t="s" s="2">
        <v>22</v>
      </c>
    </row>
    <row r="9473" ht="25.0" customHeight="true">
      <c r="A9473" t="s" s="2">
        <v>13</v>
      </c>
      <c r="B9473" t="s" s="2">
        <f>HYPERLINK("http://ts.21cn.com/tousu/show/id/1359411","钱站或爱钱进超高利贷，阴阳合同")</f>
      </c>
      <c r="C9473" t="s" s="2">
        <v>15</v>
      </c>
      <c r="D9473" t="s" s="2">
        <v>16</v>
      </c>
      <c r="E9473" t="s" s="2">
        <v>17</v>
      </c>
      <c r="F9473" t="s" s="2">
        <f>HYPERLINK("http://ts.21cn.com/tousu/show/id/1359411","http://ts.21cn.com/tousu/show/id/1359411")</f>
      </c>
      <c r="G9473" t="s" s="2">
        <v>17</v>
      </c>
      <c r="H9473" t="s" s="2">
        <v>19</v>
      </c>
      <c r="I9473" t="s" s="2">
        <v>36536</v>
      </c>
      <c r="J9473" t="s" s="2">
        <v>36537</v>
      </c>
      <c r="K9473" t="s" s="2">
        <v>22</v>
      </c>
      <c r="L9473" t="s" s="2">
        <v>22</v>
      </c>
      <c r="M9473" t="s" s="2">
        <v>22</v>
      </c>
    </row>
    <row r="9474" ht="25.0" customHeight="true">
      <c r="A9474" t="s" s="2">
        <v>13</v>
      </c>
      <c r="B9474" t="s" s="2">
        <f>HYPERLINK("http://ts.21cn.com/tousu/show/id/1359410","立借高利贷，套路贷，暴力催收")</f>
      </c>
      <c r="C9474" t="s" s="2">
        <v>15</v>
      </c>
      <c r="D9474" t="s" s="2">
        <v>16</v>
      </c>
      <c r="E9474" t="s" s="2">
        <v>17</v>
      </c>
      <c r="F9474" t="s" s="2">
        <f>HYPERLINK("http://ts.21cn.com/tousu/show/id/1359410","http://ts.21cn.com/tousu/show/id/1359410")</f>
      </c>
      <c r="G9474" t="s" s="2">
        <v>17</v>
      </c>
      <c r="H9474" t="s" s="2">
        <v>19</v>
      </c>
      <c r="I9474" t="s" s="2">
        <v>36540</v>
      </c>
      <c r="J9474" t="s" s="2">
        <v>36541</v>
      </c>
      <c r="K9474" t="s" s="2">
        <v>22</v>
      </c>
      <c r="L9474" t="s" s="2">
        <v>22</v>
      </c>
      <c r="M9474" t="s" s="2">
        <v>22</v>
      </c>
    </row>
    <row r="9475" ht="25.0" customHeight="true">
      <c r="A9475" t="s" s="2">
        <v>13</v>
      </c>
      <c r="B9475" t="s" s="2">
        <f>HYPERLINK("http://ts.21cn.com/tousu/show/id/1359409","特约信诚消费入金无故扣费849元")</f>
      </c>
      <c r="C9475" t="s" s="2">
        <v>15</v>
      </c>
      <c r="D9475" t="s" s="2">
        <v>16</v>
      </c>
      <c r="E9475" t="s" s="2">
        <v>17</v>
      </c>
      <c r="F9475" t="s" s="2">
        <f>HYPERLINK("http://ts.21cn.com/tousu/show/id/1359409","http://ts.21cn.com/tousu/show/id/1359409")</f>
      </c>
      <c r="G9475" t="s" s="2">
        <v>17</v>
      </c>
      <c r="H9475" t="s" s="2">
        <v>19</v>
      </c>
      <c r="I9475" t="s" s="2">
        <v>36544</v>
      </c>
      <c r="J9475" t="s" s="2">
        <v>36545</v>
      </c>
      <c r="K9475" t="s" s="2">
        <v>22</v>
      </c>
      <c r="L9475" t="s" s="2">
        <v>22</v>
      </c>
      <c r="M9475" t="s" s="2">
        <v>22</v>
      </c>
    </row>
    <row r="9476" ht="25.0" customHeight="true">
      <c r="A9476" t="s" s="2">
        <v>13</v>
      </c>
      <c r="B9476" t="s" s="2">
        <f>HYPERLINK("http://ts.21cn.com/tousu/show/id/1359408","趣乐多科技公司诱导消费且影响消费者权益")</f>
      </c>
      <c r="C9476" t="s" s="2">
        <v>15</v>
      </c>
      <c r="D9476" t="s" s="2">
        <v>16</v>
      </c>
      <c r="E9476" t="s" s="2">
        <v>17</v>
      </c>
      <c r="F9476" t="s" s="2">
        <f>HYPERLINK("http://ts.21cn.com/tousu/show/id/1359408","http://ts.21cn.com/tousu/show/id/1359408")</f>
      </c>
      <c r="G9476" t="s" s="2">
        <v>17</v>
      </c>
      <c r="H9476" t="s" s="2">
        <v>19</v>
      </c>
      <c r="I9476" t="s" s="2">
        <v>36548</v>
      </c>
      <c r="J9476" t="s" s="2">
        <v>36549</v>
      </c>
      <c r="K9476" t="s" s="2">
        <v>22</v>
      </c>
      <c r="L9476" t="s" s="2">
        <v>22</v>
      </c>
      <c r="M9476" t="s" s="2">
        <v>22</v>
      </c>
    </row>
    <row r="9477" ht="25.0" customHeight="true">
      <c r="A9477" t="s" s="2">
        <v>13</v>
      </c>
      <c r="B9477" t="s" s="2">
        <f>HYPERLINK("http://ts.21cn.com/tousu/show/id/1359407","投诉巴乐兔租房平台")</f>
      </c>
      <c r="C9477" t="s" s="2">
        <v>15</v>
      </c>
      <c r="D9477" t="s" s="2">
        <v>16</v>
      </c>
      <c r="E9477" t="s" s="2">
        <v>17</v>
      </c>
      <c r="F9477" t="s" s="2">
        <f>HYPERLINK("http://ts.21cn.com/tousu/show/id/1359407","http://ts.21cn.com/tousu/show/id/1359407")</f>
      </c>
      <c r="G9477" t="s" s="2">
        <v>17</v>
      </c>
      <c r="H9477" t="s" s="2">
        <v>19</v>
      </c>
      <c r="I9477" t="s" s="2">
        <v>36552</v>
      </c>
      <c r="J9477" t="s" s="2">
        <v>36553</v>
      </c>
      <c r="K9477" t="s" s="2">
        <v>22</v>
      </c>
      <c r="L9477" t="s" s="2">
        <v>22</v>
      </c>
      <c r="M9477" t="s" s="2">
        <v>22</v>
      </c>
    </row>
    <row r="9478" ht="25.0" customHeight="true">
      <c r="A9478" t="s" s="2">
        <v>13</v>
      </c>
      <c r="B9478" t="s" s="2">
        <f>HYPERLINK("http://ts.21cn.com/tousu/show/id/1359406","暴力催收，爆通信录，恐吓")</f>
      </c>
      <c r="C9478" t="s" s="2">
        <v>15</v>
      </c>
      <c r="D9478" t="s" s="2">
        <v>16</v>
      </c>
      <c r="E9478" t="s" s="2">
        <v>17</v>
      </c>
      <c r="F9478" t="s" s="2">
        <f>HYPERLINK("http://ts.21cn.com/tousu/show/id/1359406","http://ts.21cn.com/tousu/show/id/1359406")</f>
      </c>
      <c r="G9478" t="s" s="2">
        <v>17</v>
      </c>
      <c r="H9478" t="s" s="2">
        <v>19</v>
      </c>
      <c r="I9478" t="s" s="2">
        <v>36556</v>
      </c>
      <c r="J9478" t="s" s="2">
        <v>36557</v>
      </c>
      <c r="K9478" t="s" s="2">
        <v>22</v>
      </c>
      <c r="L9478" t="s" s="2">
        <v>22</v>
      </c>
      <c r="M9478" t="s" s="2">
        <v>22</v>
      </c>
    </row>
    <row r="9479" ht="25.0" customHeight="true">
      <c r="A9479" t="s" s="2">
        <v>13</v>
      </c>
      <c r="B9479" t="s" s="2">
        <f>HYPERLINK("http://ts.21cn.com/tousu/show/id/1359405","利息超过国家规定36%")</f>
      </c>
      <c r="C9479" t="s" s="2">
        <v>52</v>
      </c>
      <c r="D9479" t="s" s="2">
        <v>16</v>
      </c>
      <c r="E9479" t="s" s="2">
        <v>17</v>
      </c>
      <c r="F9479" t="s" s="2">
        <f>HYPERLINK("http://ts.21cn.com/tousu/show/id/1359405","http://ts.21cn.com/tousu/show/id/1359405")</f>
      </c>
      <c r="G9479" t="s" s="2">
        <v>17</v>
      </c>
      <c r="H9479" t="s" s="2">
        <v>19</v>
      </c>
      <c r="I9479" t="s" s="2">
        <v>36560</v>
      </c>
      <c r="J9479" t="s" s="2">
        <v>36561</v>
      </c>
      <c r="K9479" t="s" s="2">
        <v>22</v>
      </c>
      <c r="L9479" t="s" s="2">
        <v>22</v>
      </c>
      <c r="M9479" t="s" s="2">
        <v>22</v>
      </c>
    </row>
    <row r="9480" ht="25.0" customHeight="true">
      <c r="A9480" t="s" s="2">
        <v>13</v>
      </c>
      <c r="B9480" t="s" s="2">
        <f>HYPERLINK("http://ts.21cn.com/tousu/show/id/1359404","洋钱罐高利贷")</f>
      </c>
      <c r="C9480" t="s" s="2">
        <v>15</v>
      </c>
      <c r="D9480" t="s" s="2">
        <v>16</v>
      </c>
      <c r="E9480" t="s" s="2">
        <v>17</v>
      </c>
      <c r="F9480" t="s" s="2">
        <f>HYPERLINK("http://ts.21cn.com/tousu/show/id/1359404","http://ts.21cn.com/tousu/show/id/1359404")</f>
      </c>
      <c r="G9480" t="s" s="2">
        <v>17</v>
      </c>
      <c r="H9480" t="s" s="2">
        <v>19</v>
      </c>
      <c r="I9480" t="s" s="2">
        <v>36563</v>
      </c>
      <c r="J9480" t="s" s="2">
        <v>36564</v>
      </c>
      <c r="K9480" t="s" s="2">
        <v>22</v>
      </c>
      <c r="L9480" t="s" s="2">
        <v>22</v>
      </c>
      <c r="M9480" t="s" s="2">
        <v>22</v>
      </c>
    </row>
    <row r="9481" ht="25.0" customHeight="true">
      <c r="A9481" t="s" s="2">
        <v>13</v>
      </c>
      <c r="B9481" t="s" s="2">
        <f>HYPERLINK("http://ts.21cn.com/tousu/show/id/1359403","珍爱网集体投诉专题")</f>
      </c>
      <c r="C9481" t="s" s="2">
        <v>15</v>
      </c>
      <c r="D9481" t="s" s="2">
        <v>16</v>
      </c>
      <c r="E9481" t="s" s="2">
        <v>17</v>
      </c>
      <c r="F9481" t="s" s="2">
        <f>HYPERLINK("http://ts.21cn.com/tousu/show/id/1359403","http://ts.21cn.com/tousu/show/id/1359403")</f>
      </c>
      <c r="G9481" t="s" s="2">
        <v>17</v>
      </c>
      <c r="H9481" t="s" s="2">
        <v>19</v>
      </c>
      <c r="I9481" t="s" s="2">
        <v>36567</v>
      </c>
      <c r="J9481" t="s" s="2">
        <v>36568</v>
      </c>
      <c r="K9481" t="s" s="2">
        <v>22</v>
      </c>
      <c r="L9481" t="s" s="2">
        <v>22</v>
      </c>
      <c r="M9481" t="s" s="2">
        <v>22</v>
      </c>
    </row>
    <row r="9482" ht="25.0" customHeight="true">
      <c r="A9482" t="s" s="2">
        <v>13</v>
      </c>
      <c r="B9482" t="s" s="2">
        <f>HYPERLINK("http://ts.21cn.com/tousu/show/id/1359402","不退款")</f>
      </c>
      <c r="C9482" t="s" s="2">
        <v>15</v>
      </c>
      <c r="D9482" t="s" s="2">
        <v>16</v>
      </c>
      <c r="E9482" t="s" s="2">
        <v>17</v>
      </c>
      <c r="F9482" t="s" s="2">
        <f>HYPERLINK("http://ts.21cn.com/tousu/show/id/1359402","http://ts.21cn.com/tousu/show/id/1359402")</f>
      </c>
      <c r="G9482" t="s" s="2">
        <v>17</v>
      </c>
      <c r="H9482" t="s" s="2">
        <v>19</v>
      </c>
      <c r="I9482" t="s" s="2">
        <v>36570</v>
      </c>
      <c r="J9482" t="s" s="2">
        <v>36571</v>
      </c>
      <c r="K9482" t="s" s="2">
        <v>22</v>
      </c>
      <c r="L9482" t="s" s="2">
        <v>22</v>
      </c>
      <c r="M9482" t="s" s="2">
        <v>22</v>
      </c>
    </row>
    <row r="9483" ht="25.0" customHeight="true">
      <c r="A9483" t="s" s="2">
        <v>13</v>
      </c>
      <c r="B9483" t="s" s="2">
        <f>HYPERLINK("http://ts.21cn.com/tousu/show/id/1359401","暴力催收，天天拨打多个电话催收，还骚扰我的通信录联系人，电话恐吓，逾期费过高")</f>
      </c>
      <c r="C9483" t="s" s="2">
        <v>15</v>
      </c>
      <c r="D9483" t="s" s="2">
        <v>16</v>
      </c>
      <c r="E9483" t="s" s="2">
        <v>17</v>
      </c>
      <c r="F9483" t="s" s="2">
        <f>HYPERLINK("http://ts.21cn.com/tousu/show/id/1359401","http://ts.21cn.com/tousu/show/id/1359401")</f>
      </c>
      <c r="G9483" t="s" s="2">
        <v>17</v>
      </c>
      <c r="H9483" t="s" s="2">
        <v>19</v>
      </c>
      <c r="I9483" t="s" s="2">
        <v>36574</v>
      </c>
      <c r="J9483" t="s" s="2">
        <v>36575</v>
      </c>
      <c r="K9483" t="s" s="2">
        <v>22</v>
      </c>
      <c r="L9483" t="s" s="2">
        <v>22</v>
      </c>
      <c r="M9483" t="s" s="2">
        <v>22</v>
      </c>
    </row>
    <row r="9484" ht="25.0" customHeight="true">
      <c r="A9484" t="s" s="2">
        <v>13</v>
      </c>
      <c r="B9484" t="s" s="2">
        <f>HYPERLINK("http://ts.21cn.com/tousu/show/id/1359400","恒易贷阴阳合同暴力催收")</f>
      </c>
      <c r="C9484" t="s" s="2">
        <v>15</v>
      </c>
      <c r="D9484" t="s" s="2">
        <v>16</v>
      </c>
      <c r="E9484" t="s" s="2">
        <v>17</v>
      </c>
      <c r="F9484" t="s" s="2">
        <f>HYPERLINK("http://ts.21cn.com/tousu/show/id/1359400","http://ts.21cn.com/tousu/show/id/1359400")</f>
      </c>
      <c r="G9484" t="s" s="2">
        <v>17</v>
      </c>
      <c r="H9484" t="s" s="2">
        <v>19</v>
      </c>
      <c r="I9484" t="s" s="2">
        <v>36578</v>
      </c>
      <c r="J9484" t="s" s="2">
        <v>36579</v>
      </c>
      <c r="K9484" t="s" s="2">
        <v>22</v>
      </c>
      <c r="L9484" t="s" s="2">
        <v>22</v>
      </c>
      <c r="M9484" t="s" s="2">
        <v>22</v>
      </c>
    </row>
    <row r="9485" ht="25.0" customHeight="true">
      <c r="A9485" t="s" s="2">
        <v>13</v>
      </c>
      <c r="B9485" t="s" s="2">
        <f>HYPERLINK("http://ts.21cn.com/tousu/show/id/1359399","未满十八岁就放款给我现在不打算还了")</f>
      </c>
      <c r="C9485" t="s" s="2">
        <v>52</v>
      </c>
      <c r="D9485" t="s" s="2">
        <v>16</v>
      </c>
      <c r="E9485" t="s" s="2">
        <v>17</v>
      </c>
      <c r="F9485" t="s" s="2">
        <f>HYPERLINK("http://ts.21cn.com/tousu/show/id/1359399","http://ts.21cn.com/tousu/show/id/1359399")</f>
      </c>
      <c r="G9485" t="s" s="2">
        <v>17</v>
      </c>
      <c r="H9485" t="s" s="2">
        <v>19</v>
      </c>
      <c r="I9485" t="s" s="2">
        <v>36582</v>
      </c>
      <c r="J9485" t="s" s="2">
        <v>36583</v>
      </c>
      <c r="K9485" t="s" s="2">
        <v>22</v>
      </c>
      <c r="L9485" t="s" s="2">
        <v>22</v>
      </c>
      <c r="M9485" t="s" s="2">
        <v>22</v>
      </c>
    </row>
    <row r="9486" ht="25.0" customHeight="true">
      <c r="A9486" t="s" s="2">
        <v>13</v>
      </c>
      <c r="B9486" t="s" s="2">
        <f>HYPERLINK("http://ts.21cn.com/tousu/show/id/1359398","信用钱包担保费太坑了")</f>
      </c>
      <c r="C9486" t="s" s="2">
        <v>15</v>
      </c>
      <c r="D9486" t="s" s="2">
        <v>16</v>
      </c>
      <c r="E9486" t="s" s="2">
        <v>17</v>
      </c>
      <c r="F9486" t="s" s="2">
        <f>HYPERLINK("http://ts.21cn.com/tousu/show/id/1359398","http://ts.21cn.com/tousu/show/id/1359398")</f>
      </c>
      <c r="G9486" t="s" s="2">
        <v>17</v>
      </c>
      <c r="H9486" t="s" s="2">
        <v>19</v>
      </c>
      <c r="I9486" t="s" s="2">
        <v>36586</v>
      </c>
      <c r="J9486" t="s" s="2">
        <v>36587</v>
      </c>
      <c r="K9486" t="s" s="2">
        <v>22</v>
      </c>
      <c r="L9486" t="s" s="2">
        <v>22</v>
      </c>
      <c r="M9486" t="s" s="2">
        <v>22</v>
      </c>
    </row>
    <row r="9487" ht="25.0" customHeight="true">
      <c r="A9487" t="s" s="2">
        <v>13</v>
      </c>
      <c r="B9487" t="s" s="2">
        <f>HYPERLINK("http://ts.21cn.com/tousu/show/id/1359397","马上金融来钱花额度无理由冻结，要求解冻")</f>
      </c>
      <c r="C9487" t="s" s="2">
        <v>15</v>
      </c>
      <c r="D9487" t="s" s="2">
        <v>16</v>
      </c>
      <c r="E9487" t="s" s="2">
        <v>17</v>
      </c>
      <c r="F9487" t="s" s="2">
        <f>HYPERLINK("http://ts.21cn.com/tousu/show/id/1359397","http://ts.21cn.com/tousu/show/id/1359397")</f>
      </c>
      <c r="G9487" t="s" s="2">
        <v>17</v>
      </c>
      <c r="H9487" t="s" s="2">
        <v>19</v>
      </c>
      <c r="I9487" t="s" s="2">
        <v>36590</v>
      </c>
      <c r="J9487" t="s" s="2">
        <v>36591</v>
      </c>
      <c r="K9487" t="s" s="2">
        <v>22</v>
      </c>
      <c r="L9487" t="s" s="2">
        <v>22</v>
      </c>
      <c r="M9487" t="s" s="2">
        <v>22</v>
      </c>
    </row>
    <row r="9488" ht="25.0" customHeight="true">
      <c r="A9488" t="s" s="2">
        <v>13</v>
      </c>
      <c r="B9488" t="s" s="2">
        <f>HYPERLINK("http://ts.21cn.com/tousu/show/id/1359396","联动云不审核注册人身份驾照信息")</f>
      </c>
      <c r="C9488" t="s" s="2">
        <v>15</v>
      </c>
      <c r="D9488" t="s" s="2">
        <v>16</v>
      </c>
      <c r="E9488" t="s" s="2">
        <v>17</v>
      </c>
      <c r="F9488" t="s" s="2">
        <f>HYPERLINK("http://ts.21cn.com/tousu/show/id/1359396","http://ts.21cn.com/tousu/show/id/1359396")</f>
      </c>
      <c r="G9488" t="s" s="2">
        <v>17</v>
      </c>
      <c r="H9488" t="s" s="2">
        <v>19</v>
      </c>
      <c r="I9488" t="s" s="2">
        <v>36594</v>
      </c>
      <c r="J9488" t="s" s="2">
        <v>36595</v>
      </c>
      <c r="K9488" t="s" s="2">
        <v>22</v>
      </c>
      <c r="L9488" t="s" s="2">
        <v>22</v>
      </c>
      <c r="M9488" t="s" s="2">
        <v>22</v>
      </c>
    </row>
    <row r="9489" ht="25.0" customHeight="true">
      <c r="A9489" t="s" s="2">
        <v>13</v>
      </c>
      <c r="B9489" t="s" s="2">
        <f>HYPERLINK("http://ts.21cn.com/tousu/show/id/1359395","高利贷软暴力")</f>
      </c>
      <c r="C9489" t="s" s="2">
        <v>15</v>
      </c>
      <c r="D9489" t="s" s="2">
        <v>16</v>
      </c>
      <c r="E9489" t="s" s="2">
        <v>17</v>
      </c>
      <c r="F9489" t="s" s="2">
        <f>HYPERLINK("http://ts.21cn.com/tousu/show/id/1359395","http://ts.21cn.com/tousu/show/id/1359395")</f>
      </c>
      <c r="G9489" t="s" s="2">
        <v>17</v>
      </c>
      <c r="H9489" t="s" s="2">
        <v>19</v>
      </c>
      <c r="I9489" t="s" s="2">
        <v>36598</v>
      </c>
      <c r="J9489" t="s" s="2">
        <v>36599</v>
      </c>
      <c r="K9489" t="s" s="2">
        <v>22</v>
      </c>
      <c r="L9489" t="s" s="2">
        <v>22</v>
      </c>
      <c r="M9489" t="s" s="2">
        <v>22</v>
      </c>
    </row>
    <row r="9490" ht="25.0" customHeight="true">
      <c r="A9490" t="s" s="2">
        <v>13</v>
      </c>
      <c r="B9490" t="s" s="2">
        <f>HYPERLINK("http://ts.21cn.com/tousu/show/id/1359394","滴滴司机接到长途订单完成后滴滴平台不给车费冻结车款")</f>
      </c>
      <c r="C9490" t="s" s="2">
        <v>52</v>
      </c>
      <c r="D9490" t="s" s="2">
        <v>16</v>
      </c>
      <c r="E9490" t="s" s="2">
        <v>17</v>
      </c>
      <c r="F9490" t="s" s="2">
        <f>HYPERLINK("http://ts.21cn.com/tousu/show/id/1359394","http://ts.21cn.com/tousu/show/id/1359394")</f>
      </c>
      <c r="G9490" t="s" s="2">
        <v>17</v>
      </c>
      <c r="H9490" t="s" s="2">
        <v>19</v>
      </c>
      <c r="I9490" t="s" s="2">
        <v>36602</v>
      </c>
      <c r="J9490" t="s" s="2">
        <v>36603</v>
      </c>
      <c r="K9490" t="s" s="2">
        <v>22</v>
      </c>
      <c r="L9490" t="s" s="2">
        <v>22</v>
      </c>
      <c r="M9490" t="s" s="2">
        <v>22</v>
      </c>
    </row>
    <row r="9491" ht="25.0" customHeight="true">
      <c r="A9491" t="s" s="2">
        <v>13</v>
      </c>
      <c r="B9491" t="s" s="2">
        <f>HYPERLINK("http://ts.21cn.com/tousu/show/id/1359393","3000本金还款接近2W")</f>
      </c>
      <c r="C9491" t="s" s="2">
        <v>15</v>
      </c>
      <c r="D9491" t="s" s="2">
        <v>16</v>
      </c>
      <c r="E9491" t="s" s="2">
        <v>17</v>
      </c>
      <c r="F9491" t="s" s="2">
        <f>HYPERLINK("http://ts.21cn.com/tousu/show/id/1359393","http://ts.21cn.com/tousu/show/id/1359393")</f>
      </c>
      <c r="G9491" t="s" s="2">
        <v>17</v>
      </c>
      <c r="H9491" t="s" s="2">
        <v>19</v>
      </c>
      <c r="I9491" t="s" s="2">
        <v>36606</v>
      </c>
      <c r="J9491" t="s" s="2">
        <v>36607</v>
      </c>
      <c r="K9491" t="s" s="2">
        <v>22</v>
      </c>
      <c r="L9491" t="s" s="2">
        <v>22</v>
      </c>
      <c r="M9491" t="s" s="2">
        <v>22</v>
      </c>
    </row>
    <row r="9492" ht="25.0" customHeight="true">
      <c r="A9492" t="s" s="2">
        <v>13</v>
      </c>
      <c r="B9492" t="s" s="2">
        <f>HYPERLINK("http://ts.21cn.com/tousu/show/id/1359390","淘集集拖欠货款还要逼我签流氓协议")</f>
      </c>
      <c r="C9492" t="s" s="2">
        <v>15</v>
      </c>
      <c r="D9492" t="s" s="2">
        <v>16</v>
      </c>
      <c r="E9492" t="s" s="2">
        <v>17</v>
      </c>
      <c r="F9492" t="s" s="2">
        <f>HYPERLINK("http://ts.21cn.com/tousu/show/id/1359390","http://ts.21cn.com/tousu/show/id/1359390")</f>
      </c>
      <c r="G9492" t="s" s="2">
        <v>17</v>
      </c>
      <c r="H9492" t="s" s="2">
        <v>19</v>
      </c>
      <c r="I9492" t="s" s="2">
        <v>36610</v>
      </c>
      <c r="J9492" t="s" s="2">
        <v>36611</v>
      </c>
      <c r="K9492" t="s" s="2">
        <v>22</v>
      </c>
      <c r="L9492" t="s" s="2">
        <v>22</v>
      </c>
      <c r="M9492" t="s" s="2">
        <v>22</v>
      </c>
    </row>
    <row r="9493" ht="25.0" customHeight="true">
      <c r="A9493" t="s" s="2">
        <v>13</v>
      </c>
      <c r="B9493" t="s" s="2">
        <f>HYPERLINK("http://ts.21cn.com/tousu/show/id/1359389","大量用户无法退还立刻出行499元押金")</f>
      </c>
      <c r="C9493" t="s" s="2">
        <v>52</v>
      </c>
      <c r="D9493" t="s" s="2">
        <v>16</v>
      </c>
      <c r="E9493" t="s" s="2">
        <v>17</v>
      </c>
      <c r="F9493" t="s" s="2">
        <f>HYPERLINK("http://ts.21cn.com/tousu/show/id/1359389","http://ts.21cn.com/tousu/show/id/1359389")</f>
      </c>
      <c r="G9493" t="s" s="2">
        <v>17</v>
      </c>
      <c r="H9493" t="s" s="2">
        <v>19</v>
      </c>
      <c r="I9493" t="s" s="2">
        <v>36613</v>
      </c>
      <c r="J9493" t="s" s="2">
        <v>36614</v>
      </c>
      <c r="K9493" t="s" s="2">
        <v>22</v>
      </c>
      <c r="L9493" t="s" s="2">
        <v>22</v>
      </c>
      <c r="M9493" t="s" s="2">
        <v>22</v>
      </c>
    </row>
    <row r="9494" ht="25.0" customHeight="true">
      <c r="A9494" t="s" s="2">
        <v>13</v>
      </c>
      <c r="B9494" t="s" s="2">
        <f>HYPERLINK("http://ts.21cn.com/tousu/show/id/1359388","套路贷714")</f>
      </c>
      <c r="C9494" t="s" s="2">
        <v>15</v>
      </c>
      <c r="D9494" t="s" s="2">
        <v>16</v>
      </c>
      <c r="E9494" t="s" s="2">
        <v>17</v>
      </c>
      <c r="F9494" t="s" s="2">
        <f>HYPERLINK("http://ts.21cn.com/tousu/show/id/1359388","http://ts.21cn.com/tousu/show/id/1359388")</f>
      </c>
      <c r="G9494" t="s" s="2">
        <v>17</v>
      </c>
      <c r="H9494" t="s" s="2">
        <v>19</v>
      </c>
      <c r="I9494" t="s" s="2">
        <v>36617</v>
      </c>
      <c r="J9494" t="s" s="2">
        <v>36618</v>
      </c>
      <c r="K9494" t="s" s="2">
        <v>22</v>
      </c>
      <c r="L9494" t="s" s="2">
        <v>22</v>
      </c>
      <c r="M9494" t="s" s="2">
        <v>22</v>
      </c>
    </row>
    <row r="9495" ht="25.0" customHeight="true">
      <c r="A9495" t="s" s="2">
        <v>13</v>
      </c>
      <c r="B9495" t="s" s="2">
        <f>HYPERLINK("http://ts.21cn.com/tousu/show/id/1359387","分期通恶意收取会员费用")</f>
      </c>
      <c r="C9495" t="s" s="2">
        <v>15</v>
      </c>
      <c r="D9495" t="s" s="2">
        <v>16</v>
      </c>
      <c r="E9495" t="s" s="2">
        <v>17</v>
      </c>
      <c r="F9495" t="s" s="2">
        <f>HYPERLINK("http://ts.21cn.com/tousu/show/id/1359387","http://ts.21cn.com/tousu/show/id/1359387")</f>
      </c>
      <c r="G9495" t="s" s="2">
        <v>17</v>
      </c>
      <c r="H9495" t="s" s="2">
        <v>19</v>
      </c>
      <c r="I9495" t="s" s="2">
        <v>36620</v>
      </c>
      <c r="J9495" t="s" s="2">
        <v>36621</v>
      </c>
      <c r="K9495" t="s" s="2">
        <v>22</v>
      </c>
      <c r="L9495" t="s" s="2">
        <v>22</v>
      </c>
      <c r="M9495" t="s" s="2">
        <v>22</v>
      </c>
    </row>
    <row r="9496" ht="25.0" customHeight="true">
      <c r="A9496" t="s" s="2">
        <v>13</v>
      </c>
      <c r="B9496" t="s" s="2">
        <f>HYPERLINK("http://ts.21cn.com/tousu/show/id/1359385","我在交易猫这个手机游戏交易平台上，购买了一个账号，可是账号没有给我，却私自扣留我的钱，他们也不处理也不退款，无人应答")</f>
      </c>
      <c r="C9496" t="s" s="2">
        <v>15</v>
      </c>
      <c r="D9496" t="s" s="2">
        <v>16</v>
      </c>
      <c r="E9496" t="s" s="2">
        <v>17</v>
      </c>
      <c r="F9496" t="s" s="2">
        <f>HYPERLINK("http://ts.21cn.com/tousu/show/id/1359385","http://ts.21cn.com/tousu/show/id/1359385")</f>
      </c>
      <c r="G9496" t="s" s="2">
        <v>17</v>
      </c>
      <c r="H9496" t="s" s="2">
        <v>19</v>
      </c>
      <c r="I9496" t="s" s="2">
        <v>36624</v>
      </c>
      <c r="J9496" t="s" s="2">
        <v>36625</v>
      </c>
      <c r="K9496" t="s" s="2">
        <v>22</v>
      </c>
      <c r="L9496" t="s" s="2">
        <v>22</v>
      </c>
      <c r="M9496" t="s" s="2">
        <v>22</v>
      </c>
    </row>
    <row r="9497" ht="25.0" customHeight="true">
      <c r="A9497" t="s" s="2">
        <v>13</v>
      </c>
      <c r="B9497" t="s" s="2">
        <f>HYPERLINK("http://ts.21cn.com/tousu/show/id/1359384","人人花乱扣费")</f>
      </c>
      <c r="C9497" t="s" s="2">
        <v>15</v>
      </c>
      <c r="D9497" t="s" s="2">
        <v>16</v>
      </c>
      <c r="E9497" t="s" s="2">
        <v>17</v>
      </c>
      <c r="F9497" t="s" s="2">
        <f>HYPERLINK("http://ts.21cn.com/tousu/show/id/1359384","http://ts.21cn.com/tousu/show/id/1359384")</f>
      </c>
      <c r="G9497" t="s" s="2">
        <v>17</v>
      </c>
      <c r="H9497" t="s" s="2">
        <v>19</v>
      </c>
      <c r="I9497" t="s" s="2">
        <v>36627</v>
      </c>
      <c r="J9497" t="s" s="2">
        <v>36628</v>
      </c>
      <c r="K9497" t="s" s="2">
        <v>22</v>
      </c>
      <c r="L9497" t="s" s="2">
        <v>22</v>
      </c>
      <c r="M9497" t="s" s="2">
        <v>22</v>
      </c>
    </row>
    <row r="9498" ht="25.0" customHeight="true">
      <c r="A9498" t="s" s="2">
        <v>13</v>
      </c>
      <c r="B9498" t="s" s="2">
        <f>HYPERLINK("http://ts.21cn.com/tousu/show/id/1359383","砍头贷，714高炮")</f>
      </c>
      <c r="C9498" t="s" s="2">
        <v>15</v>
      </c>
      <c r="D9498" t="s" s="2">
        <v>16</v>
      </c>
      <c r="E9498" t="s" s="2">
        <v>17</v>
      </c>
      <c r="F9498" t="s" s="2">
        <f>HYPERLINK("http://ts.21cn.com/tousu/show/id/1359383","http://ts.21cn.com/tousu/show/id/1359383")</f>
      </c>
      <c r="G9498" t="s" s="2">
        <v>17</v>
      </c>
      <c r="H9498" t="s" s="2">
        <v>19</v>
      </c>
      <c r="I9498" t="s" s="2">
        <v>36631</v>
      </c>
      <c r="J9498" t="s" s="2">
        <v>36632</v>
      </c>
      <c r="K9498" t="s" s="2">
        <v>22</v>
      </c>
      <c r="L9498" t="s" s="2">
        <v>22</v>
      </c>
      <c r="M9498" t="s" s="2">
        <v>22</v>
      </c>
    </row>
    <row r="9499" ht="25.0" customHeight="true">
      <c r="A9499" t="s" s="2">
        <v>13</v>
      </c>
      <c r="B9499" t="s" s="2">
        <f>HYPERLINK("http://ts.21cn.com/tousu/show/id/1359380","TCL答谢会净水器误导消费者")</f>
      </c>
      <c r="C9499" t="s" s="2">
        <v>15</v>
      </c>
      <c r="D9499" t="s" s="2">
        <v>16</v>
      </c>
      <c r="E9499" t="s" s="2">
        <v>17</v>
      </c>
      <c r="F9499" t="s" s="2">
        <f>HYPERLINK("http://ts.21cn.com/tousu/show/id/1359380","http://ts.21cn.com/tousu/show/id/1359380")</f>
      </c>
      <c r="G9499" t="s" s="2">
        <v>17</v>
      </c>
      <c r="H9499" t="s" s="2">
        <v>19</v>
      </c>
      <c r="I9499" t="s" s="2">
        <v>36635</v>
      </c>
      <c r="J9499" t="s" s="2">
        <v>36636</v>
      </c>
      <c r="K9499" t="s" s="2">
        <v>22</v>
      </c>
      <c r="L9499" t="s" s="2">
        <v>22</v>
      </c>
      <c r="M9499" t="s" s="2">
        <v>22</v>
      </c>
    </row>
    <row r="9500" ht="25.0" customHeight="true">
      <c r="A9500" t="s" s="2">
        <v>13</v>
      </c>
      <c r="B9500" t="s" s="2">
        <f>HYPERLINK("http://ts.21cn.com/tousu/show/id/1359381","米米罐超高利贷")</f>
      </c>
      <c r="C9500" t="s" s="2">
        <v>15</v>
      </c>
      <c r="D9500" t="s" s="2">
        <v>16</v>
      </c>
      <c r="E9500" t="s" s="2">
        <v>17</v>
      </c>
      <c r="F9500" t="s" s="2">
        <f>HYPERLINK("http://ts.21cn.com/tousu/show/id/1359381","http://ts.21cn.com/tousu/show/id/1359381")</f>
      </c>
      <c r="G9500" t="s" s="2">
        <v>17</v>
      </c>
      <c r="H9500" t="s" s="2">
        <v>19</v>
      </c>
      <c r="I9500" t="s" s="2">
        <v>36639</v>
      </c>
      <c r="J9500" t="s" s="2">
        <v>36640</v>
      </c>
      <c r="K9500" t="s" s="2">
        <v>22</v>
      </c>
      <c r="L9500" t="s" s="2">
        <v>22</v>
      </c>
      <c r="M9500" t="s" s="2">
        <v>22</v>
      </c>
    </row>
    <row r="9501" ht="25.0" customHeight="true">
      <c r="A9501" t="s" s="2">
        <v>13</v>
      </c>
      <c r="B9501" t="s" s="2">
        <f>HYPERLINK("http://ts.21cn.com/tousu/show/id/1359379","人人花乱扣费")</f>
      </c>
      <c r="C9501" t="s" s="2">
        <v>15</v>
      </c>
      <c r="D9501" t="s" s="2">
        <v>16</v>
      </c>
      <c r="E9501" t="s" s="2">
        <v>17</v>
      </c>
      <c r="F9501" t="s" s="2">
        <f>HYPERLINK("http://ts.21cn.com/tousu/show/id/1359379","http://ts.21cn.com/tousu/show/id/1359379")</f>
      </c>
      <c r="G9501" t="s" s="2">
        <v>17</v>
      </c>
      <c r="H9501" t="s" s="2">
        <v>19</v>
      </c>
      <c r="I9501" t="s" s="2">
        <v>36642</v>
      </c>
      <c r="J9501" t="s" s="2">
        <v>36643</v>
      </c>
      <c r="K9501" t="s" s="2">
        <v>22</v>
      </c>
      <c r="L9501" t="s" s="2">
        <v>22</v>
      </c>
      <c r="M9501" t="s" s="2">
        <v>22</v>
      </c>
    </row>
    <row r="9502" ht="25.0" customHeight="true">
      <c r="A9502" t="s" s="2">
        <v>13</v>
      </c>
      <c r="B9502" t="s" s="2">
        <f>HYPERLINK("http://ts.21cn.com/tousu/show/id/1359378","云闪付为不法分子提供支付渠道")</f>
      </c>
      <c r="C9502" t="s" s="2">
        <v>15</v>
      </c>
      <c r="D9502" t="s" s="2">
        <v>16</v>
      </c>
      <c r="E9502" t="s" s="2">
        <v>17</v>
      </c>
      <c r="F9502" t="s" s="2">
        <f>HYPERLINK("http://ts.21cn.com/tousu/show/id/1359378","http://ts.21cn.com/tousu/show/id/1359378")</f>
      </c>
      <c r="G9502" t="s" s="2">
        <v>17</v>
      </c>
      <c r="H9502" t="s" s="2">
        <v>19</v>
      </c>
      <c r="I9502" t="s" s="2">
        <v>36646</v>
      </c>
      <c r="J9502" t="s" s="2">
        <v>36647</v>
      </c>
      <c r="K9502" t="s" s="2">
        <v>22</v>
      </c>
      <c r="L9502" t="s" s="2">
        <v>22</v>
      </c>
      <c r="M9502" t="s" s="2">
        <v>22</v>
      </c>
    </row>
    <row r="9503" ht="25.0" customHeight="true">
      <c r="A9503" t="s" s="2">
        <v>13</v>
      </c>
      <c r="B9503" t="s" s="2">
        <f>HYPERLINK("http://ts.21cn.com/tousu/show/id/1359377","拉卡拉软暴力催收，不予沟通协商")</f>
      </c>
      <c r="C9503" t="s" s="2">
        <v>15</v>
      </c>
      <c r="D9503" t="s" s="2">
        <v>16</v>
      </c>
      <c r="E9503" t="s" s="2">
        <v>17</v>
      </c>
      <c r="F9503" t="s" s="2">
        <f>HYPERLINK("http://ts.21cn.com/tousu/show/id/1359377","http://ts.21cn.com/tousu/show/id/1359377")</f>
      </c>
      <c r="G9503" t="s" s="2">
        <v>17</v>
      </c>
      <c r="H9503" t="s" s="2">
        <v>19</v>
      </c>
      <c r="I9503" t="s" s="2">
        <v>36650</v>
      </c>
      <c r="J9503" t="s" s="2">
        <v>36651</v>
      </c>
      <c r="K9503" t="s" s="2">
        <v>22</v>
      </c>
      <c r="L9503" t="s" s="2">
        <v>22</v>
      </c>
      <c r="M9503" t="s" s="2">
        <v>22</v>
      </c>
    </row>
    <row r="9504" ht="25.0" customHeight="true">
      <c r="A9504" t="s" s="2">
        <v>13</v>
      </c>
      <c r="B9504" t="s" s="2">
        <f>HYPERLINK("http://ts.21cn.com/tousu/show/id/1359376","投诉及贷强制购买会员，高利贷")</f>
      </c>
      <c r="C9504" t="s" s="2">
        <v>15</v>
      </c>
      <c r="D9504" t="s" s="2">
        <v>16</v>
      </c>
      <c r="E9504" t="s" s="2">
        <v>17</v>
      </c>
      <c r="F9504" t="s" s="2">
        <f>HYPERLINK("http://ts.21cn.com/tousu/show/id/1359376","http://ts.21cn.com/tousu/show/id/1359376")</f>
      </c>
      <c r="G9504" t="s" s="2">
        <v>17</v>
      </c>
      <c r="H9504" t="s" s="2">
        <v>19</v>
      </c>
      <c r="I9504" t="s" s="2">
        <v>36654</v>
      </c>
      <c r="J9504" t="s" s="2">
        <v>36655</v>
      </c>
      <c r="K9504" t="s" s="2">
        <v>22</v>
      </c>
      <c r="L9504" t="s" s="2">
        <v>22</v>
      </c>
      <c r="M9504" t="s" s="2">
        <v>22</v>
      </c>
    </row>
    <row r="9505" ht="25.0" customHeight="true">
      <c r="A9505" t="s" s="2">
        <v>13</v>
      </c>
      <c r="B9505" t="s" s="2">
        <f>HYPERLINK("http://ts.21cn.com/tousu/show/id/1359375","万达普惠暴力催收，侮辱借款人")</f>
      </c>
      <c r="C9505" t="s" s="2">
        <v>15</v>
      </c>
      <c r="D9505" t="s" s="2">
        <v>16</v>
      </c>
      <c r="E9505" t="s" s="2">
        <v>17</v>
      </c>
      <c r="F9505" t="s" s="2">
        <f>HYPERLINK("http://ts.21cn.com/tousu/show/id/1359375","http://ts.21cn.com/tousu/show/id/1359375")</f>
      </c>
      <c r="G9505" t="s" s="2">
        <v>17</v>
      </c>
      <c r="H9505" t="s" s="2">
        <v>19</v>
      </c>
      <c r="I9505" t="s" s="2">
        <v>36658</v>
      </c>
      <c r="J9505" t="s" s="2">
        <v>36659</v>
      </c>
      <c r="K9505" t="s" s="2">
        <v>22</v>
      </c>
      <c r="L9505" t="s" s="2">
        <v>22</v>
      </c>
      <c r="M9505" t="s" s="2">
        <v>22</v>
      </c>
    </row>
    <row r="9506" ht="25.0" customHeight="true">
      <c r="A9506" t="s" s="2">
        <v>13</v>
      </c>
      <c r="B9506" t="s" s="2">
        <f>HYPERLINK("http://ts.21cn.com/tousu/show/id/1359374","广发银行、信用卡中心不予协商处理")</f>
      </c>
      <c r="C9506" t="s" s="2">
        <v>15</v>
      </c>
      <c r="D9506" t="s" s="2">
        <v>16</v>
      </c>
      <c r="E9506" t="s" s="2">
        <v>17</v>
      </c>
      <c r="F9506" t="s" s="2">
        <f>HYPERLINK("http://ts.21cn.com/tousu/show/id/1359374","http://ts.21cn.com/tousu/show/id/1359374")</f>
      </c>
      <c r="G9506" t="s" s="2">
        <v>17</v>
      </c>
      <c r="H9506" t="s" s="2">
        <v>19</v>
      </c>
      <c r="I9506" t="s" s="2">
        <v>36662</v>
      </c>
      <c r="J9506" t="s" s="2">
        <v>36663</v>
      </c>
      <c r="K9506" t="s" s="2">
        <v>22</v>
      </c>
      <c r="L9506" t="s" s="2">
        <v>22</v>
      </c>
      <c r="M9506" t="s" s="2">
        <v>22</v>
      </c>
    </row>
    <row r="9507" ht="25.0" customHeight="true">
      <c r="A9507" t="s" s="2">
        <v>13</v>
      </c>
      <c r="B9507" t="s" s="2">
        <f>HYPERLINK("http://ts.21cn.com/tousu/show/id/1359367","不正规撸网贷利息高")</f>
      </c>
      <c r="C9507" t="s" s="2">
        <v>15</v>
      </c>
      <c r="D9507" t="s" s="2">
        <v>16</v>
      </c>
      <c r="E9507" t="s" s="2">
        <v>17</v>
      </c>
      <c r="F9507" t="s" s="2">
        <f>HYPERLINK("http://ts.21cn.com/tousu/show/id/1359367","http://ts.21cn.com/tousu/show/id/1359367")</f>
      </c>
      <c r="G9507" t="s" s="2">
        <v>17</v>
      </c>
      <c r="H9507" t="s" s="2">
        <v>19</v>
      </c>
      <c r="I9507" t="s" s="2">
        <v>36666</v>
      </c>
      <c r="J9507" t="s" s="2">
        <v>36667</v>
      </c>
      <c r="K9507" t="s" s="2">
        <v>22</v>
      </c>
      <c r="L9507" t="s" s="2">
        <v>22</v>
      </c>
      <c r="M9507" t="s" s="2">
        <v>22</v>
      </c>
    </row>
    <row r="9508" ht="25.0" customHeight="true">
      <c r="A9508" t="s" s="2">
        <v>13</v>
      </c>
      <c r="B9508" t="s" s="2">
        <f>HYPERLINK("http://ts.21cn.com/tousu/show/id/1359372","信用管家里面91买呗高利贷砍头息")</f>
      </c>
      <c r="C9508" t="s" s="2">
        <v>15</v>
      </c>
      <c r="D9508" t="s" s="2">
        <v>16</v>
      </c>
      <c r="E9508" t="s" s="2">
        <v>17</v>
      </c>
      <c r="F9508" t="s" s="2">
        <f>HYPERLINK("http://ts.21cn.com/tousu/show/id/1359372","http://ts.21cn.com/tousu/show/id/1359372")</f>
      </c>
      <c r="G9508" t="s" s="2">
        <v>17</v>
      </c>
      <c r="H9508" t="s" s="2">
        <v>19</v>
      </c>
      <c r="I9508" t="s" s="2">
        <v>36670</v>
      </c>
      <c r="J9508" t="s" s="2">
        <v>36671</v>
      </c>
      <c r="K9508" t="s" s="2">
        <v>22</v>
      </c>
      <c r="L9508" t="s" s="2">
        <v>22</v>
      </c>
      <c r="M9508" t="s" s="2">
        <v>22</v>
      </c>
    </row>
    <row r="9509" ht="25.0" customHeight="true">
      <c r="A9509" t="s" s="2">
        <v>13</v>
      </c>
      <c r="B9509" t="s" s="2">
        <f>HYPERLINK("http://ts.21cn.com/tousu/show/id/1359373","钱站开始半夜三更拨打骚扰电话")</f>
      </c>
      <c r="C9509" t="s" s="2">
        <v>15</v>
      </c>
      <c r="D9509" t="s" s="2">
        <v>16</v>
      </c>
      <c r="E9509" t="s" s="2">
        <v>17</v>
      </c>
      <c r="F9509" t="s" s="2">
        <f>HYPERLINK("http://ts.21cn.com/tousu/show/id/1359373","http://ts.21cn.com/tousu/show/id/1359373")</f>
      </c>
      <c r="G9509" t="s" s="2">
        <v>17</v>
      </c>
      <c r="H9509" t="s" s="2">
        <v>19</v>
      </c>
      <c r="I9509" t="s" s="2">
        <v>36674</v>
      </c>
      <c r="J9509" t="s" s="2">
        <v>36675</v>
      </c>
      <c r="K9509" t="s" s="2">
        <v>22</v>
      </c>
      <c r="L9509" t="s" s="2">
        <v>22</v>
      </c>
      <c r="M9509" t="s" s="2">
        <v>22</v>
      </c>
    </row>
    <row r="9510" ht="25.0" customHeight="true">
      <c r="A9510" t="s" s="2">
        <v>13</v>
      </c>
      <c r="B9510" t="s" s="2">
        <f>HYPERLINK("http://ts.21cn.com/tousu/show/id/1359371","支付成功，但是没有出票")</f>
      </c>
      <c r="C9510" t="s" s="2">
        <v>52</v>
      </c>
      <c r="D9510" t="s" s="2">
        <v>16</v>
      </c>
      <c r="E9510" t="s" s="2">
        <v>17</v>
      </c>
      <c r="F9510" t="s" s="2">
        <f>HYPERLINK("http://ts.21cn.com/tousu/show/id/1359371","http://ts.21cn.com/tousu/show/id/1359371")</f>
      </c>
      <c r="G9510" t="s" s="2">
        <v>17</v>
      </c>
      <c r="H9510" t="s" s="2">
        <v>19</v>
      </c>
      <c r="I9510" t="s" s="2">
        <v>36678</v>
      </c>
      <c r="J9510" t="s" s="2">
        <v>36679</v>
      </c>
      <c r="K9510" t="s" s="2">
        <v>22</v>
      </c>
      <c r="L9510" t="s" s="2">
        <v>22</v>
      </c>
      <c r="M9510" t="s" s="2">
        <v>22</v>
      </c>
    </row>
    <row r="9511" ht="25.0" customHeight="true">
      <c r="A9511" t="s" s="2">
        <v>13</v>
      </c>
      <c r="B9511" t="s" s="2">
        <f>HYPERLINK("http://ts.21cn.com/tousu/show/id/1359370","小明出行押金恶意拖延不退")</f>
      </c>
      <c r="C9511" t="s" s="2">
        <v>15</v>
      </c>
      <c r="D9511" t="s" s="2">
        <v>16</v>
      </c>
      <c r="E9511" t="s" s="2">
        <v>17</v>
      </c>
      <c r="F9511" t="s" s="2">
        <f>HYPERLINK("http://ts.21cn.com/tousu/show/id/1359370","http://ts.21cn.com/tousu/show/id/1359370")</f>
      </c>
      <c r="G9511" t="s" s="2">
        <v>17</v>
      </c>
      <c r="H9511" t="s" s="2">
        <v>19</v>
      </c>
      <c r="I9511" t="s" s="2">
        <v>36682</v>
      </c>
      <c r="J9511" t="s" s="2">
        <v>36683</v>
      </c>
      <c r="K9511" t="s" s="2">
        <v>22</v>
      </c>
      <c r="L9511" t="s" s="2">
        <v>22</v>
      </c>
      <c r="M9511" t="s" s="2">
        <v>22</v>
      </c>
    </row>
    <row r="9512" ht="25.0" customHeight="true">
      <c r="A9512" t="s" s="2">
        <v>13</v>
      </c>
      <c r="B9512" t="s" s="2">
        <f>HYPERLINK("http://ts.21cn.com/tousu/show/id/1359369","弹个车买车变租车，事故车，里程造假，低配车当高配卖，冒充阿里巴巴和支付宝")</f>
      </c>
      <c r="C9512" t="s" s="2">
        <v>15</v>
      </c>
      <c r="D9512" t="s" s="2">
        <v>16</v>
      </c>
      <c r="E9512" t="s" s="2">
        <v>17</v>
      </c>
      <c r="F9512" t="s" s="2">
        <f>HYPERLINK("http://ts.21cn.com/tousu/show/id/1359369","http://ts.21cn.com/tousu/show/id/1359369")</f>
      </c>
      <c r="G9512" t="s" s="2">
        <v>17</v>
      </c>
      <c r="H9512" t="s" s="2">
        <v>19</v>
      </c>
      <c r="I9512" t="s" s="2">
        <v>36686</v>
      </c>
      <c r="J9512" t="s" s="2">
        <v>36687</v>
      </c>
      <c r="K9512" t="s" s="2">
        <v>22</v>
      </c>
      <c r="L9512" t="s" s="2">
        <v>22</v>
      </c>
      <c r="M9512" t="s" s="2">
        <v>22</v>
      </c>
    </row>
    <row r="9513" ht="25.0" customHeight="true">
      <c r="A9513" t="s" s="2">
        <v>13</v>
      </c>
      <c r="B9513" t="s" s="2">
        <f>HYPERLINK("http://ts.21cn.com/tousu/show/id/1359368","大量用户无法退还立刻出行499元押金")</f>
      </c>
      <c r="C9513" t="s" s="2">
        <v>52</v>
      </c>
      <c r="D9513" t="s" s="2">
        <v>16</v>
      </c>
      <c r="E9513" t="s" s="2">
        <v>17</v>
      </c>
      <c r="F9513" t="s" s="2">
        <f>HYPERLINK("http://ts.21cn.com/tousu/show/id/1359368","http://ts.21cn.com/tousu/show/id/1359368")</f>
      </c>
      <c r="G9513" t="s" s="2">
        <v>17</v>
      </c>
      <c r="H9513" t="s" s="2">
        <v>19</v>
      </c>
      <c r="I9513" t="s" s="2">
        <v>36689</v>
      </c>
      <c r="J9513" t="s" s="2">
        <v>36690</v>
      </c>
      <c r="K9513" t="s" s="2">
        <v>22</v>
      </c>
      <c r="L9513" t="s" s="2">
        <v>22</v>
      </c>
      <c r="M9513" t="s" s="2">
        <v>22</v>
      </c>
    </row>
    <row r="9514" ht="25.0" customHeight="true">
      <c r="A9514" t="s" s="2">
        <v>13</v>
      </c>
      <c r="B9514" t="s" s="2">
        <f>HYPERLINK("http://ts.21cn.com/tousu/show/id/1359365","安庆盛通信息科技有限公司半夜私自扣款288元")</f>
      </c>
      <c r="C9514" t="s" s="2">
        <v>15</v>
      </c>
      <c r="D9514" t="s" s="2">
        <v>16</v>
      </c>
      <c r="E9514" t="s" s="2">
        <v>17</v>
      </c>
      <c r="F9514" t="s" s="2">
        <f>HYPERLINK("http://ts.21cn.com/tousu/show/id/1359365","http://ts.21cn.com/tousu/show/id/1359365")</f>
      </c>
      <c r="G9514" t="s" s="2">
        <v>17</v>
      </c>
      <c r="H9514" t="s" s="2">
        <v>19</v>
      </c>
      <c r="I9514" t="s" s="2">
        <v>36693</v>
      </c>
      <c r="J9514" t="s" s="2">
        <v>28545</v>
      </c>
      <c r="K9514" t="s" s="2">
        <v>22</v>
      </c>
      <c r="L9514" t="s" s="2">
        <v>22</v>
      </c>
      <c r="M9514" t="s" s="2">
        <v>22</v>
      </c>
    </row>
    <row r="9515" ht="25.0" customHeight="true">
      <c r="A9515" t="s" s="2">
        <v>13</v>
      </c>
      <c r="B9515" t="s" s="2">
        <f>HYPERLINK("http://ts.21cn.com/tousu/show/id/1359363","分期乐公司暴力催收、骚扰通讯录家属")</f>
      </c>
      <c r="C9515" t="s" s="2">
        <v>15</v>
      </c>
      <c r="D9515" t="s" s="2">
        <v>16</v>
      </c>
      <c r="E9515" t="s" s="2">
        <v>17</v>
      </c>
      <c r="F9515" t="s" s="2">
        <f>HYPERLINK("http://ts.21cn.com/tousu/show/id/1359363","http://ts.21cn.com/tousu/show/id/1359363")</f>
      </c>
      <c r="G9515" t="s" s="2">
        <v>17</v>
      </c>
      <c r="H9515" t="s" s="2">
        <v>19</v>
      </c>
      <c r="I9515" t="s" s="2">
        <v>36696</v>
      </c>
      <c r="J9515" t="s" s="2">
        <v>36697</v>
      </c>
      <c r="K9515" t="s" s="2">
        <v>22</v>
      </c>
      <c r="L9515" t="s" s="2">
        <v>22</v>
      </c>
      <c r="M9515" t="s" s="2">
        <v>22</v>
      </c>
    </row>
    <row r="9516" ht="25.0" customHeight="true">
      <c r="A9516" t="s" s="2">
        <v>13</v>
      </c>
      <c r="B9516" t="s" s="2">
        <f>HYPERLINK("http://ts.21cn.com/tousu/show/id/1359364","我只借了300，399，哪里多出99块")</f>
      </c>
      <c r="C9516" t="s" s="2">
        <v>52</v>
      </c>
      <c r="D9516" t="s" s="2">
        <v>16</v>
      </c>
      <c r="E9516" t="s" s="2">
        <v>17</v>
      </c>
      <c r="F9516" t="s" s="2">
        <f>HYPERLINK("http://ts.21cn.com/tousu/show/id/1359364","http://ts.21cn.com/tousu/show/id/1359364")</f>
      </c>
      <c r="G9516" t="s" s="2">
        <v>17</v>
      </c>
      <c r="H9516" t="s" s="2">
        <v>19</v>
      </c>
      <c r="I9516" t="s" s="2">
        <v>36700</v>
      </c>
      <c r="J9516" t="s" s="2">
        <v>36701</v>
      </c>
      <c r="K9516" t="s" s="2">
        <v>22</v>
      </c>
      <c r="L9516" t="s" s="2">
        <v>22</v>
      </c>
      <c r="M9516" t="s" s="2">
        <v>22</v>
      </c>
    </row>
    <row r="9517" ht="25.0" customHeight="true">
      <c r="A9517" t="s" s="2">
        <v>13</v>
      </c>
      <c r="B9517" t="s" s="2">
        <f>HYPERLINK("http://ts.21cn.com/tousu/show/id/1359362","手机借钱多宝分期高利贷")</f>
      </c>
      <c r="C9517" t="s" s="2">
        <v>15</v>
      </c>
      <c r="D9517" t="s" s="2">
        <v>16</v>
      </c>
      <c r="E9517" t="s" s="2">
        <v>17</v>
      </c>
      <c r="F9517" t="s" s="2">
        <f>HYPERLINK("http://ts.21cn.com/tousu/show/id/1359362","http://ts.21cn.com/tousu/show/id/1359362")</f>
      </c>
      <c r="G9517" t="s" s="2">
        <v>17</v>
      </c>
      <c r="H9517" t="s" s="2">
        <v>19</v>
      </c>
      <c r="I9517" t="s" s="2">
        <v>36704</v>
      </c>
      <c r="J9517" t="s" s="2">
        <v>36705</v>
      </c>
      <c r="K9517" t="s" s="2">
        <v>22</v>
      </c>
      <c r="L9517" t="s" s="2">
        <v>22</v>
      </c>
      <c r="M9517" t="s" s="2">
        <v>22</v>
      </c>
    </row>
    <row r="9518" ht="25.0" customHeight="true">
      <c r="A9518" t="s" s="2">
        <v>13</v>
      </c>
      <c r="B9518" t="s" s="2">
        <f>HYPERLINK("http://ts.21cn.com/tousu/show/id/1359356","要求恒达易贷退款")</f>
      </c>
      <c r="C9518" t="s" s="2">
        <v>15</v>
      </c>
      <c r="D9518" t="s" s="2">
        <v>16</v>
      </c>
      <c r="E9518" t="s" s="2">
        <v>17</v>
      </c>
      <c r="F9518" t="s" s="2">
        <f>HYPERLINK("http://ts.21cn.com/tousu/show/id/1359356","http://ts.21cn.com/tousu/show/id/1359356")</f>
      </c>
      <c r="G9518" t="s" s="2">
        <v>17</v>
      </c>
      <c r="H9518" t="s" s="2">
        <v>19</v>
      </c>
      <c r="I9518" t="s" s="2">
        <v>36708</v>
      </c>
      <c r="J9518" t="s" s="2">
        <v>36709</v>
      </c>
      <c r="K9518" t="s" s="2">
        <v>22</v>
      </c>
      <c r="L9518" t="s" s="2">
        <v>22</v>
      </c>
      <c r="M9518" t="s" s="2">
        <v>22</v>
      </c>
    </row>
    <row r="9519" ht="25.0" customHeight="true">
      <c r="A9519" t="s" s="2">
        <v>13</v>
      </c>
      <c r="B9519" t="s" s="2">
        <f>HYPERLINK("http://ts.21cn.com/tousu/show/id/1359361","暴力催收爆通讯录714")</f>
      </c>
      <c r="C9519" t="s" s="2">
        <v>15</v>
      </c>
      <c r="D9519" t="s" s="2">
        <v>16</v>
      </c>
      <c r="E9519" t="s" s="2">
        <v>17</v>
      </c>
      <c r="F9519" t="s" s="2">
        <f>HYPERLINK("http://ts.21cn.com/tousu/show/id/1359361","http://ts.21cn.com/tousu/show/id/1359361")</f>
      </c>
      <c r="G9519" t="s" s="2">
        <v>17</v>
      </c>
      <c r="H9519" t="s" s="2">
        <v>19</v>
      </c>
      <c r="I9519" t="s" s="2">
        <v>36712</v>
      </c>
      <c r="J9519" t="s" s="2">
        <v>36713</v>
      </c>
      <c r="K9519" t="s" s="2">
        <v>22</v>
      </c>
      <c r="L9519" t="s" s="2">
        <v>22</v>
      </c>
      <c r="M9519" t="s" s="2">
        <v>22</v>
      </c>
    </row>
    <row r="9520" ht="25.0" customHeight="true">
      <c r="A9520" t="s" s="2">
        <v>13</v>
      </c>
      <c r="B9520" t="s" s="2">
        <f>HYPERLINK("http://ts.21cn.com/tousu/show/id/1359360","钱站速金服骚扰电话威胁短信")</f>
      </c>
      <c r="C9520" t="s" s="2">
        <v>15</v>
      </c>
      <c r="D9520" t="s" s="2">
        <v>16</v>
      </c>
      <c r="E9520" t="s" s="2">
        <v>17</v>
      </c>
      <c r="F9520" t="s" s="2">
        <f>HYPERLINK("http://ts.21cn.com/tousu/show/id/1359360","http://ts.21cn.com/tousu/show/id/1359360")</f>
      </c>
      <c r="G9520" t="s" s="2">
        <v>17</v>
      </c>
      <c r="H9520" t="s" s="2">
        <v>19</v>
      </c>
      <c r="I9520" t="s" s="2">
        <v>36716</v>
      </c>
      <c r="J9520" t="s" s="2">
        <v>36717</v>
      </c>
      <c r="K9520" t="s" s="2">
        <v>22</v>
      </c>
      <c r="L9520" t="s" s="2">
        <v>22</v>
      </c>
      <c r="M9520" t="s" s="2">
        <v>22</v>
      </c>
    </row>
    <row r="9521" ht="25.0" customHeight="true">
      <c r="A9521" t="s" s="2">
        <v>13</v>
      </c>
      <c r="B9521" t="s" s="2">
        <f>HYPERLINK("http://ts.21cn.com/tousu/show/id/1359359","小赢卡贷暴力催收不断")</f>
      </c>
      <c r="C9521" t="s" s="2">
        <v>15</v>
      </c>
      <c r="D9521" t="s" s="2">
        <v>16</v>
      </c>
      <c r="E9521" t="s" s="2">
        <v>17</v>
      </c>
      <c r="F9521" t="s" s="2">
        <f>HYPERLINK("http://ts.21cn.com/tousu/show/id/1359359","http://ts.21cn.com/tousu/show/id/1359359")</f>
      </c>
      <c r="G9521" t="s" s="2">
        <v>17</v>
      </c>
      <c r="H9521" t="s" s="2">
        <v>19</v>
      </c>
      <c r="I9521" t="s" s="2">
        <v>36720</v>
      </c>
      <c r="J9521" t="s" s="2">
        <v>36721</v>
      </c>
      <c r="K9521" t="s" s="2">
        <v>22</v>
      </c>
      <c r="L9521" t="s" s="2">
        <v>22</v>
      </c>
      <c r="M9521" t="s" s="2">
        <v>22</v>
      </c>
    </row>
    <row r="9522" ht="25.0" customHeight="true">
      <c r="A9522" t="s" s="2">
        <v>13</v>
      </c>
      <c r="B9522" t="s" s="2">
        <f>HYPERLINK("http://ts.21cn.com/tousu/show/id/1359353","滴滴平台违规给黑滴滴派单，双证司机接不到单")</f>
      </c>
      <c r="C9522" t="s" s="2">
        <v>15</v>
      </c>
      <c r="D9522" t="s" s="2">
        <v>16</v>
      </c>
      <c r="E9522" t="s" s="2">
        <v>17</v>
      </c>
      <c r="F9522" t="s" s="2">
        <f>HYPERLINK("http://ts.21cn.com/tousu/show/id/1359353","http://ts.21cn.com/tousu/show/id/1359353")</f>
      </c>
      <c r="G9522" t="s" s="2">
        <v>17</v>
      </c>
      <c r="H9522" t="s" s="2">
        <v>19</v>
      </c>
      <c r="I9522" t="s" s="2">
        <v>36724</v>
      </c>
      <c r="J9522" t="s" s="2">
        <v>36725</v>
      </c>
      <c r="K9522" t="s" s="2">
        <v>22</v>
      </c>
      <c r="L9522" t="s" s="2">
        <v>22</v>
      </c>
      <c r="M9522" t="s" s="2">
        <v>22</v>
      </c>
    </row>
    <row r="9523" ht="25.0" customHeight="true">
      <c r="A9523" t="s" s="2">
        <v>13</v>
      </c>
      <c r="B9523" t="s" s="2">
        <f>HYPERLINK("http://ts.21cn.com/tousu/show/id/1359346","滴滴平台坑害误导司机")</f>
      </c>
      <c r="C9523" t="s" s="2">
        <v>15</v>
      </c>
      <c r="D9523" t="s" s="2">
        <v>16</v>
      </c>
      <c r="E9523" t="s" s="2">
        <v>17</v>
      </c>
      <c r="F9523" t="s" s="2">
        <f>HYPERLINK("http://ts.21cn.com/tousu/show/id/1359346","http://ts.21cn.com/tousu/show/id/1359346")</f>
      </c>
      <c r="G9523" t="s" s="2">
        <v>17</v>
      </c>
      <c r="H9523" t="s" s="2">
        <v>19</v>
      </c>
      <c r="I9523" t="s" s="2">
        <v>36728</v>
      </c>
      <c r="J9523" t="s" s="2">
        <v>36729</v>
      </c>
      <c r="K9523" t="s" s="2">
        <v>22</v>
      </c>
      <c r="L9523" t="s" s="2">
        <v>22</v>
      </c>
      <c r="M9523" t="s" s="2">
        <v>22</v>
      </c>
    </row>
    <row r="9524" ht="25.0" customHeight="true">
      <c r="A9524" t="s" s="2">
        <v>13</v>
      </c>
      <c r="B9524" t="s" s="2">
        <f>HYPERLINK("http://ts.21cn.com/tousu/show/id/1359358","网贷")</f>
      </c>
      <c r="C9524" t="s" s="2">
        <v>15</v>
      </c>
      <c r="D9524" t="s" s="2">
        <v>16</v>
      </c>
      <c r="E9524" t="s" s="2">
        <v>17</v>
      </c>
      <c r="F9524" t="s" s="2">
        <f>HYPERLINK("http://ts.21cn.com/tousu/show/id/1359358","http://ts.21cn.com/tousu/show/id/1359358")</f>
      </c>
      <c r="G9524" t="s" s="2">
        <v>17</v>
      </c>
      <c r="H9524" t="s" s="2">
        <v>19</v>
      </c>
      <c r="I9524" t="s" s="2">
        <v>36731</v>
      </c>
      <c r="J9524" t="s" s="2">
        <v>36732</v>
      </c>
      <c r="K9524" t="s" s="2">
        <v>22</v>
      </c>
      <c r="L9524" t="s" s="2">
        <v>22</v>
      </c>
      <c r="M9524" t="s" s="2">
        <v>22</v>
      </c>
    </row>
    <row r="9525" ht="25.0" customHeight="true">
      <c r="A9525" t="s" s="2">
        <v>13</v>
      </c>
      <c r="B9525" t="s" s="2">
        <f>HYPERLINK("http://ts.21cn.com/tousu/show/id/1359357","拍拍贷自动扣款失败导致我逾期，需要支付逾期利息")</f>
      </c>
      <c r="C9525" t="s" s="2">
        <v>52</v>
      </c>
      <c r="D9525" t="s" s="2">
        <v>16</v>
      </c>
      <c r="E9525" t="s" s="2">
        <v>17</v>
      </c>
      <c r="F9525" t="s" s="2">
        <f>HYPERLINK("http://ts.21cn.com/tousu/show/id/1359357","http://ts.21cn.com/tousu/show/id/1359357")</f>
      </c>
      <c r="G9525" t="s" s="2">
        <v>17</v>
      </c>
      <c r="H9525" t="s" s="2">
        <v>19</v>
      </c>
      <c r="I9525" t="s" s="2">
        <v>36735</v>
      </c>
      <c r="J9525" t="s" s="2">
        <v>36736</v>
      </c>
      <c r="K9525" t="s" s="2">
        <v>22</v>
      </c>
      <c r="L9525" t="s" s="2">
        <v>22</v>
      </c>
      <c r="M9525" t="s" s="2">
        <v>22</v>
      </c>
    </row>
    <row r="9526" ht="25.0" customHeight="true">
      <c r="A9526" t="s" s="2">
        <v>13</v>
      </c>
      <c r="B9526" t="s" s="2">
        <f>HYPERLINK("http://ts.21cn.com/tousu/show/id/1359355","网贷恶意骚扰投诉")</f>
      </c>
      <c r="C9526" t="s" s="2">
        <v>15</v>
      </c>
      <c r="D9526" t="s" s="2">
        <v>16</v>
      </c>
      <c r="E9526" t="s" s="2">
        <v>17</v>
      </c>
      <c r="F9526" t="s" s="2">
        <f>HYPERLINK("http://ts.21cn.com/tousu/show/id/1359355","http://ts.21cn.com/tousu/show/id/1359355")</f>
      </c>
      <c r="G9526" t="s" s="2">
        <v>17</v>
      </c>
      <c r="H9526" t="s" s="2">
        <v>19</v>
      </c>
      <c r="I9526" t="s" s="2">
        <v>36739</v>
      </c>
      <c r="J9526" t="s" s="2">
        <v>36740</v>
      </c>
      <c r="K9526" t="s" s="2">
        <v>22</v>
      </c>
      <c r="L9526" t="s" s="2">
        <v>22</v>
      </c>
      <c r="M9526" t="s" s="2">
        <v>22</v>
      </c>
    </row>
    <row r="9527" ht="25.0" customHeight="true">
      <c r="A9527" t="s" s="2">
        <v>13</v>
      </c>
      <c r="B9527" t="s" s="2">
        <f>HYPERLINK("http://ts.21cn.com/tousu/show/id/1359354","恢复征信")</f>
      </c>
      <c r="C9527" t="s" s="2">
        <v>52</v>
      </c>
      <c r="D9527" t="s" s="2">
        <v>16</v>
      </c>
      <c r="E9527" t="s" s="2">
        <v>17</v>
      </c>
      <c r="F9527" t="s" s="2">
        <f>HYPERLINK("http://ts.21cn.com/tousu/show/id/1359354","http://ts.21cn.com/tousu/show/id/1359354")</f>
      </c>
      <c r="G9527" t="s" s="2">
        <v>17</v>
      </c>
      <c r="H9527" t="s" s="2">
        <v>19</v>
      </c>
      <c r="I9527" t="s" s="2">
        <v>36743</v>
      </c>
      <c r="J9527" t="s" s="2">
        <v>36744</v>
      </c>
      <c r="K9527" t="s" s="2">
        <v>22</v>
      </c>
      <c r="L9527" t="s" s="2">
        <v>22</v>
      </c>
      <c r="M9527" t="s" s="2">
        <v>22</v>
      </c>
    </row>
    <row r="9528" ht="25.0" customHeight="true">
      <c r="A9528" t="s" s="2">
        <v>13</v>
      </c>
      <c r="B9528" t="s" s="2">
        <f>HYPERLINK("http://ts.21cn.com/tousu/show/id/1359352","高利贷")</f>
      </c>
      <c r="C9528" t="s" s="2">
        <v>15</v>
      </c>
      <c r="D9528" t="s" s="2">
        <v>16</v>
      </c>
      <c r="E9528" t="s" s="2">
        <v>17</v>
      </c>
      <c r="F9528" t="s" s="2">
        <f>HYPERLINK("http://ts.21cn.com/tousu/show/id/1359352","http://ts.21cn.com/tousu/show/id/1359352")</f>
      </c>
      <c r="G9528" t="s" s="2">
        <v>17</v>
      </c>
      <c r="H9528" t="s" s="2">
        <v>19</v>
      </c>
      <c r="I9528" t="s" s="2">
        <v>36746</v>
      </c>
      <c r="J9528" t="s" s="2">
        <v>36747</v>
      </c>
      <c r="K9528" t="s" s="2">
        <v>22</v>
      </c>
      <c r="L9528" t="s" s="2">
        <v>22</v>
      </c>
      <c r="M9528" t="s" s="2">
        <v>22</v>
      </c>
    </row>
    <row r="9529" ht="25.0" customHeight="true">
      <c r="A9529" t="s" s="2">
        <v>13</v>
      </c>
      <c r="B9529" t="s" s="2">
        <f>HYPERLINK("http://ts.21cn.com/tousu/show/id/1359351","宜人贷借款当天还款11点以后操作不了导致高额逾期费")</f>
      </c>
      <c r="C9529" t="s" s="2">
        <v>15</v>
      </c>
      <c r="D9529" t="s" s="2">
        <v>16</v>
      </c>
      <c r="E9529" t="s" s="2">
        <v>17</v>
      </c>
      <c r="F9529" t="s" s="2">
        <f>HYPERLINK("http://ts.21cn.com/tousu/show/id/1359351","http://ts.21cn.com/tousu/show/id/1359351")</f>
      </c>
      <c r="G9529" t="s" s="2">
        <v>17</v>
      </c>
      <c r="H9529" t="s" s="2">
        <v>19</v>
      </c>
      <c r="I9529" t="s" s="2">
        <v>36750</v>
      </c>
      <c r="J9529" t="s" s="2">
        <v>36751</v>
      </c>
      <c r="K9529" t="s" s="2">
        <v>22</v>
      </c>
      <c r="L9529" t="s" s="2">
        <v>22</v>
      </c>
      <c r="M9529" t="s" s="2">
        <v>22</v>
      </c>
    </row>
    <row r="9530" ht="25.0" customHeight="true">
      <c r="A9530" t="s" s="2">
        <v>13</v>
      </c>
      <c r="B9530" t="s" s="2">
        <f>HYPERLINK("http://ts.21cn.com/tousu/show/id/1359350","现金巴士和富友支付收取高额利息")</f>
      </c>
      <c r="C9530" t="s" s="2">
        <v>15</v>
      </c>
      <c r="D9530" t="s" s="2">
        <v>16</v>
      </c>
      <c r="E9530" t="s" s="2">
        <v>17</v>
      </c>
      <c r="F9530" t="s" s="2">
        <f>HYPERLINK("http://ts.21cn.com/tousu/show/id/1359350","http://ts.21cn.com/tousu/show/id/1359350")</f>
      </c>
      <c r="G9530" t="s" s="2">
        <v>17</v>
      </c>
      <c r="H9530" t="s" s="2">
        <v>19</v>
      </c>
      <c r="I9530" t="s" s="2">
        <v>36754</v>
      </c>
      <c r="J9530" t="s" s="2">
        <v>36755</v>
      </c>
      <c r="K9530" t="s" s="2">
        <v>22</v>
      </c>
      <c r="L9530" t="s" s="2">
        <v>22</v>
      </c>
      <c r="M9530" t="s" s="2">
        <v>22</v>
      </c>
    </row>
    <row r="9531" ht="25.0" customHeight="true">
      <c r="A9531" t="s" s="2">
        <v>13</v>
      </c>
      <c r="B9531" t="s" s="2">
        <f>HYPERLINK("http://ts.21cn.com/tousu/show/id/1359349","乱收费用利息超过国家利息")</f>
      </c>
      <c r="C9531" t="s" s="2">
        <v>15</v>
      </c>
      <c r="D9531" t="s" s="2">
        <v>16</v>
      </c>
      <c r="E9531" t="s" s="2">
        <v>17</v>
      </c>
      <c r="F9531" t="s" s="2">
        <f>HYPERLINK("http://ts.21cn.com/tousu/show/id/1359349","http://ts.21cn.com/tousu/show/id/1359349")</f>
      </c>
      <c r="G9531" t="s" s="2">
        <v>17</v>
      </c>
      <c r="H9531" t="s" s="2">
        <v>19</v>
      </c>
      <c r="I9531" t="s" s="2">
        <v>36758</v>
      </c>
      <c r="J9531" t="s" s="2">
        <v>36759</v>
      </c>
      <c r="K9531" t="s" s="2">
        <v>22</v>
      </c>
      <c r="L9531" t="s" s="2">
        <v>22</v>
      </c>
      <c r="M9531" t="s" s="2">
        <v>22</v>
      </c>
    </row>
    <row r="9532" ht="25.0" customHeight="true">
      <c r="A9532" t="s" s="2">
        <v>13</v>
      </c>
      <c r="B9532" t="s" s="2">
        <f>HYPERLINK("http://ts.21cn.com/tousu/show/id/1359328","钱站无理由收取高额服务费")</f>
      </c>
      <c r="C9532" t="s" s="2">
        <v>15</v>
      </c>
      <c r="D9532" t="s" s="2">
        <v>16</v>
      </c>
      <c r="E9532" t="s" s="2">
        <v>17</v>
      </c>
      <c r="F9532" t="s" s="2">
        <f>HYPERLINK("http://ts.21cn.com/tousu/show/id/1359328","http://ts.21cn.com/tousu/show/id/1359328")</f>
      </c>
      <c r="G9532" t="s" s="2">
        <v>17</v>
      </c>
      <c r="H9532" t="s" s="2">
        <v>19</v>
      </c>
      <c r="I9532" t="s" s="2">
        <v>36762</v>
      </c>
      <c r="J9532" t="s" s="2">
        <v>36763</v>
      </c>
      <c r="K9532" t="s" s="2">
        <v>22</v>
      </c>
      <c r="L9532" t="s" s="2">
        <v>22</v>
      </c>
      <c r="M9532" t="s" s="2">
        <v>22</v>
      </c>
    </row>
    <row r="9533" ht="25.0" customHeight="true">
      <c r="A9533" t="s" s="2">
        <v>13</v>
      </c>
      <c r="B9533" t="s" s="2">
        <f>HYPERLINK("http://ts.21cn.com/tousu/show/id/1359348","投诉人人花网贷恶意扣款")</f>
      </c>
      <c r="C9533" t="s" s="2">
        <v>15</v>
      </c>
      <c r="D9533" t="s" s="2">
        <v>16</v>
      </c>
      <c r="E9533" t="s" s="2">
        <v>17</v>
      </c>
      <c r="F9533" t="s" s="2">
        <f>HYPERLINK("http://ts.21cn.com/tousu/show/id/1359348","http://ts.21cn.com/tousu/show/id/1359348")</f>
      </c>
      <c r="G9533" t="s" s="2">
        <v>17</v>
      </c>
      <c r="H9533" t="s" s="2">
        <v>19</v>
      </c>
      <c r="I9533" t="s" s="2">
        <v>36766</v>
      </c>
      <c r="J9533" t="s" s="2">
        <v>36767</v>
      </c>
      <c r="K9533" t="s" s="2">
        <v>22</v>
      </c>
      <c r="L9533" t="s" s="2">
        <v>22</v>
      </c>
      <c r="M9533" t="s" s="2">
        <v>22</v>
      </c>
    </row>
    <row r="9534" ht="25.0" customHeight="true">
      <c r="A9534" t="s" s="2">
        <v>13</v>
      </c>
      <c r="B9534" t="s" s="2">
        <f>HYPERLINK("http://ts.21cn.com/tousu/show/id/1359347","希望与微粒贷公司进行沟通协商")</f>
      </c>
      <c r="C9534" t="s" s="2">
        <v>15</v>
      </c>
      <c r="D9534" t="s" s="2">
        <v>16</v>
      </c>
      <c r="E9534" t="s" s="2">
        <v>17</v>
      </c>
      <c r="F9534" t="s" s="2">
        <f>HYPERLINK("http://ts.21cn.com/tousu/show/id/1359347","http://ts.21cn.com/tousu/show/id/1359347")</f>
      </c>
      <c r="G9534" t="s" s="2">
        <v>17</v>
      </c>
      <c r="H9534" t="s" s="2">
        <v>19</v>
      </c>
      <c r="I9534" t="s" s="2">
        <v>36770</v>
      </c>
      <c r="J9534" t="s" s="2">
        <v>36771</v>
      </c>
      <c r="K9534" t="s" s="2">
        <v>22</v>
      </c>
      <c r="L9534" t="s" s="2">
        <v>22</v>
      </c>
      <c r="M9534" t="s" s="2">
        <v>22</v>
      </c>
    </row>
    <row r="9535" ht="25.0" customHeight="true">
      <c r="A9535" t="s" s="2">
        <v>13</v>
      </c>
      <c r="B9535" t="s" s="2">
        <f>HYPERLINK("http://ts.21cn.com/tousu/show/id/1359345","米米罐高利贷暴力催收")</f>
      </c>
      <c r="C9535" t="s" s="2">
        <v>15</v>
      </c>
      <c r="D9535" t="s" s="2">
        <v>16</v>
      </c>
      <c r="E9535" t="s" s="2">
        <v>17</v>
      </c>
      <c r="F9535" t="s" s="2">
        <f>HYPERLINK("http://ts.21cn.com/tousu/show/id/1359345","http://ts.21cn.com/tousu/show/id/1359345")</f>
      </c>
      <c r="G9535" t="s" s="2">
        <v>17</v>
      </c>
      <c r="H9535" t="s" s="2">
        <v>19</v>
      </c>
      <c r="I9535" t="s" s="2">
        <v>36774</v>
      </c>
      <c r="J9535" t="s" s="2">
        <v>36775</v>
      </c>
      <c r="K9535" t="s" s="2">
        <v>22</v>
      </c>
      <c r="L9535" t="s" s="2">
        <v>22</v>
      </c>
      <c r="M9535" t="s" s="2">
        <v>22</v>
      </c>
    </row>
    <row r="9536" ht="25.0" customHeight="true">
      <c r="A9536" t="s" s="2">
        <v>13</v>
      </c>
      <c r="B9536" t="s" s="2">
        <f>HYPERLINK("http://ts.21cn.com/tousu/show/id/1359344","黑心钱站吸血高贷款阴阳合同误人子弟")</f>
      </c>
      <c r="C9536" t="s" s="2">
        <v>15</v>
      </c>
      <c r="D9536" t="s" s="2">
        <v>16</v>
      </c>
      <c r="E9536" t="s" s="2">
        <v>17</v>
      </c>
      <c r="F9536" t="s" s="2">
        <f>HYPERLINK("http://ts.21cn.com/tousu/show/id/1359344","http://ts.21cn.com/tousu/show/id/1359344")</f>
      </c>
      <c r="G9536" t="s" s="2">
        <v>17</v>
      </c>
      <c r="H9536" t="s" s="2">
        <v>19</v>
      </c>
      <c r="I9536" t="s" s="2">
        <v>36778</v>
      </c>
      <c r="J9536" t="s" s="2">
        <v>36779</v>
      </c>
      <c r="K9536" t="s" s="2">
        <v>22</v>
      </c>
      <c r="L9536" t="s" s="2">
        <v>22</v>
      </c>
      <c r="M9536" t="s" s="2">
        <v>22</v>
      </c>
    </row>
    <row r="9537" ht="25.0" customHeight="true">
      <c r="A9537" t="s" s="2">
        <v>13</v>
      </c>
      <c r="B9537" t="s" s="2">
        <f>HYPERLINK("http://ts.21cn.com/tousu/show/id/1359343","捷信的阴阳合同")</f>
      </c>
      <c r="C9537" t="s" s="2">
        <v>15</v>
      </c>
      <c r="D9537" t="s" s="2">
        <v>16</v>
      </c>
      <c r="E9537" t="s" s="2">
        <v>17</v>
      </c>
      <c r="F9537" t="s" s="2">
        <f>HYPERLINK("http://ts.21cn.com/tousu/show/id/1359343","http://ts.21cn.com/tousu/show/id/1359343")</f>
      </c>
      <c r="G9537" t="s" s="2">
        <v>17</v>
      </c>
      <c r="H9537" t="s" s="2">
        <v>19</v>
      </c>
      <c r="I9537" t="s" s="2">
        <v>36782</v>
      </c>
      <c r="J9537" t="s" s="2">
        <v>36783</v>
      </c>
      <c r="K9537" t="s" s="2">
        <v>22</v>
      </c>
      <c r="L9537" t="s" s="2">
        <v>22</v>
      </c>
      <c r="M9537" t="s" s="2">
        <v>22</v>
      </c>
    </row>
    <row r="9538" ht="25.0" customHeight="true">
      <c r="A9538" t="s" s="2">
        <v>13</v>
      </c>
      <c r="B9538" t="s" s="2">
        <f>HYPERLINK("http://ts.21cn.com/tousu/show/id/1359342","投诉淘集集退店两个月还不退款")</f>
      </c>
      <c r="C9538" t="s" s="2">
        <v>15</v>
      </c>
      <c r="D9538" t="s" s="2">
        <v>16</v>
      </c>
      <c r="E9538" t="s" s="2">
        <v>17</v>
      </c>
      <c r="F9538" t="s" s="2">
        <f>HYPERLINK("http://ts.21cn.com/tousu/show/id/1359342","http://ts.21cn.com/tousu/show/id/1359342")</f>
      </c>
      <c r="G9538" t="s" s="2">
        <v>17</v>
      </c>
      <c r="H9538" t="s" s="2">
        <v>19</v>
      </c>
      <c r="I9538" t="s" s="2">
        <v>36786</v>
      </c>
      <c r="J9538" t="s" s="2">
        <v>36787</v>
      </c>
      <c r="K9538" t="s" s="2">
        <v>22</v>
      </c>
      <c r="L9538" t="s" s="2">
        <v>22</v>
      </c>
      <c r="M9538" t="s" s="2">
        <v>22</v>
      </c>
    </row>
    <row r="9539" ht="25.0" customHeight="true">
      <c r="A9539" t="s" s="2">
        <v>13</v>
      </c>
      <c r="B9539" t="s" s="2">
        <f>HYPERLINK("http://ts.21cn.com/tousu/show/id/1359341","360云盘的私人数据无法取回")</f>
      </c>
      <c r="C9539" t="s" s="2">
        <v>15</v>
      </c>
      <c r="D9539" t="s" s="2">
        <v>16</v>
      </c>
      <c r="E9539" t="s" s="2">
        <v>17</v>
      </c>
      <c r="F9539" t="s" s="2">
        <f>HYPERLINK("http://ts.21cn.com/tousu/show/id/1359341","http://ts.21cn.com/tousu/show/id/1359341")</f>
      </c>
      <c r="G9539" t="s" s="2">
        <v>17</v>
      </c>
      <c r="H9539" t="s" s="2">
        <v>19</v>
      </c>
      <c r="I9539" t="s" s="2">
        <v>36790</v>
      </c>
      <c r="J9539" t="s" s="2">
        <v>36791</v>
      </c>
      <c r="K9539" t="s" s="2">
        <v>22</v>
      </c>
      <c r="L9539" t="s" s="2">
        <v>22</v>
      </c>
      <c r="M9539" t="s" s="2">
        <v>22</v>
      </c>
    </row>
    <row r="9540" ht="25.0" customHeight="true">
      <c r="A9540" t="s" s="2">
        <v>13</v>
      </c>
      <c r="B9540" t="s" s="2">
        <f>HYPERLINK("http://ts.21cn.com/tousu/show/id/1359340","阴阳合同，高利息")</f>
      </c>
      <c r="C9540" t="s" s="2">
        <v>15</v>
      </c>
      <c r="D9540" t="s" s="2">
        <v>16</v>
      </c>
      <c r="E9540" t="s" s="2">
        <v>17</v>
      </c>
      <c r="F9540" t="s" s="2">
        <f>HYPERLINK("http://ts.21cn.com/tousu/show/id/1359340","http://ts.21cn.com/tousu/show/id/1359340")</f>
      </c>
      <c r="G9540" t="s" s="2">
        <v>17</v>
      </c>
      <c r="H9540" t="s" s="2">
        <v>19</v>
      </c>
      <c r="I9540" t="s" s="2">
        <v>36794</v>
      </c>
      <c r="J9540" t="s" s="2">
        <v>36795</v>
      </c>
      <c r="K9540" t="s" s="2">
        <v>22</v>
      </c>
      <c r="L9540" t="s" s="2">
        <v>22</v>
      </c>
      <c r="M9540" t="s" s="2">
        <v>22</v>
      </c>
    </row>
    <row r="9541" ht="25.0" customHeight="true">
      <c r="A9541" t="s" s="2">
        <v>13</v>
      </c>
      <c r="B9541" t="s" s="2">
        <f>HYPERLINK("http://ts.21cn.com/tousu/show/id/1359339","不合理高额利息服务费")</f>
      </c>
      <c r="C9541" t="s" s="2">
        <v>15</v>
      </c>
      <c r="D9541" t="s" s="2">
        <v>16</v>
      </c>
      <c r="E9541" t="s" s="2">
        <v>17</v>
      </c>
      <c r="F9541" t="s" s="2">
        <f>HYPERLINK("http://ts.21cn.com/tousu/show/id/1359339","http://ts.21cn.com/tousu/show/id/1359339")</f>
      </c>
      <c r="G9541" t="s" s="2">
        <v>17</v>
      </c>
      <c r="H9541" t="s" s="2">
        <v>19</v>
      </c>
      <c r="I9541" t="s" s="2">
        <v>36798</v>
      </c>
      <c r="J9541" t="s" s="2">
        <v>36799</v>
      </c>
      <c r="K9541" t="s" s="2">
        <v>22</v>
      </c>
      <c r="L9541" t="s" s="2">
        <v>22</v>
      </c>
      <c r="M9541" t="s" s="2">
        <v>22</v>
      </c>
    </row>
    <row r="9542" ht="25.0" customHeight="true">
      <c r="A9542" t="s" s="2">
        <v>13</v>
      </c>
      <c r="B9542" t="s" s="2">
        <f>HYPERLINK("http://ts.21cn.com/tousu/show/id/1359338","有钱花骚扰通讯录")</f>
      </c>
      <c r="C9542" t="s" s="2">
        <v>15</v>
      </c>
      <c r="D9542" t="s" s="2">
        <v>16</v>
      </c>
      <c r="E9542" t="s" s="2">
        <v>17</v>
      </c>
      <c r="F9542" t="s" s="2">
        <f>HYPERLINK("http://ts.21cn.com/tousu/show/id/1359338","http://ts.21cn.com/tousu/show/id/1359338")</f>
      </c>
      <c r="G9542" t="s" s="2">
        <v>17</v>
      </c>
      <c r="H9542" t="s" s="2">
        <v>19</v>
      </c>
      <c r="I9542" t="s" s="2">
        <v>36802</v>
      </c>
      <c r="J9542" t="s" s="2">
        <v>36803</v>
      </c>
      <c r="K9542" t="s" s="2">
        <v>22</v>
      </c>
      <c r="L9542" t="s" s="2">
        <v>22</v>
      </c>
      <c r="M9542" t="s" s="2">
        <v>22</v>
      </c>
    </row>
    <row r="9543" ht="25.0" customHeight="true">
      <c r="A9543" t="s" s="2">
        <v>13</v>
      </c>
      <c r="B9543" t="s" s="2">
        <f>HYPERLINK("http://ts.21cn.com/tousu/show/id/1359337","淘宝和支付宝对个人支付宝止付，冻结合法钱财")</f>
      </c>
      <c r="C9543" t="s" s="2">
        <v>15</v>
      </c>
      <c r="D9543" t="s" s="2">
        <v>16</v>
      </c>
      <c r="E9543" t="s" s="2">
        <v>17</v>
      </c>
      <c r="F9543" t="s" s="2">
        <f>HYPERLINK("http://ts.21cn.com/tousu/show/id/1359337","http://ts.21cn.com/tousu/show/id/1359337")</f>
      </c>
      <c r="G9543" t="s" s="2">
        <v>17</v>
      </c>
      <c r="H9543" t="s" s="2">
        <v>19</v>
      </c>
      <c r="I9543" t="s" s="2">
        <v>36805</v>
      </c>
      <c r="J9543" t="s" s="2">
        <v>36806</v>
      </c>
      <c r="K9543" t="s" s="2">
        <v>22</v>
      </c>
      <c r="L9543" t="s" s="2">
        <v>22</v>
      </c>
      <c r="M9543" t="s" s="2">
        <v>22</v>
      </c>
    </row>
    <row r="9544" ht="25.0" customHeight="true">
      <c r="A9544" t="s" s="2">
        <v>13</v>
      </c>
      <c r="B9544" t="s" s="2">
        <f>HYPERLINK("http://ts.21cn.com/tousu/show/id/1359335","阴阳合同高利贷")</f>
      </c>
      <c r="C9544" t="s" s="2">
        <v>15</v>
      </c>
      <c r="D9544" t="s" s="2">
        <v>16</v>
      </c>
      <c r="E9544" t="s" s="2">
        <v>17</v>
      </c>
      <c r="F9544" t="s" s="2">
        <f>HYPERLINK("http://ts.21cn.com/tousu/show/id/1359335","http://ts.21cn.com/tousu/show/id/1359335")</f>
      </c>
      <c r="G9544" t="s" s="2">
        <v>17</v>
      </c>
      <c r="H9544" t="s" s="2">
        <v>19</v>
      </c>
      <c r="I9544" t="s" s="2">
        <v>36808</v>
      </c>
      <c r="J9544" t="s" s="2">
        <v>36809</v>
      </c>
      <c r="K9544" t="s" s="2">
        <v>22</v>
      </c>
      <c r="L9544" t="s" s="2">
        <v>22</v>
      </c>
      <c r="M9544" t="s" s="2">
        <v>22</v>
      </c>
    </row>
    <row r="9545" ht="25.0" customHeight="true">
      <c r="A9545" t="s" s="2">
        <v>13</v>
      </c>
      <c r="B9545" t="s" s="2">
        <f>HYPERLINK("http://ts.21cn.com/tousu/show/id/1359334","美术作品在先首次公开发表日销售证明纠纷")</f>
      </c>
      <c r="C9545" t="s" s="2">
        <v>15</v>
      </c>
      <c r="D9545" t="s" s="2">
        <v>16</v>
      </c>
      <c r="E9545" t="s" s="2">
        <v>17</v>
      </c>
      <c r="F9545" t="s" s="2">
        <f>HYPERLINK("http://ts.21cn.com/tousu/show/id/1359334","http://ts.21cn.com/tousu/show/id/1359334")</f>
      </c>
      <c r="G9545" t="s" s="2">
        <v>17</v>
      </c>
      <c r="H9545" t="s" s="2">
        <v>19</v>
      </c>
      <c r="I9545" t="s" s="2">
        <v>36812</v>
      </c>
      <c r="J9545" t="s" s="2">
        <v>36813</v>
      </c>
      <c r="K9545" t="s" s="2">
        <v>22</v>
      </c>
      <c r="L9545" t="s" s="2">
        <v>22</v>
      </c>
      <c r="M9545" t="s" s="2">
        <v>22</v>
      </c>
    </row>
    <row r="9546" ht="25.0" customHeight="true">
      <c r="A9546" t="s" s="2">
        <v>13</v>
      </c>
      <c r="B9546" t="s" s="2">
        <f>HYPERLINK("http://ts.21cn.com/tousu/show/id/1359323","希望文琳商贸能给全部退款")</f>
      </c>
      <c r="C9546" t="s" s="2">
        <v>15</v>
      </c>
      <c r="D9546" t="s" s="2">
        <v>16</v>
      </c>
      <c r="E9546" t="s" s="2">
        <v>17</v>
      </c>
      <c r="F9546" t="s" s="2">
        <f>HYPERLINK("http://ts.21cn.com/tousu/show/id/1359323","http://ts.21cn.com/tousu/show/id/1359323")</f>
      </c>
      <c r="G9546" t="s" s="2">
        <v>17</v>
      </c>
      <c r="H9546" t="s" s="2">
        <v>19</v>
      </c>
      <c r="I9546" t="s" s="2">
        <v>36816</v>
      </c>
      <c r="J9546" t="s" s="2">
        <v>36817</v>
      </c>
      <c r="K9546" t="s" s="2">
        <v>22</v>
      </c>
      <c r="L9546" t="s" s="2">
        <v>22</v>
      </c>
      <c r="M9546" t="s" s="2">
        <v>22</v>
      </c>
    </row>
    <row r="9547" ht="25.0" customHeight="true">
      <c r="A9547" t="s" s="2">
        <v>13</v>
      </c>
      <c r="B9547" t="s" s="2">
        <f>HYPERLINK("http://ts.21cn.com/tousu/show/id/1359332","国美为网D平台提供收款链接")</f>
      </c>
      <c r="C9547" t="s" s="2">
        <v>15</v>
      </c>
      <c r="D9547" t="s" s="2">
        <v>16</v>
      </c>
      <c r="E9547" t="s" s="2">
        <v>17</v>
      </c>
      <c r="F9547" t="s" s="2">
        <f>HYPERLINK("http://ts.21cn.com/tousu/show/id/1359332","http://ts.21cn.com/tousu/show/id/1359332")</f>
      </c>
      <c r="G9547" t="s" s="2">
        <v>17</v>
      </c>
      <c r="H9547" t="s" s="2">
        <v>19</v>
      </c>
      <c r="I9547" t="s" s="2">
        <v>36820</v>
      </c>
      <c r="J9547" t="s" s="2">
        <v>36821</v>
      </c>
      <c r="K9547" t="s" s="2">
        <v>22</v>
      </c>
      <c r="L9547" t="s" s="2">
        <v>22</v>
      </c>
      <c r="M9547" t="s" s="2">
        <v>22</v>
      </c>
    </row>
    <row r="9548" ht="25.0" customHeight="true">
      <c r="A9548" t="s" s="2">
        <v>13</v>
      </c>
      <c r="B9548" t="s" s="2">
        <f>HYPERLINK("http://ts.21cn.com/tousu/show/id/1359331","无缘无故永久停用我的唯品花")</f>
      </c>
      <c r="C9548" t="s" s="2">
        <v>15</v>
      </c>
      <c r="D9548" t="s" s="2">
        <v>16</v>
      </c>
      <c r="E9548" t="s" s="2">
        <v>17</v>
      </c>
      <c r="F9548" t="s" s="2">
        <f>HYPERLINK("http://ts.21cn.com/tousu/show/id/1359331","http://ts.21cn.com/tousu/show/id/1359331")</f>
      </c>
      <c r="G9548" t="s" s="2">
        <v>17</v>
      </c>
      <c r="H9548" t="s" s="2">
        <v>19</v>
      </c>
      <c r="I9548" t="s" s="2">
        <v>36824</v>
      </c>
      <c r="J9548" t="s" s="2">
        <v>36825</v>
      </c>
      <c r="K9548" t="s" s="2">
        <v>22</v>
      </c>
      <c r="L9548" t="s" s="2">
        <v>22</v>
      </c>
      <c r="M9548" t="s" s="2">
        <v>22</v>
      </c>
    </row>
    <row r="9549" ht="25.0" customHeight="true">
      <c r="A9549" t="s" s="2">
        <v>13</v>
      </c>
      <c r="B9549" t="s" s="2">
        <f>HYPERLINK("http://ts.21cn.com/tousu/show/id/1359330","不是本人付款项目，无缘无故扣款")</f>
      </c>
      <c r="C9549" t="s" s="2">
        <v>15</v>
      </c>
      <c r="D9549" t="s" s="2">
        <v>16</v>
      </c>
      <c r="E9549" t="s" s="2">
        <v>17</v>
      </c>
      <c r="F9549" t="s" s="2">
        <f>HYPERLINK("http://ts.21cn.com/tousu/show/id/1359330","http://ts.21cn.com/tousu/show/id/1359330")</f>
      </c>
      <c r="G9549" t="s" s="2">
        <v>17</v>
      </c>
      <c r="H9549" t="s" s="2">
        <v>19</v>
      </c>
      <c r="I9549" t="s" s="2">
        <v>36828</v>
      </c>
      <c r="J9549" t="s" s="2">
        <v>36829</v>
      </c>
      <c r="K9549" t="s" s="2">
        <v>22</v>
      </c>
      <c r="L9549" t="s" s="2">
        <v>22</v>
      </c>
      <c r="M9549" t="s" s="2">
        <v>22</v>
      </c>
    </row>
    <row r="9550" ht="25.0" customHeight="true">
      <c r="A9550" t="s" s="2">
        <v>13</v>
      </c>
      <c r="B9550" t="s" s="2">
        <f>HYPERLINK("http://ts.21cn.com/tousu/show/id/1359329","安逸花网贷借款时附加个人消费贷款保证保险")</f>
      </c>
      <c r="C9550" t="s" s="2">
        <v>15</v>
      </c>
      <c r="D9550" t="s" s="2">
        <v>16</v>
      </c>
      <c r="E9550" t="s" s="2">
        <v>17</v>
      </c>
      <c r="F9550" t="s" s="2">
        <f>HYPERLINK("http://ts.21cn.com/tousu/show/id/1359329","http://ts.21cn.com/tousu/show/id/1359329")</f>
      </c>
      <c r="G9550" t="s" s="2">
        <v>17</v>
      </c>
      <c r="H9550" t="s" s="2">
        <v>19</v>
      </c>
      <c r="I9550" t="s" s="2">
        <v>36832</v>
      </c>
      <c r="J9550" t="s" s="2">
        <v>36833</v>
      </c>
      <c r="K9550" t="s" s="2">
        <v>22</v>
      </c>
      <c r="L9550" t="s" s="2">
        <v>22</v>
      </c>
      <c r="M9550" t="s" s="2">
        <v>22</v>
      </c>
    </row>
    <row r="9551" ht="25.0" customHeight="true">
      <c r="A9551" t="s" s="2">
        <v>13</v>
      </c>
      <c r="B9551" t="s" s="2">
        <f>HYPERLINK("http://ts.21cn.com/tousu/show/id/1359327","拼多多为网D平台提供收款链接")</f>
      </c>
      <c r="C9551" t="s" s="2">
        <v>52</v>
      </c>
      <c r="D9551" t="s" s="2">
        <v>16</v>
      </c>
      <c r="E9551" t="s" s="2">
        <v>17</v>
      </c>
      <c r="F9551" t="s" s="2">
        <f>HYPERLINK("http://ts.21cn.com/tousu/show/id/1359327","http://ts.21cn.com/tousu/show/id/1359327")</f>
      </c>
      <c r="G9551" t="s" s="2">
        <v>17</v>
      </c>
      <c r="H9551" t="s" s="2">
        <v>19</v>
      </c>
      <c r="I9551" t="s" s="2">
        <v>36836</v>
      </c>
      <c r="J9551" t="s" s="2">
        <v>36837</v>
      </c>
      <c r="K9551" t="s" s="2">
        <v>22</v>
      </c>
      <c r="L9551" t="s" s="2">
        <v>22</v>
      </c>
      <c r="M9551" t="s" s="2">
        <v>22</v>
      </c>
    </row>
    <row r="9552" ht="25.0" customHeight="true">
      <c r="A9552" t="s" s="2">
        <v>13</v>
      </c>
      <c r="B9552" t="s" s="2">
        <f>HYPERLINK("http://ts.21cn.com/tousu/show/id/1359325","白领贷逾期恶意催收")</f>
      </c>
      <c r="C9552" t="s" s="2">
        <v>15</v>
      </c>
      <c r="D9552" t="s" s="2">
        <v>16</v>
      </c>
      <c r="E9552" t="s" s="2">
        <v>17</v>
      </c>
      <c r="F9552" t="s" s="2">
        <f>HYPERLINK("http://ts.21cn.com/tousu/show/id/1359325","http://ts.21cn.com/tousu/show/id/1359325")</f>
      </c>
      <c r="G9552" t="s" s="2">
        <v>17</v>
      </c>
      <c r="H9552" t="s" s="2">
        <v>19</v>
      </c>
      <c r="I9552" t="s" s="2">
        <v>36840</v>
      </c>
      <c r="J9552" t="s" s="2">
        <v>36841</v>
      </c>
      <c r="K9552" t="s" s="2">
        <v>22</v>
      </c>
      <c r="L9552" t="s" s="2">
        <v>22</v>
      </c>
      <c r="M9552" t="s" s="2">
        <v>22</v>
      </c>
    </row>
    <row r="9553" ht="25.0" customHeight="true">
      <c r="A9553" t="s" s="2">
        <v>13</v>
      </c>
      <c r="B9553" t="s" s="2">
        <f>HYPERLINK("http://ts.21cn.com/tousu/show/id/1359324","上海翰银为赌博输平台收单，请求瀚银为我退款挽回经济损失")</f>
      </c>
      <c r="C9553" t="s" s="2">
        <v>15</v>
      </c>
      <c r="D9553" t="s" s="2">
        <v>16</v>
      </c>
      <c r="E9553" t="s" s="2">
        <v>17</v>
      </c>
      <c r="F9553" t="s" s="2">
        <f>HYPERLINK("http://ts.21cn.com/tousu/show/id/1359324","http://ts.21cn.com/tousu/show/id/1359324")</f>
      </c>
      <c r="G9553" t="s" s="2">
        <v>17</v>
      </c>
      <c r="H9553" t="s" s="2">
        <v>19</v>
      </c>
      <c r="I9553" t="s" s="2">
        <v>36843</v>
      </c>
      <c r="J9553" t="s" s="2">
        <v>36844</v>
      </c>
      <c r="K9553" t="s" s="2">
        <v>22</v>
      </c>
      <c r="L9553" t="s" s="2">
        <v>22</v>
      </c>
      <c r="M9553" t="s" s="2">
        <v>22</v>
      </c>
    </row>
    <row r="9554" ht="25.0" customHeight="true">
      <c r="A9554" t="s" s="2">
        <v>13</v>
      </c>
      <c r="B9554" t="s" s="2">
        <f>HYPERLINK("http://ts.21cn.com/tousu/show/id/1359326","中国银联股份有限公司广东分公司专户05在我不知情的情况下从我工行卡盗走325元")</f>
      </c>
      <c r="C9554" t="s" s="2">
        <v>15</v>
      </c>
      <c r="D9554" t="s" s="2">
        <v>16</v>
      </c>
      <c r="E9554" t="s" s="2">
        <v>17</v>
      </c>
      <c r="F9554" t="s" s="2">
        <f>HYPERLINK("http://ts.21cn.com/tousu/show/id/1359326","http://ts.21cn.com/tousu/show/id/1359326")</f>
      </c>
      <c r="G9554" t="s" s="2">
        <v>17</v>
      </c>
      <c r="H9554" t="s" s="2">
        <v>19</v>
      </c>
      <c r="I9554" t="s" s="2">
        <v>36847</v>
      </c>
      <c r="J9554" t="s" s="2">
        <v>36848</v>
      </c>
      <c r="K9554" t="s" s="2">
        <v>22</v>
      </c>
      <c r="L9554" t="s" s="2">
        <v>22</v>
      </c>
      <c r="M9554" t="s" s="2">
        <v>22</v>
      </c>
    </row>
    <row r="9555" ht="25.0" customHeight="true">
      <c r="A9555" t="s" s="2">
        <v>13</v>
      </c>
      <c r="B9555" t="s" s="2">
        <f>HYPERLINK("http://ts.21cn.com/tousu/show/id/1359322","交通银行信用卡催收部门立即停止骚扰本人家人，道歉并沟通协商还款事宜")</f>
      </c>
      <c r="C9555" t="s" s="2">
        <v>15</v>
      </c>
      <c r="D9555" t="s" s="2">
        <v>16</v>
      </c>
      <c r="E9555" t="s" s="2">
        <v>17</v>
      </c>
      <c r="F9555" t="s" s="2">
        <f>HYPERLINK("http://ts.21cn.com/tousu/show/id/1359322","http://ts.21cn.com/tousu/show/id/1359322")</f>
      </c>
      <c r="G9555" t="s" s="2">
        <v>17</v>
      </c>
      <c r="H9555" t="s" s="2">
        <v>19</v>
      </c>
      <c r="I9555" t="s" s="2">
        <v>36851</v>
      </c>
      <c r="J9555" t="s" s="2">
        <v>36852</v>
      </c>
      <c r="K9555" t="s" s="2">
        <v>22</v>
      </c>
      <c r="L9555" t="s" s="2">
        <v>22</v>
      </c>
      <c r="M9555" t="s" s="2">
        <v>22</v>
      </c>
    </row>
    <row r="9556" ht="25.0" customHeight="true">
      <c r="A9556" t="s" s="2">
        <v>13</v>
      </c>
      <c r="B9556" t="s" s="2">
        <f>HYPERLINK("http://ts.21cn.com/tousu/show/id/1359321","速金服每天打很多电话催收。威胁短信")</f>
      </c>
      <c r="C9556" t="s" s="2">
        <v>15</v>
      </c>
      <c r="D9556" t="s" s="2">
        <v>16</v>
      </c>
      <c r="E9556" t="s" s="2">
        <v>17</v>
      </c>
      <c r="F9556" t="s" s="2">
        <f>HYPERLINK("http://ts.21cn.com/tousu/show/id/1359321","http://ts.21cn.com/tousu/show/id/1359321")</f>
      </c>
      <c r="G9556" t="s" s="2">
        <v>17</v>
      </c>
      <c r="H9556" t="s" s="2">
        <v>19</v>
      </c>
      <c r="I9556" t="s" s="2">
        <v>36855</v>
      </c>
      <c r="J9556" t="s" s="2">
        <v>36856</v>
      </c>
      <c r="K9556" t="s" s="2">
        <v>22</v>
      </c>
      <c r="L9556" t="s" s="2">
        <v>22</v>
      </c>
      <c r="M9556" t="s" s="2">
        <v>22</v>
      </c>
    </row>
    <row r="9557" ht="25.0" customHeight="true">
      <c r="A9557" t="s" s="2">
        <v>13</v>
      </c>
      <c r="B9557" t="s" s="2">
        <f>HYPERLINK("http://ts.21cn.com/tousu/show/id/1359320","捷信高利贷，违法催收，公开粘贴借款人隐私，损坏借款人名誉。")</f>
      </c>
      <c r="C9557" t="s" s="2">
        <v>15</v>
      </c>
      <c r="D9557" t="s" s="2">
        <v>16</v>
      </c>
      <c r="E9557" t="s" s="2">
        <v>17</v>
      </c>
      <c r="F9557" t="s" s="2">
        <f>HYPERLINK("http://ts.21cn.com/tousu/show/id/1359320","http://ts.21cn.com/tousu/show/id/1359320")</f>
      </c>
      <c r="G9557" t="s" s="2">
        <v>17</v>
      </c>
      <c r="H9557" t="s" s="2">
        <v>19</v>
      </c>
      <c r="I9557" t="s" s="2">
        <v>36859</v>
      </c>
      <c r="J9557" t="s" s="2">
        <v>36860</v>
      </c>
      <c r="K9557" t="s" s="2">
        <v>22</v>
      </c>
      <c r="L9557" t="s" s="2">
        <v>22</v>
      </c>
      <c r="M9557" t="s" s="2">
        <v>22</v>
      </c>
    </row>
    <row r="9558" ht="25.0" customHeight="true">
      <c r="A9558" t="s" s="2">
        <v>13</v>
      </c>
      <c r="B9558" t="s" s="2">
        <f>HYPERLINK("http://ts.21cn.com/tousu/show/id/1359319","陌陌APP，坑害老百姓的钱，充值陌陌币不给退，兑换礼物折扣损失严重！")</f>
      </c>
      <c r="C9558" t="s" s="2">
        <v>15</v>
      </c>
      <c r="D9558" t="s" s="2">
        <v>16</v>
      </c>
      <c r="E9558" t="s" s="2">
        <v>17</v>
      </c>
      <c r="F9558" t="s" s="2">
        <f>HYPERLINK("http://ts.21cn.com/tousu/show/id/1359319","http://ts.21cn.com/tousu/show/id/1359319")</f>
      </c>
      <c r="G9558" t="s" s="2">
        <v>17</v>
      </c>
      <c r="H9558" t="s" s="2">
        <v>19</v>
      </c>
      <c r="I9558" t="s" s="2">
        <v>36863</v>
      </c>
      <c r="J9558" t="s" s="2">
        <v>36864</v>
      </c>
      <c r="K9558" t="s" s="2">
        <v>22</v>
      </c>
      <c r="L9558" t="s" s="2">
        <v>22</v>
      </c>
      <c r="M9558" t="s" s="2">
        <v>22</v>
      </c>
    </row>
    <row r="9559" ht="25.0" customHeight="true">
      <c r="A9559" t="s" s="2">
        <v>13</v>
      </c>
      <c r="B9559" t="s" s="2">
        <f>HYPERLINK("http://ts.21cn.com/tousu/show/id/1359318","京东白条，在已经还清分期第二三期，竟要求全额还款含利息，并利用第三方机构恶意短信告知")</f>
      </c>
      <c r="C9559" t="s" s="2">
        <v>15</v>
      </c>
      <c r="D9559" t="s" s="2">
        <v>16</v>
      </c>
      <c r="E9559" t="s" s="2">
        <v>17</v>
      </c>
      <c r="F9559" t="s" s="2">
        <f>HYPERLINK("http://ts.21cn.com/tousu/show/id/1359318","http://ts.21cn.com/tousu/show/id/1359318")</f>
      </c>
      <c r="G9559" t="s" s="2">
        <v>17</v>
      </c>
      <c r="H9559" t="s" s="2">
        <v>19</v>
      </c>
      <c r="I9559" t="s" s="2">
        <v>36867</v>
      </c>
      <c r="J9559" t="s" s="2">
        <v>36868</v>
      </c>
      <c r="K9559" t="s" s="2">
        <v>22</v>
      </c>
      <c r="L9559" t="s" s="2">
        <v>22</v>
      </c>
      <c r="M9559" t="s" s="2">
        <v>22</v>
      </c>
    </row>
    <row r="9560" ht="25.0" customHeight="true">
      <c r="A9560" t="s" s="2">
        <v>13</v>
      </c>
      <c r="B9560" t="s" s="2">
        <f>HYPERLINK("http://ts.21cn.com/tousu/show/id/1359317","捷信太黑了，")</f>
      </c>
      <c r="C9560" t="s" s="2">
        <v>15</v>
      </c>
      <c r="D9560" t="s" s="2">
        <v>16</v>
      </c>
      <c r="E9560" t="s" s="2">
        <v>17</v>
      </c>
      <c r="F9560" t="s" s="2">
        <f>HYPERLINK("http://ts.21cn.com/tousu/show/id/1359317","http://ts.21cn.com/tousu/show/id/1359317")</f>
      </c>
      <c r="G9560" t="s" s="2">
        <v>17</v>
      </c>
      <c r="H9560" t="s" s="2">
        <v>19</v>
      </c>
      <c r="I9560" t="s" s="2">
        <v>36871</v>
      </c>
      <c r="J9560" t="s" s="2">
        <v>36872</v>
      </c>
      <c r="K9560" t="s" s="2">
        <v>22</v>
      </c>
      <c r="L9560" t="s" s="2">
        <v>22</v>
      </c>
      <c r="M9560" t="s" s="2">
        <v>22</v>
      </c>
    </row>
    <row r="9561" ht="25.0" customHeight="true">
      <c r="A9561" t="s" s="2">
        <v>13</v>
      </c>
      <c r="B9561" t="s" s="2">
        <f>HYPERLINK("http://ts.21cn.com/tousu/show/id/1359299","中山世纪祥和装饰材料有限公司说一套做一套")</f>
      </c>
      <c r="C9561" t="s" s="2">
        <v>15</v>
      </c>
      <c r="D9561" t="s" s="2">
        <v>16</v>
      </c>
      <c r="E9561" t="s" s="2">
        <v>17</v>
      </c>
      <c r="F9561" t="s" s="2">
        <f>HYPERLINK("http://ts.21cn.com/tousu/show/id/1359299","http://ts.21cn.com/tousu/show/id/1359299")</f>
      </c>
      <c r="G9561" t="s" s="2">
        <v>17</v>
      </c>
      <c r="H9561" t="s" s="2">
        <v>19</v>
      </c>
      <c r="I9561" t="s" s="2">
        <v>36875</v>
      </c>
      <c r="J9561" t="s" s="2">
        <v>36876</v>
      </c>
      <c r="K9561" t="s" s="2">
        <v>22</v>
      </c>
      <c r="L9561" t="s" s="2">
        <v>22</v>
      </c>
      <c r="M9561" t="s" s="2">
        <v>22</v>
      </c>
    </row>
    <row r="9562" ht="25.0" customHeight="true">
      <c r="A9562" t="s" s="2">
        <v>13</v>
      </c>
      <c r="B9562" t="s" s="2">
        <f>HYPERLINK("http://ts.21cn.com/tousu/show/id/1359316","聚富分期无故扣款")</f>
      </c>
      <c r="C9562" t="s" s="2">
        <v>15</v>
      </c>
      <c r="D9562" t="s" s="2">
        <v>16</v>
      </c>
      <c r="E9562" t="s" s="2">
        <v>17</v>
      </c>
      <c r="F9562" t="s" s="2">
        <f>HYPERLINK("http://ts.21cn.com/tousu/show/id/1359316","http://ts.21cn.com/tousu/show/id/1359316")</f>
      </c>
      <c r="G9562" t="s" s="2">
        <v>17</v>
      </c>
      <c r="H9562" t="s" s="2">
        <v>19</v>
      </c>
      <c r="I9562" t="s" s="2">
        <v>36879</v>
      </c>
      <c r="J9562" t="s" s="2">
        <v>36880</v>
      </c>
      <c r="K9562" t="s" s="2">
        <v>22</v>
      </c>
      <c r="L9562" t="s" s="2">
        <v>22</v>
      </c>
      <c r="M9562" t="s" s="2">
        <v>22</v>
      </c>
    </row>
    <row r="9563" ht="25.0" customHeight="true">
      <c r="A9563" t="s" s="2">
        <v>13</v>
      </c>
      <c r="B9563" t="s" s="2">
        <f>HYPERLINK("http://ts.21cn.com/tousu/show/id/1359315","小牛在线答应时间内不退款")</f>
      </c>
      <c r="C9563" t="s" s="2">
        <v>52</v>
      </c>
      <c r="D9563" t="s" s="2">
        <v>16</v>
      </c>
      <c r="E9563" t="s" s="2">
        <v>17</v>
      </c>
      <c r="F9563" t="s" s="2">
        <f>HYPERLINK("http://ts.21cn.com/tousu/show/id/1359315","http://ts.21cn.com/tousu/show/id/1359315")</f>
      </c>
      <c r="G9563" t="s" s="2">
        <v>17</v>
      </c>
      <c r="H9563" t="s" s="2">
        <v>19</v>
      </c>
      <c r="I9563" t="s" s="2">
        <v>36883</v>
      </c>
      <c r="J9563" t="s" s="2">
        <v>36884</v>
      </c>
      <c r="K9563" t="s" s="2">
        <v>22</v>
      </c>
      <c r="L9563" t="s" s="2">
        <v>22</v>
      </c>
      <c r="M9563" t="s" s="2">
        <v>22</v>
      </c>
    </row>
    <row r="9564" ht="25.0" customHeight="true">
      <c r="A9564" t="s" s="2">
        <v>13</v>
      </c>
      <c r="B9564" t="s" s="2">
        <f>HYPERLINK("http://ts.21cn.com/tousu/show/id/1359314","你我贷非法骚扰，侮辱，高利贷")</f>
      </c>
      <c r="C9564" t="s" s="2">
        <v>15</v>
      </c>
      <c r="D9564" t="s" s="2">
        <v>16</v>
      </c>
      <c r="E9564" t="s" s="2">
        <v>17</v>
      </c>
      <c r="F9564" t="s" s="2">
        <f>HYPERLINK("http://ts.21cn.com/tousu/show/id/1359314","http://ts.21cn.com/tousu/show/id/1359314")</f>
      </c>
      <c r="G9564" t="s" s="2">
        <v>17</v>
      </c>
      <c r="H9564" t="s" s="2">
        <v>19</v>
      </c>
      <c r="I9564" t="s" s="2">
        <v>36887</v>
      </c>
      <c r="J9564" t="s" s="2">
        <v>36888</v>
      </c>
      <c r="K9564" t="s" s="2">
        <v>22</v>
      </c>
      <c r="L9564" t="s" s="2">
        <v>22</v>
      </c>
      <c r="M9564" t="s" s="2">
        <v>22</v>
      </c>
    </row>
    <row r="9565" ht="25.0" customHeight="true">
      <c r="A9565" t="s" s="2">
        <v>13</v>
      </c>
      <c r="B9565" t="s" s="2">
        <f>HYPERLINK("http://ts.21cn.com/tousu/show/id/1359313","时光分期催收人员爆通讯录群发信息")</f>
      </c>
      <c r="C9565" t="s" s="2">
        <v>15</v>
      </c>
      <c r="D9565" t="s" s="2">
        <v>16</v>
      </c>
      <c r="E9565" t="s" s="2">
        <v>17</v>
      </c>
      <c r="F9565" t="s" s="2">
        <f>HYPERLINK("http://ts.21cn.com/tousu/show/id/1359313","http://ts.21cn.com/tousu/show/id/1359313")</f>
      </c>
      <c r="G9565" t="s" s="2">
        <v>17</v>
      </c>
      <c r="H9565" t="s" s="2">
        <v>19</v>
      </c>
      <c r="I9565" t="s" s="2">
        <v>36891</v>
      </c>
      <c r="J9565" t="s" s="2">
        <v>36892</v>
      </c>
      <c r="K9565" t="s" s="2">
        <v>22</v>
      </c>
      <c r="L9565" t="s" s="2">
        <v>22</v>
      </c>
      <c r="M9565" t="s" s="2">
        <v>22</v>
      </c>
    </row>
    <row r="9566" ht="25.0" customHeight="true">
      <c r="A9566" t="s" s="2">
        <v>13</v>
      </c>
      <c r="B9566" t="s" s="2">
        <f>HYPERLINK("http://ts.21cn.com/tousu/show/id/1359312","闪银至尊借款电话骚扰违约金过高")</f>
      </c>
      <c r="C9566" t="s" s="2">
        <v>15</v>
      </c>
      <c r="D9566" t="s" s="2">
        <v>16</v>
      </c>
      <c r="E9566" t="s" s="2">
        <v>17</v>
      </c>
      <c r="F9566" t="s" s="2">
        <f>HYPERLINK("http://ts.21cn.com/tousu/show/id/1359312","http://ts.21cn.com/tousu/show/id/1359312")</f>
      </c>
      <c r="G9566" t="s" s="2">
        <v>17</v>
      </c>
      <c r="H9566" t="s" s="2">
        <v>19</v>
      </c>
      <c r="I9566" t="s" s="2">
        <v>36895</v>
      </c>
      <c r="J9566" t="s" s="2">
        <v>36896</v>
      </c>
      <c r="K9566" t="s" s="2">
        <v>22</v>
      </c>
      <c r="L9566" t="s" s="2">
        <v>22</v>
      </c>
      <c r="M9566" t="s" s="2">
        <v>22</v>
      </c>
    </row>
    <row r="9567" ht="25.0" customHeight="true">
      <c r="A9567" t="s" s="2">
        <v>13</v>
      </c>
      <c r="B9567" t="s" s="2">
        <f>HYPERLINK("http://ts.21cn.com/tousu/show/id/1359311","砍头息，高利贷")</f>
      </c>
      <c r="C9567" t="s" s="2">
        <v>15</v>
      </c>
      <c r="D9567" t="s" s="2">
        <v>16</v>
      </c>
      <c r="E9567" t="s" s="2">
        <v>17</v>
      </c>
      <c r="F9567" t="s" s="2">
        <f>HYPERLINK("http://ts.21cn.com/tousu/show/id/1359311","http://ts.21cn.com/tousu/show/id/1359311")</f>
      </c>
      <c r="G9567" t="s" s="2">
        <v>17</v>
      </c>
      <c r="H9567" t="s" s="2">
        <v>19</v>
      </c>
      <c r="I9567" t="s" s="2">
        <v>36898</v>
      </c>
      <c r="J9567" t="s" s="2">
        <v>36899</v>
      </c>
      <c r="K9567" t="s" s="2">
        <v>22</v>
      </c>
      <c r="L9567" t="s" s="2">
        <v>22</v>
      </c>
      <c r="M9567" t="s" s="2">
        <v>22</v>
      </c>
    </row>
    <row r="9568" ht="25.0" customHeight="true">
      <c r="A9568" t="s" s="2">
        <v>13</v>
      </c>
      <c r="B9568" t="s" s="2">
        <f>HYPERLINK("http://ts.21cn.com/tousu/show/id/1359310","上海世纪公园3号楼收费人员态度恶劣")</f>
      </c>
      <c r="C9568" t="s" s="2">
        <v>15</v>
      </c>
      <c r="D9568" t="s" s="2">
        <v>16</v>
      </c>
      <c r="E9568" t="s" s="2">
        <v>17</v>
      </c>
      <c r="F9568" t="s" s="2">
        <f>HYPERLINK("http://ts.21cn.com/tousu/show/id/1359310","http://ts.21cn.com/tousu/show/id/1359310")</f>
      </c>
      <c r="G9568" t="s" s="2">
        <v>17</v>
      </c>
      <c r="H9568" t="s" s="2">
        <v>19</v>
      </c>
      <c r="I9568" t="s" s="2">
        <v>36902</v>
      </c>
      <c r="J9568" t="s" s="2">
        <v>36903</v>
      </c>
      <c r="K9568" t="s" s="2">
        <v>22</v>
      </c>
      <c r="L9568" t="s" s="2">
        <v>22</v>
      </c>
      <c r="M9568" t="s" s="2">
        <v>22</v>
      </c>
    </row>
    <row r="9569" ht="25.0" customHeight="true">
      <c r="A9569" t="s" s="2">
        <v>13</v>
      </c>
      <c r="B9569" t="s" s="2">
        <f>HYPERLINK("http://ts.21cn.com/tousu/show/id/1359142","安逸花高利贷未提前告知多项费用高额罚息高额服务费高额利息")</f>
      </c>
      <c r="C9569" t="s" s="2">
        <v>15</v>
      </c>
      <c r="D9569" t="s" s="2">
        <v>16</v>
      </c>
      <c r="E9569" t="s" s="2">
        <v>17</v>
      </c>
      <c r="F9569" t="s" s="2">
        <f>HYPERLINK("http://ts.21cn.com/tousu/show/id/1359142","http://ts.21cn.com/tousu/show/id/1359142")</f>
      </c>
      <c r="G9569" t="s" s="2">
        <v>17</v>
      </c>
      <c r="H9569" t="s" s="2">
        <v>19</v>
      </c>
      <c r="I9569" t="s" s="2">
        <v>36906</v>
      </c>
      <c r="J9569" t="s" s="2">
        <v>36907</v>
      </c>
      <c r="K9569" t="s" s="2">
        <v>22</v>
      </c>
      <c r="L9569" t="s" s="2">
        <v>22</v>
      </c>
      <c r="M9569" t="s" s="2">
        <v>22</v>
      </c>
    </row>
    <row r="9570" ht="25.0" customHeight="true">
      <c r="A9570" t="s" s="2">
        <v>13</v>
      </c>
      <c r="B9570" t="s" s="2">
        <f>HYPERLINK("http://ts.21cn.com/tousu/show/id/1359132","新橙优品套路贷砍头息套马甲保险费")</f>
      </c>
      <c r="C9570" t="s" s="2">
        <v>15</v>
      </c>
      <c r="D9570" t="s" s="2">
        <v>16</v>
      </c>
      <c r="E9570" t="s" s="2">
        <v>17</v>
      </c>
      <c r="F9570" t="s" s="2">
        <f>HYPERLINK("http://ts.21cn.com/tousu/show/id/1359132","http://ts.21cn.com/tousu/show/id/1359132")</f>
      </c>
      <c r="G9570" t="s" s="2">
        <v>17</v>
      </c>
      <c r="H9570" t="s" s="2">
        <v>19</v>
      </c>
      <c r="I9570" t="s" s="2">
        <v>36910</v>
      </c>
      <c r="J9570" t="s" s="2">
        <v>36911</v>
      </c>
      <c r="K9570" t="s" s="2">
        <v>22</v>
      </c>
      <c r="L9570" t="s" s="2">
        <v>22</v>
      </c>
      <c r="M9570" t="s" s="2">
        <v>22</v>
      </c>
    </row>
    <row r="9571" ht="25.0" customHeight="true">
      <c r="A9571" t="s" s="2">
        <v>13</v>
      </c>
      <c r="B9571" t="s" s="2">
        <f>HYPERLINK("http://ts.21cn.com/tousu/show/id/1359122","微信商业码钱被封，自动提现关闭")</f>
      </c>
      <c r="C9571" t="s" s="2">
        <v>15</v>
      </c>
      <c r="D9571" t="s" s="2">
        <v>16</v>
      </c>
      <c r="E9571" t="s" s="2">
        <v>17</v>
      </c>
      <c r="F9571" t="s" s="2">
        <f>HYPERLINK("http://ts.21cn.com/tousu/show/id/1359122","http://ts.21cn.com/tousu/show/id/1359122")</f>
      </c>
      <c r="G9571" t="s" s="2">
        <v>17</v>
      </c>
      <c r="H9571" t="s" s="2">
        <v>19</v>
      </c>
      <c r="I9571" t="s" s="2">
        <v>36914</v>
      </c>
      <c r="J9571" t="s" s="2">
        <v>36915</v>
      </c>
      <c r="K9571" t="s" s="2">
        <v>22</v>
      </c>
      <c r="L9571" t="s" s="2">
        <v>22</v>
      </c>
      <c r="M9571" t="s" s="2">
        <v>22</v>
      </c>
    </row>
    <row r="9572" ht="25.0" customHeight="true">
      <c r="A9572" t="s" s="2">
        <v>13</v>
      </c>
      <c r="B9572" t="s" s="2">
        <f>HYPERLINK("http://ts.21cn.com/tousu/show/id/1356552","乐客独角兽夸大项目收益，虚假宣传，诱导消费者支付9800元加入会员，创业项目条件限制多，存在欺蛮行为")</f>
      </c>
      <c r="C9572" t="s" s="2">
        <v>15</v>
      </c>
      <c r="D9572" t="s" s="2">
        <v>16</v>
      </c>
      <c r="E9572" t="s" s="2">
        <v>17</v>
      </c>
      <c r="F9572" t="s" s="2">
        <f>HYPERLINK("http://ts.21cn.com/tousu/show/id/1356552","http://ts.21cn.com/tousu/show/id/1356552")</f>
      </c>
      <c r="G9572" t="s" s="2">
        <v>17</v>
      </c>
      <c r="H9572" t="s" s="2">
        <v>19</v>
      </c>
      <c r="I9572" t="s" s="2">
        <v>36918</v>
      </c>
      <c r="J9572" t="s" s="2">
        <v>36919</v>
      </c>
      <c r="K9572" t="s" s="2">
        <v>22</v>
      </c>
      <c r="L9572" t="s" s="2">
        <v>22</v>
      </c>
      <c r="M9572" t="s" s="2">
        <v>22</v>
      </c>
    </row>
    <row r="9573" ht="25.0" customHeight="true">
      <c r="A9573" t="s" s="2">
        <v>13</v>
      </c>
      <c r="B9573" t="s" s="2">
        <f>HYPERLINK("http://ts.21cn.com/tousu/show/id/1358966","36****************0中国银联股份有限公司广东分公司专户10违规给博彩平台提供支付通道")</f>
      </c>
      <c r="C9573" t="s" s="2">
        <v>15</v>
      </c>
      <c r="D9573" t="s" s="2">
        <v>16</v>
      </c>
      <c r="E9573" t="s" s="2">
        <v>17</v>
      </c>
      <c r="F9573" t="s" s="2">
        <f>HYPERLINK("http://ts.21cn.com/tousu/show/id/1358966","http://ts.21cn.com/tousu/show/id/1358966")</f>
      </c>
      <c r="G9573" t="s" s="2">
        <v>17</v>
      </c>
      <c r="H9573" t="s" s="2">
        <v>19</v>
      </c>
      <c r="I9573" t="s" s="2">
        <v>36922</v>
      </c>
      <c r="J9573" t="s" s="2">
        <v>36923</v>
      </c>
      <c r="K9573" t="s" s="2">
        <v>22</v>
      </c>
      <c r="L9573" t="s" s="2">
        <v>22</v>
      </c>
      <c r="M9573" t="s" s="2">
        <v>22</v>
      </c>
    </row>
    <row r="9574" ht="25.0" customHeight="true">
      <c r="A9574" t="s" s="2">
        <v>13</v>
      </c>
      <c r="B9574" t="s" s="2">
        <f>HYPERLINK("http://ts.21cn.com/tousu/show/id/1358965","为高利贷平台代扣")</f>
      </c>
      <c r="C9574" t="s" s="2">
        <v>15</v>
      </c>
      <c r="D9574" t="s" s="2">
        <v>16</v>
      </c>
      <c r="E9574" t="s" s="2">
        <v>17</v>
      </c>
      <c r="F9574" t="s" s="2">
        <f>HYPERLINK("http://ts.21cn.com/tousu/show/id/1358965","http://ts.21cn.com/tousu/show/id/1358965")</f>
      </c>
      <c r="G9574" t="s" s="2">
        <v>17</v>
      </c>
      <c r="H9574" t="s" s="2">
        <v>19</v>
      </c>
      <c r="I9574" t="s" s="2">
        <v>36926</v>
      </c>
      <c r="J9574" t="s" s="2">
        <v>36927</v>
      </c>
      <c r="K9574" t="s" s="2">
        <v>22</v>
      </c>
      <c r="L9574" t="s" s="2">
        <v>22</v>
      </c>
      <c r="M9574" t="s" s="2">
        <v>22</v>
      </c>
    </row>
    <row r="9575" ht="25.0" customHeight="true">
      <c r="A9575" t="s" s="2">
        <v>13</v>
      </c>
      <c r="B9575" t="s" s="2">
        <f>HYPERLINK("http://ts.21cn.com/tousu/show/id/1358937","光大信用卡催威胁，污蔑")</f>
      </c>
      <c r="C9575" t="s" s="2">
        <v>15</v>
      </c>
      <c r="D9575" t="s" s="2">
        <v>16</v>
      </c>
      <c r="E9575" t="s" s="2">
        <v>17</v>
      </c>
      <c r="F9575" t="s" s="2">
        <f>HYPERLINK("http://ts.21cn.com/tousu/show/id/1358937","http://ts.21cn.com/tousu/show/id/1358937")</f>
      </c>
      <c r="G9575" t="s" s="2">
        <v>17</v>
      </c>
      <c r="H9575" t="s" s="2">
        <v>19</v>
      </c>
      <c r="I9575" t="s" s="2">
        <v>36930</v>
      </c>
      <c r="J9575" t="s" s="2">
        <v>36931</v>
      </c>
      <c r="K9575" t="s" s="2">
        <v>22</v>
      </c>
      <c r="L9575" t="s" s="2">
        <v>22</v>
      </c>
      <c r="M9575" t="s" s="2">
        <v>22</v>
      </c>
    </row>
    <row r="9576" ht="25.0" customHeight="true">
      <c r="A9576" t="s" s="2">
        <v>13</v>
      </c>
      <c r="B9576" t="s" s="2">
        <f>HYPERLINK("http://ts.21cn.com/tousu/show/id/1358596","莫名贷款被迫还款后再次被扣款")</f>
      </c>
      <c r="C9576" t="s" s="2">
        <v>15</v>
      </c>
      <c r="D9576" t="s" s="2">
        <v>16</v>
      </c>
      <c r="E9576" t="s" s="2">
        <v>17</v>
      </c>
      <c r="F9576" t="s" s="2">
        <f>HYPERLINK("http://ts.21cn.com/tousu/show/id/1358596","http://ts.21cn.com/tousu/show/id/1358596")</f>
      </c>
      <c r="G9576" t="s" s="2">
        <v>17</v>
      </c>
      <c r="H9576" t="s" s="2">
        <v>19</v>
      </c>
      <c r="I9576" t="s" s="2">
        <v>36934</v>
      </c>
      <c r="J9576" t="s" s="2">
        <v>36935</v>
      </c>
      <c r="K9576" t="s" s="2">
        <v>22</v>
      </c>
      <c r="L9576" t="s" s="2">
        <v>22</v>
      </c>
      <c r="M9576" t="s" s="2">
        <v>22</v>
      </c>
    </row>
    <row r="9577" ht="25.0" customHeight="true">
      <c r="A9577" t="s" s="2">
        <v>13</v>
      </c>
      <c r="B9577" t="s" s="2">
        <f>HYPERLINK("http://ts.21cn.com/tousu/show/id/1358704","现金巴士，微额速达暴力催收，有砍头息")</f>
      </c>
      <c r="C9577" t="s" s="2">
        <v>15</v>
      </c>
      <c r="D9577" t="s" s="2">
        <v>16</v>
      </c>
      <c r="E9577" t="s" s="2">
        <v>17</v>
      </c>
      <c r="F9577" t="s" s="2">
        <f>HYPERLINK("http://ts.21cn.com/tousu/show/id/1358704","http://ts.21cn.com/tousu/show/id/1358704")</f>
      </c>
      <c r="G9577" t="s" s="2">
        <v>17</v>
      </c>
      <c r="H9577" t="s" s="2">
        <v>19</v>
      </c>
      <c r="I9577" t="s" s="2">
        <v>36938</v>
      </c>
      <c r="J9577" t="s" s="2">
        <v>36939</v>
      </c>
      <c r="K9577" t="s" s="2">
        <v>22</v>
      </c>
      <c r="L9577" t="s" s="2">
        <v>22</v>
      </c>
      <c r="M9577" t="s" s="2">
        <v>22</v>
      </c>
    </row>
    <row r="9578" ht="25.0" customHeight="true">
      <c r="A9578" t="s" s="2">
        <v>13</v>
      </c>
      <c r="B9578" t="s" s="2">
        <f>HYPERLINK("http://ts.21cn.com/tousu/show/id/1358692","中原消费网贷扰乱我正常生活")</f>
      </c>
      <c r="C9578" t="s" s="2">
        <v>15</v>
      </c>
      <c r="D9578" t="s" s="2">
        <v>16</v>
      </c>
      <c r="E9578" t="s" s="2">
        <v>17</v>
      </c>
      <c r="F9578" t="s" s="2">
        <f>HYPERLINK("http://ts.21cn.com/tousu/show/id/1358692","http://ts.21cn.com/tousu/show/id/1358692")</f>
      </c>
      <c r="G9578" t="s" s="2">
        <v>17</v>
      </c>
      <c r="H9578" t="s" s="2">
        <v>19</v>
      </c>
      <c r="I9578" t="s" s="2">
        <v>36942</v>
      </c>
      <c r="J9578" t="s" s="2">
        <v>36943</v>
      </c>
      <c r="K9578" t="s" s="2">
        <v>22</v>
      </c>
      <c r="L9578" t="s" s="2">
        <v>22</v>
      </c>
      <c r="M9578" t="s" s="2">
        <v>22</v>
      </c>
    </row>
    <row r="9579" ht="25.0" customHeight="true">
      <c r="A9579" t="s" s="2">
        <v>13</v>
      </c>
      <c r="B9579" t="s" s="2">
        <f>HYPERLINK("http://ts.21cn.com/tousu/show/id/1358681","不给退款")</f>
      </c>
      <c r="C9579" t="s" s="2">
        <v>15</v>
      </c>
      <c r="D9579" t="s" s="2">
        <v>16</v>
      </c>
      <c r="E9579" t="s" s="2">
        <v>17</v>
      </c>
      <c r="F9579" t="s" s="2">
        <f>HYPERLINK("http://ts.21cn.com/tousu/show/id/1358681","http://ts.21cn.com/tousu/show/id/1358681")</f>
      </c>
      <c r="G9579" t="s" s="2">
        <v>17</v>
      </c>
      <c r="H9579" t="s" s="2">
        <v>19</v>
      </c>
      <c r="I9579" t="s" s="2">
        <v>36946</v>
      </c>
      <c r="J9579" t="s" s="2">
        <v>36947</v>
      </c>
      <c r="K9579" t="s" s="2">
        <v>22</v>
      </c>
      <c r="L9579" t="s" s="2">
        <v>22</v>
      </c>
      <c r="M9579" t="s" s="2">
        <v>22</v>
      </c>
    </row>
    <row r="9580" ht="25.0" customHeight="true">
      <c r="A9580" t="s" s="2">
        <v>13</v>
      </c>
      <c r="B9580" t="s" s="2">
        <f>HYPERLINK("http://ts.21cn.com/tousu/show/id/1358670","分期贷里面的神马借")</f>
      </c>
      <c r="C9580" t="s" s="2">
        <v>15</v>
      </c>
      <c r="D9580" t="s" s="2">
        <v>16</v>
      </c>
      <c r="E9580" t="s" s="2">
        <v>17</v>
      </c>
      <c r="F9580" t="s" s="2">
        <f>HYPERLINK("http://ts.21cn.com/tousu/show/id/1358670","http://ts.21cn.com/tousu/show/id/1358670")</f>
      </c>
      <c r="G9580" t="s" s="2">
        <v>17</v>
      </c>
      <c r="H9580" t="s" s="2">
        <v>19</v>
      </c>
      <c r="I9580" t="s" s="2">
        <v>36950</v>
      </c>
      <c r="J9580" t="s" s="2">
        <v>36951</v>
      </c>
      <c r="K9580" t="s" s="2">
        <v>22</v>
      </c>
      <c r="L9580" t="s" s="2">
        <v>22</v>
      </c>
      <c r="M9580" t="s" s="2">
        <v>22</v>
      </c>
    </row>
    <row r="9581" ht="25.0" customHeight="true">
      <c r="A9581" t="s" s="2">
        <v>13</v>
      </c>
      <c r="B9581" t="s" s="2">
        <f>HYPERLINK("http://ts.21cn.com/tousu/show/id/1358649","造艺app收取第三方服务费")</f>
      </c>
      <c r="C9581" t="s" s="2">
        <v>15</v>
      </c>
      <c r="D9581" t="s" s="2">
        <v>16</v>
      </c>
      <c r="E9581" t="s" s="2">
        <v>17</v>
      </c>
      <c r="F9581" t="s" s="2">
        <f>HYPERLINK("http://ts.21cn.com/tousu/show/id/1358649","http://ts.21cn.com/tousu/show/id/1358649")</f>
      </c>
      <c r="G9581" t="s" s="2">
        <v>17</v>
      </c>
      <c r="H9581" t="s" s="2">
        <v>19</v>
      </c>
      <c r="I9581" t="s" s="2">
        <v>36954</v>
      </c>
      <c r="J9581" t="s" s="2">
        <v>36955</v>
      </c>
      <c r="K9581" t="s" s="2">
        <v>22</v>
      </c>
      <c r="L9581" t="s" s="2">
        <v>22</v>
      </c>
      <c r="M9581" t="s" s="2">
        <v>22</v>
      </c>
    </row>
    <row r="9582" ht="25.0" customHeight="true">
      <c r="A9582" t="s" s="2">
        <v>13</v>
      </c>
      <c r="B9582" t="s" s="2">
        <f>HYPERLINK("http://ts.21cn.com/tousu/show/id/1358638","马上金融骚扰家人行为恶劣")</f>
      </c>
      <c r="C9582" t="s" s="2">
        <v>15</v>
      </c>
      <c r="D9582" t="s" s="2">
        <v>16</v>
      </c>
      <c r="E9582" t="s" s="2">
        <v>17</v>
      </c>
      <c r="F9582" t="s" s="2">
        <f>HYPERLINK("http://ts.21cn.com/tousu/show/id/1358638","http://ts.21cn.com/tousu/show/id/1358638")</f>
      </c>
      <c r="G9582" t="s" s="2">
        <v>17</v>
      </c>
      <c r="H9582" t="s" s="2">
        <v>19</v>
      </c>
      <c r="I9582" t="s" s="2">
        <v>36958</v>
      </c>
      <c r="J9582" t="s" s="2">
        <v>36959</v>
      </c>
      <c r="K9582" t="s" s="2">
        <v>22</v>
      </c>
      <c r="L9582" t="s" s="2">
        <v>22</v>
      </c>
      <c r="M9582" t="s" s="2">
        <v>22</v>
      </c>
    </row>
    <row r="9583" ht="25.0" customHeight="true">
      <c r="A9583" t="s" s="2">
        <v>13</v>
      </c>
      <c r="B9583" t="s" s="2">
        <f>HYPERLINK("http://ts.21cn.com/tousu/show/id/1358627","及贷向在校大学生放贷款，侵犯个人隐私权，性质恶劣")</f>
      </c>
      <c r="C9583" t="s" s="2">
        <v>15</v>
      </c>
      <c r="D9583" t="s" s="2">
        <v>16</v>
      </c>
      <c r="E9583" t="s" s="2">
        <v>17</v>
      </c>
      <c r="F9583" t="s" s="2">
        <f>HYPERLINK("http://ts.21cn.com/tousu/show/id/1358627","http://ts.21cn.com/tousu/show/id/1358627")</f>
      </c>
      <c r="G9583" t="s" s="2">
        <v>17</v>
      </c>
      <c r="H9583" t="s" s="2">
        <v>19</v>
      </c>
      <c r="I9583" t="s" s="2">
        <v>36962</v>
      </c>
      <c r="J9583" t="s" s="2">
        <v>36963</v>
      </c>
      <c r="K9583" t="s" s="2">
        <v>22</v>
      </c>
      <c r="L9583" t="s" s="2">
        <v>22</v>
      </c>
      <c r="M9583" t="s" s="2">
        <v>22</v>
      </c>
    </row>
    <row r="9584" ht="25.0" customHeight="true">
      <c r="A9584" t="s" s="2">
        <v>13</v>
      </c>
      <c r="B9584" t="s" s="2">
        <f>HYPERLINK("http://ts.21cn.com/tousu/show/id/1358615","小花钱包催收要把我弄死了！我没有勇气活着了")</f>
      </c>
      <c r="C9584" t="s" s="2">
        <v>15</v>
      </c>
      <c r="D9584" t="s" s="2">
        <v>16</v>
      </c>
      <c r="E9584" t="s" s="2">
        <v>17</v>
      </c>
      <c r="F9584" t="s" s="2">
        <f>HYPERLINK("http://ts.21cn.com/tousu/show/id/1358615","http://ts.21cn.com/tousu/show/id/1358615")</f>
      </c>
      <c r="G9584" t="s" s="2">
        <v>17</v>
      </c>
      <c r="H9584" t="s" s="2">
        <v>19</v>
      </c>
      <c r="I9584" t="s" s="2">
        <v>36966</v>
      </c>
      <c r="J9584" t="s" s="2">
        <v>36967</v>
      </c>
      <c r="K9584" t="s" s="2">
        <v>22</v>
      </c>
      <c r="L9584" t="s" s="2">
        <v>22</v>
      </c>
      <c r="M9584" t="s" s="2">
        <v>22</v>
      </c>
    </row>
    <row r="9585" ht="25.0" customHeight="true">
      <c r="A9585" t="s" s="2">
        <v>13</v>
      </c>
      <c r="B9585" t="s" s="2">
        <f>HYPERLINK("http://ts.21cn.com/tousu/show/id/1358616","无故扣款")</f>
      </c>
      <c r="C9585" t="s" s="2">
        <v>15</v>
      </c>
      <c r="D9585" t="s" s="2">
        <v>16</v>
      </c>
      <c r="E9585" t="s" s="2">
        <v>17</v>
      </c>
      <c r="F9585" t="s" s="2">
        <f>HYPERLINK("http://ts.21cn.com/tousu/show/id/1358616","http://ts.21cn.com/tousu/show/id/1358616")</f>
      </c>
      <c r="G9585" t="s" s="2">
        <v>17</v>
      </c>
      <c r="H9585" t="s" s="2">
        <v>19</v>
      </c>
      <c r="I9585" t="s" s="2">
        <v>36969</v>
      </c>
      <c r="J9585" t="s" s="2">
        <v>36970</v>
      </c>
      <c r="K9585" t="s" s="2">
        <v>22</v>
      </c>
      <c r="L9585" t="s" s="2">
        <v>22</v>
      </c>
      <c r="M9585" t="s" s="2">
        <v>22</v>
      </c>
    </row>
    <row r="9586" ht="25.0" customHeight="true">
      <c r="A9586" t="s" s="2">
        <v>13</v>
      </c>
      <c r="B9586" t="s" s="2">
        <f>HYPERLINK("http://ts.21cn.com/tousu/show/id/1358611","高利贷利率达到百分之61")</f>
      </c>
      <c r="C9586" t="s" s="2">
        <v>15</v>
      </c>
      <c r="D9586" t="s" s="2">
        <v>16</v>
      </c>
      <c r="E9586" t="s" s="2">
        <v>17</v>
      </c>
      <c r="F9586" t="s" s="2">
        <f>HYPERLINK("http://ts.21cn.com/tousu/show/id/1358611","http://ts.21cn.com/tousu/show/id/1358611")</f>
      </c>
      <c r="G9586" t="s" s="2">
        <v>17</v>
      </c>
      <c r="H9586" t="s" s="2">
        <v>19</v>
      </c>
      <c r="I9586" t="s" s="2">
        <v>36973</v>
      </c>
      <c r="J9586" t="s" s="2">
        <v>36974</v>
      </c>
      <c r="K9586" t="s" s="2">
        <v>22</v>
      </c>
      <c r="L9586" t="s" s="2">
        <v>22</v>
      </c>
      <c r="M9586" t="s" s="2">
        <v>22</v>
      </c>
    </row>
    <row r="9587" ht="25.0" customHeight="true">
      <c r="A9587" t="s" s="2">
        <v>13</v>
      </c>
      <c r="B9587" t="s" s="2">
        <f>HYPERLINK("http://ts.21cn.com/tousu/show/id/1358605","米多点高利贷，易宝支付提供高利贷支付通道")</f>
      </c>
      <c r="C9587" t="s" s="2">
        <v>15</v>
      </c>
      <c r="D9587" t="s" s="2">
        <v>16</v>
      </c>
      <c r="E9587" t="s" s="2">
        <v>17</v>
      </c>
      <c r="F9587" t="s" s="2">
        <f>HYPERLINK("http://ts.21cn.com/tousu/show/id/1358605","http://ts.21cn.com/tousu/show/id/1358605")</f>
      </c>
      <c r="G9587" t="s" s="2">
        <v>17</v>
      </c>
      <c r="H9587" t="s" s="2">
        <v>19</v>
      </c>
      <c r="I9587" t="s" s="2">
        <v>36977</v>
      </c>
      <c r="J9587" t="s" s="2">
        <v>36978</v>
      </c>
      <c r="K9587" t="s" s="2">
        <v>22</v>
      </c>
      <c r="L9587" t="s" s="2">
        <v>22</v>
      </c>
      <c r="M9587" t="s" s="2">
        <v>22</v>
      </c>
    </row>
    <row r="9588" ht="25.0" customHeight="true">
      <c r="A9588" t="s" s="2">
        <v>13</v>
      </c>
      <c r="B9588" t="s" s="2">
        <f>HYPERLINK("http://ts.21cn.com/tousu/show/id/1358593","你我贷收取高额利息")</f>
      </c>
      <c r="C9588" t="s" s="2">
        <v>15</v>
      </c>
      <c r="D9588" t="s" s="2">
        <v>16</v>
      </c>
      <c r="E9588" t="s" s="2">
        <v>17</v>
      </c>
      <c r="F9588" t="s" s="2">
        <f>HYPERLINK("http://ts.21cn.com/tousu/show/id/1358593","http://ts.21cn.com/tousu/show/id/1358593")</f>
      </c>
      <c r="G9588" t="s" s="2">
        <v>17</v>
      </c>
      <c r="H9588" t="s" s="2">
        <v>19</v>
      </c>
      <c r="I9588" t="s" s="2">
        <v>36981</v>
      </c>
      <c r="J9588" t="s" s="2">
        <v>36982</v>
      </c>
      <c r="K9588" t="s" s="2">
        <v>22</v>
      </c>
      <c r="L9588" t="s" s="2">
        <v>22</v>
      </c>
      <c r="M9588" t="s" s="2">
        <v>22</v>
      </c>
    </row>
    <row r="9589" ht="25.0" customHeight="true">
      <c r="A9589" t="s" s="2">
        <v>13</v>
      </c>
      <c r="B9589" t="s" s="2">
        <f>HYPERLINK("http://ts.21cn.com/tousu/show/id/1358582","斗牛士暴力催收")</f>
      </c>
      <c r="C9589" t="s" s="2">
        <v>15</v>
      </c>
      <c r="D9589" t="s" s="2">
        <v>16</v>
      </c>
      <c r="E9589" t="s" s="2">
        <v>17</v>
      </c>
      <c r="F9589" t="s" s="2">
        <f>HYPERLINK("http://ts.21cn.com/tousu/show/id/1358582","http://ts.21cn.com/tousu/show/id/1358582")</f>
      </c>
      <c r="G9589" t="s" s="2">
        <v>17</v>
      </c>
      <c r="H9589" t="s" s="2">
        <v>19</v>
      </c>
      <c r="I9589" t="s" s="2">
        <v>36985</v>
      </c>
      <c r="J9589" t="s" s="2">
        <v>36986</v>
      </c>
      <c r="K9589" t="s" s="2">
        <v>22</v>
      </c>
      <c r="L9589" t="s" s="2">
        <v>22</v>
      </c>
      <c r="M9589" t="s" s="2">
        <v>22</v>
      </c>
    </row>
    <row r="9590" ht="25.0" customHeight="true">
      <c r="A9590" t="s" s="2">
        <v>13</v>
      </c>
      <c r="B9590" t="s" s="2">
        <f>HYPERLINK("http://ts.21cn.com/tousu/show/id/1358574","多乐优品高利贷714退还权益包")</f>
      </c>
      <c r="C9590" t="s" s="2">
        <v>15</v>
      </c>
      <c r="D9590" t="s" s="2">
        <v>16</v>
      </c>
      <c r="E9590" t="s" s="2">
        <v>17</v>
      </c>
      <c r="F9590" t="s" s="2">
        <f>HYPERLINK("http://ts.21cn.com/tousu/show/id/1358574","http://ts.21cn.com/tousu/show/id/1358574")</f>
      </c>
      <c r="G9590" t="s" s="2">
        <v>17</v>
      </c>
      <c r="H9590" t="s" s="2">
        <v>19</v>
      </c>
      <c r="I9590" t="s" s="2">
        <v>36989</v>
      </c>
      <c r="J9590" t="s" s="2">
        <v>36990</v>
      </c>
      <c r="K9590" t="s" s="2">
        <v>22</v>
      </c>
      <c r="L9590" t="s" s="2">
        <v>22</v>
      </c>
      <c r="M9590" t="s" s="2">
        <v>22</v>
      </c>
    </row>
    <row r="9591" ht="25.0" customHeight="true">
      <c r="A9591" t="s" s="2">
        <v>13</v>
      </c>
      <c r="B9591" t="s" s="2">
        <f>HYPERLINK("http://ts.21cn.com/tousu/show/id/1358571","造艺拒绝给销户")</f>
      </c>
      <c r="C9591" t="s" s="2">
        <v>52</v>
      </c>
      <c r="D9591" t="s" s="2">
        <v>16</v>
      </c>
      <c r="E9591" t="s" s="2">
        <v>17</v>
      </c>
      <c r="F9591" t="s" s="2">
        <f>HYPERLINK("http://ts.21cn.com/tousu/show/id/1358571","http://ts.21cn.com/tousu/show/id/1358571")</f>
      </c>
      <c r="G9591" t="s" s="2">
        <v>17</v>
      </c>
      <c r="H9591" t="s" s="2">
        <v>19</v>
      </c>
      <c r="I9591" t="s" s="2">
        <v>36993</v>
      </c>
      <c r="J9591" t="s" s="2">
        <v>36994</v>
      </c>
      <c r="K9591" t="s" s="2">
        <v>22</v>
      </c>
      <c r="L9591" t="s" s="2">
        <v>22</v>
      </c>
      <c r="M9591" t="s" s="2">
        <v>22</v>
      </c>
    </row>
    <row r="9592" ht="25.0" customHeight="true">
      <c r="A9592" t="s" s="2">
        <v>13</v>
      </c>
      <c r="B9592" t="s" s="2">
        <f>HYPERLINK("http://ts.21cn.com/tousu/show/id/1358560","无理由扣款")</f>
      </c>
      <c r="C9592" t="s" s="2">
        <v>15</v>
      </c>
      <c r="D9592" t="s" s="2">
        <v>16</v>
      </c>
      <c r="E9592" t="s" s="2">
        <v>17</v>
      </c>
      <c r="F9592" t="s" s="2">
        <f>HYPERLINK("http://ts.21cn.com/tousu/show/id/1358560","http://ts.21cn.com/tousu/show/id/1358560")</f>
      </c>
      <c r="G9592" t="s" s="2">
        <v>17</v>
      </c>
      <c r="H9592" t="s" s="2">
        <v>19</v>
      </c>
      <c r="I9592" t="s" s="2">
        <v>36996</v>
      </c>
      <c r="J9592" t="s" s="2">
        <v>36997</v>
      </c>
      <c r="K9592" t="s" s="2">
        <v>22</v>
      </c>
      <c r="L9592" t="s" s="2">
        <v>22</v>
      </c>
      <c r="M9592" t="s" s="2">
        <v>22</v>
      </c>
    </row>
    <row r="9593" ht="25.0" customHeight="true">
      <c r="A9593" t="s" s="2">
        <v>13</v>
      </c>
      <c r="B9593" t="s" s="2">
        <f>HYPERLINK("http://ts.21cn.com/tousu/show/id/1358547","宝付支付和畅捷通为融泽财富（蜜桃花）高炮平台提供支付通道要求退还砍头息")</f>
      </c>
      <c r="C9593" t="s" s="2">
        <v>15</v>
      </c>
      <c r="D9593" t="s" s="2">
        <v>16</v>
      </c>
      <c r="E9593" t="s" s="2">
        <v>17</v>
      </c>
      <c r="F9593" t="s" s="2">
        <f>HYPERLINK("http://ts.21cn.com/tousu/show/id/1358547","http://ts.21cn.com/tousu/show/id/1358547")</f>
      </c>
      <c r="G9593" t="s" s="2">
        <v>17</v>
      </c>
      <c r="H9593" t="s" s="2">
        <v>19</v>
      </c>
      <c r="I9593" t="s" s="2">
        <v>37000</v>
      </c>
      <c r="J9593" t="s" s="2">
        <v>37001</v>
      </c>
      <c r="K9593" t="s" s="2">
        <v>22</v>
      </c>
      <c r="L9593" t="s" s="2">
        <v>22</v>
      </c>
      <c r="M9593" t="s" s="2">
        <v>22</v>
      </c>
    </row>
    <row r="9594" ht="25.0" customHeight="true">
      <c r="A9594" t="s" s="2">
        <v>13</v>
      </c>
      <c r="B9594" t="s" s="2">
        <f>HYPERLINK("http://ts.21cn.com/tousu/show/id/1358539","佰仟金融买买乐购恶意催收")</f>
      </c>
      <c r="C9594" t="s" s="2">
        <v>15</v>
      </c>
      <c r="D9594" t="s" s="2">
        <v>16</v>
      </c>
      <c r="E9594" t="s" s="2">
        <v>17</v>
      </c>
      <c r="F9594" t="s" s="2">
        <f>HYPERLINK("http://ts.21cn.com/tousu/show/id/1358539","http://ts.21cn.com/tousu/show/id/1358539")</f>
      </c>
      <c r="G9594" t="s" s="2">
        <v>17</v>
      </c>
      <c r="H9594" t="s" s="2">
        <v>19</v>
      </c>
      <c r="I9594" t="s" s="2">
        <v>37004</v>
      </c>
      <c r="J9594" t="s" s="2">
        <v>37005</v>
      </c>
      <c r="K9594" t="s" s="2">
        <v>22</v>
      </c>
      <c r="L9594" t="s" s="2">
        <v>22</v>
      </c>
      <c r="M9594" t="s" s="2">
        <v>22</v>
      </c>
    </row>
    <row r="9595" ht="25.0" customHeight="true">
      <c r="A9595" t="s" s="2">
        <v>13</v>
      </c>
      <c r="B9595" t="s" s="2">
        <f>HYPERLINK("http://ts.21cn.com/tousu/show/id/1358528","打骚扰电话，爆通讯录，暴力催收")</f>
      </c>
      <c r="C9595" t="s" s="2">
        <v>15</v>
      </c>
      <c r="D9595" t="s" s="2">
        <v>16</v>
      </c>
      <c r="E9595" t="s" s="2">
        <v>17</v>
      </c>
      <c r="F9595" t="s" s="2">
        <f>HYPERLINK("http://ts.21cn.com/tousu/show/id/1358528","http://ts.21cn.com/tousu/show/id/1358528")</f>
      </c>
      <c r="G9595" t="s" s="2">
        <v>17</v>
      </c>
      <c r="H9595" t="s" s="2">
        <v>19</v>
      </c>
      <c r="I9595" t="s" s="2">
        <v>37008</v>
      </c>
      <c r="J9595" t="s" s="2">
        <v>37009</v>
      </c>
      <c r="K9595" t="s" s="2">
        <v>22</v>
      </c>
      <c r="L9595" t="s" s="2">
        <v>22</v>
      </c>
      <c r="M9595" t="s" s="2">
        <v>22</v>
      </c>
    </row>
    <row r="9596" ht="25.0" customHeight="true">
      <c r="A9596" t="s" s="2">
        <v>13</v>
      </c>
      <c r="B9596" t="s" s="2">
        <f>HYPERLINK("http://ts.21cn.com/tousu/show/id/1358517","Thinkplus口红电源把手机充坏了")</f>
      </c>
      <c r="C9596" t="s" s="2">
        <v>15</v>
      </c>
      <c r="D9596" t="s" s="2">
        <v>16</v>
      </c>
      <c r="E9596" t="s" s="2">
        <v>17</v>
      </c>
      <c r="F9596" t="s" s="2">
        <f>HYPERLINK("http://ts.21cn.com/tousu/show/id/1358517","http://ts.21cn.com/tousu/show/id/1358517")</f>
      </c>
      <c r="G9596" t="s" s="2">
        <v>17</v>
      </c>
      <c r="H9596" t="s" s="2">
        <v>19</v>
      </c>
      <c r="I9596" t="s" s="2">
        <v>37012</v>
      </c>
      <c r="J9596" t="s" s="2">
        <v>37013</v>
      </c>
      <c r="K9596" t="s" s="2">
        <v>22</v>
      </c>
      <c r="L9596" t="s" s="2">
        <v>22</v>
      </c>
      <c r="M9596" t="s" s="2">
        <v>22</v>
      </c>
    </row>
    <row r="9597" ht="25.0" customHeight="true">
      <c r="A9597" t="s" s="2">
        <v>13</v>
      </c>
      <c r="B9597" t="s" s="2">
        <f>HYPERLINK("http://ts.21cn.com/tousu/show/id/1358506","淘豆分期恶意扣款")</f>
      </c>
      <c r="C9597" t="s" s="2">
        <v>15</v>
      </c>
      <c r="D9597" t="s" s="2">
        <v>16</v>
      </c>
      <c r="E9597" t="s" s="2">
        <v>17</v>
      </c>
      <c r="F9597" t="s" s="2">
        <f>HYPERLINK("http://ts.21cn.com/tousu/show/id/1358506","http://ts.21cn.com/tousu/show/id/1358506")</f>
      </c>
      <c r="G9597" t="s" s="2">
        <v>17</v>
      </c>
      <c r="H9597" t="s" s="2">
        <v>19</v>
      </c>
      <c r="I9597" t="s" s="2">
        <v>37015</v>
      </c>
      <c r="J9597" t="s" s="2">
        <v>37016</v>
      </c>
      <c r="K9597" t="s" s="2">
        <v>22</v>
      </c>
      <c r="L9597" t="s" s="2">
        <v>22</v>
      </c>
      <c r="M9597" t="s" s="2">
        <v>22</v>
      </c>
    </row>
    <row r="9598" ht="25.0" customHeight="true">
      <c r="A9598" t="s" s="2">
        <v>13</v>
      </c>
      <c r="B9598" t="s" s="2">
        <f>HYPERLINK("http://ts.21cn.com/tousu/show/id/1358494","神马借暴力催收")</f>
      </c>
      <c r="C9598" t="s" s="2">
        <v>15</v>
      </c>
      <c r="D9598" t="s" s="2">
        <v>16</v>
      </c>
      <c r="E9598" t="s" s="2">
        <v>17</v>
      </c>
      <c r="F9598" t="s" s="2">
        <f>HYPERLINK("http://ts.21cn.com/tousu/show/id/1358494","http://ts.21cn.com/tousu/show/id/1358494")</f>
      </c>
      <c r="G9598" t="s" s="2">
        <v>17</v>
      </c>
      <c r="H9598" t="s" s="2">
        <v>19</v>
      </c>
      <c r="I9598" t="s" s="2">
        <v>37019</v>
      </c>
      <c r="J9598" t="s" s="2">
        <v>37020</v>
      </c>
      <c r="K9598" t="s" s="2">
        <v>22</v>
      </c>
      <c r="L9598" t="s" s="2">
        <v>22</v>
      </c>
      <c r="M9598" t="s" s="2">
        <v>22</v>
      </c>
    </row>
    <row r="9599" ht="25.0" customHeight="true">
      <c r="A9599" t="s" s="2">
        <v>13</v>
      </c>
      <c r="B9599" t="s" s="2">
        <f>HYPERLINK("http://ts.21cn.com/tousu/show/id/1358486","支付宝限制支付功能资金无法提现也不给解除")</f>
      </c>
      <c r="C9599" t="s" s="2">
        <v>15</v>
      </c>
      <c r="D9599" t="s" s="2">
        <v>16</v>
      </c>
      <c r="E9599" t="s" s="2">
        <v>17</v>
      </c>
      <c r="F9599" t="s" s="2">
        <f>HYPERLINK("http://ts.21cn.com/tousu/show/id/1358486","http://ts.21cn.com/tousu/show/id/1358486")</f>
      </c>
      <c r="G9599" t="s" s="2">
        <v>17</v>
      </c>
      <c r="H9599" t="s" s="2">
        <v>19</v>
      </c>
      <c r="I9599" t="s" s="2">
        <v>37023</v>
      </c>
      <c r="J9599" t="s" s="2">
        <v>37024</v>
      </c>
      <c r="K9599" t="s" s="2">
        <v>22</v>
      </c>
      <c r="L9599" t="s" s="2">
        <v>22</v>
      </c>
      <c r="M9599" t="s" s="2">
        <v>22</v>
      </c>
    </row>
    <row r="9600" ht="25.0" customHeight="true">
      <c r="A9600" t="s" s="2">
        <v>13</v>
      </c>
      <c r="B9600" t="s" s="2">
        <f>HYPERLINK("http://ts.21cn.com/tousu/show/id/1358483","聚福钱包未经许可私自扣款")</f>
      </c>
      <c r="C9600" t="s" s="2">
        <v>15</v>
      </c>
      <c r="D9600" t="s" s="2">
        <v>16</v>
      </c>
      <c r="E9600" t="s" s="2">
        <v>17</v>
      </c>
      <c r="F9600" t="s" s="2">
        <f>HYPERLINK("http://ts.21cn.com/tousu/show/id/1358483","http://ts.21cn.com/tousu/show/id/1358483")</f>
      </c>
      <c r="G9600" t="s" s="2">
        <v>17</v>
      </c>
      <c r="H9600" t="s" s="2">
        <v>19</v>
      </c>
      <c r="I9600" t="s" s="2">
        <v>37026</v>
      </c>
      <c r="J9600" t="s" s="2">
        <v>37027</v>
      </c>
      <c r="K9600" t="s" s="2">
        <v>22</v>
      </c>
      <c r="L9600" t="s" s="2">
        <v>22</v>
      </c>
      <c r="M9600" t="s" s="2">
        <v>22</v>
      </c>
    </row>
    <row r="9601" ht="25.0" customHeight="true">
      <c r="A9601" t="s" s="2">
        <v>13</v>
      </c>
      <c r="B9601" t="s" s="2">
        <f>HYPERLINK("http://ts.21cn.com/tousu/show/id/1358472","钱站高额信息费变相砍头息")</f>
      </c>
      <c r="C9601" t="s" s="2">
        <v>15</v>
      </c>
      <c r="D9601" t="s" s="2">
        <v>16</v>
      </c>
      <c r="E9601" t="s" s="2">
        <v>17</v>
      </c>
      <c r="F9601" t="s" s="2">
        <f>HYPERLINK("http://ts.21cn.com/tousu/show/id/1358472","http://ts.21cn.com/tousu/show/id/1358472")</f>
      </c>
      <c r="G9601" t="s" s="2">
        <v>17</v>
      </c>
      <c r="H9601" t="s" s="2">
        <v>19</v>
      </c>
      <c r="I9601" t="s" s="2">
        <v>37030</v>
      </c>
      <c r="J9601" t="s" s="2">
        <v>37031</v>
      </c>
      <c r="K9601" t="s" s="2">
        <v>22</v>
      </c>
      <c r="L9601" t="s" s="2">
        <v>22</v>
      </c>
      <c r="M9601" t="s" s="2">
        <v>22</v>
      </c>
    </row>
    <row r="9602" ht="25.0" customHeight="true">
      <c r="A9602" t="s" s="2">
        <v>13</v>
      </c>
      <c r="B9602" t="s" s="2">
        <f>HYPERLINK("http://ts.21cn.com/tousu/show/id/1358461","闪电借款催收素质太差一开口侮辱人")</f>
      </c>
      <c r="C9602" t="s" s="2">
        <v>15</v>
      </c>
      <c r="D9602" t="s" s="2">
        <v>16</v>
      </c>
      <c r="E9602" t="s" s="2">
        <v>17</v>
      </c>
      <c r="F9602" t="s" s="2">
        <f>HYPERLINK("http://ts.21cn.com/tousu/show/id/1358461","http://ts.21cn.com/tousu/show/id/1358461")</f>
      </c>
      <c r="G9602" t="s" s="2">
        <v>17</v>
      </c>
      <c r="H9602" t="s" s="2">
        <v>19</v>
      </c>
      <c r="I9602" t="s" s="2">
        <v>37034</v>
      </c>
      <c r="J9602" t="s" s="2">
        <v>37035</v>
      </c>
      <c r="K9602" t="s" s="2">
        <v>22</v>
      </c>
      <c r="L9602" t="s" s="2">
        <v>22</v>
      </c>
      <c r="M9602" t="s" s="2">
        <v>22</v>
      </c>
    </row>
    <row r="9603" ht="25.0" customHeight="true">
      <c r="A9603" t="s" s="2">
        <v>13</v>
      </c>
      <c r="B9603" t="s" s="2">
        <f>HYPERLINK("http://ts.21cn.com/tousu/show/id/1358450","月光侠分期非法放贷和催收")</f>
      </c>
      <c r="C9603" t="s" s="2">
        <v>15</v>
      </c>
      <c r="D9603" t="s" s="2">
        <v>16</v>
      </c>
      <c r="E9603" t="s" s="2">
        <v>17</v>
      </c>
      <c r="F9603" t="s" s="2">
        <f>HYPERLINK("http://ts.21cn.com/tousu/show/id/1358450","http://ts.21cn.com/tousu/show/id/1358450")</f>
      </c>
      <c r="G9603" t="s" s="2">
        <v>17</v>
      </c>
      <c r="H9603" t="s" s="2">
        <v>19</v>
      </c>
      <c r="I9603" t="s" s="2">
        <v>37038</v>
      </c>
      <c r="J9603" t="s" s="2">
        <v>37039</v>
      </c>
      <c r="K9603" t="s" s="2">
        <v>22</v>
      </c>
      <c r="L9603" t="s" s="2">
        <v>22</v>
      </c>
      <c r="M9603" t="s" s="2">
        <v>22</v>
      </c>
    </row>
    <row r="9604" ht="25.0" customHeight="true">
      <c r="A9604" t="s" s="2">
        <v>13</v>
      </c>
      <c r="B9604" t="s" s="2">
        <f>HYPERLINK("http://ts.21cn.com/tousu/show/id/1358429","砍头息，借款")</f>
      </c>
      <c r="C9604" t="s" s="2">
        <v>15</v>
      </c>
      <c r="D9604" t="s" s="2">
        <v>16</v>
      </c>
      <c r="E9604" t="s" s="2">
        <v>17</v>
      </c>
      <c r="F9604" t="s" s="2">
        <f>HYPERLINK("http://ts.21cn.com/tousu/show/id/1358429","http://ts.21cn.com/tousu/show/id/1358429")</f>
      </c>
      <c r="G9604" t="s" s="2">
        <v>17</v>
      </c>
      <c r="H9604" t="s" s="2">
        <v>19</v>
      </c>
      <c r="I9604" t="s" s="2">
        <v>37042</v>
      </c>
      <c r="J9604" t="s" s="2">
        <v>37043</v>
      </c>
      <c r="K9604" t="s" s="2">
        <v>22</v>
      </c>
      <c r="L9604" t="s" s="2">
        <v>22</v>
      </c>
      <c r="M9604" t="s" s="2">
        <v>22</v>
      </c>
    </row>
    <row r="9605" ht="25.0" customHeight="true">
      <c r="A9605" t="s" s="2">
        <v>13</v>
      </c>
      <c r="B9605" t="s" s="2">
        <f>HYPERLINK("http://ts.21cn.com/tousu/show/id/1358418","滴滴随意扣辛苦钱")</f>
      </c>
      <c r="C9605" t="s" s="2">
        <v>15</v>
      </c>
      <c r="D9605" t="s" s="2">
        <v>16</v>
      </c>
      <c r="E9605" t="s" s="2">
        <v>17</v>
      </c>
      <c r="F9605" t="s" s="2">
        <f>HYPERLINK("http://ts.21cn.com/tousu/show/id/1358418","http://ts.21cn.com/tousu/show/id/1358418")</f>
      </c>
      <c r="G9605" t="s" s="2">
        <v>17</v>
      </c>
      <c r="H9605" t="s" s="2">
        <v>19</v>
      </c>
      <c r="I9605" t="s" s="2">
        <v>37046</v>
      </c>
      <c r="J9605" t="s" s="2">
        <v>37047</v>
      </c>
      <c r="K9605" t="s" s="2">
        <v>22</v>
      </c>
      <c r="L9605" t="s" s="2">
        <v>22</v>
      </c>
      <c r="M9605" t="s" s="2">
        <v>22</v>
      </c>
    </row>
    <row r="9606" ht="25.0" customHeight="true">
      <c r="A9606" t="s" s="2">
        <v>13</v>
      </c>
      <c r="B9606" t="s" s="2">
        <f>HYPERLINK("http://ts.21cn.com/tousu/show/id/1358407","网商贷扰家人")</f>
      </c>
      <c r="C9606" t="s" s="2">
        <v>52</v>
      </c>
      <c r="D9606" t="s" s="2">
        <v>16</v>
      </c>
      <c r="E9606" t="s" s="2">
        <v>17</v>
      </c>
      <c r="F9606" t="s" s="2">
        <f>HYPERLINK("http://ts.21cn.com/tousu/show/id/1358407","http://ts.21cn.com/tousu/show/id/1358407")</f>
      </c>
      <c r="G9606" t="s" s="2">
        <v>17</v>
      </c>
      <c r="H9606" t="s" s="2">
        <v>19</v>
      </c>
      <c r="I9606" t="s" s="2">
        <v>37050</v>
      </c>
      <c r="J9606" t="s" s="2">
        <v>37051</v>
      </c>
      <c r="K9606" t="s" s="2">
        <v>22</v>
      </c>
      <c r="L9606" t="s" s="2">
        <v>22</v>
      </c>
      <c r="M9606" t="s" s="2">
        <v>22</v>
      </c>
    </row>
    <row r="9607" ht="25.0" customHeight="true">
      <c r="A9607" t="s" s="2">
        <v>13</v>
      </c>
      <c r="B9607" t="s" s="2">
        <f>HYPERLINK("http://ts.21cn.com/tousu/show/id/1358395","虚假宣传，而且不能提前还贷")</f>
      </c>
      <c r="C9607" t="s" s="2">
        <v>15</v>
      </c>
      <c r="D9607" t="s" s="2">
        <v>16</v>
      </c>
      <c r="E9607" t="s" s="2">
        <v>17</v>
      </c>
      <c r="F9607" t="s" s="2">
        <f>HYPERLINK("http://ts.21cn.com/tousu/show/id/1358395","http://ts.21cn.com/tousu/show/id/1358395")</f>
      </c>
      <c r="G9607" t="s" s="2">
        <v>17</v>
      </c>
      <c r="H9607" t="s" s="2">
        <v>19</v>
      </c>
      <c r="I9607" t="s" s="2">
        <v>37054</v>
      </c>
      <c r="J9607" t="s" s="2">
        <v>37055</v>
      </c>
      <c r="K9607" t="s" s="2">
        <v>22</v>
      </c>
      <c r="L9607" t="s" s="2">
        <v>22</v>
      </c>
      <c r="M9607" t="s" s="2">
        <v>22</v>
      </c>
    </row>
    <row r="9608" ht="25.0" customHeight="true">
      <c r="A9608" t="s" s="2">
        <v>13</v>
      </c>
      <c r="B9608" t="s" s="2">
        <f>HYPERLINK("http://ts.21cn.com/tousu/show/id/1358384","小鹿情感忽悠消费者，退款问题要求退全款")</f>
      </c>
      <c r="C9608" t="s" s="2">
        <v>15</v>
      </c>
      <c r="D9608" t="s" s="2">
        <v>16</v>
      </c>
      <c r="E9608" t="s" s="2">
        <v>17</v>
      </c>
      <c r="F9608" t="s" s="2">
        <f>HYPERLINK("http://ts.21cn.com/tousu/show/id/1358384","http://ts.21cn.com/tousu/show/id/1358384")</f>
      </c>
      <c r="G9608" t="s" s="2">
        <v>17</v>
      </c>
      <c r="H9608" t="s" s="2">
        <v>19</v>
      </c>
      <c r="I9608" t="s" s="2">
        <v>37057</v>
      </c>
      <c r="J9608" t="s" s="2">
        <v>37058</v>
      </c>
      <c r="K9608" t="s" s="2">
        <v>22</v>
      </c>
      <c r="L9608" t="s" s="2">
        <v>22</v>
      </c>
      <c r="M9608" t="s" s="2">
        <v>22</v>
      </c>
    </row>
    <row r="9609" ht="25.0" customHeight="true">
      <c r="A9609" t="s" s="2">
        <v>13</v>
      </c>
      <c r="B9609" t="s" s="2">
        <f>HYPERLINK("http://ts.21cn.com/tousu/show/id/1358373","暴力催收")</f>
      </c>
      <c r="C9609" t="s" s="2">
        <v>15</v>
      </c>
      <c r="D9609" t="s" s="2">
        <v>16</v>
      </c>
      <c r="E9609" t="s" s="2">
        <v>17</v>
      </c>
      <c r="F9609" t="s" s="2">
        <f>HYPERLINK("http://ts.21cn.com/tousu/show/id/1358373","http://ts.21cn.com/tousu/show/id/1358373")</f>
      </c>
      <c r="G9609" t="s" s="2">
        <v>17</v>
      </c>
      <c r="H9609" t="s" s="2">
        <v>19</v>
      </c>
      <c r="I9609" t="s" s="2">
        <v>37060</v>
      </c>
      <c r="J9609" t="s" s="2">
        <v>37061</v>
      </c>
      <c r="K9609" t="s" s="2">
        <v>22</v>
      </c>
      <c r="L9609" t="s" s="2">
        <v>22</v>
      </c>
      <c r="M9609" t="s" s="2">
        <v>22</v>
      </c>
    </row>
    <row r="9610" ht="25.0" customHeight="true">
      <c r="A9610" t="s" s="2">
        <v>13</v>
      </c>
      <c r="B9610" t="s" s="2">
        <f>HYPERLINK("http://ts.21cn.com/tousu/show/id/1358362","百度有钱花爆通讯录")</f>
      </c>
      <c r="C9610" t="s" s="2">
        <v>15</v>
      </c>
      <c r="D9610" t="s" s="2">
        <v>16</v>
      </c>
      <c r="E9610" t="s" s="2">
        <v>17</v>
      </c>
      <c r="F9610" t="s" s="2">
        <f>HYPERLINK("http://ts.21cn.com/tousu/show/id/1358362","http://ts.21cn.com/tousu/show/id/1358362")</f>
      </c>
      <c r="G9610" t="s" s="2">
        <v>17</v>
      </c>
      <c r="H9610" t="s" s="2">
        <v>19</v>
      </c>
      <c r="I9610" t="s" s="2">
        <v>37064</v>
      </c>
      <c r="J9610" t="s" s="2">
        <v>37065</v>
      </c>
      <c r="K9610" t="s" s="2">
        <v>22</v>
      </c>
      <c r="L9610" t="s" s="2">
        <v>22</v>
      </c>
      <c r="M9610" t="s" s="2">
        <v>22</v>
      </c>
    </row>
    <row r="9611" ht="25.0" customHeight="true">
      <c r="A9611" t="s" s="2">
        <v>13</v>
      </c>
      <c r="B9611" t="s" s="2">
        <f>HYPERLINK("http://ts.21cn.com/tousu/show/id/1354205","电话骚扰、态度恶劣、威胁恐吓、高利贷、暴力催收")</f>
      </c>
      <c r="C9611" t="s" s="2">
        <v>15</v>
      </c>
      <c r="D9611" t="s" s="2">
        <v>16</v>
      </c>
      <c r="E9611" t="s" s="2">
        <v>17</v>
      </c>
      <c r="F9611" t="s" s="2">
        <f>HYPERLINK("http://ts.21cn.com/tousu/show/id/1354205","http://ts.21cn.com/tousu/show/id/1354205")</f>
      </c>
      <c r="G9611" t="s" s="2">
        <v>17</v>
      </c>
      <c r="H9611" t="s" s="2">
        <v>19</v>
      </c>
      <c r="I9611" t="s" s="2">
        <v>37068</v>
      </c>
      <c r="J9611" t="s" s="2">
        <v>37069</v>
      </c>
      <c r="K9611" t="s" s="2">
        <v>22</v>
      </c>
      <c r="L9611" t="s" s="2">
        <v>22</v>
      </c>
      <c r="M9611" t="s" s="2">
        <v>22</v>
      </c>
    </row>
    <row r="9612" ht="25.0" customHeight="true">
      <c r="A9612" t="s" s="2">
        <v>13</v>
      </c>
      <c r="B9612" t="s" s="2">
        <f>HYPERLINK("http://ts.21cn.com/tousu/show/id/1358319","骚扰，恐吓")</f>
      </c>
      <c r="C9612" t="s" s="2">
        <v>15</v>
      </c>
      <c r="D9612" t="s" s="2">
        <v>16</v>
      </c>
      <c r="E9612" t="s" s="2">
        <v>17</v>
      </c>
      <c r="F9612" t="s" s="2">
        <f>HYPERLINK("http://ts.21cn.com/tousu/show/id/1358319","http://ts.21cn.com/tousu/show/id/1358319")</f>
      </c>
      <c r="G9612" t="s" s="2">
        <v>17</v>
      </c>
      <c r="H9612" t="s" s="2">
        <v>19</v>
      </c>
      <c r="I9612" t="s" s="2">
        <v>37071</v>
      </c>
      <c r="J9612" t="s" s="2">
        <v>37072</v>
      </c>
      <c r="K9612" t="s" s="2">
        <v>22</v>
      </c>
      <c r="L9612" t="s" s="2">
        <v>22</v>
      </c>
      <c r="M9612" t="s" s="2">
        <v>22</v>
      </c>
    </row>
    <row r="9613" ht="25.0" customHeight="true">
      <c r="A9613" t="s" s="2">
        <v>13</v>
      </c>
      <c r="B9613" t="s" s="2">
        <f>HYPERLINK("http://ts.21cn.com/tousu/show/id/1358340","及贷暴力催收爆通讯录")</f>
      </c>
      <c r="C9613" t="s" s="2">
        <v>15</v>
      </c>
      <c r="D9613" t="s" s="2">
        <v>16</v>
      </c>
      <c r="E9613" t="s" s="2">
        <v>17</v>
      </c>
      <c r="F9613" t="s" s="2">
        <f>HYPERLINK("http://ts.21cn.com/tousu/show/id/1358340","http://ts.21cn.com/tousu/show/id/1358340")</f>
      </c>
      <c r="G9613" t="s" s="2">
        <v>17</v>
      </c>
      <c r="H9613" t="s" s="2">
        <v>19</v>
      </c>
      <c r="I9613" t="s" s="2">
        <v>37075</v>
      </c>
      <c r="J9613" t="s" s="2">
        <v>37076</v>
      </c>
      <c r="K9613" t="s" s="2">
        <v>22</v>
      </c>
      <c r="L9613" t="s" s="2">
        <v>22</v>
      </c>
      <c r="M9613" t="s" s="2">
        <v>22</v>
      </c>
    </row>
    <row r="9614" ht="25.0" customHeight="true">
      <c r="A9614" t="s" s="2">
        <v>13</v>
      </c>
      <c r="B9614" t="s" s="2">
        <f>HYPERLINK("http://ts.21cn.com/tousu/show/id/1358308","钱站利息高阴阳合同")</f>
      </c>
      <c r="C9614" t="s" s="2">
        <v>15</v>
      </c>
      <c r="D9614" t="s" s="2">
        <v>16</v>
      </c>
      <c r="E9614" t="s" s="2">
        <v>17</v>
      </c>
      <c r="F9614" t="s" s="2">
        <f>HYPERLINK("http://ts.21cn.com/tousu/show/id/1358308","http://ts.21cn.com/tousu/show/id/1358308")</f>
      </c>
      <c r="G9614" t="s" s="2">
        <v>17</v>
      </c>
      <c r="H9614" t="s" s="2">
        <v>19</v>
      </c>
      <c r="I9614" t="s" s="2">
        <v>37079</v>
      </c>
      <c r="J9614" t="s" s="2">
        <v>37080</v>
      </c>
      <c r="K9614" t="s" s="2">
        <v>22</v>
      </c>
      <c r="L9614" t="s" s="2">
        <v>22</v>
      </c>
      <c r="M9614" t="s" s="2">
        <v>22</v>
      </c>
    </row>
    <row r="9615" ht="25.0" customHeight="true">
      <c r="A9615" t="s" s="2">
        <v>13</v>
      </c>
      <c r="B9615" t="s" s="2">
        <f>HYPERLINK("http://ts.21cn.com/tousu/show/id/1358296","无法提前还款。并且不减免后续利息")</f>
      </c>
      <c r="C9615" t="s" s="2">
        <v>52</v>
      </c>
      <c r="D9615" t="s" s="2">
        <v>16</v>
      </c>
      <c r="E9615" t="s" s="2">
        <v>17</v>
      </c>
      <c r="F9615" t="s" s="2">
        <f>HYPERLINK("http://ts.21cn.com/tousu/show/id/1358296","http://ts.21cn.com/tousu/show/id/1358296")</f>
      </c>
      <c r="G9615" t="s" s="2">
        <v>17</v>
      </c>
      <c r="H9615" t="s" s="2">
        <v>19</v>
      </c>
      <c r="I9615" t="s" s="2">
        <v>37083</v>
      </c>
      <c r="J9615" t="s" s="2">
        <v>37084</v>
      </c>
      <c r="K9615" t="s" s="2">
        <v>22</v>
      </c>
      <c r="L9615" t="s" s="2">
        <v>22</v>
      </c>
      <c r="M9615" t="s" s="2">
        <v>22</v>
      </c>
    </row>
    <row r="9616" ht="25.0" customHeight="true">
      <c r="A9616" t="s" s="2">
        <v>13</v>
      </c>
      <c r="B9616" t="s" s="2">
        <f>HYPERLINK("http://ts.21cn.com/tousu/show/id/1353369","滴滴出行欺诈扣费")</f>
      </c>
      <c r="C9616" t="s" s="2">
        <v>15</v>
      </c>
      <c r="D9616" t="s" s="2">
        <v>16</v>
      </c>
      <c r="E9616" t="s" s="2">
        <v>17</v>
      </c>
      <c r="F9616" t="s" s="2">
        <f>HYPERLINK("http://ts.21cn.com/tousu/show/id/1353369","http://ts.21cn.com/tousu/show/id/1353369")</f>
      </c>
      <c r="G9616" t="s" s="2">
        <v>17</v>
      </c>
      <c r="H9616" t="s" s="2">
        <v>19</v>
      </c>
      <c r="I9616" t="s" s="2">
        <v>37087</v>
      </c>
      <c r="J9616" t="s" s="2">
        <v>37088</v>
      </c>
      <c r="K9616" t="s" s="2">
        <v>22</v>
      </c>
      <c r="L9616" t="s" s="2">
        <v>22</v>
      </c>
      <c r="M9616" t="s" s="2">
        <v>22</v>
      </c>
    </row>
    <row r="9617" ht="25.0" customHeight="true">
      <c r="A9617" t="s" s="2">
        <v>13</v>
      </c>
      <c r="B9617" t="s" s="2">
        <f>HYPERLINK("http://ts.21cn.com/tousu/show/id/1358285","高利贷套路贷恶意逾期")</f>
      </c>
      <c r="C9617" t="s" s="2">
        <v>15</v>
      </c>
      <c r="D9617" t="s" s="2">
        <v>16</v>
      </c>
      <c r="E9617" t="s" s="2">
        <v>17</v>
      </c>
      <c r="F9617" t="s" s="2">
        <f>HYPERLINK("http://ts.21cn.com/tousu/show/id/1358285","http://ts.21cn.com/tousu/show/id/1358285")</f>
      </c>
      <c r="G9617" t="s" s="2">
        <v>17</v>
      </c>
      <c r="H9617" t="s" s="2">
        <v>19</v>
      </c>
      <c r="I9617" t="s" s="2">
        <v>37091</v>
      </c>
      <c r="J9617" t="s" s="2">
        <v>37092</v>
      </c>
      <c r="K9617" t="s" s="2">
        <v>22</v>
      </c>
      <c r="L9617" t="s" s="2">
        <v>22</v>
      </c>
      <c r="M9617" t="s" s="2">
        <v>22</v>
      </c>
    </row>
    <row r="9618" ht="25.0" customHeight="true">
      <c r="A9618" t="s" s="2">
        <v>13</v>
      </c>
      <c r="B9618" t="s" s="2">
        <f>HYPERLINK("http://ts.21cn.com/tousu/show/id/1358280","哪吒聚宝高炮平台未放款，一个月后暴力催收，口头威胁，")</f>
      </c>
      <c r="C9618" t="s" s="2">
        <v>15</v>
      </c>
      <c r="D9618" t="s" s="2">
        <v>16</v>
      </c>
      <c r="E9618" t="s" s="2">
        <v>17</v>
      </c>
      <c r="F9618" t="s" s="2">
        <f>HYPERLINK("http://ts.21cn.com/tousu/show/id/1358280","http://ts.21cn.com/tousu/show/id/1358280")</f>
      </c>
      <c r="G9618" t="s" s="2">
        <v>17</v>
      </c>
      <c r="H9618" t="s" s="2">
        <v>19</v>
      </c>
      <c r="I9618" t="s" s="2">
        <v>37095</v>
      </c>
      <c r="J9618" t="s" s="2">
        <v>37096</v>
      </c>
      <c r="K9618" t="s" s="2">
        <v>22</v>
      </c>
      <c r="L9618" t="s" s="2">
        <v>22</v>
      </c>
      <c r="M9618" t="s" s="2">
        <v>22</v>
      </c>
    </row>
    <row r="9619" ht="25.0" customHeight="true">
      <c r="A9619" t="s" s="2">
        <v>13</v>
      </c>
      <c r="B9619" t="s" s="2">
        <f>HYPERLINK("http://ts.21cn.com/tousu/show/id/1358263","钱站服务费高，违约金太高")</f>
      </c>
      <c r="C9619" t="s" s="2">
        <v>15</v>
      </c>
      <c r="D9619" t="s" s="2">
        <v>16</v>
      </c>
      <c r="E9619" t="s" s="2">
        <v>17</v>
      </c>
      <c r="F9619" t="s" s="2">
        <f>HYPERLINK("http://ts.21cn.com/tousu/show/id/1358263","http://ts.21cn.com/tousu/show/id/1358263")</f>
      </c>
      <c r="G9619" t="s" s="2">
        <v>17</v>
      </c>
      <c r="H9619" t="s" s="2">
        <v>19</v>
      </c>
      <c r="I9619" t="s" s="2">
        <v>37099</v>
      </c>
      <c r="J9619" t="s" s="2">
        <v>37100</v>
      </c>
      <c r="K9619" t="s" s="2">
        <v>22</v>
      </c>
      <c r="L9619" t="s" s="2">
        <v>22</v>
      </c>
      <c r="M9619" t="s" s="2">
        <v>22</v>
      </c>
    </row>
    <row r="9620" ht="25.0" customHeight="true">
      <c r="A9620" t="s" s="2">
        <v>13</v>
      </c>
      <c r="B9620" t="s" s="2">
        <f>HYPERLINK("http://ts.21cn.com/tousu/show/id/1358274","做任务被黑单")</f>
      </c>
      <c r="C9620" t="s" s="2">
        <v>15</v>
      </c>
      <c r="D9620" t="s" s="2">
        <v>16</v>
      </c>
      <c r="E9620" t="s" s="2">
        <v>17</v>
      </c>
      <c r="F9620" t="s" s="2">
        <f>HYPERLINK("http://ts.21cn.com/tousu/show/id/1358274","http://ts.21cn.com/tousu/show/id/1358274")</f>
      </c>
      <c r="G9620" t="s" s="2">
        <v>17</v>
      </c>
      <c r="H9620" t="s" s="2">
        <v>19</v>
      </c>
      <c r="I9620" t="s" s="2">
        <v>37103</v>
      </c>
      <c r="J9620" t="s" s="2">
        <v>37104</v>
      </c>
      <c r="K9620" t="s" s="2">
        <v>22</v>
      </c>
      <c r="L9620" t="s" s="2">
        <v>22</v>
      </c>
      <c r="M9620" t="s" s="2">
        <v>22</v>
      </c>
    </row>
    <row r="9621" ht="25.0" customHeight="true">
      <c r="A9621" t="s" s="2">
        <v>13</v>
      </c>
      <c r="B9621" t="s" s="2">
        <f>HYPERLINK("http://ts.21cn.com/tousu/show/id/1358260","钱站黑平台高利贷")</f>
      </c>
      <c r="C9621" t="s" s="2">
        <v>15</v>
      </c>
      <c r="D9621" t="s" s="2">
        <v>16</v>
      </c>
      <c r="E9621" t="s" s="2">
        <v>17</v>
      </c>
      <c r="F9621" t="s" s="2">
        <f>HYPERLINK("http://ts.21cn.com/tousu/show/id/1358260","http://ts.21cn.com/tousu/show/id/1358260")</f>
      </c>
      <c r="G9621" t="s" s="2">
        <v>17</v>
      </c>
      <c r="H9621" t="s" s="2">
        <v>19</v>
      </c>
      <c r="I9621" t="s" s="2">
        <v>37107</v>
      </c>
      <c r="J9621" t="s" s="2">
        <v>37108</v>
      </c>
      <c r="K9621" t="s" s="2">
        <v>22</v>
      </c>
      <c r="L9621" t="s" s="2">
        <v>22</v>
      </c>
      <c r="M9621" t="s" s="2">
        <v>22</v>
      </c>
    </row>
    <row r="9622" ht="25.0" customHeight="true">
      <c r="A9622" t="s" s="2">
        <v>13</v>
      </c>
      <c r="B9622" t="s" s="2">
        <f>HYPERLINK("http://ts.21cn.com/tousu/show/id/1358252","有用分期高额利息超出国家规定借的8000显示的12000")</f>
      </c>
      <c r="C9622" t="s" s="2">
        <v>15</v>
      </c>
      <c r="D9622" t="s" s="2">
        <v>16</v>
      </c>
      <c r="E9622" t="s" s="2">
        <v>17</v>
      </c>
      <c r="F9622" t="s" s="2">
        <f>HYPERLINK("http://ts.21cn.com/tousu/show/id/1358252","http://ts.21cn.com/tousu/show/id/1358252")</f>
      </c>
      <c r="G9622" t="s" s="2">
        <v>17</v>
      </c>
      <c r="H9622" t="s" s="2">
        <v>19</v>
      </c>
      <c r="I9622" t="s" s="2">
        <v>37111</v>
      </c>
      <c r="J9622" t="s" s="2">
        <v>37112</v>
      </c>
      <c r="K9622" t="s" s="2">
        <v>22</v>
      </c>
      <c r="L9622" t="s" s="2">
        <v>22</v>
      </c>
      <c r="M9622" t="s" s="2">
        <v>22</v>
      </c>
    </row>
    <row r="9623" ht="25.0" customHeight="true">
      <c r="A9623" t="s" s="2">
        <v>13</v>
      </c>
      <c r="B9623" t="s" s="2">
        <f>HYPERLINK("http://ts.21cn.com/tousu/show/id/1358241","天猫苏宁旗舰店欺骗消费者")</f>
      </c>
      <c r="C9623" t="s" s="2">
        <v>15</v>
      </c>
      <c r="D9623" t="s" s="2">
        <v>16</v>
      </c>
      <c r="E9623" t="s" s="2">
        <v>17</v>
      </c>
      <c r="F9623" t="s" s="2">
        <f>HYPERLINK("http://ts.21cn.com/tousu/show/id/1358241","http://ts.21cn.com/tousu/show/id/1358241")</f>
      </c>
      <c r="G9623" t="s" s="2">
        <v>17</v>
      </c>
      <c r="H9623" t="s" s="2">
        <v>19</v>
      </c>
      <c r="I9623" t="s" s="2">
        <v>37115</v>
      </c>
      <c r="J9623" t="s" s="2">
        <v>37116</v>
      </c>
      <c r="K9623" t="s" s="2">
        <v>22</v>
      </c>
      <c r="L9623" t="s" s="2">
        <v>22</v>
      </c>
      <c r="M9623" t="s" s="2">
        <v>22</v>
      </c>
    </row>
    <row r="9624" ht="25.0" customHeight="true">
      <c r="A9624" t="s" s="2">
        <v>13</v>
      </c>
      <c r="B9624" t="s" s="2">
        <f>HYPERLINK("http://ts.21cn.com/tousu/show/id/1358230","北京车主白条科技有限公司无故扣款")</f>
      </c>
      <c r="C9624" t="s" s="2">
        <v>52</v>
      </c>
      <c r="D9624" t="s" s="2">
        <v>16</v>
      </c>
      <c r="E9624" t="s" s="2">
        <v>17</v>
      </c>
      <c r="F9624" t="s" s="2">
        <f>HYPERLINK("http://ts.21cn.com/tousu/show/id/1358230","http://ts.21cn.com/tousu/show/id/1358230")</f>
      </c>
      <c r="G9624" t="s" s="2">
        <v>17</v>
      </c>
      <c r="H9624" t="s" s="2">
        <v>19</v>
      </c>
      <c r="I9624" t="s" s="2">
        <v>37119</v>
      </c>
      <c r="J9624" t="s" s="2">
        <v>37120</v>
      </c>
      <c r="K9624" t="s" s="2">
        <v>22</v>
      </c>
      <c r="L9624" t="s" s="2">
        <v>22</v>
      </c>
      <c r="M9624" t="s" s="2">
        <v>22</v>
      </c>
    </row>
    <row r="9625" ht="25.0" customHeight="true">
      <c r="A9625" t="s" s="2">
        <v>13</v>
      </c>
      <c r="B9625" t="s" s="2">
        <f>HYPERLINK("http://ts.21cn.com/tousu/show/id/1358209","小花钱包暴力催收，控吓")</f>
      </c>
      <c r="C9625" t="s" s="2">
        <v>15</v>
      </c>
      <c r="D9625" t="s" s="2">
        <v>16</v>
      </c>
      <c r="E9625" t="s" s="2">
        <v>17</v>
      </c>
      <c r="F9625" t="s" s="2">
        <f>HYPERLINK("http://ts.21cn.com/tousu/show/id/1358209","http://ts.21cn.com/tousu/show/id/1358209")</f>
      </c>
      <c r="G9625" t="s" s="2">
        <v>17</v>
      </c>
      <c r="H9625" t="s" s="2">
        <v>19</v>
      </c>
      <c r="I9625" t="s" s="2">
        <v>37123</v>
      </c>
      <c r="J9625" t="s" s="2">
        <v>37124</v>
      </c>
      <c r="K9625" t="s" s="2">
        <v>22</v>
      </c>
      <c r="L9625" t="s" s="2">
        <v>22</v>
      </c>
      <c r="M9625" t="s" s="2">
        <v>22</v>
      </c>
    </row>
    <row r="9626" ht="25.0" customHeight="true">
      <c r="A9626" t="s" s="2">
        <v>13</v>
      </c>
      <c r="B9626" t="s" s="2">
        <f>HYPERLINK("http://ts.21cn.com/tousu/show/id/1358197","你我贷恶意拨打通讯录联系人及工作单位电话")</f>
      </c>
      <c r="C9626" t="s" s="2">
        <v>15</v>
      </c>
      <c r="D9626" t="s" s="2">
        <v>16</v>
      </c>
      <c r="E9626" t="s" s="2">
        <v>17</v>
      </c>
      <c r="F9626" t="s" s="2">
        <f>HYPERLINK("http://ts.21cn.com/tousu/show/id/1358197","http://ts.21cn.com/tousu/show/id/1358197")</f>
      </c>
      <c r="G9626" t="s" s="2">
        <v>17</v>
      </c>
      <c r="H9626" t="s" s="2">
        <v>19</v>
      </c>
      <c r="I9626" t="s" s="2">
        <v>37127</v>
      </c>
      <c r="J9626" t="s" s="2">
        <v>37128</v>
      </c>
      <c r="K9626" t="s" s="2">
        <v>22</v>
      </c>
      <c r="L9626" t="s" s="2">
        <v>22</v>
      </c>
      <c r="M9626" t="s" s="2">
        <v>22</v>
      </c>
    </row>
    <row r="9627" ht="25.0" customHeight="true">
      <c r="A9627" t="s" s="2">
        <v>13</v>
      </c>
      <c r="B9627" t="s" s="2">
        <f>HYPERLINK("http://ts.21cn.com/tousu/show/id/1358186","海南圣云可网络科技公司可未经本人同意扣钱钱财")</f>
      </c>
      <c r="C9627" t="s" s="2">
        <v>15</v>
      </c>
      <c r="D9627" t="s" s="2">
        <v>16</v>
      </c>
      <c r="E9627" t="s" s="2">
        <v>17</v>
      </c>
      <c r="F9627" t="s" s="2">
        <f>HYPERLINK("http://ts.21cn.com/tousu/show/id/1358186","http://ts.21cn.com/tousu/show/id/1358186")</f>
      </c>
      <c r="G9627" t="s" s="2">
        <v>17</v>
      </c>
      <c r="H9627" t="s" s="2">
        <v>19</v>
      </c>
      <c r="I9627" t="s" s="2">
        <v>37131</v>
      </c>
      <c r="J9627" t="s" s="2">
        <v>37132</v>
      </c>
      <c r="K9627" t="s" s="2">
        <v>22</v>
      </c>
      <c r="L9627" t="s" s="2">
        <v>22</v>
      </c>
      <c r="M9627" t="s" s="2">
        <v>22</v>
      </c>
    </row>
    <row r="9628" ht="25.0" customHeight="true">
      <c r="A9628" t="s" s="2">
        <v>13</v>
      </c>
      <c r="B9628" t="s" s="2">
        <f>HYPERLINK("http://ts.21cn.com/tousu/show/id/1358191","我没有活下去的勇气，不想活了。")</f>
      </c>
      <c r="C9628" t="s" s="2">
        <v>15</v>
      </c>
      <c r="D9628" t="s" s="2">
        <v>16</v>
      </c>
      <c r="E9628" t="s" s="2">
        <v>17</v>
      </c>
      <c r="F9628" t="s" s="2">
        <f>HYPERLINK("http://ts.21cn.com/tousu/show/id/1358191","http://ts.21cn.com/tousu/show/id/1358191")</f>
      </c>
      <c r="G9628" t="s" s="2">
        <v>17</v>
      </c>
      <c r="H9628" t="s" s="2">
        <v>19</v>
      </c>
      <c r="I9628" t="s" s="2">
        <v>37135</v>
      </c>
      <c r="J9628" t="s" s="2">
        <v>37136</v>
      </c>
      <c r="K9628" t="s" s="2">
        <v>22</v>
      </c>
      <c r="L9628" t="s" s="2">
        <v>22</v>
      </c>
      <c r="M9628" t="s" s="2">
        <v>22</v>
      </c>
    </row>
    <row r="9629" ht="25.0" customHeight="true">
      <c r="A9629" t="s" s="2">
        <v>13</v>
      </c>
      <c r="B9629" t="s" s="2">
        <f>HYPERLINK("http://ts.21cn.com/tousu/show/id/1358164","给我发信息说我可以开通微粒贷，然后让我填写资料，资料填完了用快捷支付转走我的钱")</f>
      </c>
      <c r="C9629" t="s" s="2">
        <v>52</v>
      </c>
      <c r="D9629" t="s" s="2">
        <v>16</v>
      </c>
      <c r="E9629" t="s" s="2">
        <v>17</v>
      </c>
      <c r="F9629" t="s" s="2">
        <f>HYPERLINK("http://ts.21cn.com/tousu/show/id/1358164","http://ts.21cn.com/tousu/show/id/1358164")</f>
      </c>
      <c r="G9629" t="s" s="2">
        <v>17</v>
      </c>
      <c r="H9629" t="s" s="2">
        <v>19</v>
      </c>
      <c r="I9629" t="s" s="2">
        <v>37139</v>
      </c>
      <c r="J9629" t="s" s="2">
        <v>37140</v>
      </c>
      <c r="K9629" t="s" s="2">
        <v>22</v>
      </c>
      <c r="L9629" t="s" s="2">
        <v>22</v>
      </c>
      <c r="M9629" t="s" s="2">
        <v>22</v>
      </c>
    </row>
    <row r="9630" ht="25.0" customHeight="true">
      <c r="A9630" t="s" s="2">
        <v>13</v>
      </c>
      <c r="B9630" t="s" s="2">
        <f>HYPERLINK("http://ts.21cn.com/tousu/show/id/1358175","钱到APP了不给我提现")</f>
      </c>
      <c r="C9630" t="s" s="2">
        <v>15</v>
      </c>
      <c r="D9630" t="s" s="2">
        <v>16</v>
      </c>
      <c r="E9630" t="s" s="2">
        <v>17</v>
      </c>
      <c r="F9630" t="s" s="2">
        <f>HYPERLINK("http://ts.21cn.com/tousu/show/id/1358175","http://ts.21cn.com/tousu/show/id/1358175")</f>
      </c>
      <c r="G9630" t="s" s="2">
        <v>17</v>
      </c>
      <c r="H9630" t="s" s="2">
        <v>19</v>
      </c>
      <c r="I9630" t="s" s="2">
        <v>37143</v>
      </c>
      <c r="J9630" t="s" s="2">
        <v>37144</v>
      </c>
      <c r="K9630" t="s" s="2">
        <v>22</v>
      </c>
      <c r="L9630" t="s" s="2">
        <v>22</v>
      </c>
      <c r="M9630" t="s" s="2">
        <v>22</v>
      </c>
    </row>
    <row r="9631" ht="25.0" customHeight="true">
      <c r="A9631" t="s" s="2">
        <v>13</v>
      </c>
      <c r="B9631" t="s" s="2">
        <f>HYPERLINK("http://ts.21cn.com/tousu/show/id/1358142","拍拍贷暴力催收，恐吓威胁家人朋友，催收员私收欠款")</f>
      </c>
      <c r="C9631" t="s" s="2">
        <v>15</v>
      </c>
      <c r="D9631" t="s" s="2">
        <v>16</v>
      </c>
      <c r="E9631" t="s" s="2">
        <v>17</v>
      </c>
      <c r="F9631" t="s" s="2">
        <f>HYPERLINK("http://ts.21cn.com/tousu/show/id/1358142","http://ts.21cn.com/tousu/show/id/1358142")</f>
      </c>
      <c r="G9631" t="s" s="2">
        <v>17</v>
      </c>
      <c r="H9631" t="s" s="2">
        <v>19</v>
      </c>
      <c r="I9631" t="s" s="2">
        <v>37147</v>
      </c>
      <c r="J9631" t="s" s="2">
        <v>37148</v>
      </c>
      <c r="K9631" t="s" s="2">
        <v>22</v>
      </c>
      <c r="L9631" t="s" s="2">
        <v>22</v>
      </c>
      <c r="M9631" t="s" s="2">
        <v>22</v>
      </c>
    </row>
    <row r="9632" ht="25.0" customHeight="true">
      <c r="A9632" t="s" s="2">
        <v>13</v>
      </c>
      <c r="B9632" t="s" s="2">
        <f>HYPERLINK("http://ts.21cn.com/tousu/show/id/1358131","投诉小y文娱乱扣费")</f>
      </c>
      <c r="C9632" t="s" s="2">
        <v>15</v>
      </c>
      <c r="D9632" t="s" s="2">
        <v>16</v>
      </c>
      <c r="E9632" t="s" s="2">
        <v>17</v>
      </c>
      <c r="F9632" t="s" s="2">
        <f>HYPERLINK("http://ts.21cn.com/tousu/show/id/1358131","http://ts.21cn.com/tousu/show/id/1358131")</f>
      </c>
      <c r="G9632" t="s" s="2">
        <v>17</v>
      </c>
      <c r="H9632" t="s" s="2">
        <v>19</v>
      </c>
      <c r="I9632" t="s" s="2">
        <v>37151</v>
      </c>
      <c r="J9632" t="s" s="2">
        <v>37152</v>
      </c>
      <c r="K9632" t="s" s="2">
        <v>22</v>
      </c>
      <c r="L9632" t="s" s="2">
        <v>22</v>
      </c>
      <c r="M9632" t="s" s="2">
        <v>22</v>
      </c>
    </row>
    <row r="9633" ht="25.0" customHeight="true">
      <c r="A9633" t="s" s="2">
        <v>13</v>
      </c>
      <c r="B9633" t="s" s="2">
        <f>HYPERLINK("http://ts.21cn.com/tousu/show/id/1358120","利息过高")</f>
      </c>
      <c r="C9633" t="s" s="2">
        <v>15</v>
      </c>
      <c r="D9633" t="s" s="2">
        <v>16</v>
      </c>
      <c r="E9633" t="s" s="2">
        <v>17</v>
      </c>
      <c r="F9633" t="s" s="2">
        <f>HYPERLINK("http://ts.21cn.com/tousu/show/id/1358120","http://ts.21cn.com/tousu/show/id/1358120")</f>
      </c>
      <c r="G9633" t="s" s="2">
        <v>17</v>
      </c>
      <c r="H9633" t="s" s="2">
        <v>19</v>
      </c>
      <c r="I9633" t="s" s="2">
        <v>37155</v>
      </c>
      <c r="J9633" t="s" s="2">
        <v>37156</v>
      </c>
      <c r="K9633" t="s" s="2">
        <v>22</v>
      </c>
      <c r="L9633" t="s" s="2">
        <v>22</v>
      </c>
      <c r="M9633" t="s" s="2">
        <v>22</v>
      </c>
    </row>
    <row r="9634" ht="25.0" customHeight="true">
      <c r="A9634" t="s" s="2">
        <v>13</v>
      </c>
      <c r="B9634" t="s" s="2">
        <f>HYPERLINK("http://ts.21cn.com/tousu/show/id/1358098","卧龙钱包高利贷砍头息")</f>
      </c>
      <c r="C9634" t="s" s="2">
        <v>15</v>
      </c>
      <c r="D9634" t="s" s="2">
        <v>16</v>
      </c>
      <c r="E9634" t="s" s="2">
        <v>17</v>
      </c>
      <c r="F9634" t="s" s="2">
        <f>HYPERLINK("http://ts.21cn.com/tousu/show/id/1358098","http://ts.21cn.com/tousu/show/id/1358098")</f>
      </c>
      <c r="G9634" t="s" s="2">
        <v>17</v>
      </c>
      <c r="H9634" t="s" s="2">
        <v>19</v>
      </c>
      <c r="I9634" t="s" s="2">
        <v>37159</v>
      </c>
      <c r="J9634" t="s" s="2">
        <v>37160</v>
      </c>
      <c r="K9634" t="s" s="2">
        <v>22</v>
      </c>
      <c r="L9634" t="s" s="2">
        <v>22</v>
      </c>
      <c r="M9634" t="s" s="2">
        <v>22</v>
      </c>
    </row>
    <row r="9635" ht="25.0" customHeight="true">
      <c r="A9635" t="s" s="2">
        <v>13</v>
      </c>
      <c r="B9635" t="s" s="2">
        <f>HYPERLINK("http://ts.21cn.com/tousu/show/id/1358087","聚福钱包身份验证都没过就乱扣款")</f>
      </c>
      <c r="C9635" t="s" s="2">
        <v>15</v>
      </c>
      <c r="D9635" t="s" s="2">
        <v>16</v>
      </c>
      <c r="E9635" t="s" s="2">
        <v>17</v>
      </c>
      <c r="F9635" t="s" s="2">
        <f>HYPERLINK("http://ts.21cn.com/tousu/show/id/1358087","http://ts.21cn.com/tousu/show/id/1358087")</f>
      </c>
      <c r="G9635" t="s" s="2">
        <v>17</v>
      </c>
      <c r="H9635" t="s" s="2">
        <v>19</v>
      </c>
      <c r="I9635" t="s" s="2">
        <v>37163</v>
      </c>
      <c r="J9635" t="s" s="2">
        <v>37164</v>
      </c>
      <c r="K9635" t="s" s="2">
        <v>22</v>
      </c>
      <c r="L9635" t="s" s="2">
        <v>22</v>
      </c>
      <c r="M9635" t="s" s="2">
        <v>22</v>
      </c>
    </row>
    <row r="9636" ht="25.0" customHeight="true">
      <c r="A9636" t="s" s="2">
        <v>13</v>
      </c>
      <c r="B9636" t="s" s="2">
        <f>HYPERLINK("http://ts.21cn.com/tousu/show/id/1358076","新意花，小木钱包，畅捷支付")</f>
      </c>
      <c r="C9636" t="s" s="2">
        <v>15</v>
      </c>
      <c r="D9636" t="s" s="2">
        <v>16</v>
      </c>
      <c r="E9636" t="s" s="2">
        <v>17</v>
      </c>
      <c r="F9636" t="s" s="2">
        <f>HYPERLINK("http://ts.21cn.com/tousu/show/id/1358076","http://ts.21cn.com/tousu/show/id/1358076")</f>
      </c>
      <c r="G9636" t="s" s="2">
        <v>17</v>
      </c>
      <c r="H9636" t="s" s="2">
        <v>19</v>
      </c>
      <c r="I9636" t="s" s="2">
        <v>37167</v>
      </c>
      <c r="J9636" t="s" s="2">
        <v>37168</v>
      </c>
      <c r="K9636" t="s" s="2">
        <v>22</v>
      </c>
      <c r="L9636" t="s" s="2">
        <v>22</v>
      </c>
      <c r="M9636" t="s" s="2">
        <v>22</v>
      </c>
    </row>
    <row r="9637" ht="25.0" customHeight="true">
      <c r="A9637" t="s" s="2">
        <v>13</v>
      </c>
      <c r="B9637" t="s" s="2">
        <f>HYPERLINK("http://ts.21cn.com/tousu/show/id/1358065","网贷平台电话骚扰电话通讯录联系人")</f>
      </c>
      <c r="C9637" t="s" s="2">
        <v>15</v>
      </c>
      <c r="D9637" t="s" s="2">
        <v>16</v>
      </c>
      <c r="E9637" t="s" s="2">
        <v>17</v>
      </c>
      <c r="F9637" t="s" s="2">
        <f>HYPERLINK("http://ts.21cn.com/tousu/show/id/1358065","http://ts.21cn.com/tousu/show/id/1358065")</f>
      </c>
      <c r="G9637" t="s" s="2">
        <v>17</v>
      </c>
      <c r="H9637" t="s" s="2">
        <v>19</v>
      </c>
      <c r="I9637" t="s" s="2">
        <v>37171</v>
      </c>
      <c r="J9637" t="s" s="2">
        <v>37172</v>
      </c>
      <c r="K9637" t="s" s="2">
        <v>22</v>
      </c>
      <c r="L9637" t="s" s="2">
        <v>22</v>
      </c>
      <c r="M9637" t="s" s="2">
        <v>22</v>
      </c>
    </row>
    <row r="9638" ht="25.0" customHeight="true">
      <c r="A9638" t="s" s="2">
        <v>13</v>
      </c>
      <c r="B9638" t="s" s="2">
        <f>HYPERLINK("http://ts.21cn.com/tousu/show/id/1358054","升学教育机构不退款")</f>
      </c>
      <c r="C9638" t="s" s="2">
        <v>15</v>
      </c>
      <c r="D9638" t="s" s="2">
        <v>16</v>
      </c>
      <c r="E9638" t="s" s="2">
        <v>17</v>
      </c>
      <c r="F9638" t="s" s="2">
        <f>HYPERLINK("http://ts.21cn.com/tousu/show/id/1358054","http://ts.21cn.com/tousu/show/id/1358054")</f>
      </c>
      <c r="G9638" t="s" s="2">
        <v>17</v>
      </c>
      <c r="H9638" t="s" s="2">
        <v>19</v>
      </c>
      <c r="I9638" t="s" s="2">
        <v>37174</v>
      </c>
      <c r="J9638" t="s" s="2">
        <v>37175</v>
      </c>
      <c r="K9638" t="s" s="2">
        <v>22</v>
      </c>
      <c r="L9638" t="s" s="2">
        <v>22</v>
      </c>
      <c r="M9638" t="s" s="2">
        <v>22</v>
      </c>
    </row>
    <row r="9639" ht="25.0" customHeight="true">
      <c r="A9639" t="s" s="2">
        <v>13</v>
      </c>
      <c r="B9639" t="s" s="2">
        <f>HYPERLINK("http://ts.21cn.com/tousu/show/id/1358043","钱站阴阳合同高利贷")</f>
      </c>
      <c r="C9639" t="s" s="2">
        <v>15</v>
      </c>
      <c r="D9639" t="s" s="2">
        <v>16</v>
      </c>
      <c r="E9639" t="s" s="2">
        <v>17</v>
      </c>
      <c r="F9639" t="s" s="2">
        <f>HYPERLINK("http://ts.21cn.com/tousu/show/id/1358043","http://ts.21cn.com/tousu/show/id/1358043")</f>
      </c>
      <c r="G9639" t="s" s="2">
        <v>17</v>
      </c>
      <c r="H9639" t="s" s="2">
        <v>19</v>
      </c>
      <c r="I9639" t="s" s="2">
        <v>37177</v>
      </c>
      <c r="J9639" t="s" s="2">
        <v>37178</v>
      </c>
      <c r="K9639" t="s" s="2">
        <v>22</v>
      </c>
      <c r="L9639" t="s" s="2">
        <v>22</v>
      </c>
      <c r="M9639" t="s" s="2">
        <v>22</v>
      </c>
    </row>
    <row r="9640" ht="25.0" customHeight="true">
      <c r="A9640" t="s" s="2">
        <v>13</v>
      </c>
      <c r="B9640" t="s" s="2">
        <f>HYPERLINK("http://ts.21cn.com/tousu/show/id/1358021","无缘无故被京东扣钱")</f>
      </c>
      <c r="C9640" t="s" s="2">
        <v>15</v>
      </c>
      <c r="D9640" t="s" s="2">
        <v>16</v>
      </c>
      <c r="E9640" t="s" s="2">
        <v>17</v>
      </c>
      <c r="F9640" t="s" s="2">
        <f>HYPERLINK("http://ts.21cn.com/tousu/show/id/1358021","http://ts.21cn.com/tousu/show/id/1358021")</f>
      </c>
      <c r="G9640" t="s" s="2">
        <v>17</v>
      </c>
      <c r="H9640" t="s" s="2">
        <v>19</v>
      </c>
      <c r="I9640" t="s" s="2">
        <v>37181</v>
      </c>
      <c r="J9640" t="s" s="2">
        <v>37182</v>
      </c>
      <c r="K9640" t="s" s="2">
        <v>22</v>
      </c>
      <c r="L9640" t="s" s="2">
        <v>22</v>
      </c>
      <c r="M9640" t="s" s="2">
        <v>22</v>
      </c>
    </row>
    <row r="9641" ht="25.0" customHeight="true">
      <c r="A9641" t="s" s="2">
        <v>13</v>
      </c>
      <c r="B9641" t="s" s="2">
        <f>HYPERLINK("http://ts.21cn.com/tousu/show/id/1358010","博世冰箱2年4次维修！")</f>
      </c>
      <c r="C9641" t="s" s="2">
        <v>15</v>
      </c>
      <c r="D9641" t="s" s="2">
        <v>16</v>
      </c>
      <c r="E9641" t="s" s="2">
        <v>17</v>
      </c>
      <c r="F9641" t="s" s="2">
        <f>HYPERLINK("http://ts.21cn.com/tousu/show/id/1358010","http://ts.21cn.com/tousu/show/id/1358010")</f>
      </c>
      <c r="G9641" t="s" s="2">
        <v>17</v>
      </c>
      <c r="H9641" t="s" s="2">
        <v>19</v>
      </c>
      <c r="I9641" t="s" s="2">
        <v>37185</v>
      </c>
      <c r="J9641" t="s" s="2">
        <v>37186</v>
      </c>
      <c r="K9641" t="s" s="2">
        <v>22</v>
      </c>
      <c r="L9641" t="s" s="2">
        <v>22</v>
      </c>
      <c r="M9641" t="s" s="2">
        <v>22</v>
      </c>
    </row>
    <row r="9642" ht="25.0" customHeight="true">
      <c r="A9642" t="s" s="2">
        <v>13</v>
      </c>
      <c r="B9642" t="s" s="2">
        <f>HYPERLINK("http://ts.21cn.com/tousu/show/id/1357989","贷款平台好分期利率过高，威胁本人")</f>
      </c>
      <c r="C9642" t="s" s="2">
        <v>15</v>
      </c>
      <c r="D9642" t="s" s="2">
        <v>16</v>
      </c>
      <c r="E9642" t="s" s="2">
        <v>17</v>
      </c>
      <c r="F9642" t="s" s="2">
        <f>HYPERLINK("http://ts.21cn.com/tousu/show/id/1357989","http://ts.21cn.com/tousu/show/id/1357989")</f>
      </c>
      <c r="G9642" t="s" s="2">
        <v>17</v>
      </c>
      <c r="H9642" t="s" s="2">
        <v>19</v>
      </c>
      <c r="I9642" t="s" s="2">
        <v>37189</v>
      </c>
      <c r="J9642" t="s" s="2">
        <v>37190</v>
      </c>
      <c r="K9642" t="s" s="2">
        <v>22</v>
      </c>
      <c r="L9642" t="s" s="2">
        <v>22</v>
      </c>
      <c r="M9642" t="s" s="2">
        <v>22</v>
      </c>
    </row>
    <row r="9643" ht="25.0" customHeight="true">
      <c r="A9643" t="s" s="2">
        <v>13</v>
      </c>
      <c r="B9643" t="s" s="2">
        <f>HYPERLINK("http://ts.21cn.com/tousu/show/id/1357978","高利贷，强制借款")</f>
      </c>
      <c r="C9643" t="s" s="2">
        <v>15</v>
      </c>
      <c r="D9643" t="s" s="2">
        <v>16</v>
      </c>
      <c r="E9643" t="s" s="2">
        <v>17</v>
      </c>
      <c r="F9643" t="s" s="2">
        <f>HYPERLINK("http://ts.21cn.com/tousu/show/id/1357978","http://ts.21cn.com/tousu/show/id/1357978")</f>
      </c>
      <c r="G9643" t="s" s="2">
        <v>17</v>
      </c>
      <c r="H9643" t="s" s="2">
        <v>19</v>
      </c>
      <c r="I9643" t="s" s="2">
        <v>37193</v>
      </c>
      <c r="J9643" t="s" s="2">
        <v>37194</v>
      </c>
      <c r="K9643" t="s" s="2">
        <v>22</v>
      </c>
      <c r="L9643" t="s" s="2">
        <v>22</v>
      </c>
      <c r="M9643" t="s" s="2">
        <v>22</v>
      </c>
    </row>
    <row r="9644" ht="25.0" customHeight="true">
      <c r="A9644" t="s" s="2">
        <v>13</v>
      </c>
      <c r="B9644" t="s" s="2">
        <f>HYPERLINK("http://ts.21cn.com/tousu/show/id/1357967","百世快递不给处理破损件")</f>
      </c>
      <c r="C9644" t="s" s="2">
        <v>15</v>
      </c>
      <c r="D9644" t="s" s="2">
        <v>16</v>
      </c>
      <c r="E9644" t="s" s="2">
        <v>17</v>
      </c>
      <c r="F9644" t="s" s="2">
        <f>HYPERLINK("http://ts.21cn.com/tousu/show/id/1357967","http://ts.21cn.com/tousu/show/id/1357967")</f>
      </c>
      <c r="G9644" t="s" s="2">
        <v>17</v>
      </c>
      <c r="H9644" t="s" s="2">
        <v>19</v>
      </c>
      <c r="I9644" t="s" s="2">
        <v>37197</v>
      </c>
      <c r="J9644" t="s" s="2">
        <v>37198</v>
      </c>
      <c r="K9644" t="s" s="2">
        <v>22</v>
      </c>
      <c r="L9644" t="s" s="2">
        <v>22</v>
      </c>
      <c r="M9644" t="s" s="2">
        <v>22</v>
      </c>
    </row>
    <row r="9645" ht="25.0" customHeight="true">
      <c r="A9645" t="s" s="2">
        <v>13</v>
      </c>
      <c r="B9645" t="s" s="2">
        <f>HYPERLINK("http://ts.21cn.com/tousu/show/id/1357956","维信卡卡贷超时不放款")</f>
      </c>
      <c r="C9645" t="s" s="2">
        <v>15</v>
      </c>
      <c r="D9645" t="s" s="2">
        <v>16</v>
      </c>
      <c r="E9645" t="s" s="2">
        <v>17</v>
      </c>
      <c r="F9645" t="s" s="2">
        <f>HYPERLINK("http://ts.21cn.com/tousu/show/id/1357956","http://ts.21cn.com/tousu/show/id/1357956")</f>
      </c>
      <c r="G9645" t="s" s="2">
        <v>17</v>
      </c>
      <c r="H9645" t="s" s="2">
        <v>19</v>
      </c>
      <c r="I9645" t="s" s="2">
        <v>37201</v>
      </c>
      <c r="J9645" t="s" s="2">
        <v>37202</v>
      </c>
      <c r="K9645" t="s" s="2">
        <v>22</v>
      </c>
      <c r="L9645" t="s" s="2">
        <v>22</v>
      </c>
      <c r="M9645" t="s" s="2">
        <v>22</v>
      </c>
    </row>
    <row r="9646" ht="25.0" customHeight="true">
      <c r="A9646" t="s" s="2">
        <v>13</v>
      </c>
      <c r="B9646" t="s" s="2">
        <f>HYPERLINK("http://ts.21cn.com/tousu/show/id/1357945","快易熊平台砍头息高利贷")</f>
      </c>
      <c r="C9646" t="s" s="2">
        <v>15</v>
      </c>
      <c r="D9646" t="s" s="2">
        <v>16</v>
      </c>
      <c r="E9646" t="s" s="2">
        <v>17</v>
      </c>
      <c r="F9646" t="s" s="2">
        <f>HYPERLINK("http://ts.21cn.com/tousu/show/id/1357945","http://ts.21cn.com/tousu/show/id/1357945")</f>
      </c>
      <c r="G9646" t="s" s="2">
        <v>17</v>
      </c>
      <c r="H9646" t="s" s="2">
        <v>19</v>
      </c>
      <c r="I9646" t="s" s="2">
        <v>37205</v>
      </c>
      <c r="J9646" t="s" s="2">
        <v>37206</v>
      </c>
      <c r="K9646" t="s" s="2">
        <v>22</v>
      </c>
      <c r="L9646" t="s" s="2">
        <v>22</v>
      </c>
      <c r="M9646" t="s" s="2">
        <v>22</v>
      </c>
    </row>
    <row r="9647" ht="25.0" customHeight="true">
      <c r="A9647" t="s" s="2">
        <v>13</v>
      </c>
      <c r="B9647" t="s" s="2">
        <f>HYPERLINK("http://ts.21cn.com/tousu/show/id/1357934","立借套路贷")</f>
      </c>
      <c r="C9647" t="s" s="2">
        <v>15</v>
      </c>
      <c r="D9647" t="s" s="2">
        <v>16</v>
      </c>
      <c r="E9647" t="s" s="2">
        <v>17</v>
      </c>
      <c r="F9647" t="s" s="2">
        <f>HYPERLINK("http://ts.21cn.com/tousu/show/id/1357934","http://ts.21cn.com/tousu/show/id/1357934")</f>
      </c>
      <c r="G9647" t="s" s="2">
        <v>17</v>
      </c>
      <c r="H9647" t="s" s="2">
        <v>19</v>
      </c>
      <c r="I9647" t="s" s="2">
        <v>37208</v>
      </c>
      <c r="J9647" t="s" s="2">
        <v>37209</v>
      </c>
      <c r="K9647" t="s" s="2">
        <v>22</v>
      </c>
      <c r="L9647" t="s" s="2">
        <v>22</v>
      </c>
      <c r="M9647" t="s" s="2">
        <v>22</v>
      </c>
    </row>
    <row r="9648" ht="25.0" customHeight="true">
      <c r="A9648" t="s" s="2">
        <v>13</v>
      </c>
      <c r="B9648" t="s" s="2">
        <f>HYPERLINK("http://ts.21cn.com/tousu/show/id/1357912","要求美年达，蛋黄派退还超出本金的高额砍头息费用")</f>
      </c>
      <c r="C9648" t="s" s="2">
        <v>15</v>
      </c>
      <c r="D9648" t="s" s="2">
        <v>16</v>
      </c>
      <c r="E9648" t="s" s="2">
        <v>17</v>
      </c>
      <c r="F9648" t="s" s="2">
        <f>HYPERLINK("http://ts.21cn.com/tousu/show/id/1357912","http://ts.21cn.com/tousu/show/id/1357912")</f>
      </c>
      <c r="G9648" t="s" s="2">
        <v>17</v>
      </c>
      <c r="H9648" t="s" s="2">
        <v>19</v>
      </c>
      <c r="I9648" t="s" s="2">
        <v>37212</v>
      </c>
      <c r="J9648" t="s" s="2">
        <v>37213</v>
      </c>
      <c r="K9648" t="s" s="2">
        <v>22</v>
      </c>
      <c r="L9648" t="s" s="2">
        <v>22</v>
      </c>
      <c r="M9648" t="s" s="2">
        <v>22</v>
      </c>
    </row>
    <row r="9649" ht="25.0" customHeight="true">
      <c r="A9649" t="s" s="2">
        <v>13</v>
      </c>
      <c r="B9649" t="s" s="2">
        <f>HYPERLINK("http://ts.21cn.com/tousu/show/id/1357901","开通会员说好可以退款没有退")</f>
      </c>
      <c r="C9649" t="s" s="2">
        <v>52</v>
      </c>
      <c r="D9649" t="s" s="2">
        <v>16</v>
      </c>
      <c r="E9649" t="s" s="2">
        <v>17</v>
      </c>
      <c r="F9649" t="s" s="2">
        <f>HYPERLINK("http://ts.21cn.com/tousu/show/id/1357901","http://ts.21cn.com/tousu/show/id/1357901")</f>
      </c>
      <c r="G9649" t="s" s="2">
        <v>17</v>
      </c>
      <c r="H9649" t="s" s="2">
        <v>19</v>
      </c>
      <c r="I9649" t="s" s="2">
        <v>37216</v>
      </c>
      <c r="J9649" t="s" s="2">
        <v>37217</v>
      </c>
      <c r="K9649" t="s" s="2">
        <v>22</v>
      </c>
      <c r="L9649" t="s" s="2">
        <v>22</v>
      </c>
      <c r="M9649" t="s" s="2">
        <v>22</v>
      </c>
    </row>
    <row r="9650" ht="25.0" customHeight="true">
      <c r="A9650" t="s" s="2">
        <v>13</v>
      </c>
      <c r="B9650" t="s" s="2">
        <f>HYPERLINK("http://ts.21cn.com/tousu/show/id/1357887","维信卡卡贷2个多月多扣款的款项未退还")</f>
      </c>
      <c r="C9650" t="s" s="2">
        <v>15</v>
      </c>
      <c r="D9650" t="s" s="2">
        <v>16</v>
      </c>
      <c r="E9650" t="s" s="2">
        <v>17</v>
      </c>
      <c r="F9650" t="s" s="2">
        <f>HYPERLINK("http://ts.21cn.com/tousu/show/id/1357887","http://ts.21cn.com/tousu/show/id/1357887")</f>
      </c>
      <c r="G9650" t="s" s="2">
        <v>17</v>
      </c>
      <c r="H9650" t="s" s="2">
        <v>19</v>
      </c>
      <c r="I9650" t="s" s="2">
        <v>37220</v>
      </c>
      <c r="J9650" t="s" s="2">
        <v>37221</v>
      </c>
      <c r="K9650" t="s" s="2">
        <v>22</v>
      </c>
      <c r="L9650" t="s" s="2">
        <v>22</v>
      </c>
      <c r="M9650" t="s" s="2">
        <v>22</v>
      </c>
    </row>
    <row r="9651" ht="25.0" customHeight="true">
      <c r="A9651" t="s" s="2">
        <v>13</v>
      </c>
      <c r="B9651" t="s" s="2">
        <f>HYPERLINK("http://ts.21cn.com/tousu/show/id/1357879","钱橙无忧借款app自动扣款")</f>
      </c>
      <c r="C9651" t="s" s="2">
        <v>15</v>
      </c>
      <c r="D9651" t="s" s="2">
        <v>16</v>
      </c>
      <c r="E9651" t="s" s="2">
        <v>17</v>
      </c>
      <c r="F9651" t="s" s="2">
        <f>HYPERLINK("http://ts.21cn.com/tousu/show/id/1357879","http://ts.21cn.com/tousu/show/id/1357879")</f>
      </c>
      <c r="G9651" t="s" s="2">
        <v>17</v>
      </c>
      <c r="H9651" t="s" s="2">
        <v>19</v>
      </c>
      <c r="I9651" t="s" s="2">
        <v>37224</v>
      </c>
      <c r="J9651" t="s" s="2">
        <v>37225</v>
      </c>
      <c r="K9651" t="s" s="2">
        <v>22</v>
      </c>
      <c r="L9651" t="s" s="2">
        <v>22</v>
      </c>
      <c r="M9651" t="s" s="2">
        <v>22</v>
      </c>
    </row>
    <row r="9652" ht="25.0" customHeight="true">
      <c r="A9652" t="s" s="2">
        <v>13</v>
      </c>
      <c r="B9652" t="s" s="2">
        <f>HYPERLINK("http://ts.21cn.com/tousu/show/id/1357876","拇指下款app盗扣行银行卡298.5元")</f>
      </c>
      <c r="C9652" t="s" s="2">
        <v>52</v>
      </c>
      <c r="D9652" t="s" s="2">
        <v>16</v>
      </c>
      <c r="E9652" t="s" s="2">
        <v>17</v>
      </c>
      <c r="F9652" t="s" s="2">
        <f>HYPERLINK("http://ts.21cn.com/tousu/show/id/1357876","http://ts.21cn.com/tousu/show/id/1357876")</f>
      </c>
      <c r="G9652" t="s" s="2">
        <v>17</v>
      </c>
      <c r="H9652" t="s" s="2">
        <v>19</v>
      </c>
      <c r="I9652" t="s" s="2">
        <v>37228</v>
      </c>
      <c r="J9652" t="s" s="2">
        <v>37229</v>
      </c>
      <c r="K9652" t="s" s="2">
        <v>22</v>
      </c>
      <c r="L9652" t="s" s="2">
        <v>22</v>
      </c>
      <c r="M9652" t="s" s="2">
        <v>22</v>
      </c>
    </row>
    <row r="9653" ht="25.0" customHeight="true">
      <c r="A9653" t="s" s="2">
        <v>13</v>
      </c>
      <c r="B9653" t="s" s="2">
        <f>HYPERLINK("http://ts.21cn.com/tousu/show/id/1357853","偿还本金，")</f>
      </c>
      <c r="C9653" t="s" s="2">
        <v>15</v>
      </c>
      <c r="D9653" t="s" s="2">
        <v>16</v>
      </c>
      <c r="E9653" t="s" s="2">
        <v>17</v>
      </c>
      <c r="F9653" t="s" s="2">
        <f>HYPERLINK("http://ts.21cn.com/tousu/show/id/1357853","http://ts.21cn.com/tousu/show/id/1357853")</f>
      </c>
      <c r="G9653" t="s" s="2">
        <v>17</v>
      </c>
      <c r="H9653" t="s" s="2">
        <v>19</v>
      </c>
      <c r="I9653" t="s" s="2">
        <v>37232</v>
      </c>
      <c r="J9653" t="s" s="2">
        <v>37233</v>
      </c>
      <c r="K9653" t="s" s="2">
        <v>22</v>
      </c>
      <c r="L9653" t="s" s="2">
        <v>22</v>
      </c>
      <c r="M9653" t="s" s="2">
        <v>22</v>
      </c>
    </row>
    <row r="9654" ht="25.0" customHeight="true">
      <c r="A9654" t="s" s="2">
        <v>13</v>
      </c>
      <c r="B9654" t="s" s="2">
        <f>HYPERLINK("http://ts.21cn.com/tousu/show/id/1357868","银行卡资金不明被财付通转走，去向显示为手Q支付平台商号")</f>
      </c>
      <c r="C9654" t="s" s="2">
        <v>15</v>
      </c>
      <c r="D9654" t="s" s="2">
        <v>16</v>
      </c>
      <c r="E9654" t="s" s="2">
        <v>17</v>
      </c>
      <c r="F9654" t="s" s="2">
        <f>HYPERLINK("http://ts.21cn.com/tousu/show/id/1357868","http://ts.21cn.com/tousu/show/id/1357868")</f>
      </c>
      <c r="G9654" t="s" s="2">
        <v>17</v>
      </c>
      <c r="H9654" t="s" s="2">
        <v>19</v>
      </c>
      <c r="I9654" t="s" s="2">
        <v>37236</v>
      </c>
      <c r="J9654" t="s" s="2">
        <v>37237</v>
      </c>
      <c r="K9654" t="s" s="2">
        <v>22</v>
      </c>
      <c r="L9654" t="s" s="2">
        <v>22</v>
      </c>
      <c r="M9654" t="s" s="2">
        <v>22</v>
      </c>
    </row>
    <row r="9655" ht="25.0" customHeight="true">
      <c r="A9655" t="s" s="2">
        <v>13</v>
      </c>
      <c r="B9655" t="s" s="2">
        <f>HYPERLINK("http://ts.21cn.com/tousu/show/id/1357865","交易猫恶意卡钱")</f>
      </c>
      <c r="C9655" t="s" s="2">
        <v>52</v>
      </c>
      <c r="D9655" t="s" s="2">
        <v>16</v>
      </c>
      <c r="E9655" t="s" s="2">
        <v>17</v>
      </c>
      <c r="F9655" t="s" s="2">
        <f>HYPERLINK("http://ts.21cn.com/tousu/show/id/1357865","http://ts.21cn.com/tousu/show/id/1357865")</f>
      </c>
      <c r="G9655" t="s" s="2">
        <v>17</v>
      </c>
      <c r="H9655" t="s" s="2">
        <v>19</v>
      </c>
      <c r="I9655" t="s" s="2">
        <v>37240</v>
      </c>
      <c r="J9655" t="s" s="2">
        <v>37241</v>
      </c>
      <c r="K9655" t="s" s="2">
        <v>22</v>
      </c>
      <c r="L9655" t="s" s="2">
        <v>22</v>
      </c>
      <c r="M9655" t="s" s="2">
        <v>22</v>
      </c>
    </row>
    <row r="9656" ht="25.0" customHeight="true">
      <c r="A9656" t="s" s="2">
        <v>13</v>
      </c>
      <c r="B9656" t="s" s="2">
        <f>HYPERLINK("http://ts.21cn.com/tousu/show/id/1357859","快付通联合套路贷高炮平台扣款")</f>
      </c>
      <c r="C9656" t="s" s="2">
        <v>15</v>
      </c>
      <c r="D9656" t="s" s="2">
        <v>16</v>
      </c>
      <c r="E9656" t="s" s="2">
        <v>17</v>
      </c>
      <c r="F9656" t="s" s="2">
        <f>HYPERLINK("http://ts.21cn.com/tousu/show/id/1357859","http://ts.21cn.com/tousu/show/id/1357859")</f>
      </c>
      <c r="G9656" t="s" s="2">
        <v>17</v>
      </c>
      <c r="H9656" t="s" s="2">
        <v>19</v>
      </c>
      <c r="I9656" t="s" s="2">
        <v>37244</v>
      </c>
      <c r="J9656" t="s" s="2">
        <v>37245</v>
      </c>
      <c r="K9656" t="s" s="2">
        <v>22</v>
      </c>
      <c r="L9656" t="s" s="2">
        <v>22</v>
      </c>
      <c r="M9656" t="s" s="2">
        <v>22</v>
      </c>
    </row>
    <row r="9657" ht="25.0" customHeight="true">
      <c r="A9657" t="s" s="2">
        <v>13</v>
      </c>
      <c r="B9657" t="s" s="2">
        <f>HYPERLINK("http://ts.21cn.com/tousu/show/id/1357857","电话骚扰")</f>
      </c>
      <c r="C9657" t="s" s="2">
        <v>15</v>
      </c>
      <c r="D9657" t="s" s="2">
        <v>16</v>
      </c>
      <c r="E9657" t="s" s="2">
        <v>17</v>
      </c>
      <c r="F9657" t="s" s="2">
        <f>HYPERLINK("http://ts.21cn.com/tousu/show/id/1357857","http://ts.21cn.com/tousu/show/id/1357857")</f>
      </c>
      <c r="G9657" t="s" s="2">
        <v>17</v>
      </c>
      <c r="H9657" t="s" s="2">
        <v>19</v>
      </c>
      <c r="I9657" t="s" s="2">
        <v>37247</v>
      </c>
      <c r="J9657" t="s" s="2">
        <v>37248</v>
      </c>
      <c r="K9657" t="s" s="2">
        <v>22</v>
      </c>
      <c r="L9657" t="s" s="2">
        <v>22</v>
      </c>
      <c r="M9657" t="s" s="2">
        <v>22</v>
      </c>
    </row>
    <row r="9658" ht="25.0" customHeight="true">
      <c r="A9658" t="s" s="2">
        <v>13</v>
      </c>
      <c r="B9658" t="s" s="2">
        <f>HYPERLINK("http://ts.21cn.com/tousu/show/id/1357854","苏宁云钻在没有任何提醒（包括手机短信及平台信息提示）的情况下过期，苏宁平台拒绝恢复")</f>
      </c>
      <c r="C9658" t="s" s="2">
        <v>15</v>
      </c>
      <c r="D9658" t="s" s="2">
        <v>16</v>
      </c>
      <c r="E9658" t="s" s="2">
        <v>17</v>
      </c>
      <c r="F9658" t="s" s="2">
        <f>HYPERLINK("http://ts.21cn.com/tousu/show/id/1357854","http://ts.21cn.com/tousu/show/id/1357854")</f>
      </c>
      <c r="G9658" t="s" s="2">
        <v>17</v>
      </c>
      <c r="H9658" t="s" s="2">
        <v>19</v>
      </c>
      <c r="I9658" t="s" s="2">
        <v>37251</v>
      </c>
      <c r="J9658" t="s" s="2">
        <v>37252</v>
      </c>
      <c r="K9658" t="s" s="2">
        <v>22</v>
      </c>
      <c r="L9658" t="s" s="2">
        <v>22</v>
      </c>
      <c r="M9658" t="s" s="2">
        <v>22</v>
      </c>
    </row>
    <row r="9659" ht="25.0" customHeight="true">
      <c r="A9659" t="s" s="2">
        <v>13</v>
      </c>
      <c r="B9659" t="s" s="2">
        <f>HYPERLINK("http://ts.21cn.com/tousu/show/id/1357846","维信卡卡贷承诺还款，客服不予处理")</f>
      </c>
      <c r="C9659" t="s" s="2">
        <v>15</v>
      </c>
      <c r="D9659" t="s" s="2">
        <v>16</v>
      </c>
      <c r="E9659" t="s" s="2">
        <v>17</v>
      </c>
      <c r="F9659" t="s" s="2">
        <f>HYPERLINK("http://ts.21cn.com/tousu/show/id/1357846","http://ts.21cn.com/tousu/show/id/1357846")</f>
      </c>
      <c r="G9659" t="s" s="2">
        <v>17</v>
      </c>
      <c r="H9659" t="s" s="2">
        <v>19</v>
      </c>
      <c r="I9659" t="s" s="2">
        <v>37255</v>
      </c>
      <c r="J9659" t="s" s="2">
        <v>37256</v>
      </c>
      <c r="K9659" t="s" s="2">
        <v>22</v>
      </c>
      <c r="L9659" t="s" s="2">
        <v>22</v>
      </c>
      <c r="M9659" t="s" s="2">
        <v>22</v>
      </c>
    </row>
    <row r="9660" ht="25.0" customHeight="true">
      <c r="A9660" t="s" s="2">
        <v>13</v>
      </c>
      <c r="B9660" t="s" s="2">
        <f>HYPERLINK("http://ts.21cn.com/tousu/show/id/1357769","恶意扣款易宝支付联合高炮平台")</f>
      </c>
      <c r="C9660" t="s" s="2">
        <v>15</v>
      </c>
      <c r="D9660" t="s" s="2">
        <v>16</v>
      </c>
      <c r="E9660" t="s" s="2">
        <v>17</v>
      </c>
      <c r="F9660" t="s" s="2">
        <f>HYPERLINK("http://ts.21cn.com/tousu/show/id/1357769","http://ts.21cn.com/tousu/show/id/1357769")</f>
      </c>
      <c r="G9660" t="s" s="2">
        <v>17</v>
      </c>
      <c r="H9660" t="s" s="2">
        <v>19</v>
      </c>
      <c r="I9660" t="s" s="2">
        <v>37259</v>
      </c>
      <c r="J9660" t="s" s="2">
        <v>37260</v>
      </c>
      <c r="K9660" t="s" s="2">
        <v>22</v>
      </c>
      <c r="L9660" t="s" s="2">
        <v>22</v>
      </c>
      <c r="M9660" t="s" s="2">
        <v>22</v>
      </c>
    </row>
    <row r="9661" ht="25.0" customHeight="true">
      <c r="A9661" t="s" s="2">
        <v>13</v>
      </c>
      <c r="B9661" t="s" s="2">
        <f>HYPERLINK("http://ts.21cn.com/tousu/show/id/1357843","投诉闪银瞬瞬高利贷恶意催收")</f>
      </c>
      <c r="C9661" t="s" s="2">
        <v>15</v>
      </c>
      <c r="D9661" t="s" s="2">
        <v>16</v>
      </c>
      <c r="E9661" t="s" s="2">
        <v>17</v>
      </c>
      <c r="F9661" t="s" s="2">
        <f>HYPERLINK("http://ts.21cn.com/tousu/show/id/1357843","http://ts.21cn.com/tousu/show/id/1357843")</f>
      </c>
      <c r="G9661" t="s" s="2">
        <v>17</v>
      </c>
      <c r="H9661" t="s" s="2">
        <v>19</v>
      </c>
      <c r="I9661" t="s" s="2">
        <v>37263</v>
      </c>
      <c r="J9661" t="s" s="2">
        <v>37264</v>
      </c>
      <c r="K9661" t="s" s="2">
        <v>22</v>
      </c>
      <c r="L9661" t="s" s="2">
        <v>22</v>
      </c>
      <c r="M9661" t="s" s="2">
        <v>22</v>
      </c>
    </row>
    <row r="9662" ht="25.0" customHeight="true">
      <c r="A9662" t="s" s="2">
        <v>13</v>
      </c>
      <c r="B9662" t="s" s="2">
        <f>HYPERLINK("http://ts.21cn.com/tousu/show/id/1357842","平安付联合高炮平台恶意扣款霸王条款")</f>
      </c>
      <c r="C9662" t="s" s="2">
        <v>15</v>
      </c>
      <c r="D9662" t="s" s="2">
        <v>16</v>
      </c>
      <c r="E9662" t="s" s="2">
        <v>17</v>
      </c>
      <c r="F9662" t="s" s="2">
        <f>HYPERLINK("http://ts.21cn.com/tousu/show/id/1357842","http://ts.21cn.com/tousu/show/id/1357842")</f>
      </c>
      <c r="G9662" t="s" s="2">
        <v>17</v>
      </c>
      <c r="H9662" t="s" s="2">
        <v>19</v>
      </c>
      <c r="I9662" t="s" s="2">
        <v>37267</v>
      </c>
      <c r="J9662" t="s" s="2">
        <v>37268</v>
      </c>
      <c r="K9662" t="s" s="2">
        <v>22</v>
      </c>
      <c r="L9662" t="s" s="2">
        <v>22</v>
      </c>
      <c r="M9662" t="s" s="2">
        <v>22</v>
      </c>
    </row>
    <row r="9663" ht="25.0" customHeight="true">
      <c r="A9663" t="s" s="2">
        <v>13</v>
      </c>
      <c r="B9663" t="s" s="2">
        <f>HYPERLINK("http://ts.21cn.com/tousu/show/id/1357835","钱站高利贷")</f>
      </c>
      <c r="C9663" t="s" s="2">
        <v>15</v>
      </c>
      <c r="D9663" t="s" s="2">
        <v>16</v>
      </c>
      <c r="E9663" t="s" s="2">
        <v>17</v>
      </c>
      <c r="F9663" t="s" s="2">
        <f>HYPERLINK("http://ts.21cn.com/tousu/show/id/1357835","http://ts.21cn.com/tousu/show/id/1357835")</f>
      </c>
      <c r="G9663" t="s" s="2">
        <v>17</v>
      </c>
      <c r="H9663" t="s" s="2">
        <v>19</v>
      </c>
      <c r="I9663" t="s" s="2">
        <v>37270</v>
      </c>
      <c r="J9663" t="s" s="2">
        <v>37271</v>
      </c>
      <c r="K9663" t="s" s="2">
        <v>22</v>
      </c>
      <c r="L9663" t="s" s="2">
        <v>22</v>
      </c>
      <c r="M9663" t="s" s="2">
        <v>22</v>
      </c>
    </row>
    <row r="9664" ht="25.0" customHeight="true">
      <c r="A9664" t="s" s="2">
        <v>13</v>
      </c>
      <c r="B9664" t="s" s="2">
        <f>HYPERLINK("http://ts.21cn.com/tousu/show/id/1357832","暴力催收威胁恐吓")</f>
      </c>
      <c r="C9664" t="s" s="2">
        <v>15</v>
      </c>
      <c r="D9664" t="s" s="2">
        <v>16</v>
      </c>
      <c r="E9664" t="s" s="2">
        <v>17</v>
      </c>
      <c r="F9664" t="s" s="2">
        <f>HYPERLINK("http://ts.21cn.com/tousu/show/id/1357832","http://ts.21cn.com/tousu/show/id/1357832")</f>
      </c>
      <c r="G9664" t="s" s="2">
        <v>17</v>
      </c>
      <c r="H9664" t="s" s="2">
        <v>19</v>
      </c>
      <c r="I9664" t="s" s="2">
        <v>37273</v>
      </c>
      <c r="J9664" t="s" s="2">
        <v>37274</v>
      </c>
      <c r="K9664" t="s" s="2">
        <v>22</v>
      </c>
      <c r="L9664" t="s" s="2">
        <v>22</v>
      </c>
      <c r="M9664" t="s" s="2">
        <v>22</v>
      </c>
    </row>
    <row r="9665" ht="25.0" customHeight="true">
      <c r="A9665" t="s" s="2">
        <v>13</v>
      </c>
      <c r="B9665" t="s" s="2">
        <f>HYPERLINK("http://ts.21cn.com/tousu/show/id/1357824","手机借钱侵犯客户隐私，高利贷，暴力恐吓催收")</f>
      </c>
      <c r="C9665" t="s" s="2">
        <v>15</v>
      </c>
      <c r="D9665" t="s" s="2">
        <v>16</v>
      </c>
      <c r="E9665" t="s" s="2">
        <v>17</v>
      </c>
      <c r="F9665" t="s" s="2">
        <f>HYPERLINK("http://ts.21cn.com/tousu/show/id/1357824","http://ts.21cn.com/tousu/show/id/1357824")</f>
      </c>
      <c r="G9665" t="s" s="2">
        <v>17</v>
      </c>
      <c r="H9665" t="s" s="2">
        <v>19</v>
      </c>
      <c r="I9665" t="s" s="2">
        <v>37277</v>
      </c>
      <c r="J9665" t="s" s="2">
        <v>37278</v>
      </c>
      <c r="K9665" t="s" s="2">
        <v>22</v>
      </c>
      <c r="L9665" t="s" s="2">
        <v>22</v>
      </c>
      <c r="M9665" t="s" s="2">
        <v>22</v>
      </c>
    </row>
    <row r="9666" ht="25.0" customHeight="true">
      <c r="A9666" t="s" s="2">
        <v>13</v>
      </c>
      <c r="B9666" t="s" s="2">
        <f>HYPERLINK("http://ts.21cn.com/tousu/show/id/1357821","私自扣款")</f>
      </c>
      <c r="C9666" t="s" s="2">
        <v>15</v>
      </c>
      <c r="D9666" t="s" s="2">
        <v>16</v>
      </c>
      <c r="E9666" t="s" s="2">
        <v>17</v>
      </c>
      <c r="F9666" t="s" s="2">
        <f>HYPERLINK("http://ts.21cn.com/tousu/show/id/1357821","http://ts.21cn.com/tousu/show/id/1357821")</f>
      </c>
      <c r="G9666" t="s" s="2">
        <v>17</v>
      </c>
      <c r="H9666" t="s" s="2">
        <v>19</v>
      </c>
      <c r="I9666" t="s" s="2">
        <v>37280</v>
      </c>
      <c r="J9666" t="s" s="2">
        <v>37281</v>
      </c>
      <c r="K9666" t="s" s="2">
        <v>22</v>
      </c>
      <c r="L9666" t="s" s="2">
        <v>22</v>
      </c>
      <c r="M9666" t="s" s="2">
        <v>22</v>
      </c>
    </row>
    <row r="9667" ht="25.0" customHeight="true">
      <c r="A9667" t="s" s="2">
        <v>13</v>
      </c>
      <c r="B9667" t="s" s="2">
        <f>HYPERLINK("http://ts.21cn.com/tousu/show/id/1357813","玖富万卡擅自改写合同，变相收取费用，高利贷")</f>
      </c>
      <c r="C9667" t="s" s="2">
        <v>15</v>
      </c>
      <c r="D9667" t="s" s="2">
        <v>16</v>
      </c>
      <c r="E9667" t="s" s="2">
        <v>17</v>
      </c>
      <c r="F9667" t="s" s="2">
        <f>HYPERLINK("http://ts.21cn.com/tousu/show/id/1357813","http://ts.21cn.com/tousu/show/id/1357813")</f>
      </c>
      <c r="G9667" t="s" s="2">
        <v>17</v>
      </c>
      <c r="H9667" t="s" s="2">
        <v>19</v>
      </c>
      <c r="I9667" t="s" s="2">
        <v>37283</v>
      </c>
      <c r="J9667" t="s" s="2">
        <v>37284</v>
      </c>
      <c r="K9667" t="s" s="2">
        <v>22</v>
      </c>
      <c r="L9667" t="s" s="2">
        <v>22</v>
      </c>
      <c r="M9667" t="s" s="2">
        <v>22</v>
      </c>
    </row>
    <row r="9668" ht="25.0" customHeight="true">
      <c r="A9668" t="s" s="2">
        <v>13</v>
      </c>
      <c r="B9668" t="s" s="2">
        <f>HYPERLINK("http://ts.21cn.com/tousu/show/id/1356487","深圳计算机公司退还儿子打游戏支付了退款剩余的350元元")</f>
      </c>
      <c r="C9668" t="s" s="2">
        <v>15</v>
      </c>
      <c r="D9668" t="s" s="2">
        <v>16</v>
      </c>
      <c r="E9668" t="s" s="2">
        <v>17</v>
      </c>
      <c r="F9668" t="s" s="2">
        <f>HYPERLINK("http://ts.21cn.com/tousu/show/id/1356487","http://ts.21cn.com/tousu/show/id/1356487")</f>
      </c>
      <c r="G9668" t="s" s="2">
        <v>17</v>
      </c>
      <c r="H9668" t="s" s="2">
        <v>19</v>
      </c>
      <c r="I9668" t="s" s="2">
        <v>37287</v>
      </c>
      <c r="J9668" t="s" s="2">
        <v>37288</v>
      </c>
      <c r="K9668" t="s" s="2">
        <v>22</v>
      </c>
      <c r="L9668" t="s" s="2">
        <v>22</v>
      </c>
      <c r="M9668" t="s" s="2">
        <v>22</v>
      </c>
    </row>
    <row r="9669" ht="25.0" customHeight="true">
      <c r="A9669" t="s" s="2">
        <v>13</v>
      </c>
      <c r="B9669" t="s" s="2">
        <f>HYPERLINK("http://ts.21cn.com/tousu/show/id/1357810","信用飞所谓保险费等于砍头息")</f>
      </c>
      <c r="C9669" t="s" s="2">
        <v>15</v>
      </c>
      <c r="D9669" t="s" s="2">
        <v>16</v>
      </c>
      <c r="E9669" t="s" s="2">
        <v>17</v>
      </c>
      <c r="F9669" t="s" s="2">
        <f>HYPERLINK("http://ts.21cn.com/tousu/show/id/1357810","http://ts.21cn.com/tousu/show/id/1357810")</f>
      </c>
      <c r="G9669" t="s" s="2">
        <v>17</v>
      </c>
      <c r="H9669" t="s" s="2">
        <v>19</v>
      </c>
      <c r="I9669" t="s" s="2">
        <v>37291</v>
      </c>
      <c r="J9669" t="s" s="2">
        <v>37292</v>
      </c>
      <c r="K9669" t="s" s="2">
        <v>22</v>
      </c>
      <c r="L9669" t="s" s="2">
        <v>22</v>
      </c>
      <c r="M9669" t="s" s="2">
        <v>22</v>
      </c>
    </row>
    <row r="9670" ht="25.0" customHeight="true">
      <c r="A9670" t="s" s="2">
        <v>13</v>
      </c>
      <c r="B9670" t="s" s="2">
        <f>HYPERLINK("http://ts.21cn.com/tousu/show/id/1357802","暴力催收，威胁")</f>
      </c>
      <c r="C9670" t="s" s="2">
        <v>15</v>
      </c>
      <c r="D9670" t="s" s="2">
        <v>16</v>
      </c>
      <c r="E9670" t="s" s="2">
        <v>17</v>
      </c>
      <c r="F9670" t="s" s="2">
        <f>HYPERLINK("http://ts.21cn.com/tousu/show/id/1357802","http://ts.21cn.com/tousu/show/id/1357802")</f>
      </c>
      <c r="G9670" t="s" s="2">
        <v>17</v>
      </c>
      <c r="H9670" t="s" s="2">
        <v>19</v>
      </c>
      <c r="I9670" t="s" s="2">
        <v>37294</v>
      </c>
      <c r="J9670" t="s" s="2">
        <v>37295</v>
      </c>
      <c r="K9670" t="s" s="2">
        <v>22</v>
      </c>
      <c r="L9670" t="s" s="2">
        <v>22</v>
      </c>
      <c r="M9670" t="s" s="2">
        <v>22</v>
      </c>
    </row>
    <row r="9671" ht="25.0" customHeight="true">
      <c r="A9671" t="s" s="2">
        <v>13</v>
      </c>
      <c r="B9671" t="s" s="2">
        <f>HYPERLINK("http://ts.21cn.com/tousu/show/id/1357799","浪小花APP")</f>
      </c>
      <c r="C9671" t="s" s="2">
        <v>15</v>
      </c>
      <c r="D9671" t="s" s="2">
        <v>16</v>
      </c>
      <c r="E9671" t="s" s="2">
        <v>17</v>
      </c>
      <c r="F9671" t="s" s="2">
        <f>HYPERLINK("http://ts.21cn.com/tousu/show/id/1357799","http://ts.21cn.com/tousu/show/id/1357799")</f>
      </c>
      <c r="G9671" t="s" s="2">
        <v>17</v>
      </c>
      <c r="H9671" t="s" s="2">
        <v>19</v>
      </c>
      <c r="I9671" t="s" s="2">
        <v>37298</v>
      </c>
      <c r="J9671" t="s" s="2">
        <v>37299</v>
      </c>
      <c r="K9671" t="s" s="2">
        <v>22</v>
      </c>
      <c r="L9671" t="s" s="2">
        <v>22</v>
      </c>
      <c r="M9671" t="s" s="2">
        <v>22</v>
      </c>
    </row>
    <row r="9672" ht="25.0" customHeight="true">
      <c r="A9672" t="s" s="2">
        <v>13</v>
      </c>
      <c r="B9672" t="s" s="2">
        <f>HYPERLINK("http://ts.21cn.com/tousu/show/id/1357790","北京水莲金条暴力催收恐吓")</f>
      </c>
      <c r="C9672" t="s" s="2">
        <v>15</v>
      </c>
      <c r="D9672" t="s" s="2">
        <v>16</v>
      </c>
      <c r="E9672" t="s" s="2">
        <v>17</v>
      </c>
      <c r="F9672" t="s" s="2">
        <f>HYPERLINK("http://ts.21cn.com/tousu/show/id/1357790","http://ts.21cn.com/tousu/show/id/1357790")</f>
      </c>
      <c r="G9672" t="s" s="2">
        <v>17</v>
      </c>
      <c r="H9672" t="s" s="2">
        <v>19</v>
      </c>
      <c r="I9672" t="s" s="2">
        <v>37302</v>
      </c>
      <c r="J9672" t="s" s="2">
        <v>37303</v>
      </c>
      <c r="K9672" t="s" s="2">
        <v>22</v>
      </c>
      <c r="L9672" t="s" s="2">
        <v>22</v>
      </c>
      <c r="M9672" t="s" s="2">
        <v>22</v>
      </c>
    </row>
    <row r="9673" ht="25.0" customHeight="true">
      <c r="A9673" t="s" s="2">
        <v>13</v>
      </c>
      <c r="B9673" t="s" s="2">
        <f>HYPERLINK("http://ts.21cn.com/tousu/show/id/1357788","投诉中信银行下三滥招数催收")</f>
      </c>
      <c r="C9673" t="s" s="2">
        <v>15</v>
      </c>
      <c r="D9673" t="s" s="2">
        <v>16</v>
      </c>
      <c r="E9673" t="s" s="2">
        <v>17</v>
      </c>
      <c r="F9673" t="s" s="2">
        <f>HYPERLINK("http://ts.21cn.com/tousu/show/id/1357788","http://ts.21cn.com/tousu/show/id/1357788")</f>
      </c>
      <c r="G9673" t="s" s="2">
        <v>17</v>
      </c>
      <c r="H9673" t="s" s="2">
        <v>19</v>
      </c>
      <c r="I9673" t="s" s="2">
        <v>37306</v>
      </c>
      <c r="J9673" t="s" s="2">
        <v>37307</v>
      </c>
      <c r="K9673" t="s" s="2">
        <v>22</v>
      </c>
      <c r="L9673" t="s" s="2">
        <v>22</v>
      </c>
      <c r="M9673" t="s" s="2">
        <v>22</v>
      </c>
    </row>
    <row r="9674" ht="25.0" customHeight="true">
      <c r="A9674" t="s" s="2">
        <v>13</v>
      </c>
      <c r="B9674" t="s" s="2">
        <f>HYPERLINK("http://ts.21cn.com/tousu/show/id/1357766","小米游戏超会优惠券无法使用")</f>
      </c>
      <c r="C9674" t="s" s="2">
        <v>52</v>
      </c>
      <c r="D9674" t="s" s="2">
        <v>16</v>
      </c>
      <c r="E9674" t="s" s="2">
        <v>17</v>
      </c>
      <c r="F9674" t="s" s="2">
        <f>HYPERLINK("http://ts.21cn.com/tousu/show/id/1357766","http://ts.21cn.com/tousu/show/id/1357766")</f>
      </c>
      <c r="G9674" t="s" s="2">
        <v>17</v>
      </c>
      <c r="H9674" t="s" s="2">
        <v>19</v>
      </c>
      <c r="I9674" t="s" s="2">
        <v>37310</v>
      </c>
      <c r="J9674" t="s" s="2">
        <v>37311</v>
      </c>
      <c r="K9674" t="s" s="2">
        <v>22</v>
      </c>
      <c r="L9674" t="s" s="2">
        <v>22</v>
      </c>
      <c r="M9674" t="s" s="2">
        <v>22</v>
      </c>
    </row>
    <row r="9675" ht="25.0" customHeight="true">
      <c r="A9675" t="s" s="2">
        <v>13</v>
      </c>
      <c r="B9675" t="s" s="2">
        <f>HYPERLINK("http://ts.21cn.com/tousu/show/id/1357777","菜鸟有钱典型高利贷")</f>
      </c>
      <c r="C9675" t="s" s="2">
        <v>15</v>
      </c>
      <c r="D9675" t="s" s="2">
        <v>16</v>
      </c>
      <c r="E9675" t="s" s="2">
        <v>17</v>
      </c>
      <c r="F9675" t="s" s="2">
        <f>HYPERLINK("http://ts.21cn.com/tousu/show/id/1357777","http://ts.21cn.com/tousu/show/id/1357777")</f>
      </c>
      <c r="G9675" t="s" s="2">
        <v>17</v>
      </c>
      <c r="H9675" t="s" s="2">
        <v>19</v>
      </c>
      <c r="I9675" t="s" s="2">
        <v>37314</v>
      </c>
      <c r="J9675" t="s" s="2">
        <v>37315</v>
      </c>
      <c r="K9675" t="s" s="2">
        <v>22</v>
      </c>
      <c r="L9675" t="s" s="2">
        <v>22</v>
      </c>
      <c r="M9675" t="s" s="2">
        <v>22</v>
      </c>
    </row>
    <row r="9676" ht="25.0" customHeight="true">
      <c r="A9676" t="s" s="2">
        <v>13</v>
      </c>
      <c r="B9676" t="s" s="2">
        <f>HYPERLINK("http://ts.21cn.com/tousu/show/id/1357758","钱站高利贷")</f>
      </c>
      <c r="C9676" t="s" s="2">
        <v>15</v>
      </c>
      <c r="D9676" t="s" s="2">
        <v>16</v>
      </c>
      <c r="E9676" t="s" s="2">
        <v>17</v>
      </c>
      <c r="F9676" t="s" s="2">
        <f>HYPERLINK("http://ts.21cn.com/tousu/show/id/1357758","http://ts.21cn.com/tousu/show/id/1357758")</f>
      </c>
      <c r="G9676" t="s" s="2">
        <v>17</v>
      </c>
      <c r="H9676" t="s" s="2">
        <v>19</v>
      </c>
      <c r="I9676" t="s" s="2">
        <v>37317</v>
      </c>
      <c r="J9676" t="s" s="2">
        <v>37318</v>
      </c>
      <c r="K9676" t="s" s="2">
        <v>22</v>
      </c>
      <c r="L9676" t="s" s="2">
        <v>22</v>
      </c>
      <c r="M9676" t="s" s="2">
        <v>22</v>
      </c>
    </row>
    <row r="9677" ht="25.0" customHeight="true">
      <c r="A9677" t="s" s="2">
        <v>13</v>
      </c>
      <c r="B9677" t="s" s="2">
        <f>HYPERLINK("http://ts.21cn.com/tousu/show/id/1357750","钱站阴阳合同砍头息暴力催收")</f>
      </c>
      <c r="C9677" t="s" s="2">
        <v>15</v>
      </c>
      <c r="D9677" t="s" s="2">
        <v>16</v>
      </c>
      <c r="E9677" t="s" s="2">
        <v>17</v>
      </c>
      <c r="F9677" t="s" s="2">
        <f>HYPERLINK("http://ts.21cn.com/tousu/show/id/1357750","http://ts.21cn.com/tousu/show/id/1357750")</f>
      </c>
      <c r="G9677" t="s" s="2">
        <v>17</v>
      </c>
      <c r="H9677" t="s" s="2">
        <v>19</v>
      </c>
      <c r="I9677" t="s" s="2">
        <v>37321</v>
      </c>
      <c r="J9677" t="s" s="2">
        <v>37322</v>
      </c>
      <c r="K9677" t="s" s="2">
        <v>22</v>
      </c>
      <c r="L9677" t="s" s="2">
        <v>22</v>
      </c>
      <c r="M9677" t="s" s="2">
        <v>22</v>
      </c>
    </row>
    <row r="9678" ht="25.0" customHeight="true">
      <c r="A9678" t="s" s="2">
        <v>13</v>
      </c>
      <c r="B9678" t="s" s="2">
        <f>HYPERLINK("http://ts.21cn.com/tousu/show/id/1357755","助贷宝退还199")</f>
      </c>
      <c r="C9678" t="s" s="2">
        <v>15</v>
      </c>
      <c r="D9678" t="s" s="2">
        <v>16</v>
      </c>
      <c r="E9678" t="s" s="2">
        <v>17</v>
      </c>
      <c r="F9678" t="s" s="2">
        <f>HYPERLINK("http://ts.21cn.com/tousu/show/id/1357755","http://ts.21cn.com/tousu/show/id/1357755")</f>
      </c>
      <c r="G9678" t="s" s="2">
        <v>17</v>
      </c>
      <c r="H9678" t="s" s="2">
        <v>19</v>
      </c>
      <c r="I9678" t="s" s="2">
        <v>37325</v>
      </c>
      <c r="J9678" t="s" s="2">
        <v>37326</v>
      </c>
      <c r="K9678" t="s" s="2">
        <v>22</v>
      </c>
      <c r="L9678" t="s" s="2">
        <v>22</v>
      </c>
      <c r="M9678" t="s" s="2">
        <v>22</v>
      </c>
    </row>
    <row r="9679" ht="25.0" customHeight="true">
      <c r="A9679" t="s" s="2">
        <v>13</v>
      </c>
      <c r="B9679" t="s" s="2">
        <f>HYPERLINK("http://ts.21cn.com/tousu/show/id/1357747","天天短信电话不停骚扰我")</f>
      </c>
      <c r="C9679" t="s" s="2">
        <v>52</v>
      </c>
      <c r="D9679" t="s" s="2">
        <v>16</v>
      </c>
      <c r="E9679" t="s" s="2">
        <v>17</v>
      </c>
      <c r="F9679" t="s" s="2">
        <f>HYPERLINK("http://ts.21cn.com/tousu/show/id/1357747","http://ts.21cn.com/tousu/show/id/1357747")</f>
      </c>
      <c r="G9679" t="s" s="2">
        <v>17</v>
      </c>
      <c r="H9679" t="s" s="2">
        <v>19</v>
      </c>
      <c r="I9679" t="s" s="2">
        <v>37329</v>
      </c>
      <c r="J9679" t="s" s="2">
        <v>37330</v>
      </c>
      <c r="K9679" t="s" s="2">
        <v>22</v>
      </c>
      <c r="L9679" t="s" s="2">
        <v>22</v>
      </c>
      <c r="M9679" t="s" s="2">
        <v>22</v>
      </c>
    </row>
    <row r="9680" ht="25.0" customHeight="true">
      <c r="A9680" t="s" s="2">
        <v>13</v>
      </c>
      <c r="B9680" t="s" s="2">
        <f>HYPERLINK("http://ts.21cn.com/tousu/show/id/1357744","及贷未借款时客服推销借款说借款成功保险可取消，完成借款后却无法退保")</f>
      </c>
      <c r="C9680" t="s" s="2">
        <v>15</v>
      </c>
      <c r="D9680" t="s" s="2">
        <v>16</v>
      </c>
      <c r="E9680" t="s" s="2">
        <v>17</v>
      </c>
      <c r="F9680" t="s" s="2">
        <f>HYPERLINK("http://ts.21cn.com/tousu/show/id/1357744","http://ts.21cn.com/tousu/show/id/1357744")</f>
      </c>
      <c r="G9680" t="s" s="2">
        <v>17</v>
      </c>
      <c r="H9680" t="s" s="2">
        <v>19</v>
      </c>
      <c r="I9680" t="s" s="2">
        <v>37333</v>
      </c>
      <c r="J9680" t="s" s="2">
        <v>37334</v>
      </c>
      <c r="K9680" t="s" s="2">
        <v>22</v>
      </c>
      <c r="L9680" t="s" s="2">
        <v>22</v>
      </c>
      <c r="M9680" t="s" s="2">
        <v>22</v>
      </c>
    </row>
    <row r="9681" ht="25.0" customHeight="true">
      <c r="A9681" t="s" s="2">
        <v>13</v>
      </c>
      <c r="B9681" t="s" s="2">
        <f>HYPERLINK("http://ts.21cn.com/tousu/show/id/1357736","给你花黑心网贷，暴力催收")</f>
      </c>
      <c r="C9681" t="s" s="2">
        <v>15</v>
      </c>
      <c r="D9681" t="s" s="2">
        <v>16</v>
      </c>
      <c r="E9681" t="s" s="2">
        <v>17</v>
      </c>
      <c r="F9681" t="s" s="2">
        <f>HYPERLINK("http://ts.21cn.com/tousu/show/id/1357736","http://ts.21cn.com/tousu/show/id/1357736")</f>
      </c>
      <c r="G9681" t="s" s="2">
        <v>17</v>
      </c>
      <c r="H9681" t="s" s="2">
        <v>19</v>
      </c>
      <c r="I9681" t="s" s="2">
        <v>37337</v>
      </c>
      <c r="J9681" t="s" s="2">
        <v>37338</v>
      </c>
      <c r="K9681" t="s" s="2">
        <v>22</v>
      </c>
      <c r="L9681" t="s" s="2">
        <v>22</v>
      </c>
      <c r="M9681" t="s" s="2">
        <v>22</v>
      </c>
    </row>
    <row r="9682" ht="25.0" customHeight="true">
      <c r="A9682" t="s" s="2">
        <v>13</v>
      </c>
      <c r="B9682" t="s" s="2">
        <f>HYPERLINK("http://ts.21cn.com/tousu/show/id/1357733","嗨钱网还款了不入账一直显示逾期")</f>
      </c>
      <c r="C9682" t="s" s="2">
        <v>15</v>
      </c>
      <c r="D9682" t="s" s="2">
        <v>16</v>
      </c>
      <c r="E9682" t="s" s="2">
        <v>17</v>
      </c>
      <c r="F9682" t="s" s="2">
        <f>HYPERLINK("http://ts.21cn.com/tousu/show/id/1357733","http://ts.21cn.com/tousu/show/id/1357733")</f>
      </c>
      <c r="G9682" t="s" s="2">
        <v>17</v>
      </c>
      <c r="H9682" t="s" s="2">
        <v>19</v>
      </c>
      <c r="I9682" t="s" s="2">
        <v>37340</v>
      </c>
      <c r="J9682" t="s" s="2">
        <v>37341</v>
      </c>
      <c r="K9682" t="s" s="2">
        <v>22</v>
      </c>
      <c r="L9682" t="s" s="2">
        <v>22</v>
      </c>
      <c r="M9682" t="s" s="2">
        <v>22</v>
      </c>
    </row>
    <row r="9683" ht="25.0" customHeight="true">
      <c r="A9683" t="s" s="2">
        <v>13</v>
      </c>
      <c r="B9683" t="s" s="2">
        <f>HYPERLINK("http://ts.21cn.com/tousu/show/id/1357725","立借@钱置宝套路贷，平台问题导致逾期，仍要用户承担")</f>
      </c>
      <c r="C9683" t="s" s="2">
        <v>15</v>
      </c>
      <c r="D9683" t="s" s="2">
        <v>16</v>
      </c>
      <c r="E9683" t="s" s="2">
        <v>17</v>
      </c>
      <c r="F9683" t="s" s="2">
        <f>HYPERLINK("http://ts.21cn.com/tousu/show/id/1357725","http://ts.21cn.com/tousu/show/id/1357725")</f>
      </c>
      <c r="G9683" t="s" s="2">
        <v>17</v>
      </c>
      <c r="H9683" t="s" s="2">
        <v>19</v>
      </c>
      <c r="I9683" t="s" s="2">
        <v>37344</v>
      </c>
      <c r="J9683" t="s" s="2">
        <v>37209</v>
      </c>
      <c r="K9683" t="s" s="2">
        <v>22</v>
      </c>
      <c r="L9683" t="s" s="2">
        <v>22</v>
      </c>
      <c r="M9683" t="s" s="2">
        <v>22</v>
      </c>
    </row>
    <row r="9684" ht="25.0" customHeight="true">
      <c r="A9684" t="s" s="2">
        <v>13</v>
      </c>
      <c r="B9684" t="s" s="2">
        <f>HYPERLINK("http://ts.21cn.com/tousu/show/id/1357722","恒易贷高额砍头息")</f>
      </c>
      <c r="C9684" t="s" s="2">
        <v>52</v>
      </c>
      <c r="D9684" t="s" s="2">
        <v>16</v>
      </c>
      <c r="E9684" t="s" s="2">
        <v>17</v>
      </c>
      <c r="F9684" t="s" s="2">
        <f>HYPERLINK("http://ts.21cn.com/tousu/show/id/1357722","http://ts.21cn.com/tousu/show/id/1357722")</f>
      </c>
      <c r="G9684" t="s" s="2">
        <v>17</v>
      </c>
      <c r="H9684" t="s" s="2">
        <v>19</v>
      </c>
      <c r="I9684" t="s" s="2">
        <v>37347</v>
      </c>
      <c r="J9684" t="s" s="2">
        <v>37348</v>
      </c>
      <c r="K9684" t="s" s="2">
        <v>22</v>
      </c>
      <c r="L9684" t="s" s="2">
        <v>22</v>
      </c>
      <c r="M9684" t="s" s="2">
        <v>22</v>
      </c>
    </row>
    <row r="9685" ht="25.0" customHeight="true">
      <c r="A9685" t="s" s="2">
        <v>13</v>
      </c>
      <c r="B9685" t="s" s="2">
        <f>HYPERLINK("http://ts.21cn.com/tousu/show/id/1357714","无故扣钱")</f>
      </c>
      <c r="C9685" t="s" s="2">
        <v>52</v>
      </c>
      <c r="D9685" t="s" s="2">
        <v>16</v>
      </c>
      <c r="E9685" t="s" s="2">
        <v>17</v>
      </c>
      <c r="F9685" t="s" s="2">
        <f>HYPERLINK("http://ts.21cn.com/tousu/show/id/1357714","http://ts.21cn.com/tousu/show/id/1357714")</f>
      </c>
      <c r="G9685" t="s" s="2">
        <v>17</v>
      </c>
      <c r="H9685" t="s" s="2">
        <v>19</v>
      </c>
      <c r="I9685" t="s" s="2">
        <v>37350</v>
      </c>
      <c r="J9685" t="s" s="2">
        <v>37351</v>
      </c>
      <c r="K9685" t="s" s="2">
        <v>22</v>
      </c>
      <c r="L9685" t="s" s="2">
        <v>22</v>
      </c>
      <c r="M9685" t="s" s="2">
        <v>22</v>
      </c>
    </row>
    <row r="9686" ht="25.0" customHeight="true">
      <c r="A9686" t="s" s="2">
        <v>13</v>
      </c>
      <c r="B9686" t="s" s="2">
        <f>HYPERLINK("http://ts.21cn.com/tousu/show/id/1357703","迅阁拍交易平台")</f>
      </c>
      <c r="C9686" t="s" s="2">
        <v>52</v>
      </c>
      <c r="D9686" t="s" s="2">
        <v>16</v>
      </c>
      <c r="E9686" t="s" s="2">
        <v>17</v>
      </c>
      <c r="F9686" t="s" s="2">
        <f>HYPERLINK("http://ts.21cn.com/tousu/show/id/1357703","http://ts.21cn.com/tousu/show/id/1357703")</f>
      </c>
      <c r="G9686" t="s" s="2">
        <v>17</v>
      </c>
      <c r="H9686" t="s" s="2">
        <v>19</v>
      </c>
      <c r="I9686" t="s" s="2">
        <v>37354</v>
      </c>
      <c r="J9686" t="s" s="2">
        <v>37355</v>
      </c>
      <c r="K9686" t="s" s="2">
        <v>22</v>
      </c>
      <c r="L9686" t="s" s="2">
        <v>22</v>
      </c>
      <c r="M9686" t="s" s="2">
        <v>22</v>
      </c>
    </row>
    <row r="9687" ht="25.0" customHeight="true">
      <c r="A9687" t="s" s="2">
        <v>13</v>
      </c>
      <c r="B9687" t="s" s="2">
        <f>HYPERLINK("http://ts.21cn.com/tousu/show/id/1357700","捷信还款期数和客服说的不一样")</f>
      </c>
      <c r="C9687" t="s" s="2">
        <v>52</v>
      </c>
      <c r="D9687" t="s" s="2">
        <v>16</v>
      </c>
      <c r="E9687" t="s" s="2">
        <v>17</v>
      </c>
      <c r="F9687" t="s" s="2">
        <f>HYPERLINK("http://ts.21cn.com/tousu/show/id/1357700","http://ts.21cn.com/tousu/show/id/1357700")</f>
      </c>
      <c r="G9687" t="s" s="2">
        <v>17</v>
      </c>
      <c r="H9687" t="s" s="2">
        <v>19</v>
      </c>
      <c r="I9687" t="s" s="2">
        <v>37358</v>
      </c>
      <c r="J9687" t="s" s="2">
        <v>37359</v>
      </c>
      <c r="K9687" t="s" s="2">
        <v>22</v>
      </c>
      <c r="L9687" t="s" s="2">
        <v>22</v>
      </c>
      <c r="M9687" t="s" s="2">
        <v>22</v>
      </c>
    </row>
    <row r="9688" ht="25.0" customHeight="true">
      <c r="A9688" t="s" s="2">
        <v>13</v>
      </c>
      <c r="B9688" t="s" s="2">
        <f>HYPERLINK("http://ts.21cn.com/tousu/show/id/1357680","瑞银信299押金退还事件")</f>
      </c>
      <c r="C9688" t="s" s="2">
        <v>15</v>
      </c>
      <c r="D9688" t="s" s="2">
        <v>16</v>
      </c>
      <c r="E9688" t="s" s="2">
        <v>17</v>
      </c>
      <c r="F9688" t="s" s="2">
        <f>HYPERLINK("http://ts.21cn.com/tousu/show/id/1357680","http://ts.21cn.com/tousu/show/id/1357680")</f>
      </c>
      <c r="G9688" t="s" s="2">
        <v>17</v>
      </c>
      <c r="H9688" t="s" s="2">
        <v>19</v>
      </c>
      <c r="I9688" t="s" s="2">
        <v>37362</v>
      </c>
      <c r="J9688" t="s" s="2">
        <v>37363</v>
      </c>
      <c r="K9688" t="s" s="2">
        <v>22</v>
      </c>
      <c r="L9688" t="s" s="2">
        <v>22</v>
      </c>
      <c r="M9688" t="s" s="2">
        <v>22</v>
      </c>
    </row>
    <row r="9689" ht="25.0" customHeight="true">
      <c r="A9689" t="s" s="2">
        <v>13</v>
      </c>
      <c r="B9689" t="s" s="2">
        <f>HYPERLINK("http://ts.21cn.com/tousu/show/id/1357689","你我贷高利贷暴力催收")</f>
      </c>
      <c r="C9689" t="s" s="2">
        <v>15</v>
      </c>
      <c r="D9689" t="s" s="2">
        <v>16</v>
      </c>
      <c r="E9689" t="s" s="2">
        <v>17</v>
      </c>
      <c r="F9689" t="s" s="2">
        <f>HYPERLINK("http://ts.21cn.com/tousu/show/id/1357689","http://ts.21cn.com/tousu/show/id/1357689")</f>
      </c>
      <c r="G9689" t="s" s="2">
        <v>17</v>
      </c>
      <c r="H9689" t="s" s="2">
        <v>19</v>
      </c>
      <c r="I9689" t="s" s="2">
        <v>37365</v>
      </c>
      <c r="J9689" t="s" s="2">
        <v>37366</v>
      </c>
      <c r="K9689" t="s" s="2">
        <v>22</v>
      </c>
      <c r="L9689" t="s" s="2">
        <v>22</v>
      </c>
      <c r="M9689" t="s" s="2">
        <v>22</v>
      </c>
    </row>
    <row r="9690" ht="25.0" customHeight="true">
      <c r="A9690" t="s" s="2">
        <v>13</v>
      </c>
      <c r="B9690" t="s" s="2">
        <f>HYPERLINK("http://ts.21cn.com/tousu/show/id/1357678","闪银至尊暴力催收")</f>
      </c>
      <c r="C9690" t="s" s="2">
        <v>15</v>
      </c>
      <c r="D9690" t="s" s="2">
        <v>16</v>
      </c>
      <c r="E9690" t="s" s="2">
        <v>17</v>
      </c>
      <c r="F9690" t="s" s="2">
        <f>HYPERLINK("http://ts.21cn.com/tousu/show/id/1357678","http://ts.21cn.com/tousu/show/id/1357678")</f>
      </c>
      <c r="G9690" t="s" s="2">
        <v>17</v>
      </c>
      <c r="H9690" t="s" s="2">
        <v>19</v>
      </c>
      <c r="I9690" t="s" s="2">
        <v>37369</v>
      </c>
      <c r="J9690" t="s" s="2">
        <v>37370</v>
      </c>
      <c r="K9690" t="s" s="2">
        <v>22</v>
      </c>
      <c r="L9690" t="s" s="2">
        <v>22</v>
      </c>
      <c r="M9690" t="s" s="2">
        <v>22</v>
      </c>
    </row>
    <row r="9691" ht="25.0" customHeight="true">
      <c r="A9691" t="s" s="2">
        <v>13</v>
      </c>
      <c r="B9691" t="s" s="2">
        <f>HYPERLINK("http://ts.21cn.com/tousu/show/id/1357667","现金巴士退还会员费")</f>
      </c>
      <c r="C9691" t="s" s="2">
        <v>15</v>
      </c>
      <c r="D9691" t="s" s="2">
        <v>16</v>
      </c>
      <c r="E9691" t="s" s="2">
        <v>17</v>
      </c>
      <c r="F9691" t="s" s="2">
        <f>HYPERLINK("http://ts.21cn.com/tousu/show/id/1357667","http://ts.21cn.com/tousu/show/id/1357667")</f>
      </c>
      <c r="G9691" t="s" s="2">
        <v>17</v>
      </c>
      <c r="H9691" t="s" s="2">
        <v>19</v>
      </c>
      <c r="I9691" t="s" s="2">
        <v>37373</v>
      </c>
      <c r="J9691" t="s" s="2">
        <v>37374</v>
      </c>
      <c r="K9691" t="s" s="2">
        <v>22</v>
      </c>
      <c r="L9691" t="s" s="2">
        <v>22</v>
      </c>
      <c r="M9691" t="s" s="2">
        <v>22</v>
      </c>
    </row>
    <row r="9692" ht="25.0" customHeight="true">
      <c r="A9692" t="s" s="2">
        <v>13</v>
      </c>
      <c r="B9692" t="s" s="2">
        <f>HYPERLINK("http://ts.21cn.com/tousu/show/id/1357659","天猫苹果旗舰店取消订单退款需求不处理")</f>
      </c>
      <c r="C9692" t="s" s="2">
        <v>15</v>
      </c>
      <c r="D9692" t="s" s="2">
        <v>16</v>
      </c>
      <c r="E9692" t="s" s="2">
        <v>17</v>
      </c>
      <c r="F9692" t="s" s="2">
        <f>HYPERLINK("http://ts.21cn.com/tousu/show/id/1357659","http://ts.21cn.com/tousu/show/id/1357659")</f>
      </c>
      <c r="G9692" t="s" s="2">
        <v>17</v>
      </c>
      <c r="H9692" t="s" s="2">
        <v>19</v>
      </c>
      <c r="I9692" t="s" s="2">
        <v>37377</v>
      </c>
      <c r="J9692" t="s" s="2">
        <v>37378</v>
      </c>
      <c r="K9692" t="s" s="2">
        <v>22</v>
      </c>
      <c r="L9692" t="s" s="2">
        <v>22</v>
      </c>
      <c r="M9692" t="s" s="2">
        <v>22</v>
      </c>
    </row>
    <row r="9693" ht="25.0" customHeight="true">
      <c r="A9693" t="s" s="2">
        <v>13</v>
      </c>
      <c r="B9693" t="s" s="2">
        <f>HYPERLINK("http://ts.21cn.com/tousu/show/id/1357656","信用星球砍头息")</f>
      </c>
      <c r="C9693" t="s" s="2">
        <v>15</v>
      </c>
      <c r="D9693" t="s" s="2">
        <v>16</v>
      </c>
      <c r="E9693" t="s" s="2">
        <v>17</v>
      </c>
      <c r="F9693" t="s" s="2">
        <f>HYPERLINK("http://ts.21cn.com/tousu/show/id/1357656","http://ts.21cn.com/tousu/show/id/1357656")</f>
      </c>
      <c r="G9693" t="s" s="2">
        <v>17</v>
      </c>
      <c r="H9693" t="s" s="2">
        <v>19</v>
      </c>
      <c r="I9693" t="s" s="2">
        <v>37381</v>
      </c>
      <c r="J9693" t="s" s="2">
        <v>37382</v>
      </c>
      <c r="K9693" t="s" s="2">
        <v>22</v>
      </c>
      <c r="L9693" t="s" s="2">
        <v>22</v>
      </c>
      <c r="M9693" t="s" s="2">
        <v>22</v>
      </c>
    </row>
    <row r="9694" ht="25.0" customHeight="true">
      <c r="A9694" t="s" s="2">
        <v>13</v>
      </c>
      <c r="B9694" t="s" s="2">
        <f>HYPERLINK("http://ts.21cn.com/tousu/show/id/1357581","中国移动突然停我的手机号")</f>
      </c>
      <c r="C9694" t="s" s="2">
        <v>15</v>
      </c>
      <c r="D9694" t="s" s="2">
        <v>16</v>
      </c>
      <c r="E9694" t="s" s="2">
        <v>17</v>
      </c>
      <c r="F9694" t="s" s="2">
        <f>HYPERLINK("http://ts.21cn.com/tousu/show/id/1357581","http://ts.21cn.com/tousu/show/id/1357581")</f>
      </c>
      <c r="G9694" t="s" s="2">
        <v>17</v>
      </c>
      <c r="H9694" t="s" s="2">
        <v>19</v>
      </c>
      <c r="I9694" t="s" s="2">
        <v>37385</v>
      </c>
      <c r="J9694" t="s" s="2">
        <v>37386</v>
      </c>
      <c r="K9694" t="s" s="2">
        <v>22</v>
      </c>
      <c r="L9694" t="s" s="2">
        <v>22</v>
      </c>
      <c r="M9694" t="s" s="2">
        <v>22</v>
      </c>
    </row>
    <row r="9695" ht="25.0" customHeight="true">
      <c r="A9695" t="s" s="2">
        <v>13</v>
      </c>
      <c r="B9695" t="s" s="2">
        <f>HYPERLINK("http://ts.21cn.com/tousu/show/id/1357648","平安保险，定损员辱骂客户，在客户不知情的情况下拿走客户东西")</f>
      </c>
      <c r="C9695" t="s" s="2">
        <v>15</v>
      </c>
      <c r="D9695" t="s" s="2">
        <v>16</v>
      </c>
      <c r="E9695" t="s" s="2">
        <v>17</v>
      </c>
      <c r="F9695" t="s" s="2">
        <f>HYPERLINK("http://ts.21cn.com/tousu/show/id/1357648","http://ts.21cn.com/tousu/show/id/1357648")</f>
      </c>
      <c r="G9695" t="s" s="2">
        <v>17</v>
      </c>
      <c r="H9695" t="s" s="2">
        <v>19</v>
      </c>
      <c r="I9695" t="s" s="2">
        <v>37389</v>
      </c>
      <c r="J9695" t="s" s="2">
        <v>37390</v>
      </c>
      <c r="K9695" t="s" s="2">
        <v>22</v>
      </c>
      <c r="L9695" t="s" s="2">
        <v>22</v>
      </c>
      <c r="M9695" t="s" s="2">
        <v>22</v>
      </c>
    </row>
    <row r="9696" ht="25.0" customHeight="true">
      <c r="A9696" t="s" s="2">
        <v>13</v>
      </c>
      <c r="B9696" t="s" s="2">
        <f>HYPERLINK("http://ts.21cn.com/tousu/show/id/1357645","暴力催收威胁恐吓")</f>
      </c>
      <c r="C9696" t="s" s="2">
        <v>15</v>
      </c>
      <c r="D9696" t="s" s="2">
        <v>16</v>
      </c>
      <c r="E9696" t="s" s="2">
        <v>17</v>
      </c>
      <c r="F9696" t="s" s="2">
        <f>HYPERLINK("http://ts.21cn.com/tousu/show/id/1357645","http://ts.21cn.com/tousu/show/id/1357645")</f>
      </c>
      <c r="G9696" t="s" s="2">
        <v>17</v>
      </c>
      <c r="H9696" t="s" s="2">
        <v>19</v>
      </c>
      <c r="I9696" t="s" s="2">
        <v>37392</v>
      </c>
      <c r="J9696" t="s" s="2">
        <v>37393</v>
      </c>
      <c r="K9696" t="s" s="2">
        <v>22</v>
      </c>
      <c r="L9696" t="s" s="2">
        <v>22</v>
      </c>
      <c r="M9696" t="s" s="2">
        <v>22</v>
      </c>
    </row>
    <row r="9697" ht="25.0" customHeight="true">
      <c r="A9697" t="s" s="2">
        <v>13</v>
      </c>
      <c r="B9697" t="s" s="2">
        <f>HYPERLINK("http://ts.21cn.com/tousu/show/id/1357637","求你们了，不要在打我亲朋好友的电话了")</f>
      </c>
      <c r="C9697" t="s" s="2">
        <v>15</v>
      </c>
      <c r="D9697" t="s" s="2">
        <v>16</v>
      </c>
      <c r="E9697" t="s" s="2">
        <v>17</v>
      </c>
      <c r="F9697" t="s" s="2">
        <f>HYPERLINK("http://ts.21cn.com/tousu/show/id/1357637","http://ts.21cn.com/tousu/show/id/1357637")</f>
      </c>
      <c r="G9697" t="s" s="2">
        <v>17</v>
      </c>
      <c r="H9697" t="s" s="2">
        <v>19</v>
      </c>
      <c r="I9697" t="s" s="2">
        <v>37396</v>
      </c>
      <c r="J9697" t="s" s="2">
        <v>37397</v>
      </c>
      <c r="K9697" t="s" s="2">
        <v>22</v>
      </c>
      <c r="L9697" t="s" s="2">
        <v>22</v>
      </c>
      <c r="M9697" t="s" s="2">
        <v>22</v>
      </c>
    </row>
    <row r="9698" ht="25.0" customHeight="true">
      <c r="A9698" t="s" s="2">
        <v>13</v>
      </c>
      <c r="B9698" t="s" s="2">
        <f>HYPERLINK("http://ts.21cn.com/tousu/show/id/1357634","众安保险在投保人不知情的情况捆绑销售保险")</f>
      </c>
      <c r="C9698" t="s" s="2">
        <v>15</v>
      </c>
      <c r="D9698" t="s" s="2">
        <v>16</v>
      </c>
      <c r="E9698" t="s" s="2">
        <v>17</v>
      </c>
      <c r="F9698" t="s" s="2">
        <f>HYPERLINK("http://ts.21cn.com/tousu/show/id/1357634","http://ts.21cn.com/tousu/show/id/1357634")</f>
      </c>
      <c r="G9698" t="s" s="2">
        <v>17</v>
      </c>
      <c r="H9698" t="s" s="2">
        <v>19</v>
      </c>
      <c r="I9698" t="s" s="2">
        <v>37399</v>
      </c>
      <c r="J9698" t="s" s="2">
        <v>37400</v>
      </c>
      <c r="K9698" t="s" s="2">
        <v>22</v>
      </c>
      <c r="L9698" t="s" s="2">
        <v>22</v>
      </c>
      <c r="M9698" t="s" s="2">
        <v>22</v>
      </c>
    </row>
    <row r="9699" ht="25.0" customHeight="true">
      <c r="A9699" t="s" s="2">
        <v>13</v>
      </c>
      <c r="B9699" t="s" s="2">
        <f>HYPERLINK("http://ts.21cn.com/tousu/show/id/1357626","招联金融暴力催收")</f>
      </c>
      <c r="C9699" t="s" s="2">
        <v>15</v>
      </c>
      <c r="D9699" t="s" s="2">
        <v>16</v>
      </c>
      <c r="E9699" t="s" s="2">
        <v>17</v>
      </c>
      <c r="F9699" t="s" s="2">
        <f>HYPERLINK("http://ts.21cn.com/tousu/show/id/1357626","http://ts.21cn.com/tousu/show/id/1357626")</f>
      </c>
      <c r="G9699" t="s" s="2">
        <v>17</v>
      </c>
      <c r="H9699" t="s" s="2">
        <v>19</v>
      </c>
      <c r="I9699" t="s" s="2">
        <v>37402</v>
      </c>
      <c r="J9699" t="s" s="2">
        <v>37403</v>
      </c>
      <c r="K9699" t="s" s="2">
        <v>22</v>
      </c>
      <c r="L9699" t="s" s="2">
        <v>22</v>
      </c>
      <c r="M9699" t="s" s="2">
        <v>22</v>
      </c>
    </row>
    <row r="9700" ht="25.0" customHeight="true">
      <c r="A9700" t="s" s="2">
        <v>13</v>
      </c>
      <c r="B9700" t="s" s="2">
        <f>HYPERLINK("http://ts.21cn.com/tousu/show/id/1357623","本人没有申请钱站为什么有我的贷款信息")</f>
      </c>
      <c r="C9700" t="s" s="2">
        <v>15</v>
      </c>
      <c r="D9700" t="s" s="2">
        <v>16</v>
      </c>
      <c r="E9700" t="s" s="2">
        <v>17</v>
      </c>
      <c r="F9700" t="s" s="2">
        <f>HYPERLINK("http://ts.21cn.com/tousu/show/id/1357623","http://ts.21cn.com/tousu/show/id/1357623")</f>
      </c>
      <c r="G9700" t="s" s="2">
        <v>17</v>
      </c>
      <c r="H9700" t="s" s="2">
        <v>19</v>
      </c>
      <c r="I9700" t="s" s="2">
        <v>37406</v>
      </c>
      <c r="J9700" t="s" s="2">
        <v>37407</v>
      </c>
      <c r="K9700" t="s" s="2">
        <v>22</v>
      </c>
      <c r="L9700" t="s" s="2">
        <v>22</v>
      </c>
      <c r="M9700" t="s" s="2">
        <v>22</v>
      </c>
    </row>
    <row r="9701" ht="25.0" customHeight="true">
      <c r="A9701" t="s" s="2">
        <v>13</v>
      </c>
      <c r="B9701" t="s" s="2">
        <f>HYPERLINK("http://ts.21cn.com/tousu/show/id/1357615","钱包易贷威胁恐吓")</f>
      </c>
      <c r="C9701" t="s" s="2">
        <v>15</v>
      </c>
      <c r="D9701" t="s" s="2">
        <v>16</v>
      </c>
      <c r="E9701" t="s" s="2">
        <v>17</v>
      </c>
      <c r="F9701" t="s" s="2">
        <f>HYPERLINK("http://ts.21cn.com/tousu/show/id/1357615","http://ts.21cn.com/tousu/show/id/1357615")</f>
      </c>
      <c r="G9701" t="s" s="2">
        <v>17</v>
      </c>
      <c r="H9701" t="s" s="2">
        <v>19</v>
      </c>
      <c r="I9701" t="s" s="2">
        <v>37409</v>
      </c>
      <c r="J9701" t="s" s="2">
        <v>37410</v>
      </c>
      <c r="K9701" t="s" s="2">
        <v>22</v>
      </c>
      <c r="L9701" t="s" s="2">
        <v>22</v>
      </c>
      <c r="M9701" t="s" s="2">
        <v>22</v>
      </c>
    </row>
    <row r="9702" ht="25.0" customHeight="true">
      <c r="A9702" t="s" s="2">
        <v>13</v>
      </c>
      <c r="B9702" t="s" s="2">
        <f>HYPERLINK("http://ts.21cn.com/tousu/show/id/1357612","你我贷对我进行骚扰电话")</f>
      </c>
      <c r="C9702" t="s" s="2">
        <v>15</v>
      </c>
      <c r="D9702" t="s" s="2">
        <v>16</v>
      </c>
      <c r="E9702" t="s" s="2">
        <v>17</v>
      </c>
      <c r="F9702" t="s" s="2">
        <f>HYPERLINK("http://ts.21cn.com/tousu/show/id/1357612","http://ts.21cn.com/tousu/show/id/1357612")</f>
      </c>
      <c r="G9702" t="s" s="2">
        <v>17</v>
      </c>
      <c r="H9702" t="s" s="2">
        <v>19</v>
      </c>
      <c r="I9702" t="s" s="2">
        <v>37413</v>
      </c>
      <c r="J9702" t="s" s="2">
        <v>37414</v>
      </c>
      <c r="K9702" t="s" s="2">
        <v>22</v>
      </c>
      <c r="L9702" t="s" s="2">
        <v>22</v>
      </c>
      <c r="M9702" t="s" s="2">
        <v>22</v>
      </c>
    </row>
    <row r="9703" ht="25.0" customHeight="true">
      <c r="A9703" t="s" s="2">
        <v>13</v>
      </c>
      <c r="B9703" t="s" s="2">
        <f>HYPERLINK("http://ts.21cn.com/tousu/show/id/1357604","微博借钱客服态度恶劣拿家人威胁借款人")</f>
      </c>
      <c r="C9703" t="s" s="2">
        <v>15</v>
      </c>
      <c r="D9703" t="s" s="2">
        <v>16</v>
      </c>
      <c r="E9703" t="s" s="2">
        <v>17</v>
      </c>
      <c r="F9703" t="s" s="2">
        <f>HYPERLINK("http://ts.21cn.com/tousu/show/id/1357604","http://ts.21cn.com/tousu/show/id/1357604")</f>
      </c>
      <c r="G9703" t="s" s="2">
        <v>17</v>
      </c>
      <c r="H9703" t="s" s="2">
        <v>19</v>
      </c>
      <c r="I9703" t="s" s="2">
        <v>37417</v>
      </c>
      <c r="J9703" t="s" s="2">
        <v>37418</v>
      </c>
      <c r="K9703" t="s" s="2">
        <v>22</v>
      </c>
      <c r="L9703" t="s" s="2">
        <v>22</v>
      </c>
      <c r="M9703" t="s" s="2">
        <v>22</v>
      </c>
    </row>
    <row r="9704" ht="25.0" customHeight="true">
      <c r="A9704" t="s" s="2">
        <v>13</v>
      </c>
      <c r="B9704" t="s" s="2">
        <f>HYPERLINK("http://ts.21cn.com/tousu/show/id/1357601","高利贷套路贷")</f>
      </c>
      <c r="C9704" t="s" s="2">
        <v>15</v>
      </c>
      <c r="D9704" t="s" s="2">
        <v>16</v>
      </c>
      <c r="E9704" t="s" s="2">
        <v>17</v>
      </c>
      <c r="F9704" t="s" s="2">
        <f>HYPERLINK("http://ts.21cn.com/tousu/show/id/1357601","http://ts.21cn.com/tousu/show/id/1357601")</f>
      </c>
      <c r="G9704" t="s" s="2">
        <v>17</v>
      </c>
      <c r="H9704" t="s" s="2">
        <v>19</v>
      </c>
      <c r="I9704" t="s" s="2">
        <v>37420</v>
      </c>
      <c r="J9704" t="s" s="2">
        <v>37421</v>
      </c>
      <c r="K9704" t="s" s="2">
        <v>22</v>
      </c>
      <c r="L9704" t="s" s="2">
        <v>22</v>
      </c>
      <c r="M9704" t="s" s="2">
        <v>22</v>
      </c>
    </row>
    <row r="9705" ht="25.0" customHeight="true">
      <c r="A9705" t="s" s="2">
        <v>13</v>
      </c>
      <c r="B9705" t="s" s="2">
        <f>HYPERLINK("http://ts.21cn.com/tousu/show/id/1357592","广发信用卡暴力催收")</f>
      </c>
      <c r="C9705" t="s" s="2">
        <v>15</v>
      </c>
      <c r="D9705" t="s" s="2">
        <v>16</v>
      </c>
      <c r="E9705" t="s" s="2">
        <v>17</v>
      </c>
      <c r="F9705" t="s" s="2">
        <f>HYPERLINK("http://ts.21cn.com/tousu/show/id/1357592","http://ts.21cn.com/tousu/show/id/1357592")</f>
      </c>
      <c r="G9705" t="s" s="2">
        <v>17</v>
      </c>
      <c r="H9705" t="s" s="2">
        <v>19</v>
      </c>
      <c r="I9705" t="s" s="2">
        <v>37423</v>
      </c>
      <c r="J9705" t="s" s="2">
        <v>37424</v>
      </c>
      <c r="K9705" t="s" s="2">
        <v>22</v>
      </c>
      <c r="L9705" t="s" s="2">
        <v>22</v>
      </c>
      <c r="M9705" t="s" s="2">
        <v>22</v>
      </c>
    </row>
    <row r="9706" ht="25.0" customHeight="true">
      <c r="A9706" t="s" s="2">
        <v>13</v>
      </c>
      <c r="B9706" t="s" s="2">
        <f>HYPERLINK("http://ts.21cn.com/tousu/show/id/1357579","平安普惠软暴力催收黑社会")</f>
      </c>
      <c r="C9706" t="s" s="2">
        <v>15</v>
      </c>
      <c r="D9706" t="s" s="2">
        <v>16</v>
      </c>
      <c r="E9706" t="s" s="2">
        <v>17</v>
      </c>
      <c r="F9706" t="s" s="2">
        <f>HYPERLINK("http://ts.21cn.com/tousu/show/id/1357579","http://ts.21cn.com/tousu/show/id/1357579")</f>
      </c>
      <c r="G9706" t="s" s="2">
        <v>17</v>
      </c>
      <c r="H9706" t="s" s="2">
        <v>19</v>
      </c>
      <c r="I9706" t="s" s="2">
        <v>37427</v>
      </c>
      <c r="J9706" t="s" s="2">
        <v>37428</v>
      </c>
      <c r="K9706" t="s" s="2">
        <v>22</v>
      </c>
      <c r="L9706" t="s" s="2">
        <v>22</v>
      </c>
      <c r="M9706" t="s" s="2">
        <v>22</v>
      </c>
    </row>
    <row r="9707" ht="25.0" customHeight="true">
      <c r="A9707" t="s" s="2">
        <v>13</v>
      </c>
      <c r="B9707" t="s" s="2">
        <f>HYPERLINK("http://ts.21cn.com/tousu/show/id/1357570","有意愿还款，并于年前结清欠款")</f>
      </c>
      <c r="C9707" t="s" s="2">
        <v>52</v>
      </c>
      <c r="D9707" t="s" s="2">
        <v>16</v>
      </c>
      <c r="E9707" t="s" s="2">
        <v>17</v>
      </c>
      <c r="F9707" t="s" s="2">
        <f>HYPERLINK("http://ts.21cn.com/tousu/show/id/1357570","http://ts.21cn.com/tousu/show/id/1357570")</f>
      </c>
      <c r="G9707" t="s" s="2">
        <v>17</v>
      </c>
      <c r="H9707" t="s" s="2">
        <v>19</v>
      </c>
      <c r="I9707" t="s" s="2">
        <v>37431</v>
      </c>
      <c r="J9707" t="s" s="2">
        <v>37432</v>
      </c>
      <c r="K9707" t="s" s="2">
        <v>22</v>
      </c>
      <c r="L9707" t="s" s="2">
        <v>22</v>
      </c>
      <c r="M9707" t="s" s="2">
        <v>22</v>
      </c>
    </row>
    <row r="9708" ht="25.0" customHeight="true">
      <c r="A9708" t="s" s="2">
        <v>13</v>
      </c>
      <c r="B9708" t="s" s="2">
        <f>HYPERLINK("http://ts.21cn.com/tousu/show/id/1357568","暴力、威胁催收")</f>
      </c>
      <c r="C9708" t="s" s="2">
        <v>15</v>
      </c>
      <c r="D9708" t="s" s="2">
        <v>16</v>
      </c>
      <c r="E9708" t="s" s="2">
        <v>17</v>
      </c>
      <c r="F9708" t="s" s="2">
        <f>HYPERLINK("http://ts.21cn.com/tousu/show/id/1357568","http://ts.21cn.com/tousu/show/id/1357568")</f>
      </c>
      <c r="G9708" t="s" s="2">
        <v>17</v>
      </c>
      <c r="H9708" t="s" s="2">
        <v>19</v>
      </c>
      <c r="I9708" t="s" s="2">
        <v>37435</v>
      </c>
      <c r="J9708" t="s" s="2">
        <v>37436</v>
      </c>
      <c r="K9708" t="s" s="2">
        <v>22</v>
      </c>
      <c r="L9708" t="s" s="2">
        <v>22</v>
      </c>
      <c r="M9708" t="s" s="2">
        <v>22</v>
      </c>
    </row>
    <row r="9709" ht="25.0" customHeight="true">
      <c r="A9709" t="s" s="2">
        <v>13</v>
      </c>
      <c r="B9709" t="s" s="2">
        <f>HYPERLINK("http://ts.21cn.com/tousu/show/id/1357557","王者钱包高利贷")</f>
      </c>
      <c r="C9709" t="s" s="2">
        <v>15</v>
      </c>
      <c r="D9709" t="s" s="2">
        <v>16</v>
      </c>
      <c r="E9709" t="s" s="2">
        <v>17</v>
      </c>
      <c r="F9709" t="s" s="2">
        <f>HYPERLINK("http://ts.21cn.com/tousu/show/id/1357557","http://ts.21cn.com/tousu/show/id/1357557")</f>
      </c>
      <c r="G9709" t="s" s="2">
        <v>17</v>
      </c>
      <c r="H9709" t="s" s="2">
        <v>19</v>
      </c>
      <c r="I9709" t="s" s="2">
        <v>37438</v>
      </c>
      <c r="J9709" t="s" s="2">
        <v>37439</v>
      </c>
      <c r="K9709" t="s" s="2">
        <v>22</v>
      </c>
      <c r="L9709" t="s" s="2">
        <v>22</v>
      </c>
      <c r="M9709" t="s" s="2">
        <v>22</v>
      </c>
    </row>
    <row r="9710" ht="25.0" customHeight="true">
      <c r="A9710" t="s" s="2">
        <v>13</v>
      </c>
      <c r="B9710" t="s" s="2">
        <f>HYPERLINK("http://ts.21cn.com/tousu/show/id/1357551","暴力催收，扭曲事实，对做过的事不承认")</f>
      </c>
      <c r="C9710" t="s" s="2">
        <v>15</v>
      </c>
      <c r="D9710" t="s" s="2">
        <v>16</v>
      </c>
      <c r="E9710" t="s" s="2">
        <v>17</v>
      </c>
      <c r="F9710" t="s" s="2">
        <f>HYPERLINK("http://ts.21cn.com/tousu/show/id/1357551","http://ts.21cn.com/tousu/show/id/1357551")</f>
      </c>
      <c r="G9710" t="s" s="2">
        <v>17</v>
      </c>
      <c r="H9710" t="s" s="2">
        <v>19</v>
      </c>
      <c r="I9710" t="s" s="2">
        <v>37442</v>
      </c>
      <c r="J9710" t="s" s="2">
        <v>37443</v>
      </c>
      <c r="K9710" t="s" s="2">
        <v>22</v>
      </c>
      <c r="L9710" t="s" s="2">
        <v>22</v>
      </c>
      <c r="M9710" t="s" s="2">
        <v>22</v>
      </c>
    </row>
    <row r="9711" ht="25.0" customHeight="true">
      <c r="A9711" t="s" s="2">
        <v>13</v>
      </c>
      <c r="B9711" t="s" s="2">
        <f>HYPERLINK("http://ts.21cn.com/tousu/show/id/1357549","米米罐砍头息套路贷恶意骚扰")</f>
      </c>
      <c r="C9711" t="s" s="2">
        <v>15</v>
      </c>
      <c r="D9711" t="s" s="2">
        <v>16</v>
      </c>
      <c r="E9711" t="s" s="2">
        <v>17</v>
      </c>
      <c r="F9711" t="s" s="2">
        <f>HYPERLINK("http://ts.21cn.com/tousu/show/id/1357549","http://ts.21cn.com/tousu/show/id/1357549")</f>
      </c>
      <c r="G9711" t="s" s="2">
        <v>17</v>
      </c>
      <c r="H9711" t="s" s="2">
        <v>19</v>
      </c>
      <c r="I9711" t="s" s="2">
        <v>37446</v>
      </c>
      <c r="J9711" t="s" s="2">
        <v>37447</v>
      </c>
      <c r="K9711" t="s" s="2">
        <v>22</v>
      </c>
      <c r="L9711" t="s" s="2">
        <v>22</v>
      </c>
      <c r="M9711" t="s" s="2">
        <v>22</v>
      </c>
    </row>
    <row r="9712" ht="25.0" customHeight="true">
      <c r="A9712" t="s" s="2">
        <v>13</v>
      </c>
      <c r="B9712" t="s" s="2">
        <f>HYPERLINK("http://ts.21cn.com/tousu/show/id/1357546","公司拖欠工资半个月")</f>
      </c>
      <c r="C9712" t="s" s="2">
        <v>15</v>
      </c>
      <c r="D9712" t="s" s="2">
        <v>16</v>
      </c>
      <c r="E9712" t="s" s="2">
        <v>17</v>
      </c>
      <c r="F9712" t="s" s="2">
        <f>HYPERLINK("http://ts.21cn.com/tousu/show/id/1357546","http://ts.21cn.com/tousu/show/id/1357546")</f>
      </c>
      <c r="G9712" t="s" s="2">
        <v>17</v>
      </c>
      <c r="H9712" t="s" s="2">
        <v>19</v>
      </c>
      <c r="I9712" t="s" s="2">
        <v>37450</v>
      </c>
      <c r="J9712" t="s" s="2">
        <v>37451</v>
      </c>
      <c r="K9712" t="s" s="2">
        <v>22</v>
      </c>
      <c r="L9712" t="s" s="2">
        <v>22</v>
      </c>
      <c r="M9712" t="s" s="2">
        <v>22</v>
      </c>
    </row>
    <row r="9713" ht="25.0" customHeight="true">
      <c r="A9713" t="s" s="2">
        <v>13</v>
      </c>
      <c r="B9713" t="s" s="2">
        <f>HYPERLINK("http://ts.21cn.com/tousu/show/id/1357535","网贷未下款就生成还款账单说银行卡不准确")</f>
      </c>
      <c r="C9713" t="s" s="2">
        <v>15</v>
      </c>
      <c r="D9713" t="s" s="2">
        <v>16</v>
      </c>
      <c r="E9713" t="s" s="2">
        <v>17</v>
      </c>
      <c r="F9713" t="s" s="2">
        <f>HYPERLINK("http://ts.21cn.com/tousu/show/id/1357535","http://ts.21cn.com/tousu/show/id/1357535")</f>
      </c>
      <c r="G9713" t="s" s="2">
        <v>17</v>
      </c>
      <c r="H9713" t="s" s="2">
        <v>19</v>
      </c>
      <c r="I9713" t="s" s="2">
        <v>37454</v>
      </c>
      <c r="J9713" t="s" s="2">
        <v>37455</v>
      </c>
      <c r="K9713" t="s" s="2">
        <v>22</v>
      </c>
      <c r="L9713" t="s" s="2">
        <v>22</v>
      </c>
      <c r="M9713" t="s" s="2">
        <v>22</v>
      </c>
    </row>
    <row r="9714" ht="25.0" customHeight="true">
      <c r="A9714" t="s" s="2">
        <v>13</v>
      </c>
      <c r="B9714" t="s" s="2">
        <f>HYPERLINK("http://ts.21cn.com/tousu/show/id/1357538","还不了款")</f>
      </c>
      <c r="C9714" t="s" s="2">
        <v>15</v>
      </c>
      <c r="D9714" t="s" s="2">
        <v>16</v>
      </c>
      <c r="E9714" t="s" s="2">
        <v>17</v>
      </c>
      <c r="F9714" t="s" s="2">
        <f>HYPERLINK("http://ts.21cn.com/tousu/show/id/1357538","http://ts.21cn.com/tousu/show/id/1357538")</f>
      </c>
      <c r="G9714" t="s" s="2">
        <v>17</v>
      </c>
      <c r="H9714" t="s" s="2">
        <v>19</v>
      </c>
      <c r="I9714" t="s" s="2">
        <v>37458</v>
      </c>
      <c r="J9714" t="s" s="2">
        <v>37459</v>
      </c>
      <c r="K9714" t="s" s="2">
        <v>22</v>
      </c>
      <c r="L9714" t="s" s="2">
        <v>22</v>
      </c>
      <c r="M9714" t="s" s="2">
        <v>22</v>
      </c>
    </row>
    <row r="9715" ht="25.0" customHeight="true">
      <c r="A9715" t="s" s="2">
        <v>13</v>
      </c>
      <c r="B9715" t="s" s="2">
        <f>HYPERLINK("http://ts.21cn.com/tousu/show/id/1357527","民生银行信用卡催收")</f>
      </c>
      <c r="C9715" t="s" s="2">
        <v>15</v>
      </c>
      <c r="D9715" t="s" s="2">
        <v>16</v>
      </c>
      <c r="E9715" t="s" s="2">
        <v>17</v>
      </c>
      <c r="F9715" t="s" s="2">
        <f>HYPERLINK("http://ts.21cn.com/tousu/show/id/1357527","http://ts.21cn.com/tousu/show/id/1357527")</f>
      </c>
      <c r="G9715" t="s" s="2">
        <v>17</v>
      </c>
      <c r="H9715" t="s" s="2">
        <v>19</v>
      </c>
      <c r="I9715" t="s" s="2">
        <v>37462</v>
      </c>
      <c r="J9715" t="s" s="2">
        <v>37463</v>
      </c>
      <c r="K9715" t="s" s="2">
        <v>22</v>
      </c>
      <c r="L9715" t="s" s="2">
        <v>22</v>
      </c>
      <c r="M9715" t="s" s="2">
        <v>22</v>
      </c>
    </row>
    <row r="9716" ht="25.0" customHeight="true">
      <c r="A9716" t="s" s="2">
        <v>13</v>
      </c>
      <c r="B9716" t="s" s="2">
        <f>HYPERLINK("http://ts.21cn.com/tousu/show/id/1357524","闪豆借款，态度强硬，不让协商")</f>
      </c>
      <c r="C9716" t="s" s="2">
        <v>15</v>
      </c>
      <c r="D9716" t="s" s="2">
        <v>16</v>
      </c>
      <c r="E9716" t="s" s="2">
        <v>17</v>
      </c>
      <c r="F9716" t="s" s="2">
        <f>HYPERLINK("http://ts.21cn.com/tousu/show/id/1357524","http://ts.21cn.com/tousu/show/id/1357524")</f>
      </c>
      <c r="G9716" t="s" s="2">
        <v>17</v>
      </c>
      <c r="H9716" t="s" s="2">
        <v>19</v>
      </c>
      <c r="I9716" t="s" s="2">
        <v>37466</v>
      </c>
      <c r="J9716" t="s" s="2">
        <v>37467</v>
      </c>
      <c r="K9716" t="s" s="2">
        <v>22</v>
      </c>
      <c r="L9716" t="s" s="2">
        <v>22</v>
      </c>
      <c r="M9716" t="s" s="2">
        <v>22</v>
      </c>
    </row>
    <row r="9717" ht="25.0" customHeight="true">
      <c r="A9717" t="s" s="2">
        <v>13</v>
      </c>
      <c r="B9717" t="s" s="2">
        <f>HYPERLINK("http://ts.21cn.com/tousu/show/id/1357516","钱伴高利贷，收取高额服务费与合同不符")</f>
      </c>
      <c r="C9717" t="s" s="2">
        <v>15</v>
      </c>
      <c r="D9717" t="s" s="2">
        <v>16</v>
      </c>
      <c r="E9717" t="s" s="2">
        <v>17</v>
      </c>
      <c r="F9717" t="s" s="2">
        <f>HYPERLINK("http://ts.21cn.com/tousu/show/id/1357516","http://ts.21cn.com/tousu/show/id/1357516")</f>
      </c>
      <c r="G9717" t="s" s="2">
        <v>17</v>
      </c>
      <c r="H9717" t="s" s="2">
        <v>19</v>
      </c>
      <c r="I9717" t="s" s="2">
        <v>37470</v>
      </c>
      <c r="J9717" t="s" s="2">
        <v>37471</v>
      </c>
      <c r="K9717" t="s" s="2">
        <v>22</v>
      </c>
      <c r="L9717" t="s" s="2">
        <v>22</v>
      </c>
      <c r="M9717" t="s" s="2">
        <v>22</v>
      </c>
    </row>
    <row r="9718" ht="25.0" customHeight="true">
      <c r="A9718" t="s" s="2">
        <v>13</v>
      </c>
      <c r="B9718" t="s" s="2">
        <f>HYPERLINK("http://ts.21cn.com/tousu/show/id/1357513","闪电借款退款")</f>
      </c>
      <c r="C9718" t="s" s="2">
        <v>52</v>
      </c>
      <c r="D9718" t="s" s="2">
        <v>16</v>
      </c>
      <c r="E9718" t="s" s="2">
        <v>17</v>
      </c>
      <c r="F9718" t="s" s="2">
        <f>HYPERLINK("http://ts.21cn.com/tousu/show/id/1357513","http://ts.21cn.com/tousu/show/id/1357513")</f>
      </c>
      <c r="G9718" t="s" s="2">
        <v>17</v>
      </c>
      <c r="H9718" t="s" s="2">
        <v>19</v>
      </c>
      <c r="I9718" t="s" s="2">
        <v>37474</v>
      </c>
      <c r="J9718" t="s" s="2">
        <v>37475</v>
      </c>
      <c r="K9718" t="s" s="2">
        <v>22</v>
      </c>
      <c r="L9718" t="s" s="2">
        <v>22</v>
      </c>
      <c r="M9718" t="s" s="2">
        <v>22</v>
      </c>
    </row>
    <row r="9719" ht="25.0" customHeight="true">
      <c r="A9719" t="s" s="2">
        <v>13</v>
      </c>
      <c r="B9719" t="s" s="2">
        <f>HYPERLINK("http://ts.21cn.com/tousu/show/id/1357505","在当地商场买的海尔冰箱刚过保修期就坏了")</f>
      </c>
      <c r="C9719" t="s" s="2">
        <v>15</v>
      </c>
      <c r="D9719" t="s" s="2">
        <v>16</v>
      </c>
      <c r="E9719" t="s" s="2">
        <v>17</v>
      </c>
      <c r="F9719" t="s" s="2">
        <f>HYPERLINK("http://ts.21cn.com/tousu/show/id/1357505","http://ts.21cn.com/tousu/show/id/1357505")</f>
      </c>
      <c r="G9719" t="s" s="2">
        <v>17</v>
      </c>
      <c r="H9719" t="s" s="2">
        <v>19</v>
      </c>
      <c r="I9719" t="s" s="2">
        <v>37478</v>
      </c>
      <c r="J9719" t="s" s="2">
        <v>37479</v>
      </c>
      <c r="K9719" t="s" s="2">
        <v>22</v>
      </c>
      <c r="L9719" t="s" s="2">
        <v>22</v>
      </c>
      <c r="M9719" t="s" s="2">
        <v>22</v>
      </c>
    </row>
    <row r="9720" ht="25.0" customHeight="true">
      <c r="A9720" t="s" s="2">
        <v>13</v>
      </c>
      <c r="B9720" t="s" s="2">
        <f>HYPERLINK("http://ts.21cn.com/tousu/show/id/1357502","闪银瞬瞬申请延期还款")</f>
      </c>
      <c r="C9720" t="s" s="2">
        <v>15</v>
      </c>
      <c r="D9720" t="s" s="2">
        <v>16</v>
      </c>
      <c r="E9720" t="s" s="2">
        <v>17</v>
      </c>
      <c r="F9720" t="s" s="2">
        <f>HYPERLINK("http://ts.21cn.com/tousu/show/id/1357502","http://ts.21cn.com/tousu/show/id/1357502")</f>
      </c>
      <c r="G9720" t="s" s="2">
        <v>17</v>
      </c>
      <c r="H9720" t="s" s="2">
        <v>19</v>
      </c>
      <c r="I9720" t="s" s="2">
        <v>37482</v>
      </c>
      <c r="J9720" t="s" s="2">
        <v>37483</v>
      </c>
      <c r="K9720" t="s" s="2">
        <v>22</v>
      </c>
      <c r="L9720" t="s" s="2">
        <v>22</v>
      </c>
      <c r="M9720" t="s" s="2">
        <v>22</v>
      </c>
    </row>
    <row r="9721" ht="25.0" customHeight="true">
      <c r="A9721" t="s" s="2">
        <v>13</v>
      </c>
      <c r="B9721" t="s" s="2">
        <f>HYPERLINK("http://ts.21cn.com/tousu/show/id/1357490","易宝支付随意扣款")</f>
      </c>
      <c r="C9721" t="s" s="2">
        <v>15</v>
      </c>
      <c r="D9721" t="s" s="2">
        <v>16</v>
      </c>
      <c r="E9721" t="s" s="2">
        <v>17</v>
      </c>
      <c r="F9721" t="s" s="2">
        <f>HYPERLINK("http://ts.21cn.com/tousu/show/id/1357490","http://ts.21cn.com/tousu/show/id/1357490")</f>
      </c>
      <c r="G9721" t="s" s="2">
        <v>17</v>
      </c>
      <c r="H9721" t="s" s="2">
        <v>19</v>
      </c>
      <c r="I9721" t="s" s="2">
        <v>37486</v>
      </c>
      <c r="J9721" t="s" s="2">
        <v>37487</v>
      </c>
      <c r="K9721" t="s" s="2">
        <v>22</v>
      </c>
      <c r="L9721" t="s" s="2">
        <v>22</v>
      </c>
      <c r="M9721" t="s" s="2">
        <v>22</v>
      </c>
    </row>
    <row r="9722" ht="25.0" customHeight="true">
      <c r="A9722" t="s" s="2">
        <v>13</v>
      </c>
      <c r="B9722" t="s" s="2">
        <f>HYPERLINK("http://ts.21cn.com/tousu/show/id/1357482","闪电借款砍头息")</f>
      </c>
      <c r="C9722" t="s" s="2">
        <v>52</v>
      </c>
      <c r="D9722" t="s" s="2">
        <v>16</v>
      </c>
      <c r="E9722" t="s" s="2">
        <v>17</v>
      </c>
      <c r="F9722" t="s" s="2">
        <f>HYPERLINK("http://ts.21cn.com/tousu/show/id/1357482","http://ts.21cn.com/tousu/show/id/1357482")</f>
      </c>
      <c r="G9722" t="s" s="2">
        <v>17</v>
      </c>
      <c r="H9722" t="s" s="2">
        <v>19</v>
      </c>
      <c r="I9722" t="s" s="2">
        <v>37489</v>
      </c>
      <c r="J9722" t="s" s="2">
        <v>37490</v>
      </c>
      <c r="K9722" t="s" s="2">
        <v>22</v>
      </c>
      <c r="L9722" t="s" s="2">
        <v>22</v>
      </c>
      <c r="M9722" t="s" s="2">
        <v>22</v>
      </c>
    </row>
    <row r="9723" ht="25.0" customHeight="true">
      <c r="A9723" t="s" s="2">
        <v>13</v>
      </c>
      <c r="B9723" t="s" s="2">
        <f>HYPERLINK("http://ts.21cn.com/tousu/show/id/1357471","众安保险在不知情的情况下捆绑销售")</f>
      </c>
      <c r="C9723" t="s" s="2">
        <v>15</v>
      </c>
      <c r="D9723" t="s" s="2">
        <v>16</v>
      </c>
      <c r="E9723" t="s" s="2">
        <v>17</v>
      </c>
      <c r="F9723" t="s" s="2">
        <f>HYPERLINK("http://ts.21cn.com/tousu/show/id/1357471","http://ts.21cn.com/tousu/show/id/1357471")</f>
      </c>
      <c r="G9723" t="s" s="2">
        <v>17</v>
      </c>
      <c r="H9723" t="s" s="2">
        <v>19</v>
      </c>
      <c r="I9723" t="s" s="2">
        <v>37493</v>
      </c>
      <c r="J9723" t="s" s="2">
        <v>37494</v>
      </c>
      <c r="K9723" t="s" s="2">
        <v>22</v>
      </c>
      <c r="L9723" t="s" s="2">
        <v>22</v>
      </c>
      <c r="M9723" t="s" s="2">
        <v>22</v>
      </c>
    </row>
    <row r="9724" ht="25.0" customHeight="true">
      <c r="A9724" t="s" s="2">
        <v>13</v>
      </c>
      <c r="B9724" t="s" s="2">
        <f>HYPERLINK("http://ts.21cn.com/tousu/show/id/1357469","恶意扣款")</f>
      </c>
      <c r="C9724" t="s" s="2">
        <v>15</v>
      </c>
      <c r="D9724" t="s" s="2">
        <v>16</v>
      </c>
      <c r="E9724" t="s" s="2">
        <v>17</v>
      </c>
      <c r="F9724" t="s" s="2">
        <f>HYPERLINK("http://ts.21cn.com/tousu/show/id/1357469","http://ts.21cn.com/tousu/show/id/1357469")</f>
      </c>
      <c r="G9724" t="s" s="2">
        <v>17</v>
      </c>
      <c r="H9724" t="s" s="2">
        <v>19</v>
      </c>
      <c r="I9724" t="s" s="2">
        <v>37496</v>
      </c>
      <c r="J9724" t="s" s="2">
        <v>37497</v>
      </c>
      <c r="K9724" t="s" s="2">
        <v>22</v>
      </c>
      <c r="L9724" t="s" s="2">
        <v>22</v>
      </c>
      <c r="M9724" t="s" s="2">
        <v>22</v>
      </c>
    </row>
    <row r="9725" ht="25.0" customHeight="true">
      <c r="A9725" t="s" s="2">
        <v>13</v>
      </c>
      <c r="B9725" t="s" s="2">
        <f>HYPERLINK("http://ts.21cn.com/tousu/show/id/1357460","qq钱包被冻结了，里面还有钱取不出来")</f>
      </c>
      <c r="C9725" t="s" s="2">
        <v>15</v>
      </c>
      <c r="D9725" t="s" s="2">
        <v>16</v>
      </c>
      <c r="E9725" t="s" s="2">
        <v>17</v>
      </c>
      <c r="F9725" t="s" s="2">
        <f>HYPERLINK("http://ts.21cn.com/tousu/show/id/1357460","http://ts.21cn.com/tousu/show/id/1357460")</f>
      </c>
      <c r="G9725" t="s" s="2">
        <v>17</v>
      </c>
      <c r="H9725" t="s" s="2">
        <v>19</v>
      </c>
      <c r="I9725" t="s" s="2">
        <v>37500</v>
      </c>
      <c r="J9725" t="s" s="2">
        <v>37501</v>
      </c>
      <c r="K9725" t="s" s="2">
        <v>22</v>
      </c>
      <c r="L9725" t="s" s="2">
        <v>22</v>
      </c>
      <c r="M9725" t="s" s="2">
        <v>22</v>
      </c>
    </row>
    <row r="9726" ht="25.0" customHeight="true">
      <c r="A9726" t="s" s="2">
        <v>13</v>
      </c>
      <c r="B9726" t="s" s="2">
        <f>HYPERLINK("http://ts.21cn.com/tousu/show/id/1357458","交通银行信用卡多复利收取利息，")</f>
      </c>
      <c r="C9726" t="s" s="2">
        <v>15</v>
      </c>
      <c r="D9726" t="s" s="2">
        <v>16</v>
      </c>
      <c r="E9726" t="s" s="2">
        <v>17</v>
      </c>
      <c r="F9726" t="s" s="2">
        <f>HYPERLINK("http://ts.21cn.com/tousu/show/id/1357458","http://ts.21cn.com/tousu/show/id/1357458")</f>
      </c>
      <c r="G9726" t="s" s="2">
        <v>17</v>
      </c>
      <c r="H9726" t="s" s="2">
        <v>19</v>
      </c>
      <c r="I9726" t="s" s="2">
        <v>37504</v>
      </c>
      <c r="J9726" t="s" s="2">
        <v>37505</v>
      </c>
      <c r="K9726" t="s" s="2">
        <v>22</v>
      </c>
      <c r="L9726" t="s" s="2">
        <v>22</v>
      </c>
      <c r="M9726" t="s" s="2">
        <v>22</v>
      </c>
    </row>
    <row r="9727" ht="25.0" customHeight="true">
      <c r="A9727" t="s" s="2">
        <v>13</v>
      </c>
      <c r="B9727" t="s" s="2">
        <f>HYPERLINK("http://ts.21cn.com/tousu/show/id/1357447","恒易贷当日还款依旧逾期")</f>
      </c>
      <c r="C9727" t="s" s="2">
        <v>52</v>
      </c>
      <c r="D9727" t="s" s="2">
        <v>16</v>
      </c>
      <c r="E9727" t="s" s="2">
        <v>17</v>
      </c>
      <c r="F9727" t="s" s="2">
        <f>HYPERLINK("http://ts.21cn.com/tousu/show/id/1357447","http://ts.21cn.com/tousu/show/id/1357447")</f>
      </c>
      <c r="G9727" t="s" s="2">
        <v>17</v>
      </c>
      <c r="H9727" t="s" s="2">
        <v>19</v>
      </c>
      <c r="I9727" t="s" s="2">
        <v>37508</v>
      </c>
      <c r="J9727" t="s" s="2">
        <v>37509</v>
      </c>
      <c r="K9727" t="s" s="2">
        <v>22</v>
      </c>
      <c r="L9727" t="s" s="2">
        <v>22</v>
      </c>
      <c r="M9727" t="s" s="2">
        <v>22</v>
      </c>
    </row>
    <row r="9728" ht="25.0" customHeight="true">
      <c r="A9728" t="s" s="2">
        <v>13</v>
      </c>
      <c r="B9728" t="s" s="2">
        <f>HYPERLINK("http://ts.21cn.com/tousu/show/id/1357439","玖富万卡阴阳合同")</f>
      </c>
      <c r="C9728" t="s" s="2">
        <v>15</v>
      </c>
      <c r="D9728" t="s" s="2">
        <v>16</v>
      </c>
      <c r="E9728" t="s" s="2">
        <v>17</v>
      </c>
      <c r="F9728" t="s" s="2">
        <f>HYPERLINK("http://ts.21cn.com/tousu/show/id/1357439","http://ts.21cn.com/tousu/show/id/1357439")</f>
      </c>
      <c r="G9728" t="s" s="2">
        <v>17</v>
      </c>
      <c r="H9728" t="s" s="2">
        <v>19</v>
      </c>
      <c r="I9728" t="s" s="2">
        <v>37512</v>
      </c>
      <c r="J9728" t="s" s="2">
        <v>37513</v>
      </c>
      <c r="K9728" t="s" s="2">
        <v>22</v>
      </c>
      <c r="L9728" t="s" s="2">
        <v>22</v>
      </c>
      <c r="M9728" t="s" s="2">
        <v>22</v>
      </c>
    </row>
    <row r="9729" ht="25.0" customHeight="true">
      <c r="A9729" t="s" s="2">
        <v>13</v>
      </c>
      <c r="B9729" t="s" s="2">
        <f>HYPERLINK("http://ts.21cn.com/tousu/show/id/1357436","滴水贷糸统扣款失败手动还款还不上造成自己逾期")</f>
      </c>
      <c r="C9729" t="s" s="2">
        <v>52</v>
      </c>
      <c r="D9729" t="s" s="2">
        <v>16</v>
      </c>
      <c r="E9729" t="s" s="2">
        <v>17</v>
      </c>
      <c r="F9729" t="s" s="2">
        <f>HYPERLINK("http://ts.21cn.com/tousu/show/id/1357436","http://ts.21cn.com/tousu/show/id/1357436")</f>
      </c>
      <c r="G9729" t="s" s="2">
        <v>17</v>
      </c>
      <c r="H9729" t="s" s="2">
        <v>19</v>
      </c>
      <c r="I9729" t="s" s="2">
        <v>37516</v>
      </c>
      <c r="J9729" t="s" s="2">
        <v>37517</v>
      </c>
      <c r="K9729" t="s" s="2">
        <v>22</v>
      </c>
      <c r="L9729" t="s" s="2">
        <v>22</v>
      </c>
      <c r="M9729" t="s" s="2">
        <v>22</v>
      </c>
    </row>
    <row r="9730" ht="25.0" customHeight="true">
      <c r="A9730" t="s" s="2">
        <v>13</v>
      </c>
      <c r="B9730" t="s" s="2">
        <f>HYPERLINK("http://ts.21cn.com/tousu/show/id/1357428","山东高速etc乱扣费")</f>
      </c>
      <c r="C9730" t="s" s="2">
        <v>15</v>
      </c>
      <c r="D9730" t="s" s="2">
        <v>16</v>
      </c>
      <c r="E9730" t="s" s="2">
        <v>17</v>
      </c>
      <c r="F9730" t="s" s="2">
        <f>HYPERLINK("http://ts.21cn.com/tousu/show/id/1357428","http://ts.21cn.com/tousu/show/id/1357428")</f>
      </c>
      <c r="G9730" t="s" s="2">
        <v>17</v>
      </c>
      <c r="H9730" t="s" s="2">
        <v>19</v>
      </c>
      <c r="I9730" t="s" s="2">
        <v>37520</v>
      </c>
      <c r="J9730" t="s" s="2">
        <v>37521</v>
      </c>
      <c r="K9730" t="s" s="2">
        <v>22</v>
      </c>
      <c r="L9730" t="s" s="2">
        <v>22</v>
      </c>
      <c r="M9730" t="s" s="2">
        <v>22</v>
      </c>
    </row>
    <row r="9731" ht="25.0" customHeight="true">
      <c r="A9731" t="s" s="2">
        <v>13</v>
      </c>
      <c r="B9731" t="s" s="2">
        <f>HYPERLINK("http://ts.21cn.com/tousu/show/id/1357425","被小通商城莫名扣款")</f>
      </c>
      <c r="C9731" t="s" s="2">
        <v>15</v>
      </c>
      <c r="D9731" t="s" s="2">
        <v>16</v>
      </c>
      <c r="E9731" t="s" s="2">
        <v>17</v>
      </c>
      <c r="F9731" t="s" s="2">
        <f>HYPERLINK("http://ts.21cn.com/tousu/show/id/1357425","http://ts.21cn.com/tousu/show/id/1357425")</f>
      </c>
      <c r="G9731" t="s" s="2">
        <v>17</v>
      </c>
      <c r="H9731" t="s" s="2">
        <v>19</v>
      </c>
      <c r="I9731" t="s" s="2">
        <v>37524</v>
      </c>
      <c r="J9731" t="s" s="2">
        <v>37525</v>
      </c>
      <c r="K9731" t="s" s="2">
        <v>22</v>
      </c>
      <c r="L9731" t="s" s="2">
        <v>22</v>
      </c>
      <c r="M9731" t="s" s="2">
        <v>22</v>
      </c>
    </row>
    <row r="9732" ht="25.0" customHeight="true">
      <c r="A9732" t="s" s="2">
        <v>13</v>
      </c>
      <c r="B9732" t="s" s="2">
        <f>HYPERLINK("http://ts.21cn.com/tousu/show/id/1357417","吉子棋牌提现之后就封号")</f>
      </c>
      <c r="C9732" t="s" s="2">
        <v>15</v>
      </c>
      <c r="D9732" t="s" s="2">
        <v>16</v>
      </c>
      <c r="E9732" t="s" s="2">
        <v>17</v>
      </c>
      <c r="F9732" t="s" s="2">
        <f>HYPERLINK("http://ts.21cn.com/tousu/show/id/1357417","http://ts.21cn.com/tousu/show/id/1357417")</f>
      </c>
      <c r="G9732" t="s" s="2">
        <v>17</v>
      </c>
      <c r="H9732" t="s" s="2">
        <v>19</v>
      </c>
      <c r="I9732" t="s" s="2">
        <v>37528</v>
      </c>
      <c r="J9732" t="s" s="2">
        <v>37529</v>
      </c>
      <c r="K9732" t="s" s="2">
        <v>22</v>
      </c>
      <c r="L9732" t="s" s="2">
        <v>22</v>
      </c>
      <c r="M9732" t="s" s="2">
        <v>22</v>
      </c>
    </row>
    <row r="9733" ht="25.0" customHeight="true">
      <c r="A9733" t="s" s="2">
        <v>13</v>
      </c>
      <c r="B9733" t="s" s="2">
        <f>HYPERLINK("http://ts.21cn.com/tousu/show/id/1357414","贷款服务费不合理，高利贷，催收超过三次以上")</f>
      </c>
      <c r="C9733" t="s" s="2">
        <v>15</v>
      </c>
      <c r="D9733" t="s" s="2">
        <v>16</v>
      </c>
      <c r="E9733" t="s" s="2">
        <v>17</v>
      </c>
      <c r="F9733" t="s" s="2">
        <f>HYPERLINK("http://ts.21cn.com/tousu/show/id/1357414","http://ts.21cn.com/tousu/show/id/1357414")</f>
      </c>
      <c r="G9733" t="s" s="2">
        <v>17</v>
      </c>
      <c r="H9733" t="s" s="2">
        <v>19</v>
      </c>
      <c r="I9733" t="s" s="2">
        <v>37532</v>
      </c>
      <c r="J9733" t="s" s="2">
        <v>37533</v>
      </c>
      <c r="K9733" t="s" s="2">
        <v>22</v>
      </c>
      <c r="L9733" t="s" s="2">
        <v>22</v>
      </c>
      <c r="M9733" t="s" s="2">
        <v>22</v>
      </c>
    </row>
    <row r="9734" ht="25.0" customHeight="true">
      <c r="A9734" t="s" s="2">
        <v>13</v>
      </c>
      <c r="B9734" t="s" s="2">
        <f>HYPERLINK("http://ts.21cn.com/tousu/show/id/1357406","安吉椅研堂家居有限公司出售问题竹篱笆栅栏碳化竹虚假宣传欺诈")</f>
      </c>
      <c r="C9734" t="s" s="2">
        <v>15</v>
      </c>
      <c r="D9734" t="s" s="2">
        <v>16</v>
      </c>
      <c r="E9734" t="s" s="2">
        <v>17</v>
      </c>
      <c r="F9734" t="s" s="2">
        <f>HYPERLINK("http://ts.21cn.com/tousu/show/id/1357406","http://ts.21cn.com/tousu/show/id/1357406")</f>
      </c>
      <c r="G9734" t="s" s="2">
        <v>17</v>
      </c>
      <c r="H9734" t="s" s="2">
        <v>19</v>
      </c>
      <c r="I9734" t="s" s="2">
        <v>37536</v>
      </c>
      <c r="J9734" t="s" s="2">
        <v>37537</v>
      </c>
      <c r="K9734" t="s" s="2">
        <v>22</v>
      </c>
      <c r="L9734" t="s" s="2">
        <v>22</v>
      </c>
      <c r="M9734" t="s" s="2">
        <v>22</v>
      </c>
    </row>
    <row r="9735" ht="25.0" customHeight="true">
      <c r="A9735" t="s" s="2">
        <v>13</v>
      </c>
      <c r="B9735" t="s" s="2">
        <f>HYPERLINK("http://ts.21cn.com/tousu/show/id/1357403","阴阳合同")</f>
      </c>
      <c r="C9735" t="s" s="2">
        <v>15</v>
      </c>
      <c r="D9735" t="s" s="2">
        <v>16</v>
      </c>
      <c r="E9735" t="s" s="2">
        <v>17</v>
      </c>
      <c r="F9735" t="s" s="2">
        <f>HYPERLINK("http://ts.21cn.com/tousu/show/id/1357403","http://ts.21cn.com/tousu/show/id/1357403")</f>
      </c>
      <c r="G9735" t="s" s="2">
        <v>17</v>
      </c>
      <c r="H9735" t="s" s="2">
        <v>19</v>
      </c>
      <c r="I9735" t="s" s="2">
        <v>37539</v>
      </c>
      <c r="J9735" t="s" s="2">
        <v>37540</v>
      </c>
      <c r="K9735" t="s" s="2">
        <v>22</v>
      </c>
      <c r="L9735" t="s" s="2">
        <v>22</v>
      </c>
      <c r="M9735" t="s" s="2">
        <v>22</v>
      </c>
    </row>
    <row r="9736" ht="25.0" customHeight="true">
      <c r="A9736" t="s" s="2">
        <v>13</v>
      </c>
      <c r="B9736" t="s" s="2">
        <f>HYPERLINK("http://ts.21cn.com/tousu/show/id/1357394","虚标借款金额")</f>
      </c>
      <c r="C9736" t="s" s="2">
        <v>15</v>
      </c>
      <c r="D9736" t="s" s="2">
        <v>16</v>
      </c>
      <c r="E9736" t="s" s="2">
        <v>17</v>
      </c>
      <c r="F9736" t="s" s="2">
        <f>HYPERLINK("http://ts.21cn.com/tousu/show/id/1357394","http://ts.21cn.com/tousu/show/id/1357394")</f>
      </c>
      <c r="G9736" t="s" s="2">
        <v>17</v>
      </c>
      <c r="H9736" t="s" s="2">
        <v>19</v>
      </c>
      <c r="I9736" t="s" s="2">
        <v>37543</v>
      </c>
      <c r="J9736" t="s" s="2">
        <v>37544</v>
      </c>
      <c r="K9736" t="s" s="2">
        <v>22</v>
      </c>
      <c r="L9736" t="s" s="2">
        <v>22</v>
      </c>
      <c r="M9736" t="s" s="2">
        <v>22</v>
      </c>
    </row>
    <row r="9737" ht="25.0" customHeight="true">
      <c r="A9737" t="s" s="2">
        <v>13</v>
      </c>
      <c r="B9737" t="s" s="2">
        <f>HYPERLINK("http://ts.21cn.com/tousu/show/id/1357391","闪银协商还款")</f>
      </c>
      <c r="C9737" t="s" s="2">
        <v>52</v>
      </c>
      <c r="D9737" t="s" s="2">
        <v>16</v>
      </c>
      <c r="E9737" t="s" s="2">
        <v>17</v>
      </c>
      <c r="F9737" t="s" s="2">
        <f>HYPERLINK("http://ts.21cn.com/tousu/show/id/1357391","http://ts.21cn.com/tousu/show/id/1357391")</f>
      </c>
      <c r="G9737" t="s" s="2">
        <v>17</v>
      </c>
      <c r="H9737" t="s" s="2">
        <v>19</v>
      </c>
      <c r="I9737" t="s" s="2">
        <v>37547</v>
      </c>
      <c r="J9737" t="s" s="2">
        <v>37548</v>
      </c>
      <c r="K9737" t="s" s="2">
        <v>22</v>
      </c>
      <c r="L9737" t="s" s="2">
        <v>22</v>
      </c>
      <c r="M9737" t="s" s="2">
        <v>22</v>
      </c>
    </row>
    <row r="9738" ht="25.0" customHeight="true">
      <c r="A9738" t="s" s="2">
        <v>13</v>
      </c>
      <c r="B9738" t="s" s="2">
        <f>HYPERLINK("http://ts.21cn.com/tousu/show/id/1357380","砍头息，高额利息")</f>
      </c>
      <c r="C9738" t="s" s="2">
        <v>15</v>
      </c>
      <c r="D9738" t="s" s="2">
        <v>16</v>
      </c>
      <c r="E9738" t="s" s="2">
        <v>17</v>
      </c>
      <c r="F9738" t="s" s="2">
        <f>HYPERLINK("http://ts.21cn.com/tousu/show/id/1357380","http://ts.21cn.com/tousu/show/id/1357380")</f>
      </c>
      <c r="G9738" t="s" s="2">
        <v>17</v>
      </c>
      <c r="H9738" t="s" s="2">
        <v>19</v>
      </c>
      <c r="I9738" t="s" s="2">
        <v>37551</v>
      </c>
      <c r="J9738" t="s" s="2">
        <v>37552</v>
      </c>
      <c r="K9738" t="s" s="2">
        <v>22</v>
      </c>
      <c r="L9738" t="s" s="2">
        <v>22</v>
      </c>
      <c r="M9738" t="s" s="2">
        <v>22</v>
      </c>
    </row>
    <row r="9739" ht="25.0" customHeight="true">
      <c r="A9739" t="s" s="2">
        <v>13</v>
      </c>
      <c r="B9739" t="s" s="2">
        <f>HYPERLINK("http://ts.21cn.com/tousu/show/id/1357383","私自扣费")</f>
      </c>
      <c r="C9739" t="s" s="2">
        <v>15</v>
      </c>
      <c r="D9739" t="s" s="2">
        <v>16</v>
      </c>
      <c r="E9739" t="s" s="2">
        <v>17</v>
      </c>
      <c r="F9739" t="s" s="2">
        <f>HYPERLINK("http://ts.21cn.com/tousu/show/id/1357383","http://ts.21cn.com/tousu/show/id/1357383")</f>
      </c>
      <c r="G9739" t="s" s="2">
        <v>17</v>
      </c>
      <c r="H9739" t="s" s="2">
        <v>19</v>
      </c>
      <c r="I9739" t="s" s="2">
        <v>37555</v>
      </c>
      <c r="J9739" t="s" s="2">
        <v>37556</v>
      </c>
      <c r="K9739" t="s" s="2">
        <v>22</v>
      </c>
      <c r="L9739" t="s" s="2">
        <v>22</v>
      </c>
      <c r="M9739" t="s" s="2">
        <v>22</v>
      </c>
    </row>
    <row r="9740" ht="25.0" customHeight="true">
      <c r="A9740" t="s" s="2">
        <v>13</v>
      </c>
      <c r="B9740" t="s" s="2">
        <f>HYPERLINK("http://ts.21cn.com/tousu/show/id/1357372","维新闪贷高额利息")</f>
      </c>
      <c r="C9740" t="s" s="2">
        <v>15</v>
      </c>
      <c r="D9740" t="s" s="2">
        <v>16</v>
      </c>
      <c r="E9740" t="s" s="2">
        <v>17</v>
      </c>
      <c r="F9740" t="s" s="2">
        <f>HYPERLINK("http://ts.21cn.com/tousu/show/id/1357372","http://ts.21cn.com/tousu/show/id/1357372")</f>
      </c>
      <c r="G9740" t="s" s="2">
        <v>17</v>
      </c>
      <c r="H9740" t="s" s="2">
        <v>19</v>
      </c>
      <c r="I9740" t="s" s="2">
        <v>37559</v>
      </c>
      <c r="J9740" t="s" s="2">
        <v>37560</v>
      </c>
      <c r="K9740" t="s" s="2">
        <v>22</v>
      </c>
      <c r="L9740" t="s" s="2">
        <v>22</v>
      </c>
      <c r="M9740" t="s" s="2">
        <v>22</v>
      </c>
    </row>
    <row r="9741" ht="25.0" customHeight="true">
      <c r="A9741" t="s" s="2">
        <v>13</v>
      </c>
      <c r="B9741" t="s" s="2">
        <f>HYPERLINK("http://ts.21cn.com/tousu/show/id/1357361","深圳市小牛普惠投资有限公司恶意催收")</f>
      </c>
      <c r="C9741" t="s" s="2">
        <v>15</v>
      </c>
      <c r="D9741" t="s" s="2">
        <v>16</v>
      </c>
      <c r="E9741" t="s" s="2">
        <v>17</v>
      </c>
      <c r="F9741" t="s" s="2">
        <f>HYPERLINK("http://ts.21cn.com/tousu/show/id/1357361","http://ts.21cn.com/tousu/show/id/1357361")</f>
      </c>
      <c r="G9741" t="s" s="2">
        <v>17</v>
      </c>
      <c r="H9741" t="s" s="2">
        <v>19</v>
      </c>
      <c r="I9741" t="s" s="2">
        <v>37563</v>
      </c>
      <c r="J9741" t="s" s="2">
        <v>37564</v>
      </c>
      <c r="K9741" t="s" s="2">
        <v>22</v>
      </c>
      <c r="L9741" t="s" s="2">
        <v>22</v>
      </c>
      <c r="M9741" t="s" s="2">
        <v>22</v>
      </c>
    </row>
    <row r="9742" ht="25.0" customHeight="true">
      <c r="A9742" t="s" s="2">
        <v>13</v>
      </c>
      <c r="B9742" t="s" s="2">
        <f>HYPERLINK("http://ts.21cn.com/tousu/show/id/1357359","扣分太草率不认真核实")</f>
      </c>
      <c r="C9742" t="s" s="2">
        <v>15</v>
      </c>
      <c r="D9742" t="s" s="2">
        <v>16</v>
      </c>
      <c r="E9742" t="s" s="2">
        <v>17</v>
      </c>
      <c r="F9742" t="s" s="2">
        <f>HYPERLINK("http://ts.21cn.com/tousu/show/id/1357359","http://ts.21cn.com/tousu/show/id/1357359")</f>
      </c>
      <c r="G9742" t="s" s="2">
        <v>17</v>
      </c>
      <c r="H9742" t="s" s="2">
        <v>19</v>
      </c>
      <c r="I9742" t="s" s="2">
        <v>37567</v>
      </c>
      <c r="J9742" t="s" s="2">
        <v>37568</v>
      </c>
      <c r="K9742" t="s" s="2">
        <v>22</v>
      </c>
      <c r="L9742" t="s" s="2">
        <v>22</v>
      </c>
      <c r="M9742" t="s" s="2">
        <v>22</v>
      </c>
    </row>
    <row r="9743" ht="25.0" customHeight="true">
      <c r="A9743" t="s" s="2">
        <v>13</v>
      </c>
      <c r="B9743" t="s" s="2">
        <f>HYPERLINK("http://ts.21cn.com/tousu/show/id/1357350","开店宝支付服务有限公司随意上调直签代理后台结算价，随意上调客户费率")</f>
      </c>
      <c r="C9743" t="s" s="2">
        <v>15</v>
      </c>
      <c r="D9743" t="s" s="2">
        <v>16</v>
      </c>
      <c r="E9743" t="s" s="2">
        <v>17</v>
      </c>
      <c r="F9743" t="s" s="2">
        <f>HYPERLINK("http://ts.21cn.com/tousu/show/id/1357350","http://ts.21cn.com/tousu/show/id/1357350")</f>
      </c>
      <c r="G9743" t="s" s="2">
        <v>17</v>
      </c>
      <c r="H9743" t="s" s="2">
        <v>19</v>
      </c>
      <c r="I9743" t="s" s="2">
        <v>37571</v>
      </c>
      <c r="J9743" t="s" s="2">
        <v>37572</v>
      </c>
      <c r="K9743" t="s" s="2">
        <v>22</v>
      </c>
      <c r="L9743" t="s" s="2">
        <v>22</v>
      </c>
      <c r="M9743" t="s" s="2">
        <v>22</v>
      </c>
    </row>
    <row r="9744" ht="25.0" customHeight="true">
      <c r="A9744" t="s" s="2">
        <v>13</v>
      </c>
      <c r="B9744" t="s" s="2">
        <f>HYPERLINK("http://ts.21cn.com/tousu/show/id/1357348","拼多多强制取消退货补贴")</f>
      </c>
      <c r="C9744" t="s" s="2">
        <v>15</v>
      </c>
      <c r="D9744" t="s" s="2">
        <v>16</v>
      </c>
      <c r="E9744" t="s" s="2">
        <v>17</v>
      </c>
      <c r="F9744" t="s" s="2">
        <f>HYPERLINK("http://ts.21cn.com/tousu/show/id/1357348","http://ts.21cn.com/tousu/show/id/1357348")</f>
      </c>
      <c r="G9744" t="s" s="2">
        <v>17</v>
      </c>
      <c r="H9744" t="s" s="2">
        <v>19</v>
      </c>
      <c r="I9744" t="s" s="2">
        <v>37575</v>
      </c>
      <c r="J9744" t="s" s="2">
        <v>37576</v>
      </c>
      <c r="K9744" t="s" s="2">
        <v>22</v>
      </c>
      <c r="L9744" t="s" s="2">
        <v>22</v>
      </c>
      <c r="M9744" t="s" s="2">
        <v>22</v>
      </c>
    </row>
    <row r="9745" ht="25.0" customHeight="true">
      <c r="A9745" t="s" s="2">
        <v>13</v>
      </c>
      <c r="B9745" t="s" s="2">
        <f>HYPERLINK("http://ts.21cn.com/tousu/show/id/1357346","自动还款不知道还的是什么")</f>
      </c>
      <c r="C9745" t="s" s="2">
        <v>52</v>
      </c>
      <c r="D9745" t="s" s="2">
        <v>16</v>
      </c>
      <c r="E9745" t="s" s="2">
        <v>17</v>
      </c>
      <c r="F9745" t="s" s="2">
        <f>HYPERLINK("http://ts.21cn.com/tousu/show/id/1357346","http://ts.21cn.com/tousu/show/id/1357346")</f>
      </c>
      <c r="G9745" t="s" s="2">
        <v>17</v>
      </c>
      <c r="H9745" t="s" s="2">
        <v>19</v>
      </c>
      <c r="I9745" t="s" s="2">
        <v>37579</v>
      </c>
      <c r="J9745" t="s" s="2">
        <v>37580</v>
      </c>
      <c r="K9745" t="s" s="2">
        <v>22</v>
      </c>
      <c r="L9745" t="s" s="2">
        <v>22</v>
      </c>
      <c r="M9745" t="s" s="2">
        <v>22</v>
      </c>
    </row>
    <row r="9746" ht="25.0" customHeight="true">
      <c r="A9746" t="s" s="2">
        <v>13</v>
      </c>
      <c r="B9746" t="s" s="2">
        <f>HYPERLINK("http://ts.21cn.com/tousu/show/id/1357345","随意打标微信，说我是狐狸")</f>
      </c>
      <c r="C9746" t="s" s="2">
        <v>15</v>
      </c>
      <c r="D9746" t="s" s="2">
        <v>16</v>
      </c>
      <c r="E9746" t="s" s="2">
        <v>17</v>
      </c>
      <c r="F9746" t="s" s="2">
        <f>HYPERLINK("http://ts.21cn.com/tousu/show/id/1357345","http://ts.21cn.com/tousu/show/id/1357345")</f>
      </c>
      <c r="G9746" t="s" s="2">
        <v>17</v>
      </c>
      <c r="H9746" t="s" s="2">
        <v>19</v>
      </c>
      <c r="I9746" t="s" s="2">
        <v>37583</v>
      </c>
      <c r="J9746" t="s" s="2">
        <v>37584</v>
      </c>
      <c r="K9746" t="s" s="2">
        <v>22</v>
      </c>
      <c r="L9746" t="s" s="2">
        <v>22</v>
      </c>
      <c r="M9746" t="s" s="2">
        <v>22</v>
      </c>
    </row>
    <row r="9747" ht="25.0" customHeight="true">
      <c r="A9747" t="s" s="2">
        <v>13</v>
      </c>
      <c r="B9747" t="s" s="2">
        <f>HYPERLINK("http://ts.21cn.com/tousu/show/id/1357343","不给退押金！虚假违章！态度差！")</f>
      </c>
      <c r="C9747" t="s" s="2">
        <v>15</v>
      </c>
      <c r="D9747" t="s" s="2">
        <v>16</v>
      </c>
      <c r="E9747" t="s" s="2">
        <v>17</v>
      </c>
      <c r="F9747" t="s" s="2">
        <f>HYPERLINK("http://ts.21cn.com/tousu/show/id/1357343","http://ts.21cn.com/tousu/show/id/1357343")</f>
      </c>
      <c r="G9747" t="s" s="2">
        <v>17</v>
      </c>
      <c r="H9747" t="s" s="2">
        <v>19</v>
      </c>
      <c r="I9747" t="s" s="2">
        <v>37587</v>
      </c>
      <c r="J9747" t="s" s="2">
        <v>37588</v>
      </c>
      <c r="K9747" t="s" s="2">
        <v>22</v>
      </c>
      <c r="L9747" t="s" s="2">
        <v>22</v>
      </c>
      <c r="M9747" t="s" s="2">
        <v>22</v>
      </c>
    </row>
    <row r="9748" ht="25.0" customHeight="true">
      <c r="A9748" t="s" s="2">
        <v>13</v>
      </c>
      <c r="B9748" t="s" s="2">
        <f>HYPERLINK("http://ts.21cn.com/tousu/show/id/1357339","壹心分期还款日苹果app打不开")</f>
      </c>
      <c r="C9748" t="s" s="2">
        <v>52</v>
      </c>
      <c r="D9748" t="s" s="2">
        <v>16</v>
      </c>
      <c r="E9748" t="s" s="2">
        <v>17</v>
      </c>
      <c r="F9748" t="s" s="2">
        <f>HYPERLINK("http://ts.21cn.com/tousu/show/id/1357339","http://ts.21cn.com/tousu/show/id/1357339")</f>
      </c>
      <c r="G9748" t="s" s="2">
        <v>17</v>
      </c>
      <c r="H9748" t="s" s="2">
        <v>19</v>
      </c>
      <c r="I9748" t="s" s="2">
        <v>37591</v>
      </c>
      <c r="J9748" t="s" s="2">
        <v>37592</v>
      </c>
      <c r="K9748" t="s" s="2">
        <v>22</v>
      </c>
      <c r="L9748" t="s" s="2">
        <v>22</v>
      </c>
      <c r="M9748" t="s" s="2">
        <v>22</v>
      </c>
    </row>
    <row r="9749" ht="25.0" customHeight="true">
      <c r="A9749" t="s" s="2">
        <v>13</v>
      </c>
      <c r="B9749" t="s" s="2">
        <f>HYPERLINK("http://ts.21cn.com/tousu/show/id/1357337","苏宁易购老顾客答谢会被忽悠购买惠而浦净水器")</f>
      </c>
      <c r="C9749" t="s" s="2">
        <v>15</v>
      </c>
      <c r="D9749" t="s" s="2">
        <v>16</v>
      </c>
      <c r="E9749" t="s" s="2">
        <v>17</v>
      </c>
      <c r="F9749" t="s" s="2">
        <f>HYPERLINK("http://ts.21cn.com/tousu/show/id/1357337","http://ts.21cn.com/tousu/show/id/1357337")</f>
      </c>
      <c r="G9749" t="s" s="2">
        <v>17</v>
      </c>
      <c r="H9749" t="s" s="2">
        <v>19</v>
      </c>
      <c r="I9749" t="s" s="2">
        <v>37595</v>
      </c>
      <c r="J9749" t="s" s="2">
        <v>37596</v>
      </c>
      <c r="K9749" t="s" s="2">
        <v>22</v>
      </c>
      <c r="L9749" t="s" s="2">
        <v>22</v>
      </c>
      <c r="M9749" t="s" s="2">
        <v>22</v>
      </c>
    </row>
    <row r="9750" ht="25.0" customHeight="true">
      <c r="A9750" t="s" s="2">
        <v>13</v>
      </c>
      <c r="B9750" t="s" s="2">
        <f>HYPERLINK("http://ts.21cn.com/tousu/show/id/1357335","来分期暴力催收")</f>
      </c>
      <c r="C9750" t="s" s="2">
        <v>15</v>
      </c>
      <c r="D9750" t="s" s="2">
        <v>16</v>
      </c>
      <c r="E9750" t="s" s="2">
        <v>17</v>
      </c>
      <c r="F9750" t="s" s="2">
        <f>HYPERLINK("http://ts.21cn.com/tousu/show/id/1357335","http://ts.21cn.com/tousu/show/id/1357335")</f>
      </c>
      <c r="G9750" t="s" s="2">
        <v>17</v>
      </c>
      <c r="H9750" t="s" s="2">
        <v>19</v>
      </c>
      <c r="I9750" t="s" s="2">
        <v>37598</v>
      </c>
      <c r="J9750" t="s" s="2">
        <v>37599</v>
      </c>
      <c r="K9750" t="s" s="2">
        <v>22</v>
      </c>
      <c r="L9750" t="s" s="2">
        <v>22</v>
      </c>
      <c r="M9750" t="s" s="2">
        <v>22</v>
      </c>
    </row>
    <row r="9751" ht="25.0" customHeight="true">
      <c r="A9751" t="s" s="2">
        <v>13</v>
      </c>
      <c r="B9751" t="s" s="2">
        <f>HYPERLINK("http://ts.21cn.com/tousu/show/id/1357334","714违法贷款平台请还钱")</f>
      </c>
      <c r="C9751" t="s" s="2">
        <v>15</v>
      </c>
      <c r="D9751" t="s" s="2">
        <v>16</v>
      </c>
      <c r="E9751" t="s" s="2">
        <v>17</v>
      </c>
      <c r="F9751" t="s" s="2">
        <f>HYPERLINK("http://ts.21cn.com/tousu/show/id/1357334","http://ts.21cn.com/tousu/show/id/1357334")</f>
      </c>
      <c r="G9751" t="s" s="2">
        <v>17</v>
      </c>
      <c r="H9751" t="s" s="2">
        <v>19</v>
      </c>
      <c r="I9751" t="s" s="2">
        <v>37602</v>
      </c>
      <c r="J9751" t="s" s="2">
        <v>37603</v>
      </c>
      <c r="K9751" t="s" s="2">
        <v>22</v>
      </c>
      <c r="L9751" t="s" s="2">
        <v>22</v>
      </c>
      <c r="M9751" t="s" s="2">
        <v>22</v>
      </c>
    </row>
    <row r="9752" ht="25.0" customHeight="true">
      <c r="A9752" t="s" s="2">
        <v>13</v>
      </c>
      <c r="B9752" t="s" s="2">
        <f>HYPERLINK("http://ts.21cn.com/tousu/show/id/1357332","涉嫌虚假合同，隐瞒客户，")</f>
      </c>
      <c r="C9752" t="s" s="2">
        <v>15</v>
      </c>
      <c r="D9752" t="s" s="2">
        <v>16</v>
      </c>
      <c r="E9752" t="s" s="2">
        <v>17</v>
      </c>
      <c r="F9752" t="s" s="2">
        <f>HYPERLINK("http://ts.21cn.com/tousu/show/id/1357332","http://ts.21cn.com/tousu/show/id/1357332")</f>
      </c>
      <c r="G9752" t="s" s="2">
        <v>17</v>
      </c>
      <c r="H9752" t="s" s="2">
        <v>19</v>
      </c>
      <c r="I9752" t="s" s="2">
        <v>37606</v>
      </c>
      <c r="J9752" t="s" s="2">
        <v>37607</v>
      </c>
      <c r="K9752" t="s" s="2">
        <v>22</v>
      </c>
      <c r="L9752" t="s" s="2">
        <v>22</v>
      </c>
      <c r="M9752" t="s" s="2">
        <v>22</v>
      </c>
    </row>
    <row r="9753" ht="25.0" customHeight="true">
      <c r="A9753" t="s" s="2">
        <v>13</v>
      </c>
      <c r="B9753" t="s" s="2">
        <f>HYPERLINK("http://ts.21cn.com/tousu/show/id/1357331","销账，提供结清证明，撤销问题征信")</f>
      </c>
      <c r="C9753" t="s" s="2">
        <v>15</v>
      </c>
      <c r="D9753" t="s" s="2">
        <v>16</v>
      </c>
      <c r="E9753" t="s" s="2">
        <v>17</v>
      </c>
      <c r="F9753" t="s" s="2">
        <f>HYPERLINK("http://ts.21cn.com/tousu/show/id/1357331","http://ts.21cn.com/tousu/show/id/1357331")</f>
      </c>
      <c r="G9753" t="s" s="2">
        <v>17</v>
      </c>
      <c r="H9753" t="s" s="2">
        <v>19</v>
      </c>
      <c r="I9753" t="s" s="2">
        <v>37610</v>
      </c>
      <c r="J9753" t="s" s="2">
        <v>37611</v>
      </c>
      <c r="K9753" t="s" s="2">
        <v>22</v>
      </c>
      <c r="L9753" t="s" s="2">
        <v>22</v>
      </c>
      <c r="M9753" t="s" s="2">
        <v>22</v>
      </c>
    </row>
    <row r="9754" ht="25.0" customHeight="true">
      <c r="A9754" t="s" s="2">
        <v>13</v>
      </c>
      <c r="B9754" t="s" s="2">
        <f>HYPERLINK("http://ts.21cn.com/tousu/show/id/1357329","拍拍贷恐吓")</f>
      </c>
      <c r="C9754" t="s" s="2">
        <v>15</v>
      </c>
      <c r="D9754" t="s" s="2">
        <v>16</v>
      </c>
      <c r="E9754" t="s" s="2">
        <v>17</v>
      </c>
      <c r="F9754" t="s" s="2">
        <f>HYPERLINK("http://ts.21cn.com/tousu/show/id/1357329","http://ts.21cn.com/tousu/show/id/1357329")</f>
      </c>
      <c r="G9754" t="s" s="2">
        <v>17</v>
      </c>
      <c r="H9754" t="s" s="2">
        <v>19</v>
      </c>
      <c r="I9754" t="s" s="2">
        <v>37614</v>
      </c>
      <c r="J9754" t="s" s="2">
        <v>37615</v>
      </c>
      <c r="K9754" t="s" s="2">
        <v>22</v>
      </c>
      <c r="L9754" t="s" s="2">
        <v>22</v>
      </c>
      <c r="M9754" t="s" s="2">
        <v>22</v>
      </c>
    </row>
    <row r="9755" ht="25.0" customHeight="true">
      <c r="A9755" t="s" s="2">
        <v>13</v>
      </c>
      <c r="B9755" t="s" s="2">
        <f>HYPERLINK("http://ts.21cn.com/tousu/show/id/1357328","尚德机构拖延退费")</f>
      </c>
      <c r="C9755" t="s" s="2">
        <v>15</v>
      </c>
      <c r="D9755" t="s" s="2">
        <v>16</v>
      </c>
      <c r="E9755" t="s" s="2">
        <v>17</v>
      </c>
      <c r="F9755" t="s" s="2">
        <f>HYPERLINK("http://ts.21cn.com/tousu/show/id/1357328","http://ts.21cn.com/tousu/show/id/1357328")</f>
      </c>
      <c r="G9755" t="s" s="2">
        <v>17</v>
      </c>
      <c r="H9755" t="s" s="2">
        <v>19</v>
      </c>
      <c r="I9755" t="s" s="2">
        <v>37618</v>
      </c>
      <c r="J9755" t="s" s="2">
        <v>37619</v>
      </c>
      <c r="K9755" t="s" s="2">
        <v>22</v>
      </c>
      <c r="L9755" t="s" s="2">
        <v>22</v>
      </c>
      <c r="M9755" t="s" s="2">
        <v>22</v>
      </c>
    </row>
    <row r="9756" ht="25.0" customHeight="true">
      <c r="A9756" t="s" s="2">
        <v>13</v>
      </c>
      <c r="B9756" t="s" s="2">
        <f>HYPERLINK("http://ts.21cn.com/tousu/show/id/1357324","拍拍贷高利息")</f>
      </c>
      <c r="C9756" t="s" s="2">
        <v>15</v>
      </c>
      <c r="D9756" t="s" s="2">
        <v>16</v>
      </c>
      <c r="E9756" t="s" s="2">
        <v>17</v>
      </c>
      <c r="F9756" t="s" s="2">
        <f>HYPERLINK("http://ts.21cn.com/tousu/show/id/1357324","http://ts.21cn.com/tousu/show/id/1357324")</f>
      </c>
      <c r="G9756" t="s" s="2">
        <v>17</v>
      </c>
      <c r="H9756" t="s" s="2">
        <v>19</v>
      </c>
      <c r="I9756" t="s" s="2">
        <v>37621</v>
      </c>
      <c r="J9756" t="s" s="2">
        <v>37622</v>
      </c>
      <c r="K9756" t="s" s="2">
        <v>22</v>
      </c>
      <c r="L9756" t="s" s="2">
        <v>22</v>
      </c>
      <c r="M9756" t="s" s="2">
        <v>22</v>
      </c>
    </row>
    <row r="9757" ht="25.0" customHeight="true">
      <c r="A9757" t="s" s="2">
        <v>13</v>
      </c>
      <c r="B9757" t="s" s="2">
        <f>HYPERLINK("http://ts.21cn.com/tousu/show/id/1357323","上海澳博汇融套路贷")</f>
      </c>
      <c r="C9757" t="s" s="2">
        <v>15</v>
      </c>
      <c r="D9757" t="s" s="2">
        <v>16</v>
      </c>
      <c r="E9757" t="s" s="2">
        <v>17</v>
      </c>
      <c r="F9757" t="s" s="2">
        <f>HYPERLINK("http://ts.21cn.com/tousu/show/id/1357323","http://ts.21cn.com/tousu/show/id/1357323")</f>
      </c>
      <c r="G9757" t="s" s="2">
        <v>17</v>
      </c>
      <c r="H9757" t="s" s="2">
        <v>19</v>
      </c>
      <c r="I9757" t="s" s="2">
        <v>37625</v>
      </c>
      <c r="J9757" t="s" s="2">
        <v>37626</v>
      </c>
      <c r="K9757" t="s" s="2">
        <v>22</v>
      </c>
      <c r="L9757" t="s" s="2">
        <v>22</v>
      </c>
      <c r="M9757" t="s" s="2">
        <v>22</v>
      </c>
    </row>
    <row r="9758" ht="25.0" customHeight="true">
      <c r="A9758" t="s" s="2">
        <v>13</v>
      </c>
      <c r="B9758" t="s" s="2">
        <f>HYPERLINK("http://ts.21cn.com/tousu/show/id/1357320","恒易贷系统问题导致扣款失败，利息要100")</f>
      </c>
      <c r="C9758" t="s" s="2">
        <v>15</v>
      </c>
      <c r="D9758" t="s" s="2">
        <v>16</v>
      </c>
      <c r="E9758" t="s" s="2">
        <v>17</v>
      </c>
      <c r="F9758" t="s" s="2">
        <f>HYPERLINK("http://ts.21cn.com/tousu/show/id/1357320","http://ts.21cn.com/tousu/show/id/1357320")</f>
      </c>
      <c r="G9758" t="s" s="2">
        <v>17</v>
      </c>
      <c r="H9758" t="s" s="2">
        <v>19</v>
      </c>
      <c r="I9758" t="s" s="2">
        <v>37629</v>
      </c>
      <c r="J9758" t="s" s="2">
        <v>37630</v>
      </c>
      <c r="K9758" t="s" s="2">
        <v>22</v>
      </c>
      <c r="L9758" t="s" s="2">
        <v>22</v>
      </c>
      <c r="M9758" t="s" s="2">
        <v>22</v>
      </c>
    </row>
    <row r="9759" ht="25.0" customHeight="true">
      <c r="A9759" t="s" s="2">
        <v>13</v>
      </c>
      <c r="B9759" t="s" s="2">
        <f>HYPERLINK("http://ts.21cn.com/tousu/show/id/1357318","滴滴出行收取高额费用不办事")</f>
      </c>
      <c r="C9759" t="s" s="2">
        <v>15</v>
      </c>
      <c r="D9759" t="s" s="2">
        <v>16</v>
      </c>
      <c r="E9759" t="s" s="2">
        <v>17</v>
      </c>
      <c r="F9759" t="s" s="2">
        <f>HYPERLINK("http://ts.21cn.com/tousu/show/id/1357318","http://ts.21cn.com/tousu/show/id/1357318")</f>
      </c>
      <c r="G9759" t="s" s="2">
        <v>17</v>
      </c>
      <c r="H9759" t="s" s="2">
        <v>19</v>
      </c>
      <c r="I9759" t="s" s="2">
        <v>37633</v>
      </c>
      <c r="J9759" t="s" s="2">
        <v>37634</v>
      </c>
      <c r="K9759" t="s" s="2">
        <v>22</v>
      </c>
      <c r="L9759" t="s" s="2">
        <v>22</v>
      </c>
      <c r="M9759" t="s" s="2">
        <v>22</v>
      </c>
    </row>
    <row r="9760" ht="25.0" customHeight="true">
      <c r="A9760" t="s" s="2">
        <v>13</v>
      </c>
      <c r="B9760" t="s" s="2">
        <f>HYPERLINK("http://ts.21cn.com/tousu/show/id/1357317","携趣网络技术上海有限公司乱扣费")</f>
      </c>
      <c r="C9760" t="s" s="2">
        <v>15</v>
      </c>
      <c r="D9760" t="s" s="2">
        <v>16</v>
      </c>
      <c r="E9760" t="s" s="2">
        <v>17</v>
      </c>
      <c r="F9760" t="s" s="2">
        <f>HYPERLINK("http://ts.21cn.com/tousu/show/id/1357317","http://ts.21cn.com/tousu/show/id/1357317")</f>
      </c>
      <c r="G9760" t="s" s="2">
        <v>17</v>
      </c>
      <c r="H9760" t="s" s="2">
        <v>19</v>
      </c>
      <c r="I9760" t="s" s="2">
        <v>37637</v>
      </c>
      <c r="J9760" t="s" s="2">
        <v>37638</v>
      </c>
      <c r="K9760" t="s" s="2">
        <v>22</v>
      </c>
      <c r="L9760" t="s" s="2">
        <v>22</v>
      </c>
      <c r="M9760" t="s" s="2">
        <v>22</v>
      </c>
    </row>
    <row r="9761" ht="25.0" customHeight="true">
      <c r="A9761" t="s" s="2">
        <v>13</v>
      </c>
      <c r="B9761" t="s" s="2">
        <f>HYPERLINK("http://ts.21cn.com/tousu/show/id/1357315","来分期持续暴力催收不予协商")</f>
      </c>
      <c r="C9761" t="s" s="2">
        <v>15</v>
      </c>
      <c r="D9761" t="s" s="2">
        <v>16</v>
      </c>
      <c r="E9761" t="s" s="2">
        <v>17</v>
      </c>
      <c r="F9761" t="s" s="2">
        <f>HYPERLINK("http://ts.21cn.com/tousu/show/id/1357315","http://ts.21cn.com/tousu/show/id/1357315")</f>
      </c>
      <c r="G9761" t="s" s="2">
        <v>17</v>
      </c>
      <c r="H9761" t="s" s="2">
        <v>19</v>
      </c>
      <c r="I9761" t="s" s="2">
        <v>37641</v>
      </c>
      <c r="J9761" t="s" s="2">
        <v>37642</v>
      </c>
      <c r="K9761" t="s" s="2">
        <v>22</v>
      </c>
      <c r="L9761" t="s" s="2">
        <v>22</v>
      </c>
      <c r="M9761" t="s" s="2">
        <v>22</v>
      </c>
    </row>
    <row r="9762" ht="25.0" customHeight="true">
      <c r="A9762" t="s" s="2">
        <v>13</v>
      </c>
      <c r="B9762" t="s" s="2">
        <f>HYPERLINK("http://ts.21cn.com/tousu/show/id/1357312","小米官网申请返厂维修，小米把维修给了外包公司，外包公司再分配给了外包，损坏我的手机。")</f>
      </c>
      <c r="C9762" t="s" s="2">
        <v>15</v>
      </c>
      <c r="D9762" t="s" s="2">
        <v>16</v>
      </c>
      <c r="E9762" t="s" s="2">
        <v>17</v>
      </c>
      <c r="F9762" t="s" s="2">
        <f>HYPERLINK("http://ts.21cn.com/tousu/show/id/1357312","http://ts.21cn.com/tousu/show/id/1357312")</f>
      </c>
      <c r="G9762" t="s" s="2">
        <v>17</v>
      </c>
      <c r="H9762" t="s" s="2">
        <v>19</v>
      </c>
      <c r="I9762" t="s" s="2">
        <v>37645</v>
      </c>
      <c r="J9762" t="s" s="2">
        <v>37646</v>
      </c>
      <c r="K9762" t="s" s="2">
        <v>22</v>
      </c>
      <c r="L9762" t="s" s="2">
        <v>22</v>
      </c>
      <c r="M9762" t="s" s="2">
        <v>22</v>
      </c>
    </row>
    <row r="9763" ht="25.0" customHeight="true">
      <c r="A9763" t="s" s="2">
        <v>13</v>
      </c>
      <c r="B9763" t="s" s="2">
        <f>HYPERLINK("http://ts.21cn.com/tousu/show/id/1357310","收了钱不帮修车")</f>
      </c>
      <c r="C9763" t="s" s="2">
        <v>15</v>
      </c>
      <c r="D9763" t="s" s="2">
        <v>16</v>
      </c>
      <c r="E9763" t="s" s="2">
        <v>17</v>
      </c>
      <c r="F9763" t="s" s="2">
        <f>HYPERLINK("http://ts.21cn.com/tousu/show/id/1357310","http://ts.21cn.com/tousu/show/id/1357310")</f>
      </c>
      <c r="G9763" t="s" s="2">
        <v>17</v>
      </c>
      <c r="H9763" t="s" s="2">
        <v>19</v>
      </c>
      <c r="I9763" t="s" s="2">
        <v>37649</v>
      </c>
      <c r="J9763" t="s" s="2">
        <v>37650</v>
      </c>
      <c r="K9763" t="s" s="2">
        <v>22</v>
      </c>
      <c r="L9763" t="s" s="2">
        <v>22</v>
      </c>
      <c r="M9763" t="s" s="2">
        <v>22</v>
      </c>
    </row>
    <row r="9764" ht="25.0" customHeight="true">
      <c r="A9764" t="s" s="2">
        <v>13</v>
      </c>
      <c r="B9764" t="s" s="2">
        <f>HYPERLINK("http://ts.21cn.com/tousu/show/id/1357307","来分期大额订单无法提前还款")</f>
      </c>
      <c r="C9764" t="s" s="2">
        <v>52</v>
      </c>
      <c r="D9764" t="s" s="2">
        <v>16</v>
      </c>
      <c r="E9764" t="s" s="2">
        <v>17</v>
      </c>
      <c r="F9764" t="s" s="2">
        <f>HYPERLINK("http://ts.21cn.com/tousu/show/id/1357307","http://ts.21cn.com/tousu/show/id/1357307")</f>
      </c>
      <c r="G9764" t="s" s="2">
        <v>17</v>
      </c>
      <c r="H9764" t="s" s="2">
        <v>19</v>
      </c>
      <c r="I9764" t="s" s="2">
        <v>37653</v>
      </c>
      <c r="J9764" t="s" s="2">
        <v>37654</v>
      </c>
      <c r="K9764" t="s" s="2">
        <v>22</v>
      </c>
      <c r="L9764" t="s" s="2">
        <v>22</v>
      </c>
      <c r="M9764" t="s" s="2">
        <v>22</v>
      </c>
    </row>
    <row r="9765" ht="25.0" customHeight="true">
      <c r="A9765" t="s" s="2">
        <v>13</v>
      </c>
      <c r="B9765" t="s" s="2">
        <f>HYPERLINK("http://ts.21cn.com/tousu/show/id/1357306","发短信威胁我是被执行人")</f>
      </c>
      <c r="C9765" t="s" s="2">
        <v>15</v>
      </c>
      <c r="D9765" t="s" s="2">
        <v>16</v>
      </c>
      <c r="E9765" t="s" s="2">
        <v>17</v>
      </c>
      <c r="F9765" t="s" s="2">
        <f>HYPERLINK("http://ts.21cn.com/tousu/show/id/1357306","http://ts.21cn.com/tousu/show/id/1357306")</f>
      </c>
      <c r="G9765" t="s" s="2">
        <v>17</v>
      </c>
      <c r="H9765" t="s" s="2">
        <v>19</v>
      </c>
      <c r="I9765" t="s" s="2">
        <v>37657</v>
      </c>
      <c r="J9765" t="s" s="2">
        <v>37658</v>
      </c>
      <c r="K9765" t="s" s="2">
        <v>22</v>
      </c>
      <c r="L9765" t="s" s="2">
        <v>22</v>
      </c>
      <c r="M9765" t="s" s="2">
        <v>22</v>
      </c>
    </row>
    <row r="9766" ht="25.0" customHeight="true">
      <c r="A9766" t="s" s="2">
        <v>13</v>
      </c>
      <c r="B9766" t="s" s="2">
        <f>HYPERLINK("http://ts.21cn.com/tousu/show/id/1357304","无故扣款要求退款")</f>
      </c>
      <c r="C9766" t="s" s="2">
        <v>15</v>
      </c>
      <c r="D9766" t="s" s="2">
        <v>16</v>
      </c>
      <c r="E9766" t="s" s="2">
        <v>17</v>
      </c>
      <c r="F9766" t="s" s="2">
        <f>HYPERLINK("http://ts.21cn.com/tousu/show/id/1357304","http://ts.21cn.com/tousu/show/id/1357304")</f>
      </c>
      <c r="G9766" t="s" s="2">
        <v>17</v>
      </c>
      <c r="H9766" t="s" s="2">
        <v>19</v>
      </c>
      <c r="I9766" t="s" s="2">
        <v>37661</v>
      </c>
      <c r="J9766" t="s" s="2">
        <v>37662</v>
      </c>
      <c r="K9766" t="s" s="2">
        <v>22</v>
      </c>
      <c r="L9766" t="s" s="2">
        <v>22</v>
      </c>
      <c r="M9766" t="s" s="2">
        <v>22</v>
      </c>
    </row>
    <row r="9767" ht="25.0" customHeight="true">
      <c r="A9767" t="s" s="2">
        <v>13</v>
      </c>
      <c r="B9767" t="s" s="2">
        <f>HYPERLINK("http://ts.21cn.com/tousu/show/id/1357302","松紧带砍头息高利息")</f>
      </c>
      <c r="C9767" t="s" s="2">
        <v>15</v>
      </c>
      <c r="D9767" t="s" s="2">
        <v>16</v>
      </c>
      <c r="E9767" t="s" s="2">
        <v>17</v>
      </c>
      <c r="F9767" t="s" s="2">
        <f>HYPERLINK("http://ts.21cn.com/tousu/show/id/1357302","http://ts.21cn.com/tousu/show/id/1357302")</f>
      </c>
      <c r="G9767" t="s" s="2">
        <v>17</v>
      </c>
      <c r="H9767" t="s" s="2">
        <v>19</v>
      </c>
      <c r="I9767" t="s" s="2">
        <v>37665</v>
      </c>
      <c r="J9767" t="s" s="2">
        <v>37666</v>
      </c>
      <c r="K9767" t="s" s="2">
        <v>22</v>
      </c>
      <c r="L9767" t="s" s="2">
        <v>22</v>
      </c>
      <c r="M9767" t="s" s="2">
        <v>22</v>
      </c>
    </row>
    <row r="9768" ht="25.0" customHeight="true">
      <c r="A9768" t="s" s="2">
        <v>13</v>
      </c>
      <c r="B9768" t="s" s="2">
        <f>HYPERLINK("http://ts.21cn.com/tousu/show/id/1357299","你我金融7天高利贷")</f>
      </c>
      <c r="C9768" t="s" s="2">
        <v>15</v>
      </c>
      <c r="D9768" t="s" s="2">
        <v>16</v>
      </c>
      <c r="E9768" t="s" s="2">
        <v>17</v>
      </c>
      <c r="F9768" t="s" s="2">
        <f>HYPERLINK("http://ts.21cn.com/tousu/show/id/1357299","http://ts.21cn.com/tousu/show/id/1357299")</f>
      </c>
      <c r="G9768" t="s" s="2">
        <v>17</v>
      </c>
      <c r="H9768" t="s" s="2">
        <v>19</v>
      </c>
      <c r="I9768" t="s" s="2">
        <v>37669</v>
      </c>
      <c r="J9768" t="s" s="2">
        <v>37670</v>
      </c>
      <c r="K9768" t="s" s="2">
        <v>22</v>
      </c>
      <c r="L9768" t="s" s="2">
        <v>22</v>
      </c>
      <c r="M9768" t="s" s="2">
        <v>22</v>
      </c>
    </row>
    <row r="9769" ht="25.0" customHeight="true">
      <c r="A9769" t="s" s="2">
        <v>13</v>
      </c>
      <c r="B9769" t="s" s="2">
        <f>HYPERLINK("http://ts.21cn.com/tousu/show/id/1357298","51人品贷黑心高利贷，暴利催收骚扰联系人")</f>
      </c>
      <c r="C9769" t="s" s="2">
        <v>15</v>
      </c>
      <c r="D9769" t="s" s="2">
        <v>16</v>
      </c>
      <c r="E9769" t="s" s="2">
        <v>17</v>
      </c>
      <c r="F9769" t="s" s="2">
        <f>HYPERLINK("http://ts.21cn.com/tousu/show/id/1357298","http://ts.21cn.com/tousu/show/id/1357298")</f>
      </c>
      <c r="G9769" t="s" s="2">
        <v>17</v>
      </c>
      <c r="H9769" t="s" s="2">
        <v>19</v>
      </c>
      <c r="I9769" t="s" s="2">
        <v>37672</v>
      </c>
      <c r="J9769" t="s" s="2">
        <v>37673</v>
      </c>
      <c r="K9769" t="s" s="2">
        <v>22</v>
      </c>
      <c r="L9769" t="s" s="2">
        <v>22</v>
      </c>
      <c r="M9769" t="s" s="2">
        <v>22</v>
      </c>
    </row>
    <row r="9770" ht="25.0" customHeight="true">
      <c r="A9770" t="s" s="2">
        <v>13</v>
      </c>
      <c r="B9770" t="s" s="2">
        <f>HYPERLINK("http://ts.21cn.com/tousu/show/id/1357301","苹果id被盗刷苹果拒绝追回被盗款项")</f>
      </c>
      <c r="C9770" t="s" s="2">
        <v>15</v>
      </c>
      <c r="D9770" t="s" s="2">
        <v>16</v>
      </c>
      <c r="E9770" t="s" s="2">
        <v>17</v>
      </c>
      <c r="F9770" t="s" s="2">
        <f>HYPERLINK("http://ts.21cn.com/tousu/show/id/1357301","http://ts.21cn.com/tousu/show/id/1357301")</f>
      </c>
      <c r="G9770" t="s" s="2">
        <v>17</v>
      </c>
      <c r="H9770" t="s" s="2">
        <v>19</v>
      </c>
      <c r="I9770" t="s" s="2">
        <v>37676</v>
      </c>
      <c r="J9770" t="s" s="2">
        <v>37677</v>
      </c>
      <c r="K9770" t="s" s="2">
        <v>22</v>
      </c>
      <c r="L9770" t="s" s="2">
        <v>22</v>
      </c>
      <c r="M9770" t="s" s="2">
        <v>22</v>
      </c>
    </row>
    <row r="9771" ht="25.0" customHeight="true">
      <c r="A9771" t="s" s="2">
        <v>13</v>
      </c>
      <c r="B9771" t="s" s="2">
        <f>HYPERLINK("http://ts.21cn.com/tousu/show/id/1357295","爆力催收，爆通讯录")</f>
      </c>
      <c r="C9771" t="s" s="2">
        <v>15</v>
      </c>
      <c r="D9771" t="s" s="2">
        <v>16</v>
      </c>
      <c r="E9771" t="s" s="2">
        <v>17</v>
      </c>
      <c r="F9771" t="s" s="2">
        <f>HYPERLINK("http://ts.21cn.com/tousu/show/id/1357295","http://ts.21cn.com/tousu/show/id/1357295")</f>
      </c>
      <c r="G9771" t="s" s="2">
        <v>17</v>
      </c>
      <c r="H9771" t="s" s="2">
        <v>19</v>
      </c>
      <c r="I9771" t="s" s="2">
        <v>37680</v>
      </c>
      <c r="J9771" t="s" s="2">
        <v>37681</v>
      </c>
      <c r="K9771" t="s" s="2">
        <v>22</v>
      </c>
      <c r="L9771" t="s" s="2">
        <v>22</v>
      </c>
      <c r="M9771" t="s" s="2">
        <v>22</v>
      </c>
    </row>
    <row r="9772" ht="25.0" customHeight="true">
      <c r="A9772" t="s" s="2">
        <v>13</v>
      </c>
      <c r="B9772" t="s" s="2">
        <f>HYPERLINK("http://ts.21cn.com/tousu/show/id/1357292","反对美团霸王条款！还我公道")</f>
      </c>
      <c r="C9772" t="s" s="2">
        <v>15</v>
      </c>
      <c r="D9772" t="s" s="2">
        <v>16</v>
      </c>
      <c r="E9772" t="s" s="2">
        <v>17</v>
      </c>
      <c r="F9772" t="s" s="2">
        <f>HYPERLINK("http://ts.21cn.com/tousu/show/id/1357292","http://ts.21cn.com/tousu/show/id/1357292")</f>
      </c>
      <c r="G9772" t="s" s="2">
        <v>17</v>
      </c>
      <c r="H9772" t="s" s="2">
        <v>19</v>
      </c>
      <c r="I9772" t="s" s="2">
        <v>37684</v>
      </c>
      <c r="J9772" t="s" s="2">
        <v>37685</v>
      </c>
      <c r="K9772" t="s" s="2">
        <v>22</v>
      </c>
      <c r="L9772" t="s" s="2">
        <v>22</v>
      </c>
      <c r="M9772" t="s" s="2">
        <v>22</v>
      </c>
    </row>
    <row r="9773" ht="25.0" customHeight="true">
      <c r="A9773" t="s" s="2">
        <v>13</v>
      </c>
      <c r="B9773" t="s" s="2">
        <f>HYPERLINK("http://ts.21cn.com/tousu/show/id/1357290","借钱快高利贷砍头息")</f>
      </c>
      <c r="C9773" t="s" s="2">
        <v>15</v>
      </c>
      <c r="D9773" t="s" s="2">
        <v>16</v>
      </c>
      <c r="E9773" t="s" s="2">
        <v>17</v>
      </c>
      <c r="F9773" t="s" s="2">
        <f>HYPERLINK("http://ts.21cn.com/tousu/show/id/1357290","http://ts.21cn.com/tousu/show/id/1357290")</f>
      </c>
      <c r="G9773" t="s" s="2">
        <v>17</v>
      </c>
      <c r="H9773" t="s" s="2">
        <v>19</v>
      </c>
      <c r="I9773" t="s" s="2">
        <v>37688</v>
      </c>
      <c r="J9773" t="s" s="2">
        <v>37689</v>
      </c>
      <c r="K9773" t="s" s="2">
        <v>22</v>
      </c>
      <c r="L9773" t="s" s="2">
        <v>22</v>
      </c>
      <c r="M9773" t="s" s="2">
        <v>22</v>
      </c>
    </row>
    <row r="9774" ht="25.0" customHeight="true">
      <c r="A9774" t="s" s="2">
        <v>13</v>
      </c>
      <c r="B9774" t="s" s="2">
        <f>HYPERLINK("http://ts.21cn.com/tousu/show/id/1357288","平安普惠贷款隐瞒隐藏并强制收取高额保险费管理费投诉事宜")</f>
      </c>
      <c r="C9774" t="s" s="2">
        <v>15</v>
      </c>
      <c r="D9774" t="s" s="2">
        <v>16</v>
      </c>
      <c r="E9774" t="s" s="2">
        <v>17</v>
      </c>
      <c r="F9774" t="s" s="2">
        <f>HYPERLINK("http://ts.21cn.com/tousu/show/id/1357288","http://ts.21cn.com/tousu/show/id/1357288")</f>
      </c>
      <c r="G9774" t="s" s="2">
        <v>17</v>
      </c>
      <c r="H9774" t="s" s="2">
        <v>19</v>
      </c>
      <c r="I9774" t="s" s="2">
        <v>37691</v>
      </c>
      <c r="J9774" t="s" s="2">
        <v>37692</v>
      </c>
      <c r="K9774" t="s" s="2">
        <v>22</v>
      </c>
      <c r="L9774" t="s" s="2">
        <v>22</v>
      </c>
      <c r="M9774" t="s" s="2">
        <v>22</v>
      </c>
    </row>
    <row r="9775" ht="25.0" customHeight="true">
      <c r="A9775" t="s" s="2">
        <v>13</v>
      </c>
      <c r="B9775" t="s" s="2">
        <f>HYPERLINK("http://ts.21cn.com/tousu/show/id/1357283","北京友缘在线网络科技股份有限公司还我198元")</f>
      </c>
      <c r="C9775" t="s" s="2">
        <v>15</v>
      </c>
      <c r="D9775" t="s" s="2">
        <v>16</v>
      </c>
      <c r="E9775" t="s" s="2">
        <v>17</v>
      </c>
      <c r="F9775" t="s" s="2">
        <f>HYPERLINK("http://ts.21cn.com/tousu/show/id/1357283","http://ts.21cn.com/tousu/show/id/1357283")</f>
      </c>
      <c r="G9775" t="s" s="2">
        <v>17</v>
      </c>
      <c r="H9775" t="s" s="2">
        <v>19</v>
      </c>
      <c r="I9775" t="s" s="2">
        <v>37695</v>
      </c>
      <c r="J9775" t="s" s="2">
        <v>37696</v>
      </c>
      <c r="K9775" t="s" s="2">
        <v>22</v>
      </c>
      <c r="L9775" t="s" s="2">
        <v>22</v>
      </c>
      <c r="M9775" t="s" s="2">
        <v>22</v>
      </c>
    </row>
    <row r="9776" ht="25.0" customHeight="true">
      <c r="A9776" t="s" s="2">
        <v>13</v>
      </c>
      <c r="B9776" t="s" s="2">
        <f>HYPERLINK("http://ts.21cn.com/tousu/show/id/1357287","京东金条漏发还款提醒短信，导致用户延迟还款几小时，马上还款的情况下执意损坏客户征信记录")</f>
      </c>
      <c r="C9776" t="s" s="2">
        <v>15</v>
      </c>
      <c r="D9776" t="s" s="2">
        <v>16</v>
      </c>
      <c r="E9776" t="s" s="2">
        <v>17</v>
      </c>
      <c r="F9776" t="s" s="2">
        <f>HYPERLINK("http://ts.21cn.com/tousu/show/id/1357287","http://ts.21cn.com/tousu/show/id/1357287")</f>
      </c>
      <c r="G9776" t="s" s="2">
        <v>17</v>
      </c>
      <c r="H9776" t="s" s="2">
        <v>19</v>
      </c>
      <c r="I9776" t="s" s="2">
        <v>37699</v>
      </c>
      <c r="J9776" t="s" s="2">
        <v>37700</v>
      </c>
      <c r="K9776" t="s" s="2">
        <v>22</v>
      </c>
      <c r="L9776" t="s" s="2">
        <v>22</v>
      </c>
      <c r="M9776" t="s" s="2">
        <v>22</v>
      </c>
    </row>
    <row r="9777" ht="25.0" customHeight="true">
      <c r="A9777" t="s" s="2">
        <v>13</v>
      </c>
      <c r="B9777" t="s" s="2">
        <f>HYPERLINK("http://ts.21cn.com/tousu/show/id/1357284","喜鹊快贷套路贷高利贷放款金额和合同金额不符")</f>
      </c>
      <c r="C9777" t="s" s="2">
        <v>15</v>
      </c>
      <c r="D9777" t="s" s="2">
        <v>16</v>
      </c>
      <c r="E9777" t="s" s="2">
        <v>17</v>
      </c>
      <c r="F9777" t="s" s="2">
        <f>HYPERLINK("http://ts.21cn.com/tousu/show/id/1357284","http://ts.21cn.com/tousu/show/id/1357284")</f>
      </c>
      <c r="G9777" t="s" s="2">
        <v>17</v>
      </c>
      <c r="H9777" t="s" s="2">
        <v>19</v>
      </c>
      <c r="I9777" t="s" s="2">
        <v>37703</v>
      </c>
      <c r="J9777" t="s" s="2">
        <v>37704</v>
      </c>
      <c r="K9777" t="s" s="2">
        <v>22</v>
      </c>
      <c r="L9777" t="s" s="2">
        <v>22</v>
      </c>
      <c r="M9777" t="s" s="2">
        <v>22</v>
      </c>
    </row>
    <row r="9778" ht="25.0" customHeight="true">
      <c r="A9778" t="s" s="2">
        <v>13</v>
      </c>
      <c r="B9778" t="s" s="2">
        <f>HYPERLINK("http://ts.21cn.com/tousu/show/id/1357281","没经同意就给我办理会员，扣款299")</f>
      </c>
      <c r="C9778" t="s" s="2">
        <v>15</v>
      </c>
      <c r="D9778" t="s" s="2">
        <v>16</v>
      </c>
      <c r="E9778" t="s" s="2">
        <v>17</v>
      </c>
      <c r="F9778" t="s" s="2">
        <f>HYPERLINK("http://ts.21cn.com/tousu/show/id/1357281","http://ts.21cn.com/tousu/show/id/1357281")</f>
      </c>
      <c r="G9778" t="s" s="2">
        <v>17</v>
      </c>
      <c r="H9778" t="s" s="2">
        <v>19</v>
      </c>
      <c r="I9778" t="s" s="2">
        <v>37707</v>
      </c>
      <c r="J9778" t="s" s="2">
        <v>37708</v>
      </c>
      <c r="K9778" t="s" s="2">
        <v>22</v>
      </c>
      <c r="L9778" t="s" s="2">
        <v>22</v>
      </c>
      <c r="M9778" t="s" s="2">
        <v>22</v>
      </c>
    </row>
    <row r="9779" ht="25.0" customHeight="true">
      <c r="A9779" t="s" s="2">
        <v>13</v>
      </c>
      <c r="B9779" t="s" s="2">
        <f>HYPERLINK("http://ts.21cn.com/tousu/show/id/1323873","质疑！！银行卡被莫名扣款408.76元")</f>
      </c>
      <c r="C9779" t="s" s="2">
        <v>15</v>
      </c>
      <c r="D9779" t="s" s="2">
        <v>16</v>
      </c>
      <c r="E9779" t="s" s="2">
        <v>17</v>
      </c>
      <c r="F9779" t="s" s="2">
        <f>HYPERLINK("http://ts.21cn.com/tousu/show/id/1323873","http://ts.21cn.com/tousu/show/id/1323873")</f>
      </c>
      <c r="G9779" t="s" s="2">
        <v>17</v>
      </c>
      <c r="H9779" t="s" s="2">
        <v>19</v>
      </c>
      <c r="I9779" t="s" s="2">
        <v>37711</v>
      </c>
      <c r="J9779" t="s" s="2">
        <v>37712</v>
      </c>
      <c r="K9779" t="s" s="2">
        <v>22</v>
      </c>
      <c r="L9779" t="s" s="2">
        <v>22</v>
      </c>
      <c r="M9779" t="s" s="2">
        <v>22</v>
      </c>
    </row>
    <row r="9780" ht="25.0" customHeight="true">
      <c r="A9780" t="s" s="2">
        <v>13</v>
      </c>
      <c r="B9780" t="s" s="2">
        <f>HYPERLINK("http://ts.21cn.com/tousu/show/id/1357279","好易借714高炮")</f>
      </c>
      <c r="C9780" t="s" s="2">
        <v>15</v>
      </c>
      <c r="D9780" t="s" s="2">
        <v>16</v>
      </c>
      <c r="E9780" t="s" s="2">
        <v>17</v>
      </c>
      <c r="F9780" t="s" s="2">
        <f>HYPERLINK("http://ts.21cn.com/tousu/show/id/1357279","http://ts.21cn.com/tousu/show/id/1357279")</f>
      </c>
      <c r="G9780" t="s" s="2">
        <v>17</v>
      </c>
      <c r="H9780" t="s" s="2">
        <v>19</v>
      </c>
      <c r="I9780" t="s" s="2">
        <v>37715</v>
      </c>
      <c r="J9780" t="s" s="2">
        <v>37716</v>
      </c>
      <c r="K9780" t="s" s="2">
        <v>22</v>
      </c>
      <c r="L9780" t="s" s="2">
        <v>22</v>
      </c>
      <c r="M9780" t="s" s="2">
        <v>22</v>
      </c>
    </row>
    <row r="9781" ht="25.0" customHeight="true">
      <c r="A9781" t="s" s="2">
        <v>13</v>
      </c>
      <c r="B9781" t="s" s="2">
        <f>HYPERLINK("http://ts.21cn.com/tousu/show/id/1357277","现金巴士砍头息")</f>
      </c>
      <c r="C9781" t="s" s="2">
        <v>15</v>
      </c>
      <c r="D9781" t="s" s="2">
        <v>16</v>
      </c>
      <c r="E9781" t="s" s="2">
        <v>17</v>
      </c>
      <c r="F9781" t="s" s="2">
        <f>HYPERLINK("http://ts.21cn.com/tousu/show/id/1357277","http://ts.21cn.com/tousu/show/id/1357277")</f>
      </c>
      <c r="G9781" t="s" s="2">
        <v>17</v>
      </c>
      <c r="H9781" t="s" s="2">
        <v>19</v>
      </c>
      <c r="I9781" t="s" s="2">
        <v>37718</v>
      </c>
      <c r="J9781" t="s" s="2">
        <v>37719</v>
      </c>
      <c r="K9781" t="s" s="2">
        <v>22</v>
      </c>
      <c r="L9781" t="s" s="2">
        <v>22</v>
      </c>
      <c r="M9781" t="s" s="2">
        <v>22</v>
      </c>
    </row>
    <row r="9782" ht="25.0" customHeight="true">
      <c r="A9782" t="s" s="2">
        <v>13</v>
      </c>
      <c r="B9782" t="s" s="2">
        <f>HYPERLINK("http://ts.21cn.com/tousu/show/id/1357276","喜马拉雅充喜点金额错误为啥不能退款")</f>
      </c>
      <c r="C9782" t="s" s="2">
        <v>52</v>
      </c>
      <c r="D9782" t="s" s="2">
        <v>16</v>
      </c>
      <c r="E9782" t="s" s="2">
        <v>17</v>
      </c>
      <c r="F9782" t="s" s="2">
        <f>HYPERLINK("http://ts.21cn.com/tousu/show/id/1357276","http://ts.21cn.com/tousu/show/id/1357276")</f>
      </c>
      <c r="G9782" t="s" s="2">
        <v>17</v>
      </c>
      <c r="H9782" t="s" s="2">
        <v>19</v>
      </c>
      <c r="I9782" t="s" s="2">
        <v>37722</v>
      </c>
      <c r="J9782" t="s" s="2">
        <v>37723</v>
      </c>
      <c r="K9782" t="s" s="2">
        <v>22</v>
      </c>
      <c r="L9782" t="s" s="2">
        <v>22</v>
      </c>
      <c r="M9782" t="s" s="2">
        <v>22</v>
      </c>
    </row>
    <row r="9783" ht="25.0" customHeight="true">
      <c r="A9783" t="s" s="2">
        <v>13</v>
      </c>
      <c r="B9783" t="s" s="2">
        <f>HYPERLINK("http://ts.21cn.com/tousu/show/id/1357273","人人贷阴阳合同，高利息")</f>
      </c>
      <c r="C9783" t="s" s="2">
        <v>15</v>
      </c>
      <c r="D9783" t="s" s="2">
        <v>16</v>
      </c>
      <c r="E9783" t="s" s="2">
        <v>17</v>
      </c>
      <c r="F9783" t="s" s="2">
        <f>HYPERLINK("http://ts.21cn.com/tousu/show/id/1357273","http://ts.21cn.com/tousu/show/id/1357273")</f>
      </c>
      <c r="G9783" t="s" s="2">
        <v>17</v>
      </c>
      <c r="H9783" t="s" s="2">
        <v>19</v>
      </c>
      <c r="I9783" t="s" s="2">
        <v>37726</v>
      </c>
      <c r="J9783" t="s" s="2">
        <v>37727</v>
      </c>
      <c r="K9783" t="s" s="2">
        <v>22</v>
      </c>
      <c r="L9783" t="s" s="2">
        <v>22</v>
      </c>
      <c r="M9783" t="s" s="2">
        <v>22</v>
      </c>
    </row>
    <row r="9784" ht="25.0" customHeight="true">
      <c r="A9784" t="s" s="2">
        <v>13</v>
      </c>
      <c r="B9784" t="s" s="2">
        <f>HYPERLINK("http://ts.21cn.com/tousu/show/id/1357270","玖富万卡擅自改写合同，变相收取费用，高利贷")</f>
      </c>
      <c r="C9784" t="s" s="2">
        <v>15</v>
      </c>
      <c r="D9784" t="s" s="2">
        <v>16</v>
      </c>
      <c r="E9784" t="s" s="2">
        <v>17</v>
      </c>
      <c r="F9784" t="s" s="2">
        <f>HYPERLINK("http://ts.21cn.com/tousu/show/id/1357270","http://ts.21cn.com/tousu/show/id/1357270")</f>
      </c>
      <c r="G9784" t="s" s="2">
        <v>17</v>
      </c>
      <c r="H9784" t="s" s="2">
        <v>19</v>
      </c>
      <c r="I9784" t="s" s="2">
        <v>37729</v>
      </c>
      <c r="J9784" t="s" s="2">
        <v>37730</v>
      </c>
      <c r="K9784" t="s" s="2">
        <v>22</v>
      </c>
      <c r="L9784" t="s" s="2">
        <v>22</v>
      </c>
      <c r="M9784" t="s" s="2">
        <v>22</v>
      </c>
    </row>
    <row r="9785" ht="25.0" customHeight="true">
      <c r="A9785" t="s" s="2">
        <v>13</v>
      </c>
      <c r="B9785" t="s" s="2">
        <f>HYPERLINK("http://ts.21cn.com/tousu/show/id/1357269","玖富万卡利息太高")</f>
      </c>
      <c r="C9785" t="s" s="2">
        <v>15</v>
      </c>
      <c r="D9785" t="s" s="2">
        <v>16</v>
      </c>
      <c r="E9785" t="s" s="2">
        <v>17</v>
      </c>
      <c r="F9785" t="s" s="2">
        <f>HYPERLINK("http://ts.21cn.com/tousu/show/id/1357269","http://ts.21cn.com/tousu/show/id/1357269")</f>
      </c>
      <c r="G9785" t="s" s="2">
        <v>17</v>
      </c>
      <c r="H9785" t="s" s="2">
        <v>19</v>
      </c>
      <c r="I9785" t="s" s="2">
        <v>37732</v>
      </c>
      <c r="J9785" t="s" s="2">
        <v>37733</v>
      </c>
      <c r="K9785" t="s" s="2">
        <v>22</v>
      </c>
      <c r="L9785" t="s" s="2">
        <v>22</v>
      </c>
      <c r="M9785" t="s" s="2">
        <v>22</v>
      </c>
    </row>
    <row r="9786" ht="25.0" customHeight="true">
      <c r="A9786" t="s" s="2">
        <v>13</v>
      </c>
      <c r="B9786" t="s" s="2">
        <f>HYPERLINK("http://ts.21cn.com/tousu/show/id/1357255","我被北京有缘网恶意扣费")</f>
      </c>
      <c r="C9786" t="s" s="2">
        <v>15</v>
      </c>
      <c r="D9786" t="s" s="2">
        <v>16</v>
      </c>
      <c r="E9786" t="s" s="2">
        <v>17</v>
      </c>
      <c r="F9786" t="s" s="2">
        <f>HYPERLINK("http://ts.21cn.com/tousu/show/id/1357255","http://ts.21cn.com/tousu/show/id/1357255")</f>
      </c>
      <c r="G9786" t="s" s="2">
        <v>17</v>
      </c>
      <c r="H9786" t="s" s="2">
        <v>19</v>
      </c>
      <c r="I9786" t="s" s="2">
        <v>37736</v>
      </c>
      <c r="J9786" t="s" s="2">
        <v>37737</v>
      </c>
      <c r="K9786" t="s" s="2">
        <v>22</v>
      </c>
      <c r="L9786" t="s" s="2">
        <v>22</v>
      </c>
      <c r="M9786" t="s" s="2">
        <v>22</v>
      </c>
    </row>
    <row r="9787" ht="25.0" customHeight="true">
      <c r="A9787" t="s" s="2">
        <v>13</v>
      </c>
      <c r="B9787" t="s" s="2">
        <f>HYPERLINK("http://ts.21cn.com/tousu/show/id/1357266","一秒陛下典型套路贷高利贷714")</f>
      </c>
      <c r="C9787" t="s" s="2">
        <v>15</v>
      </c>
      <c r="D9787" t="s" s="2">
        <v>16</v>
      </c>
      <c r="E9787" t="s" s="2">
        <v>17</v>
      </c>
      <c r="F9787" t="s" s="2">
        <f>HYPERLINK("http://ts.21cn.com/tousu/show/id/1357266","http://ts.21cn.com/tousu/show/id/1357266")</f>
      </c>
      <c r="G9787" t="s" s="2">
        <v>17</v>
      </c>
      <c r="H9787" t="s" s="2">
        <v>19</v>
      </c>
      <c r="I9787" t="s" s="2">
        <v>37740</v>
      </c>
      <c r="J9787" t="s" s="2">
        <v>37741</v>
      </c>
      <c r="K9787" t="s" s="2">
        <v>22</v>
      </c>
      <c r="L9787" t="s" s="2">
        <v>22</v>
      </c>
      <c r="M9787" t="s" s="2">
        <v>22</v>
      </c>
    </row>
    <row r="9788" ht="25.0" customHeight="true">
      <c r="A9788" t="s" s="2">
        <v>13</v>
      </c>
      <c r="B9788" t="s" s="2">
        <f>HYPERLINK("http://ts.21cn.com/tousu/show/id/1357265","快贷高利贷平台")</f>
      </c>
      <c r="C9788" t="s" s="2">
        <v>15</v>
      </c>
      <c r="D9788" t="s" s="2">
        <v>16</v>
      </c>
      <c r="E9788" t="s" s="2">
        <v>17</v>
      </c>
      <c r="F9788" t="s" s="2">
        <f>HYPERLINK("http://ts.21cn.com/tousu/show/id/1357265","http://ts.21cn.com/tousu/show/id/1357265")</f>
      </c>
      <c r="G9788" t="s" s="2">
        <v>17</v>
      </c>
      <c r="H9788" t="s" s="2">
        <v>19</v>
      </c>
      <c r="I9788" t="s" s="2">
        <v>37744</v>
      </c>
      <c r="J9788" t="s" s="2">
        <v>37745</v>
      </c>
      <c r="K9788" t="s" s="2">
        <v>22</v>
      </c>
      <c r="L9788" t="s" s="2">
        <v>22</v>
      </c>
      <c r="M9788" t="s" s="2">
        <v>22</v>
      </c>
    </row>
    <row r="9789" ht="25.0" customHeight="true">
      <c r="A9789" t="s" s="2">
        <v>13</v>
      </c>
      <c r="B9789" t="s" s="2">
        <f>HYPERLINK("http://ts.21cn.com/tousu/show/id/1357185","小闪分期砍头息，高利率")</f>
      </c>
      <c r="C9789" t="s" s="2">
        <v>15</v>
      </c>
      <c r="D9789" t="s" s="2">
        <v>16</v>
      </c>
      <c r="E9789" t="s" s="2">
        <v>17</v>
      </c>
      <c r="F9789" t="s" s="2">
        <f>HYPERLINK("http://ts.21cn.com/tousu/show/id/1357185","http://ts.21cn.com/tousu/show/id/1357185")</f>
      </c>
      <c r="G9789" t="s" s="2">
        <v>17</v>
      </c>
      <c r="H9789" t="s" s="2">
        <v>19</v>
      </c>
      <c r="I9789" t="s" s="2">
        <v>37748</v>
      </c>
      <c r="J9789" t="s" s="2">
        <v>37749</v>
      </c>
      <c r="K9789" t="s" s="2">
        <v>22</v>
      </c>
      <c r="L9789" t="s" s="2">
        <v>22</v>
      </c>
      <c r="M9789" t="s" s="2">
        <v>22</v>
      </c>
    </row>
    <row r="9790" ht="25.0" customHeight="true">
      <c r="A9790" t="s" s="2">
        <v>13</v>
      </c>
      <c r="B9790" t="s" s="2">
        <f>HYPERLINK("http://ts.21cn.com/tousu/show/id/1357261","产品和说好的不符合")</f>
      </c>
      <c r="C9790" t="s" s="2">
        <v>15</v>
      </c>
      <c r="D9790" t="s" s="2">
        <v>16</v>
      </c>
      <c r="E9790" t="s" s="2">
        <v>17</v>
      </c>
      <c r="F9790" t="s" s="2">
        <f>HYPERLINK("http://ts.21cn.com/tousu/show/id/1357261","http://ts.21cn.com/tousu/show/id/1357261")</f>
      </c>
      <c r="G9790" t="s" s="2">
        <v>17</v>
      </c>
      <c r="H9790" t="s" s="2">
        <v>19</v>
      </c>
      <c r="I9790" t="s" s="2">
        <v>37752</v>
      </c>
      <c r="J9790" t="s" s="2">
        <v>37753</v>
      </c>
      <c r="K9790" t="s" s="2">
        <v>22</v>
      </c>
      <c r="L9790" t="s" s="2">
        <v>22</v>
      </c>
      <c r="M9790" t="s" s="2">
        <v>22</v>
      </c>
    </row>
    <row r="9791" ht="25.0" customHeight="true">
      <c r="A9791" t="s" s="2">
        <v>13</v>
      </c>
      <c r="B9791" t="s" s="2">
        <f>HYPERLINK("http://ts.21cn.com/tousu/show/id/1357258","银行卡被盗刷金额")</f>
      </c>
      <c r="C9791" t="s" s="2">
        <v>15</v>
      </c>
      <c r="D9791" t="s" s="2">
        <v>16</v>
      </c>
      <c r="E9791" t="s" s="2">
        <v>17</v>
      </c>
      <c r="F9791" t="s" s="2">
        <f>HYPERLINK("http://ts.21cn.com/tousu/show/id/1357258","http://ts.21cn.com/tousu/show/id/1357258")</f>
      </c>
      <c r="G9791" t="s" s="2">
        <v>17</v>
      </c>
      <c r="H9791" t="s" s="2">
        <v>19</v>
      </c>
      <c r="I9791" t="s" s="2">
        <v>37756</v>
      </c>
      <c r="J9791" t="s" s="2">
        <v>37757</v>
      </c>
      <c r="K9791" t="s" s="2">
        <v>22</v>
      </c>
      <c r="L9791" t="s" s="2">
        <v>22</v>
      </c>
      <c r="M9791" t="s" s="2">
        <v>22</v>
      </c>
    </row>
    <row r="9792" ht="25.0" customHeight="true">
      <c r="A9792" t="s" s="2">
        <v>13</v>
      </c>
      <c r="B9792" t="s" s="2">
        <f>HYPERLINK("http://ts.21cn.com/tousu/show/id/1357257","信用卡逾期银行拒绝协商还款")</f>
      </c>
      <c r="C9792" t="s" s="2">
        <v>15</v>
      </c>
      <c r="D9792" t="s" s="2">
        <v>16</v>
      </c>
      <c r="E9792" t="s" s="2">
        <v>17</v>
      </c>
      <c r="F9792" t="s" s="2">
        <f>HYPERLINK("http://ts.21cn.com/tousu/show/id/1357257","http://ts.21cn.com/tousu/show/id/1357257")</f>
      </c>
      <c r="G9792" t="s" s="2">
        <v>17</v>
      </c>
      <c r="H9792" t="s" s="2">
        <v>19</v>
      </c>
      <c r="I9792" t="s" s="2">
        <v>37759</v>
      </c>
      <c r="J9792" t="s" s="2">
        <v>37760</v>
      </c>
      <c r="K9792" t="s" s="2">
        <v>22</v>
      </c>
      <c r="L9792" t="s" s="2">
        <v>22</v>
      </c>
      <c r="M9792" t="s" s="2">
        <v>22</v>
      </c>
    </row>
    <row r="9793" ht="25.0" customHeight="true">
      <c r="A9793" t="s" s="2">
        <v>13</v>
      </c>
      <c r="B9793" t="s" s="2">
        <f>HYPERLINK("http://ts.21cn.com/tousu/show/id/1357254","左右钱包典型套路贷高利贷714")</f>
      </c>
      <c r="C9793" t="s" s="2">
        <v>15</v>
      </c>
      <c r="D9793" t="s" s="2">
        <v>16</v>
      </c>
      <c r="E9793" t="s" s="2">
        <v>17</v>
      </c>
      <c r="F9793" t="s" s="2">
        <f>HYPERLINK("http://ts.21cn.com/tousu/show/id/1357254","http://ts.21cn.com/tousu/show/id/1357254")</f>
      </c>
      <c r="G9793" t="s" s="2">
        <v>17</v>
      </c>
      <c r="H9793" t="s" s="2">
        <v>19</v>
      </c>
      <c r="I9793" t="s" s="2">
        <v>37763</v>
      </c>
      <c r="J9793" t="s" s="2">
        <v>37764</v>
      </c>
      <c r="K9793" t="s" s="2">
        <v>22</v>
      </c>
      <c r="L9793" t="s" s="2">
        <v>22</v>
      </c>
      <c r="M9793" t="s" s="2">
        <v>22</v>
      </c>
    </row>
    <row r="9794" ht="25.0" customHeight="true">
      <c r="A9794" t="s" s="2">
        <v>13</v>
      </c>
      <c r="B9794" t="s" s="2">
        <f>HYPERLINK("http://ts.21cn.com/tousu/show/id/1357251","小通商城乱扣费")</f>
      </c>
      <c r="C9794" t="s" s="2">
        <v>15</v>
      </c>
      <c r="D9794" t="s" s="2">
        <v>16</v>
      </c>
      <c r="E9794" t="s" s="2">
        <v>17</v>
      </c>
      <c r="F9794" t="s" s="2">
        <f>HYPERLINK("http://ts.21cn.com/tousu/show/id/1357251","http://ts.21cn.com/tousu/show/id/1357251")</f>
      </c>
      <c r="G9794" t="s" s="2">
        <v>17</v>
      </c>
      <c r="H9794" t="s" s="2">
        <v>19</v>
      </c>
      <c r="I9794" t="s" s="2">
        <v>37767</v>
      </c>
      <c r="J9794" t="s" s="2">
        <v>37768</v>
      </c>
      <c r="K9794" t="s" s="2">
        <v>22</v>
      </c>
      <c r="L9794" t="s" s="2">
        <v>22</v>
      </c>
      <c r="M9794" t="s" s="2">
        <v>22</v>
      </c>
    </row>
    <row r="9795" ht="25.0" customHeight="true">
      <c r="A9795" t="s" s="2">
        <v>13</v>
      </c>
      <c r="B9795" t="s" s="2">
        <f>HYPERLINK("http://ts.21cn.com/tousu/show/id/1357250","拍拍贷恶意逾期收取逾期费")</f>
      </c>
      <c r="C9795" t="s" s="2">
        <v>15</v>
      </c>
      <c r="D9795" t="s" s="2">
        <v>16</v>
      </c>
      <c r="E9795" t="s" s="2">
        <v>17</v>
      </c>
      <c r="F9795" t="s" s="2">
        <f>HYPERLINK("http://ts.21cn.com/tousu/show/id/1357250","http://ts.21cn.com/tousu/show/id/1357250")</f>
      </c>
      <c r="G9795" t="s" s="2">
        <v>17</v>
      </c>
      <c r="H9795" t="s" s="2">
        <v>19</v>
      </c>
      <c r="I9795" t="s" s="2">
        <v>37771</v>
      </c>
      <c r="J9795" t="s" s="2">
        <v>37772</v>
      </c>
      <c r="K9795" t="s" s="2">
        <v>22</v>
      </c>
      <c r="L9795" t="s" s="2">
        <v>22</v>
      </c>
      <c r="M9795" t="s" s="2">
        <v>22</v>
      </c>
    </row>
    <row r="9796" ht="25.0" customHeight="true">
      <c r="A9796" t="s" s="2">
        <v>13</v>
      </c>
      <c r="B9796" t="s" s="2">
        <f>HYPERLINK("http://ts.21cn.com/tousu/show/id/1357249","深圳市恒富创融科技有限公司在没有任何提示，未经允许的情况下扣费148元")</f>
      </c>
      <c r="C9796" t="s" s="2">
        <v>52</v>
      </c>
      <c r="D9796" t="s" s="2">
        <v>16</v>
      </c>
      <c r="E9796" t="s" s="2">
        <v>17</v>
      </c>
      <c r="F9796" t="s" s="2">
        <f>HYPERLINK("http://ts.21cn.com/tousu/show/id/1357249","http://ts.21cn.com/tousu/show/id/1357249")</f>
      </c>
      <c r="G9796" t="s" s="2">
        <v>17</v>
      </c>
      <c r="H9796" t="s" s="2">
        <v>19</v>
      </c>
      <c r="I9796" t="s" s="2">
        <v>37775</v>
      </c>
      <c r="J9796" t="s" s="2">
        <v>37776</v>
      </c>
      <c r="K9796" t="s" s="2">
        <v>22</v>
      </c>
      <c r="L9796" t="s" s="2">
        <v>22</v>
      </c>
      <c r="M9796" t="s" s="2">
        <v>22</v>
      </c>
    </row>
    <row r="9797" ht="25.0" customHeight="true">
      <c r="A9797" t="s" s="2">
        <v>13</v>
      </c>
      <c r="B9797" t="s" s="2">
        <f>HYPERLINK("http://ts.21cn.com/tousu/show/id/1357247","集体举报向钱贷")</f>
      </c>
      <c r="C9797" t="s" s="2">
        <v>15</v>
      </c>
      <c r="D9797" t="s" s="2">
        <v>16</v>
      </c>
      <c r="E9797" t="s" s="2">
        <v>17</v>
      </c>
      <c r="F9797" t="s" s="2">
        <f>HYPERLINK("http://ts.21cn.com/tousu/show/id/1357247","http://ts.21cn.com/tousu/show/id/1357247")</f>
      </c>
      <c r="G9797" t="s" s="2">
        <v>17</v>
      </c>
      <c r="H9797" t="s" s="2">
        <v>19</v>
      </c>
      <c r="I9797" t="s" s="2">
        <v>37779</v>
      </c>
      <c r="J9797" t="s" s="2">
        <v>37780</v>
      </c>
      <c r="K9797" t="s" s="2">
        <v>22</v>
      </c>
      <c r="L9797" t="s" s="2">
        <v>22</v>
      </c>
      <c r="M9797" t="s" s="2">
        <v>22</v>
      </c>
    </row>
    <row r="9798" ht="25.0" customHeight="true">
      <c r="A9798" t="s" s="2">
        <v>13</v>
      </c>
      <c r="B9798" t="s" s="2">
        <f>HYPERLINK("http://ts.21cn.com/tousu/show/id/1357246","中金支付信而富砍头息")</f>
      </c>
      <c r="C9798" t="s" s="2">
        <v>15</v>
      </c>
      <c r="D9798" t="s" s="2">
        <v>16</v>
      </c>
      <c r="E9798" t="s" s="2">
        <v>17</v>
      </c>
      <c r="F9798" t="s" s="2">
        <f>HYPERLINK("http://ts.21cn.com/tousu/show/id/1357246","http://ts.21cn.com/tousu/show/id/1357246")</f>
      </c>
      <c r="G9798" t="s" s="2">
        <v>17</v>
      </c>
      <c r="H9798" t="s" s="2">
        <v>19</v>
      </c>
      <c r="I9798" t="s" s="2">
        <v>37783</v>
      </c>
      <c r="J9798" t="s" s="2">
        <v>37784</v>
      </c>
      <c r="K9798" t="s" s="2">
        <v>22</v>
      </c>
      <c r="L9798" t="s" s="2">
        <v>22</v>
      </c>
      <c r="M9798" t="s" s="2">
        <v>22</v>
      </c>
    </row>
    <row r="9799" ht="25.0" customHeight="true">
      <c r="A9799" t="s" s="2">
        <v>13</v>
      </c>
      <c r="B9799" t="s" s="2">
        <f>HYPERLINK("http://ts.21cn.com/tousu/show/id/1357244","钱站阴阳合同")</f>
      </c>
      <c r="C9799" t="s" s="2">
        <v>15</v>
      </c>
      <c r="D9799" t="s" s="2">
        <v>16</v>
      </c>
      <c r="E9799" t="s" s="2">
        <v>17</v>
      </c>
      <c r="F9799" t="s" s="2">
        <f>HYPERLINK("http://ts.21cn.com/tousu/show/id/1357244","http://ts.21cn.com/tousu/show/id/1357244")</f>
      </c>
      <c r="G9799" t="s" s="2">
        <v>17</v>
      </c>
      <c r="H9799" t="s" s="2">
        <v>19</v>
      </c>
      <c r="I9799" t="s" s="2">
        <v>37786</v>
      </c>
      <c r="J9799" t="s" s="2">
        <v>37787</v>
      </c>
      <c r="K9799" t="s" s="2">
        <v>22</v>
      </c>
      <c r="L9799" t="s" s="2">
        <v>22</v>
      </c>
      <c r="M9799" t="s" s="2">
        <v>22</v>
      </c>
    </row>
    <row r="9800" ht="25.0" customHeight="true">
      <c r="A9800" t="s" s="2">
        <v>13</v>
      </c>
      <c r="B9800" t="s" s="2">
        <f>HYPERLINK("http://ts.21cn.com/tousu/show/id/1357243","爆通讯录，恐吓，威胁")</f>
      </c>
      <c r="C9800" t="s" s="2">
        <v>15</v>
      </c>
      <c r="D9800" t="s" s="2">
        <v>16</v>
      </c>
      <c r="E9800" t="s" s="2">
        <v>17</v>
      </c>
      <c r="F9800" t="s" s="2">
        <f>HYPERLINK("http://ts.21cn.com/tousu/show/id/1357243","http://ts.21cn.com/tousu/show/id/1357243")</f>
      </c>
      <c r="G9800" t="s" s="2">
        <v>17</v>
      </c>
      <c r="H9800" t="s" s="2">
        <v>19</v>
      </c>
      <c r="I9800" t="s" s="2">
        <v>37790</v>
      </c>
      <c r="J9800" t="s" s="2">
        <v>37791</v>
      </c>
      <c r="K9800" t="s" s="2">
        <v>22</v>
      </c>
      <c r="L9800" t="s" s="2">
        <v>22</v>
      </c>
      <c r="M9800" t="s" s="2">
        <v>22</v>
      </c>
    </row>
    <row r="9801" ht="25.0" customHeight="true">
      <c r="A9801" t="s" s="2">
        <v>13</v>
      </c>
      <c r="B9801" t="s" s="2">
        <f>HYPERLINK("http://ts.21cn.com/tousu/show/id/1357240","开放额度")</f>
      </c>
      <c r="C9801" t="s" s="2">
        <v>15</v>
      </c>
      <c r="D9801" t="s" s="2">
        <v>16</v>
      </c>
      <c r="E9801" t="s" s="2">
        <v>17</v>
      </c>
      <c r="F9801" t="s" s="2">
        <f>HYPERLINK("http://ts.21cn.com/tousu/show/id/1357240","http://ts.21cn.com/tousu/show/id/1357240")</f>
      </c>
      <c r="G9801" t="s" s="2">
        <v>17</v>
      </c>
      <c r="H9801" t="s" s="2">
        <v>19</v>
      </c>
      <c r="I9801" t="s" s="2">
        <v>37794</v>
      </c>
      <c r="J9801" t="s" s="2">
        <v>37795</v>
      </c>
      <c r="K9801" t="s" s="2">
        <v>22</v>
      </c>
      <c r="L9801" t="s" s="2">
        <v>22</v>
      </c>
      <c r="M9801" t="s" s="2">
        <v>22</v>
      </c>
    </row>
    <row r="9802" ht="25.0" customHeight="true">
      <c r="A9802" t="s" s="2">
        <v>13</v>
      </c>
      <c r="B9802" t="s" s="2">
        <f>HYPERLINK("http://ts.21cn.com/tousu/show/id/1357238","处处APP涉嫌欺诈扣费")</f>
      </c>
      <c r="C9802" t="s" s="2">
        <v>15</v>
      </c>
      <c r="D9802" t="s" s="2">
        <v>16</v>
      </c>
      <c r="E9802" t="s" s="2">
        <v>17</v>
      </c>
      <c r="F9802" t="s" s="2">
        <f>HYPERLINK("http://ts.21cn.com/tousu/show/id/1357238","http://ts.21cn.com/tousu/show/id/1357238")</f>
      </c>
      <c r="G9802" t="s" s="2">
        <v>17</v>
      </c>
      <c r="H9802" t="s" s="2">
        <v>19</v>
      </c>
      <c r="I9802" t="s" s="2">
        <v>37797</v>
      </c>
      <c r="J9802" t="s" s="2">
        <v>37798</v>
      </c>
      <c r="K9802" t="s" s="2">
        <v>22</v>
      </c>
      <c r="L9802" t="s" s="2">
        <v>22</v>
      </c>
      <c r="M9802" t="s" s="2">
        <v>22</v>
      </c>
    </row>
    <row r="9803" ht="25.0" customHeight="true">
      <c r="A9803" t="s" s="2">
        <v>13</v>
      </c>
      <c r="B9803" t="s" s="2">
        <f>HYPERLINK("http://ts.21cn.com/tousu/show/id/1357236","捷信放款失败，要求取消合同却一直在拖，没有取消合同的意思")</f>
      </c>
      <c r="C9803" t="s" s="2">
        <v>15</v>
      </c>
      <c r="D9803" t="s" s="2">
        <v>16</v>
      </c>
      <c r="E9803" t="s" s="2">
        <v>17</v>
      </c>
      <c r="F9803" t="s" s="2">
        <f>HYPERLINK("http://ts.21cn.com/tousu/show/id/1357236","http://ts.21cn.com/tousu/show/id/1357236")</f>
      </c>
      <c r="G9803" t="s" s="2">
        <v>17</v>
      </c>
      <c r="H9803" t="s" s="2">
        <v>19</v>
      </c>
      <c r="I9803" t="s" s="2">
        <v>37801</v>
      </c>
      <c r="J9803" t="s" s="2">
        <v>37802</v>
      </c>
      <c r="K9803" t="s" s="2">
        <v>22</v>
      </c>
      <c r="L9803" t="s" s="2">
        <v>22</v>
      </c>
      <c r="M9803" t="s" s="2">
        <v>22</v>
      </c>
    </row>
    <row r="9804" ht="25.0" customHeight="true">
      <c r="A9804" t="s" s="2">
        <v>13</v>
      </c>
      <c r="B9804" t="s" s="2">
        <f>HYPERLINK("http://ts.21cn.com/tousu/show/id/1357233","融360里的快来花平台")</f>
      </c>
      <c r="C9804" t="s" s="2">
        <v>15</v>
      </c>
      <c r="D9804" t="s" s="2">
        <v>16</v>
      </c>
      <c r="E9804" t="s" s="2">
        <v>17</v>
      </c>
      <c r="F9804" t="s" s="2">
        <f>HYPERLINK("http://ts.21cn.com/tousu/show/id/1357233","http://ts.21cn.com/tousu/show/id/1357233")</f>
      </c>
      <c r="G9804" t="s" s="2">
        <v>17</v>
      </c>
      <c r="H9804" t="s" s="2">
        <v>19</v>
      </c>
      <c r="I9804" t="s" s="2">
        <v>37805</v>
      </c>
      <c r="J9804" t="s" s="2">
        <v>37806</v>
      </c>
      <c r="K9804" t="s" s="2">
        <v>22</v>
      </c>
      <c r="L9804" t="s" s="2">
        <v>22</v>
      </c>
      <c r="M9804" t="s" s="2">
        <v>22</v>
      </c>
    </row>
    <row r="9805" ht="25.0" customHeight="true">
      <c r="A9805" t="s" s="2">
        <v>13</v>
      </c>
      <c r="B9805" t="s" s="2">
        <f>HYPERLINK("http://ts.21cn.com/tousu/show/id/1357235","天津通融通国际保理有限公司违规为高利贷平台提供代支代扣服务")</f>
      </c>
      <c r="C9805" t="s" s="2">
        <v>15</v>
      </c>
      <c r="D9805" t="s" s="2">
        <v>16</v>
      </c>
      <c r="E9805" t="s" s="2">
        <v>17</v>
      </c>
      <c r="F9805" t="s" s="2">
        <f>HYPERLINK("http://ts.21cn.com/tousu/show/id/1357235","http://ts.21cn.com/tousu/show/id/1357235")</f>
      </c>
      <c r="G9805" t="s" s="2">
        <v>17</v>
      </c>
      <c r="H9805" t="s" s="2">
        <v>19</v>
      </c>
      <c r="I9805" t="s" s="2">
        <v>37809</v>
      </c>
      <c r="J9805" t="s" s="2">
        <v>37810</v>
      </c>
      <c r="K9805" t="s" s="2">
        <v>22</v>
      </c>
      <c r="L9805" t="s" s="2">
        <v>22</v>
      </c>
      <c r="M9805" t="s" s="2">
        <v>22</v>
      </c>
    </row>
    <row r="9806" ht="25.0" customHeight="true">
      <c r="A9806" t="s" s="2">
        <v>13</v>
      </c>
      <c r="B9806" t="s" s="2">
        <f>HYPERLINK("http://ts.21cn.com/tousu/show/id/1357232","圆通速递集体投诉专题")</f>
      </c>
      <c r="C9806" t="s" s="2">
        <v>15</v>
      </c>
      <c r="D9806" t="s" s="2">
        <v>16</v>
      </c>
      <c r="E9806" t="s" s="2">
        <v>17</v>
      </c>
      <c r="F9806" t="s" s="2">
        <f>HYPERLINK("http://ts.21cn.com/tousu/show/id/1357232","http://ts.21cn.com/tousu/show/id/1357232")</f>
      </c>
      <c r="G9806" t="s" s="2">
        <v>17</v>
      </c>
      <c r="H9806" t="s" s="2">
        <v>19</v>
      </c>
      <c r="I9806" t="s" s="2">
        <v>37813</v>
      </c>
      <c r="J9806" t="s" s="2">
        <v>37814</v>
      </c>
      <c r="K9806" t="s" s="2">
        <v>22</v>
      </c>
      <c r="L9806" t="s" s="2">
        <v>22</v>
      </c>
      <c r="M9806" t="s" s="2">
        <v>22</v>
      </c>
    </row>
    <row r="9807" ht="25.0" customHeight="true">
      <c r="A9807" t="s" s="2">
        <v>13</v>
      </c>
      <c r="B9807" t="s" s="2">
        <f>HYPERLINK("http://ts.21cn.com/tousu/show/id/1357229","提前还款没有减免任何费用，利息还高得吓人")</f>
      </c>
      <c r="C9807" t="s" s="2">
        <v>52</v>
      </c>
      <c r="D9807" t="s" s="2">
        <v>16</v>
      </c>
      <c r="E9807" t="s" s="2">
        <v>17</v>
      </c>
      <c r="F9807" t="s" s="2">
        <f>HYPERLINK("http://ts.21cn.com/tousu/show/id/1357229","http://ts.21cn.com/tousu/show/id/1357229")</f>
      </c>
      <c r="G9807" t="s" s="2">
        <v>17</v>
      </c>
      <c r="H9807" t="s" s="2">
        <v>19</v>
      </c>
      <c r="I9807" t="s" s="2">
        <v>37817</v>
      </c>
      <c r="J9807" t="s" s="2">
        <v>37818</v>
      </c>
      <c r="K9807" t="s" s="2">
        <v>22</v>
      </c>
      <c r="L9807" t="s" s="2">
        <v>22</v>
      </c>
      <c r="M9807" t="s" s="2">
        <v>22</v>
      </c>
    </row>
    <row r="9808" ht="25.0" customHeight="true">
      <c r="A9808" t="s" s="2">
        <v>13</v>
      </c>
      <c r="B9808" t="s" s="2">
        <f>HYPERLINK("http://ts.21cn.com/tousu/show/id/1357211","高利贷，合同作假。")</f>
      </c>
      <c r="C9808" t="s" s="2">
        <v>15</v>
      </c>
      <c r="D9808" t="s" s="2">
        <v>16</v>
      </c>
      <c r="E9808" t="s" s="2">
        <v>17</v>
      </c>
      <c r="F9808" t="s" s="2">
        <f>HYPERLINK("http://ts.21cn.com/tousu/show/id/1357211","http://ts.21cn.com/tousu/show/id/1357211")</f>
      </c>
      <c r="G9808" t="s" s="2">
        <v>17</v>
      </c>
      <c r="H9808" t="s" s="2">
        <v>19</v>
      </c>
      <c r="I9808" t="s" s="2">
        <v>37821</v>
      </c>
      <c r="J9808" t="s" s="2">
        <v>37822</v>
      </c>
      <c r="K9808" t="s" s="2">
        <v>22</v>
      </c>
      <c r="L9808" t="s" s="2">
        <v>22</v>
      </c>
      <c r="M9808" t="s" s="2">
        <v>22</v>
      </c>
    </row>
    <row r="9809" ht="25.0" customHeight="true">
      <c r="A9809" t="s" s="2">
        <v>13</v>
      </c>
      <c r="B9809" t="s" s="2">
        <f>HYPERLINK("http://ts.21cn.com/tousu/show/id/1357227","上海漫道就是宝付同为高炮平台提供支付渠道")</f>
      </c>
      <c r="C9809" t="s" s="2">
        <v>15</v>
      </c>
      <c r="D9809" t="s" s="2">
        <v>16</v>
      </c>
      <c r="E9809" t="s" s="2">
        <v>17</v>
      </c>
      <c r="F9809" t="s" s="2">
        <f>HYPERLINK("http://ts.21cn.com/tousu/show/id/1357227","http://ts.21cn.com/tousu/show/id/1357227")</f>
      </c>
      <c r="G9809" t="s" s="2">
        <v>17</v>
      </c>
      <c r="H9809" t="s" s="2">
        <v>19</v>
      </c>
      <c r="I9809" t="s" s="2">
        <v>37825</v>
      </c>
      <c r="J9809" t="s" s="2">
        <v>37826</v>
      </c>
      <c r="K9809" t="s" s="2">
        <v>22</v>
      </c>
      <c r="L9809" t="s" s="2">
        <v>22</v>
      </c>
      <c r="M9809" t="s" s="2">
        <v>22</v>
      </c>
    </row>
    <row r="9810" ht="25.0" customHeight="true">
      <c r="A9810" t="s" s="2">
        <v>13</v>
      </c>
      <c r="B9810" t="s" s="2">
        <f>HYPERLINK("http://ts.21cn.com/tousu/show/id/1357224","洋钱包擅自扣款")</f>
      </c>
      <c r="C9810" t="s" s="2">
        <v>15</v>
      </c>
      <c r="D9810" t="s" s="2">
        <v>16</v>
      </c>
      <c r="E9810" t="s" s="2">
        <v>17</v>
      </c>
      <c r="F9810" t="s" s="2">
        <f>HYPERLINK("http://ts.21cn.com/tousu/show/id/1357224","http://ts.21cn.com/tousu/show/id/1357224")</f>
      </c>
      <c r="G9810" t="s" s="2">
        <v>17</v>
      </c>
      <c r="H9810" t="s" s="2">
        <v>19</v>
      </c>
      <c r="I9810" t="s" s="2">
        <v>37829</v>
      </c>
      <c r="J9810" t="s" s="2">
        <v>37830</v>
      </c>
      <c r="K9810" t="s" s="2">
        <v>22</v>
      </c>
      <c r="L9810" t="s" s="2">
        <v>22</v>
      </c>
      <c r="M9810" t="s" s="2">
        <v>22</v>
      </c>
    </row>
    <row r="9811" ht="25.0" customHeight="true">
      <c r="A9811" t="s" s="2">
        <v>13</v>
      </c>
      <c r="B9811" t="s" s="2">
        <f>HYPERLINK("http://ts.21cn.com/tousu/show/id/1357222","拍拍贷因为系统问题还不了款，导致我逾期")</f>
      </c>
      <c r="C9811" t="s" s="2">
        <v>15</v>
      </c>
      <c r="D9811" t="s" s="2">
        <v>16</v>
      </c>
      <c r="E9811" t="s" s="2">
        <v>17</v>
      </c>
      <c r="F9811" t="s" s="2">
        <f>HYPERLINK("http://ts.21cn.com/tousu/show/id/1357222","http://ts.21cn.com/tousu/show/id/1357222")</f>
      </c>
      <c r="G9811" t="s" s="2">
        <v>17</v>
      </c>
      <c r="H9811" t="s" s="2">
        <v>19</v>
      </c>
      <c r="I9811" t="s" s="2">
        <v>37833</v>
      </c>
      <c r="J9811" t="s" s="2">
        <v>37834</v>
      </c>
      <c r="K9811" t="s" s="2">
        <v>22</v>
      </c>
      <c r="L9811" t="s" s="2">
        <v>22</v>
      </c>
      <c r="M9811" t="s" s="2">
        <v>22</v>
      </c>
    </row>
    <row r="9812" ht="25.0" customHeight="true">
      <c r="A9812" t="s" s="2">
        <v>13</v>
      </c>
      <c r="B9812" t="s" s="2">
        <f>HYPERLINK("http://ts.21cn.com/tousu/show/id/1357216","我的建行卡在18年3月15日被扣款65586元，无任何消息提示")</f>
      </c>
      <c r="C9812" t="s" s="2">
        <v>52</v>
      </c>
      <c r="D9812" t="s" s="2">
        <v>16</v>
      </c>
      <c r="E9812" t="s" s="2">
        <v>17</v>
      </c>
      <c r="F9812" t="s" s="2">
        <f>HYPERLINK("http://ts.21cn.com/tousu/show/id/1357216","http://ts.21cn.com/tousu/show/id/1357216")</f>
      </c>
      <c r="G9812" t="s" s="2">
        <v>17</v>
      </c>
      <c r="H9812" t="s" s="2">
        <v>19</v>
      </c>
      <c r="I9812" t="s" s="2">
        <v>37837</v>
      </c>
      <c r="J9812" t="s" s="2">
        <v>37838</v>
      </c>
      <c r="K9812" t="s" s="2">
        <v>22</v>
      </c>
      <c r="L9812" t="s" s="2">
        <v>22</v>
      </c>
      <c r="M9812" t="s" s="2">
        <v>22</v>
      </c>
    </row>
    <row r="9813" ht="25.0" customHeight="true">
      <c r="A9813" t="s" s="2">
        <v>13</v>
      </c>
      <c r="B9813" t="s" s="2">
        <f>HYPERLINK("http://ts.21cn.com/tousu/show/id/1357221","海尔逾期费用太高，该app逾期超过3个月不让我还款")</f>
      </c>
      <c r="C9813" t="s" s="2">
        <v>15</v>
      </c>
      <c r="D9813" t="s" s="2">
        <v>16</v>
      </c>
      <c r="E9813" t="s" s="2">
        <v>17</v>
      </c>
      <c r="F9813" t="s" s="2">
        <f>HYPERLINK("http://ts.21cn.com/tousu/show/id/1357221","http://ts.21cn.com/tousu/show/id/1357221")</f>
      </c>
      <c r="G9813" t="s" s="2">
        <v>17</v>
      </c>
      <c r="H9813" t="s" s="2">
        <v>19</v>
      </c>
      <c r="I9813" t="s" s="2">
        <v>37841</v>
      </c>
      <c r="J9813" t="s" s="2">
        <v>37842</v>
      </c>
      <c r="K9813" t="s" s="2">
        <v>22</v>
      </c>
      <c r="L9813" t="s" s="2">
        <v>22</v>
      </c>
      <c r="M9813" t="s" s="2">
        <v>22</v>
      </c>
    </row>
    <row r="9814" ht="25.0" customHeight="true">
      <c r="A9814" t="s" s="2">
        <v>13</v>
      </c>
      <c r="B9814" t="s" s="2">
        <f>HYPERLINK("http://ts.21cn.com/tousu/show/id/1357219","华夏翔博教育欺瞒行为")</f>
      </c>
      <c r="C9814" t="s" s="2">
        <v>15</v>
      </c>
      <c r="D9814" t="s" s="2">
        <v>16</v>
      </c>
      <c r="E9814" t="s" s="2">
        <v>17</v>
      </c>
      <c r="F9814" t="s" s="2">
        <f>HYPERLINK("http://ts.21cn.com/tousu/show/id/1357219","http://ts.21cn.com/tousu/show/id/1357219")</f>
      </c>
      <c r="G9814" t="s" s="2">
        <v>17</v>
      </c>
      <c r="H9814" t="s" s="2">
        <v>19</v>
      </c>
      <c r="I9814" t="s" s="2">
        <v>37845</v>
      </c>
      <c r="J9814" t="s" s="2">
        <v>37846</v>
      </c>
      <c r="K9814" t="s" s="2">
        <v>22</v>
      </c>
      <c r="L9814" t="s" s="2">
        <v>22</v>
      </c>
      <c r="M9814" t="s" s="2">
        <v>22</v>
      </c>
    </row>
    <row r="9815" ht="25.0" customHeight="true">
      <c r="A9815" t="s" s="2">
        <v>13</v>
      </c>
      <c r="B9815" t="s" s="2">
        <f>HYPERLINK("http://ts.21cn.com/tousu/show/id/1357214","在京东金融下载的活力花加分贷，属高利贷")</f>
      </c>
      <c r="C9815" t="s" s="2">
        <v>15</v>
      </c>
      <c r="D9815" t="s" s="2">
        <v>16</v>
      </c>
      <c r="E9815" t="s" s="2">
        <v>17</v>
      </c>
      <c r="F9815" t="s" s="2">
        <f>HYPERLINK("http://ts.21cn.com/tousu/show/id/1357214","http://ts.21cn.com/tousu/show/id/1357214")</f>
      </c>
      <c r="G9815" t="s" s="2">
        <v>17</v>
      </c>
      <c r="H9815" t="s" s="2">
        <v>19</v>
      </c>
      <c r="I9815" t="s" s="2">
        <v>37849</v>
      </c>
      <c r="J9815" t="s" s="2">
        <v>37850</v>
      </c>
      <c r="K9815" t="s" s="2">
        <v>22</v>
      </c>
      <c r="L9815" t="s" s="2">
        <v>22</v>
      </c>
      <c r="M9815" t="s" s="2">
        <v>22</v>
      </c>
    </row>
    <row r="9816" ht="25.0" customHeight="true">
      <c r="A9816" t="s" s="2">
        <v>13</v>
      </c>
      <c r="B9816" t="s" s="2">
        <f>HYPERLINK("http://ts.21cn.com/tousu/show/id/1357213","醉味鸭脖为借款平台提供支付")</f>
      </c>
      <c r="C9816" t="s" s="2">
        <v>15</v>
      </c>
      <c r="D9816" t="s" s="2">
        <v>16</v>
      </c>
      <c r="E9816" t="s" s="2">
        <v>17</v>
      </c>
      <c r="F9816" t="s" s="2">
        <f>HYPERLINK("http://ts.21cn.com/tousu/show/id/1357213","http://ts.21cn.com/tousu/show/id/1357213")</f>
      </c>
      <c r="G9816" t="s" s="2">
        <v>17</v>
      </c>
      <c r="H9816" t="s" s="2">
        <v>19</v>
      </c>
      <c r="I9816" t="s" s="2">
        <v>37853</v>
      </c>
      <c r="J9816" t="s" s="2">
        <v>37854</v>
      </c>
      <c r="K9816" t="s" s="2">
        <v>22</v>
      </c>
      <c r="L9816" t="s" s="2">
        <v>22</v>
      </c>
      <c r="M9816" t="s" s="2">
        <v>22</v>
      </c>
    </row>
    <row r="9817" ht="25.0" customHeight="true">
      <c r="A9817" t="s" s="2">
        <v>13</v>
      </c>
      <c r="B9817" t="s" s="2">
        <f>HYPERLINK("http://ts.21cn.com/tousu/show/id/1357210","立马进钱阴阳合同！")</f>
      </c>
      <c r="C9817" t="s" s="2">
        <v>15</v>
      </c>
      <c r="D9817" t="s" s="2">
        <v>16</v>
      </c>
      <c r="E9817" t="s" s="2">
        <v>17</v>
      </c>
      <c r="F9817" t="s" s="2">
        <f>HYPERLINK("http://ts.21cn.com/tousu/show/id/1357210","http://ts.21cn.com/tousu/show/id/1357210")</f>
      </c>
      <c r="G9817" t="s" s="2">
        <v>17</v>
      </c>
      <c r="H9817" t="s" s="2">
        <v>19</v>
      </c>
      <c r="I9817" t="s" s="2">
        <v>37857</v>
      </c>
      <c r="J9817" t="s" s="2">
        <v>37858</v>
      </c>
      <c r="K9817" t="s" s="2">
        <v>22</v>
      </c>
      <c r="L9817" t="s" s="2">
        <v>22</v>
      </c>
      <c r="M9817" t="s" s="2">
        <v>22</v>
      </c>
    </row>
    <row r="9818" ht="25.0" customHeight="true">
      <c r="A9818" t="s" s="2">
        <v>13</v>
      </c>
      <c r="B9818" t="s" s="2">
        <f>HYPERLINK("http://ts.21cn.com/tousu/show/id/1357208","poss机刷卡一直未到账")</f>
      </c>
      <c r="C9818" t="s" s="2">
        <v>15</v>
      </c>
      <c r="D9818" t="s" s="2">
        <v>16</v>
      </c>
      <c r="E9818" t="s" s="2">
        <v>17</v>
      </c>
      <c r="F9818" t="s" s="2">
        <f>HYPERLINK("http://ts.21cn.com/tousu/show/id/1357208","http://ts.21cn.com/tousu/show/id/1357208")</f>
      </c>
      <c r="G9818" t="s" s="2">
        <v>17</v>
      </c>
      <c r="H9818" t="s" s="2">
        <v>19</v>
      </c>
      <c r="I9818" t="s" s="2">
        <v>37861</v>
      </c>
      <c r="J9818" t="s" s="2">
        <v>37862</v>
      </c>
      <c r="K9818" t="s" s="2">
        <v>22</v>
      </c>
      <c r="L9818" t="s" s="2">
        <v>22</v>
      </c>
      <c r="M9818" t="s" s="2">
        <v>22</v>
      </c>
    </row>
    <row r="9819" ht="25.0" customHeight="true">
      <c r="A9819" t="s" s="2">
        <v>13</v>
      </c>
      <c r="B9819" t="s" s="2">
        <f>HYPERLINK("http://ts.21cn.com/tousu/show/id/1357207","投诉升学教育虚假宣传")</f>
      </c>
      <c r="C9819" t="s" s="2">
        <v>15</v>
      </c>
      <c r="D9819" t="s" s="2">
        <v>16</v>
      </c>
      <c r="E9819" t="s" s="2">
        <v>17</v>
      </c>
      <c r="F9819" t="s" s="2">
        <f>HYPERLINK("http://ts.21cn.com/tousu/show/id/1357207","http://ts.21cn.com/tousu/show/id/1357207")</f>
      </c>
      <c r="G9819" t="s" s="2">
        <v>17</v>
      </c>
      <c r="H9819" t="s" s="2">
        <v>19</v>
      </c>
      <c r="I9819" t="s" s="2">
        <v>37865</v>
      </c>
      <c r="J9819" t="s" s="2">
        <v>37866</v>
      </c>
      <c r="K9819" t="s" s="2">
        <v>22</v>
      </c>
      <c r="L9819" t="s" s="2">
        <v>22</v>
      </c>
      <c r="M9819" t="s" s="2">
        <v>22</v>
      </c>
    </row>
    <row r="9820" ht="25.0" customHeight="true">
      <c r="A9820" t="s" s="2">
        <v>13</v>
      </c>
      <c r="B9820" t="s" s="2">
        <f>HYPERLINK("http://ts.21cn.com/tousu/show/id/1357205","淘宝商家出售伪劣产品")</f>
      </c>
      <c r="C9820" t="s" s="2">
        <v>15</v>
      </c>
      <c r="D9820" t="s" s="2">
        <v>16</v>
      </c>
      <c r="E9820" t="s" s="2">
        <v>17</v>
      </c>
      <c r="F9820" t="s" s="2">
        <f>HYPERLINK("http://ts.21cn.com/tousu/show/id/1357205","http://ts.21cn.com/tousu/show/id/1357205")</f>
      </c>
      <c r="G9820" t="s" s="2">
        <v>17</v>
      </c>
      <c r="H9820" t="s" s="2">
        <v>19</v>
      </c>
      <c r="I9820" t="s" s="2">
        <v>37869</v>
      </c>
      <c r="J9820" t="s" s="2">
        <v>37870</v>
      </c>
      <c r="K9820" t="s" s="2">
        <v>22</v>
      </c>
      <c r="L9820" t="s" s="2">
        <v>22</v>
      </c>
      <c r="M9820" t="s" s="2">
        <v>22</v>
      </c>
    </row>
    <row r="9821" ht="25.0" customHeight="true">
      <c r="A9821" t="s" s="2">
        <v>13</v>
      </c>
      <c r="B9821" t="s" s="2">
        <f>HYPERLINK("http://ts.21cn.com/tousu/show/id/1357203","松紧贷恶意催收")</f>
      </c>
      <c r="C9821" t="s" s="2">
        <v>15</v>
      </c>
      <c r="D9821" t="s" s="2">
        <v>16</v>
      </c>
      <c r="E9821" t="s" s="2">
        <v>17</v>
      </c>
      <c r="F9821" t="s" s="2">
        <f>HYPERLINK("http://ts.21cn.com/tousu/show/id/1357203","http://ts.21cn.com/tousu/show/id/1357203")</f>
      </c>
      <c r="G9821" t="s" s="2">
        <v>17</v>
      </c>
      <c r="H9821" t="s" s="2">
        <v>19</v>
      </c>
      <c r="I9821" t="s" s="2">
        <v>37873</v>
      </c>
      <c r="J9821" t="s" s="2">
        <v>37874</v>
      </c>
      <c r="K9821" t="s" s="2">
        <v>22</v>
      </c>
      <c r="L9821" t="s" s="2">
        <v>22</v>
      </c>
      <c r="M9821" t="s" s="2">
        <v>22</v>
      </c>
    </row>
    <row r="9822" ht="25.0" customHeight="true">
      <c r="A9822" t="s" s="2">
        <v>13</v>
      </c>
      <c r="B9822" t="s" s="2">
        <f>HYPERLINK("http://ts.21cn.com/tousu/show/id/1357109","虾米在线高利贷套路")</f>
      </c>
      <c r="C9822" t="s" s="2">
        <v>15</v>
      </c>
      <c r="D9822" t="s" s="2">
        <v>16</v>
      </c>
      <c r="E9822" t="s" s="2">
        <v>17</v>
      </c>
      <c r="F9822" t="s" s="2">
        <f>HYPERLINK("http://ts.21cn.com/tousu/show/id/1357109","http://ts.21cn.com/tousu/show/id/1357109")</f>
      </c>
      <c r="G9822" t="s" s="2">
        <v>17</v>
      </c>
      <c r="H9822" t="s" s="2">
        <v>19</v>
      </c>
      <c r="I9822" t="s" s="2">
        <v>37877</v>
      </c>
      <c r="J9822" t="s" s="2">
        <v>37878</v>
      </c>
      <c r="K9822" t="s" s="2">
        <v>22</v>
      </c>
      <c r="L9822" t="s" s="2">
        <v>22</v>
      </c>
      <c r="M9822" t="s" s="2">
        <v>22</v>
      </c>
    </row>
    <row r="9823" ht="25.0" customHeight="true">
      <c r="A9823" t="s" s="2">
        <v>13</v>
      </c>
      <c r="B9823" t="s" s="2">
        <f>HYPERLINK("http://ts.21cn.com/tousu/show/id/1357050","哈啰顺风车为什么封我号和油费无法提现")</f>
      </c>
      <c r="C9823" t="s" s="2">
        <v>15</v>
      </c>
      <c r="D9823" t="s" s="2">
        <v>16</v>
      </c>
      <c r="E9823" t="s" s="2">
        <v>17</v>
      </c>
      <c r="F9823" t="s" s="2">
        <f>HYPERLINK("http://ts.21cn.com/tousu/show/id/1357050","http://ts.21cn.com/tousu/show/id/1357050")</f>
      </c>
      <c r="G9823" t="s" s="2">
        <v>17</v>
      </c>
      <c r="H9823" t="s" s="2">
        <v>19</v>
      </c>
      <c r="I9823" t="s" s="2">
        <v>37881</v>
      </c>
      <c r="J9823" t="s" s="2">
        <v>37882</v>
      </c>
      <c r="K9823" t="s" s="2">
        <v>22</v>
      </c>
      <c r="L9823" t="s" s="2">
        <v>22</v>
      </c>
      <c r="M9823" t="s" s="2">
        <v>22</v>
      </c>
    </row>
    <row r="9824" ht="25.0" customHeight="true">
      <c r="A9824" t="s" s="2">
        <v>13</v>
      </c>
      <c r="B9824" t="s" s="2">
        <f>HYPERLINK("http://ts.21cn.com/tousu/show/id/1357031","易天普惠乱扣费288")</f>
      </c>
      <c r="C9824" t="s" s="2">
        <v>15</v>
      </c>
      <c r="D9824" t="s" s="2">
        <v>16</v>
      </c>
      <c r="E9824" t="s" s="2">
        <v>17</v>
      </c>
      <c r="F9824" t="s" s="2">
        <f>HYPERLINK("http://ts.21cn.com/tousu/show/id/1357031","http://ts.21cn.com/tousu/show/id/1357031")</f>
      </c>
      <c r="G9824" t="s" s="2">
        <v>17</v>
      </c>
      <c r="H9824" t="s" s="2">
        <v>19</v>
      </c>
      <c r="I9824" t="s" s="2">
        <v>37885</v>
      </c>
      <c r="J9824" t="s" s="2">
        <v>37886</v>
      </c>
      <c r="K9824" t="s" s="2">
        <v>22</v>
      </c>
      <c r="L9824" t="s" s="2">
        <v>22</v>
      </c>
      <c r="M9824" t="s" s="2">
        <v>22</v>
      </c>
    </row>
    <row r="9825" ht="25.0" customHeight="true">
      <c r="A9825" t="s" s="2">
        <v>13</v>
      </c>
      <c r="B9825" t="s" s="2">
        <f>HYPERLINK("http://ts.21cn.com/tousu/show/id/1356925","乱扣费，没有订单")</f>
      </c>
      <c r="C9825" t="s" s="2">
        <v>15</v>
      </c>
      <c r="D9825" t="s" s="2">
        <v>16</v>
      </c>
      <c r="E9825" t="s" s="2">
        <v>17</v>
      </c>
      <c r="F9825" t="s" s="2">
        <f>HYPERLINK("http://ts.21cn.com/tousu/show/id/1356925","http://ts.21cn.com/tousu/show/id/1356925")</f>
      </c>
      <c r="G9825" t="s" s="2">
        <v>17</v>
      </c>
      <c r="H9825" t="s" s="2">
        <v>19</v>
      </c>
      <c r="I9825" t="s" s="2">
        <v>37889</v>
      </c>
      <c r="J9825" t="s" s="2">
        <v>37890</v>
      </c>
      <c r="K9825" t="s" s="2">
        <v>22</v>
      </c>
      <c r="L9825" t="s" s="2">
        <v>22</v>
      </c>
      <c r="M9825" t="s" s="2">
        <v>22</v>
      </c>
    </row>
    <row r="9826" ht="25.0" customHeight="true">
      <c r="A9826" t="s" s="2">
        <v>13</v>
      </c>
      <c r="B9826" t="s" s="2">
        <f>HYPERLINK("http://ts.21cn.com/tousu/show/id/1356903","迅捷视频转换器")</f>
      </c>
      <c r="C9826" t="s" s="2">
        <v>15</v>
      </c>
      <c r="D9826" t="s" s="2">
        <v>16</v>
      </c>
      <c r="E9826" t="s" s="2">
        <v>17</v>
      </c>
      <c r="F9826" t="s" s="2">
        <f>HYPERLINK("http://ts.21cn.com/tousu/show/id/1356903","http://ts.21cn.com/tousu/show/id/1356903")</f>
      </c>
      <c r="G9826" t="s" s="2">
        <v>17</v>
      </c>
      <c r="H9826" t="s" s="2">
        <v>19</v>
      </c>
      <c r="I9826" t="s" s="2">
        <v>37893</v>
      </c>
      <c r="J9826" t="s" s="2">
        <v>37894</v>
      </c>
      <c r="K9826" t="s" s="2">
        <v>22</v>
      </c>
      <c r="L9826" t="s" s="2">
        <v>22</v>
      </c>
      <c r="M9826" t="s" s="2">
        <v>22</v>
      </c>
    </row>
    <row r="9827" ht="25.0" customHeight="true">
      <c r="A9827" t="s" s="2">
        <v>13</v>
      </c>
      <c r="B9827" t="s" s="2">
        <f>HYPERLINK("http://ts.21cn.com/tousu/show/id/1356614","广发银行账单混乱！客服及其不专业！忽悠客户！")</f>
      </c>
      <c r="C9827" t="s" s="2">
        <v>15</v>
      </c>
      <c r="D9827" t="s" s="2">
        <v>16</v>
      </c>
      <c r="E9827" t="s" s="2">
        <v>17</v>
      </c>
      <c r="F9827" t="s" s="2">
        <f>HYPERLINK("http://ts.21cn.com/tousu/show/id/1356614","http://ts.21cn.com/tousu/show/id/1356614")</f>
      </c>
      <c r="G9827" t="s" s="2">
        <v>17</v>
      </c>
      <c r="H9827" t="s" s="2">
        <v>19</v>
      </c>
      <c r="I9827" t="s" s="2">
        <v>37897</v>
      </c>
      <c r="J9827" t="s" s="2">
        <v>37898</v>
      </c>
      <c r="K9827" t="s" s="2">
        <v>22</v>
      </c>
      <c r="L9827" t="s" s="2">
        <v>22</v>
      </c>
      <c r="M9827" t="s" s="2">
        <v>22</v>
      </c>
    </row>
    <row r="9828" ht="25.0" customHeight="true">
      <c r="A9828" t="s" s="2">
        <v>13</v>
      </c>
      <c r="B9828" t="s" s="2">
        <f>HYPERLINK("http://ts.21cn.com/tousu/show/id/1356405","银行卡无故扣款")</f>
      </c>
      <c r="C9828" t="s" s="2">
        <v>15</v>
      </c>
      <c r="D9828" t="s" s="2">
        <v>16</v>
      </c>
      <c r="E9828" t="s" s="2">
        <v>17</v>
      </c>
      <c r="F9828" t="s" s="2">
        <f>HYPERLINK("http://ts.21cn.com/tousu/show/id/1356405","http://ts.21cn.com/tousu/show/id/1356405")</f>
      </c>
      <c r="G9828" t="s" s="2">
        <v>17</v>
      </c>
      <c r="H9828" t="s" s="2">
        <v>19</v>
      </c>
      <c r="I9828" t="s" s="2">
        <v>37901</v>
      </c>
      <c r="J9828" t="s" s="2">
        <v>37902</v>
      </c>
      <c r="K9828" t="s" s="2">
        <v>22</v>
      </c>
      <c r="L9828" t="s" s="2">
        <v>22</v>
      </c>
      <c r="M9828" t="s" s="2">
        <v>22</v>
      </c>
    </row>
    <row r="9829" ht="25.0" customHeight="true">
      <c r="A9829" t="s" s="2">
        <v>13</v>
      </c>
      <c r="B9829" t="s" s="2">
        <f>HYPERLINK("http://ts.21cn.com/tousu/show/id/1356402","714高炮套路我几万块，易宝平台违规提供支付扣款不明扣费")</f>
      </c>
      <c r="C9829" t="s" s="2">
        <v>15</v>
      </c>
      <c r="D9829" t="s" s="2">
        <v>16</v>
      </c>
      <c r="E9829" t="s" s="2">
        <v>17</v>
      </c>
      <c r="F9829" t="s" s="2">
        <f>HYPERLINK("http://ts.21cn.com/tousu/show/id/1356402","http://ts.21cn.com/tousu/show/id/1356402")</f>
      </c>
      <c r="G9829" t="s" s="2">
        <v>17</v>
      </c>
      <c r="H9829" t="s" s="2">
        <v>19</v>
      </c>
      <c r="I9829" t="s" s="2">
        <v>37905</v>
      </c>
      <c r="J9829" t="s" s="2">
        <v>37906</v>
      </c>
      <c r="K9829" t="s" s="2">
        <v>22</v>
      </c>
      <c r="L9829" t="s" s="2">
        <v>22</v>
      </c>
      <c r="M9829" t="s" s="2">
        <v>22</v>
      </c>
    </row>
    <row r="9830" ht="25.0" customHeight="true">
      <c r="A9830" t="s" s="2">
        <v>13</v>
      </c>
      <c r="B9830" t="s" s="2">
        <f>HYPERLINK("http://ts.21cn.com/tousu/show/id/1356306","恐吓，威胁，违法催收，侵权")</f>
      </c>
      <c r="C9830" t="s" s="2">
        <v>15</v>
      </c>
      <c r="D9830" t="s" s="2">
        <v>16</v>
      </c>
      <c r="E9830" t="s" s="2">
        <v>17</v>
      </c>
      <c r="F9830" t="s" s="2">
        <f>HYPERLINK("http://ts.21cn.com/tousu/show/id/1356306","http://ts.21cn.com/tousu/show/id/1356306")</f>
      </c>
      <c r="G9830" t="s" s="2">
        <v>17</v>
      </c>
      <c r="H9830" t="s" s="2">
        <v>19</v>
      </c>
      <c r="I9830" t="s" s="2">
        <v>37909</v>
      </c>
      <c r="J9830" t="s" s="2">
        <v>37910</v>
      </c>
      <c r="K9830" t="s" s="2">
        <v>22</v>
      </c>
      <c r="L9830" t="s" s="2">
        <v>22</v>
      </c>
      <c r="M9830" t="s" s="2">
        <v>22</v>
      </c>
    </row>
    <row r="9831" ht="25.0" customHeight="true">
      <c r="A9831" t="s" s="2">
        <v>13</v>
      </c>
      <c r="B9831" t="s" s="2">
        <f>HYPERLINK("http://ts.21cn.com/tousu/show/id/1356074","易宝支付公司违规扣费")</f>
      </c>
      <c r="C9831" t="s" s="2">
        <v>15</v>
      </c>
      <c r="D9831" t="s" s="2">
        <v>16</v>
      </c>
      <c r="E9831" t="s" s="2">
        <v>17</v>
      </c>
      <c r="F9831" t="s" s="2">
        <f>HYPERLINK("http://ts.21cn.com/tousu/show/id/1356074","http://ts.21cn.com/tousu/show/id/1356074")</f>
      </c>
      <c r="G9831" t="s" s="2">
        <v>17</v>
      </c>
      <c r="H9831" t="s" s="2">
        <v>19</v>
      </c>
      <c r="I9831" t="s" s="2">
        <v>37913</v>
      </c>
      <c r="J9831" t="s" s="2">
        <v>37914</v>
      </c>
      <c r="K9831" t="s" s="2">
        <v>22</v>
      </c>
      <c r="L9831" t="s" s="2">
        <v>22</v>
      </c>
      <c r="M9831" t="s" s="2">
        <v>22</v>
      </c>
    </row>
    <row r="9832" ht="25.0" customHeight="true">
      <c r="A9832" t="s" s="2">
        <v>13</v>
      </c>
      <c r="B9832" t="s" s="2">
        <f>HYPERLINK("http://ts.21cn.com/tousu/show/id/1355522","故意制造逾期收费")</f>
      </c>
      <c r="C9832" t="s" s="2">
        <v>15</v>
      </c>
      <c r="D9832" t="s" s="2">
        <v>16</v>
      </c>
      <c r="E9832" t="s" s="2">
        <v>17</v>
      </c>
      <c r="F9832" t="s" s="2">
        <f>HYPERLINK("http://ts.21cn.com/tousu/show/id/1355522","http://ts.21cn.com/tousu/show/id/1355522")</f>
      </c>
      <c r="G9832" t="s" s="2">
        <v>17</v>
      </c>
      <c r="H9832" t="s" s="2">
        <v>19</v>
      </c>
      <c r="I9832" t="s" s="2">
        <v>37917</v>
      </c>
      <c r="J9832" t="s" s="2">
        <v>37918</v>
      </c>
      <c r="K9832" t="s" s="2">
        <v>22</v>
      </c>
      <c r="L9832" t="s" s="2">
        <v>22</v>
      </c>
      <c r="M9832" t="s" s="2">
        <v>22</v>
      </c>
    </row>
    <row r="9833" ht="25.0" customHeight="true">
      <c r="A9833" t="s" s="2">
        <v>13</v>
      </c>
      <c r="B9833" t="s" s="2">
        <f>HYPERLINK("http://ts.21cn.com/tousu/show/id/1354733","玖富万卡擅自改写合同，变相收取费用，高利贷")</f>
      </c>
      <c r="C9833" t="s" s="2">
        <v>15</v>
      </c>
      <c r="D9833" t="s" s="2">
        <v>16</v>
      </c>
      <c r="E9833" t="s" s="2">
        <v>17</v>
      </c>
      <c r="F9833" t="s" s="2">
        <f>HYPERLINK("http://ts.21cn.com/tousu/show/id/1354733","http://ts.21cn.com/tousu/show/id/1354733")</f>
      </c>
      <c r="G9833" t="s" s="2">
        <v>17</v>
      </c>
      <c r="H9833" t="s" s="2">
        <v>19</v>
      </c>
      <c r="I9833" t="s" s="2">
        <v>37920</v>
      </c>
      <c r="J9833" t="s" s="2">
        <v>37921</v>
      </c>
      <c r="K9833" t="s" s="2">
        <v>22</v>
      </c>
      <c r="L9833" t="s" s="2">
        <v>22</v>
      </c>
      <c r="M9833" t="s" s="2">
        <v>22</v>
      </c>
    </row>
    <row r="9834" ht="25.0" customHeight="true">
      <c r="A9834" t="s" s="2">
        <v>13</v>
      </c>
      <c r="B9834" t="s" s="2">
        <f>HYPERLINK("http://ts.21cn.com/tousu/show/id/1354730","盗刷")</f>
      </c>
      <c r="C9834" t="s" s="2">
        <v>15</v>
      </c>
      <c r="D9834" t="s" s="2">
        <v>16</v>
      </c>
      <c r="E9834" t="s" s="2">
        <v>17</v>
      </c>
      <c r="F9834" t="s" s="2">
        <f>HYPERLINK("http://ts.21cn.com/tousu/show/id/1354730","http://ts.21cn.com/tousu/show/id/1354730")</f>
      </c>
      <c r="G9834" t="s" s="2">
        <v>17</v>
      </c>
      <c r="H9834" t="s" s="2">
        <v>19</v>
      </c>
      <c r="I9834" t="s" s="2">
        <v>37924</v>
      </c>
      <c r="J9834" t="s" s="2">
        <v>37925</v>
      </c>
      <c r="K9834" t="s" s="2">
        <v>22</v>
      </c>
      <c r="L9834" t="s" s="2">
        <v>22</v>
      </c>
      <c r="M9834" t="s" s="2">
        <v>22</v>
      </c>
    </row>
    <row r="9835" ht="25.0" customHeight="true">
      <c r="A9835" t="s" s="2">
        <v>13</v>
      </c>
      <c r="B9835" t="s" s="2">
        <f>HYPERLINK("http://ts.21cn.com/tousu/show/id/1354722","投诉招商银行信用卡利息比高利贷还高")</f>
      </c>
      <c r="C9835" t="s" s="2">
        <v>15</v>
      </c>
      <c r="D9835" t="s" s="2">
        <v>16</v>
      </c>
      <c r="E9835" t="s" s="2">
        <v>17</v>
      </c>
      <c r="F9835" t="s" s="2">
        <f>HYPERLINK("http://ts.21cn.com/tousu/show/id/1354722","http://ts.21cn.com/tousu/show/id/1354722")</f>
      </c>
      <c r="G9835" t="s" s="2">
        <v>17</v>
      </c>
      <c r="H9835" t="s" s="2">
        <v>19</v>
      </c>
      <c r="I9835" t="s" s="2">
        <v>37928</v>
      </c>
      <c r="J9835" t="s" s="2">
        <v>37929</v>
      </c>
      <c r="K9835" t="s" s="2">
        <v>22</v>
      </c>
      <c r="L9835" t="s" s="2">
        <v>22</v>
      </c>
      <c r="M9835" t="s" s="2">
        <v>22</v>
      </c>
    </row>
    <row r="9836" ht="25.0" customHeight="true">
      <c r="A9836" t="s" s="2">
        <v>13</v>
      </c>
      <c r="B9836" t="s" s="2">
        <f>HYPERLINK("http://ts.21cn.com/tousu/show/id/1354700","网络赌博")</f>
      </c>
      <c r="C9836" t="s" s="2">
        <v>15</v>
      </c>
      <c r="D9836" t="s" s="2">
        <v>16</v>
      </c>
      <c r="E9836" t="s" s="2">
        <v>17</v>
      </c>
      <c r="F9836" t="s" s="2">
        <f>HYPERLINK("http://ts.21cn.com/tousu/show/id/1354700","http://ts.21cn.com/tousu/show/id/1354700")</f>
      </c>
      <c r="G9836" t="s" s="2">
        <v>17</v>
      </c>
      <c r="H9836" t="s" s="2">
        <v>19</v>
      </c>
      <c r="I9836" t="s" s="2">
        <v>37931</v>
      </c>
      <c r="J9836" t="s" s="2">
        <v>37932</v>
      </c>
      <c r="K9836" t="s" s="2">
        <v>22</v>
      </c>
      <c r="L9836" t="s" s="2">
        <v>22</v>
      </c>
      <c r="M9836" t="s" s="2">
        <v>22</v>
      </c>
    </row>
    <row r="9837" ht="25.0" customHeight="true">
      <c r="A9837" t="s" s="2">
        <v>13</v>
      </c>
      <c r="B9837" t="s" s="2">
        <f>HYPERLINK("http://ts.21cn.com/tousu/show/id/1354697","现代金控pos首刷冻结款不退")</f>
      </c>
      <c r="C9837" t="s" s="2">
        <v>15</v>
      </c>
      <c r="D9837" t="s" s="2">
        <v>16</v>
      </c>
      <c r="E9837" t="s" s="2">
        <v>17</v>
      </c>
      <c r="F9837" t="s" s="2">
        <f>HYPERLINK("http://ts.21cn.com/tousu/show/id/1354697","http://ts.21cn.com/tousu/show/id/1354697")</f>
      </c>
      <c r="G9837" t="s" s="2">
        <v>17</v>
      </c>
      <c r="H9837" t="s" s="2">
        <v>19</v>
      </c>
      <c r="I9837" t="s" s="2">
        <v>37935</v>
      </c>
      <c r="J9837" t="s" s="2">
        <v>37936</v>
      </c>
      <c r="K9837" t="s" s="2">
        <v>22</v>
      </c>
      <c r="L9837" t="s" s="2">
        <v>22</v>
      </c>
      <c r="M9837" t="s" s="2">
        <v>22</v>
      </c>
    </row>
    <row r="9838" ht="25.0" customHeight="true">
      <c r="A9838" t="s" s="2">
        <v>13</v>
      </c>
      <c r="B9838" t="s" s="2">
        <f>HYPERLINK("http://ts.21cn.com/tousu/show/id/1354689","万惠及贷变相收取高额息费以及暴力催收")</f>
      </c>
      <c r="C9838" t="s" s="2">
        <v>15</v>
      </c>
      <c r="D9838" t="s" s="2">
        <v>16</v>
      </c>
      <c r="E9838" t="s" s="2">
        <v>17</v>
      </c>
      <c r="F9838" t="s" s="2">
        <f>HYPERLINK("http://ts.21cn.com/tousu/show/id/1354689","http://ts.21cn.com/tousu/show/id/1354689")</f>
      </c>
      <c r="G9838" t="s" s="2">
        <v>17</v>
      </c>
      <c r="H9838" t="s" s="2">
        <v>19</v>
      </c>
      <c r="I9838" t="s" s="2">
        <v>37938</v>
      </c>
      <c r="J9838" t="s" s="2">
        <v>37939</v>
      </c>
      <c r="K9838" t="s" s="2">
        <v>22</v>
      </c>
      <c r="L9838" t="s" s="2">
        <v>22</v>
      </c>
      <c r="M9838" t="s" s="2">
        <v>22</v>
      </c>
    </row>
    <row r="9839" ht="25.0" customHeight="true">
      <c r="A9839" t="s" s="2">
        <v>13</v>
      </c>
      <c r="B9839" t="s" s="2">
        <f>HYPERLINK("http://ts.21cn.com/tousu/show/id/1354686","不要第三方催收直接和银行存款联系")</f>
      </c>
      <c r="C9839" t="s" s="2">
        <v>15</v>
      </c>
      <c r="D9839" t="s" s="2">
        <v>16</v>
      </c>
      <c r="E9839" t="s" s="2">
        <v>17</v>
      </c>
      <c r="F9839" t="s" s="2">
        <f>HYPERLINK("http://ts.21cn.com/tousu/show/id/1354686","http://ts.21cn.com/tousu/show/id/1354686")</f>
      </c>
      <c r="G9839" t="s" s="2">
        <v>17</v>
      </c>
      <c r="H9839" t="s" s="2">
        <v>19</v>
      </c>
      <c r="I9839" t="s" s="2">
        <v>37942</v>
      </c>
      <c r="J9839" t="s" s="2">
        <v>37943</v>
      </c>
      <c r="K9839" t="s" s="2">
        <v>22</v>
      </c>
      <c r="L9839" t="s" s="2">
        <v>22</v>
      </c>
      <c r="M9839" t="s" s="2">
        <v>22</v>
      </c>
    </row>
    <row r="9840" ht="25.0" customHeight="true">
      <c r="A9840" t="s" s="2">
        <v>13</v>
      </c>
      <c r="B9840" t="s" s="2">
        <f>HYPERLINK("http://ts.21cn.com/tousu/show/id/859893","申请撤销负面")</f>
      </c>
      <c r="C9840" t="s" s="2">
        <v>15</v>
      </c>
      <c r="D9840" t="s" s="2">
        <v>16</v>
      </c>
      <c r="E9840" t="s" s="2">
        <v>17</v>
      </c>
      <c r="F9840" t="s" s="2">
        <f>HYPERLINK("http://ts.21cn.com/tousu/show/id/859893","http://ts.21cn.com/tousu/show/id/859893")</f>
      </c>
      <c r="G9840" t="s" s="2">
        <v>17</v>
      </c>
      <c r="H9840" t="s" s="2">
        <v>19</v>
      </c>
      <c r="I9840" t="s" s="2">
        <v>37946</v>
      </c>
      <c r="J9840" t="s" s="2">
        <v>37947</v>
      </c>
      <c r="K9840" t="s" s="2">
        <v>22</v>
      </c>
      <c r="L9840" t="s" s="2">
        <v>22</v>
      </c>
      <c r="M9840" t="s" s="2">
        <v>22</v>
      </c>
    </row>
    <row r="9841" ht="25.0" customHeight="true">
      <c r="A9841" t="s" s="2">
        <v>13</v>
      </c>
      <c r="B9841" t="s" s="2">
        <f>HYPERLINK("http://ts.21cn.com/tousu/show/id/1354678","来分期服务费")</f>
      </c>
      <c r="C9841" t="s" s="2">
        <v>52</v>
      </c>
      <c r="D9841" t="s" s="2">
        <v>16</v>
      </c>
      <c r="E9841" t="s" s="2">
        <v>17</v>
      </c>
      <c r="F9841" t="s" s="2">
        <f>HYPERLINK("http://ts.21cn.com/tousu/show/id/1354678","http://ts.21cn.com/tousu/show/id/1354678")</f>
      </c>
      <c r="G9841" t="s" s="2">
        <v>17</v>
      </c>
      <c r="H9841" t="s" s="2">
        <v>19</v>
      </c>
      <c r="I9841" t="s" s="2">
        <v>37950</v>
      </c>
      <c r="J9841" t="s" s="2">
        <v>37951</v>
      </c>
      <c r="K9841" t="s" s="2">
        <v>22</v>
      </c>
      <c r="L9841" t="s" s="2">
        <v>22</v>
      </c>
      <c r="M9841" t="s" s="2">
        <v>22</v>
      </c>
    </row>
    <row r="9842" ht="25.0" customHeight="true">
      <c r="A9842" t="s" s="2">
        <v>13</v>
      </c>
      <c r="B9842" t="s" s="2">
        <f>HYPERLINK("http://ts.21cn.com/tousu/show/id/1354675","立马进钱呆呆苞高利贷套路贷客服踢皮球")</f>
      </c>
      <c r="C9842" t="s" s="2">
        <v>15</v>
      </c>
      <c r="D9842" t="s" s="2">
        <v>16</v>
      </c>
      <c r="E9842" t="s" s="2">
        <v>17</v>
      </c>
      <c r="F9842" t="s" s="2">
        <f>HYPERLINK("http://ts.21cn.com/tousu/show/id/1354675","http://ts.21cn.com/tousu/show/id/1354675")</f>
      </c>
      <c r="G9842" t="s" s="2">
        <v>17</v>
      </c>
      <c r="H9842" t="s" s="2">
        <v>19</v>
      </c>
      <c r="I9842" t="s" s="2">
        <v>37954</v>
      </c>
      <c r="J9842" t="s" s="2">
        <v>37955</v>
      </c>
      <c r="K9842" t="s" s="2">
        <v>22</v>
      </c>
      <c r="L9842" t="s" s="2">
        <v>22</v>
      </c>
      <c r="M9842" t="s" s="2">
        <v>22</v>
      </c>
    </row>
    <row r="9843" ht="25.0" customHeight="true">
      <c r="A9843" t="s" s="2">
        <v>13</v>
      </c>
      <c r="B9843" t="s" s="2">
        <f>HYPERLINK("http://ts.21cn.com/tousu/show/id/1354667","大王贷款万达钱包")</f>
      </c>
      <c r="C9843" t="s" s="2">
        <v>15</v>
      </c>
      <c r="D9843" t="s" s="2">
        <v>16</v>
      </c>
      <c r="E9843" t="s" s="2">
        <v>17</v>
      </c>
      <c r="F9843" t="s" s="2">
        <f>HYPERLINK("http://ts.21cn.com/tousu/show/id/1354667","http://ts.21cn.com/tousu/show/id/1354667")</f>
      </c>
      <c r="G9843" t="s" s="2">
        <v>17</v>
      </c>
      <c r="H9843" t="s" s="2">
        <v>19</v>
      </c>
      <c r="I9843" t="s" s="2">
        <v>37958</v>
      </c>
      <c r="J9843" t="s" s="2">
        <v>37959</v>
      </c>
      <c r="K9843" t="s" s="2">
        <v>22</v>
      </c>
      <c r="L9843" t="s" s="2">
        <v>22</v>
      </c>
      <c r="M9843" t="s" s="2">
        <v>22</v>
      </c>
    </row>
    <row r="9844" ht="25.0" customHeight="true">
      <c r="A9844" t="s" s="2">
        <v>13</v>
      </c>
      <c r="B9844" t="s" s="2">
        <f>HYPERLINK("http://ts.21cn.com/tousu/show/id/1354664","我银行卡里无缘扣了249")</f>
      </c>
      <c r="C9844" t="s" s="2">
        <v>15</v>
      </c>
      <c r="D9844" t="s" s="2">
        <v>16</v>
      </c>
      <c r="E9844" t="s" s="2">
        <v>17</v>
      </c>
      <c r="F9844" t="s" s="2">
        <f>HYPERLINK("http://ts.21cn.com/tousu/show/id/1354664","http://ts.21cn.com/tousu/show/id/1354664")</f>
      </c>
      <c r="G9844" t="s" s="2">
        <v>17</v>
      </c>
      <c r="H9844" t="s" s="2">
        <v>19</v>
      </c>
      <c r="I9844" t="s" s="2">
        <v>37962</v>
      </c>
      <c r="J9844" t="s" s="2">
        <v>37963</v>
      </c>
      <c r="K9844" t="s" s="2">
        <v>22</v>
      </c>
      <c r="L9844" t="s" s="2">
        <v>22</v>
      </c>
      <c r="M9844" t="s" s="2">
        <v>22</v>
      </c>
    </row>
    <row r="9845" ht="25.0" customHeight="true">
      <c r="A9845" t="s" s="2">
        <v>13</v>
      </c>
      <c r="B9845" t="s" s="2">
        <f>HYPERLINK("http://ts.21cn.com/tousu/show/id/1354656","凭啥冻结我的资金")</f>
      </c>
      <c r="C9845" t="s" s="2">
        <v>15</v>
      </c>
      <c r="D9845" t="s" s="2">
        <v>16</v>
      </c>
      <c r="E9845" t="s" s="2">
        <v>17</v>
      </c>
      <c r="F9845" t="s" s="2">
        <f>HYPERLINK("http://ts.21cn.com/tousu/show/id/1354656","http://ts.21cn.com/tousu/show/id/1354656")</f>
      </c>
      <c r="G9845" t="s" s="2">
        <v>17</v>
      </c>
      <c r="H9845" t="s" s="2">
        <v>19</v>
      </c>
      <c r="I9845" t="s" s="2">
        <v>37966</v>
      </c>
      <c r="J9845" t="s" s="2">
        <v>37967</v>
      </c>
      <c r="K9845" t="s" s="2">
        <v>22</v>
      </c>
      <c r="L9845" t="s" s="2">
        <v>22</v>
      </c>
      <c r="M9845" t="s" s="2">
        <v>22</v>
      </c>
    </row>
    <row r="9846" ht="25.0" customHeight="true">
      <c r="A9846" t="s" s="2">
        <v>13</v>
      </c>
      <c r="B9846" t="s" s="2">
        <f>HYPERLINK("http://ts.21cn.com/tousu/show/id/1354620","钱站合同模糊概括")</f>
      </c>
      <c r="C9846" t="s" s="2">
        <v>15</v>
      </c>
      <c r="D9846" t="s" s="2">
        <v>16</v>
      </c>
      <c r="E9846" t="s" s="2">
        <v>17</v>
      </c>
      <c r="F9846" t="s" s="2">
        <f>HYPERLINK("http://ts.21cn.com/tousu/show/id/1354620","http://ts.21cn.com/tousu/show/id/1354620")</f>
      </c>
      <c r="G9846" t="s" s="2">
        <v>17</v>
      </c>
      <c r="H9846" t="s" s="2">
        <v>19</v>
      </c>
      <c r="I9846" t="s" s="2">
        <v>37970</v>
      </c>
      <c r="J9846" t="s" s="2">
        <v>37971</v>
      </c>
      <c r="K9846" t="s" s="2">
        <v>22</v>
      </c>
      <c r="L9846" t="s" s="2">
        <v>22</v>
      </c>
      <c r="M9846" t="s" s="2">
        <v>22</v>
      </c>
    </row>
    <row r="9847" ht="25.0" customHeight="true">
      <c r="A9847" t="s" s="2">
        <v>13</v>
      </c>
      <c r="B9847" t="s" s="2">
        <f>HYPERLINK("http://ts.21cn.com/tousu/show/id/1354653","利息已超过本金好几倍，无力偿还好几次还款日单天就轰炸通讯录")</f>
      </c>
      <c r="C9847" t="s" s="2">
        <v>15</v>
      </c>
      <c r="D9847" t="s" s="2">
        <v>16</v>
      </c>
      <c r="E9847" t="s" s="2">
        <v>17</v>
      </c>
      <c r="F9847" t="s" s="2">
        <f>HYPERLINK("http://ts.21cn.com/tousu/show/id/1354653","http://ts.21cn.com/tousu/show/id/1354653")</f>
      </c>
      <c r="G9847" t="s" s="2">
        <v>17</v>
      </c>
      <c r="H9847" t="s" s="2">
        <v>19</v>
      </c>
      <c r="I9847" t="s" s="2">
        <v>37974</v>
      </c>
      <c r="J9847" t="s" s="2">
        <v>37975</v>
      </c>
      <c r="K9847" t="s" s="2">
        <v>22</v>
      </c>
      <c r="L9847" t="s" s="2">
        <v>22</v>
      </c>
      <c r="M9847" t="s" s="2">
        <v>22</v>
      </c>
    </row>
    <row r="9848" ht="25.0" customHeight="true">
      <c r="A9848" t="s" s="2">
        <v>13</v>
      </c>
      <c r="B9848" t="s" s="2">
        <f>HYPERLINK("http://ts.21cn.com/tousu/show/id/1354645","nike不退款")</f>
      </c>
      <c r="C9848" t="s" s="2">
        <v>15</v>
      </c>
      <c r="D9848" t="s" s="2">
        <v>16</v>
      </c>
      <c r="E9848" t="s" s="2">
        <v>17</v>
      </c>
      <c r="F9848" t="s" s="2">
        <f>HYPERLINK("http://ts.21cn.com/tousu/show/id/1354645","http://ts.21cn.com/tousu/show/id/1354645")</f>
      </c>
      <c r="G9848" t="s" s="2">
        <v>17</v>
      </c>
      <c r="H9848" t="s" s="2">
        <v>19</v>
      </c>
      <c r="I9848" t="s" s="2">
        <v>37978</v>
      </c>
      <c r="J9848" t="s" s="2">
        <v>37979</v>
      </c>
      <c r="K9848" t="s" s="2">
        <v>22</v>
      </c>
      <c r="L9848" t="s" s="2">
        <v>22</v>
      </c>
      <c r="M9848" t="s" s="2">
        <v>22</v>
      </c>
    </row>
    <row r="9849" ht="25.0" customHeight="true">
      <c r="A9849" t="s" s="2">
        <v>13</v>
      </c>
      <c r="B9849" t="s" s="2">
        <f>HYPERLINK("http://ts.21cn.com/tousu/show/id/1354642","洋钱罐高利贷，逾期高利息")</f>
      </c>
      <c r="C9849" t="s" s="2">
        <v>15</v>
      </c>
      <c r="D9849" t="s" s="2">
        <v>16</v>
      </c>
      <c r="E9849" t="s" s="2">
        <v>17</v>
      </c>
      <c r="F9849" t="s" s="2">
        <f>HYPERLINK("http://ts.21cn.com/tousu/show/id/1354642","http://ts.21cn.com/tousu/show/id/1354642")</f>
      </c>
      <c r="G9849" t="s" s="2">
        <v>17</v>
      </c>
      <c r="H9849" t="s" s="2">
        <v>19</v>
      </c>
      <c r="I9849" t="s" s="2">
        <v>37982</v>
      </c>
      <c r="J9849" t="s" s="2">
        <v>37983</v>
      </c>
      <c r="K9849" t="s" s="2">
        <v>22</v>
      </c>
      <c r="L9849" t="s" s="2">
        <v>22</v>
      </c>
      <c r="M9849" t="s" s="2">
        <v>22</v>
      </c>
    </row>
    <row r="9850" ht="25.0" customHeight="true">
      <c r="A9850" t="s" s="2">
        <v>13</v>
      </c>
      <c r="B9850" t="s" s="2">
        <f>HYPERLINK("http://ts.21cn.com/tousu/show/id/1354631","协商解决问题")</f>
      </c>
      <c r="C9850" t="s" s="2">
        <v>15</v>
      </c>
      <c r="D9850" t="s" s="2">
        <v>16</v>
      </c>
      <c r="E9850" t="s" s="2">
        <v>17</v>
      </c>
      <c r="F9850" t="s" s="2">
        <f>HYPERLINK("http://ts.21cn.com/tousu/show/id/1354631","http://ts.21cn.com/tousu/show/id/1354631")</f>
      </c>
      <c r="G9850" t="s" s="2">
        <v>17</v>
      </c>
      <c r="H9850" t="s" s="2">
        <v>19</v>
      </c>
      <c r="I9850" t="s" s="2">
        <v>37986</v>
      </c>
      <c r="J9850" t="s" s="2">
        <v>37987</v>
      </c>
      <c r="K9850" t="s" s="2">
        <v>22</v>
      </c>
      <c r="L9850" t="s" s="2">
        <v>22</v>
      </c>
      <c r="M9850" t="s" s="2">
        <v>22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2019-11-22T01:17:07Z</dcterms:created>
  <dc:creator>Apache POI</dc:creator>
</cp:coreProperties>
</file>